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Saisie journalière" sheetId="3" state="visible" r:id="rId3"/>
    <sheet xmlns:r="http://schemas.openxmlformats.org/officeDocument/2006/relationships" name="Arrêts" sheetId="4" state="visible" r:id="rId4"/>
    <sheet xmlns:r="http://schemas.openxmlformats.org/officeDocument/2006/relationships" name="Synthèse" sheetId="5" state="visible" r:id="rId5"/>
    <sheet xmlns:r="http://schemas.openxmlformats.org/officeDocument/2006/relationships" name="Pareto des arrêts" sheetId="6" state="visible" r:id="rId6"/>
    <sheet xmlns:r="http://schemas.openxmlformats.org/officeDocument/2006/relationships" name="Postes" sheetId="7" state="visible" r:id="rId7"/>
    <sheet xmlns:r="http://schemas.openxmlformats.org/officeDocument/2006/relationships" name="Articles" sheetId="8" state="visible" r:id="rId8"/>
    <sheet xmlns:r="http://schemas.openxmlformats.org/officeDocument/2006/relationships" name="Paramètres" sheetId="9" state="visible" r:id="rId9"/>
    <sheet xmlns:r="http://schemas.openxmlformats.org/officeDocument/2006/relationships" name="Pourquoi Qualis ERP" sheetId="10" state="visible" r:id="rId10"/>
  </sheets>
  <definedNames>
    <definedName name="sj_date">'Saisie journalière'!$A$6:$A$2005</definedName>
    <definedName name="sj_eq">'Saisie journalière'!$B$6:$B$2005</definedName>
    <definedName name="sj_po">'Saisie journalière'!$C$6:$C$2005</definedName>
    <definedName name="sj_of">'Saisie journalière'!$D$6:$D$2005</definedName>
    <definedName name="sj_good">'Saisie journalière'!$G$6:$G$2005</definedName>
    <definedName name="sj_scrap">'Saisie journalière'!$H$6:$H$2005</definedName>
    <definedName name="sj_rework">'Saisie journalière'!$I$6:$I$2005</definedName>
    <definedName name="sj_to">'Saisie journalière'!$K$6:$K$2005</definedName>
    <definedName name="sj_tr">'Saisie journalière'!$M$6:$M$2005</definedName>
    <definedName name="sj_anp">'Saisie journalière'!$N$6:$N$2005</definedName>
    <definedName name="sj_tf">'Saisie journalière'!$O$6:$O$2005</definedName>
    <definedName name="sj_tn">'Saisie journalière'!$R$6:$R$2005</definedName>
    <definedName name="sj_tu">'Saisie journalière'!$S$6:$S$2005</definedName>
    <definedName name="sj_trs">'Saisie journalière'!$W$6:$W$2005</definedName>
    <definedName name="sj_loss">'Saisie journalière'!$Z$6:$Z$2005</definedName>
    <definedName name="sj_val">'Saisie journalière'!$AA$6:$AA$2005</definedName>
    <definedName name="sj_check">'Saisie journalière'!$AB$6:$AB$2005</definedName>
    <definedName name="sj_counted">'Saisie journalière'!$AC$6:$AC$2005</definedName>
    <definedName name="sj_in">'Saisie journalière'!$AD$6:$AD$2005</definedName>
    <definedName name="sj_first">'Saisie journalière'!$AE$6:$AE$2005</definedName>
    <definedName name="sj_dayrank">'Saisie journalière'!$AF$6:$AF$2005</definedName>
    <definedName name="sj_akey">'Saisie journalière'!$AG$6:$AG$2005</definedName>
    <definedName name="sj_arank">'Saisie journalière'!$AH$6:$AH$2005</definedName>
    <definedName name="st_date">'Arrêts'!$A$6:$A$3005</definedName>
    <definedName name="st_eq">'Arrêts'!$B$6:$B$3005</definedName>
    <definedName name="st_po">'Arrêts'!$C$6:$C$3005</definedName>
    <definedName name="st_cause">'Arrêts'!$D$6:$D$3005</definedName>
    <definedName name="st_type">'Arrêts'!$H$6:$H$3005</definedName>
    <definedName name="st_check">'Arrêts'!$I$6:$I$3005</definedName>
    <definedName name="st_min">'Arrêts'!$J$6:$J$3005</definedName>
    <definedName name="st_in">'Arrêts'!$K$6:$K$3005</definedName>
    <definedName name="st_sel">'Arrêts'!$L$6:$L$3005</definedName>
    <definedName name="po_code">'Postes'!$A$6:$A$35</definedName>
    <definedName name="po_name">'Postes'!$B$6:$B$35</definedName>
    <definedName name="po_rate">'Postes'!$C$6:$C$35</definedName>
    <definedName name="art_ref">'Articles'!$A$6:$A$505</definedName>
    <definedName name="art_rate">'Articles'!$C$6:$C$505</definedName>
    <definedName name="art_cost">'Articles'!$D$6:$D$505</definedName>
    <definedName name="art_check">'Articles'!$F$6:$F$505</definedName>
    <definedName name="eq_code">'Paramètres'!$D$6:$D$13</definedName>
    <definedName name="eq_pause">'Paramètres'!$G$6:$G$13</definedName>
    <definedName name="eq_dur">'Paramètres'!$H$6:$H$13</definedName>
    <definedName name="eq_check">'Paramètres'!$I$6:$I$13</definedName>
    <definedName name="ca_name">'Paramètres'!$K$6:$K$45</definedName>
    <definedName name="ca_fam">'Paramètres'!$L$6:$L$45</definedName>
    <definedName name="ca_type">'Paramètres'!$M$6:$M$45</definedName>
    <definedName name="fam_list">'Paramètres'!$P$6:$P$12</definedName>
    <definedName name="p_company">'Paramètres'!$B$5</definedName>
    <definedName name="p_target">'Paramètres'!$B$7</definedName>
    <definedName name="p_alert">'Paramètres'!$B$8</definedName>
    <definedName name="p_from_in">'Synthèse'!$B$4</definedName>
    <definedName name="p_to_in">'Synthèse'!$D$4</definedName>
    <definedName name="p_from">'Synthèse'!$B$5</definedName>
    <definedName name="p_to">'Synthèse'!$D$5</definedName>
    <definedName name="pa_po">'Pareto des arrêts'!$B$4</definedName>
    <definedName name="pa_eq">'Pareto des arrêts'!$D$4</definedName>
    <definedName name="p_currency">'Paramètres'!$B$6</definedName>
    <definedName name="_xlnm._FilterDatabase" localSheetId="2" hidden="1">'Saisie journalière'!$A$5:$AB$2005</definedName>
    <definedName name="_xlnm.Print_Titles" localSheetId="2">'Saisie journalière'!$5:$5</definedName>
    <definedName name="_xlnm._FilterDatabase" localSheetId="3" hidden="1">'Arrêts'!$A$5:$I$3005</definedName>
    <definedName name="_xlnm.Print_Titles" localSheetId="3">'Arrêts'!$5:$5</definedName>
    <definedName name="_xlnm.Print_Titles" localSheetId="6">'Postes'!$5:$5</definedName>
    <definedName name="_xlnm.Print_Titles" localSheetId="7">'Articles'!$5:$5</definedName>
  </definedNames>
  <calcPr calcId="124519" fullCalcOnLoad="1"/>
</workbook>
</file>

<file path=xl/styles.xml><?xml version="1.0" encoding="utf-8"?>
<styleSheet xmlns="http://schemas.openxmlformats.org/spreadsheetml/2006/main">
  <numFmts count="6">
    <numFmt numFmtId="164" formatCode="hh:mm"/>
    <numFmt numFmtId="165" formatCode="#,##0.##"/>
    <numFmt numFmtId="166" formatCode="#,##0.0"/>
    <numFmt numFmtId="167" formatCode="dd/mm/yyyy"/>
    <numFmt numFmtId="168" formatCode="0.0%"/>
    <numFmt numFmtId="169" formatCode="dd/mm/yyyy;;"/>
  </numFmts>
  <fonts count="34">
    <font>
      <name val="Calibri"/>
      <family val="2"/>
      <color theme="1"/>
      <sz val="11"/>
      <scheme val="minor"/>
    </font>
    <font>
      <name val="Calibri"/>
      <b val="1"/>
      <color rgb="FFFFFFFF"/>
      <sz val="18"/>
    </font>
    <font>
      <name val="Calibri"/>
      <i val="1"/>
      <color rgb="FF0369A1"/>
      <sz val="10"/>
    </font>
    <font>
      <name val="Calibri"/>
      <b val="1"/>
      <color rgb="FF0F172A"/>
      <sz val="12"/>
    </font>
    <font>
      <name val="Calibri"/>
      <b val="1"/>
      <color rgb="FF0369A1"/>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i val="1"/>
      <color rgb="FF64748B"/>
      <sz val="9"/>
    </font>
    <font>
      <name val="Calibri"/>
      <b val="1"/>
      <color rgb="FFFFFFFF"/>
      <sz val="10"/>
    </font>
    <font>
      <name val="Calibri"/>
      <color rgb="FF334155"/>
      <sz val="10"/>
    </font>
    <font>
      <name val="Calibri"/>
      <color rgb="FF0F172A"/>
      <sz val="10"/>
    </font>
    <font>
      <name val="Calibri"/>
      <color rgb="FF64748B"/>
      <sz val="8"/>
    </font>
    <font>
      <name val="Calibri"/>
      <b val="1"/>
      <color rgb="FF0F172A"/>
      <sz val="9"/>
    </font>
    <font>
      <name val="Calibri"/>
      <b val="1"/>
      <color rgb="FF0369A1"/>
      <sz val="9"/>
      <u val="single"/>
    </font>
    <font>
      <name val="Calibri"/>
      <b val="1"/>
      <color rgb="FF64748B"/>
      <sz val="9"/>
    </font>
    <font>
      <name val="Calibri"/>
      <b val="1"/>
      <color rgb="FF0369A1"/>
      <sz val="20"/>
    </font>
    <font>
      <name val="Calibri"/>
      <i val="1"/>
      <color rgb="FF94A3B8"/>
      <sz val="8"/>
    </font>
    <font>
      <name val="Calibri"/>
      <b val="1"/>
      <color rgb="FF0F172A"/>
      <sz val="20"/>
    </font>
    <font>
      <name val="Calibri"/>
      <b val="1"/>
      <color rgb="FFB91C1C"/>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3">
    <fill>
      <patternFill/>
    </fill>
    <fill>
      <patternFill patternType="gray125"/>
    </fill>
    <fill>
      <patternFill patternType="solid">
        <fgColor rgb="FF0369A1"/>
        <bgColor rgb="FF0369A1"/>
      </patternFill>
    </fill>
    <fill>
      <patternFill patternType="solid">
        <fgColor rgb="FFE0F2FE"/>
        <bgColor rgb="FFE0F2FE"/>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29">
    <border>
      <left/>
      <right/>
      <top/>
      <bottom/>
      <diagonal/>
    </border>
    <border>
      <bottom style="medium">
        <color rgb="FF0369A1"/>
      </bottom>
    </border>
    <border>
      <bottom style="thin">
        <color rgb="FFE2E8F0"/>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style="thick">
        <color rgb="FF0369A1"/>
      </left>
      <top style="thin">
        <color rgb="FFE2E8F0"/>
      </top>
    </border>
    <border>
      <top style="thin">
        <color rgb="FFE2E8F0"/>
      </top>
    </border>
    <border>
      <right style="thin">
        <color rgb="FFE2E8F0"/>
      </right>
      <top style="thin">
        <color rgb="FFE2E8F0"/>
      </top>
    </border>
    <border>
      <left style="thick">
        <color rgb="FF0369A1"/>
      </left>
    </border>
    <border/>
    <border>
      <right style="thin">
        <color rgb="FFE2E8F0"/>
      </right>
    </border>
    <border>
      <left style="thick">
        <color rgb="FF0369A1"/>
      </left>
      <bottom style="thin">
        <color rgb="FFE2E8F0"/>
      </bottom>
    </border>
    <border>
      <right style="thin">
        <color rgb="FFE2E8F0"/>
      </righ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1">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3" fillId="0" borderId="0" applyAlignment="1" pivotButton="0" quotePrefix="0" xfId="0">
      <alignment horizontal="right"/>
    </xf>
    <xf numFmtId="169" fontId="18" fillId="0" borderId="0" applyAlignment="1" pivotButton="0" quotePrefix="0" xfId="0">
      <alignment horizontal="center"/>
    </xf>
    <xf numFmtId="0" fontId="13" fillId="0" borderId="0" applyAlignment="1" pivotButton="0" quotePrefix="0" xfId="0">
      <alignment horizontal="center"/>
    </xf>
    <xf numFmtId="0" fontId="19" fillId="0" borderId="0" pivotButton="0" quotePrefix="0" xfId="0"/>
    <xf numFmtId="0" fontId="20" fillId="4" borderId="7" applyAlignment="1" pivotButton="0" quotePrefix="0" xfId="0">
      <alignment vertical="bottom" indent="1"/>
    </xf>
    <xf numFmtId="0" fontId="0" fillId="4" borderId="8" pivotButton="0" quotePrefix="0" xfId="0"/>
    <xf numFmtId="0" fontId="0" fillId="4" borderId="9" pivotButton="0" quotePrefix="0" xfId="0"/>
    <xf numFmtId="0" fontId="20" fillId="4" borderId="15" applyAlignment="1" pivotButton="0" quotePrefix="0" xfId="0">
      <alignment vertical="bottom" indent="1"/>
    </xf>
    <xf numFmtId="0" fontId="20" fillId="4" borderId="18" applyAlignment="1" pivotButton="0" quotePrefix="0" xfId="0">
      <alignment vertical="bottom" indent="1"/>
    </xf>
    <xf numFmtId="168" fontId="21" fillId="4" borderId="10" applyAlignment="1" pivotButton="0" quotePrefix="0" xfId="0">
      <alignment horizontal="left" vertical="center" indent="1"/>
    </xf>
    <xf numFmtId="0" fontId="0" fillId="4" borderId="11" pivotButton="0" quotePrefix="0" xfId="0"/>
    <xf numFmtId="0" fontId="0" fillId="4" borderId="12" pivotButton="0" quotePrefix="0" xfId="0"/>
    <xf numFmtId="168" fontId="23" fillId="4" borderId="16" applyAlignment="1" pivotButton="0" quotePrefix="0" xfId="0">
      <alignment horizontal="left" vertical="center" indent="1"/>
    </xf>
    <xf numFmtId="3" fontId="24" fillId="4" borderId="19" applyAlignment="1" pivotButton="0" quotePrefix="0" xfId="0">
      <alignment horizontal="left" vertical="center" indent="1"/>
    </xf>
    <xf numFmtId="0" fontId="22" fillId="4" borderId="13" applyAlignment="1" pivotButton="0" quotePrefix="0" xfId="0">
      <alignment vertical="top" indent="1"/>
    </xf>
    <xf numFmtId="0" fontId="0" fillId="4" borderId="14" pivotButton="0" quotePrefix="0" xfId="0"/>
    <xf numFmtId="0" fontId="22" fillId="4" borderId="17" applyAlignment="1" pivotButton="0" quotePrefix="0" xfId="0">
      <alignment vertical="top" indent="1"/>
    </xf>
    <xf numFmtId="0" fontId="22" fillId="4" borderId="20" applyAlignment="1" pivotButton="0" quotePrefix="0" xfId="0">
      <alignment vertical="top" indent="1"/>
    </xf>
    <xf numFmtId="0" fontId="13" fillId="0" borderId="0" pivotButton="0" quotePrefix="0" xfId="0"/>
    <xf numFmtId="0" fontId="14" fillId="7" borderId="3" applyAlignment="1" pivotButton="0" quotePrefix="0" xfId="0">
      <alignment horizontal="center" vertical="center" wrapText="1"/>
    </xf>
    <xf numFmtId="0" fontId="0" fillId="0" borderId="6" pivotButton="0" quotePrefix="0" xfId="0"/>
    <xf numFmtId="0" fontId="5" fillId="6" borderId="3" applyAlignment="1" pivotButton="0" quotePrefix="0" xfId="0">
      <alignment horizontal="center"/>
    </xf>
    <xf numFmtId="0" fontId="5" fillId="6" borderId="3" applyAlignment="1" pivotButton="0" quotePrefix="0" xfId="0">
      <alignment horizontal="left"/>
    </xf>
    <xf numFmtId="168" fontId="5" fillId="6" borderId="3" applyAlignment="1" pivotButton="0" quotePrefix="0" xfId="0">
      <alignment horizontal="center"/>
    </xf>
    <xf numFmtId="0" fontId="0" fillId="0" borderId="21" pivotButton="0" quotePrefix="0" xfId="0"/>
    <xf numFmtId="0" fontId="5" fillId="6" borderId="3" applyAlignment="1" pivotButton="0" quotePrefix="0" xfId="0">
      <alignment horizontal="left" shrinkToFit="1"/>
    </xf>
    <xf numFmtId="0" fontId="5" fillId="6" borderId="3" applyAlignment="1" pivotButton="0" quotePrefix="0" xfId="0">
      <alignment horizontal="left"/>
    </xf>
    <xf numFmtId="166" fontId="5" fillId="6" borderId="3" applyAlignment="1" pivotButton="0" quotePrefix="0" xfId="0">
      <alignment horizontal="center"/>
    </xf>
    <xf numFmtId="167" fontId="5" fillId="6" borderId="3" applyAlignment="1" pivotButton="0" quotePrefix="0" xfId="0">
      <alignment horizontal="center"/>
    </xf>
    <xf numFmtId="0" fontId="5" fillId="6" borderId="3" applyAlignment="1" pivotButton="0" quotePrefix="0" xfId="0">
      <alignment horizontal="center" shrinkToFit="1"/>
    </xf>
    <xf numFmtId="0" fontId="5" fillId="6" borderId="3" applyAlignment="1" pivotButton="0" quotePrefix="0" xfId="0">
      <alignment horizontal="center"/>
    </xf>
    <xf numFmtId="168" fontId="5" fillId="6" borderId="3" applyAlignment="1" pivotButton="0" quotePrefix="0" xfId="0">
      <alignment horizontal="center"/>
    </xf>
    <xf numFmtId="167" fontId="5" fillId="4" borderId="3" applyAlignment="1" pivotButton="0" quotePrefix="0" xfId="0">
      <alignment horizontal="center" vertical="center"/>
    </xf>
    <xf numFmtId="0" fontId="5" fillId="4" borderId="3" applyAlignment="1" pivotButton="0" quotePrefix="0" xfId="0">
      <alignment horizontal="center" vertical="center"/>
    </xf>
    <xf numFmtId="0" fontId="5" fillId="4" borderId="3" applyAlignment="1" pivotButton="0" quotePrefix="0" xfId="0">
      <alignment vertical="center"/>
    </xf>
    <xf numFmtId="3" fontId="5" fillId="4" borderId="3" applyAlignment="1" pivotButton="0" quotePrefix="0" xfId="0">
      <alignment vertical="center"/>
    </xf>
    <xf numFmtId="3" fontId="15" fillId="6" borderId="3" applyAlignment="1" pivotButton="0" quotePrefix="0" xfId="0">
      <alignment vertical="center"/>
    </xf>
    <xf numFmtId="165" fontId="15" fillId="6" borderId="3" applyAlignment="1" pivotButton="0" quotePrefix="0" xfId="0">
      <alignment vertical="center"/>
    </xf>
    <xf numFmtId="168" fontId="15" fillId="6" borderId="3" applyAlignment="1" pivotButton="0" quotePrefix="0" xfId="0">
      <alignment vertical="center"/>
    </xf>
    <xf numFmtId="0" fontId="15" fillId="6" borderId="3" applyAlignment="1" pivotButton="0" quotePrefix="0" xfId="0">
      <alignment horizontal="center" vertical="center"/>
    </xf>
    <xf numFmtId="4" fontId="15" fillId="6" borderId="3" applyAlignment="1" pivotButton="0" quotePrefix="0" xfId="0">
      <alignment vertical="center"/>
    </xf>
    <xf numFmtId="165" fontId="5" fillId="4" borderId="3" applyAlignment="1" pivotButton="0" quotePrefix="0" xfId="0">
      <alignment horizontal="center" vertical="center"/>
    </xf>
    <xf numFmtId="0" fontId="15" fillId="6" borderId="3" applyAlignment="1" pivotButton="0" quotePrefix="0" xfId="0">
      <alignment vertical="center"/>
    </xf>
    <xf numFmtId="0" fontId="6" fillId="0" borderId="0" pivotButton="0" quotePrefix="0" xfId="0"/>
    <xf numFmtId="167" fontId="10" fillId="4" borderId="3" applyAlignment="1" pivotButton="0" quotePrefix="0" xfId="0">
      <alignment horizontal="center"/>
    </xf>
    <xf numFmtId="0" fontId="16" fillId="0" borderId="0" applyAlignment="1" pivotButton="0" quotePrefix="0" xfId="0">
      <alignment horizontal="center"/>
    </xf>
    <xf numFmtId="0" fontId="12" fillId="0" borderId="0" pivotButton="0" quotePrefix="0" xfId="0"/>
    <xf numFmtId="169" fontId="12" fillId="6" borderId="3" applyAlignment="1" pivotButton="0" quotePrefix="0" xfId="0">
      <alignment horizontal="center"/>
    </xf>
    <xf numFmtId="0" fontId="12" fillId="0" borderId="0" applyAlignment="1" pivotButton="0" quotePrefix="0" xfId="0">
      <alignment horizontal="center"/>
    </xf>
    <xf numFmtId="166" fontId="15" fillId="6" borderId="3" applyAlignment="1" pivotButton="0" quotePrefix="0" xfId="0">
      <alignment vertical="center"/>
    </xf>
    <xf numFmtId="0" fontId="10" fillId="5" borderId="3" applyAlignment="1" pivotButton="0" quotePrefix="0" xfId="0">
      <alignment horizontal="center" vertical="center"/>
    </xf>
    <xf numFmtId="0" fontId="10" fillId="5" borderId="3" applyAlignment="1" pivotButton="0" quotePrefix="0" xfId="0">
      <alignment vertical="center"/>
    </xf>
    <xf numFmtId="166" fontId="10" fillId="5" borderId="3" applyAlignment="1" pivotButton="0" quotePrefix="0" xfId="0">
      <alignment vertical="center"/>
    </xf>
    <xf numFmtId="3" fontId="10" fillId="5" borderId="3" applyAlignment="1" pivotButton="0" quotePrefix="0" xfId="0">
      <alignment vertical="center"/>
    </xf>
    <xf numFmtId="168" fontId="10" fillId="5" borderId="3" applyAlignment="1" pivotButton="0" quotePrefix="0" xfId="0">
      <alignment vertical="center"/>
    </xf>
    <xf numFmtId="4" fontId="10" fillId="5" borderId="3" applyAlignment="1" pivotButton="0" quotePrefix="0" xfId="0">
      <alignment vertical="center"/>
    </xf>
    <xf numFmtId="0" fontId="13" fillId="0" borderId="1" pivotButton="0" quotePrefix="0" xfId="0"/>
    <xf numFmtId="0" fontId="17" fillId="0" borderId="0" pivotButton="0" quotePrefix="0" xfId="0"/>
    <xf numFmtId="169" fontId="15" fillId="6" borderId="3" applyAlignment="1" pivotButton="0" quotePrefix="0" xfId="0">
      <alignment horizontal="center" vertical="center"/>
    </xf>
    <xf numFmtId="0" fontId="10" fillId="0" borderId="0" pivotButton="0" quotePrefix="0" xfId="0"/>
    <xf numFmtId="0" fontId="10" fillId="4" borderId="3" applyAlignment="1" pivotButton="0" quotePrefix="0" xfId="0">
      <alignment horizontal="center"/>
    </xf>
    <xf numFmtId="0" fontId="10" fillId="0" borderId="0" applyAlignment="1" pivotButton="0" quotePrefix="0" xfId="0">
      <alignment horizontal="right"/>
    </xf>
    <xf numFmtId="0" fontId="12" fillId="0" borderId="0" applyAlignment="1" pivotButton="0" quotePrefix="0" xfId="0">
      <alignment horizontal="right"/>
    </xf>
    <xf numFmtId="0" fontId="4" fillId="0" borderId="0" pivotButton="0" quotePrefix="0" xfId="0"/>
    <xf numFmtId="49" fontId="5" fillId="0" borderId="3" pivotButton="0" quotePrefix="0" xfId="0"/>
    <xf numFmtId="3" fontId="5" fillId="6" borderId="3" applyAlignment="1" pivotButton="0" quotePrefix="0" xfId="0">
      <alignment horizontal="center"/>
    </xf>
    <xf numFmtId="49" fontId="10" fillId="5" borderId="3" pivotButton="0" quotePrefix="0" xfId="0"/>
    <xf numFmtId="3" fontId="10" fillId="5" borderId="3" pivotButton="0" quotePrefix="0" xfId="0"/>
    <xf numFmtId="166" fontId="10" fillId="5" borderId="3" pivotButton="0" quotePrefix="0" xfId="0"/>
    <xf numFmtId="166" fontId="15" fillId="6" borderId="3" applyAlignment="1" pivotButton="0" quotePrefix="0" xfId="0">
      <alignment horizontal="center" vertical="center"/>
    </xf>
    <xf numFmtId="4" fontId="5" fillId="4" borderId="3" applyAlignment="1" pivotButton="0" quotePrefix="0" xfId="0">
      <alignment vertical="center"/>
    </xf>
    <xf numFmtId="0" fontId="5" fillId="4" borderId="3" applyAlignment="1" pivotButton="0" quotePrefix="0" xfId="0">
      <alignment horizontal="center"/>
    </xf>
    <xf numFmtId="0" fontId="11" fillId="4" borderId="3" applyAlignment="1" pivotButton="0" quotePrefix="0" xfId="0">
      <alignment horizontal="center"/>
    </xf>
    <xf numFmtId="164" fontId="5" fillId="4" borderId="3" applyAlignment="1" pivotButton="0" quotePrefix="0" xfId="0">
      <alignment horizontal="center" vertical="center"/>
    </xf>
    <xf numFmtId="3" fontId="5" fillId="4" borderId="3" applyAlignment="1" pivotButton="0" quotePrefix="0" xfId="0">
      <alignment horizontal="center" vertical="center"/>
    </xf>
    <xf numFmtId="3" fontId="15" fillId="6" borderId="3" applyAlignment="1" pivotButton="0" quotePrefix="0" xfId="0">
      <alignment horizontal="center" vertical="center"/>
    </xf>
    <xf numFmtId="0" fontId="15" fillId="6" borderId="3" pivotButton="0" quotePrefix="0" xfId="0"/>
    <xf numFmtId="9" fontId="5" fillId="4" borderId="3" applyAlignment="1" pivotButton="0" quotePrefix="0" xfId="0">
      <alignment horizontal="center"/>
    </xf>
    <xf numFmtId="0" fontId="7" fillId="6" borderId="3" applyAlignment="1" pivotButton="0" quotePrefix="0" xfId="0">
      <alignment horizontal="center" shrinkToFit="1"/>
    </xf>
    <xf numFmtId="0" fontId="13" fillId="0" borderId="0" applyAlignment="1" pivotButton="0" quotePrefix="0" xfId="0">
      <alignment vertical="top" wrapText="1"/>
    </xf>
    <xf numFmtId="0" fontId="0" fillId="8" borderId="0" pivotButton="0" quotePrefix="0" xfId="0"/>
    <xf numFmtId="0" fontId="25" fillId="9" borderId="0" applyAlignment="1" pivotButton="0" quotePrefix="0" xfId="0">
      <alignment vertical="bottom" indent="1"/>
    </xf>
    <xf numFmtId="0" fontId="0" fillId="9" borderId="0" pivotButton="0" quotePrefix="0" xfId="0"/>
    <xf numFmtId="0" fontId="26" fillId="9" borderId="0" applyAlignment="1" pivotButton="0" quotePrefix="0" xfId="0">
      <alignment indent="1"/>
    </xf>
    <xf numFmtId="0" fontId="27" fillId="9" borderId="0" applyAlignment="1" pivotButton="0" quotePrefix="0" xfId="0">
      <alignment vertical="top" wrapText="1" indent="1"/>
    </xf>
    <xf numFmtId="0" fontId="3" fillId="8" borderId="22" pivotButton="0" quotePrefix="0" xfId="0"/>
    <xf numFmtId="0" fontId="0" fillId="8" borderId="22" pivotButton="0" quotePrefix="0" xfId="0"/>
    <xf numFmtId="0" fontId="28" fillId="8" borderId="0" applyAlignment="1" pivotButton="0" quotePrefix="0" xfId="0">
      <alignment vertical="center" wrapText="1"/>
    </xf>
    <xf numFmtId="0" fontId="16" fillId="8" borderId="0" applyAlignment="1" pivotButton="0" quotePrefix="0" xfId="0">
      <alignment vertical="center" wrapText="1"/>
    </xf>
    <xf numFmtId="0" fontId="14" fillId="8" borderId="11" applyAlignment="1" pivotButton="0" quotePrefix="0" xfId="0">
      <alignment vertical="center" wrapText="1" indent="1"/>
    </xf>
    <xf numFmtId="0" fontId="14" fillId="7" borderId="3" applyAlignment="1" pivotButton="0" quotePrefix="0" xfId="0">
      <alignment vertical="center" wrapText="1" indent="1"/>
    </xf>
    <xf numFmtId="0" fontId="14" fillId="10" borderId="3" applyAlignment="1" pivotButton="0" quotePrefix="0" xfId="0">
      <alignment vertical="center" wrapText="1" indent="1"/>
    </xf>
    <xf numFmtId="0" fontId="6" fillId="4" borderId="3" applyAlignment="1" pivotButton="0" quotePrefix="0" xfId="0">
      <alignment vertical="center" wrapText="1" indent="1"/>
    </xf>
    <xf numFmtId="0" fontId="16" fillId="4" borderId="3" applyAlignment="1" pivotButton="0" quotePrefix="0" xfId="0">
      <alignment vertical="center" wrapText="1" indent="1"/>
    </xf>
    <xf numFmtId="0" fontId="16" fillId="11" borderId="3" applyAlignment="1" pivotButton="0" quotePrefix="0" xfId="0">
      <alignment vertical="center" wrapText="1" indent="1"/>
    </xf>
    <xf numFmtId="0" fontId="29" fillId="6" borderId="3" applyAlignment="1" pivotButton="0" quotePrefix="0" xfId="0">
      <alignment horizontal="center" vertical="center" wrapText="1" indent="1"/>
    </xf>
    <xf numFmtId="0" fontId="30" fillId="12" borderId="3" applyAlignment="1" pivotButton="0" quotePrefix="0" xfId="0">
      <alignment horizontal="center" vertical="center" wrapText="1" indent="1"/>
    </xf>
    <xf numFmtId="0" fontId="31" fillId="11" borderId="25" applyAlignment="1" pivotButton="0" quotePrefix="0" xfId="0">
      <alignment horizontal="center" vertical="center"/>
    </xf>
    <xf numFmtId="0" fontId="0" fillId="0" borderId="28" pivotButton="0" quotePrefix="0" xfId="0"/>
    <xf numFmtId="0" fontId="32" fillId="8" borderId="0" applyAlignment="1" pivotButton="0" quotePrefix="0" xfId="0">
      <alignment horizontal="center" vertical="center"/>
    </xf>
    <xf numFmtId="0" fontId="33" fillId="8" borderId="0" applyAlignment="1" pivotButton="0" quotePrefix="0" xfId="0">
      <alignment horizontal="center" vertical="center"/>
    </xf>
    <xf numFmtId="0" fontId="8" fillId="8" borderId="0" applyAlignment="1" pivotButton="0" quotePrefix="0" xfId="0">
      <alignment vertical="top" wrapText="1"/>
    </xf>
  </cellXfs>
  <cellStyles count="1">
    <cellStyle name="Normal" xfId="0" builtinId="0" hidden="0"/>
  </cellStyles>
  <dxfs count="17">
    <dxf>
      <font>
        <b val="1"/>
        <color rgb="FF166534"/>
        <sz val="20"/>
      </font>
    </dxf>
    <dxf>
      <font>
        <b val="1"/>
        <color rgb="FF92400E"/>
        <sz val="20"/>
      </font>
    </dxf>
    <dxf>
      <font>
        <b val="1"/>
        <color rgb="FFB91C1C"/>
        <sz val="20"/>
      </font>
    </dxf>
    <dxf>
      <font>
        <b val="1"/>
        <color rgb="FF166534"/>
      </font>
      <fill>
        <patternFill patternType="solid">
          <fgColor rgb="FFDCFCE7"/>
          <bgColor rgb="FFDCFCE7"/>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numFmt numFmtId="190" formatCode="#,##0&quot; DH&quot;"/>
    </dxf>
    <dxf>
      <numFmt numFmtId="191" formatCode="#,##0&quot; €&quot;"/>
    </dxf>
    <dxf>
      <numFmt numFmtId="192" formatCode="&quot;$&quot;#,##0"/>
    </dxf>
    <dxf>
      <font>
        <color rgb="FF166534"/>
      </font>
      <fill>
        <patternFill patternType="solid">
          <fgColor rgb="FFDCFCE7"/>
          <bgColor rgb="FFDCFCE7"/>
        </patternFill>
      </fill>
    </dxf>
    <dxf>
      <numFmt numFmtId="180" formatCode="#,##0.00&quot; DH&quot;"/>
    </dxf>
    <dxf>
      <numFmt numFmtId="181" formatCode="#,##0.00&quot; €&quot;"/>
    </dxf>
    <dxf>
      <numFmt numFmtId="182" formatCode="&quot;$&quot;#,##0.00"/>
    </dxf>
    <dxf>
      <font>
        <color rgb="FF1D4ED8"/>
      </font>
      <fill>
        <patternFill patternType="solid">
          <fgColor rgb="FFDBEAFE"/>
          <bgColor rgb="FFDBEAFE"/>
        </patternFill>
      </fill>
    </dxf>
    <dxf>
      <font>
        <color rgb="FF92400E"/>
      </font>
      <fill>
        <patternFill patternType="solid">
          <fgColor rgb="FFFEF3C7"/>
          <bgColor rgb="FFFEF3C7"/>
        </patternFill>
      </fill>
    </dxf>
    <dxf>
      <font>
        <b val="1"/>
        <color rgb="FFB91C1C"/>
      </font>
    </dxf>
    <dxf>
      <font>
        <color rgb="FF475569"/>
      </font>
      <fill>
        <patternFill patternType="solid">
          <fgColor rgb="FFF1F5F9"/>
          <bgColor rgb="FFF1F5F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TRS par poste</a:t>
            </a:r>
          </a:p>
        </rich>
      </tx>
    </title>
    <plotArea>
      <barChart>
        <barDir val="col"/>
        <grouping val="clustered"/>
        <ser>
          <idx val="0"/>
          <order val="0"/>
          <tx>
            <strRef>
              <f>'Tableau de bord'!E12</f>
            </strRef>
          </tx>
          <spPr>
            <a:solidFill xmlns:a="http://schemas.openxmlformats.org/drawingml/2006/main">
              <a:srgbClr val="0369A1"/>
            </a:solidFill>
            <a:ln xmlns:a="http://schemas.openxmlformats.org/drawingml/2006/main">
              <a:solidFill>
                <a:srgbClr val="0369A1"/>
              </a:solidFill>
              <a:prstDash val="solid"/>
            </a:ln>
          </spPr>
          <cat>
            <numRef>
              <f>'Tableau de bord'!$B$13:$B$20</f>
            </numRef>
          </cat>
          <val>
            <numRef>
              <f>'Tableau de bord'!$E$13:$E$20</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TRS par jour</a:t>
            </a:r>
          </a:p>
        </rich>
      </tx>
    </title>
    <plotArea>
      <barChart>
        <barDir val="col"/>
        <grouping val="clustered"/>
        <ser>
          <idx val="0"/>
          <order val="0"/>
          <tx>
            <strRef>
              <f>'Synthèse'!M55</f>
            </strRef>
          </tx>
          <spPr>
            <a:solidFill xmlns:a="http://schemas.openxmlformats.org/drawingml/2006/main">
              <a:srgbClr val="0369A1"/>
            </a:solidFill>
            <a:ln xmlns:a="http://schemas.openxmlformats.org/drawingml/2006/main">
              <a:solidFill>
                <a:srgbClr val="0369A1"/>
              </a:solidFill>
              <a:prstDash val="solid"/>
            </a:ln>
          </spPr>
          <cat>
            <numRef>
              <f>'Synthèse'!$A$56:$A$86</f>
            </numRef>
          </cat>
          <val>
            <numRef>
              <f>'Synthèse'!$M$56:$M$86</f>
            </numRef>
          </val>
        </ser>
        <gapWidth val="40"/>
        <axId val="10"/>
        <axId val="100"/>
      </barChart>
      <catAx>
        <axId val="10"/>
        <scaling>
          <orientation val="minMax"/>
        </scaling>
        <delete val="0"/>
        <axPos val="l"/>
        <numFmt formatCode="dd/mm"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Top 10 des causes (minutes)</a:t>
            </a:r>
          </a:p>
        </rich>
      </tx>
    </title>
    <plotArea>
      <barChart>
        <barDir val="bar"/>
        <grouping val="clustered"/>
        <ser>
          <idx val="0"/>
          <order val="0"/>
          <tx>
            <strRef>
              <f>'Pareto des arrêts'!E8</f>
            </strRef>
          </tx>
          <spPr>
            <a:solidFill xmlns:a="http://schemas.openxmlformats.org/drawingml/2006/main">
              <a:srgbClr val="0369A1"/>
            </a:solidFill>
            <a:ln xmlns:a="http://schemas.openxmlformats.org/drawingml/2006/main">
              <a:solidFill>
                <a:srgbClr val="0369A1"/>
              </a:solidFill>
              <a:prstDash val="solid"/>
            </a:ln>
          </spPr>
          <cat>
            <numRef>
              <f>'Pareto des arrêts'!$B$9:$B$18</f>
            </numRef>
          </cat>
          <val>
            <numRef>
              <f>'Pareto des arrêts'!$E$9:$E$18</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7</col>
      <colOff>0</colOff>
      <row>10</row>
      <rowOff>0</rowOff>
    </from>
    <ext cx="6120000" cy="237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24</row>
      <rowOff>0</rowOff>
    </from>
    <ext cx="10620000" cy="2448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10</col>
      <colOff>0</colOff>
      <row>6</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10.xml.rels><Relationships xmlns="http://schemas.openxmlformats.org/package/2006/relationships"><Relationship Type="http://schemas.openxmlformats.org/officeDocument/2006/relationships/hyperlink" Target="https://qualis-erp.com/register?utm_source=excel&amp;utm_medium=modele&amp;utm_campaign=suivi-de-production-excel" TargetMode="External" Id="rId1"/><Relationship Type="http://schemas.openxmlformats.org/officeDocument/2006/relationships/hyperlink" Target="https://qualis-erp.com/pricing?utm_source=excel&amp;utm_medium=modele&amp;utm_campaign=suivi-de-production-excel" TargetMode="External" Id="rId2"/><Relationship Type="http://schemas.openxmlformats.org/officeDocument/2006/relationships/hyperlink" Target="https://qualis-erp.com/?utm_source=excel&amp;utm_medium=modele&amp;utm_campaign=suivi-de-producti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9"/>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Suivi de production et TRS</t>
        </is>
      </c>
      <c r="C1" s="1" t="n"/>
      <c r="D1" s="1" t="n"/>
      <c r="E1" s="1" t="n"/>
    </row>
    <row r="2" ht="22" customHeight="1">
      <c r="A2" s="3" t="n"/>
      <c r="B2" s="4" t="inlineStr">
        <is>
          <t>Mode d'emploi. Lisez cette page une fois, puis travaillez dans « Saisie journalière » et « Arrêts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TRS, disponibilité, performance, qualité et rebuts valorisés de la période, TRS par poste et par jour, causes d'arrêt et saisies à revoir.</t>
        </is>
      </c>
      <c r="D6" s="9" t="n"/>
    </row>
    <row r="7" ht="30" customHeight="1">
      <c r="B7" s="10" t="inlineStr">
        <is>
          <t>→ Saisie journalière</t>
        </is>
      </c>
      <c r="C7" s="11" t="inlineStr">
        <is>
          <t>Une ligne par jour, par équipe et par poste : temps d'ouverture, pièces bonnes, rebuts, retouches. Le TRS de la ligne se calcule.</t>
        </is>
      </c>
      <c r="D7" s="12" t="n"/>
    </row>
    <row r="8" ht="30" customHeight="1">
      <c r="B8" s="7" t="inlineStr">
        <is>
          <t>→ Arrêts</t>
        </is>
      </c>
      <c r="C8" s="8" t="inlineStr">
        <is>
          <t>Le journal des arrêts : une ligne par arrêt, avec sa cause et sa durée en minutes.</t>
        </is>
      </c>
      <c r="D8" s="9" t="n"/>
    </row>
    <row r="9" ht="30" customHeight="1">
      <c r="B9" s="10" t="inlineStr">
        <is>
          <t>→ Synthèse</t>
        </is>
      </c>
      <c r="C9" s="11" t="inlineStr">
        <is>
          <t>Choisissez la période. TRS, TRG et temps cumulés par poste, par équipe et par jour.</t>
        </is>
      </c>
      <c r="D9" s="12" t="n"/>
    </row>
    <row r="10" ht="30" customHeight="1">
      <c r="B10" s="7" t="inlineStr">
        <is>
          <t>→ Pareto des arrêts</t>
        </is>
      </c>
      <c r="C10" s="8" t="inlineStr">
        <is>
          <t>Les causes d'arrêt non planifié classées de la plus longue à la plus courte, avec le pourcentage cumulé.</t>
        </is>
      </c>
      <c r="D10" s="9" t="n"/>
    </row>
    <row r="11" ht="20" customHeight="1">
      <c r="B11" s="10" t="inlineStr">
        <is>
          <t>→ Postes</t>
        </is>
      </c>
      <c r="C11" s="11" t="inlineStr">
        <is>
          <t>Vos machines ou lignes et leur cadence théorique en pièces par heure.</t>
        </is>
      </c>
      <c r="D11" s="12" t="n"/>
    </row>
    <row r="12" ht="30" customHeight="1">
      <c r="B12" s="7" t="inlineStr">
        <is>
          <t>→ Articles</t>
        </is>
      </c>
      <c r="C12" s="8" t="inlineStr">
        <is>
          <t>Facultatif : une cadence propre à un article et son coût unitaire pour valoriser les rebuts.</t>
        </is>
      </c>
      <c r="D12" s="9" t="n"/>
    </row>
    <row r="13" ht="30" customHeight="1">
      <c r="B13" s="10" t="inlineStr">
        <is>
          <t>→ Paramètres</t>
        </is>
      </c>
      <c r="C13" s="11" t="inlineStr">
        <is>
          <t>Entreprise, devise, objectif de TRS, équipes et horaires, liste des causes d'arrêt.</t>
        </is>
      </c>
      <c r="D13" s="12" t="n"/>
    </row>
    <row r="16" ht="22" customHeight="1">
      <c r="B16" s="5" t="inlineStr">
        <is>
          <t>Démarrer en 5 étapes</t>
        </is>
      </c>
      <c r="C16" s="6" t="n"/>
      <c r="D16" s="6" t="n"/>
    </row>
    <row r="17" ht="46" customHeight="1">
      <c r="B17" s="13" t="inlineStr">
        <is>
          <t>1. Paramètres</t>
        </is>
      </c>
      <c r="C17" s="14" t="inlineStr">
        <is>
          <t>Nom de l'entreprise, devise (MAD, EUR ou USD), objectif de TRS et seuil d'alerte. Vérifiez les équipes (début, fin, pause) et la liste des causes d'arrêt : chaque cause appartient à une famille, et la famille « Arrêt planifié » n'est pas comptée comme une perte de disponibilité.</t>
        </is>
      </c>
    </row>
    <row r="18" ht="32" customHeight="1">
      <c r="B18" s="13" t="inlineStr">
        <is>
          <t>2. Postes</t>
        </is>
      </c>
      <c r="C18" s="14" t="inlineStr">
        <is>
          <t>Une ligne par machine ou ligne de production, avec sa cadence théorique en pièces par heure : la cadence nominale du constructeur ou la meilleure cadence tenue sur une équipe complète, pas la cadence moyenne.</t>
        </is>
      </c>
    </row>
    <row r="19" ht="32" customHeight="1">
      <c r="B19" s="13" t="inlineStr">
        <is>
          <t>3. Articles (facultatif)</t>
        </is>
      </c>
      <c r="C19" s="14" t="inlineStr">
        <is>
          <t>Si un article tourne plus lentement ou plus vite que la cadence du poste, saisissez sa cadence. Saisissez son coût unitaire pour valoriser les rebuts.</t>
        </is>
      </c>
    </row>
    <row r="20" ht="46" customHeight="1">
      <c r="B20" s="13" t="inlineStr">
        <is>
          <t>4. Chaque jour</t>
        </is>
      </c>
      <c r="C20" s="14" t="inlineStr">
        <is>
          <t>À la fin de chaque équipe, une ligne dans « Saisie journalière » par poste qui était ouvert, puis une ligne dans « Arrêts » pour chaque arrêt. Laissez le temps d'ouverture vide : le fichier prend la durée de l'équipe.</t>
        </is>
      </c>
    </row>
    <row r="21" ht="32" customHeight="1">
      <c r="B21" s="13" t="inlineStr">
        <is>
          <t>5. Analyser</t>
        </is>
      </c>
      <c r="C21" s="14" t="inlineStr">
        <is>
          <t>Choisissez la période dans « Synthèse ». Le tableau de bord, la synthèse et le Pareto se mettent à jour seuls.</t>
        </is>
      </c>
    </row>
    <row r="23" ht="22" customHeight="1">
      <c r="B23" s="5" t="inlineStr">
        <is>
          <t>Les définitions (norme NF E60-182)</t>
        </is>
      </c>
      <c r="C23" s="6" t="n"/>
      <c r="D23" s="6" t="n"/>
    </row>
    <row r="24" ht="32" customHeight="1">
      <c r="B24" s="15" t="inlineStr">
        <is>
          <t>Temps d'ouverture</t>
        </is>
      </c>
      <c r="C24" s="14" t="inlineStr">
        <is>
          <t>Le temps pendant lequel le poste est ouvert à la production sur l'équipe : la durée de l'équipe, pause comprise.</t>
        </is>
      </c>
    </row>
    <row r="25" ht="32" customHeight="1">
      <c r="B25" s="15" t="inlineStr">
        <is>
          <t>Temps requis</t>
        </is>
      </c>
      <c r="C25" s="14" t="inlineStr">
        <is>
          <t>Temps d'ouverture moins les arrêts planifiés : la pause de l'équipe et les arrêts de la famille « Arrêt planifié » (maintenance préventive, réunion, nettoyage, essais).</t>
        </is>
      </c>
    </row>
    <row r="26" ht="32" customHeight="1">
      <c r="B26" s="15" t="inlineStr">
        <is>
          <t>Temps de fonctionnement</t>
        </is>
      </c>
      <c r="C26" s="14" t="inlineStr">
        <is>
          <t>Temps requis moins les arrêts non planifiés : pannes, réglages et changements de série, manque de matière ou de personnel, attentes qualité, organisation.</t>
        </is>
      </c>
    </row>
    <row r="27" ht="32" customHeight="1">
      <c r="B27" s="15" t="inlineStr">
        <is>
          <t>Temps net</t>
        </is>
      </c>
      <c r="C27" s="14" t="inlineStr">
        <is>
          <t>Pièces produites (bonnes + rebuts + retouches) x temps de cycle théorique. L'écart avec le temps de fonctionnement est la perte de cadence : micro-arrêts non notés, marche ralentie.</t>
        </is>
      </c>
    </row>
    <row r="28" ht="32" customHeight="1">
      <c r="B28" s="15" t="inlineStr">
        <is>
          <t>Temps utile</t>
        </is>
      </c>
      <c r="C28" s="14" t="inlineStr">
        <is>
          <t>Pièces bonnes du premier coup x temps de cycle théorique. Une pièce retouchée compte comme une perte de qualité.</t>
        </is>
      </c>
    </row>
    <row r="29" ht="18" customHeight="1">
      <c r="B29" s="15" t="inlineStr">
        <is>
          <t>Disponibilité</t>
        </is>
      </c>
      <c r="C29" s="14" t="inlineStr">
        <is>
          <t>Temps de fonctionnement / temps requis.</t>
        </is>
      </c>
    </row>
    <row r="30" ht="18" customHeight="1">
      <c r="B30" s="15" t="inlineStr">
        <is>
          <t>Performance</t>
        </is>
      </c>
      <c r="C30" s="14" t="inlineStr">
        <is>
          <t>Temps net / temps de fonctionnement.</t>
        </is>
      </c>
    </row>
    <row r="31" ht="18" customHeight="1">
      <c r="B31" s="15" t="inlineStr">
        <is>
          <t>Qualité</t>
        </is>
      </c>
      <c r="C31" s="14" t="inlineStr">
        <is>
          <t>Temps utile / temps net, soit pièces bonnes / pièces produites sur une ligne.</t>
        </is>
      </c>
    </row>
    <row r="32" ht="18" customHeight="1">
      <c r="B32" s="15" t="inlineStr">
        <is>
          <t>TRS</t>
        </is>
      </c>
      <c r="C32" s="14" t="inlineStr">
        <is>
          <t>Taux de rendement synthétique = temps utile / temps requis = disponibilité x performance x qualité.</t>
        </is>
      </c>
    </row>
    <row r="33" ht="32" customHeight="1">
      <c r="B33" s="15" t="inlineStr">
        <is>
          <t>TRG</t>
        </is>
      </c>
      <c r="C33" s="14" t="inlineStr">
        <is>
          <t>Taux de rendement global = temps utile / temps d'ouverture. Il compte aussi les arrêts planifiés. Le TRE (temps utile / temps total, 24 h sur 24) n'est pas calculé : il dépend de votre calendrier d'ouverture.</t>
        </is>
      </c>
    </row>
    <row r="34" ht="46" customHeight="1">
      <c r="B34" s="15" t="inlineStr">
        <is>
          <t>Sur une période</t>
        </is>
      </c>
      <c r="C34" s="14" t="inlineStr">
        <is>
          <t>Chaque taux est le rapport des temps cumulés, jamais la moyenne des pourcentages des lignes. Une équipe de 4 heures pèse deux fois moins qu'une équipe de 8 heures, et TRS = disponibilité x performance x qualité reste exact.</t>
        </is>
      </c>
    </row>
    <row r="36" ht="22" customHeight="1">
      <c r="B36" s="5" t="inlineStr">
        <is>
          <t>Couleurs et contrôles</t>
        </is>
      </c>
      <c r="C36" s="6" t="n"/>
      <c r="D36" s="6" t="n"/>
    </row>
    <row r="37" ht="18" customHeight="1">
      <c r="B37" s="15" t="inlineStr">
        <is>
          <t>Cellules blanches</t>
        </is>
      </c>
      <c r="C37" s="14" t="inlineStr">
        <is>
          <t>À remplir par vous.</t>
        </is>
      </c>
    </row>
    <row r="38" ht="18" customHeight="1">
      <c r="B38" s="15" t="inlineStr">
        <is>
          <t>Cellules grises</t>
        </is>
      </c>
      <c r="C38" s="14" t="inlineStr">
        <is>
          <t>Calculées par une formule. Ne tapez pas dedans.</t>
        </is>
      </c>
    </row>
    <row r="39" ht="60" customHeight="1">
      <c r="B39" s="15" t="inlineStr">
        <is>
          <t>Colonne Contrôle</t>
        </is>
      </c>
      <c r="C39" s="14" t="inlineStr">
        <is>
          <t>Chaque ligne est vérifiée : date, équipe, poste ou article inconnus, doublon du même jour, équipe et poste, quantité négative ou décimale, arrêts plus longs que l'équipe, pièces déclarées sans temps de marche. Une ligne en rouge n'est pas comptée. En orange : la ligne est comptée mais mérite un regard (aucune pièce déclarée, cadence dépassée, arrêt sans saisie le même jour). Une ligne correcte affiche OK.</t>
        </is>
      </c>
    </row>
    <row r="40" ht="32" customHeight="1">
      <c r="B40" s="15" t="inlineStr">
        <is>
          <t>Niveau</t>
        </is>
      </c>
      <c r="C40" s="14" t="inlineStr">
        <is>
          <t>Bon : TRS au moins égal à l'objectif. À surveiller : entre le seuil d'alerte et l'objectif. Faible : sous le seuil d'alerte. Les saisies faibles remontent dans le tableau de bord, la plus basse en premier.</t>
        </is>
      </c>
    </row>
    <row r="42" ht="22" customHeight="1">
      <c r="B42" s="5" t="inlineStr">
        <is>
          <t>Bonnes pratiques et limites</t>
        </is>
      </c>
      <c r="C42" s="6" t="n"/>
      <c r="D42" s="6" t="n"/>
    </row>
    <row r="43" ht="32" customHeight="1">
      <c r="B43" s="15" t="inlineStr">
        <is>
          <t>Cadence théorique</t>
        </is>
      </c>
      <c r="C43" s="14" t="inlineStr">
        <is>
          <t>Si une ligne affiche « Cadence dépassée », la cadence du poste ou de l'article est trop basse : corrigez-la, sinon la performance dépasse 100 % et le TRS est faux.</t>
        </is>
      </c>
    </row>
    <row r="44" ht="32" customHeight="1">
      <c r="B44" s="15" t="inlineStr">
        <is>
          <t>Notez les arrêts</t>
        </is>
      </c>
      <c r="C44" s="14" t="inlineStr">
        <is>
          <t>Un arrêt de plus de 5 minutes qui n'est pas noté se retrouve dans la perte de performance. Fixez une règle simple pour les opérateurs, par exemple noter tout arrêt de 5 minutes ou plus.</t>
        </is>
      </c>
    </row>
    <row r="45" ht="46" customHeight="1">
      <c r="B45" s="15" t="inlineStr">
        <is>
          <t>Plusieurs OF sur une équipe</t>
        </is>
      </c>
      <c r="C45" s="14" t="inlineStr">
        <is>
          <t>Une ligne par poste et par équipe. Si l'équipe a changé d'OF, saisissez l'article principal et regroupez les quantités, ou saisissez l'article qui a la cadence la plus juste. Le changement de série va dans « Arrêts ».</t>
        </is>
      </c>
    </row>
    <row r="46" ht="46" customHeight="1">
      <c r="B46" s="15" t="inlineStr">
        <is>
          <t>Capacité</t>
        </is>
      </c>
      <c r="C46" s="14" t="inlineStr">
        <is>
          <t>2000 lignes de saisie, 3000 arrêts, 30 postes, 500 articles, 8 équipes et 40 causes. Pour 6 postes en 2 équipes, 2 000 lignes couvrent environ 8 mois. Le tableau de bord montre les 31 derniers jours de production de la période.</t>
        </is>
      </c>
    </row>
    <row r="47" ht="32" customHeight="1">
      <c r="B47" s="15" t="inlineStr">
        <is>
          <t>Compatibilité</t>
        </is>
      </c>
      <c r="C47" s="14" t="inlineStr">
        <is>
          <t>Excel 2010 et suivants (Windows, Mac), Excel en ligne, LibreOffice Calc et Google Sheets. Aucune macro, aucune feuille protégée.</t>
        </is>
      </c>
    </row>
    <row r="49">
      <c r="B49" s="16" t="inlineStr">
        <is>
          <t>Saisie</t>
        </is>
      </c>
      <c r="C49" s="17" t="inlineStr">
        <is>
          <t>Calcul auto</t>
        </is>
      </c>
    </row>
  </sheetData>
  <mergeCells count="33">
    <mergeCell ref="C34:D34"/>
    <mergeCell ref="C6:D6"/>
    <mergeCell ref="C24:D24"/>
    <mergeCell ref="C30:D30"/>
    <mergeCell ref="C33:D33"/>
    <mergeCell ref="C45:D45"/>
    <mergeCell ref="C26:D26"/>
    <mergeCell ref="C20:D20"/>
    <mergeCell ref="C29:D29"/>
    <mergeCell ref="C10:D10"/>
    <mergeCell ref="C47:D47"/>
    <mergeCell ref="C25:D25"/>
    <mergeCell ref="C44:D44"/>
    <mergeCell ref="C40:D40"/>
    <mergeCell ref="C9:D9"/>
    <mergeCell ref="C31:D31"/>
    <mergeCell ref="C43:D43"/>
    <mergeCell ref="C12:D12"/>
    <mergeCell ref="C46:D46"/>
    <mergeCell ref="C21:D21"/>
    <mergeCell ref="C11:D11"/>
    <mergeCell ref="C27:D27"/>
    <mergeCell ref="C17:D17"/>
    <mergeCell ref="C39:D39"/>
    <mergeCell ref="C8:D8"/>
    <mergeCell ref="C32:D32"/>
    <mergeCell ref="C7:D7"/>
    <mergeCell ref="C38:D38"/>
    <mergeCell ref="C19:D19"/>
    <mergeCell ref="C37:D37"/>
    <mergeCell ref="C28:D28"/>
    <mergeCell ref="C13:D13"/>
    <mergeCell ref="C18:D18"/>
  </mergeCells>
  <hyperlinks>
    <hyperlink ref="B6" location="'Tableau de bord'!A1"/>
    <hyperlink ref="B7" location="'Saisie journalière'!A1"/>
    <hyperlink ref="B8" location="'Arrêts'!A1"/>
    <hyperlink ref="B9" location="'Synthèse'!A1"/>
    <hyperlink ref="B10" location="'Pareto des arrêts'!A1"/>
    <hyperlink ref="B11" location="'Postes'!A1"/>
    <hyperlink ref="B12" location="'Articles'!A1"/>
    <hyperlink ref="B13" location="'Paramètres'!A1"/>
    <hyperlink ref="B17" location="'Paramètres'!A1"/>
    <hyperlink ref="B18" location="'Postes'!A1"/>
    <hyperlink ref="B19" location="'Articles'!A1"/>
    <hyperlink ref="B20" location="'Saisie journalière'!A1"/>
    <hyperlink ref="B21"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52"/>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"Suivi de production"&amp;IF(p_company&lt;&gt;""," : "&amp;p_company,"")</f>
        <v>Suivi de production : Atelier Exemple</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 Saisie journalière » et « Arrêts », sur la période choisie dans « Synthèse ».</t>
        </is>
      </c>
      <c r="C2" s="3" t="n"/>
      <c r="D2" s="3" t="n"/>
      <c r="E2" s="3" t="n"/>
      <c r="F2" s="3" t="n"/>
      <c r="G2" s="3" t="n"/>
      <c r="H2" s="3" t="n"/>
      <c r="I2" s="3" t="n"/>
      <c r="J2" s="3" t="n"/>
      <c r="K2" s="3" t="n"/>
      <c r="L2" s="3" t="n"/>
      <c r="M2" s="3" t="n"/>
      <c r="N2" s="3" t="n"/>
      <c r="O2" s="3" t="n"/>
      <c r="P2" s="3" t="n"/>
    </row>
    <row r="3" ht="16" customHeight="1">
      <c r="B3" s="19" t="inlineStr">
        <is>
          <t>Période du</t>
        </is>
      </c>
      <c r="C3" s="20">
        <f>p_from</f>
        <v>46286.0</v>
      </c>
      <c r="D3" s="21" t="inlineStr">
        <is>
          <t>au</t>
        </is>
      </c>
      <c r="E3" s="20">
        <f>p_to</f>
        <v>46330.0</v>
      </c>
      <c r="G3" s="22" t="inlineStr">
        <is>
          <t>→ Changer la période</t>
        </is>
      </c>
    </row>
    <row r="5" ht="18" customHeight="1">
      <c r="B5" s="23" t="inlineStr">
        <is>
          <t>TRS</t>
        </is>
      </c>
      <c r="C5" s="24" t="n"/>
      <c r="D5" s="25" t="n"/>
      <c r="E5" s="26" t="inlineStr">
        <is>
          <t>DISPONIBILITÉ</t>
        </is>
      </c>
      <c r="F5" s="24" t="n"/>
      <c r="G5" s="25" t="n"/>
      <c r="H5" s="26" t="inlineStr">
        <is>
          <t>PERFORMANCE</t>
        </is>
      </c>
      <c r="I5" s="24" t="n"/>
      <c r="J5" s="25" t="n"/>
      <c r="K5" s="26" t="inlineStr">
        <is>
          <t>QUALITÉ</t>
        </is>
      </c>
      <c r="L5" s="24" t="n"/>
      <c r="M5" s="25" t="n"/>
      <c r="N5" s="27" t="inlineStr">
        <is>
          <t>REBUTS VALORISÉS</t>
        </is>
      </c>
      <c r="O5" s="24" t="n"/>
      <c r="P5" s="25" t="n"/>
    </row>
    <row r="6" ht="32" customHeight="1">
      <c r="B6" s="28">
        <f>'Synthèse'!M39</f>
        <v>0.73114917075301</v>
      </c>
      <c r="C6" s="29" t="n"/>
      <c r="D6" s="30" t="n"/>
      <c r="E6" s="31">
        <f>'Synthèse'!J39</f>
        <v>0.854734191001293</v>
      </c>
      <c r="F6" s="29" t="n"/>
      <c r="G6" s="30" t="n"/>
      <c r="H6" s="31">
        <f>'Synthèse'!K39</f>
        <v>0.871172824764874</v>
      </c>
      <c r="I6" s="29" t="n"/>
      <c r="J6" s="30" t="n"/>
      <c r="K6" s="31">
        <f>'Synthèse'!L39</f>
        <v>0.981907540569642</v>
      </c>
      <c r="L6" s="29" t="n"/>
      <c r="M6" s="30" t="n"/>
      <c r="N6" s="32">
        <f>'Synthèse'!O39</f>
        <v>53608.8</v>
      </c>
      <c r="O6" s="29" t="n"/>
      <c r="P6" s="30" t="n"/>
    </row>
    <row r="7" ht="16" customHeight="1">
      <c r="B7" s="33" t="str">
        <f>"Objectif : "&amp;ROUND(p_target*100,1)&amp;" %"</f>
        <v>Objectif : 75 %</v>
      </c>
      <c r="C7" s="9" t="n"/>
      <c r="D7" s="34" t="n"/>
      <c r="E7" s="35" t="inlineStr">
        <is>
          <t>Fonctionnement / temps requis</t>
        </is>
      </c>
      <c r="F7" s="9" t="n"/>
      <c r="G7" s="34" t="n"/>
      <c r="H7" s="35" t="inlineStr">
        <is>
          <t>Temps net / fonctionnement</t>
        </is>
      </c>
      <c r="I7" s="9" t="n"/>
      <c r="J7" s="34" t="n"/>
      <c r="K7" s="35" t="inlineStr">
        <is>
          <t>Temps utile / temps net</t>
        </is>
      </c>
      <c r="L7" s="9" t="n"/>
      <c r="M7" s="34" t="n"/>
      <c r="N7" s="36" t="str">
        <f>IF('Synthèse'!H39="","",'Synthèse'!H39&amp;" pièce(s) rebutée(s)")</f>
        <v>2487 pièce(s) rebutée(s)</v>
      </c>
      <c r="O7" s="9" t="n"/>
      <c r="P7" s="34" t="n"/>
    </row>
    <row r="9">
      <c r="B9" s="37" t="str">
        <f>IF((COUNTIF(sj_check,"?*")-SUM(sj_counted))+(COUNTIF(st_check,"?*")-COUNTIF(st_check,"OK")-COUNTIF(st_check,"Pas de saisie journalière ce jour-là"))&gt;0,(COUNTIF(sj_check,"?*")-SUM(sj_counted))&amp;" saisie(s) et "&amp;(COUNTIF(st_check,"?*")-COUNTIF(st_check,"OK")-COUNTIF(st_check,"Pas de saisie journalière ce jour-là"))&amp;" arrêt(s) en erreur ne sont pas comptés : filtrez la colonne Contrôle pour les corriger.",IF(COUNTIF(sj_check,"?*")=0,"Aucune saisie pour l'instant : commencez par « Saisie journalière ».","Toutes les lignes saisies sont valides."))</f>
        <v>Toutes les lignes saisies sont valides.</v>
      </c>
    </row>
    <row r="11" ht="22" customHeight="1">
      <c r="B11" s="5" t="inlineStr">
        <is>
          <t>TRS par poste</t>
        </is>
      </c>
      <c r="C11" s="6" t="n"/>
      <c r="D11" s="6" t="n"/>
      <c r="E11" s="6" t="n"/>
      <c r="F11" s="6" t="n"/>
    </row>
    <row r="12" ht="20" customHeight="1">
      <c r="B12" s="38" t="inlineStr">
        <is>
          <t>Poste</t>
        </is>
      </c>
      <c r="C12" s="38" t="inlineStr">
        <is>
          <t>Nom</t>
        </is>
      </c>
      <c r="D12" s="39" t="n"/>
      <c r="E12" s="38" t="inlineStr">
        <is>
          <t>TRS</t>
        </is>
      </c>
      <c r="F12" s="38" t="inlineStr">
        <is>
          <t>Niveau</t>
        </is>
      </c>
    </row>
    <row r="13">
      <c r="B13" s="40" t="str">
        <f>IFERROR(INDEX('Synthèse'!$A$9:$A$38,MATCH(1,'Synthèse'!$S$9:$S$38,0))&amp;"","")</f>
        <v>TOUR1</v>
      </c>
      <c r="C13" s="41" t="str">
        <f>IFERROR(INDEX('Synthèse'!$B$9:$B$38,MATCH(1,'Synthèse'!$S$9:$S$38,0))&amp;"","")</f>
        <v>Tour CN 1</v>
      </c>
      <c r="D13" s="40" t="n"/>
      <c r="E13" s="42">
        <f>IFERROR(INDEX('Synthèse'!$M$9:$M$38,MATCH(1,'Synthèse'!$S$9:$S$38,0)),"")</f>
        <v>0.809633812457221</v>
      </c>
      <c r="F13" s="40" t="str">
        <f>IFERROR(INDEX('Synthèse'!$P$9:$P$38,MATCH(1,'Synthèse'!$S$9:$S$38,0))&amp;"","")</f>
        <v>Bon</v>
      </c>
    </row>
    <row r="14">
      <c r="B14" s="40" t="str">
        <f>IFERROR(INDEX('Synthèse'!$A$9:$A$38,MATCH(2,'Synthèse'!$S$9:$S$38,0))&amp;"","")</f>
        <v>TOUR2</v>
      </c>
      <c r="C14" s="41" t="str">
        <f>IFERROR(INDEX('Synthèse'!$B$9:$B$38,MATCH(2,'Synthèse'!$S$9:$S$38,0))&amp;"","")</f>
        <v>Tour CN 2</v>
      </c>
      <c r="D14" s="40" t="n"/>
      <c r="E14" s="42">
        <f>IFERROR(INDEX('Synthèse'!$M$9:$M$38,MATCH(2,'Synthèse'!$S$9:$S$38,0)),"")</f>
        <v>0.710967104857125</v>
      </c>
      <c r="F14" s="40" t="str">
        <f>IFERROR(INDEX('Synthèse'!$P$9:$P$38,MATCH(2,'Synthèse'!$S$9:$S$38,0))&amp;"","")</f>
        <v>À surveiller</v>
      </c>
    </row>
    <row r="15">
      <c r="B15" s="40" t="str">
        <f>IFERROR(INDEX('Synthèse'!$A$9:$A$38,MATCH(3,'Synthèse'!$S$9:$S$38,0))&amp;"","")</f>
        <v>USIN</v>
      </c>
      <c r="C15" s="41" t="str">
        <f>IFERROR(INDEX('Synthèse'!$B$9:$B$38,MATCH(3,'Synthèse'!$S$9:$S$38,0))&amp;"","")</f>
        <v>Centre d'usinage</v>
      </c>
      <c r="D15" s="40" t="n"/>
      <c r="E15" s="42">
        <f>IFERROR(INDEX('Synthèse'!$M$9:$M$38,MATCH(3,'Synthèse'!$S$9:$S$38,0)),"")</f>
        <v>0.735881542699725</v>
      </c>
      <c r="F15" s="40" t="str">
        <f>IFERROR(INDEX('Synthèse'!$P$9:$P$38,MATCH(3,'Synthèse'!$S$9:$S$38,0))&amp;"","")</f>
        <v>À surveiller</v>
      </c>
    </row>
    <row r="16">
      <c r="B16" s="40" t="str">
        <f>IFERROR(INDEX('Synthèse'!$A$9:$A$38,MATCH(4,'Synthèse'!$S$9:$S$38,0))&amp;"","")</f>
        <v>PRESSE</v>
      </c>
      <c r="C16" s="41" t="str">
        <f>IFERROR(INDEX('Synthèse'!$B$9:$B$38,MATCH(4,'Synthèse'!$S$9:$S$38,0))&amp;"","")</f>
        <v>Presse à découper 160 t</v>
      </c>
      <c r="D16" s="40" t="n"/>
      <c r="E16" s="42">
        <f>IFERROR(INDEX('Synthèse'!$M$9:$M$38,MATCH(4,'Synthèse'!$S$9:$S$38,0)),"")</f>
        <v>0.841472131472132</v>
      </c>
      <c r="F16" s="40" t="str">
        <f>IFERROR(INDEX('Synthèse'!$P$9:$P$38,MATCH(4,'Synthèse'!$S$9:$S$38,0))&amp;"","")</f>
        <v>Bon</v>
      </c>
    </row>
    <row r="17">
      <c r="B17" s="40" t="str">
        <f>IFERROR(INDEX('Synthèse'!$A$9:$A$38,MATCH(5,'Synthèse'!$S$9:$S$38,0))&amp;"","")</f>
        <v>PLIE</v>
      </c>
      <c r="C17" s="41" t="str">
        <f>IFERROR(INDEX('Synthèse'!$B$9:$B$38,MATCH(5,'Synthèse'!$S$9:$S$38,0))&amp;"","")</f>
        <v>Presse plieuse</v>
      </c>
      <c r="D17" s="40" t="n"/>
      <c r="E17" s="42">
        <f>IFERROR(INDEX('Synthèse'!$M$9:$M$38,MATCH(5,'Synthèse'!$S$9:$S$38,0)),"")</f>
        <v>0.674330174330174</v>
      </c>
      <c r="F17" s="40" t="str">
        <f>IFERROR(INDEX('Synthèse'!$P$9:$P$38,MATCH(5,'Synthèse'!$S$9:$S$38,0))&amp;"","")</f>
        <v>À surveiller</v>
      </c>
    </row>
    <row r="18">
      <c r="B18" s="40" t="str">
        <f>IFERROR(INDEX('Synthèse'!$A$9:$A$38,MATCH(6,'Synthèse'!$S$9:$S$38,0))&amp;"","")</f>
        <v>SOUD</v>
      </c>
      <c r="C18" s="41" t="str">
        <f>IFERROR(INDEX('Synthèse'!$B$9:$B$38,MATCH(6,'Synthèse'!$S$9:$S$38,0))&amp;"","")</f>
        <v>Robot de soudure</v>
      </c>
      <c r="D18" s="40" t="n"/>
      <c r="E18" s="42">
        <f>IFERROR(INDEX('Synthèse'!$M$9:$M$38,MATCH(6,'Synthèse'!$S$9:$S$38,0)),"")</f>
        <v>0.644045174537988</v>
      </c>
      <c r="F18" s="40" t="str">
        <f>IFERROR(INDEX('Synthèse'!$P$9:$P$38,MATCH(6,'Synthèse'!$S$9:$S$38,0))&amp;"","")</f>
        <v>À surveiller</v>
      </c>
    </row>
    <row r="19">
      <c r="B19" s="40" t="str">
        <f>IFERROR(INDEX('Synthèse'!$A$9:$A$38,MATCH(7,'Synthèse'!$S$9:$S$38,0))&amp;"","")</f>
        <v/>
      </c>
      <c r="C19" s="41" t="str">
        <f>IFERROR(INDEX('Synthèse'!$B$9:$B$38,MATCH(7,'Synthèse'!$S$9:$S$38,0))&amp;"","")</f>
        <v/>
      </c>
      <c r="D19" s="40" t="n"/>
      <c r="E19" s="42" t="str">
        <f>IFERROR(INDEX('Synthèse'!$M$9:$M$38,MATCH(7,'Synthèse'!$S$9:$S$38,0)),"")</f>
        <v/>
      </c>
      <c r="F19" s="40" t="str">
        <f>IFERROR(INDEX('Synthèse'!$P$9:$P$38,MATCH(7,'Synthèse'!$S$9:$S$38,0))&amp;"","")</f>
        <v/>
      </c>
    </row>
    <row r="20">
      <c r="B20" s="40" t="str">
        <f>IFERROR(INDEX('Synthèse'!$A$9:$A$38,MATCH(8,'Synthèse'!$S$9:$S$38,0))&amp;"","")</f>
        <v/>
      </c>
      <c r="C20" s="41" t="str">
        <f>IFERROR(INDEX('Synthèse'!$B$9:$B$38,MATCH(8,'Synthèse'!$S$9:$S$38,0))&amp;"","")</f>
        <v/>
      </c>
      <c r="D20" s="40" t="n"/>
      <c r="E20" s="42" t="str">
        <f>IFERROR(INDEX('Synthèse'!$M$9:$M$38,MATCH(8,'Synthèse'!$S$9:$S$38,0)),"")</f>
        <v/>
      </c>
      <c r="F20" s="40" t="str">
        <f>IFERROR(INDEX('Synthèse'!$P$9:$P$38,MATCH(8,'Synthèse'!$S$9:$S$38,0))&amp;"","")</f>
        <v/>
      </c>
    </row>
    <row r="21">
      <c r="B21" s="37" t="str">
        <f>IF(COUNT('Synthèse'!$S$9:$S$38)&gt;8,"Et "&amp;(COUNT('Synthèse'!$S$9:$S$38)-8)&amp;" autre(s) poste(s) : voir « Synthèse ».","")</f>
        <v/>
      </c>
    </row>
    <row r="24" ht="22" customHeight="1">
      <c r="B24" s="5" t="inlineStr">
        <is>
          <t>TRS par jour : les 31 derniers jours de production</t>
        </is>
      </c>
      <c r="C24" s="6" t="n"/>
      <c r="D24" s="6" t="n"/>
      <c r="E24" s="6" t="n"/>
      <c r="F24" s="6" t="n"/>
      <c r="G24" s="6" t="n"/>
      <c r="H24" s="6" t="n"/>
      <c r="I24" s="6" t="n"/>
      <c r="J24" s="6" t="n"/>
      <c r="K24" s="6" t="n"/>
      <c r="L24" s="6" t="n"/>
      <c r="M24" s="6" t="n"/>
      <c r="N24" s="6" t="n"/>
      <c r="O24" s="6" t="n"/>
      <c r="P24" s="6" t="n"/>
    </row>
    <row r="40" ht="22" customHeight="1">
      <c r="B40" s="5" t="inlineStr">
        <is>
          <t>Principales causes d'arrêt non planifié</t>
        </is>
      </c>
      <c r="C40" s="6" t="n"/>
      <c r="D40" s="6" t="n"/>
      <c r="E40" s="6" t="n"/>
      <c r="F40" s="6" t="n"/>
      <c r="G40" s="6" t="n"/>
      <c r="I40" s="5" t="inlineStr">
        <is>
          <t>Saisies sous le seuil d'alerte (les 10 plus faibles)</t>
        </is>
      </c>
      <c r="J40" s="6" t="n"/>
      <c r="K40" s="6" t="n"/>
      <c r="L40" s="6" t="n"/>
      <c r="M40" s="6" t="n"/>
      <c r="N40" s="6" t="n"/>
      <c r="O40" s="6" t="n"/>
      <c r="P40" s="6" t="n"/>
    </row>
    <row r="41" ht="20" customHeight="1">
      <c r="B41" s="38" t="inlineStr">
        <is>
          <t>Cause</t>
        </is>
      </c>
      <c r="C41" s="43" t="n"/>
      <c r="D41" s="39" t="n"/>
      <c r="E41" s="38" t="inlineStr">
        <is>
          <t>Famille</t>
        </is>
      </c>
      <c r="F41" s="39" t="n"/>
      <c r="G41" s="38" t="inlineStr">
        <is>
          <t>Heures</t>
        </is>
      </c>
      <c r="I41" s="38" t="inlineStr">
        <is>
          <t>Date</t>
        </is>
      </c>
      <c r="J41" s="38" t="inlineStr">
        <is>
          <t>Équipe</t>
        </is>
      </c>
      <c r="K41" s="38" t="inlineStr">
        <is>
          <t>Poste</t>
        </is>
      </c>
      <c r="L41" s="38" t="inlineStr">
        <is>
          <t>N° OF</t>
        </is>
      </c>
      <c r="M41" s="39" t="n"/>
      <c r="N41" s="38" t="inlineStr">
        <is>
          <t>TRS</t>
        </is>
      </c>
      <c r="O41" s="38" t="inlineStr">
        <is>
          <t>Perte principale</t>
        </is>
      </c>
      <c r="P41" s="39" t="n"/>
    </row>
    <row r="42" ht="18" customHeight="1">
      <c r="B42" s="44" t="str">
        <f>IFERROR(INDEX('Pareto des arrêts'!$U$9:$U$48,MATCH(1,'Pareto des arrêts'!$AF$9:$AF$48,0))&amp;"","")</f>
        <v>Changement de série</v>
      </c>
      <c r="C42" s="45" t="n"/>
      <c r="D42" s="45" t="n"/>
      <c r="E42" s="44" t="str">
        <f>IFERROR(INDEX('Pareto des arrêts'!$V$9:$V$48,MATCH(1,'Pareto des arrêts'!$AF$9:$AF$48,0))&amp;"","")</f>
        <v>Réglage et changement de série</v>
      </c>
      <c r="F42" s="45" t="n"/>
      <c r="G42" s="46">
        <f>IFERROR(INDEX('Pareto des arrêts'!$AC$9:$AC$48,MATCH(1,'Pareto des arrêts'!$AF$9:$AF$48,0))/60,"")</f>
        <v>153.083333333333</v>
      </c>
      <c r="I42" s="47">
        <f>IFERROR(INDEX(sj_date,MATCH(1,sj_arank,0)),"")</f>
        <v>46309.0</v>
      </c>
      <c r="J42" s="48" t="str">
        <f>IFERROR(INDEX(sj_eq,MATCH(1,sj_arank,0))&amp;"","")</f>
        <v>Après-midi</v>
      </c>
      <c r="K42" s="49" t="str">
        <f>IFERROR(INDEX(sj_po,MATCH(1,sj_arank,0))&amp;"","")</f>
        <v>SOUD</v>
      </c>
      <c r="L42" s="48" t="str">
        <f>IFERROR(INDEX(sj_of,MATCH(1,sj_arank,0))&amp;"","")</f>
        <v>OF-2610-151</v>
      </c>
      <c r="M42" s="49" t="n"/>
      <c r="N42" s="50">
        <f>IFERROR(INDEX(sj_trs,MATCH(1,sj_arank,0)),"")</f>
        <v>0.0</v>
      </c>
      <c r="O42" s="49" t="str">
        <f>IFERROR(INDEX(sj_loss,MATCH(1,sj_arank,0))&amp;"","")</f>
        <v>Disponibilité</v>
      </c>
      <c r="P42" s="49" t="n"/>
    </row>
    <row r="43" ht="18" customHeight="1">
      <c r="B43" s="44" t="str">
        <f>IFERROR(INDEX('Pareto des arrêts'!$U$9:$U$48,MATCH(2,'Pareto des arrêts'!$AF$9:$AF$48,0))&amp;"","")</f>
        <v>Attente matière</v>
      </c>
      <c r="C43" s="45" t="n"/>
      <c r="D43" s="45" t="n"/>
      <c r="E43" s="44" t="str">
        <f>IFERROR(INDEX('Pareto des arrêts'!$V$9:$V$48,MATCH(2,'Pareto des arrêts'!$AF$9:$AF$48,0))&amp;"","")</f>
        <v>Manque matière</v>
      </c>
      <c r="F43" s="45" t="n"/>
      <c r="G43" s="46">
        <f>IFERROR(INDEX('Pareto des arrêts'!$AC$9:$AC$48,MATCH(2,'Pareto des arrêts'!$AF$9:$AF$48,0))/60,"")</f>
        <v>34.9833333333333</v>
      </c>
      <c r="I43" s="47">
        <f>IFERROR(INDEX(sj_date,MATCH(2,sj_arank,0)),"")</f>
        <v>46287.0</v>
      </c>
      <c r="J43" s="48" t="str">
        <f>IFERROR(INDEX(sj_eq,MATCH(2,sj_arank,0))&amp;"","")</f>
        <v>Après-midi</v>
      </c>
      <c r="K43" s="49" t="str">
        <f>IFERROR(INDEX(sj_po,MATCH(2,sj_arank,0))&amp;"","")</f>
        <v>TOUR2</v>
      </c>
      <c r="L43" s="48" t="str">
        <f>IFERROR(INDEX(sj_of,MATCH(2,sj_arank,0))&amp;"","")</f>
        <v>OF-2609-113</v>
      </c>
      <c r="M43" s="49" t="n"/>
      <c r="N43" s="50">
        <f>IFERROR(INDEX(sj_trs,MATCH(2,sj_arank,0)),"")</f>
        <v>0.124444444444444</v>
      </c>
      <c r="O43" s="49" t="str">
        <f>IFERROR(INDEX(sj_loss,MATCH(2,sj_arank,0))&amp;"","")</f>
        <v>Disponibilité</v>
      </c>
      <c r="P43" s="49" t="n"/>
    </row>
    <row r="44" ht="18" customHeight="1">
      <c r="B44" s="44" t="str">
        <f>IFERROR(INDEX('Pareto des arrêts'!$U$9:$U$48,MATCH(3,'Pareto des arrêts'!$AF$9:$AF$48,0))&amp;"","")</f>
        <v>Absence opérateur</v>
      </c>
      <c r="C44" s="45" t="n"/>
      <c r="D44" s="45" t="n"/>
      <c r="E44" s="44" t="str">
        <f>IFERROR(INDEX('Pareto des arrêts'!$V$9:$V$48,MATCH(3,'Pareto des arrêts'!$AF$9:$AF$48,0))&amp;"","")</f>
        <v>Manque personnel</v>
      </c>
      <c r="F44" s="45" t="n"/>
      <c r="G44" s="46">
        <f>IFERROR(INDEX('Pareto des arrêts'!$AC$9:$AC$48,MATCH(3,'Pareto des arrêts'!$AF$9:$AF$48,0))/60,"")</f>
        <v>33.05</v>
      </c>
      <c r="I44" s="47">
        <f>IFERROR(INDEX(sj_date,MATCH(3,sj_arank,0)),"")</f>
        <v>46324.0</v>
      </c>
      <c r="J44" s="48" t="str">
        <f>IFERROR(INDEX(sj_eq,MATCH(3,sj_arank,0))&amp;"","")</f>
        <v>Matin</v>
      </c>
      <c r="K44" s="49" t="str">
        <f>IFERROR(INDEX(sj_po,MATCH(3,sj_arank,0))&amp;"","")</f>
        <v>SOUD</v>
      </c>
      <c r="L44" s="48" t="str">
        <f>IFERROR(INDEX(sj_of,MATCH(3,sj_arank,0))&amp;"","")</f>
        <v>OF-2610-187</v>
      </c>
      <c r="M44" s="49" t="n"/>
      <c r="N44" s="50">
        <f>IFERROR(INDEX(sj_trs,MATCH(3,sj_arank,0)),"")</f>
        <v>0.128571428571429</v>
      </c>
      <c r="O44" s="49" t="str">
        <f>IFERROR(INDEX(sj_loss,MATCH(3,sj_arank,0))&amp;"","")</f>
        <v>Disponibilité</v>
      </c>
      <c r="P44" s="49" t="n"/>
    </row>
    <row r="45" ht="18" customHeight="1">
      <c r="B45" s="44" t="str">
        <f>IFERROR(INDEX('Pareto des arrêts'!$U$9:$U$48,MATCH(4,'Pareto des arrêts'!$AF$9:$AF$48,0))&amp;"","")</f>
        <v>Panne mécanique</v>
      </c>
      <c r="C45" s="45" t="n"/>
      <c r="D45" s="45" t="n"/>
      <c r="E45" s="44" t="str">
        <f>IFERROR(INDEX('Pareto des arrêts'!$V$9:$V$48,MATCH(4,'Pareto des arrêts'!$AF$9:$AF$48,0))&amp;"","")</f>
        <v>Panne</v>
      </c>
      <c r="F45" s="45" t="n"/>
      <c r="G45" s="46">
        <f>IFERROR(INDEX('Pareto des arrêts'!$AC$9:$AC$48,MATCH(4,'Pareto des arrêts'!$AF$9:$AF$48,0))/60,"")</f>
        <v>30.0</v>
      </c>
      <c r="I45" s="47">
        <f>IFERROR(INDEX(sj_date,MATCH(4,sj_arank,0)),"")</f>
        <v>46321.0</v>
      </c>
      <c r="J45" s="48" t="str">
        <f>IFERROR(INDEX(sj_eq,MATCH(4,sj_arank,0))&amp;"","")</f>
        <v>Matin</v>
      </c>
      <c r="K45" s="49" t="str">
        <f>IFERROR(INDEX(sj_po,MATCH(4,sj_arank,0))&amp;"","")</f>
        <v>USIN</v>
      </c>
      <c r="L45" s="48" t="str">
        <f>IFERROR(INDEX(sj_of,MATCH(4,sj_arank,0))&amp;"","")</f>
        <v>OF-2610-186</v>
      </c>
      <c r="M45" s="49" t="n"/>
      <c r="N45" s="50">
        <f>IFERROR(INDEX(sj_trs,MATCH(4,sj_arank,0)),"")</f>
        <v>0.256410256410256</v>
      </c>
      <c r="O45" s="49" t="str">
        <f>IFERROR(INDEX(sj_loss,MATCH(4,sj_arank,0))&amp;"","")</f>
        <v>Disponibilité</v>
      </c>
      <c r="P45" s="49" t="n"/>
    </row>
    <row r="46" ht="18" customHeight="1">
      <c r="B46" s="44" t="str">
        <f>IFERROR(INDEX('Pareto des arrêts'!$U$9:$U$48,MATCH(5,'Pareto des arrêts'!$AF$9:$AF$48,0))&amp;"","")</f>
        <v>Panne électrique</v>
      </c>
      <c r="C46" s="45" t="n"/>
      <c r="D46" s="45" t="n"/>
      <c r="E46" s="44" t="str">
        <f>IFERROR(INDEX('Pareto des arrêts'!$V$9:$V$48,MATCH(5,'Pareto des arrêts'!$AF$9:$AF$48,0))&amp;"","")</f>
        <v>Panne</v>
      </c>
      <c r="F46" s="45" t="n"/>
      <c r="G46" s="46">
        <f>IFERROR(INDEX('Pareto des arrêts'!$AC$9:$AC$48,MATCH(5,'Pareto des arrêts'!$AF$9:$AF$48,0))/60,"")</f>
        <v>16.2333333333333</v>
      </c>
      <c r="I46" s="47">
        <f>IFERROR(INDEX(sj_date,MATCH(5,sj_arank,0)),"")</f>
        <v>46295.0</v>
      </c>
      <c r="J46" s="48" t="str">
        <f>IFERROR(INDEX(sj_eq,MATCH(5,sj_arank,0))&amp;"","")</f>
        <v>Après-midi</v>
      </c>
      <c r="K46" s="49" t="str">
        <f>IFERROR(INDEX(sj_po,MATCH(5,sj_arank,0))&amp;"","")</f>
        <v>USIN</v>
      </c>
      <c r="L46" s="48" t="str">
        <f>IFERROR(INDEX(sj_of,MATCH(5,sj_arank,0))&amp;"","")</f>
        <v>OF-2609-133</v>
      </c>
      <c r="M46" s="49" t="n"/>
      <c r="N46" s="50">
        <f>IFERROR(INDEX(sj_trs,MATCH(5,sj_arank,0)),"")</f>
        <v>0.277777777777778</v>
      </c>
      <c r="O46" s="49" t="str">
        <f>IFERROR(INDEX(sj_loss,MATCH(5,sj_arank,0))&amp;"","")</f>
        <v>Disponibilité</v>
      </c>
      <c r="P46" s="49" t="n"/>
    </row>
    <row r="47" ht="18" customHeight="1">
      <c r="B47" s="37" t="str">
        <f>IF(COUNT('Pareto des arrêts'!$AF$9:$AF$48)=0,"Aucun arrêt non planifié sur la période.","Classement complet : feuille « Pareto des arrêts ».")</f>
        <v>Classement complet : feuille « Pareto des arrêts ».</v>
      </c>
      <c r="I47" s="47">
        <f>IFERROR(INDEX(sj_date,MATCH(6,sj_arank,0)),"")</f>
        <v>46295.0</v>
      </c>
      <c r="J47" s="48" t="str">
        <f>IFERROR(INDEX(sj_eq,MATCH(6,sj_arank,0))&amp;"","")</f>
        <v>Matin</v>
      </c>
      <c r="K47" s="49" t="str">
        <f>IFERROR(INDEX(sj_po,MATCH(6,sj_arank,0))&amp;"","")</f>
        <v>SOUD</v>
      </c>
      <c r="L47" s="48" t="str">
        <f>IFERROR(INDEX(sj_of,MATCH(6,sj_arank,0))&amp;"","")</f>
        <v>OF-2609-115</v>
      </c>
      <c r="M47" s="49" t="n"/>
      <c r="N47" s="50">
        <f>IFERROR(INDEX(sj_trs,MATCH(6,sj_arank,0)),"")</f>
        <v>0.3</v>
      </c>
      <c r="O47" s="49" t="str">
        <f>IFERROR(INDEX(sj_loss,MATCH(6,sj_arank,0))&amp;"","")</f>
        <v>Disponibilité</v>
      </c>
      <c r="P47" s="49" t="n"/>
    </row>
    <row r="48" ht="18" customHeight="1">
      <c r="I48" s="47">
        <f>IFERROR(INDEX(sj_date,MATCH(7,sj_arank,0)),"")</f>
        <v>46318.0</v>
      </c>
      <c r="J48" s="48" t="str">
        <f>IFERROR(INDEX(sj_eq,MATCH(7,sj_arank,0))&amp;"","")</f>
        <v>Journée</v>
      </c>
      <c r="K48" s="49" t="str">
        <f>IFERROR(INDEX(sj_po,MATCH(7,sj_arank,0))&amp;"","")</f>
        <v>PLIE</v>
      </c>
      <c r="L48" s="48" t="str">
        <f>IFERROR(INDEX(sj_of,MATCH(7,sj_arank,0))&amp;"","")</f>
        <v>OF-2610-180</v>
      </c>
      <c r="M48" s="49" t="n"/>
      <c r="N48" s="50">
        <f>IFERROR(INDEX(sj_trs,MATCH(7,sj_arank,0)),"")</f>
        <v>0.339393939393939</v>
      </c>
      <c r="O48" s="49" t="str">
        <f>IFERROR(INDEX(sj_loss,MATCH(7,sj_arank,0))&amp;"","")</f>
        <v>Disponibilité</v>
      </c>
      <c r="P48" s="49" t="n"/>
    </row>
    <row r="49" ht="18" customHeight="1">
      <c r="I49" s="47">
        <f>IFERROR(INDEX(sj_date,MATCH(8,sj_arank,0)),"")</f>
        <v>46315.0</v>
      </c>
      <c r="J49" s="48" t="str">
        <f>IFERROR(INDEX(sj_eq,MATCH(8,sj_arank,0))&amp;"","")</f>
        <v>Matin</v>
      </c>
      <c r="K49" s="49" t="str">
        <f>IFERROR(INDEX(sj_po,MATCH(8,sj_arank,0))&amp;"","")</f>
        <v>SOUD</v>
      </c>
      <c r="L49" s="48" t="str">
        <f>IFERROR(INDEX(sj_of,MATCH(8,sj_arank,0))&amp;"","")</f>
        <v>OF-2610-176</v>
      </c>
      <c r="M49" s="49" t="n"/>
      <c r="N49" s="50">
        <f>IFERROR(INDEX(sj_trs,MATCH(8,sj_arank,0)),"")</f>
        <v>0.366666666666667</v>
      </c>
      <c r="O49" s="49" t="str">
        <f>IFERROR(INDEX(sj_loss,MATCH(8,sj_arank,0))&amp;"","")</f>
        <v>Disponibilité</v>
      </c>
      <c r="P49" s="49" t="n"/>
    </row>
    <row r="50" ht="18" customHeight="1">
      <c r="I50" s="47">
        <f>IFERROR(INDEX(sj_date,MATCH(9,sj_arank,0)),"")</f>
        <v>46290.0</v>
      </c>
      <c r="J50" s="48" t="str">
        <f>IFERROR(INDEX(sj_eq,MATCH(9,sj_arank,0))&amp;"","")</f>
        <v>Après-midi</v>
      </c>
      <c r="K50" s="49" t="str">
        <f>IFERROR(INDEX(sj_po,MATCH(9,sj_arank,0))&amp;"","")</f>
        <v>SOUD</v>
      </c>
      <c r="L50" s="48" t="str">
        <f>IFERROR(INDEX(sj_of,MATCH(9,sj_arank,0))&amp;"","")</f>
        <v>OF-2609-110</v>
      </c>
      <c r="M50" s="49" t="n"/>
      <c r="N50" s="50">
        <f>IFERROR(INDEX(sj_trs,MATCH(9,sj_arank,0)),"")</f>
        <v>0.371428571428571</v>
      </c>
      <c r="O50" s="49" t="str">
        <f>IFERROR(INDEX(sj_loss,MATCH(9,sj_arank,0))&amp;"","")</f>
        <v>Disponibilité</v>
      </c>
      <c r="P50" s="49" t="n"/>
    </row>
    <row r="51" ht="18" customHeight="1">
      <c r="I51" s="47">
        <f>IFERROR(INDEX(sj_date,MATCH(10,sj_arank,0)),"")</f>
        <v>46301.0</v>
      </c>
      <c r="J51" s="48" t="str">
        <f>IFERROR(INDEX(sj_eq,MATCH(10,sj_arank,0))&amp;"","")</f>
        <v>Matin</v>
      </c>
      <c r="K51" s="49" t="str">
        <f>IFERROR(INDEX(sj_po,MATCH(10,sj_arank,0))&amp;"","")</f>
        <v>USIN</v>
      </c>
      <c r="L51" s="48" t="str">
        <f>IFERROR(INDEX(sj_of,MATCH(10,sj_arank,0))&amp;"","")</f>
        <v>OF-2610-145</v>
      </c>
      <c r="M51" s="49" t="n"/>
      <c r="N51" s="50">
        <f>IFERROR(INDEX(sj_trs,MATCH(10,sj_arank,0)),"")</f>
        <v>0.377777777777778</v>
      </c>
      <c r="O51" s="49" t="str">
        <f>IFERROR(INDEX(sj_loss,MATCH(10,sj_arank,0))&amp;"","")</f>
        <v>Disponibilité</v>
      </c>
      <c r="P51" s="49" t="n"/>
    </row>
    <row r="52" ht="18" customHeight="1">
      <c r="I52" s="37" t="str">
        <f>IF(COUNT(sj_arank)=0,"Aucune saisie sous le seuil d'alerte.",IF(COUNT(sj_arank)&gt;10,"Et "&amp;(COUNT(sj_arank)-10)&amp;" autre(s) : filtrez la colonne Niveau de « Saisie journalière ».",""))</f>
        <v>Et 22 autre(s) : filtrez la colonne Niveau de « Saisie journalière ».</v>
      </c>
    </row>
  </sheetData>
  <mergeCells count="58">
    <mergeCell ref="E43:F43"/>
    <mergeCell ref="B42:D42"/>
    <mergeCell ref="L48:M48"/>
    <mergeCell ref="C15:D15"/>
    <mergeCell ref="N5:P5"/>
    <mergeCell ref="C14:D14"/>
    <mergeCell ref="E42:F42"/>
    <mergeCell ref="B44:D44"/>
    <mergeCell ref="L47:M47"/>
    <mergeCell ref="O45:P45"/>
    <mergeCell ref="H7:J7"/>
    <mergeCell ref="E6:G6"/>
    <mergeCell ref="E44:F44"/>
    <mergeCell ref="C20:D20"/>
    <mergeCell ref="L43:M43"/>
    <mergeCell ref="C16:D16"/>
    <mergeCell ref="O49:P49"/>
    <mergeCell ref="L42:M42"/>
    <mergeCell ref="O44:P44"/>
    <mergeCell ref="O41:P41"/>
    <mergeCell ref="L45:M45"/>
    <mergeCell ref="E7:G7"/>
    <mergeCell ref="B6:D6"/>
    <mergeCell ref="N6:P6"/>
    <mergeCell ref="K7:M7"/>
    <mergeCell ref="C12:D12"/>
    <mergeCell ref="B5:D5"/>
    <mergeCell ref="B43:D43"/>
    <mergeCell ref="B45:D45"/>
    <mergeCell ref="E46:F46"/>
    <mergeCell ref="K6:M6"/>
    <mergeCell ref="B41:D41"/>
    <mergeCell ref="H5:J5"/>
    <mergeCell ref="O43:P43"/>
    <mergeCell ref="O46:P46"/>
    <mergeCell ref="O50:P50"/>
    <mergeCell ref="L51:M51"/>
    <mergeCell ref="E45:F45"/>
    <mergeCell ref="L50:M50"/>
    <mergeCell ref="O51:P51"/>
    <mergeCell ref="L41:M41"/>
    <mergeCell ref="O42:P42"/>
    <mergeCell ref="B7:D7"/>
    <mergeCell ref="C17:D17"/>
    <mergeCell ref="L44:M44"/>
    <mergeCell ref="O47:P47"/>
    <mergeCell ref="N7:P7"/>
    <mergeCell ref="O48:P48"/>
    <mergeCell ref="B46:D46"/>
    <mergeCell ref="E5:G5"/>
    <mergeCell ref="K5:M5"/>
    <mergeCell ref="E41:F41"/>
    <mergeCell ref="L46:M46"/>
    <mergeCell ref="C19:D19"/>
    <mergeCell ref="L49:M49"/>
    <mergeCell ref="C13:D13"/>
    <mergeCell ref="C18:D18"/>
    <mergeCell ref="H6:J6"/>
  </mergeCells>
  <conditionalFormatting sqref="B6">
    <cfRule type="expression" priority="1" dxfId="0" stopIfTrue="1">
      <formula>AND(ISNUMBER($B$6),$B$6&gt;=p_target)</formula>
    </cfRule>
    <cfRule type="expression" priority="2" dxfId="1" stopIfTrue="1">
      <formula>AND(ISNUMBER($B$6),$B$6&gt;=p_alert)</formula>
    </cfRule>
    <cfRule type="expression" priority="3" dxfId="2">
      <formula>ISNUMBER($B$6)</formula>
    </cfRule>
  </conditionalFormatting>
  <conditionalFormatting sqref="F13:F20">
    <cfRule type="expression" priority="4" dxfId="3">
      <formula>$F13="Bon"</formula>
    </cfRule>
    <cfRule type="expression" priority="5" dxfId="4">
      <formula>$F13="À surveiller"</formula>
    </cfRule>
    <cfRule type="expression" priority="6" dxfId="5">
      <formula>$F13="Faible"</formula>
    </cfRule>
  </conditionalFormatting>
  <conditionalFormatting sqref="N42:N51">
    <cfRule type="expression" priority="7" dxfId="5">
      <formula>ISNUMBER(N42)</formula>
    </cfRule>
  </conditionalFormatting>
  <conditionalFormatting sqref="N6">
    <cfRule type="expression" priority="8" dxfId="6">
      <formula>p_currency="MAD"</formula>
    </cfRule>
    <cfRule type="expression" priority="9" dxfId="7">
      <formula>p_currency="EUR"</formula>
    </cfRule>
    <cfRule type="expression" priority="10" dxfId="8">
      <formula>p_currency="USD"</formula>
    </cfRule>
  </conditionalFormatting>
  <hyperlinks>
    <hyperlink ref="P1" location="'Mode d''emploi'!A1"/>
    <hyperlink ref="G3" location="'Synthèse'!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0369A1"/>
    <outlinePr summaryBelow="1" summaryRight="1"/>
    <pageSetUpPr fitToPage="1"/>
  </sheetPr>
  <dimension ref="A1:AH2005"/>
  <sheetViews>
    <sheetView showGridLines="0" tabSelected="0" zoomScale="100"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9" customWidth="1" min="3" max="3"/>
    <col width="13" customWidth="1" min="4" max="4"/>
    <col width="13" customWidth="1" min="5" max="5"/>
    <col width="10" customWidth="1" min="6" max="6"/>
    <col width="9" customWidth="1" min="7" max="7"/>
    <col width="8" customWidth="1" min="8" max="8"/>
    <col width="9" customWidth="1" min="9" max="9"/>
    <col width="22" customWidth="1" min="10" max="10"/>
    <col width="9" customWidth="1" min="11" max="11"/>
    <col width="9" customWidth="1" min="12" max="12"/>
    <col width="9" customWidth="1" min="13" max="13"/>
    <col width="10" customWidth="1" min="14" max="14"/>
    <col width="11" customWidth="1" min="15" max="15"/>
    <col width="9" customWidth="1" min="16" max="16"/>
    <col width="8" customWidth="1" min="17" max="17"/>
    <col width="9" customWidth="1" min="18" max="18"/>
    <col width="9" customWidth="1" min="19" max="19"/>
    <col width="10" customWidth="1" min="20" max="20"/>
    <col width="11" customWidth="1" min="21" max="21"/>
    <col width="8" customWidth="1" min="22" max="22"/>
    <col width="8" customWidth="1" min="23" max="23"/>
    <col width="8" customWidth="1" min="24" max="24"/>
    <col width="12" customWidth="1" min="25" max="25"/>
    <col width="13" customWidth="1" min="26" max="26"/>
    <col width="12" customWidth="1" min="27" max="27"/>
    <col width="34"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s>
  <sheetData>
    <row r="1" ht="38" customHeight="1">
      <c r="A1" s="2" t="inlineStr">
        <is>
          <t>Saisie journalière</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8" t="inlineStr">
        <is>
          <t>⌂ Mode d'emploi</t>
        </is>
      </c>
    </row>
    <row r="2" ht="22" customHeight="1">
      <c r="A2" s="4" t="inlineStr">
        <is>
          <t>Une ligne par jour, par équipe et par poste ouvert. Temps en minutes. Remplissez les colonnes blanches, le reste se calcule.</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row>
    <row r="3" ht="18" customHeight="1">
      <c r="Z3" s="16" t="inlineStr">
        <is>
          <t>Saisie</t>
        </is>
      </c>
      <c r="AA3" s="17" t="inlineStr">
        <is>
          <t>Calcul auto</t>
        </is>
      </c>
    </row>
    <row r="5" ht="46" customHeight="1">
      <c r="A5" s="38" t="inlineStr">
        <is>
          <t>Date</t>
        </is>
      </c>
      <c r="B5" s="38" t="inlineStr">
        <is>
          <t>Équipe</t>
        </is>
      </c>
      <c r="C5" s="38" t="inlineStr">
        <is>
          <t>Poste</t>
        </is>
      </c>
      <c r="D5" s="38" t="inlineStr">
        <is>
          <t>N° OF</t>
        </is>
      </c>
      <c r="E5" s="38" t="inlineStr">
        <is>
          <t>Article</t>
        </is>
      </c>
      <c r="F5" s="38" t="inlineStr">
        <is>
          <t>Temps d'ouverture (min)</t>
        </is>
      </c>
      <c r="G5" s="38" t="inlineStr">
        <is>
          <t>Pièces bonnes</t>
        </is>
      </c>
      <c r="H5" s="38" t="inlineStr">
        <is>
          <t>Rebuts</t>
        </is>
      </c>
      <c r="I5" s="38" t="inlineStr">
        <is>
          <t>Retouches</t>
        </is>
      </c>
      <c r="J5" s="38" t="inlineStr">
        <is>
          <t>Commentaire</t>
        </is>
      </c>
      <c r="K5" s="38" t="inlineStr">
        <is>
          <t>Ouverture (min)</t>
        </is>
      </c>
      <c r="L5" s="38" t="inlineStr">
        <is>
          <t>Arrêts planifiés (min)</t>
        </is>
      </c>
      <c r="M5" s="38" t="inlineStr">
        <is>
          <t>Temps requis (min)</t>
        </is>
      </c>
      <c r="N5" s="38" t="inlineStr">
        <is>
          <t>Arrêts non planifiés (min)</t>
        </is>
      </c>
      <c r="O5" s="38" t="inlineStr">
        <is>
          <t>Temps de fonction-nement (min)</t>
        </is>
      </c>
      <c r="P5" s="38" t="inlineStr">
        <is>
          <t>Pièces produites</t>
        </is>
      </c>
      <c r="Q5" s="38" t="inlineStr">
        <is>
          <t>Cadence (p/h)</t>
        </is>
      </c>
      <c r="R5" s="38" t="inlineStr">
        <is>
          <t>Temps net (min)</t>
        </is>
      </c>
      <c r="S5" s="38" t="inlineStr">
        <is>
          <t>Temps utile (min)</t>
        </is>
      </c>
      <c r="T5" s="38" t="inlineStr">
        <is>
          <t>Disponi-bilité</t>
        </is>
      </c>
      <c r="U5" s="38" t="inlineStr">
        <is>
          <t>Performance</t>
        </is>
      </c>
      <c r="V5" s="38" t="inlineStr">
        <is>
          <t>Qualité</t>
        </is>
      </c>
      <c r="W5" s="38" t="inlineStr">
        <is>
          <t>TRS</t>
        </is>
      </c>
      <c r="X5" s="38" t="inlineStr">
        <is>
          <t>TRG</t>
        </is>
      </c>
      <c r="Y5" s="38" t="inlineStr">
        <is>
          <t>Niveau</t>
        </is>
      </c>
      <c r="Z5" s="38" t="inlineStr">
        <is>
          <t>Perte principale</t>
        </is>
      </c>
      <c r="AA5" s="38" t="inlineStr">
        <is>
          <t>Rebuts valorisés</t>
        </is>
      </c>
      <c r="AB5" s="38" t="inlineStr">
        <is>
          <t>Contrôle</t>
        </is>
      </c>
    </row>
    <row r="6">
      <c r="A6" s="51" t="n">
        <v>46286</v>
      </c>
      <c r="B6" s="52" t="inlineStr">
        <is>
          <t>Matin</t>
        </is>
      </c>
      <c r="C6" s="52" t="inlineStr">
        <is>
          <t>TOUR1</t>
        </is>
      </c>
      <c r="D6" s="53" t="inlineStr">
        <is>
          <t>OF-2609-101</t>
        </is>
      </c>
      <c r="E6" s="53" t="inlineStr">
        <is>
          <t>AXE-R20</t>
        </is>
      </c>
      <c r="F6" s="54" t="n"/>
      <c r="G6" s="54" t="n">
        <v>131</v>
      </c>
      <c r="H6" s="54" t="n">
        <v>0</v>
      </c>
      <c r="I6" s="54" t="n">
        <v>1</v>
      </c>
      <c r="J6" s="53" t="n"/>
      <c r="K6" s="55">
        <f>IF(COUNTA(A6:I6)=0,"",IF(F6="",IFERROR(INDEX(eq_dur,MATCH(B6,eq_code,0)),""),F6))</f>
        <v>480.0</v>
      </c>
      <c r="L6" s="55">
        <f>IF(ISNUMBER(K6),N(IFERROR(INDEX(eq_pause,MATCH(B6,eq_code,0)),0))+SUMIFS(st_min,st_date,A6,st_eq,B6,st_po,C6,st_type,"Planifié"),"")</f>
        <v>30.0</v>
      </c>
      <c r="M6" s="55">
        <f>IF(ISNUMBER(K6),K6-L6,"")</f>
        <v>450.0</v>
      </c>
      <c r="N6" s="55">
        <f>IF(ISNUMBER(K6),SUMIFS(st_min,st_date,A6,st_eq,B6,st_po,C6,st_type,"Non planifié"),"")</f>
        <v>163.0</v>
      </c>
      <c r="O6" s="55">
        <f>IF(ISNUMBER(K6),M6-N6,"")</f>
        <v>287.0</v>
      </c>
      <c r="P6" s="55">
        <f>IF(COUNTA(A6:I6)=0,"",N(G6)+N(H6)+N(I6))</f>
        <v>132.0</v>
      </c>
      <c r="Q6" s="56">
        <f>IF(COUNTA(A6:I6)=0,"",IF(N(IFERROR(INDEX(art_rate,MATCH(E6,art_ref,0)),0))&gt;0,N(IFERROR(INDEX(art_rate,MATCH(E6,art_ref,0)),0)),N(IFERROR(INDEX(po_rate,MATCH(C6,po_code,0)),0))))</f>
        <v>30.0</v>
      </c>
      <c r="R6" s="55">
        <f>IF(AC6=1,P6*60/Q6,"")</f>
        <v>264.0</v>
      </c>
      <c r="S6" s="55">
        <f>IF(AC6=1,N(G6)*60/Q6,"")</f>
        <v>262.0</v>
      </c>
      <c r="T6" s="57">
        <f>IF(AC6=1,O6/M6,"")</f>
        <v>0.637777777777778</v>
      </c>
      <c r="U6" s="57">
        <f>IF(AC6=1,IF(O6&gt;0,R6/O6,""),"")</f>
        <v>0.9198606271777</v>
      </c>
      <c r="V6" s="57">
        <f>IF(AC6=1,IF(P6&gt;0,N(G6)/P6,""),"")</f>
        <v>0.992424242424242</v>
      </c>
      <c r="W6" s="57">
        <f>IF(AC6=1,S6/M6,"")</f>
        <v>0.582222222222222</v>
      </c>
      <c r="X6" s="57">
        <f>IF(AC6=1,S6/K6,"")</f>
        <v>0.545833333333333</v>
      </c>
      <c r="Y6" s="58" t="str">
        <f>IF(W6="","",IF(W6&gt;=p_target,"Bon",IF(W6&gt;=p_alert,"À surveiller","Faible")))</f>
        <v>À surveiller</v>
      </c>
      <c r="Z6" s="58" t="str">
        <f>IF(W6="","",IF(MIN(IF(T6="",1,T6),IF(U6="",1,U6),IF(V6="",1,V6))&gt;=1,"Aucune",IF(IF(T6="",1,T6)&lt;=MIN(IF(U6="",1,U6),IF(V6="",1,V6)),"Disponibilité",IF(IF(U6="",1,U6)&lt;=IF(V6="",1,V6),"Performance","Qualité"))))</f>
        <v>Disponibilité</v>
      </c>
      <c r="AA6" s="59">
        <f>IF(AC6=1,N(H6)*N(IFERROR(INDEX(art_cost,MATCH(E6,art_ref,0)),0)),"")</f>
        <v>0.0</v>
      </c>
      <c r="AB6" s="58" t="str">
        <f>IF(COUNTA(A6:I6)=0,"",IF(N(A6)&lt;=0,"Date manquante ou invalide",IF(B6="","Équipe manquante",IF(ISNA(MATCH(B6,eq_code,0)),"Équipe inconnue",IF(INDEX(eq_check,MATCH(B6,eq_code,0))&lt;&gt;"OK","Équipe à corriger dans Paramètres",IF(C6="","Poste manquant",IF(ISNA(MATCH(C6,po_code,0)),"Poste inconnu",IF(AND(E6&lt;&gt;"",ISNA(MATCH(E6,art_ref,0))),"Article inconnu",IF(IF(E6="",FALSE,INDEX(art_check,MATCH(E6,art_ref,0))&lt;&gt;"OK"),"Article à corriger (feuille Articles)",IF(COUNTIFS(sj_date,A6,sj_eq,B6,sj_po,C6)&gt;1,"Ligne en double (même jour, équipe et poste)",IF(OR(NOT(ISNUMBER(K6)),N(K6)&lt;=0,N(K6)&gt;1440),"Temps d'ouverture invalide",IF(OR(AND(G6&lt;&gt;"",NOT(ISNUMBER(G6))),N(G6)&lt;0,N(G6)&lt;&gt;INT(N(G6)),AND(H6&lt;&gt;"",NOT(ISNUMBER(H6))),N(H6)&lt;0,N(H6)&lt;&gt;INT(N(H6)),AND(I6&lt;&gt;"",NOT(ISNUMBER(I6))),N(I6)&lt;0,N(I6)&lt;&gt;INT(N(I6))),"Quantité invalide",IF(Q6&lt;=0,"Cadence manquante (poste ou article)",IF(M6&lt;=0,"Arrêts planifiés supérieurs au temps d'ouverture",IF(O6&lt;0,"Arrêts supérieurs au temps requis",IF(AND(P6&gt;0,O6=0),"Pièces déclarées sans temps de marche",IF(AND(P6=0,O6&gt;0),"Aucune pièce déclarée",IF(P6*60/Q6&gt;O6+0.001,"Cadence dépassée : vérifiez la cadence","OK"))))))))))))))))))</f>
        <v>OK</v>
      </c>
      <c r="AC6">
        <f>IF(OR(AB6="OK",AB6="Aucune pièce déclarée",AB6="Cadence dépassée : vérifiez la cadence"),1,0)</f>
        <v>1.0</v>
      </c>
      <c r="AD6">
        <f>IF(AND(AC6=1,A6&gt;=p_from,A6&lt;=p_to),1,0)</f>
        <v>1.0</v>
      </c>
      <c r="AE6">
        <f>IF(AD6=1,IF(COUNTIFS($A$6:A6,A6,$AD$6:AD6,1)=1,1,0),0)</f>
        <v>1.0</v>
      </c>
      <c r="AF6">
        <f>IF(AE6=1,COUNTIFS(sj_first,1,sj_date,"&lt;"&amp;A6)+1,"")</f>
        <v>1.0</v>
      </c>
      <c r="AG6" t="str">
        <f>IF(AND(AD6=1,N(W6)&lt;p_alert),ROUND(W6,4),"")</f>
        <v/>
      </c>
      <c r="AH6" t="str">
        <f>IF(AG6="","",COUNTIF(sj_akey,"&lt;"&amp;AG6)+COUNTIF($AG$6:AG6,AG6))</f>
        <v/>
      </c>
    </row>
    <row r="7">
      <c r="A7" s="51" t="n">
        <v>46286</v>
      </c>
      <c r="B7" s="52" t="inlineStr">
        <is>
          <t>Après-midi</t>
        </is>
      </c>
      <c r="C7" s="52" t="inlineStr">
        <is>
          <t>TOUR1</t>
        </is>
      </c>
      <c r="D7" s="53" t="inlineStr">
        <is>
          <t>OF-2609-102</t>
        </is>
      </c>
      <c r="E7" s="53" t="inlineStr">
        <is>
          <t>AXE-R20</t>
        </is>
      </c>
      <c r="F7" s="54" t="n"/>
      <c r="G7" s="54" t="n">
        <v>179</v>
      </c>
      <c r="H7" s="54" t="n">
        <v>2</v>
      </c>
      <c r="I7" s="54" t="n">
        <v>0</v>
      </c>
      <c r="J7" s="53" t="n"/>
      <c r="K7" s="55">
        <f>IF(COUNTA(A7:I7)=0,"",IF(F7="",IFERROR(INDEX(eq_dur,MATCH(B7,eq_code,0)),""),F7))</f>
        <v>480.0</v>
      </c>
      <c r="L7" s="55">
        <f>IF(ISNUMBER(K7),N(IFERROR(INDEX(eq_pause,MATCH(B7,eq_code,0)),0))+SUMIFS(st_min,st_date,A7,st_eq,B7,st_po,C7,st_type,"Planifié"),"")</f>
        <v>30.0</v>
      </c>
      <c r="M7" s="55">
        <f>IF(ISNUMBER(K7),K7-L7,"")</f>
        <v>450.0</v>
      </c>
      <c r="N7" s="55">
        <f>IF(ISNUMBER(K7),SUMIFS(st_min,st_date,A7,st_eq,B7,st_po,C7,st_type,"Non planifié"),"")</f>
        <v>54.0</v>
      </c>
      <c r="O7" s="55">
        <f>IF(ISNUMBER(K7),M7-N7,"")</f>
        <v>396.0</v>
      </c>
      <c r="P7" s="55">
        <f>IF(COUNTA(A7:I7)=0,"",N(G7)+N(H7)+N(I7))</f>
        <v>181.0</v>
      </c>
      <c r="Q7" s="56">
        <f>IF(COUNTA(A7:I7)=0,"",IF(N(IFERROR(INDEX(art_rate,MATCH(E7,art_ref,0)),0))&gt;0,N(IFERROR(INDEX(art_rate,MATCH(E7,art_ref,0)),0)),N(IFERROR(INDEX(po_rate,MATCH(C7,po_code,0)),0))))</f>
        <v>30.0</v>
      </c>
      <c r="R7" s="55">
        <f>IF(AC7=1,P7*60/Q7,"")</f>
        <v>362.0</v>
      </c>
      <c r="S7" s="55">
        <f>IF(AC7=1,N(G7)*60/Q7,"")</f>
        <v>358.0</v>
      </c>
      <c r="T7" s="57">
        <f>IF(AC7=1,O7/M7,"")</f>
        <v>0.88</v>
      </c>
      <c r="U7" s="57">
        <f>IF(AC7=1,IF(O7&gt;0,R7/O7,""),"")</f>
        <v>0.914141414141414</v>
      </c>
      <c r="V7" s="57">
        <f>IF(AC7=1,IF(P7&gt;0,N(G7)/P7,""),"")</f>
        <v>0.988950276243094</v>
      </c>
      <c r="W7" s="57">
        <f>IF(AC7=1,S7/M7,"")</f>
        <v>0.795555555555556</v>
      </c>
      <c r="X7" s="57">
        <f>IF(AC7=1,S7/K7,"")</f>
        <v>0.745833333333333</v>
      </c>
      <c r="Y7" s="58" t="str">
        <f>IF(W7="","",IF(W7&gt;=p_target,"Bon",IF(W7&gt;=p_alert,"À surveiller","Faible")))</f>
        <v>Bon</v>
      </c>
      <c r="Z7" s="58" t="str">
        <f>IF(W7="","",IF(MIN(IF(T7="",1,T7),IF(U7="",1,U7),IF(V7="",1,V7))&gt;=1,"Aucune",IF(IF(T7="",1,T7)&lt;=MIN(IF(U7="",1,U7),IF(V7="",1,V7)),"Disponibilité",IF(IF(U7="",1,U7)&lt;=IF(V7="",1,V7),"Performance","Qualité"))))</f>
        <v>Disponibilité</v>
      </c>
      <c r="AA7" s="59">
        <f>IF(AC7=1,N(H7)*N(IFERROR(INDEX(art_cost,MATCH(E7,art_ref,0)),0)),"")</f>
        <v>77.0</v>
      </c>
      <c r="AB7" s="58" t="str">
        <f>IF(COUNTA(A7:I7)=0,"",IF(N(A7)&lt;=0,"Date manquante ou invalide",IF(B7="","Équipe manquante",IF(ISNA(MATCH(B7,eq_code,0)),"Équipe inconnue",IF(INDEX(eq_check,MATCH(B7,eq_code,0))&lt;&gt;"OK","Équipe à corriger dans Paramètres",IF(C7="","Poste manquant",IF(ISNA(MATCH(C7,po_code,0)),"Poste inconnu",IF(AND(E7&lt;&gt;"",ISNA(MATCH(E7,art_ref,0))),"Article inconnu",IF(IF(E7="",FALSE,INDEX(art_check,MATCH(E7,art_ref,0))&lt;&gt;"OK"),"Article à corriger (feuille Articles)",IF(COUNTIFS(sj_date,A7,sj_eq,B7,sj_po,C7)&gt;1,"Ligne en double (même jour, équipe et poste)",IF(OR(NOT(ISNUMBER(K7)),N(K7)&lt;=0,N(K7)&gt;1440),"Temps d'ouverture invalide",IF(OR(AND(G7&lt;&gt;"",NOT(ISNUMBER(G7))),N(G7)&lt;0,N(G7)&lt;&gt;INT(N(G7)),AND(H7&lt;&gt;"",NOT(ISNUMBER(H7))),N(H7)&lt;0,N(H7)&lt;&gt;INT(N(H7)),AND(I7&lt;&gt;"",NOT(ISNUMBER(I7))),N(I7)&lt;0,N(I7)&lt;&gt;INT(N(I7))),"Quantité invalide",IF(Q7&lt;=0,"Cadence manquante (poste ou article)",IF(M7&lt;=0,"Arrêts planifiés supérieurs au temps d'ouverture",IF(O7&lt;0,"Arrêts supérieurs au temps requis",IF(AND(P7&gt;0,O7=0),"Pièces déclarées sans temps de marche",IF(AND(P7=0,O7&gt;0),"Aucune pièce déclarée",IF(P7*60/Q7&gt;O7+0.001,"Cadence dépassée : vérifiez la cadence","OK"))))))))))))))))))</f>
        <v>OK</v>
      </c>
      <c r="AC7">
        <f>IF(OR(AB7="OK",AB7="Aucune pièce déclarée",AB7="Cadence dépassée : vérifiez la cadence"),1,0)</f>
        <v>1.0</v>
      </c>
      <c r="AD7">
        <f>IF(AND(AC7=1,A7&gt;=p_from,A7&lt;=p_to),1,0)</f>
        <v>1.0</v>
      </c>
      <c r="AE7">
        <f>IF(AD7=1,IF(COUNTIFS($A$6:A7,A7,$AD$6:AD7,1)=1,1,0),0)</f>
        <v>0.0</v>
      </c>
      <c r="AF7" t="str">
        <f>IF(AE7=1,COUNTIFS(sj_first,1,sj_date,"&lt;"&amp;A7)+1,"")</f>
        <v/>
      </c>
      <c r="AG7" t="str">
        <f>IF(AND(AD7=1,N(W7)&lt;p_alert),ROUND(W7,4),"")</f>
        <v/>
      </c>
      <c r="AH7" t="str">
        <f>IF(AG7="","",COUNTIF(sj_akey,"&lt;"&amp;AG7)+COUNTIF($AG$6:AG7,AG7))</f>
        <v/>
      </c>
    </row>
    <row r="8">
      <c r="A8" s="51" t="n">
        <v>46286</v>
      </c>
      <c r="B8" s="52" t="inlineStr">
        <is>
          <t>Matin</t>
        </is>
      </c>
      <c r="C8" s="52" t="inlineStr">
        <is>
          <t>TOUR2</t>
        </is>
      </c>
      <c r="D8" s="53" t="inlineStr">
        <is>
          <t>OF-2609-103</t>
        </is>
      </c>
      <c r="E8" s="53" t="inlineStr">
        <is>
          <t>ENT-12</t>
        </is>
      </c>
      <c r="F8" s="54" t="n"/>
      <c r="G8" s="54" t="n">
        <v>310</v>
      </c>
      <c r="H8" s="54" t="n">
        <v>10</v>
      </c>
      <c r="I8" s="54" t="n">
        <v>2</v>
      </c>
      <c r="J8" s="53" t="n"/>
      <c r="K8" s="55">
        <f>IF(COUNTA(A8:I8)=0,"",IF(F8="",IFERROR(INDEX(eq_dur,MATCH(B8,eq_code,0)),""),F8))</f>
        <v>480.0</v>
      </c>
      <c r="L8" s="55">
        <f>IF(ISNUMBER(K8),N(IFERROR(INDEX(eq_pause,MATCH(B8,eq_code,0)),0))+SUMIFS(st_min,st_date,A8,st_eq,B8,st_po,C8,st_type,"Planifié"),"")</f>
        <v>30.0</v>
      </c>
      <c r="M8" s="55">
        <f>IF(ISNUMBER(K8),K8-L8,"")</f>
        <v>450.0</v>
      </c>
      <c r="N8" s="55">
        <f>IF(ISNUMBER(K8),SUMIFS(st_min,st_date,A8,st_eq,B8,st_po,C8,st_type,"Non planifié"),"")</f>
        <v>63.0</v>
      </c>
      <c r="O8" s="55">
        <f>IF(ISNUMBER(K8),M8-N8,"")</f>
        <v>387.0</v>
      </c>
      <c r="P8" s="55">
        <f>IF(COUNTA(A8:I8)=0,"",N(G8)+N(H8)+N(I8))</f>
        <v>322.0</v>
      </c>
      <c r="Q8" s="56">
        <f>IF(COUNTA(A8:I8)=0,"",IF(N(IFERROR(INDEX(art_rate,MATCH(E8,art_ref,0)),0))&gt;0,N(IFERROR(INDEX(art_rate,MATCH(E8,art_ref,0)),0)),N(IFERROR(INDEX(po_rate,MATCH(C8,po_code,0)),0))))</f>
        <v>55.0</v>
      </c>
      <c r="R8" s="55">
        <f>IF(AC8=1,P8*60/Q8,"")</f>
        <v>351.272727272727</v>
      </c>
      <c r="S8" s="55">
        <f>IF(AC8=1,N(G8)*60/Q8,"")</f>
        <v>338.181818181818</v>
      </c>
      <c r="T8" s="57">
        <f>IF(AC8=1,O8/M8,"")</f>
        <v>0.86</v>
      </c>
      <c r="U8" s="57">
        <f>IF(AC8=1,IF(O8&gt;0,R8/O8,""),"")</f>
        <v>0.907681465821001</v>
      </c>
      <c r="V8" s="57">
        <f>IF(AC8=1,IF(P8&gt;0,N(G8)/P8,""),"")</f>
        <v>0.962732919254658</v>
      </c>
      <c r="W8" s="57">
        <f>IF(AC8=1,S8/M8,"")</f>
        <v>0.751515151515152</v>
      </c>
      <c r="X8" s="57">
        <f>IF(AC8=1,S8/K8,"")</f>
        <v>0.704545454545455</v>
      </c>
      <c r="Y8" s="58" t="str">
        <f>IF(W8="","",IF(W8&gt;=p_target,"Bon",IF(W8&gt;=p_alert,"À surveiller","Faible")))</f>
        <v>Bon</v>
      </c>
      <c r="Z8" s="58" t="str">
        <f>IF(W8="","",IF(MIN(IF(T8="",1,T8),IF(U8="",1,U8),IF(V8="",1,V8))&gt;=1,"Aucune",IF(IF(T8="",1,T8)&lt;=MIN(IF(U8="",1,U8),IF(V8="",1,V8)),"Disponibilité",IF(IF(U8="",1,U8)&lt;=IF(V8="",1,V8),"Performance","Qualité"))))</f>
        <v>Disponibilité</v>
      </c>
      <c r="AA8" s="59">
        <f>IF(AC8=1,N(H8)*N(IFERROR(INDEX(art_cost,MATCH(E8,art_ref,0)),0)),"")</f>
        <v>68.0</v>
      </c>
      <c r="AB8" s="58" t="str">
        <f>IF(COUNTA(A8:I8)=0,"",IF(N(A8)&lt;=0,"Date manquante ou invalide",IF(B8="","Équipe manquante",IF(ISNA(MATCH(B8,eq_code,0)),"Équipe inconnue",IF(INDEX(eq_check,MATCH(B8,eq_code,0))&lt;&gt;"OK","Équipe à corriger dans Paramètres",IF(C8="","Poste manquant",IF(ISNA(MATCH(C8,po_code,0)),"Poste inconnu",IF(AND(E8&lt;&gt;"",ISNA(MATCH(E8,art_ref,0))),"Article inconnu",IF(IF(E8="",FALSE,INDEX(art_check,MATCH(E8,art_ref,0))&lt;&gt;"OK"),"Article à corriger (feuille Articles)",IF(COUNTIFS(sj_date,A8,sj_eq,B8,sj_po,C8)&gt;1,"Ligne en double (même jour, équipe et poste)",IF(OR(NOT(ISNUMBER(K8)),N(K8)&lt;=0,N(K8)&gt;1440),"Temps d'ouverture invalide",IF(OR(AND(G8&lt;&gt;"",NOT(ISNUMBER(G8))),N(G8)&lt;0,N(G8)&lt;&gt;INT(N(G8)),AND(H8&lt;&gt;"",NOT(ISNUMBER(H8))),N(H8)&lt;0,N(H8)&lt;&gt;INT(N(H8)),AND(I8&lt;&gt;"",NOT(ISNUMBER(I8))),N(I8)&lt;0,N(I8)&lt;&gt;INT(N(I8))),"Quantité invalide",IF(Q8&lt;=0,"Cadence manquante (poste ou article)",IF(M8&lt;=0,"Arrêts planifiés supérieurs au temps d'ouverture",IF(O8&lt;0,"Arrêts supérieurs au temps requis",IF(AND(P8&gt;0,O8=0),"Pièces déclarées sans temps de marche",IF(AND(P8=0,O8&gt;0),"Aucune pièce déclarée",IF(P8*60/Q8&gt;O8+0.001,"Cadence dépassée : vérifiez la cadence","OK"))))))))))))))))))</f>
        <v>OK</v>
      </c>
      <c r="AC8">
        <f>IF(OR(AB8="OK",AB8="Aucune pièce déclarée",AB8="Cadence dépassée : vérifiez la cadence"),1,0)</f>
        <v>1.0</v>
      </c>
      <c r="AD8">
        <f>IF(AND(AC8=1,A8&gt;=p_from,A8&lt;=p_to),1,0)</f>
        <v>1.0</v>
      </c>
      <c r="AE8">
        <f>IF(AD8=1,IF(COUNTIFS($A$6:A8,A8,$AD$6:AD8,1)=1,1,0),0)</f>
        <v>0.0</v>
      </c>
      <c r="AF8" t="str">
        <f>IF(AE8=1,COUNTIFS(sj_first,1,sj_date,"&lt;"&amp;A8)+1,"")</f>
        <v/>
      </c>
      <c r="AG8" t="str">
        <f>IF(AND(AD8=1,N(W8)&lt;p_alert),ROUND(W8,4),"")</f>
        <v/>
      </c>
      <c r="AH8" t="str">
        <f>IF(AG8="","",COUNTIF(sj_akey,"&lt;"&amp;AG8)+COUNTIF($AG$6:AG8,AG8))</f>
        <v/>
      </c>
    </row>
    <row r="9">
      <c r="A9" s="51" t="n">
        <v>46286</v>
      </c>
      <c r="B9" s="52" t="inlineStr">
        <is>
          <t>Après-midi</t>
        </is>
      </c>
      <c r="C9" s="52" t="inlineStr">
        <is>
          <t>TOUR2</t>
        </is>
      </c>
      <c r="D9" s="53" t="inlineStr">
        <is>
          <t>OF-2609-104</t>
        </is>
      </c>
      <c r="E9" s="53" t="inlineStr">
        <is>
          <t>ENT-12</t>
        </is>
      </c>
      <c r="F9" s="54" t="n"/>
      <c r="G9" s="54" t="n">
        <v>297</v>
      </c>
      <c r="H9" s="54" t="n">
        <v>3</v>
      </c>
      <c r="I9" s="54" t="n">
        <v>0</v>
      </c>
      <c r="J9" s="53" t="n"/>
      <c r="K9" s="55">
        <f>IF(COUNTA(A9:I9)=0,"",IF(F9="",IFERROR(INDEX(eq_dur,MATCH(B9,eq_code,0)),""),F9))</f>
        <v>480.0</v>
      </c>
      <c r="L9" s="55">
        <f>IF(ISNUMBER(K9),N(IFERROR(INDEX(eq_pause,MATCH(B9,eq_code,0)),0))+SUMIFS(st_min,st_date,A9,st_eq,B9,st_po,C9,st_type,"Planifié"),"")</f>
        <v>30.0</v>
      </c>
      <c r="M9" s="55">
        <f>IF(ISNUMBER(K9),K9-L9,"")</f>
        <v>450.0</v>
      </c>
      <c r="N9" s="55">
        <f>IF(ISNUMBER(K9),SUMIFS(st_min,st_date,A9,st_eq,B9,st_po,C9,st_type,"Non planifié"),"")</f>
        <v>79.0</v>
      </c>
      <c r="O9" s="55">
        <f>IF(ISNUMBER(K9),M9-N9,"")</f>
        <v>371.0</v>
      </c>
      <c r="P9" s="55">
        <f>IF(COUNTA(A9:I9)=0,"",N(G9)+N(H9)+N(I9))</f>
        <v>300.0</v>
      </c>
      <c r="Q9" s="56">
        <f>IF(COUNTA(A9:I9)=0,"",IF(N(IFERROR(INDEX(art_rate,MATCH(E9,art_ref,0)),0))&gt;0,N(IFERROR(INDEX(art_rate,MATCH(E9,art_ref,0)),0)),N(IFERROR(INDEX(po_rate,MATCH(C9,po_code,0)),0))))</f>
        <v>55.0</v>
      </c>
      <c r="R9" s="55">
        <f>IF(AC9=1,P9*60/Q9,"")</f>
        <v>327.272727272727</v>
      </c>
      <c r="S9" s="55">
        <f>IF(AC9=1,N(G9)*60/Q9,"")</f>
        <v>324.0</v>
      </c>
      <c r="T9" s="57">
        <f>IF(AC9=1,O9/M9,"")</f>
        <v>0.824444444444444</v>
      </c>
      <c r="U9" s="57">
        <f>IF(AC9=1,IF(O9&gt;0,R9/O9,""),"")</f>
        <v>0.882136731193335</v>
      </c>
      <c r="V9" s="57">
        <f>IF(AC9=1,IF(P9&gt;0,N(G9)/P9,""),"")</f>
        <v>0.99</v>
      </c>
      <c r="W9" s="57">
        <f>IF(AC9=1,S9/M9,"")</f>
        <v>0.72</v>
      </c>
      <c r="X9" s="57">
        <f>IF(AC9=1,S9/K9,"")</f>
        <v>0.675</v>
      </c>
      <c r="Y9" s="58" t="str">
        <f>IF(W9="","",IF(W9&gt;=p_target,"Bon",IF(W9&gt;=p_alert,"À surveiller","Faible")))</f>
        <v>À surveiller</v>
      </c>
      <c r="Z9" s="58" t="str">
        <f>IF(W9="","",IF(MIN(IF(T9="",1,T9),IF(U9="",1,U9),IF(V9="",1,V9))&gt;=1,"Aucune",IF(IF(T9="",1,T9)&lt;=MIN(IF(U9="",1,U9),IF(V9="",1,V9)),"Disponibilité",IF(IF(U9="",1,U9)&lt;=IF(V9="",1,V9),"Performance","Qualité"))))</f>
        <v>Disponibilité</v>
      </c>
      <c r="AA9" s="59">
        <f>IF(AC9=1,N(H9)*N(IFERROR(INDEX(art_cost,MATCH(E9,art_ref,0)),0)),"")</f>
        <v>20.4</v>
      </c>
      <c r="AB9" s="58" t="str">
        <f>IF(COUNTA(A9:I9)=0,"",IF(N(A9)&lt;=0,"Date manquante ou invalide",IF(B9="","Équipe manquante",IF(ISNA(MATCH(B9,eq_code,0)),"Équipe inconnue",IF(INDEX(eq_check,MATCH(B9,eq_code,0))&lt;&gt;"OK","Équipe à corriger dans Paramètres",IF(C9="","Poste manquant",IF(ISNA(MATCH(C9,po_code,0)),"Poste inconnu",IF(AND(E9&lt;&gt;"",ISNA(MATCH(E9,art_ref,0))),"Article inconnu",IF(IF(E9="",FALSE,INDEX(art_check,MATCH(E9,art_ref,0))&lt;&gt;"OK"),"Article à corriger (feuille Articles)",IF(COUNTIFS(sj_date,A9,sj_eq,B9,sj_po,C9)&gt;1,"Ligne en double (même jour, équipe et poste)",IF(OR(NOT(ISNUMBER(K9)),N(K9)&lt;=0,N(K9)&gt;1440),"Temps d'ouverture invalide",IF(OR(AND(G9&lt;&gt;"",NOT(ISNUMBER(G9))),N(G9)&lt;0,N(G9)&lt;&gt;INT(N(G9)),AND(H9&lt;&gt;"",NOT(ISNUMBER(H9))),N(H9)&lt;0,N(H9)&lt;&gt;INT(N(H9)),AND(I9&lt;&gt;"",NOT(ISNUMBER(I9))),N(I9)&lt;0,N(I9)&lt;&gt;INT(N(I9))),"Quantité invalide",IF(Q9&lt;=0,"Cadence manquante (poste ou article)",IF(M9&lt;=0,"Arrêts planifiés supérieurs au temps d'ouverture",IF(O9&lt;0,"Arrêts supérieurs au temps requis",IF(AND(P9&gt;0,O9=0),"Pièces déclarées sans temps de marche",IF(AND(P9=0,O9&gt;0),"Aucune pièce déclarée",IF(P9*60/Q9&gt;O9+0.001,"Cadence dépassée : vérifiez la cadence","OK"))))))))))))))))))</f>
        <v>OK</v>
      </c>
      <c r="AC9">
        <f>IF(OR(AB9="OK",AB9="Aucune pièce déclarée",AB9="Cadence dépassée : vérifiez la cadence"),1,0)</f>
        <v>1.0</v>
      </c>
      <c r="AD9">
        <f>IF(AND(AC9=1,A9&gt;=p_from,A9&lt;=p_to),1,0)</f>
        <v>1.0</v>
      </c>
      <c r="AE9">
        <f>IF(AD9=1,IF(COUNTIFS($A$6:A9,A9,$AD$6:AD9,1)=1,1,0),0)</f>
        <v>0.0</v>
      </c>
      <c r="AF9" t="str">
        <f>IF(AE9=1,COUNTIFS(sj_first,1,sj_date,"&lt;"&amp;A9)+1,"")</f>
        <v/>
      </c>
      <c r="AG9" t="str">
        <f>IF(AND(AD9=1,N(W9)&lt;p_alert),ROUND(W9,4),"")</f>
        <v/>
      </c>
      <c r="AH9" t="str">
        <f>IF(AG9="","",COUNTIF(sj_akey,"&lt;"&amp;AG9)+COUNTIF($AG$6:AG9,AG9))</f>
        <v/>
      </c>
    </row>
    <row r="10">
      <c r="A10" s="51" t="n">
        <v>46286</v>
      </c>
      <c r="B10" s="52" t="inlineStr">
        <is>
          <t>Matin</t>
        </is>
      </c>
      <c r="C10" s="52" t="inlineStr">
        <is>
          <t>USIN</t>
        </is>
      </c>
      <c r="D10" s="53" t="inlineStr">
        <is>
          <t>OF-2609-105</t>
        </is>
      </c>
      <c r="E10" s="53" t="inlineStr">
        <is>
          <t>FLA-PL-150</t>
        </is>
      </c>
      <c r="F10" s="54" t="n"/>
      <c r="G10" s="54" t="n">
        <v>68</v>
      </c>
      <c r="H10" s="54" t="n">
        <v>1</v>
      </c>
      <c r="I10" s="54" t="n">
        <v>0</v>
      </c>
      <c r="J10" s="53" t="n"/>
      <c r="K10" s="55">
        <f>IF(COUNTA(A10:I10)=0,"",IF(F10="",IFERROR(INDEX(eq_dur,MATCH(B10,eq_code,0)),""),F10))</f>
        <v>480.0</v>
      </c>
      <c r="L10" s="55">
        <f>IF(ISNUMBER(K10),N(IFERROR(INDEX(eq_pause,MATCH(B10,eq_code,0)),0))+SUMIFS(st_min,st_date,A10,st_eq,B10,st_po,C10,st_type,"Planifié"),"")</f>
        <v>90.0</v>
      </c>
      <c r="M10" s="55">
        <f>IF(ISNUMBER(K10),K10-L10,"")</f>
        <v>390.0</v>
      </c>
      <c r="N10" s="55">
        <f>IF(ISNUMBER(K10),SUMIFS(st_min,st_date,A10,st_eq,B10,st_po,C10,st_type,"Non planifié"),"")</f>
        <v>29.0</v>
      </c>
      <c r="O10" s="55">
        <f>IF(ISNUMBER(K10),M10-N10,"")</f>
        <v>361.0</v>
      </c>
      <c r="P10" s="55">
        <f>IF(COUNTA(A10:I10)=0,"",N(G10)+N(H10)+N(I10))</f>
        <v>69.0</v>
      </c>
      <c r="Q10" s="56">
        <f>IF(COUNTA(A10:I10)=0,"",IF(N(IFERROR(INDEX(art_rate,MATCH(E10,art_ref,0)),0))&gt;0,N(IFERROR(INDEX(art_rate,MATCH(E10,art_ref,0)),0)),N(IFERROR(INDEX(po_rate,MATCH(C10,po_code,0)),0))))</f>
        <v>12.0</v>
      </c>
      <c r="R10" s="55">
        <f>IF(AC10=1,P10*60/Q10,"")</f>
        <v>345.0</v>
      </c>
      <c r="S10" s="55">
        <f>IF(AC10=1,N(G10)*60/Q10,"")</f>
        <v>340.0</v>
      </c>
      <c r="T10" s="57">
        <f>IF(AC10=1,O10/M10,"")</f>
        <v>0.925641025641026</v>
      </c>
      <c r="U10" s="57">
        <f>IF(AC10=1,IF(O10&gt;0,R10/O10,""),"")</f>
        <v>0.955678670360111</v>
      </c>
      <c r="V10" s="57">
        <f>IF(AC10=1,IF(P10&gt;0,N(G10)/P10,""),"")</f>
        <v>0.985507246376812</v>
      </c>
      <c r="W10" s="57">
        <f>IF(AC10=1,S10/M10,"")</f>
        <v>0.871794871794872</v>
      </c>
      <c r="X10" s="57">
        <f>IF(AC10=1,S10/K10,"")</f>
        <v>0.708333333333333</v>
      </c>
      <c r="Y10" s="58" t="str">
        <f>IF(W10="","",IF(W10&gt;=p_target,"Bon",IF(W10&gt;=p_alert,"À surveiller","Faible")))</f>
        <v>Bon</v>
      </c>
      <c r="Z10" s="58" t="str">
        <f>IF(W10="","",IF(MIN(IF(T10="",1,T10),IF(U10="",1,U10),IF(V10="",1,V10))&gt;=1,"Aucune",IF(IF(T10="",1,T10)&lt;=MIN(IF(U10="",1,U10),IF(V10="",1,V10)),"Disponibilité",IF(IF(U10="",1,U10)&lt;=IF(V10="",1,V10),"Performance","Qualité"))))</f>
        <v>Disponibilité</v>
      </c>
      <c r="AA10" s="59">
        <f>IF(AC10=1,N(H10)*N(IFERROR(INDEX(art_cost,MATCH(E10,art_ref,0)),0)),"")</f>
        <v>145.0</v>
      </c>
      <c r="AB10" s="58" t="str">
        <f>IF(COUNTA(A10:I10)=0,"",IF(N(A10)&lt;=0,"Date manquante ou invalide",IF(B10="","Équipe manquante",IF(ISNA(MATCH(B10,eq_code,0)),"Équipe inconnue",IF(INDEX(eq_check,MATCH(B10,eq_code,0))&lt;&gt;"OK","Équipe à corriger dans Paramètres",IF(C10="","Poste manquant",IF(ISNA(MATCH(C10,po_code,0)),"Poste inconnu",IF(AND(E10&lt;&gt;"",ISNA(MATCH(E10,art_ref,0))),"Article inconnu",IF(IF(E10="",FALSE,INDEX(art_check,MATCH(E10,art_ref,0))&lt;&gt;"OK"),"Article à corriger (feuille Articles)",IF(COUNTIFS(sj_date,A10,sj_eq,B10,sj_po,C10)&gt;1,"Ligne en double (même jour, équipe et poste)",IF(OR(NOT(ISNUMBER(K10)),N(K10)&lt;=0,N(K10)&gt;1440),"Temps d'ouverture invalide",IF(OR(AND(G10&lt;&gt;"",NOT(ISNUMBER(G10))),N(G10)&lt;0,N(G10)&lt;&gt;INT(N(G10)),AND(H10&lt;&gt;"",NOT(ISNUMBER(H10))),N(H10)&lt;0,N(H10)&lt;&gt;INT(N(H10)),AND(I10&lt;&gt;"",NOT(ISNUMBER(I10))),N(I10)&lt;0,N(I10)&lt;&gt;INT(N(I10))),"Quantité invalide",IF(Q10&lt;=0,"Cadence manquante (poste ou article)",IF(M10&lt;=0,"Arrêts planifiés supérieurs au temps d'ouverture",IF(O10&lt;0,"Arrêts supérieurs au temps requis",IF(AND(P10&gt;0,O10=0),"Pièces déclarées sans temps de marche",IF(AND(P10=0,O10&gt;0),"Aucune pièce déclarée",IF(P10*60/Q10&gt;O10+0.001,"Cadence dépassée : vérifiez la cadence","OK"))))))))))))))))))</f>
        <v>OK</v>
      </c>
      <c r="AC10">
        <f>IF(OR(AB10="OK",AB10="Aucune pièce déclarée",AB10="Cadence dépassée : vérifiez la cadence"),1,0)</f>
        <v>1.0</v>
      </c>
      <c r="AD10">
        <f>IF(AND(AC10=1,A10&gt;=p_from,A10&lt;=p_to),1,0)</f>
        <v>1.0</v>
      </c>
      <c r="AE10">
        <f>IF(AD10=1,IF(COUNTIFS($A$6:A10,A10,$AD$6:AD10,1)=1,1,0),0)</f>
        <v>0.0</v>
      </c>
      <c r="AF10" t="str">
        <f>IF(AE10=1,COUNTIFS(sj_first,1,sj_date,"&lt;"&amp;A10)+1,"")</f>
        <v/>
      </c>
      <c r="AG10" t="str">
        <f>IF(AND(AD10=1,N(W10)&lt;p_alert),ROUND(W10,4),"")</f>
        <v/>
      </c>
      <c r="AH10" t="str">
        <f>IF(AG10="","",COUNTIF(sj_akey,"&lt;"&amp;AG10)+COUNTIF($AG$6:AG10,AG10))</f>
        <v/>
      </c>
    </row>
    <row r="11">
      <c r="A11" s="51" t="n">
        <v>46286</v>
      </c>
      <c r="B11" s="52" t="inlineStr">
        <is>
          <t>Après-midi</t>
        </is>
      </c>
      <c r="C11" s="52" t="inlineStr">
        <is>
          <t>USIN</t>
        </is>
      </c>
      <c r="D11" s="53" t="inlineStr">
        <is>
          <t>OF-2609-106</t>
        </is>
      </c>
      <c r="E11" s="53" t="inlineStr">
        <is>
          <t>FLA-PL-150</t>
        </is>
      </c>
      <c r="F11" s="54" t="n"/>
      <c r="G11" s="54" t="n">
        <v>51</v>
      </c>
      <c r="H11" s="54" t="n">
        <v>1</v>
      </c>
      <c r="I11" s="54" t="n">
        <v>0</v>
      </c>
      <c r="J11" s="53" t="n"/>
      <c r="K11" s="55">
        <f>IF(COUNTA(A11:I11)=0,"",IF(F11="",IFERROR(INDEX(eq_dur,MATCH(B11,eq_code,0)),""),F11))</f>
        <v>480.0</v>
      </c>
      <c r="L11" s="55">
        <f>IF(ISNUMBER(K11),N(IFERROR(INDEX(eq_pause,MATCH(B11,eq_code,0)),0))+SUMIFS(st_min,st_date,A11,st_eq,B11,st_po,C11,st_type,"Planifié"),"")</f>
        <v>30.0</v>
      </c>
      <c r="M11" s="55">
        <f>IF(ISNUMBER(K11),K11-L11,"")</f>
        <v>450.0</v>
      </c>
      <c r="N11" s="55">
        <f>IF(ISNUMBER(K11),SUMIFS(st_min,st_date,A11,st_eq,B11,st_po,C11,st_type,"Non planifié"),"")</f>
        <v>145.0</v>
      </c>
      <c r="O11" s="55">
        <f>IF(ISNUMBER(K11),M11-N11,"")</f>
        <v>305.0</v>
      </c>
      <c r="P11" s="55">
        <f>IF(COUNTA(A11:I11)=0,"",N(G11)+N(H11)+N(I11))</f>
        <v>52.0</v>
      </c>
      <c r="Q11" s="56">
        <f>IF(COUNTA(A11:I11)=0,"",IF(N(IFERROR(INDEX(art_rate,MATCH(E11,art_ref,0)),0))&gt;0,N(IFERROR(INDEX(art_rate,MATCH(E11,art_ref,0)),0)),N(IFERROR(INDEX(po_rate,MATCH(C11,po_code,0)),0))))</f>
        <v>12.0</v>
      </c>
      <c r="R11" s="55">
        <f>IF(AC11=1,P11*60/Q11,"")</f>
        <v>260.0</v>
      </c>
      <c r="S11" s="55">
        <f>IF(AC11=1,N(G11)*60/Q11,"")</f>
        <v>255.0</v>
      </c>
      <c r="T11" s="57">
        <f>IF(AC11=1,O11/M11,"")</f>
        <v>0.677777777777778</v>
      </c>
      <c r="U11" s="57">
        <f>IF(AC11=1,IF(O11&gt;0,R11/O11,""),"")</f>
        <v>0.852459016393443</v>
      </c>
      <c r="V11" s="57">
        <f>IF(AC11=1,IF(P11&gt;0,N(G11)/P11,""),"")</f>
        <v>0.980769230769231</v>
      </c>
      <c r="W11" s="57">
        <f>IF(AC11=1,S11/M11,"")</f>
        <v>0.566666666666667</v>
      </c>
      <c r="X11" s="57">
        <f>IF(AC11=1,S11/K11,"")</f>
        <v>0.53125</v>
      </c>
      <c r="Y11" s="58" t="str">
        <f>IF(W11="","",IF(W11&gt;=p_target,"Bon",IF(W11&gt;=p_alert,"À surveiller","Faible")))</f>
        <v>À surveiller</v>
      </c>
      <c r="Z11" s="58" t="str">
        <f>IF(W11="","",IF(MIN(IF(T11="",1,T11),IF(U11="",1,U11),IF(V11="",1,V11))&gt;=1,"Aucune",IF(IF(T11="",1,T11)&lt;=MIN(IF(U11="",1,U11),IF(V11="",1,V11)),"Disponibilité",IF(IF(U11="",1,U11)&lt;=IF(V11="",1,V11),"Performance","Qualité"))))</f>
        <v>Disponibilité</v>
      </c>
      <c r="AA11" s="59">
        <f>IF(AC11=1,N(H11)*N(IFERROR(INDEX(art_cost,MATCH(E11,art_ref,0)),0)),"")</f>
        <v>145.0</v>
      </c>
      <c r="AB11" s="58" t="str">
        <f>IF(COUNTA(A11:I11)=0,"",IF(N(A11)&lt;=0,"Date manquante ou invalide",IF(B11="","Équipe manquante",IF(ISNA(MATCH(B11,eq_code,0)),"Équipe inconnue",IF(INDEX(eq_check,MATCH(B11,eq_code,0))&lt;&gt;"OK","Équipe à corriger dans Paramètres",IF(C11="","Poste manquant",IF(ISNA(MATCH(C11,po_code,0)),"Poste inconnu",IF(AND(E11&lt;&gt;"",ISNA(MATCH(E11,art_ref,0))),"Article inconnu",IF(IF(E11="",FALSE,INDEX(art_check,MATCH(E11,art_ref,0))&lt;&gt;"OK"),"Article à corriger (feuille Articles)",IF(COUNTIFS(sj_date,A11,sj_eq,B11,sj_po,C11)&gt;1,"Ligne en double (même jour, équipe et poste)",IF(OR(NOT(ISNUMBER(K11)),N(K11)&lt;=0,N(K11)&gt;1440),"Temps d'ouverture invalide",IF(OR(AND(G11&lt;&gt;"",NOT(ISNUMBER(G11))),N(G11)&lt;0,N(G11)&lt;&gt;INT(N(G11)),AND(H11&lt;&gt;"",NOT(ISNUMBER(H11))),N(H11)&lt;0,N(H11)&lt;&gt;INT(N(H11)),AND(I11&lt;&gt;"",NOT(ISNUMBER(I11))),N(I11)&lt;0,N(I11)&lt;&gt;INT(N(I11))),"Quantité invalide",IF(Q11&lt;=0,"Cadence manquante (poste ou article)",IF(M11&lt;=0,"Arrêts planifiés supérieurs au temps d'ouverture",IF(O11&lt;0,"Arrêts supérieurs au temps requis",IF(AND(P11&gt;0,O11=0),"Pièces déclarées sans temps de marche",IF(AND(P11=0,O11&gt;0),"Aucune pièce déclarée",IF(P11*60/Q11&gt;O11+0.001,"Cadence dépassée : vérifiez la cadence","OK"))))))))))))))))))</f>
        <v>OK</v>
      </c>
      <c r="AC11">
        <f>IF(OR(AB11="OK",AB11="Aucune pièce déclarée",AB11="Cadence dépassée : vérifiez la cadence"),1,0)</f>
        <v>1.0</v>
      </c>
      <c r="AD11">
        <f>IF(AND(AC11=1,A11&gt;=p_from,A11&lt;=p_to),1,0)</f>
        <v>1.0</v>
      </c>
      <c r="AE11">
        <f>IF(AD11=1,IF(COUNTIFS($A$6:A11,A11,$AD$6:AD11,1)=1,1,0),0)</f>
        <v>0.0</v>
      </c>
      <c r="AF11" t="str">
        <f>IF(AE11=1,COUNTIFS(sj_first,1,sj_date,"&lt;"&amp;A11)+1,"")</f>
        <v/>
      </c>
      <c r="AG11" t="str">
        <f>IF(AND(AD11=1,N(W11)&lt;p_alert),ROUND(W11,4),"")</f>
        <v/>
      </c>
      <c r="AH11" t="str">
        <f>IF(AG11="","",COUNTIF(sj_akey,"&lt;"&amp;AG11)+COUNTIF($AG$6:AG11,AG11))</f>
        <v/>
      </c>
    </row>
    <row r="12">
      <c r="A12" s="51" t="n">
        <v>46286</v>
      </c>
      <c r="B12" s="52" t="inlineStr">
        <is>
          <t>Matin</t>
        </is>
      </c>
      <c r="C12" s="52" t="inlineStr">
        <is>
          <t>PRESSE</t>
        </is>
      </c>
      <c r="D12" s="53" t="inlineStr">
        <is>
          <t>OF-2609-107</t>
        </is>
      </c>
      <c r="E12" s="53" t="inlineStr">
        <is>
          <t>PAT-FIX-10</t>
        </is>
      </c>
      <c r="F12" s="54" t="n"/>
      <c r="G12" s="54" t="n">
        <v>2018</v>
      </c>
      <c r="H12" s="54" t="n">
        <v>74</v>
      </c>
      <c r="I12" s="54" t="n">
        <v>30</v>
      </c>
      <c r="J12" s="53" t="n"/>
      <c r="K12" s="55">
        <f>IF(COUNTA(A12:I12)=0,"",IF(F12="",IFERROR(INDEX(eq_dur,MATCH(B12,eq_code,0)),""),F12))</f>
        <v>480.0</v>
      </c>
      <c r="L12" s="55">
        <f>IF(ISNUMBER(K12),N(IFERROR(INDEX(eq_pause,MATCH(B12,eq_code,0)),0))+SUMIFS(st_min,st_date,A12,st_eq,B12,st_po,C12,st_type,"Planifié"),"")</f>
        <v>90.0</v>
      </c>
      <c r="M12" s="55">
        <f>IF(ISNUMBER(K12),K12-L12,"")</f>
        <v>390.0</v>
      </c>
      <c r="N12" s="55">
        <f>IF(ISNUMBER(K12),SUMIFS(st_min,st_date,A12,st_eq,B12,st_po,C12,st_type,"Non planifié"),"")</f>
        <v>63.0</v>
      </c>
      <c r="O12" s="55">
        <f>IF(ISNUMBER(K12),M12-N12,"")</f>
        <v>327.0</v>
      </c>
      <c r="P12" s="55">
        <f>IF(COUNTA(A12:I12)=0,"",N(G12)+N(H12)+N(I12))</f>
        <v>2122.0</v>
      </c>
      <c r="Q12" s="56">
        <f>IF(COUNTA(A12:I12)=0,"",IF(N(IFERROR(INDEX(art_rate,MATCH(E12,art_ref,0)),0))&gt;0,N(IFERROR(INDEX(art_rate,MATCH(E12,art_ref,0)),0)),N(IFERROR(INDEX(po_rate,MATCH(C12,po_code,0)),0))))</f>
        <v>420.0</v>
      </c>
      <c r="R12" s="55">
        <f>IF(AC12=1,P12*60/Q12,"")</f>
        <v>303.142857142857</v>
      </c>
      <c r="S12" s="55">
        <f>IF(AC12=1,N(G12)*60/Q12,"")</f>
        <v>288.285714285714</v>
      </c>
      <c r="T12" s="57">
        <f>IF(AC12=1,O12/M12,"")</f>
        <v>0.838461538461539</v>
      </c>
      <c r="U12" s="57">
        <f>IF(AC12=1,IF(O12&gt;0,R12/O12,""),"")</f>
        <v>0.927042376583661</v>
      </c>
      <c r="V12" s="57">
        <f>IF(AC12=1,IF(P12&gt;0,N(G12)/P12,""),"")</f>
        <v>0.950989632422243</v>
      </c>
      <c r="W12" s="57">
        <f>IF(AC12=1,S12/M12,"")</f>
        <v>0.739194139194139</v>
      </c>
      <c r="X12" s="57">
        <f>IF(AC12=1,S12/K12,"")</f>
        <v>0.600595238095238</v>
      </c>
      <c r="Y12" s="58" t="str">
        <f>IF(W12="","",IF(W12&gt;=p_target,"Bon",IF(W12&gt;=p_alert,"À surveiller","Faible")))</f>
        <v>À surveiller</v>
      </c>
      <c r="Z12" s="58" t="str">
        <f>IF(W12="","",IF(MIN(IF(T12="",1,T12),IF(U12="",1,U12),IF(V12="",1,V12))&gt;=1,"Aucune",IF(IF(T12="",1,T12)&lt;=MIN(IF(U12="",1,U12),IF(V12="",1,V12)),"Disponibilité",IF(IF(U12="",1,U12)&lt;=IF(V12="",1,V12),"Performance","Qualité"))))</f>
        <v>Disponibilité</v>
      </c>
      <c r="AA12" s="59">
        <f>IF(AC12=1,N(H12)*N(IFERROR(INDEX(art_cost,MATCH(E12,art_ref,0)),0)),"")</f>
        <v>310.8</v>
      </c>
      <c r="AB12" s="58" t="str">
        <f>IF(COUNTA(A12:I12)=0,"",IF(N(A12)&lt;=0,"Date manquante ou invalide",IF(B12="","Équipe manquante",IF(ISNA(MATCH(B12,eq_code,0)),"Équipe inconnue",IF(INDEX(eq_check,MATCH(B12,eq_code,0))&lt;&gt;"OK","Équipe à corriger dans Paramètres",IF(C12="","Poste manquant",IF(ISNA(MATCH(C12,po_code,0)),"Poste inconnu",IF(AND(E12&lt;&gt;"",ISNA(MATCH(E12,art_ref,0))),"Article inconnu",IF(IF(E12="",FALSE,INDEX(art_check,MATCH(E12,art_ref,0))&lt;&gt;"OK"),"Article à corriger (feuille Articles)",IF(COUNTIFS(sj_date,A12,sj_eq,B12,sj_po,C12)&gt;1,"Ligne en double (même jour, équipe et poste)",IF(OR(NOT(ISNUMBER(K12)),N(K12)&lt;=0,N(K12)&gt;1440),"Temps d'ouverture invalide",IF(OR(AND(G12&lt;&gt;"",NOT(ISNUMBER(G12))),N(G12)&lt;0,N(G12)&lt;&gt;INT(N(G12)),AND(H12&lt;&gt;"",NOT(ISNUMBER(H12))),N(H12)&lt;0,N(H12)&lt;&gt;INT(N(H12)),AND(I12&lt;&gt;"",NOT(ISNUMBER(I12))),N(I12)&lt;0,N(I12)&lt;&gt;INT(N(I12))),"Quantité invalide",IF(Q12&lt;=0,"Cadence manquante (poste ou article)",IF(M12&lt;=0,"Arrêts planifiés supérieurs au temps d'ouverture",IF(O12&lt;0,"Arrêts supérieurs au temps requis",IF(AND(P12&gt;0,O12=0),"Pièces déclarées sans temps de marche",IF(AND(P12=0,O12&gt;0),"Aucune pièce déclarée",IF(P12*60/Q12&gt;O12+0.001,"Cadence dépassée : vérifiez la cadence","OK"))))))))))))))))))</f>
        <v>OK</v>
      </c>
      <c r="AC12">
        <f>IF(OR(AB12="OK",AB12="Aucune pièce déclarée",AB12="Cadence dépassée : vérifiez la cadence"),1,0)</f>
        <v>1.0</v>
      </c>
      <c r="AD12">
        <f>IF(AND(AC12=1,A12&gt;=p_from,A12&lt;=p_to),1,0)</f>
        <v>1.0</v>
      </c>
      <c r="AE12">
        <f>IF(AD12=1,IF(COUNTIFS($A$6:A12,A12,$AD$6:AD12,1)=1,1,0),0)</f>
        <v>0.0</v>
      </c>
      <c r="AF12" t="str">
        <f>IF(AE12=1,COUNTIFS(sj_first,1,sj_date,"&lt;"&amp;A12)+1,"")</f>
        <v/>
      </c>
      <c r="AG12" t="str">
        <f>IF(AND(AD12=1,N(W12)&lt;p_alert),ROUND(W12,4),"")</f>
        <v/>
      </c>
      <c r="AH12" t="str">
        <f>IF(AG12="","",COUNTIF(sj_akey,"&lt;"&amp;AG12)+COUNTIF($AG$6:AG12,AG12))</f>
        <v/>
      </c>
    </row>
    <row r="13">
      <c r="A13" s="51" t="n">
        <v>46286</v>
      </c>
      <c r="B13" s="52" t="inlineStr">
        <is>
          <t>Journée</t>
        </is>
      </c>
      <c r="C13" s="52" t="inlineStr">
        <is>
          <t>PLIE</t>
        </is>
      </c>
      <c r="D13" s="53" t="inlineStr">
        <is>
          <t>OF-2609-108</t>
        </is>
      </c>
      <c r="E13" s="53" t="inlineStr">
        <is>
          <t>SUP-MOT-01</t>
        </is>
      </c>
      <c r="F13" s="54" t="n"/>
      <c r="G13" s="54" t="n">
        <v>372</v>
      </c>
      <c r="H13" s="54" t="n">
        <v>1</v>
      </c>
      <c r="I13" s="54" t="n">
        <v>2</v>
      </c>
      <c r="J13" s="53" t="n"/>
      <c r="K13" s="55">
        <f>IF(COUNTA(A13:I13)=0,"",IF(F13="",IFERROR(INDEX(eq_dur,MATCH(B13,eq_code,0)),""),F13))</f>
        <v>540.0</v>
      </c>
      <c r="L13" s="55">
        <f>IF(ISNUMBER(K13),N(IFERROR(INDEX(eq_pause,MATCH(B13,eq_code,0)),0))+SUMIFS(st_min,st_date,A13,st_eq,B13,st_po,C13,st_type,"Planifié"),"")</f>
        <v>60.0</v>
      </c>
      <c r="M13" s="55">
        <f>IF(ISNUMBER(K13),K13-L13,"")</f>
        <v>480.0</v>
      </c>
      <c r="N13" s="55">
        <f>IF(ISNUMBER(K13),SUMIFS(st_min,st_date,A13,st_eq,B13,st_po,C13,st_type,"Non planifié"),"")</f>
        <v>162.0</v>
      </c>
      <c r="O13" s="55">
        <f>IF(ISNUMBER(K13),M13-N13,"")</f>
        <v>318.0</v>
      </c>
      <c r="P13" s="55">
        <f>IF(COUNTA(A13:I13)=0,"",N(G13)+N(H13)+N(I13))</f>
        <v>375.0</v>
      </c>
      <c r="Q13" s="56">
        <f>IF(COUNTA(A13:I13)=0,"",IF(N(IFERROR(INDEX(art_rate,MATCH(E13,art_ref,0)),0))&gt;0,N(IFERROR(INDEX(art_rate,MATCH(E13,art_ref,0)),0)),N(IFERROR(INDEX(po_rate,MATCH(C13,po_code,0)),0))))</f>
        <v>90.0</v>
      </c>
      <c r="R13" s="55">
        <f>IF(AC13=1,P13*60/Q13,"")</f>
        <v>250.0</v>
      </c>
      <c r="S13" s="55">
        <f>IF(AC13=1,N(G13)*60/Q13,"")</f>
        <v>248.0</v>
      </c>
      <c r="T13" s="57">
        <f>IF(AC13=1,O13/M13,"")</f>
        <v>0.6625</v>
      </c>
      <c r="U13" s="57">
        <f>IF(AC13=1,IF(O13&gt;0,R13/O13,""),"")</f>
        <v>0.786163522012579</v>
      </c>
      <c r="V13" s="57">
        <f>IF(AC13=1,IF(P13&gt;0,N(G13)/P13,""),"")</f>
        <v>0.992</v>
      </c>
      <c r="W13" s="57">
        <f>IF(AC13=1,S13/M13,"")</f>
        <v>0.516666666666667</v>
      </c>
      <c r="X13" s="57">
        <f>IF(AC13=1,S13/K13,"")</f>
        <v>0.459259259259259</v>
      </c>
      <c r="Y13" s="58" t="str">
        <f>IF(W13="","",IF(W13&gt;=p_target,"Bon",IF(W13&gt;=p_alert,"À surveiller","Faible")))</f>
        <v>Faible</v>
      </c>
      <c r="Z13" s="58" t="str">
        <f>IF(W13="","",IF(MIN(IF(T13="",1,T13),IF(U13="",1,U13),IF(V13="",1,V13))&gt;=1,"Aucune",IF(IF(T13="",1,T13)&lt;=MIN(IF(U13="",1,U13),IF(V13="",1,V13)),"Disponibilité",IF(IF(U13="",1,U13)&lt;=IF(V13="",1,V13),"Performance","Qualité"))))</f>
        <v>Disponibilité</v>
      </c>
      <c r="AA13" s="59">
        <f>IF(AC13=1,N(H13)*N(IFERROR(INDEX(art_cost,MATCH(E13,art_ref,0)),0)),"")</f>
        <v>64.0</v>
      </c>
      <c r="AB13" s="58" t="str">
        <f>IF(COUNTA(A13:I13)=0,"",IF(N(A13)&lt;=0,"Date manquante ou invalide",IF(B13="","Équipe manquante",IF(ISNA(MATCH(B13,eq_code,0)),"Équipe inconnue",IF(INDEX(eq_check,MATCH(B13,eq_code,0))&lt;&gt;"OK","Équipe à corriger dans Paramètres",IF(C13="","Poste manquant",IF(ISNA(MATCH(C13,po_code,0)),"Poste inconnu",IF(AND(E13&lt;&gt;"",ISNA(MATCH(E13,art_ref,0))),"Article inconnu",IF(IF(E13="",FALSE,INDEX(art_check,MATCH(E13,art_ref,0))&lt;&gt;"OK"),"Article à corriger (feuille Articles)",IF(COUNTIFS(sj_date,A13,sj_eq,B13,sj_po,C13)&gt;1,"Ligne en double (même jour, équipe et poste)",IF(OR(NOT(ISNUMBER(K13)),N(K13)&lt;=0,N(K13)&gt;1440),"Temps d'ouverture invalide",IF(OR(AND(G13&lt;&gt;"",NOT(ISNUMBER(G13))),N(G13)&lt;0,N(G13)&lt;&gt;INT(N(G13)),AND(H13&lt;&gt;"",NOT(ISNUMBER(H13))),N(H13)&lt;0,N(H13)&lt;&gt;INT(N(H13)),AND(I13&lt;&gt;"",NOT(ISNUMBER(I13))),N(I13)&lt;0,N(I13)&lt;&gt;INT(N(I13))),"Quantité invalide",IF(Q13&lt;=0,"Cadence manquante (poste ou article)",IF(M13&lt;=0,"Arrêts planifiés supérieurs au temps d'ouverture",IF(O13&lt;0,"Arrêts supérieurs au temps requis",IF(AND(P13&gt;0,O13=0),"Pièces déclarées sans temps de marche",IF(AND(P13=0,O13&gt;0),"Aucune pièce déclarée",IF(P13*60/Q13&gt;O13+0.001,"Cadence dépassée : vérifiez la cadence","OK"))))))))))))))))))</f>
        <v>OK</v>
      </c>
      <c r="AC13">
        <f>IF(OR(AB13="OK",AB13="Aucune pièce déclarée",AB13="Cadence dépassée : vérifiez la cadence"),1,0)</f>
        <v>1.0</v>
      </c>
      <c r="AD13">
        <f>IF(AND(AC13=1,A13&gt;=p_from,A13&lt;=p_to),1,0)</f>
        <v>1.0</v>
      </c>
      <c r="AE13">
        <f>IF(AD13=1,IF(COUNTIFS($A$6:A13,A13,$AD$6:AD13,1)=1,1,0),0)</f>
        <v>0.0</v>
      </c>
      <c r="AF13" t="str">
        <f>IF(AE13=1,COUNTIFS(sj_first,1,sj_date,"&lt;"&amp;A13)+1,"")</f>
        <v/>
      </c>
      <c r="AG13">
        <f>IF(AND(AD13=1,N(W13)&lt;p_alert),ROUND(W13,4),"")</f>
        <v>0.5167</v>
      </c>
      <c r="AH13">
        <f>IF(AG13="","",COUNTIF(sj_akey,"&lt;"&amp;AG13)+COUNTIF($AG$6:AG13,AG13))</f>
        <v>24.0</v>
      </c>
    </row>
    <row r="14">
      <c r="A14" s="51" t="n">
        <v>46286</v>
      </c>
      <c r="B14" s="52" t="inlineStr">
        <is>
          <t>Matin</t>
        </is>
      </c>
      <c r="C14" s="52" t="inlineStr">
        <is>
          <t>SOUD</t>
        </is>
      </c>
      <c r="D14" s="53" t="inlineStr">
        <is>
          <t>OF-2609-109</t>
        </is>
      </c>
      <c r="E14" s="53" t="inlineStr">
        <is>
          <t>BRA-SUS-02</t>
        </is>
      </c>
      <c r="F14" s="54" t="n"/>
      <c r="G14" s="54" t="n">
        <v>91</v>
      </c>
      <c r="H14" s="54" t="n">
        <v>2</v>
      </c>
      <c r="I14" s="54" t="n">
        <v>0</v>
      </c>
      <c r="J14" s="53" t="n"/>
      <c r="K14" s="55">
        <f>IF(COUNTA(A14:I14)=0,"",IF(F14="",IFERROR(INDEX(eq_dur,MATCH(B14,eq_code,0)),""),F14))</f>
        <v>480.0</v>
      </c>
      <c r="L14" s="55">
        <f>IF(ISNUMBER(K14),N(IFERROR(INDEX(eq_pause,MATCH(B14,eq_code,0)),0))+SUMIFS(st_min,st_date,A14,st_eq,B14,st_po,C14,st_type,"Planifié"),"")</f>
        <v>30.0</v>
      </c>
      <c r="M14" s="55">
        <f>IF(ISNUMBER(K14),K14-L14,"")</f>
        <v>450.0</v>
      </c>
      <c r="N14" s="55">
        <f>IF(ISNUMBER(K14),SUMIFS(st_min,st_date,A14,st_eq,B14,st_po,C14,st_type,"Non planifié"),"")</f>
        <v>111.0</v>
      </c>
      <c r="O14" s="55">
        <f>IF(ISNUMBER(K14),M14-N14,"")</f>
        <v>339.0</v>
      </c>
      <c r="P14" s="55">
        <f>IF(COUNTA(A14:I14)=0,"",N(G14)+N(H14)+N(I14))</f>
        <v>93.0</v>
      </c>
      <c r="Q14" s="56">
        <f>IF(COUNTA(A14:I14)=0,"",IF(N(IFERROR(INDEX(art_rate,MATCH(E14,art_ref,0)),0))&gt;0,N(IFERROR(INDEX(art_rate,MATCH(E14,art_ref,0)),0)),N(IFERROR(INDEX(po_rate,MATCH(C14,po_code,0)),0))))</f>
        <v>20.0</v>
      </c>
      <c r="R14" s="55">
        <f>IF(AC14=1,P14*60/Q14,"")</f>
        <v>279.0</v>
      </c>
      <c r="S14" s="55">
        <f>IF(AC14=1,N(G14)*60/Q14,"")</f>
        <v>273.0</v>
      </c>
      <c r="T14" s="57">
        <f>IF(AC14=1,O14/M14,"")</f>
        <v>0.753333333333333</v>
      </c>
      <c r="U14" s="57">
        <f>IF(AC14=1,IF(O14&gt;0,R14/O14,""),"")</f>
        <v>0.823008849557522</v>
      </c>
      <c r="V14" s="57">
        <f>IF(AC14=1,IF(P14&gt;0,N(G14)/P14,""),"")</f>
        <v>0.978494623655914</v>
      </c>
      <c r="W14" s="57">
        <f>IF(AC14=1,S14/M14,"")</f>
        <v>0.606666666666667</v>
      </c>
      <c r="X14" s="57">
        <f>IF(AC14=1,S14/K14,"")</f>
        <v>0.56875</v>
      </c>
      <c r="Y14" s="58" t="str">
        <f>IF(W14="","",IF(W14&gt;=p_target,"Bon",IF(W14&gt;=p_alert,"À surveiller","Faible")))</f>
        <v>À surveiller</v>
      </c>
      <c r="Z14" s="58" t="str">
        <f>IF(W14="","",IF(MIN(IF(T14="",1,T14),IF(U14="",1,U14),IF(V14="",1,V14))&gt;=1,"Aucune",IF(IF(T14="",1,T14)&lt;=MIN(IF(U14="",1,U14),IF(V14="",1,V14)),"Disponibilité",IF(IF(U14="",1,U14)&lt;=IF(V14="",1,V14),"Performance","Qualité"))))</f>
        <v>Disponibilité</v>
      </c>
      <c r="AA14" s="59">
        <f>IF(AC14=1,N(H14)*N(IFERROR(INDEX(art_cost,MATCH(E14,art_ref,0)),0)),"")</f>
        <v>476.0</v>
      </c>
      <c r="AB14" s="58" t="str">
        <f>IF(COUNTA(A14:I14)=0,"",IF(N(A14)&lt;=0,"Date manquante ou invalide",IF(B14="","Équipe manquante",IF(ISNA(MATCH(B14,eq_code,0)),"Équipe inconnue",IF(INDEX(eq_check,MATCH(B14,eq_code,0))&lt;&gt;"OK","Équipe à corriger dans Paramètres",IF(C14="","Poste manquant",IF(ISNA(MATCH(C14,po_code,0)),"Poste inconnu",IF(AND(E14&lt;&gt;"",ISNA(MATCH(E14,art_ref,0))),"Article inconnu",IF(IF(E14="",FALSE,INDEX(art_check,MATCH(E14,art_ref,0))&lt;&gt;"OK"),"Article à corriger (feuille Articles)",IF(COUNTIFS(sj_date,A14,sj_eq,B14,sj_po,C14)&gt;1,"Ligne en double (même jour, équipe et poste)",IF(OR(NOT(ISNUMBER(K14)),N(K14)&lt;=0,N(K14)&gt;1440),"Temps d'ouverture invalide",IF(OR(AND(G14&lt;&gt;"",NOT(ISNUMBER(G14))),N(G14)&lt;0,N(G14)&lt;&gt;INT(N(G14)),AND(H14&lt;&gt;"",NOT(ISNUMBER(H14))),N(H14)&lt;0,N(H14)&lt;&gt;INT(N(H14)),AND(I14&lt;&gt;"",NOT(ISNUMBER(I14))),N(I14)&lt;0,N(I14)&lt;&gt;INT(N(I14))),"Quantité invalide",IF(Q14&lt;=0,"Cadence manquante (poste ou article)",IF(M14&lt;=0,"Arrêts planifiés supérieurs au temps d'ouverture",IF(O14&lt;0,"Arrêts supérieurs au temps requis",IF(AND(P14&gt;0,O14=0),"Pièces déclarées sans temps de marche",IF(AND(P14=0,O14&gt;0),"Aucune pièce déclarée",IF(P14*60/Q14&gt;O14+0.001,"Cadence dépassée : vérifiez la cadence","OK"))))))))))))))))))</f>
        <v>OK</v>
      </c>
      <c r="AC14">
        <f>IF(OR(AB14="OK",AB14="Aucune pièce déclarée",AB14="Cadence dépassée : vérifiez la cadence"),1,0)</f>
        <v>1.0</v>
      </c>
      <c r="AD14">
        <f>IF(AND(AC14=1,A14&gt;=p_from,A14&lt;=p_to),1,0)</f>
        <v>1.0</v>
      </c>
      <c r="AE14">
        <f>IF(AD14=1,IF(COUNTIFS($A$6:A14,A14,$AD$6:AD14,1)=1,1,0),0)</f>
        <v>0.0</v>
      </c>
      <c r="AF14" t="str">
        <f>IF(AE14=1,COUNTIFS(sj_first,1,sj_date,"&lt;"&amp;A14)+1,"")</f>
        <v/>
      </c>
      <c r="AG14" t="str">
        <f>IF(AND(AD14=1,N(W14)&lt;p_alert),ROUND(W14,4),"")</f>
        <v/>
      </c>
      <c r="AH14" t="str">
        <f>IF(AG14="","",COUNTIF(sj_akey,"&lt;"&amp;AG14)+COUNTIF($AG$6:AG14,AG14))</f>
        <v/>
      </c>
    </row>
    <row r="15">
      <c r="A15" s="51" t="n">
        <v>46286</v>
      </c>
      <c r="B15" s="52" t="inlineStr">
        <is>
          <t>Après-midi</t>
        </is>
      </c>
      <c r="C15" s="52" t="inlineStr">
        <is>
          <t>SOUD</t>
        </is>
      </c>
      <c r="D15" s="53" t="inlineStr">
        <is>
          <t>OF-2609-110</t>
        </is>
      </c>
      <c r="E15" s="53" t="inlineStr">
        <is>
          <t>BRA-SUS-02</t>
        </is>
      </c>
      <c r="F15" s="54" t="n"/>
      <c r="G15" s="54" t="n">
        <v>92</v>
      </c>
      <c r="H15" s="54" t="n">
        <v>0</v>
      </c>
      <c r="I15" s="54" t="n">
        <v>0</v>
      </c>
      <c r="J15" s="53" t="n"/>
      <c r="K15" s="55">
        <f>IF(COUNTA(A15:I15)=0,"",IF(F15="",IFERROR(INDEX(eq_dur,MATCH(B15,eq_code,0)),""),F15))</f>
        <v>480.0</v>
      </c>
      <c r="L15" s="55">
        <f>IF(ISNUMBER(K15),N(IFERROR(INDEX(eq_pause,MATCH(B15,eq_code,0)),0))+SUMIFS(st_min,st_date,A15,st_eq,B15,st_po,C15,st_type,"Planifié"),"")</f>
        <v>30.0</v>
      </c>
      <c r="M15" s="55">
        <f>IF(ISNUMBER(K15),K15-L15,"")</f>
        <v>450.0</v>
      </c>
      <c r="N15" s="55">
        <f>IF(ISNUMBER(K15),SUMIFS(st_min,st_date,A15,st_eq,B15,st_po,C15,st_type,"Non planifié"),"")</f>
        <v>101.0</v>
      </c>
      <c r="O15" s="55">
        <f>IF(ISNUMBER(K15),M15-N15,"")</f>
        <v>349.0</v>
      </c>
      <c r="P15" s="55">
        <f>IF(COUNTA(A15:I15)=0,"",N(G15)+N(H15)+N(I15))</f>
        <v>92.0</v>
      </c>
      <c r="Q15" s="56">
        <f>IF(COUNTA(A15:I15)=0,"",IF(N(IFERROR(INDEX(art_rate,MATCH(E15,art_ref,0)),0))&gt;0,N(IFERROR(INDEX(art_rate,MATCH(E15,art_ref,0)),0)),N(IFERROR(INDEX(po_rate,MATCH(C15,po_code,0)),0))))</f>
        <v>20.0</v>
      </c>
      <c r="R15" s="55">
        <f>IF(AC15=1,P15*60/Q15,"")</f>
        <v>276.0</v>
      </c>
      <c r="S15" s="55">
        <f>IF(AC15=1,N(G15)*60/Q15,"")</f>
        <v>276.0</v>
      </c>
      <c r="T15" s="57">
        <f>IF(AC15=1,O15/M15,"")</f>
        <v>0.775555555555556</v>
      </c>
      <c r="U15" s="57">
        <f>IF(AC15=1,IF(O15&gt;0,R15/O15,""),"")</f>
        <v>0.790830945558739</v>
      </c>
      <c r="V15" s="57">
        <f>IF(AC15=1,IF(P15&gt;0,N(G15)/P15,""),"")</f>
        <v>1.0</v>
      </c>
      <c r="W15" s="57">
        <f>IF(AC15=1,S15/M15,"")</f>
        <v>0.613333333333333</v>
      </c>
      <c r="X15" s="57">
        <f>IF(AC15=1,S15/K15,"")</f>
        <v>0.575</v>
      </c>
      <c r="Y15" s="58" t="str">
        <f>IF(W15="","",IF(W15&gt;=p_target,"Bon",IF(W15&gt;=p_alert,"À surveiller","Faible")))</f>
        <v>À surveiller</v>
      </c>
      <c r="Z15" s="58" t="str">
        <f>IF(W15="","",IF(MIN(IF(T15="",1,T15),IF(U15="",1,U15),IF(V15="",1,V15))&gt;=1,"Aucune",IF(IF(T15="",1,T15)&lt;=MIN(IF(U15="",1,U15),IF(V15="",1,V15)),"Disponibilité",IF(IF(U15="",1,U15)&lt;=IF(V15="",1,V15),"Performance","Qualité"))))</f>
        <v>Disponibilité</v>
      </c>
      <c r="AA15" s="59">
        <f>IF(AC15=1,N(H15)*N(IFERROR(INDEX(art_cost,MATCH(E15,art_ref,0)),0)),"")</f>
        <v>0.0</v>
      </c>
      <c r="AB15" s="58" t="str">
        <f>IF(COUNTA(A15:I15)=0,"",IF(N(A15)&lt;=0,"Date manquante ou invalide",IF(B15="","Équipe manquante",IF(ISNA(MATCH(B15,eq_code,0)),"Équipe inconnue",IF(INDEX(eq_check,MATCH(B15,eq_code,0))&lt;&gt;"OK","Équipe à corriger dans Paramètres",IF(C15="","Poste manquant",IF(ISNA(MATCH(C15,po_code,0)),"Poste inconnu",IF(AND(E15&lt;&gt;"",ISNA(MATCH(E15,art_ref,0))),"Article inconnu",IF(IF(E15="",FALSE,INDEX(art_check,MATCH(E15,art_ref,0))&lt;&gt;"OK"),"Article à corriger (feuille Articles)",IF(COUNTIFS(sj_date,A15,sj_eq,B15,sj_po,C15)&gt;1,"Ligne en double (même jour, équipe et poste)",IF(OR(NOT(ISNUMBER(K15)),N(K15)&lt;=0,N(K15)&gt;1440),"Temps d'ouverture invalide",IF(OR(AND(G15&lt;&gt;"",NOT(ISNUMBER(G15))),N(G15)&lt;0,N(G15)&lt;&gt;INT(N(G15)),AND(H15&lt;&gt;"",NOT(ISNUMBER(H15))),N(H15)&lt;0,N(H15)&lt;&gt;INT(N(H15)),AND(I15&lt;&gt;"",NOT(ISNUMBER(I15))),N(I15)&lt;0,N(I15)&lt;&gt;INT(N(I15))),"Quantité invalide",IF(Q15&lt;=0,"Cadence manquante (poste ou article)",IF(M15&lt;=0,"Arrêts planifiés supérieurs au temps d'ouverture",IF(O15&lt;0,"Arrêts supérieurs au temps requis",IF(AND(P15&gt;0,O15=0),"Pièces déclarées sans temps de marche",IF(AND(P15=0,O15&gt;0),"Aucune pièce déclarée",IF(P15*60/Q15&gt;O15+0.001,"Cadence dépassée : vérifiez la cadence","OK"))))))))))))))))))</f>
        <v>OK</v>
      </c>
      <c r="AC15">
        <f>IF(OR(AB15="OK",AB15="Aucune pièce déclarée",AB15="Cadence dépassée : vérifiez la cadence"),1,0)</f>
        <v>1.0</v>
      </c>
      <c r="AD15">
        <f>IF(AND(AC15=1,A15&gt;=p_from,A15&lt;=p_to),1,0)</f>
        <v>1.0</v>
      </c>
      <c r="AE15">
        <f>IF(AD15=1,IF(COUNTIFS($A$6:A15,A15,$AD$6:AD15,1)=1,1,0),0)</f>
        <v>0.0</v>
      </c>
      <c r="AF15" t="str">
        <f>IF(AE15=1,COUNTIFS(sj_first,1,sj_date,"&lt;"&amp;A15)+1,"")</f>
        <v/>
      </c>
      <c r="AG15" t="str">
        <f>IF(AND(AD15=1,N(W15)&lt;p_alert),ROUND(W15,4),"")</f>
        <v/>
      </c>
      <c r="AH15" t="str">
        <f>IF(AG15="","",COUNTIF(sj_akey,"&lt;"&amp;AG15)+COUNTIF($AG$6:AG15,AG15))</f>
        <v/>
      </c>
    </row>
    <row r="16">
      <c r="A16" s="51" t="n">
        <v>46287</v>
      </c>
      <c r="B16" s="52" t="inlineStr">
        <is>
          <t>Matin</t>
        </is>
      </c>
      <c r="C16" s="52" t="inlineStr">
        <is>
          <t>TOUR1</t>
        </is>
      </c>
      <c r="D16" s="53" t="inlineStr">
        <is>
          <t>OF-2609-111</t>
        </is>
      </c>
      <c r="E16" s="53" t="inlineStr">
        <is>
          <t>BAG-BR-32</t>
        </is>
      </c>
      <c r="F16" s="54" t="n"/>
      <c r="G16" s="54" t="n">
        <v>234</v>
      </c>
      <c r="H16" s="54" t="n">
        <v>0</v>
      </c>
      <c r="I16" s="54" t="n">
        <v>2</v>
      </c>
      <c r="J16" s="53" t="n"/>
      <c r="K16" s="55">
        <f>IF(COUNTA(A16:I16)=0,"",IF(F16="",IFERROR(INDEX(eq_dur,MATCH(B16,eq_code,0)),""),F16))</f>
        <v>480.0</v>
      </c>
      <c r="L16" s="55">
        <f>IF(ISNUMBER(K16),N(IFERROR(INDEX(eq_pause,MATCH(B16,eq_code,0)),0))+SUMIFS(st_min,st_date,A16,st_eq,B16,st_po,C16,st_type,"Planifié"),"")</f>
        <v>30.0</v>
      </c>
      <c r="M16" s="55">
        <f>IF(ISNUMBER(K16),K16-L16,"")</f>
        <v>450.0</v>
      </c>
      <c r="N16" s="55">
        <f>IF(ISNUMBER(K16),SUMIFS(st_min,st_date,A16,st_eq,B16,st_po,C16,st_type,"Non planifié"),"")</f>
        <v>44.0</v>
      </c>
      <c r="O16" s="55">
        <f>IF(ISNUMBER(K16),M16-N16,"")</f>
        <v>406.0</v>
      </c>
      <c r="P16" s="55">
        <f>IF(COUNTA(A16:I16)=0,"",N(G16)+N(H16)+N(I16))</f>
        <v>236.0</v>
      </c>
      <c r="Q16" s="56">
        <f>IF(COUNTA(A16:I16)=0,"",IF(N(IFERROR(INDEX(art_rate,MATCH(E16,art_ref,0)),0))&gt;0,N(IFERROR(INDEX(art_rate,MATCH(E16,art_ref,0)),0)),N(IFERROR(INDEX(po_rate,MATCH(C16,po_code,0)),0))))</f>
        <v>40.0</v>
      </c>
      <c r="R16" s="55">
        <f>IF(AC16=1,P16*60/Q16,"")</f>
        <v>354.0</v>
      </c>
      <c r="S16" s="55">
        <f>IF(AC16=1,N(G16)*60/Q16,"")</f>
        <v>351.0</v>
      </c>
      <c r="T16" s="57">
        <f>IF(AC16=1,O16/M16,"")</f>
        <v>0.902222222222222</v>
      </c>
      <c r="U16" s="57">
        <f>IF(AC16=1,IF(O16&gt;0,R16/O16,""),"")</f>
        <v>0.87192118226601</v>
      </c>
      <c r="V16" s="57">
        <f>IF(AC16=1,IF(P16&gt;0,N(G16)/P16,""),"")</f>
        <v>0.991525423728814</v>
      </c>
      <c r="W16" s="57">
        <f>IF(AC16=1,S16/M16,"")</f>
        <v>0.78</v>
      </c>
      <c r="X16" s="57">
        <f>IF(AC16=1,S16/K16,"")</f>
        <v>0.73125</v>
      </c>
      <c r="Y16" s="58" t="str">
        <f>IF(W16="","",IF(W16&gt;=p_target,"Bon",IF(W16&gt;=p_alert,"À surveiller","Faible")))</f>
        <v>Bon</v>
      </c>
      <c r="Z16" s="58" t="str">
        <f>IF(W16="","",IF(MIN(IF(T16="",1,T16),IF(U16="",1,U16),IF(V16="",1,V16))&gt;=1,"Aucune",IF(IF(T16="",1,T16)&lt;=MIN(IF(U16="",1,U16),IF(V16="",1,V16)),"Disponibilité",IF(IF(U16="",1,U16)&lt;=IF(V16="",1,V16),"Performance","Qualité"))))</f>
        <v>Performance</v>
      </c>
      <c r="AA16" s="59">
        <f>IF(AC16=1,N(H16)*N(IFERROR(INDEX(art_cost,MATCH(E16,art_ref,0)),0)),"")</f>
        <v>0.0</v>
      </c>
      <c r="AB16" s="58" t="str">
        <f>IF(COUNTA(A16:I16)=0,"",IF(N(A16)&lt;=0,"Date manquante ou invalide",IF(B16="","Équipe manquante",IF(ISNA(MATCH(B16,eq_code,0)),"Équipe inconnue",IF(INDEX(eq_check,MATCH(B16,eq_code,0))&lt;&gt;"OK","Équipe à corriger dans Paramètres",IF(C16="","Poste manquant",IF(ISNA(MATCH(C16,po_code,0)),"Poste inconnu",IF(AND(E16&lt;&gt;"",ISNA(MATCH(E16,art_ref,0))),"Article inconnu",IF(IF(E16="",FALSE,INDEX(art_check,MATCH(E16,art_ref,0))&lt;&gt;"OK"),"Article à corriger (feuille Articles)",IF(COUNTIFS(sj_date,A16,sj_eq,B16,sj_po,C16)&gt;1,"Ligne en double (même jour, équipe et poste)",IF(OR(NOT(ISNUMBER(K16)),N(K16)&lt;=0,N(K16)&gt;1440),"Temps d'ouverture invalide",IF(OR(AND(G16&lt;&gt;"",NOT(ISNUMBER(G16))),N(G16)&lt;0,N(G16)&lt;&gt;INT(N(G16)),AND(H16&lt;&gt;"",NOT(ISNUMBER(H16))),N(H16)&lt;0,N(H16)&lt;&gt;INT(N(H16)),AND(I16&lt;&gt;"",NOT(ISNUMBER(I16))),N(I16)&lt;0,N(I16)&lt;&gt;INT(N(I16))),"Quantité invalide",IF(Q16&lt;=0,"Cadence manquante (poste ou article)",IF(M16&lt;=0,"Arrêts planifiés supérieurs au temps d'ouverture",IF(O16&lt;0,"Arrêts supérieurs au temps requis",IF(AND(P16&gt;0,O16=0),"Pièces déclarées sans temps de marche",IF(AND(P16=0,O16&gt;0),"Aucune pièce déclarée",IF(P16*60/Q16&gt;O16+0.001,"Cadence dépassée : vérifiez la cadence","OK"))))))))))))))))))</f>
        <v>OK</v>
      </c>
      <c r="AC16">
        <f>IF(OR(AB16="OK",AB16="Aucune pièce déclarée",AB16="Cadence dépassée : vérifiez la cadence"),1,0)</f>
        <v>1.0</v>
      </c>
      <c r="AD16">
        <f>IF(AND(AC16=1,A16&gt;=p_from,A16&lt;=p_to),1,0)</f>
        <v>1.0</v>
      </c>
      <c r="AE16">
        <f>IF(AD16=1,IF(COUNTIFS($A$6:A16,A16,$AD$6:AD16,1)=1,1,0),0)</f>
        <v>1.0</v>
      </c>
      <c r="AF16">
        <f>IF(AE16=1,COUNTIFS(sj_first,1,sj_date,"&lt;"&amp;A16)+1,"")</f>
        <v>2.0</v>
      </c>
      <c r="AG16" t="str">
        <f>IF(AND(AD16=1,N(W16)&lt;p_alert),ROUND(W16,4),"")</f>
        <v/>
      </c>
      <c r="AH16" t="str">
        <f>IF(AG16="","",COUNTIF(sj_akey,"&lt;"&amp;AG16)+COUNTIF($AG$6:AG16,AG16))</f>
        <v/>
      </c>
    </row>
    <row r="17">
      <c r="A17" s="51" t="n">
        <v>46287</v>
      </c>
      <c r="B17" s="52" t="inlineStr">
        <is>
          <t>Après-midi</t>
        </is>
      </c>
      <c r="C17" s="52" t="inlineStr">
        <is>
          <t>TOUR1</t>
        </is>
      </c>
      <c r="D17" s="53" t="inlineStr">
        <is>
          <t>OF-2609-112</t>
        </is>
      </c>
      <c r="E17" s="53" t="inlineStr">
        <is>
          <t>BAG-BR-32</t>
        </is>
      </c>
      <c r="F17" s="54" t="n"/>
      <c r="G17" s="54" t="n">
        <v>253</v>
      </c>
      <c r="H17" s="54" t="n">
        <v>0</v>
      </c>
      <c r="I17" s="54" t="n">
        <v>2</v>
      </c>
      <c r="J17" s="53" t="n"/>
      <c r="K17" s="55">
        <f>IF(COUNTA(A17:I17)=0,"",IF(F17="",IFERROR(INDEX(eq_dur,MATCH(B17,eq_code,0)),""),F17))</f>
        <v>480.0</v>
      </c>
      <c r="L17" s="55">
        <f>IF(ISNUMBER(K17),N(IFERROR(INDEX(eq_pause,MATCH(B17,eq_code,0)),0))+SUMIFS(st_min,st_date,A17,st_eq,B17,st_po,C17,st_type,"Planifié"),"")</f>
        <v>30.0</v>
      </c>
      <c r="M17" s="55">
        <f>IF(ISNUMBER(K17),K17-L17,"")</f>
        <v>450.0</v>
      </c>
      <c r="N17" s="55">
        <f>IF(ISNUMBER(K17),SUMIFS(st_min,st_date,A17,st_eq,B17,st_po,C17,st_type,"Non planifié"),"")</f>
        <v>46.0</v>
      </c>
      <c r="O17" s="55">
        <f>IF(ISNUMBER(K17),M17-N17,"")</f>
        <v>404.0</v>
      </c>
      <c r="P17" s="55">
        <f>IF(COUNTA(A17:I17)=0,"",N(G17)+N(H17)+N(I17))</f>
        <v>255.0</v>
      </c>
      <c r="Q17" s="56">
        <f>IF(COUNTA(A17:I17)=0,"",IF(N(IFERROR(INDEX(art_rate,MATCH(E17,art_ref,0)),0))&gt;0,N(IFERROR(INDEX(art_rate,MATCH(E17,art_ref,0)),0)),N(IFERROR(INDEX(po_rate,MATCH(C17,po_code,0)),0))))</f>
        <v>40.0</v>
      </c>
      <c r="R17" s="55">
        <f>IF(AC17=1,P17*60/Q17,"")</f>
        <v>382.5</v>
      </c>
      <c r="S17" s="55">
        <f>IF(AC17=1,N(G17)*60/Q17,"")</f>
        <v>379.5</v>
      </c>
      <c r="T17" s="57">
        <f>IF(AC17=1,O17/M17,"")</f>
        <v>0.897777777777778</v>
      </c>
      <c r="U17" s="57">
        <f>IF(AC17=1,IF(O17&gt;0,R17/O17,""),"")</f>
        <v>0.946782178217822</v>
      </c>
      <c r="V17" s="57">
        <f>IF(AC17=1,IF(P17&gt;0,N(G17)/P17,""),"")</f>
        <v>0.992156862745098</v>
      </c>
      <c r="W17" s="57">
        <f>IF(AC17=1,S17/M17,"")</f>
        <v>0.843333333333333</v>
      </c>
      <c r="X17" s="57">
        <f>IF(AC17=1,S17/K17,"")</f>
        <v>0.790625</v>
      </c>
      <c r="Y17" s="58" t="str">
        <f>IF(W17="","",IF(W17&gt;=p_target,"Bon",IF(W17&gt;=p_alert,"À surveiller","Faible")))</f>
        <v>Bon</v>
      </c>
      <c r="Z17" s="58" t="str">
        <f>IF(W17="","",IF(MIN(IF(T17="",1,T17),IF(U17="",1,U17),IF(V17="",1,V17))&gt;=1,"Aucune",IF(IF(T17="",1,T17)&lt;=MIN(IF(U17="",1,U17),IF(V17="",1,V17)),"Disponibilité",IF(IF(U17="",1,U17)&lt;=IF(V17="",1,V17),"Performance","Qualité"))))</f>
        <v>Disponibilité</v>
      </c>
      <c r="AA17" s="59">
        <f>IF(AC17=1,N(H17)*N(IFERROR(INDEX(art_cost,MATCH(E17,art_ref,0)),0)),"")</f>
        <v>0.0</v>
      </c>
      <c r="AB17" s="58" t="str">
        <f>IF(COUNTA(A17:I17)=0,"",IF(N(A17)&lt;=0,"Date manquante ou invalide",IF(B17="","Équipe manquante",IF(ISNA(MATCH(B17,eq_code,0)),"Équipe inconnue",IF(INDEX(eq_check,MATCH(B17,eq_code,0))&lt;&gt;"OK","Équipe à corriger dans Paramètres",IF(C17="","Poste manquant",IF(ISNA(MATCH(C17,po_code,0)),"Poste inconnu",IF(AND(E17&lt;&gt;"",ISNA(MATCH(E17,art_ref,0))),"Article inconnu",IF(IF(E17="",FALSE,INDEX(art_check,MATCH(E17,art_ref,0))&lt;&gt;"OK"),"Article à corriger (feuille Articles)",IF(COUNTIFS(sj_date,A17,sj_eq,B17,sj_po,C17)&gt;1,"Ligne en double (même jour, équipe et poste)",IF(OR(NOT(ISNUMBER(K17)),N(K17)&lt;=0,N(K17)&gt;1440),"Temps d'ouverture invalide",IF(OR(AND(G17&lt;&gt;"",NOT(ISNUMBER(G17))),N(G17)&lt;0,N(G17)&lt;&gt;INT(N(G17)),AND(H17&lt;&gt;"",NOT(ISNUMBER(H17))),N(H17)&lt;0,N(H17)&lt;&gt;INT(N(H17)),AND(I17&lt;&gt;"",NOT(ISNUMBER(I17))),N(I17)&lt;0,N(I17)&lt;&gt;INT(N(I17))),"Quantité invalide",IF(Q17&lt;=0,"Cadence manquante (poste ou article)",IF(M17&lt;=0,"Arrêts planifiés supérieurs au temps d'ouverture",IF(O17&lt;0,"Arrêts supérieurs au temps requis",IF(AND(P17&gt;0,O17=0),"Pièces déclarées sans temps de marche",IF(AND(P17=0,O17&gt;0),"Aucune pièce déclarée",IF(P17*60/Q17&gt;O17+0.001,"Cadence dépassée : vérifiez la cadence","OK"))))))))))))))))))</f>
        <v>OK</v>
      </c>
      <c r="AC17">
        <f>IF(OR(AB17="OK",AB17="Aucune pièce déclarée",AB17="Cadence dépassée : vérifiez la cadence"),1,0)</f>
        <v>1.0</v>
      </c>
      <c r="AD17">
        <f>IF(AND(AC17=1,A17&gt;=p_from,A17&lt;=p_to),1,0)</f>
        <v>1.0</v>
      </c>
      <c r="AE17">
        <f>IF(AD17=1,IF(COUNTIFS($A$6:A17,A17,$AD$6:AD17,1)=1,1,0),0)</f>
        <v>0.0</v>
      </c>
      <c r="AF17" t="str">
        <f>IF(AE17=1,COUNTIFS(sj_first,1,sj_date,"&lt;"&amp;A17)+1,"")</f>
        <v/>
      </c>
      <c r="AG17" t="str">
        <f>IF(AND(AD17=1,N(W17)&lt;p_alert),ROUND(W17,4),"")</f>
        <v/>
      </c>
      <c r="AH17" t="str">
        <f>IF(AG17="","",COUNTIF(sj_akey,"&lt;"&amp;AG17)+COUNTIF($AG$6:AG17,AG17))</f>
        <v/>
      </c>
    </row>
    <row r="18">
      <c r="A18" s="51" t="n">
        <v>46287</v>
      </c>
      <c r="B18" s="52" t="inlineStr">
        <is>
          <t>Matin</t>
        </is>
      </c>
      <c r="C18" s="52" t="inlineStr">
        <is>
          <t>TOUR2</t>
        </is>
      </c>
      <c r="D18" s="53" t="inlineStr">
        <is>
          <t>OF-2609-103</t>
        </is>
      </c>
      <c r="E18" s="53" t="inlineStr">
        <is>
          <t>ENT-12</t>
        </is>
      </c>
      <c r="F18" s="54" t="n"/>
      <c r="G18" s="54" t="n">
        <v>345</v>
      </c>
      <c r="H18" s="54" t="n">
        <v>9</v>
      </c>
      <c r="I18" s="54" t="n">
        <v>0</v>
      </c>
      <c r="J18" s="53" t="n"/>
      <c r="K18" s="55">
        <f>IF(COUNTA(A18:I18)=0,"",IF(F18="",IFERROR(INDEX(eq_dur,MATCH(B18,eq_code,0)),""),F18))</f>
        <v>480.0</v>
      </c>
      <c r="L18" s="55">
        <f>IF(ISNUMBER(K18),N(IFERROR(INDEX(eq_pause,MATCH(B18,eq_code,0)),0))+SUMIFS(st_min,st_date,A18,st_eq,B18,st_po,C18,st_type,"Planifié"),"")</f>
        <v>30.0</v>
      </c>
      <c r="M18" s="55">
        <f>IF(ISNUMBER(K18),K18-L18,"")</f>
        <v>450.0</v>
      </c>
      <c r="N18" s="55">
        <f>IF(ISNUMBER(K18),SUMIFS(st_min,st_date,A18,st_eq,B18,st_po,C18,st_type,"Non planifié"),"")</f>
        <v>11.0</v>
      </c>
      <c r="O18" s="55">
        <f>IF(ISNUMBER(K18),M18-N18,"")</f>
        <v>439.0</v>
      </c>
      <c r="P18" s="55">
        <f>IF(COUNTA(A18:I18)=0,"",N(G18)+N(H18)+N(I18))</f>
        <v>354.0</v>
      </c>
      <c r="Q18" s="56">
        <f>IF(COUNTA(A18:I18)=0,"",IF(N(IFERROR(INDEX(art_rate,MATCH(E18,art_ref,0)),0))&gt;0,N(IFERROR(INDEX(art_rate,MATCH(E18,art_ref,0)),0)),N(IFERROR(INDEX(po_rate,MATCH(C18,po_code,0)),0))))</f>
        <v>55.0</v>
      </c>
      <c r="R18" s="55">
        <f>IF(AC18=1,P18*60/Q18,"")</f>
        <v>386.181818181818</v>
      </c>
      <c r="S18" s="55">
        <f>IF(AC18=1,N(G18)*60/Q18,"")</f>
        <v>376.363636363636</v>
      </c>
      <c r="T18" s="57">
        <f>IF(AC18=1,O18/M18,"")</f>
        <v>0.975555555555556</v>
      </c>
      <c r="U18" s="57">
        <f>IF(AC18=1,IF(O18&gt;0,R18/O18,""),"")</f>
        <v>0.87968523503831</v>
      </c>
      <c r="V18" s="57">
        <f>IF(AC18=1,IF(P18&gt;0,N(G18)/P18,""),"")</f>
        <v>0.974576271186441</v>
      </c>
      <c r="W18" s="57">
        <f>IF(AC18=1,S18/M18,"")</f>
        <v>0.836363636363636</v>
      </c>
      <c r="X18" s="57">
        <f>IF(AC18=1,S18/K18,"")</f>
        <v>0.784090909090909</v>
      </c>
      <c r="Y18" s="58" t="str">
        <f>IF(W18="","",IF(W18&gt;=p_target,"Bon",IF(W18&gt;=p_alert,"À surveiller","Faible")))</f>
        <v>Bon</v>
      </c>
      <c r="Z18" s="58" t="str">
        <f>IF(W18="","",IF(MIN(IF(T18="",1,T18),IF(U18="",1,U18),IF(V18="",1,V18))&gt;=1,"Aucune",IF(IF(T18="",1,T18)&lt;=MIN(IF(U18="",1,U18),IF(V18="",1,V18)),"Disponibilité",IF(IF(U18="",1,U18)&lt;=IF(V18="",1,V18),"Performance","Qualité"))))</f>
        <v>Performance</v>
      </c>
      <c r="AA18" s="59">
        <f>IF(AC18=1,N(H18)*N(IFERROR(INDEX(art_cost,MATCH(E18,art_ref,0)),0)),"")</f>
        <v>61.2</v>
      </c>
      <c r="AB18" s="58" t="str">
        <f>IF(COUNTA(A18:I18)=0,"",IF(N(A18)&lt;=0,"Date manquante ou invalide",IF(B18="","Équipe manquante",IF(ISNA(MATCH(B18,eq_code,0)),"Équipe inconnue",IF(INDEX(eq_check,MATCH(B18,eq_code,0))&lt;&gt;"OK","Équipe à corriger dans Paramètres",IF(C18="","Poste manquant",IF(ISNA(MATCH(C18,po_code,0)),"Poste inconnu",IF(AND(E18&lt;&gt;"",ISNA(MATCH(E18,art_ref,0))),"Article inconnu",IF(IF(E18="",FALSE,INDEX(art_check,MATCH(E18,art_ref,0))&lt;&gt;"OK"),"Article à corriger (feuille Articles)",IF(COUNTIFS(sj_date,A18,sj_eq,B18,sj_po,C18)&gt;1,"Ligne en double (même jour, équipe et poste)",IF(OR(NOT(ISNUMBER(K18)),N(K18)&lt;=0,N(K18)&gt;1440),"Temps d'ouverture invalide",IF(OR(AND(G18&lt;&gt;"",NOT(ISNUMBER(G18))),N(G18)&lt;0,N(G18)&lt;&gt;INT(N(G18)),AND(H18&lt;&gt;"",NOT(ISNUMBER(H18))),N(H18)&lt;0,N(H18)&lt;&gt;INT(N(H18)),AND(I18&lt;&gt;"",NOT(ISNUMBER(I18))),N(I18)&lt;0,N(I18)&lt;&gt;INT(N(I18))),"Quantité invalide",IF(Q18&lt;=0,"Cadence manquante (poste ou article)",IF(M18&lt;=0,"Arrêts planifiés supérieurs au temps d'ouverture",IF(O18&lt;0,"Arrêts supérieurs au temps requis",IF(AND(P18&gt;0,O18=0),"Pièces déclarées sans temps de marche",IF(AND(P18=0,O18&gt;0),"Aucune pièce déclarée",IF(P18*60/Q18&gt;O18+0.001,"Cadence dépassée : vérifiez la cadence","OK"))))))))))))))))))</f>
        <v>OK</v>
      </c>
      <c r="AC18">
        <f>IF(OR(AB18="OK",AB18="Aucune pièce déclarée",AB18="Cadence dépassée : vérifiez la cadence"),1,0)</f>
        <v>1.0</v>
      </c>
      <c r="AD18">
        <f>IF(AND(AC18=1,A18&gt;=p_from,A18&lt;=p_to),1,0)</f>
        <v>1.0</v>
      </c>
      <c r="AE18">
        <f>IF(AD18=1,IF(COUNTIFS($A$6:A18,A18,$AD$6:AD18,1)=1,1,0),0)</f>
        <v>0.0</v>
      </c>
      <c r="AF18" t="str">
        <f>IF(AE18=1,COUNTIFS(sj_first,1,sj_date,"&lt;"&amp;A18)+1,"")</f>
        <v/>
      </c>
      <c r="AG18" t="str">
        <f>IF(AND(AD18=1,N(W18)&lt;p_alert),ROUND(W18,4),"")</f>
        <v/>
      </c>
      <c r="AH18" t="str">
        <f>IF(AG18="","",COUNTIF(sj_akey,"&lt;"&amp;AG18)+COUNTIF($AG$6:AG18,AG18))</f>
        <v/>
      </c>
    </row>
    <row r="19">
      <c r="A19" s="51" t="n">
        <v>46287</v>
      </c>
      <c r="B19" s="52" t="inlineStr">
        <is>
          <t>Après-midi</t>
        </is>
      </c>
      <c r="C19" s="52" t="inlineStr">
        <is>
          <t>TOUR2</t>
        </is>
      </c>
      <c r="D19" s="53" t="inlineStr">
        <is>
          <t>OF-2609-113</t>
        </is>
      </c>
      <c r="E19" s="53" t="inlineStr">
        <is>
          <t>AXE-R20</t>
        </is>
      </c>
      <c r="F19" s="54" t="n"/>
      <c r="G19" s="54" t="n">
        <v>28</v>
      </c>
      <c r="H19" s="54" t="n">
        <v>0</v>
      </c>
      <c r="I19" s="54" t="n">
        <v>0</v>
      </c>
      <c r="J19" s="53" t="n"/>
      <c r="K19" s="55">
        <f>IF(COUNTA(A19:I19)=0,"",IF(F19="",IFERROR(INDEX(eq_dur,MATCH(B19,eq_code,0)),""),F19))</f>
        <v>480.0</v>
      </c>
      <c r="L19" s="55">
        <f>IF(ISNUMBER(K19),N(IFERROR(INDEX(eq_pause,MATCH(B19,eq_code,0)),0))+SUMIFS(st_min,st_date,A19,st_eq,B19,st_po,C19,st_type,"Planifié"),"")</f>
        <v>30.0</v>
      </c>
      <c r="M19" s="55">
        <f>IF(ISNUMBER(K19),K19-L19,"")</f>
        <v>450.0</v>
      </c>
      <c r="N19" s="55">
        <f>IF(ISNUMBER(K19),SUMIFS(st_min,st_date,A19,st_eq,B19,st_po,C19,st_type,"Non planifié"),"")</f>
        <v>383.0</v>
      </c>
      <c r="O19" s="55">
        <f>IF(ISNUMBER(K19),M19-N19,"")</f>
        <v>67.0</v>
      </c>
      <c r="P19" s="55">
        <f>IF(COUNTA(A19:I19)=0,"",N(G19)+N(H19)+N(I19))</f>
        <v>28.0</v>
      </c>
      <c r="Q19" s="56">
        <f>IF(COUNTA(A19:I19)=0,"",IF(N(IFERROR(INDEX(art_rate,MATCH(E19,art_ref,0)),0))&gt;0,N(IFERROR(INDEX(art_rate,MATCH(E19,art_ref,0)),0)),N(IFERROR(INDEX(po_rate,MATCH(C19,po_code,0)),0))))</f>
        <v>30.0</v>
      </c>
      <c r="R19" s="55">
        <f>IF(AC19=1,P19*60/Q19,"")</f>
        <v>56.0</v>
      </c>
      <c r="S19" s="55">
        <f>IF(AC19=1,N(G19)*60/Q19,"")</f>
        <v>56.0</v>
      </c>
      <c r="T19" s="57">
        <f>IF(AC19=1,O19/M19,"")</f>
        <v>0.148888888888889</v>
      </c>
      <c r="U19" s="57">
        <f>IF(AC19=1,IF(O19&gt;0,R19/O19,""),"")</f>
        <v>0.835820895522388</v>
      </c>
      <c r="V19" s="57">
        <f>IF(AC19=1,IF(P19&gt;0,N(G19)/P19,""),"")</f>
        <v>1.0</v>
      </c>
      <c r="W19" s="57">
        <f>IF(AC19=1,S19/M19,"")</f>
        <v>0.124444444444444</v>
      </c>
      <c r="X19" s="57">
        <f>IF(AC19=1,S19/K19,"")</f>
        <v>0.116666666666667</v>
      </c>
      <c r="Y19" s="58" t="str">
        <f>IF(W19="","",IF(W19&gt;=p_target,"Bon",IF(W19&gt;=p_alert,"À surveiller","Faible")))</f>
        <v>Faible</v>
      </c>
      <c r="Z19" s="58" t="str">
        <f>IF(W19="","",IF(MIN(IF(T19="",1,T19),IF(U19="",1,U19),IF(V19="",1,V19))&gt;=1,"Aucune",IF(IF(T19="",1,T19)&lt;=MIN(IF(U19="",1,U19),IF(V19="",1,V19)),"Disponibilité",IF(IF(U19="",1,U19)&lt;=IF(V19="",1,V19),"Performance","Qualité"))))</f>
        <v>Disponibilité</v>
      </c>
      <c r="AA19" s="59">
        <f>IF(AC19=1,N(H19)*N(IFERROR(INDEX(art_cost,MATCH(E19,art_ref,0)),0)),"")</f>
        <v>0.0</v>
      </c>
      <c r="AB19" s="58" t="str">
        <f>IF(COUNTA(A19:I19)=0,"",IF(N(A19)&lt;=0,"Date manquante ou invalide",IF(B19="","Équipe manquante",IF(ISNA(MATCH(B19,eq_code,0)),"Équipe inconnue",IF(INDEX(eq_check,MATCH(B19,eq_code,0))&lt;&gt;"OK","Équipe à corriger dans Paramètres",IF(C19="","Poste manquant",IF(ISNA(MATCH(C19,po_code,0)),"Poste inconnu",IF(AND(E19&lt;&gt;"",ISNA(MATCH(E19,art_ref,0))),"Article inconnu",IF(IF(E19="",FALSE,INDEX(art_check,MATCH(E19,art_ref,0))&lt;&gt;"OK"),"Article à corriger (feuille Articles)",IF(COUNTIFS(sj_date,A19,sj_eq,B19,sj_po,C19)&gt;1,"Ligne en double (même jour, équipe et poste)",IF(OR(NOT(ISNUMBER(K19)),N(K19)&lt;=0,N(K19)&gt;1440),"Temps d'ouverture invalide",IF(OR(AND(G19&lt;&gt;"",NOT(ISNUMBER(G19))),N(G19)&lt;0,N(G19)&lt;&gt;INT(N(G19)),AND(H19&lt;&gt;"",NOT(ISNUMBER(H19))),N(H19)&lt;0,N(H19)&lt;&gt;INT(N(H19)),AND(I19&lt;&gt;"",NOT(ISNUMBER(I19))),N(I19)&lt;0,N(I19)&lt;&gt;INT(N(I19))),"Quantité invalide",IF(Q19&lt;=0,"Cadence manquante (poste ou article)",IF(M19&lt;=0,"Arrêts planifiés supérieurs au temps d'ouverture",IF(O19&lt;0,"Arrêts supérieurs au temps requis",IF(AND(P19&gt;0,O19=0),"Pièces déclarées sans temps de marche",IF(AND(P19=0,O19&gt;0),"Aucune pièce déclarée",IF(P19*60/Q19&gt;O19+0.001,"Cadence dépassée : vérifiez la cadence","OK"))))))))))))))))))</f>
        <v>OK</v>
      </c>
      <c r="AC19">
        <f>IF(OR(AB19="OK",AB19="Aucune pièce déclarée",AB19="Cadence dépassée : vérifiez la cadence"),1,0)</f>
        <v>1.0</v>
      </c>
      <c r="AD19">
        <f>IF(AND(AC19=1,A19&gt;=p_from,A19&lt;=p_to),1,0)</f>
        <v>1.0</v>
      </c>
      <c r="AE19">
        <f>IF(AD19=1,IF(COUNTIFS($A$6:A19,A19,$AD$6:AD19,1)=1,1,0),0)</f>
        <v>0.0</v>
      </c>
      <c r="AF19" t="str">
        <f>IF(AE19=1,COUNTIFS(sj_first,1,sj_date,"&lt;"&amp;A19)+1,"")</f>
        <v/>
      </c>
      <c r="AG19">
        <f>IF(AND(AD19=1,N(W19)&lt;p_alert),ROUND(W19,4),"")</f>
        <v>0.1244</v>
      </c>
      <c r="AH19">
        <f>IF(AG19="","",COUNTIF(sj_akey,"&lt;"&amp;AG19)+COUNTIF($AG$6:AG19,AG19))</f>
        <v>2.0</v>
      </c>
    </row>
    <row r="20">
      <c r="A20" s="51" t="n">
        <v>46287</v>
      </c>
      <c r="B20" s="52" t="inlineStr">
        <is>
          <t>Matin</t>
        </is>
      </c>
      <c r="C20" s="52" t="inlineStr">
        <is>
          <t>USIN</t>
        </is>
      </c>
      <c r="D20" s="53" t="inlineStr">
        <is>
          <t>OF-2609-105</t>
        </is>
      </c>
      <c r="E20" s="53" t="inlineStr">
        <is>
          <t>FLA-PL-150</t>
        </is>
      </c>
      <c r="F20" s="54" t="n"/>
      <c r="G20" s="54" t="n">
        <v>54</v>
      </c>
      <c r="H20" s="54" t="n">
        <v>1</v>
      </c>
      <c r="I20" s="54" t="n">
        <v>0</v>
      </c>
      <c r="J20" s="53" t="n"/>
      <c r="K20" s="55">
        <f>IF(COUNTA(A20:I20)=0,"",IF(F20="",IFERROR(INDEX(eq_dur,MATCH(B20,eq_code,0)),""),F20))</f>
        <v>480.0</v>
      </c>
      <c r="L20" s="55">
        <f>IF(ISNUMBER(K20),N(IFERROR(INDEX(eq_pause,MATCH(B20,eq_code,0)),0))+SUMIFS(st_min,st_date,A20,st_eq,B20,st_po,C20,st_type,"Planifié"),"")</f>
        <v>30.0</v>
      </c>
      <c r="M20" s="55">
        <f>IF(ISNUMBER(K20),K20-L20,"")</f>
        <v>450.0</v>
      </c>
      <c r="N20" s="55">
        <f>IF(ISNUMBER(K20),SUMIFS(st_min,st_date,A20,st_eq,B20,st_po,C20,st_type,"Non planifié"),"")</f>
        <v>128.0</v>
      </c>
      <c r="O20" s="55">
        <f>IF(ISNUMBER(K20),M20-N20,"")</f>
        <v>322.0</v>
      </c>
      <c r="P20" s="55">
        <f>IF(COUNTA(A20:I20)=0,"",N(G20)+N(H20)+N(I20))</f>
        <v>55.0</v>
      </c>
      <c r="Q20" s="56">
        <f>IF(COUNTA(A20:I20)=0,"",IF(N(IFERROR(INDEX(art_rate,MATCH(E20,art_ref,0)),0))&gt;0,N(IFERROR(INDEX(art_rate,MATCH(E20,art_ref,0)),0)),N(IFERROR(INDEX(po_rate,MATCH(C20,po_code,0)),0))))</f>
        <v>12.0</v>
      </c>
      <c r="R20" s="55">
        <f>IF(AC20=1,P20*60/Q20,"")</f>
        <v>275.0</v>
      </c>
      <c r="S20" s="55">
        <f>IF(AC20=1,N(G20)*60/Q20,"")</f>
        <v>270.0</v>
      </c>
      <c r="T20" s="57">
        <f>IF(AC20=1,O20/M20,"")</f>
        <v>0.715555555555556</v>
      </c>
      <c r="U20" s="57">
        <f>IF(AC20=1,IF(O20&gt;0,R20/O20,""),"")</f>
        <v>0.854037267080745</v>
      </c>
      <c r="V20" s="57">
        <f>IF(AC20=1,IF(P20&gt;0,N(G20)/P20,""),"")</f>
        <v>0.981818181818182</v>
      </c>
      <c r="W20" s="57">
        <f>IF(AC20=1,S20/M20,"")</f>
        <v>0.6</v>
      </c>
      <c r="X20" s="57">
        <f>IF(AC20=1,S20/K20,"")</f>
        <v>0.5625</v>
      </c>
      <c r="Y20" s="58" t="str">
        <f>IF(W20="","",IF(W20&gt;=p_target,"Bon",IF(W20&gt;=p_alert,"À surveiller","Faible")))</f>
        <v>À surveiller</v>
      </c>
      <c r="Z20" s="58" t="str">
        <f>IF(W20="","",IF(MIN(IF(T20="",1,T20),IF(U20="",1,U20),IF(V20="",1,V20))&gt;=1,"Aucune",IF(IF(T20="",1,T20)&lt;=MIN(IF(U20="",1,U20),IF(V20="",1,V20)),"Disponibilité",IF(IF(U20="",1,U20)&lt;=IF(V20="",1,V20),"Performance","Qualité"))))</f>
        <v>Disponibilité</v>
      </c>
      <c r="AA20" s="59">
        <f>IF(AC20=1,N(H20)*N(IFERROR(INDEX(art_cost,MATCH(E20,art_ref,0)),0)),"")</f>
        <v>145.0</v>
      </c>
      <c r="AB20" s="58" t="str">
        <f>IF(COUNTA(A20:I20)=0,"",IF(N(A20)&lt;=0,"Date manquante ou invalide",IF(B20="","Équipe manquante",IF(ISNA(MATCH(B20,eq_code,0)),"Équipe inconnue",IF(INDEX(eq_check,MATCH(B20,eq_code,0))&lt;&gt;"OK","Équipe à corriger dans Paramètres",IF(C20="","Poste manquant",IF(ISNA(MATCH(C20,po_code,0)),"Poste inconnu",IF(AND(E20&lt;&gt;"",ISNA(MATCH(E20,art_ref,0))),"Article inconnu",IF(IF(E20="",FALSE,INDEX(art_check,MATCH(E20,art_ref,0))&lt;&gt;"OK"),"Article à corriger (feuille Articles)",IF(COUNTIFS(sj_date,A20,sj_eq,B20,sj_po,C20)&gt;1,"Ligne en double (même jour, équipe et poste)",IF(OR(NOT(ISNUMBER(K20)),N(K20)&lt;=0,N(K20)&gt;1440),"Temps d'ouverture invalide",IF(OR(AND(G20&lt;&gt;"",NOT(ISNUMBER(G20))),N(G20)&lt;0,N(G20)&lt;&gt;INT(N(G20)),AND(H20&lt;&gt;"",NOT(ISNUMBER(H20))),N(H20)&lt;0,N(H20)&lt;&gt;INT(N(H20)),AND(I20&lt;&gt;"",NOT(ISNUMBER(I20))),N(I20)&lt;0,N(I20)&lt;&gt;INT(N(I20))),"Quantité invalide",IF(Q20&lt;=0,"Cadence manquante (poste ou article)",IF(M20&lt;=0,"Arrêts planifiés supérieurs au temps d'ouverture",IF(O20&lt;0,"Arrêts supérieurs au temps requis",IF(AND(P20&gt;0,O20=0),"Pièces déclarées sans temps de marche",IF(AND(P20=0,O20&gt;0),"Aucune pièce déclarée",IF(P20*60/Q20&gt;O20+0.001,"Cadence dépassée : vérifiez la cadence","OK"))))))))))))))))))</f>
        <v>OK</v>
      </c>
      <c r="AC20">
        <f>IF(OR(AB20="OK",AB20="Aucune pièce déclarée",AB20="Cadence dépassée : vérifiez la cadence"),1,0)</f>
        <v>1.0</v>
      </c>
      <c r="AD20">
        <f>IF(AND(AC20=1,A20&gt;=p_from,A20&lt;=p_to),1,0)</f>
        <v>1.0</v>
      </c>
      <c r="AE20">
        <f>IF(AD20=1,IF(COUNTIFS($A$6:A20,A20,$AD$6:AD20,1)=1,1,0),0)</f>
        <v>0.0</v>
      </c>
      <c r="AF20" t="str">
        <f>IF(AE20=1,COUNTIFS(sj_first,1,sj_date,"&lt;"&amp;A20)+1,"")</f>
        <v/>
      </c>
      <c r="AG20" t="str">
        <f>IF(AND(AD20=1,N(W20)&lt;p_alert),ROUND(W20,4),"")</f>
        <v/>
      </c>
      <c r="AH20" t="str">
        <f>IF(AG20="","",COUNTIF(sj_akey,"&lt;"&amp;AG20)+COUNTIF($AG$6:AG20,AG20))</f>
        <v/>
      </c>
    </row>
    <row r="21">
      <c r="A21" s="51" t="n">
        <v>46287</v>
      </c>
      <c r="B21" s="52" t="inlineStr">
        <is>
          <t>Après-midi</t>
        </is>
      </c>
      <c r="C21" s="52" t="inlineStr">
        <is>
          <t>USIN</t>
        </is>
      </c>
      <c r="D21" s="53" t="inlineStr">
        <is>
          <t>OF-2609-114</t>
        </is>
      </c>
      <c r="E21" s="53" t="inlineStr">
        <is>
          <t>CAR-BOI-04</t>
        </is>
      </c>
      <c r="F21" s="54" t="n"/>
      <c r="G21" s="54" t="n">
        <v>28</v>
      </c>
      <c r="H21" s="54" t="n">
        <v>0</v>
      </c>
      <c r="I21" s="54" t="n">
        <v>0</v>
      </c>
      <c r="J21" s="53" t="n"/>
      <c r="K21" s="55">
        <f>IF(COUNTA(A21:I21)=0,"",IF(F21="",IFERROR(INDEX(eq_dur,MATCH(B21,eq_code,0)),""),F21))</f>
        <v>480.0</v>
      </c>
      <c r="L21" s="55">
        <f>IF(ISNUMBER(K21),N(IFERROR(INDEX(eq_pause,MATCH(B21,eq_code,0)),0))+SUMIFS(st_min,st_date,A21,st_eq,B21,st_po,C21,st_type,"Planifié"),"")</f>
        <v>30.0</v>
      </c>
      <c r="M21" s="55">
        <f>IF(ISNUMBER(K21),K21-L21,"")</f>
        <v>450.0</v>
      </c>
      <c r="N21" s="55">
        <f>IF(ISNUMBER(K21),SUMIFS(st_min,st_date,A21,st_eq,B21,st_po,C21,st_type,"Non planifié"),"")</f>
        <v>136.0</v>
      </c>
      <c r="O21" s="55">
        <f>IF(ISNUMBER(K21),M21-N21,"")</f>
        <v>314.0</v>
      </c>
      <c r="P21" s="55">
        <f>IF(COUNTA(A21:I21)=0,"",N(G21)+N(H21)+N(I21))</f>
        <v>28.0</v>
      </c>
      <c r="Q21" s="56">
        <f>IF(COUNTA(A21:I21)=0,"",IF(N(IFERROR(INDEX(art_rate,MATCH(E21,art_ref,0)),0))&gt;0,N(IFERROR(INDEX(art_rate,MATCH(E21,art_ref,0)),0)),N(IFERROR(INDEX(po_rate,MATCH(C21,po_code,0)),0))))</f>
        <v>6.0</v>
      </c>
      <c r="R21" s="55">
        <f>IF(AC21=1,P21*60/Q21,"")</f>
        <v>280.0</v>
      </c>
      <c r="S21" s="55">
        <f>IF(AC21=1,N(G21)*60/Q21,"")</f>
        <v>280.0</v>
      </c>
      <c r="T21" s="57">
        <f>IF(AC21=1,O21/M21,"")</f>
        <v>0.697777777777778</v>
      </c>
      <c r="U21" s="57">
        <f>IF(AC21=1,IF(O21&gt;0,R21/O21,""),"")</f>
        <v>0.89171974522293</v>
      </c>
      <c r="V21" s="57">
        <f>IF(AC21=1,IF(P21&gt;0,N(G21)/P21,""),"")</f>
        <v>1.0</v>
      </c>
      <c r="W21" s="57">
        <f>IF(AC21=1,S21/M21,"")</f>
        <v>0.622222222222222</v>
      </c>
      <c r="X21" s="57">
        <f>IF(AC21=1,S21/K21,"")</f>
        <v>0.583333333333333</v>
      </c>
      <c r="Y21" s="58" t="str">
        <f>IF(W21="","",IF(W21&gt;=p_target,"Bon",IF(W21&gt;=p_alert,"À surveiller","Faible")))</f>
        <v>À surveiller</v>
      </c>
      <c r="Z21" s="58" t="str">
        <f>IF(W21="","",IF(MIN(IF(T21="",1,T21),IF(U21="",1,U21),IF(V21="",1,V21))&gt;=1,"Aucune",IF(IF(T21="",1,T21)&lt;=MIN(IF(U21="",1,U21),IF(V21="",1,V21)),"Disponibilité",IF(IF(U21="",1,U21)&lt;=IF(V21="",1,V21),"Performance","Qualité"))))</f>
        <v>Disponibilité</v>
      </c>
      <c r="AA21" s="59">
        <f>IF(AC21=1,N(H21)*N(IFERROR(INDEX(art_cost,MATCH(E21,art_ref,0)),0)),"")</f>
        <v>0.0</v>
      </c>
      <c r="AB21" s="58" t="str">
        <f>IF(COUNTA(A21:I21)=0,"",IF(N(A21)&lt;=0,"Date manquante ou invalide",IF(B21="","Équipe manquante",IF(ISNA(MATCH(B21,eq_code,0)),"Équipe inconnue",IF(INDEX(eq_check,MATCH(B21,eq_code,0))&lt;&gt;"OK","Équipe à corriger dans Paramètres",IF(C21="","Poste manquant",IF(ISNA(MATCH(C21,po_code,0)),"Poste inconnu",IF(AND(E21&lt;&gt;"",ISNA(MATCH(E21,art_ref,0))),"Article inconnu",IF(IF(E21="",FALSE,INDEX(art_check,MATCH(E21,art_ref,0))&lt;&gt;"OK"),"Article à corriger (feuille Articles)",IF(COUNTIFS(sj_date,A21,sj_eq,B21,sj_po,C21)&gt;1,"Ligne en double (même jour, équipe et poste)",IF(OR(NOT(ISNUMBER(K21)),N(K21)&lt;=0,N(K21)&gt;1440),"Temps d'ouverture invalide",IF(OR(AND(G21&lt;&gt;"",NOT(ISNUMBER(G21))),N(G21)&lt;0,N(G21)&lt;&gt;INT(N(G21)),AND(H21&lt;&gt;"",NOT(ISNUMBER(H21))),N(H21)&lt;0,N(H21)&lt;&gt;INT(N(H21)),AND(I21&lt;&gt;"",NOT(ISNUMBER(I21))),N(I21)&lt;0,N(I21)&lt;&gt;INT(N(I21))),"Quantité invalide",IF(Q21&lt;=0,"Cadence manquante (poste ou article)",IF(M21&lt;=0,"Arrêts planifiés supérieurs au temps d'ouverture",IF(O21&lt;0,"Arrêts supérieurs au temps requis",IF(AND(P21&gt;0,O21=0),"Pièces déclarées sans temps de marche",IF(AND(P21=0,O21&gt;0),"Aucune pièce déclarée",IF(P21*60/Q21&gt;O21+0.001,"Cadence dépassée : vérifiez la cadence","OK"))))))))))))))))))</f>
        <v>OK</v>
      </c>
      <c r="AC21">
        <f>IF(OR(AB21="OK",AB21="Aucune pièce déclarée",AB21="Cadence dépassée : vérifiez la cadence"),1,0)</f>
        <v>1.0</v>
      </c>
      <c r="AD21">
        <f>IF(AND(AC21=1,A21&gt;=p_from,A21&lt;=p_to),1,0)</f>
        <v>1.0</v>
      </c>
      <c r="AE21">
        <f>IF(AD21=1,IF(COUNTIFS($A$6:A21,A21,$AD$6:AD21,1)=1,1,0),0)</f>
        <v>0.0</v>
      </c>
      <c r="AF21" t="str">
        <f>IF(AE21=1,COUNTIFS(sj_first,1,sj_date,"&lt;"&amp;A21)+1,"")</f>
        <v/>
      </c>
      <c r="AG21" t="str">
        <f>IF(AND(AD21=1,N(W21)&lt;p_alert),ROUND(W21,4),"")</f>
        <v/>
      </c>
      <c r="AH21" t="str">
        <f>IF(AG21="","",COUNTIF(sj_akey,"&lt;"&amp;AG21)+COUNTIF($AG$6:AG21,AG21))</f>
        <v/>
      </c>
    </row>
    <row r="22">
      <c r="A22" s="51" t="n">
        <v>46287</v>
      </c>
      <c r="B22" s="52" t="inlineStr">
        <is>
          <t>Matin</t>
        </is>
      </c>
      <c r="C22" s="52" t="inlineStr">
        <is>
          <t>PRESSE</t>
        </is>
      </c>
      <c r="D22" s="53" t="inlineStr">
        <is>
          <t>OF-2609-107</t>
        </is>
      </c>
      <c r="E22" s="53" t="inlineStr">
        <is>
          <t>PAT-FIX-10</t>
        </is>
      </c>
      <c r="F22" s="54" t="n"/>
      <c r="G22" s="54" t="n">
        <v>2619</v>
      </c>
      <c r="H22" s="54" t="n">
        <v>42</v>
      </c>
      <c r="I22" s="54" t="n">
        <v>34</v>
      </c>
      <c r="J22" s="53" t="n"/>
      <c r="K22" s="55">
        <f>IF(COUNTA(A22:I22)=0,"",IF(F22="",IFERROR(INDEX(eq_dur,MATCH(B22,eq_code,0)),""),F22))</f>
        <v>480.0</v>
      </c>
      <c r="L22" s="55">
        <f>IF(ISNUMBER(K22),N(IFERROR(INDEX(eq_pause,MATCH(B22,eq_code,0)),0))+SUMIFS(st_min,st_date,A22,st_eq,B22,st_po,C22,st_type,"Planifié"),"")</f>
        <v>30.0</v>
      </c>
      <c r="M22" s="55">
        <f>IF(ISNUMBER(K22),K22-L22,"")</f>
        <v>450.0</v>
      </c>
      <c r="N22" s="55">
        <f>IF(ISNUMBER(K22),SUMIFS(st_min,st_date,A22,st_eq,B22,st_po,C22,st_type,"Non planifié"),"")</f>
        <v>18.0</v>
      </c>
      <c r="O22" s="55">
        <f>IF(ISNUMBER(K22),M22-N22,"")</f>
        <v>432.0</v>
      </c>
      <c r="P22" s="55">
        <f>IF(COUNTA(A22:I22)=0,"",N(G22)+N(H22)+N(I22))</f>
        <v>2695.0</v>
      </c>
      <c r="Q22" s="56">
        <f>IF(COUNTA(A22:I22)=0,"",IF(N(IFERROR(INDEX(art_rate,MATCH(E22,art_ref,0)),0))&gt;0,N(IFERROR(INDEX(art_rate,MATCH(E22,art_ref,0)),0)),N(IFERROR(INDEX(po_rate,MATCH(C22,po_code,0)),0))))</f>
        <v>420.0</v>
      </c>
      <c r="R22" s="55">
        <f>IF(AC22=1,P22*60/Q22,"")</f>
        <v>385.0</v>
      </c>
      <c r="S22" s="55">
        <f>IF(AC22=1,N(G22)*60/Q22,"")</f>
        <v>374.142857142857</v>
      </c>
      <c r="T22" s="57">
        <f>IF(AC22=1,O22/M22,"")</f>
        <v>0.96</v>
      </c>
      <c r="U22" s="57">
        <f>IF(AC22=1,IF(O22&gt;0,R22/O22,""),"")</f>
        <v>0.891203703703704</v>
      </c>
      <c r="V22" s="57">
        <f>IF(AC22=1,IF(P22&gt;0,N(G22)/P22,""),"")</f>
        <v>0.971799628942486</v>
      </c>
      <c r="W22" s="57">
        <f>IF(AC22=1,S22/M22,"")</f>
        <v>0.831428571428572</v>
      </c>
      <c r="X22" s="57">
        <f>IF(AC22=1,S22/K22,"")</f>
        <v>0.779464285714286</v>
      </c>
      <c r="Y22" s="58" t="str">
        <f>IF(W22="","",IF(W22&gt;=p_target,"Bon",IF(W22&gt;=p_alert,"À surveiller","Faible")))</f>
        <v>Bon</v>
      </c>
      <c r="Z22" s="58" t="str">
        <f>IF(W22="","",IF(MIN(IF(T22="",1,T22),IF(U22="",1,U22),IF(V22="",1,V22))&gt;=1,"Aucune",IF(IF(T22="",1,T22)&lt;=MIN(IF(U22="",1,U22),IF(V22="",1,V22)),"Disponibilité",IF(IF(U22="",1,U22)&lt;=IF(V22="",1,V22),"Performance","Qualité"))))</f>
        <v>Performance</v>
      </c>
      <c r="AA22" s="59">
        <f>IF(AC22=1,N(H22)*N(IFERROR(INDEX(art_cost,MATCH(E22,art_ref,0)),0)),"")</f>
        <v>176.4</v>
      </c>
      <c r="AB22" s="58" t="str">
        <f>IF(COUNTA(A22:I22)=0,"",IF(N(A22)&lt;=0,"Date manquante ou invalide",IF(B22="","Équipe manquante",IF(ISNA(MATCH(B22,eq_code,0)),"Équipe inconnue",IF(INDEX(eq_check,MATCH(B22,eq_code,0))&lt;&gt;"OK","Équipe à corriger dans Paramètres",IF(C22="","Poste manquant",IF(ISNA(MATCH(C22,po_code,0)),"Poste inconnu",IF(AND(E22&lt;&gt;"",ISNA(MATCH(E22,art_ref,0))),"Article inconnu",IF(IF(E22="",FALSE,INDEX(art_check,MATCH(E22,art_ref,0))&lt;&gt;"OK"),"Article à corriger (feuille Articles)",IF(COUNTIFS(sj_date,A22,sj_eq,B22,sj_po,C22)&gt;1,"Ligne en double (même jour, équipe et poste)",IF(OR(NOT(ISNUMBER(K22)),N(K22)&lt;=0,N(K22)&gt;1440),"Temps d'ouverture invalide",IF(OR(AND(G22&lt;&gt;"",NOT(ISNUMBER(G22))),N(G22)&lt;0,N(G22)&lt;&gt;INT(N(G22)),AND(H22&lt;&gt;"",NOT(ISNUMBER(H22))),N(H22)&lt;0,N(H22)&lt;&gt;INT(N(H22)),AND(I22&lt;&gt;"",NOT(ISNUMBER(I22))),N(I22)&lt;0,N(I22)&lt;&gt;INT(N(I22))),"Quantité invalide",IF(Q22&lt;=0,"Cadence manquante (poste ou article)",IF(M22&lt;=0,"Arrêts planifiés supérieurs au temps d'ouverture",IF(O22&lt;0,"Arrêts supérieurs au temps requis",IF(AND(P22&gt;0,O22=0),"Pièces déclarées sans temps de marche",IF(AND(P22=0,O22&gt;0),"Aucune pièce déclarée",IF(P22*60/Q22&gt;O22+0.001,"Cadence dépassée : vérifiez la cadence","OK"))))))))))))))))))</f>
        <v>OK</v>
      </c>
      <c r="AC22">
        <f>IF(OR(AB22="OK",AB22="Aucune pièce déclarée",AB22="Cadence dépassée : vérifiez la cadence"),1,0)</f>
        <v>1.0</v>
      </c>
      <c r="AD22">
        <f>IF(AND(AC22=1,A22&gt;=p_from,A22&lt;=p_to),1,0)</f>
        <v>1.0</v>
      </c>
      <c r="AE22">
        <f>IF(AD22=1,IF(COUNTIFS($A$6:A22,A22,$AD$6:AD22,1)=1,1,0),0)</f>
        <v>0.0</v>
      </c>
      <c r="AF22" t="str">
        <f>IF(AE22=1,COUNTIFS(sj_first,1,sj_date,"&lt;"&amp;A22)+1,"")</f>
        <v/>
      </c>
      <c r="AG22" t="str">
        <f>IF(AND(AD22=1,N(W22)&lt;p_alert),ROUND(W22,4),"")</f>
        <v/>
      </c>
      <c r="AH22" t="str">
        <f>IF(AG22="","",COUNTIF(sj_akey,"&lt;"&amp;AG22)+COUNTIF($AG$6:AG22,AG22))</f>
        <v/>
      </c>
    </row>
    <row r="23">
      <c r="A23" s="51" t="n">
        <v>46287</v>
      </c>
      <c r="B23" s="52" t="inlineStr">
        <is>
          <t>Journée</t>
        </is>
      </c>
      <c r="C23" s="52" t="inlineStr">
        <is>
          <t>PLIE</t>
        </is>
      </c>
      <c r="D23" s="53" t="inlineStr">
        <is>
          <t>OF-2609-108</t>
        </is>
      </c>
      <c r="E23" s="53" t="inlineStr">
        <is>
          <t>SUP-MOT-01</t>
        </is>
      </c>
      <c r="F23" s="54" t="n"/>
      <c r="G23" s="54" t="n">
        <v>452</v>
      </c>
      <c r="H23" s="54" t="n">
        <v>12</v>
      </c>
      <c r="I23" s="54" t="n">
        <v>6</v>
      </c>
      <c r="J23" s="53" t="n"/>
      <c r="K23" s="55">
        <f>IF(COUNTA(A23:I23)=0,"",IF(F23="",IFERROR(INDEX(eq_dur,MATCH(B23,eq_code,0)),""),F23))</f>
        <v>540.0</v>
      </c>
      <c r="L23" s="55">
        <f>IF(ISNUMBER(K23),N(IFERROR(INDEX(eq_pause,MATCH(B23,eq_code,0)),0))+SUMIFS(st_min,st_date,A23,st_eq,B23,st_po,C23,st_type,"Planifié"),"")</f>
        <v>60.0</v>
      </c>
      <c r="M23" s="55">
        <f>IF(ISNUMBER(K23),K23-L23,"")</f>
        <v>480.0</v>
      </c>
      <c r="N23" s="55">
        <f>IF(ISNUMBER(K23),SUMIFS(st_min,st_date,A23,st_eq,B23,st_po,C23,st_type,"Non planifié"),"")</f>
        <v>115.0</v>
      </c>
      <c r="O23" s="55">
        <f>IF(ISNUMBER(K23),M23-N23,"")</f>
        <v>365.0</v>
      </c>
      <c r="P23" s="55">
        <f>IF(COUNTA(A23:I23)=0,"",N(G23)+N(H23)+N(I23))</f>
        <v>470.0</v>
      </c>
      <c r="Q23" s="56">
        <f>IF(COUNTA(A23:I23)=0,"",IF(N(IFERROR(INDEX(art_rate,MATCH(E23,art_ref,0)),0))&gt;0,N(IFERROR(INDEX(art_rate,MATCH(E23,art_ref,0)),0)),N(IFERROR(INDEX(po_rate,MATCH(C23,po_code,0)),0))))</f>
        <v>90.0</v>
      </c>
      <c r="R23" s="55">
        <f>IF(AC23=1,P23*60/Q23,"")</f>
        <v>313.333333333333</v>
      </c>
      <c r="S23" s="55">
        <f>IF(AC23=1,N(G23)*60/Q23,"")</f>
        <v>301.333333333333</v>
      </c>
      <c r="T23" s="57">
        <f>IF(AC23=1,O23/M23,"")</f>
        <v>0.760416666666667</v>
      </c>
      <c r="U23" s="57">
        <f>IF(AC23=1,IF(O23&gt;0,R23/O23,""),"")</f>
        <v>0.858447488584475</v>
      </c>
      <c r="V23" s="57">
        <f>IF(AC23=1,IF(P23&gt;0,N(G23)/P23,""),"")</f>
        <v>0.961702127659574</v>
      </c>
      <c r="W23" s="57">
        <f>IF(AC23=1,S23/M23,"")</f>
        <v>0.627777777777778</v>
      </c>
      <c r="X23" s="57">
        <f>IF(AC23=1,S23/K23,"")</f>
        <v>0.558024691358025</v>
      </c>
      <c r="Y23" s="58" t="str">
        <f>IF(W23="","",IF(W23&gt;=p_target,"Bon",IF(W23&gt;=p_alert,"À surveiller","Faible")))</f>
        <v>À surveiller</v>
      </c>
      <c r="Z23" s="58" t="str">
        <f>IF(W23="","",IF(MIN(IF(T23="",1,T23),IF(U23="",1,U23),IF(V23="",1,V23))&gt;=1,"Aucune",IF(IF(T23="",1,T23)&lt;=MIN(IF(U23="",1,U23),IF(V23="",1,V23)),"Disponibilité",IF(IF(U23="",1,U23)&lt;=IF(V23="",1,V23),"Performance","Qualité"))))</f>
        <v>Disponibilité</v>
      </c>
      <c r="AA23" s="59">
        <f>IF(AC23=1,N(H23)*N(IFERROR(INDEX(art_cost,MATCH(E23,art_ref,0)),0)),"")</f>
        <v>768.0</v>
      </c>
      <c r="AB23" s="58" t="str">
        <f>IF(COUNTA(A23:I23)=0,"",IF(N(A23)&lt;=0,"Date manquante ou invalide",IF(B23="","Équipe manquante",IF(ISNA(MATCH(B23,eq_code,0)),"Équipe inconnue",IF(INDEX(eq_check,MATCH(B23,eq_code,0))&lt;&gt;"OK","Équipe à corriger dans Paramètres",IF(C23="","Poste manquant",IF(ISNA(MATCH(C23,po_code,0)),"Poste inconnu",IF(AND(E23&lt;&gt;"",ISNA(MATCH(E23,art_ref,0))),"Article inconnu",IF(IF(E23="",FALSE,INDEX(art_check,MATCH(E23,art_ref,0))&lt;&gt;"OK"),"Article à corriger (feuille Articles)",IF(COUNTIFS(sj_date,A23,sj_eq,B23,sj_po,C23)&gt;1,"Ligne en double (même jour, équipe et poste)",IF(OR(NOT(ISNUMBER(K23)),N(K23)&lt;=0,N(K23)&gt;1440),"Temps d'ouverture invalide",IF(OR(AND(G23&lt;&gt;"",NOT(ISNUMBER(G23))),N(G23)&lt;0,N(G23)&lt;&gt;INT(N(G23)),AND(H23&lt;&gt;"",NOT(ISNUMBER(H23))),N(H23)&lt;0,N(H23)&lt;&gt;INT(N(H23)),AND(I23&lt;&gt;"",NOT(ISNUMBER(I23))),N(I23)&lt;0,N(I23)&lt;&gt;INT(N(I23))),"Quantité invalide",IF(Q23&lt;=0,"Cadence manquante (poste ou article)",IF(M23&lt;=0,"Arrêts planifiés supérieurs au temps d'ouverture",IF(O23&lt;0,"Arrêts supérieurs au temps requis",IF(AND(P23&gt;0,O23=0),"Pièces déclarées sans temps de marche",IF(AND(P23=0,O23&gt;0),"Aucune pièce déclarée",IF(P23*60/Q23&gt;O23+0.001,"Cadence dépassée : vérifiez la cadence","OK"))))))))))))))))))</f>
        <v>OK</v>
      </c>
      <c r="AC23">
        <f>IF(OR(AB23="OK",AB23="Aucune pièce déclarée",AB23="Cadence dépassée : vérifiez la cadence"),1,0)</f>
        <v>1.0</v>
      </c>
      <c r="AD23">
        <f>IF(AND(AC23=1,A23&gt;=p_from,A23&lt;=p_to),1,0)</f>
        <v>1.0</v>
      </c>
      <c r="AE23">
        <f>IF(AD23=1,IF(COUNTIFS($A$6:A23,A23,$AD$6:AD23,1)=1,1,0),0)</f>
        <v>0.0</v>
      </c>
      <c r="AF23" t="str">
        <f>IF(AE23=1,COUNTIFS(sj_first,1,sj_date,"&lt;"&amp;A23)+1,"")</f>
        <v/>
      </c>
      <c r="AG23" t="str">
        <f>IF(AND(AD23=1,N(W23)&lt;p_alert),ROUND(W23,4),"")</f>
        <v/>
      </c>
      <c r="AH23" t="str">
        <f>IF(AG23="","",COUNTIF(sj_akey,"&lt;"&amp;AG23)+COUNTIF($AG$6:AG23,AG23))</f>
        <v/>
      </c>
    </row>
    <row r="24">
      <c r="A24" s="51" t="n">
        <v>46287</v>
      </c>
      <c r="B24" s="52" t="inlineStr">
        <is>
          <t>Matin</t>
        </is>
      </c>
      <c r="C24" s="52" t="inlineStr">
        <is>
          <t>SOUD</t>
        </is>
      </c>
      <c r="D24" s="53" t="inlineStr">
        <is>
          <t>OF-2609-115</t>
        </is>
      </c>
      <c r="E24" s="53" t="inlineStr">
        <is>
          <t>CHA-REM-01</t>
        </is>
      </c>
      <c r="F24" s="54" t="n"/>
      <c r="G24" s="54" t="n">
        <v>12</v>
      </c>
      <c r="H24" s="54" t="n">
        <v>0</v>
      </c>
      <c r="I24" s="54" t="n">
        <v>0</v>
      </c>
      <c r="J24" s="53" t="n"/>
      <c r="K24" s="55">
        <f>IF(COUNTA(A24:I24)=0,"",IF(F24="",IFERROR(INDEX(eq_dur,MATCH(B24,eq_code,0)),""),F24))</f>
        <v>480.0</v>
      </c>
      <c r="L24" s="55">
        <f>IF(ISNUMBER(K24),N(IFERROR(INDEX(eq_pause,MATCH(B24,eq_code,0)),0))+SUMIFS(st_min,st_date,A24,st_eq,B24,st_po,C24,st_type,"Planifié"),"")</f>
        <v>30.0</v>
      </c>
      <c r="M24" s="55">
        <f>IF(ISNUMBER(K24),K24-L24,"")</f>
        <v>450.0</v>
      </c>
      <c r="N24" s="55">
        <f>IF(ISNUMBER(K24),SUMIFS(st_min,st_date,A24,st_eq,B24,st_po,C24,st_type,"Non planifié"),"")</f>
        <v>226.0</v>
      </c>
      <c r="O24" s="55">
        <f>IF(ISNUMBER(K24),M24-N24,"")</f>
        <v>224.0</v>
      </c>
      <c r="P24" s="55">
        <f>IF(COUNTA(A24:I24)=0,"",N(G24)+N(H24)+N(I24))</f>
        <v>12.0</v>
      </c>
      <c r="Q24" s="56">
        <f>IF(COUNTA(A24:I24)=0,"",IF(N(IFERROR(INDEX(art_rate,MATCH(E24,art_ref,0)),0))&gt;0,N(IFERROR(INDEX(art_rate,MATCH(E24,art_ref,0)),0)),N(IFERROR(INDEX(po_rate,MATCH(C24,po_code,0)),0))))</f>
        <v>4.0</v>
      </c>
      <c r="R24" s="55">
        <f>IF(AC24=1,P24*60/Q24,"")</f>
        <v>180.0</v>
      </c>
      <c r="S24" s="55">
        <f>IF(AC24=1,N(G24)*60/Q24,"")</f>
        <v>180.0</v>
      </c>
      <c r="T24" s="57">
        <f>IF(AC24=1,O24/M24,"")</f>
        <v>0.497777777777778</v>
      </c>
      <c r="U24" s="57">
        <f>IF(AC24=1,IF(O24&gt;0,R24/O24,""),"")</f>
        <v>0.803571428571429</v>
      </c>
      <c r="V24" s="57">
        <f>IF(AC24=1,IF(P24&gt;0,N(G24)/P24,""),"")</f>
        <v>1.0</v>
      </c>
      <c r="W24" s="57">
        <f>IF(AC24=1,S24/M24,"")</f>
        <v>0.4</v>
      </c>
      <c r="X24" s="57">
        <f>IF(AC24=1,S24/K24,"")</f>
        <v>0.375</v>
      </c>
      <c r="Y24" s="58" t="str">
        <f>IF(W24="","",IF(W24&gt;=p_target,"Bon",IF(W24&gt;=p_alert,"À surveiller","Faible")))</f>
        <v>Faible</v>
      </c>
      <c r="Z24" s="58" t="str">
        <f>IF(W24="","",IF(MIN(IF(T24="",1,T24),IF(U24="",1,U24),IF(V24="",1,V24))&gt;=1,"Aucune",IF(IF(T24="",1,T24)&lt;=MIN(IF(U24="",1,U24),IF(V24="",1,V24)),"Disponibilité",IF(IF(U24="",1,U24)&lt;=IF(V24="",1,V24),"Performance","Qualité"))))</f>
        <v>Disponibilité</v>
      </c>
      <c r="AA24" s="59">
        <f>IF(AC24=1,N(H24)*N(IFERROR(INDEX(art_cost,MATCH(E24,art_ref,0)),0)),"")</f>
        <v>0.0</v>
      </c>
      <c r="AB24" s="58" t="str">
        <f>IF(COUNTA(A24:I24)=0,"",IF(N(A24)&lt;=0,"Date manquante ou invalide",IF(B24="","Équipe manquante",IF(ISNA(MATCH(B24,eq_code,0)),"Équipe inconnue",IF(INDEX(eq_check,MATCH(B24,eq_code,0))&lt;&gt;"OK","Équipe à corriger dans Paramètres",IF(C24="","Poste manquant",IF(ISNA(MATCH(C24,po_code,0)),"Poste inconnu",IF(AND(E24&lt;&gt;"",ISNA(MATCH(E24,art_ref,0))),"Article inconnu",IF(IF(E24="",FALSE,INDEX(art_check,MATCH(E24,art_ref,0))&lt;&gt;"OK"),"Article à corriger (feuille Articles)",IF(COUNTIFS(sj_date,A24,sj_eq,B24,sj_po,C24)&gt;1,"Ligne en double (même jour, équipe et poste)",IF(OR(NOT(ISNUMBER(K24)),N(K24)&lt;=0,N(K24)&gt;1440),"Temps d'ouverture invalide",IF(OR(AND(G24&lt;&gt;"",NOT(ISNUMBER(G24))),N(G24)&lt;0,N(G24)&lt;&gt;INT(N(G24)),AND(H24&lt;&gt;"",NOT(ISNUMBER(H24))),N(H24)&lt;0,N(H24)&lt;&gt;INT(N(H24)),AND(I24&lt;&gt;"",NOT(ISNUMBER(I24))),N(I24)&lt;0,N(I24)&lt;&gt;INT(N(I24))),"Quantité invalide",IF(Q24&lt;=0,"Cadence manquante (poste ou article)",IF(M24&lt;=0,"Arrêts planifiés supérieurs au temps d'ouverture",IF(O24&lt;0,"Arrêts supérieurs au temps requis",IF(AND(P24&gt;0,O24=0),"Pièces déclarées sans temps de marche",IF(AND(P24=0,O24&gt;0),"Aucune pièce déclarée",IF(P24*60/Q24&gt;O24+0.001,"Cadence dépassée : vérifiez la cadence","OK"))))))))))))))))))</f>
        <v>OK</v>
      </c>
      <c r="AC24">
        <f>IF(OR(AB24="OK",AB24="Aucune pièce déclarée",AB24="Cadence dépassée : vérifiez la cadence"),1,0)</f>
        <v>1.0</v>
      </c>
      <c r="AD24">
        <f>IF(AND(AC24=1,A24&gt;=p_from,A24&lt;=p_to),1,0)</f>
        <v>1.0</v>
      </c>
      <c r="AE24">
        <f>IF(AD24=1,IF(COUNTIFS($A$6:A24,A24,$AD$6:AD24,1)=1,1,0),0)</f>
        <v>0.0</v>
      </c>
      <c r="AF24" t="str">
        <f>IF(AE24=1,COUNTIFS(sj_first,1,sj_date,"&lt;"&amp;A24)+1,"")</f>
        <v/>
      </c>
      <c r="AG24">
        <f>IF(AND(AD24=1,N(W24)&lt;p_alert),ROUND(W24,4),"")</f>
        <v>0.4</v>
      </c>
      <c r="AH24">
        <f>IF(AG24="","",COUNTIF(sj_akey,"&lt;"&amp;AG24)+COUNTIF($AG$6:AG24,AG24))</f>
        <v>12.0</v>
      </c>
    </row>
    <row r="25">
      <c r="A25" s="51" t="n">
        <v>46287</v>
      </c>
      <c r="B25" s="52" t="inlineStr">
        <is>
          <t>Après-midi</t>
        </is>
      </c>
      <c r="C25" s="52" t="inlineStr">
        <is>
          <t>SOUD</t>
        </is>
      </c>
      <c r="D25" s="53" t="inlineStr">
        <is>
          <t>OF-2609-110</t>
        </is>
      </c>
      <c r="E25" s="53" t="inlineStr">
        <is>
          <t>BRA-SUS-02</t>
        </is>
      </c>
      <c r="F25" s="54" t="n"/>
      <c r="G25" s="54" t="n">
        <v>79</v>
      </c>
      <c r="H25" s="54" t="n">
        <v>2</v>
      </c>
      <c r="I25" s="54" t="n">
        <v>0</v>
      </c>
      <c r="J25" s="53" t="n"/>
      <c r="K25" s="55">
        <f>IF(COUNTA(A25:I25)=0,"",IF(F25="",IFERROR(INDEX(eq_dur,MATCH(B25,eq_code,0)),""),F25))</f>
        <v>480.0</v>
      </c>
      <c r="L25" s="55">
        <f>IF(ISNUMBER(K25),N(IFERROR(INDEX(eq_pause,MATCH(B25,eq_code,0)),0))+SUMIFS(st_min,st_date,A25,st_eq,B25,st_po,C25,st_type,"Planifié"),"")</f>
        <v>30.0</v>
      </c>
      <c r="M25" s="55">
        <f>IF(ISNUMBER(K25),K25-L25,"")</f>
        <v>450.0</v>
      </c>
      <c r="N25" s="55">
        <f>IF(ISNUMBER(K25),SUMIFS(st_min,st_date,A25,st_eq,B25,st_po,C25,st_type,"Non planifié"),"")</f>
        <v>104.0</v>
      </c>
      <c r="O25" s="55">
        <f>IF(ISNUMBER(K25),M25-N25,"")</f>
        <v>346.0</v>
      </c>
      <c r="P25" s="55">
        <f>IF(COUNTA(A25:I25)=0,"",N(G25)+N(H25)+N(I25))</f>
        <v>81.0</v>
      </c>
      <c r="Q25" s="56">
        <f>IF(COUNTA(A25:I25)=0,"",IF(N(IFERROR(INDEX(art_rate,MATCH(E25,art_ref,0)),0))&gt;0,N(IFERROR(INDEX(art_rate,MATCH(E25,art_ref,0)),0)),N(IFERROR(INDEX(po_rate,MATCH(C25,po_code,0)),0))))</f>
        <v>20.0</v>
      </c>
      <c r="R25" s="55">
        <f>IF(AC25=1,P25*60/Q25,"")</f>
        <v>243.0</v>
      </c>
      <c r="S25" s="55">
        <f>IF(AC25=1,N(G25)*60/Q25,"")</f>
        <v>237.0</v>
      </c>
      <c r="T25" s="57">
        <f>IF(AC25=1,O25/M25,"")</f>
        <v>0.768888888888889</v>
      </c>
      <c r="U25" s="57">
        <f>IF(AC25=1,IF(O25&gt;0,R25/O25,""),"")</f>
        <v>0.702312138728324</v>
      </c>
      <c r="V25" s="57">
        <f>IF(AC25=1,IF(P25&gt;0,N(G25)/P25,""),"")</f>
        <v>0.975308641975309</v>
      </c>
      <c r="W25" s="57">
        <f>IF(AC25=1,S25/M25,"")</f>
        <v>0.526666666666667</v>
      </c>
      <c r="X25" s="57">
        <f>IF(AC25=1,S25/K25,"")</f>
        <v>0.49375</v>
      </c>
      <c r="Y25" s="58" t="str">
        <f>IF(W25="","",IF(W25&gt;=p_target,"Bon",IF(W25&gt;=p_alert,"À surveiller","Faible")))</f>
        <v>Faible</v>
      </c>
      <c r="Z25" s="58" t="str">
        <f>IF(W25="","",IF(MIN(IF(T25="",1,T25),IF(U25="",1,U25),IF(V25="",1,V25))&gt;=1,"Aucune",IF(IF(T25="",1,T25)&lt;=MIN(IF(U25="",1,U25),IF(V25="",1,V25)),"Disponibilité",IF(IF(U25="",1,U25)&lt;=IF(V25="",1,V25),"Performance","Qualité"))))</f>
        <v>Performance</v>
      </c>
      <c r="AA25" s="59">
        <f>IF(AC25=1,N(H25)*N(IFERROR(INDEX(art_cost,MATCH(E25,art_ref,0)),0)),"")</f>
        <v>476.0</v>
      </c>
      <c r="AB25" s="58" t="str">
        <f>IF(COUNTA(A25:I25)=0,"",IF(N(A25)&lt;=0,"Date manquante ou invalide",IF(B25="","Équipe manquante",IF(ISNA(MATCH(B25,eq_code,0)),"Équipe inconnue",IF(INDEX(eq_check,MATCH(B25,eq_code,0))&lt;&gt;"OK","Équipe à corriger dans Paramètres",IF(C25="","Poste manquant",IF(ISNA(MATCH(C25,po_code,0)),"Poste inconnu",IF(AND(E25&lt;&gt;"",ISNA(MATCH(E25,art_ref,0))),"Article inconnu",IF(IF(E25="",FALSE,INDEX(art_check,MATCH(E25,art_ref,0))&lt;&gt;"OK"),"Article à corriger (feuille Articles)",IF(COUNTIFS(sj_date,A25,sj_eq,B25,sj_po,C25)&gt;1,"Ligne en double (même jour, équipe et poste)",IF(OR(NOT(ISNUMBER(K25)),N(K25)&lt;=0,N(K25)&gt;1440),"Temps d'ouverture invalide",IF(OR(AND(G25&lt;&gt;"",NOT(ISNUMBER(G25))),N(G25)&lt;0,N(G25)&lt;&gt;INT(N(G25)),AND(H25&lt;&gt;"",NOT(ISNUMBER(H25))),N(H25)&lt;0,N(H25)&lt;&gt;INT(N(H25)),AND(I25&lt;&gt;"",NOT(ISNUMBER(I25))),N(I25)&lt;0,N(I25)&lt;&gt;INT(N(I25))),"Quantité invalide",IF(Q25&lt;=0,"Cadence manquante (poste ou article)",IF(M25&lt;=0,"Arrêts planifiés supérieurs au temps d'ouverture",IF(O25&lt;0,"Arrêts supérieurs au temps requis",IF(AND(P25&gt;0,O25=0),"Pièces déclarées sans temps de marche",IF(AND(P25=0,O25&gt;0),"Aucune pièce déclarée",IF(P25*60/Q25&gt;O25+0.001,"Cadence dépassée : vérifiez la cadence","OK"))))))))))))))))))</f>
        <v>OK</v>
      </c>
      <c r="AC25">
        <f>IF(OR(AB25="OK",AB25="Aucune pièce déclarée",AB25="Cadence dépassée : vérifiez la cadence"),1,0)</f>
        <v>1.0</v>
      </c>
      <c r="AD25">
        <f>IF(AND(AC25=1,A25&gt;=p_from,A25&lt;=p_to),1,0)</f>
        <v>1.0</v>
      </c>
      <c r="AE25">
        <f>IF(AD25=1,IF(COUNTIFS($A$6:A25,A25,$AD$6:AD25,1)=1,1,0),0)</f>
        <v>0.0</v>
      </c>
      <c r="AF25" t="str">
        <f>IF(AE25=1,COUNTIFS(sj_first,1,sj_date,"&lt;"&amp;A25)+1,"")</f>
        <v/>
      </c>
      <c r="AG25">
        <f>IF(AND(AD25=1,N(W25)&lt;p_alert),ROUND(W25,4),"")</f>
        <v>0.5267</v>
      </c>
      <c r="AH25">
        <f>IF(AG25="","",COUNTIF(sj_akey,"&lt;"&amp;AG25)+COUNTIF($AG$6:AG25,AG25))</f>
        <v>27.0</v>
      </c>
    </row>
    <row r="26">
      <c r="A26" s="51" t="n">
        <v>46288</v>
      </c>
      <c r="B26" s="52" t="inlineStr">
        <is>
          <t>Matin</t>
        </is>
      </c>
      <c r="C26" s="52" t="inlineStr">
        <is>
          <t>TOUR1</t>
        </is>
      </c>
      <c r="D26" s="53" t="inlineStr">
        <is>
          <t>OF-2609-111</t>
        </is>
      </c>
      <c r="E26" s="53" t="inlineStr">
        <is>
          <t>BAG-BR-32</t>
        </is>
      </c>
      <c r="F26" s="54" t="n"/>
      <c r="G26" s="54" t="n">
        <v>273</v>
      </c>
      <c r="H26" s="54" t="n">
        <v>8</v>
      </c>
      <c r="I26" s="54" t="n">
        <v>0</v>
      </c>
      <c r="J26" s="53" t="inlineStr">
        <is>
          <t>Premier article validé</t>
        </is>
      </c>
      <c r="K26" s="55">
        <f>IF(COUNTA(A26:I26)=0,"",IF(F26="",IFERROR(INDEX(eq_dur,MATCH(B26,eq_code,0)),""),F26))</f>
        <v>480.0</v>
      </c>
      <c r="L26" s="55">
        <f>IF(ISNUMBER(K26),N(IFERROR(INDEX(eq_pause,MATCH(B26,eq_code,0)),0))+SUMIFS(st_min,st_date,A26,st_eq,B26,st_po,C26,st_type,"Planifié"),"")</f>
        <v>30.0</v>
      </c>
      <c r="M26" s="55">
        <f>IF(ISNUMBER(K26),K26-L26,"")</f>
        <v>450.0</v>
      </c>
      <c r="N26" s="55">
        <f>IF(ISNUMBER(K26),SUMIFS(st_min,st_date,A26,st_eq,B26,st_po,C26,st_type,"Non planifié"),"")</f>
        <v>0.0</v>
      </c>
      <c r="O26" s="55">
        <f>IF(ISNUMBER(K26),M26-N26,"")</f>
        <v>450.0</v>
      </c>
      <c r="P26" s="55">
        <f>IF(COUNTA(A26:I26)=0,"",N(G26)+N(H26)+N(I26))</f>
        <v>281.0</v>
      </c>
      <c r="Q26" s="56">
        <f>IF(COUNTA(A26:I26)=0,"",IF(N(IFERROR(INDEX(art_rate,MATCH(E26,art_ref,0)),0))&gt;0,N(IFERROR(INDEX(art_rate,MATCH(E26,art_ref,0)),0)),N(IFERROR(INDEX(po_rate,MATCH(C26,po_code,0)),0))))</f>
        <v>40.0</v>
      </c>
      <c r="R26" s="55">
        <f>IF(AC26=1,P26*60/Q26,"")</f>
        <v>421.5</v>
      </c>
      <c r="S26" s="55">
        <f>IF(AC26=1,N(G26)*60/Q26,"")</f>
        <v>409.5</v>
      </c>
      <c r="T26" s="57">
        <f>IF(AC26=1,O26/M26,"")</f>
        <v>1.0</v>
      </c>
      <c r="U26" s="57">
        <f>IF(AC26=1,IF(O26&gt;0,R26/O26,""),"")</f>
        <v>0.936666666666667</v>
      </c>
      <c r="V26" s="57">
        <f>IF(AC26=1,IF(P26&gt;0,N(G26)/P26,""),"")</f>
        <v>0.97153024911032</v>
      </c>
      <c r="W26" s="57">
        <f>IF(AC26=1,S26/M26,"")</f>
        <v>0.91</v>
      </c>
      <c r="X26" s="57">
        <f>IF(AC26=1,S26/K26,"")</f>
        <v>0.853125</v>
      </c>
      <c r="Y26" s="58" t="str">
        <f>IF(W26="","",IF(W26&gt;=p_target,"Bon",IF(W26&gt;=p_alert,"À surveiller","Faible")))</f>
        <v>Bon</v>
      </c>
      <c r="Z26" s="58" t="str">
        <f>IF(W26="","",IF(MIN(IF(T26="",1,T26),IF(U26="",1,U26),IF(V26="",1,V26))&gt;=1,"Aucune",IF(IF(T26="",1,T26)&lt;=MIN(IF(U26="",1,U26),IF(V26="",1,V26)),"Disponibilité",IF(IF(U26="",1,U26)&lt;=IF(V26="",1,V26),"Performance","Qualité"))))</f>
        <v>Performance</v>
      </c>
      <c r="AA26" s="59">
        <f>IF(AC26=1,N(H26)*N(IFERROR(INDEX(art_cost,MATCH(E26,art_ref,0)),0)),"")</f>
        <v>416.0</v>
      </c>
      <c r="AB26" s="58" t="str">
        <f>IF(COUNTA(A26:I26)=0,"",IF(N(A26)&lt;=0,"Date manquante ou invalide",IF(B26="","Équipe manquante",IF(ISNA(MATCH(B26,eq_code,0)),"Équipe inconnue",IF(INDEX(eq_check,MATCH(B26,eq_code,0))&lt;&gt;"OK","Équipe à corriger dans Paramètres",IF(C26="","Poste manquant",IF(ISNA(MATCH(C26,po_code,0)),"Poste inconnu",IF(AND(E26&lt;&gt;"",ISNA(MATCH(E26,art_ref,0))),"Article inconnu",IF(IF(E26="",FALSE,INDEX(art_check,MATCH(E26,art_ref,0))&lt;&gt;"OK"),"Article à corriger (feuille Articles)",IF(COUNTIFS(sj_date,A26,sj_eq,B26,sj_po,C26)&gt;1,"Ligne en double (même jour, équipe et poste)",IF(OR(NOT(ISNUMBER(K26)),N(K26)&lt;=0,N(K26)&gt;1440),"Temps d'ouverture invalide",IF(OR(AND(G26&lt;&gt;"",NOT(ISNUMBER(G26))),N(G26)&lt;0,N(G26)&lt;&gt;INT(N(G26)),AND(H26&lt;&gt;"",NOT(ISNUMBER(H26))),N(H26)&lt;0,N(H26)&lt;&gt;INT(N(H26)),AND(I26&lt;&gt;"",NOT(ISNUMBER(I26))),N(I26)&lt;0,N(I26)&lt;&gt;INT(N(I26))),"Quantité invalide",IF(Q26&lt;=0,"Cadence manquante (poste ou article)",IF(M26&lt;=0,"Arrêts planifiés supérieurs au temps d'ouverture",IF(O26&lt;0,"Arrêts supérieurs au temps requis",IF(AND(P26&gt;0,O26=0),"Pièces déclarées sans temps de marche",IF(AND(P26=0,O26&gt;0),"Aucune pièce déclarée",IF(P26*60/Q26&gt;O26+0.001,"Cadence dépassée : vérifiez la cadence","OK"))))))))))))))))))</f>
        <v>OK</v>
      </c>
      <c r="AC26">
        <f>IF(OR(AB26="OK",AB26="Aucune pièce déclarée",AB26="Cadence dépassée : vérifiez la cadence"),1,0)</f>
        <v>1.0</v>
      </c>
      <c r="AD26">
        <f>IF(AND(AC26=1,A26&gt;=p_from,A26&lt;=p_to),1,0)</f>
        <v>1.0</v>
      </c>
      <c r="AE26">
        <f>IF(AD26=1,IF(COUNTIFS($A$6:A26,A26,$AD$6:AD26,1)=1,1,0),0)</f>
        <v>1.0</v>
      </c>
      <c r="AF26">
        <f>IF(AE26=1,COUNTIFS(sj_first,1,sj_date,"&lt;"&amp;A26)+1,"")</f>
        <v>3.0</v>
      </c>
      <c r="AG26" t="str">
        <f>IF(AND(AD26=1,N(W26)&lt;p_alert),ROUND(W26,4),"")</f>
        <v/>
      </c>
      <c r="AH26" t="str">
        <f>IF(AG26="","",COUNTIF(sj_akey,"&lt;"&amp;AG26)+COUNTIF($AG$6:AG26,AG26))</f>
        <v/>
      </c>
    </row>
    <row r="27">
      <c r="A27" s="51" t="n">
        <v>46288</v>
      </c>
      <c r="B27" s="52" t="inlineStr">
        <is>
          <t>Après-midi</t>
        </is>
      </c>
      <c r="C27" s="52" t="inlineStr">
        <is>
          <t>TOUR1</t>
        </is>
      </c>
      <c r="D27" s="53" t="inlineStr">
        <is>
          <t>OF-2609-112</t>
        </is>
      </c>
      <c r="E27" s="53" t="inlineStr">
        <is>
          <t>BAG-BR-32</t>
        </is>
      </c>
      <c r="F27" s="54" t="n"/>
      <c r="G27" s="54" t="n">
        <v>269</v>
      </c>
      <c r="H27" s="54" t="n">
        <v>4</v>
      </c>
      <c r="I27" s="54" t="n">
        <v>3</v>
      </c>
      <c r="J27" s="53" t="n"/>
      <c r="K27" s="55">
        <f>IF(COUNTA(A27:I27)=0,"",IF(F27="",IFERROR(INDEX(eq_dur,MATCH(B27,eq_code,0)),""),F27))</f>
        <v>480.0</v>
      </c>
      <c r="L27" s="55">
        <f>IF(ISNUMBER(K27),N(IFERROR(INDEX(eq_pause,MATCH(B27,eq_code,0)),0))+SUMIFS(st_min,st_date,A27,st_eq,B27,st_po,C27,st_type,"Planifié"),"")</f>
        <v>30.0</v>
      </c>
      <c r="M27" s="55">
        <f>IF(ISNUMBER(K27),K27-L27,"")</f>
        <v>450.0</v>
      </c>
      <c r="N27" s="55">
        <f>IF(ISNUMBER(K27),SUMIFS(st_min,st_date,A27,st_eq,B27,st_po,C27,st_type,"Non planifié"),"")</f>
        <v>0.0</v>
      </c>
      <c r="O27" s="55">
        <f>IF(ISNUMBER(K27),M27-N27,"")</f>
        <v>450.0</v>
      </c>
      <c r="P27" s="55">
        <f>IF(COUNTA(A27:I27)=0,"",N(G27)+N(H27)+N(I27))</f>
        <v>276.0</v>
      </c>
      <c r="Q27" s="56">
        <f>IF(COUNTA(A27:I27)=0,"",IF(N(IFERROR(INDEX(art_rate,MATCH(E27,art_ref,0)),0))&gt;0,N(IFERROR(INDEX(art_rate,MATCH(E27,art_ref,0)),0)),N(IFERROR(INDEX(po_rate,MATCH(C27,po_code,0)),0))))</f>
        <v>40.0</v>
      </c>
      <c r="R27" s="55">
        <f>IF(AC27=1,P27*60/Q27,"")</f>
        <v>414.0</v>
      </c>
      <c r="S27" s="55">
        <f>IF(AC27=1,N(G27)*60/Q27,"")</f>
        <v>403.5</v>
      </c>
      <c r="T27" s="57">
        <f>IF(AC27=1,O27/M27,"")</f>
        <v>1.0</v>
      </c>
      <c r="U27" s="57">
        <f>IF(AC27=1,IF(O27&gt;0,R27/O27,""),"")</f>
        <v>0.92</v>
      </c>
      <c r="V27" s="57">
        <f>IF(AC27=1,IF(P27&gt;0,N(G27)/P27,""),"")</f>
        <v>0.97463768115942</v>
      </c>
      <c r="W27" s="57">
        <f>IF(AC27=1,S27/M27,"")</f>
        <v>0.896666666666667</v>
      </c>
      <c r="X27" s="57">
        <f>IF(AC27=1,S27/K27,"")</f>
        <v>0.840625</v>
      </c>
      <c r="Y27" s="58" t="str">
        <f>IF(W27="","",IF(W27&gt;=p_target,"Bon",IF(W27&gt;=p_alert,"À surveiller","Faible")))</f>
        <v>Bon</v>
      </c>
      <c r="Z27" s="58" t="str">
        <f>IF(W27="","",IF(MIN(IF(T27="",1,T27),IF(U27="",1,U27),IF(V27="",1,V27))&gt;=1,"Aucune",IF(IF(T27="",1,T27)&lt;=MIN(IF(U27="",1,U27),IF(V27="",1,V27)),"Disponibilité",IF(IF(U27="",1,U27)&lt;=IF(V27="",1,V27),"Performance","Qualité"))))</f>
        <v>Performance</v>
      </c>
      <c r="AA27" s="59">
        <f>IF(AC27=1,N(H27)*N(IFERROR(INDEX(art_cost,MATCH(E27,art_ref,0)),0)),"")</f>
        <v>208.0</v>
      </c>
      <c r="AB27" s="58" t="str">
        <f>IF(COUNTA(A27:I27)=0,"",IF(N(A27)&lt;=0,"Date manquante ou invalide",IF(B27="","Équipe manquante",IF(ISNA(MATCH(B27,eq_code,0)),"Équipe inconnue",IF(INDEX(eq_check,MATCH(B27,eq_code,0))&lt;&gt;"OK","Équipe à corriger dans Paramètres",IF(C27="","Poste manquant",IF(ISNA(MATCH(C27,po_code,0)),"Poste inconnu",IF(AND(E27&lt;&gt;"",ISNA(MATCH(E27,art_ref,0))),"Article inconnu",IF(IF(E27="",FALSE,INDEX(art_check,MATCH(E27,art_ref,0))&lt;&gt;"OK"),"Article à corriger (feuille Articles)",IF(COUNTIFS(sj_date,A27,sj_eq,B27,sj_po,C27)&gt;1,"Ligne en double (même jour, équipe et poste)",IF(OR(NOT(ISNUMBER(K27)),N(K27)&lt;=0,N(K27)&gt;1440),"Temps d'ouverture invalide",IF(OR(AND(G27&lt;&gt;"",NOT(ISNUMBER(G27))),N(G27)&lt;0,N(G27)&lt;&gt;INT(N(G27)),AND(H27&lt;&gt;"",NOT(ISNUMBER(H27))),N(H27)&lt;0,N(H27)&lt;&gt;INT(N(H27)),AND(I27&lt;&gt;"",NOT(ISNUMBER(I27))),N(I27)&lt;0,N(I27)&lt;&gt;INT(N(I27))),"Quantité invalide",IF(Q27&lt;=0,"Cadence manquante (poste ou article)",IF(M27&lt;=0,"Arrêts planifiés supérieurs au temps d'ouverture",IF(O27&lt;0,"Arrêts supérieurs au temps requis",IF(AND(P27&gt;0,O27=0),"Pièces déclarées sans temps de marche",IF(AND(P27=0,O27&gt;0),"Aucune pièce déclarée",IF(P27*60/Q27&gt;O27+0.001,"Cadence dépassée : vérifiez la cadence","OK"))))))))))))))))))</f>
        <v>OK</v>
      </c>
      <c r="AC27">
        <f>IF(OR(AB27="OK",AB27="Aucune pièce déclarée",AB27="Cadence dépassée : vérifiez la cadence"),1,0)</f>
        <v>1.0</v>
      </c>
      <c r="AD27">
        <f>IF(AND(AC27=1,A27&gt;=p_from,A27&lt;=p_to),1,0)</f>
        <v>1.0</v>
      </c>
      <c r="AE27">
        <f>IF(AD27=1,IF(COUNTIFS($A$6:A27,A27,$AD$6:AD27,1)=1,1,0),0)</f>
        <v>0.0</v>
      </c>
      <c r="AF27" t="str">
        <f>IF(AE27=1,COUNTIFS(sj_first,1,sj_date,"&lt;"&amp;A27)+1,"")</f>
        <v/>
      </c>
      <c r="AG27" t="str">
        <f>IF(AND(AD27=1,N(W27)&lt;p_alert),ROUND(W27,4),"")</f>
        <v/>
      </c>
      <c r="AH27" t="str">
        <f>IF(AG27="","",COUNTIF(sj_akey,"&lt;"&amp;AG27)+COUNTIF($AG$6:AG27,AG27))</f>
        <v/>
      </c>
    </row>
    <row r="28">
      <c r="A28" s="51" t="n">
        <v>46288</v>
      </c>
      <c r="B28" s="52" t="inlineStr">
        <is>
          <t>Matin</t>
        </is>
      </c>
      <c r="C28" s="52" t="inlineStr">
        <is>
          <t>TOUR2</t>
        </is>
      </c>
      <c r="D28" s="53" t="inlineStr">
        <is>
          <t>OF-2609-116</t>
        </is>
      </c>
      <c r="E28" s="53" t="inlineStr">
        <is>
          <t>AXE-R20</t>
        </is>
      </c>
      <c r="F28" s="54" t="n"/>
      <c r="G28" s="54" t="n">
        <v>164</v>
      </c>
      <c r="H28" s="54" t="n">
        <v>0</v>
      </c>
      <c r="I28" s="54" t="n">
        <v>0</v>
      </c>
      <c r="J28" s="53" t="n"/>
      <c r="K28" s="55">
        <f>IF(COUNTA(A28:I28)=0,"",IF(F28="",IFERROR(INDEX(eq_dur,MATCH(B28,eq_code,0)),""),F28))</f>
        <v>480.0</v>
      </c>
      <c r="L28" s="55">
        <f>IF(ISNUMBER(K28),N(IFERROR(INDEX(eq_pause,MATCH(B28,eq_code,0)),0))+SUMIFS(st_min,st_date,A28,st_eq,B28,st_po,C28,st_type,"Planifié"),"")</f>
        <v>30.0</v>
      </c>
      <c r="M28" s="55">
        <f>IF(ISNUMBER(K28),K28-L28,"")</f>
        <v>450.0</v>
      </c>
      <c r="N28" s="55">
        <f>IF(ISNUMBER(K28),SUMIFS(st_min,st_date,A28,st_eq,B28,st_po,C28,st_type,"Non planifié"),"")</f>
        <v>107.0</v>
      </c>
      <c r="O28" s="55">
        <f>IF(ISNUMBER(K28),M28-N28,"")</f>
        <v>343.0</v>
      </c>
      <c r="P28" s="55">
        <f>IF(COUNTA(A28:I28)=0,"",N(G28)+N(H28)+N(I28))</f>
        <v>164.0</v>
      </c>
      <c r="Q28" s="56">
        <f>IF(COUNTA(A28:I28)=0,"",IF(N(IFERROR(INDEX(art_rate,MATCH(E28,art_ref,0)),0))&gt;0,N(IFERROR(INDEX(art_rate,MATCH(E28,art_ref,0)),0)),N(IFERROR(INDEX(po_rate,MATCH(C28,po_code,0)),0))))</f>
        <v>30.0</v>
      </c>
      <c r="R28" s="55">
        <f>IF(AC28=1,P28*60/Q28,"")</f>
        <v>328.0</v>
      </c>
      <c r="S28" s="55">
        <f>IF(AC28=1,N(G28)*60/Q28,"")</f>
        <v>328.0</v>
      </c>
      <c r="T28" s="57">
        <f>IF(AC28=1,O28/M28,"")</f>
        <v>0.762222222222222</v>
      </c>
      <c r="U28" s="57">
        <f>IF(AC28=1,IF(O28&gt;0,R28/O28,""),"")</f>
        <v>0.956268221574344</v>
      </c>
      <c r="V28" s="57">
        <f>IF(AC28=1,IF(P28&gt;0,N(G28)/P28,""),"")</f>
        <v>1.0</v>
      </c>
      <c r="W28" s="57">
        <f>IF(AC28=1,S28/M28,"")</f>
        <v>0.728888888888889</v>
      </c>
      <c r="X28" s="57">
        <f>IF(AC28=1,S28/K28,"")</f>
        <v>0.683333333333333</v>
      </c>
      <c r="Y28" s="58" t="str">
        <f>IF(W28="","",IF(W28&gt;=p_target,"Bon",IF(W28&gt;=p_alert,"À surveiller","Faible")))</f>
        <v>À surveiller</v>
      </c>
      <c r="Z28" s="58" t="str">
        <f>IF(W28="","",IF(MIN(IF(T28="",1,T28),IF(U28="",1,U28),IF(V28="",1,V28))&gt;=1,"Aucune",IF(IF(T28="",1,T28)&lt;=MIN(IF(U28="",1,U28),IF(V28="",1,V28)),"Disponibilité",IF(IF(U28="",1,U28)&lt;=IF(V28="",1,V28),"Performance","Qualité"))))</f>
        <v>Disponibilité</v>
      </c>
      <c r="AA28" s="59">
        <f>IF(AC28=1,N(H28)*N(IFERROR(INDEX(art_cost,MATCH(E28,art_ref,0)),0)),"")</f>
        <v>0.0</v>
      </c>
      <c r="AB28" s="58" t="str">
        <f>IF(COUNTA(A28:I28)=0,"",IF(N(A28)&lt;=0,"Date manquante ou invalide",IF(B28="","Équipe manquante",IF(ISNA(MATCH(B28,eq_code,0)),"Équipe inconnue",IF(INDEX(eq_check,MATCH(B28,eq_code,0))&lt;&gt;"OK","Équipe à corriger dans Paramètres",IF(C28="","Poste manquant",IF(ISNA(MATCH(C28,po_code,0)),"Poste inconnu",IF(AND(E28&lt;&gt;"",ISNA(MATCH(E28,art_ref,0))),"Article inconnu",IF(IF(E28="",FALSE,INDEX(art_check,MATCH(E28,art_ref,0))&lt;&gt;"OK"),"Article à corriger (feuille Articles)",IF(COUNTIFS(sj_date,A28,sj_eq,B28,sj_po,C28)&gt;1,"Ligne en double (même jour, équipe et poste)",IF(OR(NOT(ISNUMBER(K28)),N(K28)&lt;=0,N(K28)&gt;1440),"Temps d'ouverture invalide",IF(OR(AND(G28&lt;&gt;"",NOT(ISNUMBER(G28))),N(G28)&lt;0,N(G28)&lt;&gt;INT(N(G28)),AND(H28&lt;&gt;"",NOT(ISNUMBER(H28))),N(H28)&lt;0,N(H28)&lt;&gt;INT(N(H28)),AND(I28&lt;&gt;"",NOT(ISNUMBER(I28))),N(I28)&lt;0,N(I28)&lt;&gt;INT(N(I28))),"Quantité invalide",IF(Q28&lt;=0,"Cadence manquante (poste ou article)",IF(M28&lt;=0,"Arrêts planifiés supérieurs au temps d'ouverture",IF(O28&lt;0,"Arrêts supérieurs au temps requis",IF(AND(P28&gt;0,O28=0),"Pièces déclarées sans temps de marche",IF(AND(P28=0,O28&gt;0),"Aucune pièce déclarée",IF(P28*60/Q28&gt;O28+0.001,"Cadence dépassée : vérifiez la cadence","OK"))))))))))))))))))</f>
        <v>OK</v>
      </c>
      <c r="AC28">
        <f>IF(OR(AB28="OK",AB28="Aucune pièce déclarée",AB28="Cadence dépassée : vérifiez la cadence"),1,0)</f>
        <v>1.0</v>
      </c>
      <c r="AD28">
        <f>IF(AND(AC28=1,A28&gt;=p_from,A28&lt;=p_to),1,0)</f>
        <v>1.0</v>
      </c>
      <c r="AE28">
        <f>IF(AD28=1,IF(COUNTIFS($A$6:A28,A28,$AD$6:AD28,1)=1,1,0),0)</f>
        <v>0.0</v>
      </c>
      <c r="AF28" t="str">
        <f>IF(AE28=1,COUNTIFS(sj_first,1,sj_date,"&lt;"&amp;A28)+1,"")</f>
        <v/>
      </c>
      <c r="AG28" t="str">
        <f>IF(AND(AD28=1,N(W28)&lt;p_alert),ROUND(W28,4),"")</f>
        <v/>
      </c>
      <c r="AH28" t="str">
        <f>IF(AG28="","",COUNTIF(sj_akey,"&lt;"&amp;AG28)+COUNTIF($AG$6:AG28,AG28))</f>
        <v/>
      </c>
    </row>
    <row r="29">
      <c r="A29" s="51" t="n">
        <v>46288</v>
      </c>
      <c r="B29" s="52" t="inlineStr">
        <is>
          <t>Après-midi</t>
        </is>
      </c>
      <c r="C29" s="52" t="inlineStr">
        <is>
          <t>TOUR2</t>
        </is>
      </c>
      <c r="D29" s="53" t="inlineStr">
        <is>
          <t>OF-2609-113</t>
        </is>
      </c>
      <c r="E29" s="53" t="inlineStr">
        <is>
          <t>AXE-R20</t>
        </is>
      </c>
      <c r="F29" s="54" t="n"/>
      <c r="G29" s="54" t="n">
        <v>201</v>
      </c>
      <c r="H29" s="54" t="n">
        <v>4</v>
      </c>
      <c r="I29" s="54" t="n">
        <v>0</v>
      </c>
      <c r="J29" s="53" t="n"/>
      <c r="K29" s="55">
        <f>IF(COUNTA(A29:I29)=0,"",IF(F29="",IFERROR(INDEX(eq_dur,MATCH(B29,eq_code,0)),""),F29))</f>
        <v>480.0</v>
      </c>
      <c r="L29" s="55">
        <f>IF(ISNUMBER(K29),N(IFERROR(INDEX(eq_pause,MATCH(B29,eq_code,0)),0))+SUMIFS(st_min,st_date,A29,st_eq,B29,st_po,C29,st_type,"Planifié"),"")</f>
        <v>30.0</v>
      </c>
      <c r="M29" s="55">
        <f>IF(ISNUMBER(K29),K29-L29,"")</f>
        <v>450.0</v>
      </c>
      <c r="N29" s="55">
        <f>IF(ISNUMBER(K29),SUMIFS(st_min,st_date,A29,st_eq,B29,st_po,C29,st_type,"Non planifié"),"")</f>
        <v>0.0</v>
      </c>
      <c r="O29" s="55">
        <f>IF(ISNUMBER(K29),M29-N29,"")</f>
        <v>450.0</v>
      </c>
      <c r="P29" s="55">
        <f>IF(COUNTA(A29:I29)=0,"",N(G29)+N(H29)+N(I29))</f>
        <v>205.0</v>
      </c>
      <c r="Q29" s="56">
        <f>IF(COUNTA(A29:I29)=0,"",IF(N(IFERROR(INDEX(art_rate,MATCH(E29,art_ref,0)),0))&gt;0,N(IFERROR(INDEX(art_rate,MATCH(E29,art_ref,0)),0)),N(IFERROR(INDEX(po_rate,MATCH(C29,po_code,0)),0))))</f>
        <v>30.0</v>
      </c>
      <c r="R29" s="55">
        <f>IF(AC29=1,P29*60/Q29,"")</f>
        <v>410.0</v>
      </c>
      <c r="S29" s="55">
        <f>IF(AC29=1,N(G29)*60/Q29,"")</f>
        <v>402.0</v>
      </c>
      <c r="T29" s="57">
        <f>IF(AC29=1,O29/M29,"")</f>
        <v>1.0</v>
      </c>
      <c r="U29" s="57">
        <f>IF(AC29=1,IF(O29&gt;0,R29/O29,""),"")</f>
        <v>0.911111111111111</v>
      </c>
      <c r="V29" s="57">
        <f>IF(AC29=1,IF(P29&gt;0,N(G29)/P29,""),"")</f>
        <v>0.980487804878049</v>
      </c>
      <c r="W29" s="57">
        <f>IF(AC29=1,S29/M29,"")</f>
        <v>0.893333333333333</v>
      </c>
      <c r="X29" s="57">
        <f>IF(AC29=1,S29/K29,"")</f>
        <v>0.8375</v>
      </c>
      <c r="Y29" s="58" t="str">
        <f>IF(W29="","",IF(W29&gt;=p_target,"Bon",IF(W29&gt;=p_alert,"À surveiller","Faible")))</f>
        <v>Bon</v>
      </c>
      <c r="Z29" s="58" t="str">
        <f>IF(W29="","",IF(MIN(IF(T29="",1,T29),IF(U29="",1,U29),IF(V29="",1,V29))&gt;=1,"Aucune",IF(IF(T29="",1,T29)&lt;=MIN(IF(U29="",1,U29),IF(V29="",1,V29)),"Disponibilité",IF(IF(U29="",1,U29)&lt;=IF(V29="",1,V29),"Performance","Qualité"))))</f>
        <v>Performance</v>
      </c>
      <c r="AA29" s="59">
        <f>IF(AC29=1,N(H29)*N(IFERROR(INDEX(art_cost,MATCH(E29,art_ref,0)),0)),"")</f>
        <v>154.0</v>
      </c>
      <c r="AB29" s="58" t="str">
        <f>IF(COUNTA(A29:I29)=0,"",IF(N(A29)&lt;=0,"Date manquante ou invalide",IF(B29="","Équipe manquante",IF(ISNA(MATCH(B29,eq_code,0)),"Équipe inconnue",IF(INDEX(eq_check,MATCH(B29,eq_code,0))&lt;&gt;"OK","Équipe à corriger dans Paramètres",IF(C29="","Poste manquant",IF(ISNA(MATCH(C29,po_code,0)),"Poste inconnu",IF(AND(E29&lt;&gt;"",ISNA(MATCH(E29,art_ref,0))),"Article inconnu",IF(IF(E29="",FALSE,INDEX(art_check,MATCH(E29,art_ref,0))&lt;&gt;"OK"),"Article à corriger (feuille Articles)",IF(COUNTIFS(sj_date,A29,sj_eq,B29,sj_po,C29)&gt;1,"Ligne en double (même jour, équipe et poste)",IF(OR(NOT(ISNUMBER(K29)),N(K29)&lt;=0,N(K29)&gt;1440),"Temps d'ouverture invalide",IF(OR(AND(G29&lt;&gt;"",NOT(ISNUMBER(G29))),N(G29)&lt;0,N(G29)&lt;&gt;INT(N(G29)),AND(H29&lt;&gt;"",NOT(ISNUMBER(H29))),N(H29)&lt;0,N(H29)&lt;&gt;INT(N(H29)),AND(I29&lt;&gt;"",NOT(ISNUMBER(I29))),N(I29)&lt;0,N(I29)&lt;&gt;INT(N(I29))),"Quantité invalide",IF(Q29&lt;=0,"Cadence manquante (poste ou article)",IF(M29&lt;=0,"Arrêts planifiés supérieurs au temps d'ouverture",IF(O29&lt;0,"Arrêts supérieurs au temps requis",IF(AND(P29&gt;0,O29=0),"Pièces déclarées sans temps de marche",IF(AND(P29=0,O29&gt;0),"Aucune pièce déclarée",IF(P29*60/Q29&gt;O29+0.001,"Cadence dépassée : vérifiez la cadence","OK"))))))))))))))))))</f>
        <v>OK</v>
      </c>
      <c r="AC29">
        <f>IF(OR(AB29="OK",AB29="Aucune pièce déclarée",AB29="Cadence dépassée : vérifiez la cadence"),1,0)</f>
        <v>1.0</v>
      </c>
      <c r="AD29">
        <f>IF(AND(AC29=1,A29&gt;=p_from,A29&lt;=p_to),1,0)</f>
        <v>1.0</v>
      </c>
      <c r="AE29">
        <f>IF(AD29=1,IF(COUNTIFS($A$6:A29,A29,$AD$6:AD29,1)=1,1,0),0)</f>
        <v>0.0</v>
      </c>
      <c r="AF29" t="str">
        <f>IF(AE29=1,COUNTIFS(sj_first,1,sj_date,"&lt;"&amp;A29)+1,"")</f>
        <v/>
      </c>
      <c r="AG29" t="str">
        <f>IF(AND(AD29=1,N(W29)&lt;p_alert),ROUND(W29,4),"")</f>
        <v/>
      </c>
      <c r="AH29" t="str">
        <f>IF(AG29="","",COUNTIF(sj_akey,"&lt;"&amp;AG29)+COUNTIF($AG$6:AG29,AG29))</f>
        <v/>
      </c>
    </row>
    <row r="30">
      <c r="A30" s="51" t="n">
        <v>46288</v>
      </c>
      <c r="B30" s="52" t="inlineStr">
        <is>
          <t>Matin</t>
        </is>
      </c>
      <c r="C30" s="52" t="inlineStr">
        <is>
          <t>USIN</t>
        </is>
      </c>
      <c r="D30" s="53" t="inlineStr">
        <is>
          <t>OF-2609-105</t>
        </is>
      </c>
      <c r="E30" s="53" t="inlineStr">
        <is>
          <t>FLA-PL-150</t>
        </is>
      </c>
      <c r="F30" s="54" t="n"/>
      <c r="G30" s="54" t="n">
        <v>60</v>
      </c>
      <c r="H30" s="54" t="n">
        <v>0</v>
      </c>
      <c r="I30" s="54" t="n">
        <v>0</v>
      </c>
      <c r="J30" s="53" t="n"/>
      <c r="K30" s="55">
        <f>IF(COUNTA(A30:I30)=0,"",IF(F30="",IFERROR(INDEX(eq_dur,MATCH(B30,eq_code,0)),""),F30))</f>
        <v>480.0</v>
      </c>
      <c r="L30" s="55">
        <f>IF(ISNUMBER(K30),N(IFERROR(INDEX(eq_pause,MATCH(B30,eq_code,0)),0))+SUMIFS(st_min,st_date,A30,st_eq,B30,st_po,C30,st_type,"Planifié"),"")</f>
        <v>30.0</v>
      </c>
      <c r="M30" s="55">
        <f>IF(ISNUMBER(K30),K30-L30,"")</f>
        <v>450.0</v>
      </c>
      <c r="N30" s="55">
        <f>IF(ISNUMBER(K30),SUMIFS(st_min,st_date,A30,st_eq,B30,st_po,C30,st_type,"Non planifié"),"")</f>
        <v>87.0</v>
      </c>
      <c r="O30" s="55">
        <f>IF(ISNUMBER(K30),M30-N30,"")</f>
        <v>363.0</v>
      </c>
      <c r="P30" s="55">
        <f>IF(COUNTA(A30:I30)=0,"",N(G30)+N(H30)+N(I30))</f>
        <v>60.0</v>
      </c>
      <c r="Q30" s="56">
        <f>IF(COUNTA(A30:I30)=0,"",IF(N(IFERROR(INDEX(art_rate,MATCH(E30,art_ref,0)),0))&gt;0,N(IFERROR(INDEX(art_rate,MATCH(E30,art_ref,0)),0)),N(IFERROR(INDEX(po_rate,MATCH(C30,po_code,0)),0))))</f>
        <v>12.0</v>
      </c>
      <c r="R30" s="55">
        <f>IF(AC30=1,P30*60/Q30,"")</f>
        <v>300.0</v>
      </c>
      <c r="S30" s="55">
        <f>IF(AC30=1,N(G30)*60/Q30,"")</f>
        <v>300.0</v>
      </c>
      <c r="T30" s="57">
        <f>IF(AC30=1,O30/M30,"")</f>
        <v>0.806666666666667</v>
      </c>
      <c r="U30" s="57">
        <f>IF(AC30=1,IF(O30&gt;0,R30/O30,""),"")</f>
        <v>0.826446280991736</v>
      </c>
      <c r="V30" s="57">
        <f>IF(AC30=1,IF(P30&gt;0,N(G30)/P30,""),"")</f>
        <v>1.0</v>
      </c>
      <c r="W30" s="57">
        <f>IF(AC30=1,S30/M30,"")</f>
        <v>0.666666666666667</v>
      </c>
      <c r="X30" s="57">
        <f>IF(AC30=1,S30/K30,"")</f>
        <v>0.625</v>
      </c>
      <c r="Y30" s="58" t="str">
        <f>IF(W30="","",IF(W30&gt;=p_target,"Bon",IF(W30&gt;=p_alert,"À surveiller","Faible")))</f>
        <v>À surveiller</v>
      </c>
      <c r="Z30" s="58" t="str">
        <f>IF(W30="","",IF(MIN(IF(T30="",1,T30),IF(U30="",1,U30),IF(V30="",1,V30))&gt;=1,"Aucune",IF(IF(T30="",1,T30)&lt;=MIN(IF(U30="",1,U30),IF(V30="",1,V30)),"Disponibilité",IF(IF(U30="",1,U30)&lt;=IF(V30="",1,V30),"Performance","Qualité"))))</f>
        <v>Disponibilité</v>
      </c>
      <c r="AA30" s="59">
        <f>IF(AC30=1,N(H30)*N(IFERROR(INDEX(art_cost,MATCH(E30,art_ref,0)),0)),"")</f>
        <v>0.0</v>
      </c>
      <c r="AB30" s="58" t="str">
        <f>IF(COUNTA(A30:I30)=0,"",IF(N(A30)&lt;=0,"Date manquante ou invalide",IF(B30="","Équipe manquante",IF(ISNA(MATCH(B30,eq_code,0)),"Équipe inconnue",IF(INDEX(eq_check,MATCH(B30,eq_code,0))&lt;&gt;"OK","Équipe à corriger dans Paramètres",IF(C30="","Poste manquant",IF(ISNA(MATCH(C30,po_code,0)),"Poste inconnu",IF(AND(E30&lt;&gt;"",ISNA(MATCH(E30,art_ref,0))),"Article inconnu",IF(IF(E30="",FALSE,INDEX(art_check,MATCH(E30,art_ref,0))&lt;&gt;"OK"),"Article à corriger (feuille Articles)",IF(COUNTIFS(sj_date,A30,sj_eq,B30,sj_po,C30)&gt;1,"Ligne en double (même jour, équipe et poste)",IF(OR(NOT(ISNUMBER(K30)),N(K30)&lt;=0,N(K30)&gt;1440),"Temps d'ouverture invalide",IF(OR(AND(G30&lt;&gt;"",NOT(ISNUMBER(G30))),N(G30)&lt;0,N(G30)&lt;&gt;INT(N(G30)),AND(H30&lt;&gt;"",NOT(ISNUMBER(H30))),N(H30)&lt;0,N(H30)&lt;&gt;INT(N(H30)),AND(I30&lt;&gt;"",NOT(ISNUMBER(I30))),N(I30)&lt;0,N(I30)&lt;&gt;INT(N(I30))),"Quantité invalide",IF(Q30&lt;=0,"Cadence manquante (poste ou article)",IF(M30&lt;=0,"Arrêts planifiés supérieurs au temps d'ouverture",IF(O30&lt;0,"Arrêts supérieurs au temps requis",IF(AND(P30&gt;0,O30=0),"Pièces déclarées sans temps de marche",IF(AND(P30=0,O30&gt;0),"Aucune pièce déclarée",IF(P30*60/Q30&gt;O30+0.001,"Cadence dépassée : vérifiez la cadence","OK"))))))))))))))))))</f>
        <v>OK</v>
      </c>
      <c r="AC30">
        <f>IF(OR(AB30="OK",AB30="Aucune pièce déclarée",AB30="Cadence dépassée : vérifiez la cadence"),1,0)</f>
        <v>1.0</v>
      </c>
      <c r="AD30">
        <f>IF(AND(AC30=1,A30&gt;=p_from,A30&lt;=p_to),1,0)</f>
        <v>1.0</v>
      </c>
      <c r="AE30">
        <f>IF(AD30=1,IF(COUNTIFS($A$6:A30,A30,$AD$6:AD30,1)=1,1,0),0)</f>
        <v>0.0</v>
      </c>
      <c r="AF30" t="str">
        <f>IF(AE30=1,COUNTIFS(sj_first,1,sj_date,"&lt;"&amp;A30)+1,"")</f>
        <v/>
      </c>
      <c r="AG30" t="str">
        <f>IF(AND(AD30=1,N(W30)&lt;p_alert),ROUND(W30,4),"")</f>
        <v/>
      </c>
      <c r="AH30" t="str">
        <f>IF(AG30="","",COUNTIF(sj_akey,"&lt;"&amp;AG30)+COUNTIF($AG$6:AG30,AG30))</f>
        <v/>
      </c>
    </row>
    <row r="31">
      <c r="A31" s="51" t="n">
        <v>46288</v>
      </c>
      <c r="B31" s="52" t="inlineStr">
        <is>
          <t>Après-midi</t>
        </is>
      </c>
      <c r="C31" s="52" t="inlineStr">
        <is>
          <t>USIN</t>
        </is>
      </c>
      <c r="D31" s="53" t="inlineStr">
        <is>
          <t>OF-2609-114</t>
        </is>
      </c>
      <c r="E31" s="53" t="inlineStr">
        <is>
          <t>CAR-BOI-04</t>
        </is>
      </c>
      <c r="F31" s="54" t="n"/>
      <c r="G31" s="54" t="n">
        <v>39</v>
      </c>
      <c r="H31" s="54" t="n">
        <v>0</v>
      </c>
      <c r="I31" s="54" t="n">
        <v>0</v>
      </c>
      <c r="J31" s="53" t="n"/>
      <c r="K31" s="55">
        <f>IF(COUNTA(A31:I31)=0,"",IF(F31="",IFERROR(INDEX(eq_dur,MATCH(B31,eq_code,0)),""),F31))</f>
        <v>480.0</v>
      </c>
      <c r="L31" s="55">
        <f>IF(ISNUMBER(K31),N(IFERROR(INDEX(eq_pause,MATCH(B31,eq_code,0)),0))+SUMIFS(st_min,st_date,A31,st_eq,B31,st_po,C31,st_type,"Planifié"),"")</f>
        <v>30.0</v>
      </c>
      <c r="M31" s="55">
        <f>IF(ISNUMBER(K31),K31-L31,"")</f>
        <v>450.0</v>
      </c>
      <c r="N31" s="55">
        <f>IF(ISNUMBER(K31),SUMIFS(st_min,st_date,A31,st_eq,B31,st_po,C31,st_type,"Non planifié"),"")</f>
        <v>21.0</v>
      </c>
      <c r="O31" s="55">
        <f>IF(ISNUMBER(K31),M31-N31,"")</f>
        <v>429.0</v>
      </c>
      <c r="P31" s="55">
        <f>IF(COUNTA(A31:I31)=0,"",N(G31)+N(H31)+N(I31))</f>
        <v>39.0</v>
      </c>
      <c r="Q31" s="56">
        <f>IF(COUNTA(A31:I31)=0,"",IF(N(IFERROR(INDEX(art_rate,MATCH(E31,art_ref,0)),0))&gt;0,N(IFERROR(INDEX(art_rate,MATCH(E31,art_ref,0)),0)),N(IFERROR(INDEX(po_rate,MATCH(C31,po_code,0)),0))))</f>
        <v>6.0</v>
      </c>
      <c r="R31" s="55">
        <f>IF(AC31=1,P31*60/Q31,"")</f>
        <v>390.0</v>
      </c>
      <c r="S31" s="55">
        <f>IF(AC31=1,N(G31)*60/Q31,"")</f>
        <v>390.0</v>
      </c>
      <c r="T31" s="57">
        <f>IF(AC31=1,O31/M31,"")</f>
        <v>0.953333333333333</v>
      </c>
      <c r="U31" s="57">
        <f>IF(AC31=1,IF(O31&gt;0,R31/O31,""),"")</f>
        <v>0.909090909090909</v>
      </c>
      <c r="V31" s="57">
        <f>IF(AC31=1,IF(P31&gt;0,N(G31)/P31,""),"")</f>
        <v>1.0</v>
      </c>
      <c r="W31" s="57">
        <f>IF(AC31=1,S31/M31,"")</f>
        <v>0.866666666666667</v>
      </c>
      <c r="X31" s="57">
        <f>IF(AC31=1,S31/K31,"")</f>
        <v>0.8125</v>
      </c>
      <c r="Y31" s="58" t="str">
        <f>IF(W31="","",IF(W31&gt;=p_target,"Bon",IF(W31&gt;=p_alert,"À surveiller","Faible")))</f>
        <v>Bon</v>
      </c>
      <c r="Z31" s="58" t="str">
        <f>IF(W31="","",IF(MIN(IF(T31="",1,T31),IF(U31="",1,U31),IF(V31="",1,V31))&gt;=1,"Aucune",IF(IF(T31="",1,T31)&lt;=MIN(IF(U31="",1,U31),IF(V31="",1,V31)),"Disponibilité",IF(IF(U31="",1,U31)&lt;=IF(V31="",1,V31),"Performance","Qualité"))))</f>
        <v>Performance</v>
      </c>
      <c r="AA31" s="59">
        <f>IF(AC31=1,N(H31)*N(IFERROR(INDEX(art_cost,MATCH(E31,art_ref,0)),0)),"")</f>
        <v>0.0</v>
      </c>
      <c r="AB31" s="58" t="str">
        <f>IF(COUNTA(A31:I31)=0,"",IF(N(A31)&lt;=0,"Date manquante ou invalide",IF(B31="","Équipe manquante",IF(ISNA(MATCH(B31,eq_code,0)),"Équipe inconnue",IF(INDEX(eq_check,MATCH(B31,eq_code,0))&lt;&gt;"OK","Équipe à corriger dans Paramètres",IF(C31="","Poste manquant",IF(ISNA(MATCH(C31,po_code,0)),"Poste inconnu",IF(AND(E31&lt;&gt;"",ISNA(MATCH(E31,art_ref,0))),"Article inconnu",IF(IF(E31="",FALSE,INDEX(art_check,MATCH(E31,art_ref,0))&lt;&gt;"OK"),"Article à corriger (feuille Articles)",IF(COUNTIFS(sj_date,A31,sj_eq,B31,sj_po,C31)&gt;1,"Ligne en double (même jour, équipe et poste)",IF(OR(NOT(ISNUMBER(K31)),N(K31)&lt;=0,N(K31)&gt;1440),"Temps d'ouverture invalide",IF(OR(AND(G31&lt;&gt;"",NOT(ISNUMBER(G31))),N(G31)&lt;0,N(G31)&lt;&gt;INT(N(G31)),AND(H31&lt;&gt;"",NOT(ISNUMBER(H31))),N(H31)&lt;0,N(H31)&lt;&gt;INT(N(H31)),AND(I31&lt;&gt;"",NOT(ISNUMBER(I31))),N(I31)&lt;0,N(I31)&lt;&gt;INT(N(I31))),"Quantité invalide",IF(Q31&lt;=0,"Cadence manquante (poste ou article)",IF(M31&lt;=0,"Arrêts planifiés supérieurs au temps d'ouverture",IF(O31&lt;0,"Arrêts supérieurs au temps requis",IF(AND(P31&gt;0,O31=0),"Pièces déclarées sans temps de marche",IF(AND(P31=0,O31&gt;0),"Aucune pièce déclarée",IF(P31*60/Q31&gt;O31+0.001,"Cadence dépassée : vérifiez la cadence","OK"))))))))))))))))))</f>
        <v>OK</v>
      </c>
      <c r="AC31">
        <f>IF(OR(AB31="OK",AB31="Aucune pièce déclarée",AB31="Cadence dépassée : vérifiez la cadence"),1,0)</f>
        <v>1.0</v>
      </c>
      <c r="AD31">
        <f>IF(AND(AC31=1,A31&gt;=p_from,A31&lt;=p_to),1,0)</f>
        <v>1.0</v>
      </c>
      <c r="AE31">
        <f>IF(AD31=1,IF(COUNTIFS($A$6:A31,A31,$AD$6:AD31,1)=1,1,0),0)</f>
        <v>0.0</v>
      </c>
      <c r="AF31" t="str">
        <f>IF(AE31=1,COUNTIFS(sj_first,1,sj_date,"&lt;"&amp;A31)+1,"")</f>
        <v/>
      </c>
      <c r="AG31" t="str">
        <f>IF(AND(AD31=1,N(W31)&lt;p_alert),ROUND(W31,4),"")</f>
        <v/>
      </c>
      <c r="AH31" t="str">
        <f>IF(AG31="","",COUNTIF(sj_akey,"&lt;"&amp;AG31)+COUNTIF($AG$6:AG31,AG31))</f>
        <v/>
      </c>
    </row>
    <row r="32">
      <c r="A32" s="51" t="n">
        <v>46288</v>
      </c>
      <c r="B32" s="52" t="inlineStr">
        <is>
          <t>Matin</t>
        </is>
      </c>
      <c r="C32" s="52" t="inlineStr">
        <is>
          <t>PRESSE</t>
        </is>
      </c>
      <c r="D32" s="53" t="inlineStr">
        <is>
          <t>OF-2609-107</t>
        </is>
      </c>
      <c r="E32" s="53" t="inlineStr">
        <is>
          <t>PAT-FIX-10</t>
        </is>
      </c>
      <c r="F32" s="54" t="n"/>
      <c r="G32" s="54" t="n">
        <v>2554</v>
      </c>
      <c r="H32" s="54" t="n">
        <v>75</v>
      </c>
      <c r="I32" s="54" t="n">
        <v>5</v>
      </c>
      <c r="J32" s="53" t="n"/>
      <c r="K32" s="55">
        <f>IF(COUNTA(A32:I32)=0,"",IF(F32="",IFERROR(INDEX(eq_dur,MATCH(B32,eq_code,0)),""),F32))</f>
        <v>480.0</v>
      </c>
      <c r="L32" s="55">
        <f>IF(ISNUMBER(K32),N(IFERROR(INDEX(eq_pause,MATCH(B32,eq_code,0)),0))+SUMIFS(st_min,st_date,A32,st_eq,B32,st_po,C32,st_type,"Planifié"),"")</f>
        <v>30.0</v>
      </c>
      <c r="M32" s="55">
        <f>IF(ISNUMBER(K32),K32-L32,"")</f>
        <v>450.0</v>
      </c>
      <c r="N32" s="55">
        <f>IF(ISNUMBER(K32),SUMIFS(st_min,st_date,A32,st_eq,B32,st_po,C32,st_type,"Non planifié"),"")</f>
        <v>51.0</v>
      </c>
      <c r="O32" s="55">
        <f>IF(ISNUMBER(K32),M32-N32,"")</f>
        <v>399.0</v>
      </c>
      <c r="P32" s="55">
        <f>IF(COUNTA(A32:I32)=0,"",N(G32)+N(H32)+N(I32))</f>
        <v>2634.0</v>
      </c>
      <c r="Q32" s="56">
        <f>IF(COUNTA(A32:I32)=0,"",IF(N(IFERROR(INDEX(art_rate,MATCH(E32,art_ref,0)),0))&gt;0,N(IFERROR(INDEX(art_rate,MATCH(E32,art_ref,0)),0)),N(IFERROR(INDEX(po_rate,MATCH(C32,po_code,0)),0))))</f>
        <v>420.0</v>
      </c>
      <c r="R32" s="55">
        <f>IF(AC32=1,P32*60/Q32,"")</f>
        <v>376.285714285714</v>
      </c>
      <c r="S32" s="55">
        <f>IF(AC32=1,N(G32)*60/Q32,"")</f>
        <v>364.857142857143</v>
      </c>
      <c r="T32" s="57">
        <f>IF(AC32=1,O32/M32,"")</f>
        <v>0.886666666666667</v>
      </c>
      <c r="U32" s="57">
        <f>IF(AC32=1,IF(O32&gt;0,R32/O32,""),"")</f>
        <v>0.943071965628357</v>
      </c>
      <c r="V32" s="57">
        <f>IF(AC32=1,IF(P32&gt;0,N(G32)/P32,""),"")</f>
        <v>0.96962794229309</v>
      </c>
      <c r="W32" s="57">
        <f>IF(AC32=1,S32/M32,"")</f>
        <v>0.810793650793651</v>
      </c>
      <c r="X32" s="57">
        <f>IF(AC32=1,S32/K32,"")</f>
        <v>0.760119047619048</v>
      </c>
      <c r="Y32" s="58" t="str">
        <f>IF(W32="","",IF(W32&gt;=p_target,"Bon",IF(W32&gt;=p_alert,"À surveiller","Faible")))</f>
        <v>Bon</v>
      </c>
      <c r="Z32" s="58" t="str">
        <f>IF(W32="","",IF(MIN(IF(T32="",1,T32),IF(U32="",1,U32),IF(V32="",1,V32))&gt;=1,"Aucune",IF(IF(T32="",1,T32)&lt;=MIN(IF(U32="",1,U32),IF(V32="",1,V32)),"Disponibilité",IF(IF(U32="",1,U32)&lt;=IF(V32="",1,V32),"Performance","Qualité"))))</f>
        <v>Disponibilité</v>
      </c>
      <c r="AA32" s="59">
        <f>IF(AC32=1,N(H32)*N(IFERROR(INDEX(art_cost,MATCH(E32,art_ref,0)),0)),"")</f>
        <v>315.0</v>
      </c>
      <c r="AB32" s="58" t="str">
        <f>IF(COUNTA(A32:I32)=0,"",IF(N(A32)&lt;=0,"Date manquante ou invalide",IF(B32="","Équipe manquante",IF(ISNA(MATCH(B32,eq_code,0)),"Équipe inconnue",IF(INDEX(eq_check,MATCH(B32,eq_code,0))&lt;&gt;"OK","Équipe à corriger dans Paramètres",IF(C32="","Poste manquant",IF(ISNA(MATCH(C32,po_code,0)),"Poste inconnu",IF(AND(E32&lt;&gt;"",ISNA(MATCH(E32,art_ref,0))),"Article inconnu",IF(IF(E32="",FALSE,INDEX(art_check,MATCH(E32,art_ref,0))&lt;&gt;"OK"),"Article à corriger (feuille Articles)",IF(COUNTIFS(sj_date,A32,sj_eq,B32,sj_po,C32)&gt;1,"Ligne en double (même jour, équipe et poste)",IF(OR(NOT(ISNUMBER(K32)),N(K32)&lt;=0,N(K32)&gt;1440),"Temps d'ouverture invalide",IF(OR(AND(G32&lt;&gt;"",NOT(ISNUMBER(G32))),N(G32)&lt;0,N(G32)&lt;&gt;INT(N(G32)),AND(H32&lt;&gt;"",NOT(ISNUMBER(H32))),N(H32)&lt;0,N(H32)&lt;&gt;INT(N(H32)),AND(I32&lt;&gt;"",NOT(ISNUMBER(I32))),N(I32)&lt;0,N(I32)&lt;&gt;INT(N(I32))),"Quantité invalide",IF(Q32&lt;=0,"Cadence manquante (poste ou article)",IF(M32&lt;=0,"Arrêts planifiés supérieurs au temps d'ouverture",IF(O32&lt;0,"Arrêts supérieurs au temps requis",IF(AND(P32&gt;0,O32=0),"Pièces déclarées sans temps de marche",IF(AND(P32=0,O32&gt;0),"Aucune pièce déclarée",IF(P32*60/Q32&gt;O32+0.001,"Cadence dépassée : vérifiez la cadence","OK"))))))))))))))))))</f>
        <v>OK</v>
      </c>
      <c r="AC32">
        <f>IF(OR(AB32="OK",AB32="Aucune pièce déclarée",AB32="Cadence dépassée : vérifiez la cadence"),1,0)</f>
        <v>1.0</v>
      </c>
      <c r="AD32">
        <f>IF(AND(AC32=1,A32&gt;=p_from,A32&lt;=p_to),1,0)</f>
        <v>1.0</v>
      </c>
      <c r="AE32">
        <f>IF(AD32=1,IF(COUNTIFS($A$6:A32,A32,$AD$6:AD32,1)=1,1,0),0)</f>
        <v>0.0</v>
      </c>
      <c r="AF32" t="str">
        <f>IF(AE32=1,COUNTIFS(sj_first,1,sj_date,"&lt;"&amp;A32)+1,"")</f>
        <v/>
      </c>
      <c r="AG32" t="str">
        <f>IF(AND(AD32=1,N(W32)&lt;p_alert),ROUND(W32,4),"")</f>
        <v/>
      </c>
      <c r="AH32" t="str">
        <f>IF(AG32="","",COUNTIF(sj_akey,"&lt;"&amp;AG32)+COUNTIF($AG$6:AG32,AG32))</f>
        <v/>
      </c>
    </row>
    <row r="33">
      <c r="A33" s="51" t="n">
        <v>46288</v>
      </c>
      <c r="B33" s="52" t="inlineStr">
        <is>
          <t>Journée</t>
        </is>
      </c>
      <c r="C33" s="52" t="inlineStr">
        <is>
          <t>PLIE</t>
        </is>
      </c>
      <c r="D33" s="53" t="inlineStr">
        <is>
          <t>OF-2609-117</t>
        </is>
      </c>
      <c r="E33" s="53" t="inlineStr">
        <is>
          <t>GAR-SUP-02</t>
        </is>
      </c>
      <c r="F33" s="54" t="n"/>
      <c r="G33" s="54" t="n">
        <v>562</v>
      </c>
      <c r="H33" s="54" t="n">
        <v>19</v>
      </c>
      <c r="I33" s="54" t="n">
        <v>6</v>
      </c>
      <c r="J33" s="53" t="n"/>
      <c r="K33" s="55">
        <f>IF(COUNTA(A33:I33)=0,"",IF(F33="",IFERROR(INDEX(eq_dur,MATCH(B33,eq_code,0)),""),F33))</f>
        <v>540.0</v>
      </c>
      <c r="L33" s="55">
        <f>IF(ISNUMBER(K33),N(IFERROR(INDEX(eq_pause,MATCH(B33,eq_code,0)),0))+SUMIFS(st_min,st_date,A33,st_eq,B33,st_po,C33,st_type,"Planifié"),"")</f>
        <v>60.0</v>
      </c>
      <c r="M33" s="55">
        <f>IF(ISNUMBER(K33),K33-L33,"")</f>
        <v>480.0</v>
      </c>
      <c r="N33" s="55">
        <f>IF(ISNUMBER(K33),SUMIFS(st_min,st_date,A33,st_eq,B33,st_po,C33,st_type,"Non planifié"),"")</f>
        <v>119.0</v>
      </c>
      <c r="O33" s="55">
        <f>IF(ISNUMBER(K33),M33-N33,"")</f>
        <v>361.0</v>
      </c>
      <c r="P33" s="55">
        <f>IF(COUNTA(A33:I33)=0,"",N(G33)+N(H33)+N(I33))</f>
        <v>587.0</v>
      </c>
      <c r="Q33" s="56">
        <f>IF(COUNTA(A33:I33)=0,"",IF(N(IFERROR(INDEX(art_rate,MATCH(E33,art_ref,0)),0))&gt;0,N(IFERROR(INDEX(art_rate,MATCH(E33,art_ref,0)),0)),N(IFERROR(INDEX(po_rate,MATCH(C33,po_code,0)),0))))</f>
        <v>110.0</v>
      </c>
      <c r="R33" s="55">
        <f>IF(AC33=1,P33*60/Q33,"")</f>
        <v>320.181818181818</v>
      </c>
      <c r="S33" s="55">
        <f>IF(AC33=1,N(G33)*60/Q33,"")</f>
        <v>306.545454545455</v>
      </c>
      <c r="T33" s="57">
        <f>IF(AC33=1,O33/M33,"")</f>
        <v>0.752083333333333</v>
      </c>
      <c r="U33" s="57">
        <f>IF(AC33=1,IF(O33&gt;0,R33/O33,""),"")</f>
        <v>0.886930244270965</v>
      </c>
      <c r="V33" s="57">
        <f>IF(AC33=1,IF(P33&gt;0,N(G33)/P33,""),"")</f>
        <v>0.957410562180579</v>
      </c>
      <c r="W33" s="57">
        <f>IF(AC33=1,S33/M33,"")</f>
        <v>0.638636363636364</v>
      </c>
      <c r="X33" s="57">
        <f>IF(AC33=1,S33/K33,"")</f>
        <v>0.567676767676768</v>
      </c>
      <c r="Y33" s="58" t="str">
        <f>IF(W33="","",IF(W33&gt;=p_target,"Bon",IF(W33&gt;=p_alert,"À surveiller","Faible")))</f>
        <v>À surveiller</v>
      </c>
      <c r="Z33" s="58" t="str">
        <f>IF(W33="","",IF(MIN(IF(T33="",1,T33),IF(U33="",1,U33),IF(V33="",1,V33))&gt;=1,"Aucune",IF(IF(T33="",1,T33)&lt;=MIN(IF(U33="",1,U33),IF(V33="",1,V33)),"Disponibilité",IF(IF(U33="",1,U33)&lt;=IF(V33="",1,V33),"Performance","Qualité"))))</f>
        <v>Disponibilité</v>
      </c>
      <c r="AA33" s="59">
        <f>IF(AC33=1,N(H33)*N(IFERROR(INDEX(art_cost,MATCH(E33,art_ref,0)),0)),"")</f>
        <v>408.5</v>
      </c>
      <c r="AB33" s="58" t="str">
        <f>IF(COUNTA(A33:I33)=0,"",IF(N(A33)&lt;=0,"Date manquante ou invalide",IF(B33="","Équipe manquante",IF(ISNA(MATCH(B33,eq_code,0)),"Équipe inconnue",IF(INDEX(eq_check,MATCH(B33,eq_code,0))&lt;&gt;"OK","Équipe à corriger dans Paramètres",IF(C33="","Poste manquant",IF(ISNA(MATCH(C33,po_code,0)),"Poste inconnu",IF(AND(E33&lt;&gt;"",ISNA(MATCH(E33,art_ref,0))),"Article inconnu",IF(IF(E33="",FALSE,INDEX(art_check,MATCH(E33,art_ref,0))&lt;&gt;"OK"),"Article à corriger (feuille Articles)",IF(COUNTIFS(sj_date,A33,sj_eq,B33,sj_po,C33)&gt;1,"Ligne en double (même jour, équipe et poste)",IF(OR(NOT(ISNUMBER(K33)),N(K33)&lt;=0,N(K33)&gt;1440),"Temps d'ouverture invalide",IF(OR(AND(G33&lt;&gt;"",NOT(ISNUMBER(G33))),N(G33)&lt;0,N(G33)&lt;&gt;INT(N(G33)),AND(H33&lt;&gt;"",NOT(ISNUMBER(H33))),N(H33)&lt;0,N(H33)&lt;&gt;INT(N(H33)),AND(I33&lt;&gt;"",NOT(ISNUMBER(I33))),N(I33)&lt;0,N(I33)&lt;&gt;INT(N(I33))),"Quantité invalide",IF(Q33&lt;=0,"Cadence manquante (poste ou article)",IF(M33&lt;=0,"Arrêts planifiés supérieurs au temps d'ouverture",IF(O33&lt;0,"Arrêts supérieurs au temps requis",IF(AND(P33&gt;0,O33=0),"Pièces déclarées sans temps de marche",IF(AND(P33=0,O33&gt;0),"Aucune pièce déclarée",IF(P33*60/Q33&gt;O33+0.001,"Cadence dépassée : vérifiez la cadence","OK"))))))))))))))))))</f>
        <v>OK</v>
      </c>
      <c r="AC33">
        <f>IF(OR(AB33="OK",AB33="Aucune pièce déclarée",AB33="Cadence dépassée : vérifiez la cadence"),1,0)</f>
        <v>1.0</v>
      </c>
      <c r="AD33">
        <f>IF(AND(AC33=1,A33&gt;=p_from,A33&lt;=p_to),1,0)</f>
        <v>1.0</v>
      </c>
      <c r="AE33">
        <f>IF(AD33=1,IF(COUNTIFS($A$6:A33,A33,$AD$6:AD33,1)=1,1,0),0)</f>
        <v>0.0</v>
      </c>
      <c r="AF33" t="str">
        <f>IF(AE33=1,COUNTIFS(sj_first,1,sj_date,"&lt;"&amp;A33)+1,"")</f>
        <v/>
      </c>
      <c r="AG33" t="str">
        <f>IF(AND(AD33=1,N(W33)&lt;p_alert),ROUND(W33,4),"")</f>
        <v/>
      </c>
      <c r="AH33" t="str">
        <f>IF(AG33="","",COUNTIF(sj_akey,"&lt;"&amp;AG33)+COUNTIF($AG$6:AG33,AG33))</f>
        <v/>
      </c>
    </row>
    <row r="34">
      <c r="A34" s="51" t="n">
        <v>46288</v>
      </c>
      <c r="B34" s="52" t="inlineStr">
        <is>
          <t>Matin</t>
        </is>
      </c>
      <c r="C34" s="52" t="inlineStr">
        <is>
          <t>SOUD</t>
        </is>
      </c>
      <c r="D34" s="53" t="inlineStr">
        <is>
          <t>OF-2609-115</t>
        </is>
      </c>
      <c r="E34" s="53" t="inlineStr">
        <is>
          <t>CHA-REM-01</t>
        </is>
      </c>
      <c r="F34" s="54" t="n"/>
      <c r="G34" s="54" t="n">
        <v>20</v>
      </c>
      <c r="H34" s="54" t="n">
        <v>0</v>
      </c>
      <c r="I34" s="54" t="n">
        <v>0</v>
      </c>
      <c r="J34" s="53" t="n"/>
      <c r="K34" s="55">
        <f>IF(COUNTA(A34:I34)=0,"",IF(F34="",IFERROR(INDEX(eq_dur,MATCH(B34,eq_code,0)),""),F34))</f>
        <v>480.0</v>
      </c>
      <c r="L34" s="55">
        <f>IF(ISNUMBER(K34),N(IFERROR(INDEX(eq_pause,MATCH(B34,eq_code,0)),0))+SUMIFS(st_min,st_date,A34,st_eq,B34,st_po,C34,st_type,"Planifié"),"")</f>
        <v>30.0</v>
      </c>
      <c r="M34" s="55">
        <f>IF(ISNUMBER(K34),K34-L34,"")</f>
        <v>450.0</v>
      </c>
      <c r="N34" s="55">
        <f>IF(ISNUMBER(K34),SUMIFS(st_min,st_date,A34,st_eq,B34,st_po,C34,st_type,"Non planifié"),"")</f>
        <v>81.0</v>
      </c>
      <c r="O34" s="55">
        <f>IF(ISNUMBER(K34),M34-N34,"")</f>
        <v>369.0</v>
      </c>
      <c r="P34" s="55">
        <f>IF(COUNTA(A34:I34)=0,"",N(G34)+N(H34)+N(I34))</f>
        <v>20.0</v>
      </c>
      <c r="Q34" s="56">
        <f>IF(COUNTA(A34:I34)=0,"",IF(N(IFERROR(INDEX(art_rate,MATCH(E34,art_ref,0)),0))&gt;0,N(IFERROR(INDEX(art_rate,MATCH(E34,art_ref,0)),0)),N(IFERROR(INDEX(po_rate,MATCH(C34,po_code,0)),0))))</f>
        <v>4.0</v>
      </c>
      <c r="R34" s="55">
        <f>IF(AC34=1,P34*60/Q34,"")</f>
        <v>300.0</v>
      </c>
      <c r="S34" s="55">
        <f>IF(AC34=1,N(G34)*60/Q34,"")</f>
        <v>300.0</v>
      </c>
      <c r="T34" s="57">
        <f>IF(AC34=1,O34/M34,"")</f>
        <v>0.82</v>
      </c>
      <c r="U34" s="57">
        <f>IF(AC34=1,IF(O34&gt;0,R34/O34,""),"")</f>
        <v>0.813008130081301</v>
      </c>
      <c r="V34" s="57">
        <f>IF(AC34=1,IF(P34&gt;0,N(G34)/P34,""),"")</f>
        <v>1.0</v>
      </c>
      <c r="W34" s="57">
        <f>IF(AC34=1,S34/M34,"")</f>
        <v>0.666666666666667</v>
      </c>
      <c r="X34" s="57">
        <f>IF(AC34=1,S34/K34,"")</f>
        <v>0.625</v>
      </c>
      <c r="Y34" s="58" t="str">
        <f>IF(W34="","",IF(W34&gt;=p_target,"Bon",IF(W34&gt;=p_alert,"À surveiller","Faible")))</f>
        <v>À surveiller</v>
      </c>
      <c r="Z34" s="58" t="str">
        <f>IF(W34="","",IF(MIN(IF(T34="",1,T34),IF(U34="",1,U34),IF(V34="",1,V34))&gt;=1,"Aucune",IF(IF(T34="",1,T34)&lt;=MIN(IF(U34="",1,U34),IF(V34="",1,V34)),"Disponibilité",IF(IF(U34="",1,U34)&lt;=IF(V34="",1,V34),"Performance","Qualité"))))</f>
        <v>Performance</v>
      </c>
      <c r="AA34" s="59">
        <f>IF(AC34=1,N(H34)*N(IFERROR(INDEX(art_cost,MATCH(E34,art_ref,0)),0)),"")</f>
        <v>0.0</v>
      </c>
      <c r="AB34" s="58" t="str">
        <f>IF(COUNTA(A34:I34)=0,"",IF(N(A34)&lt;=0,"Date manquante ou invalide",IF(B34="","Équipe manquante",IF(ISNA(MATCH(B34,eq_code,0)),"Équipe inconnue",IF(INDEX(eq_check,MATCH(B34,eq_code,0))&lt;&gt;"OK","Équipe à corriger dans Paramètres",IF(C34="","Poste manquant",IF(ISNA(MATCH(C34,po_code,0)),"Poste inconnu",IF(AND(E34&lt;&gt;"",ISNA(MATCH(E34,art_ref,0))),"Article inconnu",IF(IF(E34="",FALSE,INDEX(art_check,MATCH(E34,art_ref,0))&lt;&gt;"OK"),"Article à corriger (feuille Articles)",IF(COUNTIFS(sj_date,A34,sj_eq,B34,sj_po,C34)&gt;1,"Ligne en double (même jour, équipe et poste)",IF(OR(NOT(ISNUMBER(K34)),N(K34)&lt;=0,N(K34)&gt;1440),"Temps d'ouverture invalide",IF(OR(AND(G34&lt;&gt;"",NOT(ISNUMBER(G34))),N(G34)&lt;0,N(G34)&lt;&gt;INT(N(G34)),AND(H34&lt;&gt;"",NOT(ISNUMBER(H34))),N(H34)&lt;0,N(H34)&lt;&gt;INT(N(H34)),AND(I34&lt;&gt;"",NOT(ISNUMBER(I34))),N(I34)&lt;0,N(I34)&lt;&gt;INT(N(I34))),"Quantité invalide",IF(Q34&lt;=0,"Cadence manquante (poste ou article)",IF(M34&lt;=0,"Arrêts planifiés supérieurs au temps d'ouverture",IF(O34&lt;0,"Arrêts supérieurs au temps requis",IF(AND(P34&gt;0,O34=0),"Pièces déclarées sans temps de marche",IF(AND(P34=0,O34&gt;0),"Aucune pièce déclarée",IF(P34*60/Q34&gt;O34+0.001,"Cadence dépassée : vérifiez la cadence","OK"))))))))))))))))))</f>
        <v>OK</v>
      </c>
      <c r="AC34">
        <f>IF(OR(AB34="OK",AB34="Aucune pièce déclarée",AB34="Cadence dépassée : vérifiez la cadence"),1,0)</f>
        <v>1.0</v>
      </c>
      <c r="AD34">
        <f>IF(AND(AC34=1,A34&gt;=p_from,A34&lt;=p_to),1,0)</f>
        <v>1.0</v>
      </c>
      <c r="AE34">
        <f>IF(AD34=1,IF(COUNTIFS($A$6:A34,A34,$AD$6:AD34,1)=1,1,0),0)</f>
        <v>0.0</v>
      </c>
      <c r="AF34" t="str">
        <f>IF(AE34=1,COUNTIFS(sj_first,1,sj_date,"&lt;"&amp;A34)+1,"")</f>
        <v/>
      </c>
      <c r="AG34" t="str">
        <f>IF(AND(AD34=1,N(W34)&lt;p_alert),ROUND(W34,4),"")</f>
        <v/>
      </c>
      <c r="AH34" t="str">
        <f>IF(AG34="","",COUNTIF(sj_akey,"&lt;"&amp;AG34)+COUNTIF($AG$6:AG34,AG34))</f>
        <v/>
      </c>
    </row>
    <row r="35">
      <c r="A35" s="51" t="n">
        <v>46288</v>
      </c>
      <c r="B35" s="52" t="inlineStr">
        <is>
          <t>Après-midi</t>
        </is>
      </c>
      <c r="C35" s="52" t="inlineStr">
        <is>
          <t>SOUD</t>
        </is>
      </c>
      <c r="D35" s="53" t="inlineStr">
        <is>
          <t>OF-2609-110</t>
        </is>
      </c>
      <c r="E35" s="53" t="inlineStr">
        <is>
          <t>BRA-SUS-02</t>
        </is>
      </c>
      <c r="F35" s="54" t="n"/>
      <c r="G35" s="54" t="n">
        <v>94</v>
      </c>
      <c r="H35" s="54" t="n">
        <v>2</v>
      </c>
      <c r="I35" s="54" t="n">
        <v>0</v>
      </c>
      <c r="J35" s="53" t="n"/>
      <c r="K35" s="55">
        <f>IF(COUNTA(A35:I35)=0,"",IF(F35="",IFERROR(INDEX(eq_dur,MATCH(B35,eq_code,0)),""),F35))</f>
        <v>480.0</v>
      </c>
      <c r="L35" s="55">
        <f>IF(ISNUMBER(K35),N(IFERROR(INDEX(eq_pause,MATCH(B35,eq_code,0)),0))+SUMIFS(st_min,st_date,A35,st_eq,B35,st_po,C35,st_type,"Planifié"),"")</f>
        <v>30.0</v>
      </c>
      <c r="M35" s="55">
        <f>IF(ISNUMBER(K35),K35-L35,"")</f>
        <v>450.0</v>
      </c>
      <c r="N35" s="55">
        <f>IF(ISNUMBER(K35),SUMIFS(st_min,st_date,A35,st_eq,B35,st_po,C35,st_type,"Non planifié"),"")</f>
        <v>55.0</v>
      </c>
      <c r="O35" s="55">
        <f>IF(ISNUMBER(K35),M35-N35,"")</f>
        <v>395.0</v>
      </c>
      <c r="P35" s="55">
        <f>IF(COUNTA(A35:I35)=0,"",N(G35)+N(H35)+N(I35))</f>
        <v>96.0</v>
      </c>
      <c r="Q35" s="56">
        <f>IF(COUNTA(A35:I35)=0,"",IF(N(IFERROR(INDEX(art_rate,MATCH(E35,art_ref,0)),0))&gt;0,N(IFERROR(INDEX(art_rate,MATCH(E35,art_ref,0)),0)),N(IFERROR(INDEX(po_rate,MATCH(C35,po_code,0)),0))))</f>
        <v>20.0</v>
      </c>
      <c r="R35" s="55">
        <f>IF(AC35=1,P35*60/Q35,"")</f>
        <v>288.0</v>
      </c>
      <c r="S35" s="55">
        <f>IF(AC35=1,N(G35)*60/Q35,"")</f>
        <v>282.0</v>
      </c>
      <c r="T35" s="57">
        <f>IF(AC35=1,O35/M35,"")</f>
        <v>0.877777777777778</v>
      </c>
      <c r="U35" s="57">
        <f>IF(AC35=1,IF(O35&gt;0,R35/O35,""),"")</f>
        <v>0.729113924050633</v>
      </c>
      <c r="V35" s="57">
        <f>IF(AC35=1,IF(P35&gt;0,N(G35)/P35,""),"")</f>
        <v>0.979166666666667</v>
      </c>
      <c r="W35" s="57">
        <f>IF(AC35=1,S35/M35,"")</f>
        <v>0.626666666666667</v>
      </c>
      <c r="X35" s="57">
        <f>IF(AC35=1,S35/K35,"")</f>
        <v>0.5875</v>
      </c>
      <c r="Y35" s="58" t="str">
        <f>IF(W35="","",IF(W35&gt;=p_target,"Bon",IF(W35&gt;=p_alert,"À surveiller","Faible")))</f>
        <v>À surveiller</v>
      </c>
      <c r="Z35" s="58" t="str">
        <f>IF(W35="","",IF(MIN(IF(T35="",1,T35),IF(U35="",1,U35),IF(V35="",1,V35))&gt;=1,"Aucune",IF(IF(T35="",1,T35)&lt;=MIN(IF(U35="",1,U35),IF(V35="",1,V35)),"Disponibilité",IF(IF(U35="",1,U35)&lt;=IF(V35="",1,V35),"Performance","Qualité"))))</f>
        <v>Performance</v>
      </c>
      <c r="AA35" s="59">
        <f>IF(AC35=1,N(H35)*N(IFERROR(INDEX(art_cost,MATCH(E35,art_ref,0)),0)),"")</f>
        <v>476.0</v>
      </c>
      <c r="AB35" s="58" t="str">
        <f>IF(COUNTA(A35:I35)=0,"",IF(N(A35)&lt;=0,"Date manquante ou invalide",IF(B35="","Équipe manquante",IF(ISNA(MATCH(B35,eq_code,0)),"Équipe inconnue",IF(INDEX(eq_check,MATCH(B35,eq_code,0))&lt;&gt;"OK","Équipe à corriger dans Paramètres",IF(C35="","Poste manquant",IF(ISNA(MATCH(C35,po_code,0)),"Poste inconnu",IF(AND(E35&lt;&gt;"",ISNA(MATCH(E35,art_ref,0))),"Article inconnu",IF(IF(E35="",FALSE,INDEX(art_check,MATCH(E35,art_ref,0))&lt;&gt;"OK"),"Article à corriger (feuille Articles)",IF(COUNTIFS(sj_date,A35,sj_eq,B35,sj_po,C35)&gt;1,"Ligne en double (même jour, équipe et poste)",IF(OR(NOT(ISNUMBER(K35)),N(K35)&lt;=0,N(K35)&gt;1440),"Temps d'ouverture invalide",IF(OR(AND(G35&lt;&gt;"",NOT(ISNUMBER(G35))),N(G35)&lt;0,N(G35)&lt;&gt;INT(N(G35)),AND(H35&lt;&gt;"",NOT(ISNUMBER(H35))),N(H35)&lt;0,N(H35)&lt;&gt;INT(N(H35)),AND(I35&lt;&gt;"",NOT(ISNUMBER(I35))),N(I35)&lt;0,N(I35)&lt;&gt;INT(N(I35))),"Quantité invalide",IF(Q35&lt;=0,"Cadence manquante (poste ou article)",IF(M35&lt;=0,"Arrêts planifiés supérieurs au temps d'ouverture",IF(O35&lt;0,"Arrêts supérieurs au temps requis",IF(AND(P35&gt;0,O35=0),"Pièces déclarées sans temps de marche",IF(AND(P35=0,O35&gt;0),"Aucune pièce déclarée",IF(P35*60/Q35&gt;O35+0.001,"Cadence dépassée : vérifiez la cadence","OK"))))))))))))))))))</f>
        <v>OK</v>
      </c>
      <c r="AC35">
        <f>IF(OR(AB35="OK",AB35="Aucune pièce déclarée",AB35="Cadence dépassée : vérifiez la cadence"),1,0)</f>
        <v>1.0</v>
      </c>
      <c r="AD35">
        <f>IF(AND(AC35=1,A35&gt;=p_from,A35&lt;=p_to),1,0)</f>
        <v>1.0</v>
      </c>
      <c r="AE35">
        <f>IF(AD35=1,IF(COUNTIFS($A$6:A35,A35,$AD$6:AD35,1)=1,1,0),0)</f>
        <v>0.0</v>
      </c>
      <c r="AF35" t="str">
        <f>IF(AE35=1,COUNTIFS(sj_first,1,sj_date,"&lt;"&amp;A35)+1,"")</f>
        <v/>
      </c>
      <c r="AG35" t="str">
        <f>IF(AND(AD35=1,N(W35)&lt;p_alert),ROUND(W35,4),"")</f>
        <v/>
      </c>
      <c r="AH35" t="str">
        <f>IF(AG35="","",COUNTIF(sj_akey,"&lt;"&amp;AG35)+COUNTIF($AG$6:AG35,AG35))</f>
        <v/>
      </c>
    </row>
    <row r="36">
      <c r="A36" s="51" t="n">
        <v>46289</v>
      </c>
      <c r="B36" s="52" t="inlineStr">
        <is>
          <t>Matin</t>
        </is>
      </c>
      <c r="C36" s="52" t="inlineStr">
        <is>
          <t>TOUR1</t>
        </is>
      </c>
      <c r="D36" s="53" t="inlineStr">
        <is>
          <t>OF-2609-118</t>
        </is>
      </c>
      <c r="E36" s="53" t="inlineStr">
        <is>
          <t>AXE-R20</t>
        </is>
      </c>
      <c r="F36" s="54" t="n"/>
      <c r="G36" s="54" t="n">
        <v>173</v>
      </c>
      <c r="H36" s="54" t="n">
        <v>2</v>
      </c>
      <c r="I36" s="54" t="n">
        <v>1</v>
      </c>
      <c r="J36" s="53" t="n"/>
      <c r="K36" s="55">
        <f>IF(COUNTA(A36:I36)=0,"",IF(F36="",IFERROR(INDEX(eq_dur,MATCH(B36,eq_code,0)),""),F36))</f>
        <v>480.0</v>
      </c>
      <c r="L36" s="55">
        <f>IF(ISNUMBER(K36),N(IFERROR(INDEX(eq_pause,MATCH(B36,eq_code,0)),0))+SUMIFS(st_min,st_date,A36,st_eq,B36,st_po,C36,st_type,"Planifié"),"")</f>
        <v>30.0</v>
      </c>
      <c r="M36" s="55">
        <f>IF(ISNUMBER(K36),K36-L36,"")</f>
        <v>450.0</v>
      </c>
      <c r="N36" s="55">
        <f>IF(ISNUMBER(K36),SUMIFS(st_min,st_date,A36,st_eq,B36,st_po,C36,st_type,"Non planifié"),"")</f>
        <v>43.0</v>
      </c>
      <c r="O36" s="55">
        <f>IF(ISNUMBER(K36),M36-N36,"")</f>
        <v>407.0</v>
      </c>
      <c r="P36" s="55">
        <f>IF(COUNTA(A36:I36)=0,"",N(G36)+N(H36)+N(I36))</f>
        <v>176.0</v>
      </c>
      <c r="Q36" s="56">
        <f>IF(COUNTA(A36:I36)=0,"",IF(N(IFERROR(INDEX(art_rate,MATCH(E36,art_ref,0)),0))&gt;0,N(IFERROR(INDEX(art_rate,MATCH(E36,art_ref,0)),0)),N(IFERROR(INDEX(po_rate,MATCH(C36,po_code,0)),0))))</f>
        <v>30.0</v>
      </c>
      <c r="R36" s="55">
        <f>IF(AC36=1,P36*60/Q36,"")</f>
        <v>352.0</v>
      </c>
      <c r="S36" s="55">
        <f>IF(AC36=1,N(G36)*60/Q36,"")</f>
        <v>346.0</v>
      </c>
      <c r="T36" s="57">
        <f>IF(AC36=1,O36/M36,"")</f>
        <v>0.904444444444445</v>
      </c>
      <c r="U36" s="57">
        <f>IF(AC36=1,IF(O36&gt;0,R36/O36,""),"")</f>
        <v>0.864864864864865</v>
      </c>
      <c r="V36" s="57">
        <f>IF(AC36=1,IF(P36&gt;0,N(G36)/P36,""),"")</f>
        <v>0.982954545454545</v>
      </c>
      <c r="W36" s="57">
        <f>IF(AC36=1,S36/M36,"")</f>
        <v>0.768888888888889</v>
      </c>
      <c r="X36" s="57">
        <f>IF(AC36=1,S36/K36,"")</f>
        <v>0.720833333333333</v>
      </c>
      <c r="Y36" s="58" t="str">
        <f>IF(W36="","",IF(W36&gt;=p_target,"Bon",IF(W36&gt;=p_alert,"À surveiller","Faible")))</f>
        <v>Bon</v>
      </c>
      <c r="Z36" s="58" t="str">
        <f>IF(W36="","",IF(MIN(IF(T36="",1,T36),IF(U36="",1,U36),IF(V36="",1,V36))&gt;=1,"Aucune",IF(IF(T36="",1,T36)&lt;=MIN(IF(U36="",1,U36),IF(V36="",1,V36)),"Disponibilité",IF(IF(U36="",1,U36)&lt;=IF(V36="",1,V36),"Performance","Qualité"))))</f>
        <v>Performance</v>
      </c>
      <c r="AA36" s="59">
        <f>IF(AC36=1,N(H36)*N(IFERROR(INDEX(art_cost,MATCH(E36,art_ref,0)),0)),"")</f>
        <v>77.0</v>
      </c>
      <c r="AB36" s="58" t="str">
        <f>IF(COUNTA(A36:I36)=0,"",IF(N(A36)&lt;=0,"Date manquante ou invalide",IF(B36="","Équipe manquante",IF(ISNA(MATCH(B36,eq_code,0)),"Équipe inconnue",IF(INDEX(eq_check,MATCH(B36,eq_code,0))&lt;&gt;"OK","Équipe à corriger dans Paramètres",IF(C36="","Poste manquant",IF(ISNA(MATCH(C36,po_code,0)),"Poste inconnu",IF(AND(E36&lt;&gt;"",ISNA(MATCH(E36,art_ref,0))),"Article inconnu",IF(IF(E36="",FALSE,INDEX(art_check,MATCH(E36,art_ref,0))&lt;&gt;"OK"),"Article à corriger (feuille Articles)",IF(COUNTIFS(sj_date,A36,sj_eq,B36,sj_po,C36)&gt;1,"Ligne en double (même jour, équipe et poste)",IF(OR(NOT(ISNUMBER(K36)),N(K36)&lt;=0,N(K36)&gt;1440),"Temps d'ouverture invalide",IF(OR(AND(G36&lt;&gt;"",NOT(ISNUMBER(G36))),N(G36)&lt;0,N(G36)&lt;&gt;INT(N(G36)),AND(H36&lt;&gt;"",NOT(ISNUMBER(H36))),N(H36)&lt;0,N(H36)&lt;&gt;INT(N(H36)),AND(I36&lt;&gt;"",NOT(ISNUMBER(I36))),N(I36)&lt;0,N(I36)&lt;&gt;INT(N(I36))),"Quantité invalide",IF(Q36&lt;=0,"Cadence manquante (poste ou article)",IF(M36&lt;=0,"Arrêts planifiés supérieurs au temps d'ouverture",IF(O36&lt;0,"Arrêts supérieurs au temps requis",IF(AND(P36&gt;0,O36=0),"Pièces déclarées sans temps de marche",IF(AND(P36=0,O36&gt;0),"Aucune pièce déclarée",IF(P36*60/Q36&gt;O36+0.001,"Cadence dépassée : vérifiez la cadence","OK"))))))))))))))))))</f>
        <v>OK</v>
      </c>
      <c r="AC36">
        <f>IF(OR(AB36="OK",AB36="Aucune pièce déclarée",AB36="Cadence dépassée : vérifiez la cadence"),1,0)</f>
        <v>1.0</v>
      </c>
      <c r="AD36">
        <f>IF(AND(AC36=1,A36&gt;=p_from,A36&lt;=p_to),1,0)</f>
        <v>1.0</v>
      </c>
      <c r="AE36">
        <f>IF(AD36=1,IF(COUNTIFS($A$6:A36,A36,$AD$6:AD36,1)=1,1,0),0)</f>
        <v>1.0</v>
      </c>
      <c r="AF36">
        <f>IF(AE36=1,COUNTIFS(sj_first,1,sj_date,"&lt;"&amp;A36)+1,"")</f>
        <v>4.0</v>
      </c>
      <c r="AG36" t="str">
        <f>IF(AND(AD36=1,N(W36)&lt;p_alert),ROUND(W36,4),"")</f>
        <v/>
      </c>
      <c r="AH36" t="str">
        <f>IF(AG36="","",COUNTIF(sj_akey,"&lt;"&amp;AG36)+COUNTIF($AG$6:AG36,AG36))</f>
        <v/>
      </c>
    </row>
    <row r="37">
      <c r="A37" s="51" t="n">
        <v>46289</v>
      </c>
      <c r="B37" s="52" t="inlineStr">
        <is>
          <t>Après-midi</t>
        </is>
      </c>
      <c r="C37" s="52" t="inlineStr">
        <is>
          <t>TOUR1</t>
        </is>
      </c>
      <c r="D37" s="53" t="inlineStr">
        <is>
          <t>OF-2609-119</t>
        </is>
      </c>
      <c r="E37" s="53" t="inlineStr">
        <is>
          <t>AXE-R20</t>
        </is>
      </c>
      <c r="F37" s="54" t="n"/>
      <c r="G37" s="54" t="n">
        <v>157</v>
      </c>
      <c r="H37" s="54" t="n">
        <v>3</v>
      </c>
      <c r="I37" s="54" t="n">
        <v>1</v>
      </c>
      <c r="J37" s="53" t="n"/>
      <c r="K37" s="55">
        <f>IF(COUNTA(A37:I37)=0,"",IF(F37="",IFERROR(INDEX(eq_dur,MATCH(B37,eq_code,0)),""),F37))</f>
        <v>480.0</v>
      </c>
      <c r="L37" s="55">
        <f>IF(ISNUMBER(K37),N(IFERROR(INDEX(eq_pause,MATCH(B37,eq_code,0)),0))+SUMIFS(st_min,st_date,A37,st_eq,B37,st_po,C37,st_type,"Planifié"),"")</f>
        <v>30.0</v>
      </c>
      <c r="M37" s="55">
        <f>IF(ISNUMBER(K37),K37-L37,"")</f>
        <v>450.0</v>
      </c>
      <c r="N37" s="55">
        <f>IF(ISNUMBER(K37),SUMIFS(st_min,st_date,A37,st_eq,B37,st_po,C37,st_type,"Non planifié"),"")</f>
        <v>78.0</v>
      </c>
      <c r="O37" s="55">
        <f>IF(ISNUMBER(K37),M37-N37,"")</f>
        <v>372.0</v>
      </c>
      <c r="P37" s="55">
        <f>IF(COUNTA(A37:I37)=0,"",N(G37)+N(H37)+N(I37))</f>
        <v>161.0</v>
      </c>
      <c r="Q37" s="56">
        <f>IF(COUNTA(A37:I37)=0,"",IF(N(IFERROR(INDEX(art_rate,MATCH(E37,art_ref,0)),0))&gt;0,N(IFERROR(INDEX(art_rate,MATCH(E37,art_ref,0)),0)),N(IFERROR(INDEX(po_rate,MATCH(C37,po_code,0)),0))))</f>
        <v>30.0</v>
      </c>
      <c r="R37" s="55">
        <f>IF(AC37=1,P37*60/Q37,"")</f>
        <v>322.0</v>
      </c>
      <c r="S37" s="55">
        <f>IF(AC37=1,N(G37)*60/Q37,"")</f>
        <v>314.0</v>
      </c>
      <c r="T37" s="57">
        <f>IF(AC37=1,O37/M37,"")</f>
        <v>0.826666666666667</v>
      </c>
      <c r="U37" s="57">
        <f>IF(AC37=1,IF(O37&gt;0,R37/O37,""),"")</f>
        <v>0.865591397849462</v>
      </c>
      <c r="V37" s="57">
        <f>IF(AC37=1,IF(P37&gt;0,N(G37)/P37,""),"")</f>
        <v>0.975155279503106</v>
      </c>
      <c r="W37" s="57">
        <f>IF(AC37=1,S37/M37,"")</f>
        <v>0.697777777777778</v>
      </c>
      <c r="X37" s="57">
        <f>IF(AC37=1,S37/K37,"")</f>
        <v>0.654166666666667</v>
      </c>
      <c r="Y37" s="58" t="str">
        <f>IF(W37="","",IF(W37&gt;=p_target,"Bon",IF(W37&gt;=p_alert,"À surveiller","Faible")))</f>
        <v>À surveiller</v>
      </c>
      <c r="Z37" s="58" t="str">
        <f>IF(W37="","",IF(MIN(IF(T37="",1,T37),IF(U37="",1,U37),IF(V37="",1,V37))&gt;=1,"Aucune",IF(IF(T37="",1,T37)&lt;=MIN(IF(U37="",1,U37),IF(V37="",1,V37)),"Disponibilité",IF(IF(U37="",1,U37)&lt;=IF(V37="",1,V37),"Performance","Qualité"))))</f>
        <v>Disponibilité</v>
      </c>
      <c r="AA37" s="59">
        <f>IF(AC37=1,N(H37)*N(IFERROR(INDEX(art_cost,MATCH(E37,art_ref,0)),0)),"")</f>
        <v>115.5</v>
      </c>
      <c r="AB37" s="58" t="str">
        <f>IF(COUNTA(A37:I37)=0,"",IF(N(A37)&lt;=0,"Date manquante ou invalide",IF(B37="","Équipe manquante",IF(ISNA(MATCH(B37,eq_code,0)),"Équipe inconnue",IF(INDEX(eq_check,MATCH(B37,eq_code,0))&lt;&gt;"OK","Équipe à corriger dans Paramètres",IF(C37="","Poste manquant",IF(ISNA(MATCH(C37,po_code,0)),"Poste inconnu",IF(AND(E37&lt;&gt;"",ISNA(MATCH(E37,art_ref,0))),"Article inconnu",IF(IF(E37="",FALSE,INDEX(art_check,MATCH(E37,art_ref,0))&lt;&gt;"OK"),"Article à corriger (feuille Articles)",IF(COUNTIFS(sj_date,A37,sj_eq,B37,sj_po,C37)&gt;1,"Ligne en double (même jour, équipe et poste)",IF(OR(NOT(ISNUMBER(K37)),N(K37)&lt;=0,N(K37)&gt;1440),"Temps d'ouverture invalide",IF(OR(AND(G37&lt;&gt;"",NOT(ISNUMBER(G37))),N(G37)&lt;0,N(G37)&lt;&gt;INT(N(G37)),AND(H37&lt;&gt;"",NOT(ISNUMBER(H37))),N(H37)&lt;0,N(H37)&lt;&gt;INT(N(H37)),AND(I37&lt;&gt;"",NOT(ISNUMBER(I37))),N(I37)&lt;0,N(I37)&lt;&gt;INT(N(I37))),"Quantité invalide",IF(Q37&lt;=0,"Cadence manquante (poste ou article)",IF(M37&lt;=0,"Arrêts planifiés supérieurs au temps d'ouverture",IF(O37&lt;0,"Arrêts supérieurs au temps requis",IF(AND(P37&gt;0,O37=0),"Pièces déclarées sans temps de marche",IF(AND(P37=0,O37&gt;0),"Aucune pièce déclarée",IF(P37*60/Q37&gt;O37+0.001,"Cadence dépassée : vérifiez la cadence","OK"))))))))))))))))))</f>
        <v>OK</v>
      </c>
      <c r="AC37">
        <f>IF(OR(AB37="OK",AB37="Aucune pièce déclarée",AB37="Cadence dépassée : vérifiez la cadence"),1,0)</f>
        <v>1.0</v>
      </c>
      <c r="AD37">
        <f>IF(AND(AC37=1,A37&gt;=p_from,A37&lt;=p_to),1,0)</f>
        <v>1.0</v>
      </c>
      <c r="AE37">
        <f>IF(AD37=1,IF(COUNTIFS($A$6:A37,A37,$AD$6:AD37,1)=1,1,0),0)</f>
        <v>0.0</v>
      </c>
      <c r="AF37" t="str">
        <f>IF(AE37=1,COUNTIFS(sj_first,1,sj_date,"&lt;"&amp;A37)+1,"")</f>
        <v/>
      </c>
      <c r="AG37" t="str">
        <f>IF(AND(AD37=1,N(W37)&lt;p_alert),ROUND(W37,4),"")</f>
        <v/>
      </c>
      <c r="AH37" t="str">
        <f>IF(AG37="","",COUNTIF(sj_akey,"&lt;"&amp;AG37)+COUNTIF($AG$6:AG37,AG37))</f>
        <v/>
      </c>
    </row>
    <row r="38">
      <c r="A38" s="51" t="n">
        <v>46289</v>
      </c>
      <c r="B38" s="52" t="inlineStr">
        <is>
          <t>Matin</t>
        </is>
      </c>
      <c r="C38" s="52" t="inlineStr">
        <is>
          <t>TOUR2</t>
        </is>
      </c>
      <c r="D38" s="53" t="inlineStr">
        <is>
          <t>OF-2609-116</t>
        </is>
      </c>
      <c r="E38" s="53" t="inlineStr">
        <is>
          <t>AXE-R20</t>
        </is>
      </c>
      <c r="F38" s="54" t="n"/>
      <c r="G38" s="54" t="n">
        <v>165</v>
      </c>
      <c r="H38" s="54" t="n">
        <v>5</v>
      </c>
      <c r="I38" s="54" t="n">
        <v>0</v>
      </c>
      <c r="J38" s="53" t="n"/>
      <c r="K38" s="55">
        <f>IF(COUNTA(A38:I38)=0,"",IF(F38="",IFERROR(INDEX(eq_dur,MATCH(B38,eq_code,0)),""),F38))</f>
        <v>480.0</v>
      </c>
      <c r="L38" s="55">
        <f>IF(ISNUMBER(K38),N(IFERROR(INDEX(eq_pause,MATCH(B38,eq_code,0)),0))+SUMIFS(st_min,st_date,A38,st_eq,B38,st_po,C38,st_type,"Planifié"),"")</f>
        <v>30.0</v>
      </c>
      <c r="M38" s="55">
        <f>IF(ISNUMBER(K38),K38-L38,"")</f>
        <v>450.0</v>
      </c>
      <c r="N38" s="55">
        <f>IF(ISNUMBER(K38),SUMIFS(st_min,st_date,A38,st_eq,B38,st_po,C38,st_type,"Non planifié"),"")</f>
        <v>32.0</v>
      </c>
      <c r="O38" s="55">
        <f>IF(ISNUMBER(K38),M38-N38,"")</f>
        <v>418.0</v>
      </c>
      <c r="P38" s="55">
        <f>IF(COUNTA(A38:I38)=0,"",N(G38)+N(H38)+N(I38))</f>
        <v>170.0</v>
      </c>
      <c r="Q38" s="56">
        <f>IF(COUNTA(A38:I38)=0,"",IF(N(IFERROR(INDEX(art_rate,MATCH(E38,art_ref,0)),0))&gt;0,N(IFERROR(INDEX(art_rate,MATCH(E38,art_ref,0)),0)),N(IFERROR(INDEX(po_rate,MATCH(C38,po_code,0)),0))))</f>
        <v>30.0</v>
      </c>
      <c r="R38" s="55">
        <f>IF(AC38=1,P38*60/Q38,"")</f>
        <v>340.0</v>
      </c>
      <c r="S38" s="55">
        <f>IF(AC38=1,N(G38)*60/Q38,"")</f>
        <v>330.0</v>
      </c>
      <c r="T38" s="57">
        <f>IF(AC38=1,O38/M38,"")</f>
        <v>0.928888888888889</v>
      </c>
      <c r="U38" s="57">
        <f>IF(AC38=1,IF(O38&gt;0,R38/O38,""),"")</f>
        <v>0.813397129186603</v>
      </c>
      <c r="V38" s="57">
        <f>IF(AC38=1,IF(P38&gt;0,N(G38)/P38,""),"")</f>
        <v>0.970588235294118</v>
      </c>
      <c r="W38" s="57">
        <f>IF(AC38=1,S38/M38,"")</f>
        <v>0.733333333333333</v>
      </c>
      <c r="X38" s="57">
        <f>IF(AC38=1,S38/K38,"")</f>
        <v>0.6875</v>
      </c>
      <c r="Y38" s="58" t="str">
        <f>IF(W38="","",IF(W38&gt;=p_target,"Bon",IF(W38&gt;=p_alert,"À surveiller","Faible")))</f>
        <v>À surveiller</v>
      </c>
      <c r="Z38" s="58" t="str">
        <f>IF(W38="","",IF(MIN(IF(T38="",1,T38),IF(U38="",1,U38),IF(V38="",1,V38))&gt;=1,"Aucune",IF(IF(T38="",1,T38)&lt;=MIN(IF(U38="",1,U38),IF(V38="",1,V38)),"Disponibilité",IF(IF(U38="",1,U38)&lt;=IF(V38="",1,V38),"Performance","Qualité"))))</f>
        <v>Performance</v>
      </c>
      <c r="AA38" s="59">
        <f>IF(AC38=1,N(H38)*N(IFERROR(INDEX(art_cost,MATCH(E38,art_ref,0)),0)),"")</f>
        <v>192.5</v>
      </c>
      <c r="AB38" s="58" t="str">
        <f>IF(COUNTA(A38:I38)=0,"",IF(N(A38)&lt;=0,"Date manquante ou invalide",IF(B38="","Équipe manquante",IF(ISNA(MATCH(B38,eq_code,0)),"Équipe inconnue",IF(INDEX(eq_check,MATCH(B38,eq_code,0))&lt;&gt;"OK","Équipe à corriger dans Paramètres",IF(C38="","Poste manquant",IF(ISNA(MATCH(C38,po_code,0)),"Poste inconnu",IF(AND(E38&lt;&gt;"",ISNA(MATCH(E38,art_ref,0))),"Article inconnu",IF(IF(E38="",FALSE,INDEX(art_check,MATCH(E38,art_ref,0))&lt;&gt;"OK"),"Article à corriger (feuille Articles)",IF(COUNTIFS(sj_date,A38,sj_eq,B38,sj_po,C38)&gt;1,"Ligne en double (même jour, équipe et poste)",IF(OR(NOT(ISNUMBER(K38)),N(K38)&lt;=0,N(K38)&gt;1440),"Temps d'ouverture invalide",IF(OR(AND(G38&lt;&gt;"",NOT(ISNUMBER(G38))),N(G38)&lt;0,N(G38)&lt;&gt;INT(N(G38)),AND(H38&lt;&gt;"",NOT(ISNUMBER(H38))),N(H38)&lt;0,N(H38)&lt;&gt;INT(N(H38)),AND(I38&lt;&gt;"",NOT(ISNUMBER(I38))),N(I38)&lt;0,N(I38)&lt;&gt;INT(N(I38))),"Quantité invalide",IF(Q38&lt;=0,"Cadence manquante (poste ou article)",IF(M38&lt;=0,"Arrêts planifiés supérieurs au temps d'ouverture",IF(O38&lt;0,"Arrêts supérieurs au temps requis",IF(AND(P38&gt;0,O38=0),"Pièces déclarées sans temps de marche",IF(AND(P38=0,O38&gt;0),"Aucune pièce déclarée",IF(P38*60/Q38&gt;O38+0.001,"Cadence dépassée : vérifiez la cadence","OK"))))))))))))))))))</f>
        <v>OK</v>
      </c>
      <c r="AC38">
        <f>IF(OR(AB38="OK",AB38="Aucune pièce déclarée",AB38="Cadence dépassée : vérifiez la cadence"),1,0)</f>
        <v>1.0</v>
      </c>
      <c r="AD38">
        <f>IF(AND(AC38=1,A38&gt;=p_from,A38&lt;=p_to),1,0)</f>
        <v>1.0</v>
      </c>
      <c r="AE38">
        <f>IF(AD38=1,IF(COUNTIFS($A$6:A38,A38,$AD$6:AD38,1)=1,1,0),0)</f>
        <v>0.0</v>
      </c>
      <c r="AF38" t="str">
        <f>IF(AE38=1,COUNTIFS(sj_first,1,sj_date,"&lt;"&amp;A38)+1,"")</f>
        <v/>
      </c>
      <c r="AG38" t="str">
        <f>IF(AND(AD38=1,N(W38)&lt;p_alert),ROUND(W38,4),"")</f>
        <v/>
      </c>
      <c r="AH38" t="str">
        <f>IF(AG38="","",COUNTIF(sj_akey,"&lt;"&amp;AG38)+COUNTIF($AG$6:AG38,AG38))</f>
        <v/>
      </c>
    </row>
    <row r="39">
      <c r="A39" s="51" t="n">
        <v>46289</v>
      </c>
      <c r="B39" s="52" t="inlineStr">
        <is>
          <t>Après-midi</t>
        </is>
      </c>
      <c r="C39" s="52" t="inlineStr">
        <is>
          <t>TOUR2</t>
        </is>
      </c>
      <c r="D39" s="53" t="inlineStr">
        <is>
          <t>OF-2609-120</t>
        </is>
      </c>
      <c r="E39" s="53" t="inlineStr">
        <is>
          <t>ENT-12</t>
        </is>
      </c>
      <c r="F39" s="54" t="n"/>
      <c r="G39" s="54" t="n">
        <v>288</v>
      </c>
      <c r="H39" s="54" t="n">
        <v>1</v>
      </c>
      <c r="I39" s="54" t="n">
        <v>0</v>
      </c>
      <c r="J39" s="53" t="n"/>
      <c r="K39" s="55">
        <f>IF(COUNTA(A39:I39)=0,"",IF(F39="",IFERROR(INDEX(eq_dur,MATCH(B39,eq_code,0)),""),F39))</f>
        <v>480.0</v>
      </c>
      <c r="L39" s="55">
        <f>IF(ISNUMBER(K39),N(IFERROR(INDEX(eq_pause,MATCH(B39,eq_code,0)),0))+SUMIFS(st_min,st_date,A39,st_eq,B39,st_po,C39,st_type,"Planifié"),"")</f>
        <v>30.0</v>
      </c>
      <c r="M39" s="55">
        <f>IF(ISNUMBER(K39),K39-L39,"")</f>
        <v>450.0</v>
      </c>
      <c r="N39" s="55">
        <f>IF(ISNUMBER(K39),SUMIFS(st_min,st_date,A39,st_eq,B39,st_po,C39,st_type,"Non planifié"),"")</f>
        <v>63.0</v>
      </c>
      <c r="O39" s="55">
        <f>IF(ISNUMBER(K39),M39-N39,"")</f>
        <v>387.0</v>
      </c>
      <c r="P39" s="55">
        <f>IF(COUNTA(A39:I39)=0,"",N(G39)+N(H39)+N(I39))</f>
        <v>289.0</v>
      </c>
      <c r="Q39" s="56">
        <f>IF(COUNTA(A39:I39)=0,"",IF(N(IFERROR(INDEX(art_rate,MATCH(E39,art_ref,0)),0))&gt;0,N(IFERROR(INDEX(art_rate,MATCH(E39,art_ref,0)),0)),N(IFERROR(INDEX(po_rate,MATCH(C39,po_code,0)),0))))</f>
        <v>55.0</v>
      </c>
      <c r="R39" s="55">
        <f>IF(AC39=1,P39*60/Q39,"")</f>
        <v>315.272727272727</v>
      </c>
      <c r="S39" s="55">
        <f>IF(AC39=1,N(G39)*60/Q39,"")</f>
        <v>314.181818181818</v>
      </c>
      <c r="T39" s="57">
        <f>IF(AC39=1,O39/M39,"")</f>
        <v>0.86</v>
      </c>
      <c r="U39" s="57">
        <f>IF(AC39=1,IF(O39&gt;0,R39/O39,""),"")</f>
        <v>0.814658210007047</v>
      </c>
      <c r="V39" s="57">
        <f>IF(AC39=1,IF(P39&gt;0,N(G39)/P39,""),"")</f>
        <v>0.996539792387543</v>
      </c>
      <c r="W39" s="57">
        <f>IF(AC39=1,S39/M39,"")</f>
        <v>0.698181818181818</v>
      </c>
      <c r="X39" s="57">
        <f>IF(AC39=1,S39/K39,"")</f>
        <v>0.654545454545455</v>
      </c>
      <c r="Y39" s="58" t="str">
        <f>IF(W39="","",IF(W39&gt;=p_target,"Bon",IF(W39&gt;=p_alert,"À surveiller","Faible")))</f>
        <v>À surveiller</v>
      </c>
      <c r="Z39" s="58" t="str">
        <f>IF(W39="","",IF(MIN(IF(T39="",1,T39),IF(U39="",1,U39),IF(V39="",1,V39))&gt;=1,"Aucune",IF(IF(T39="",1,T39)&lt;=MIN(IF(U39="",1,U39),IF(V39="",1,V39)),"Disponibilité",IF(IF(U39="",1,U39)&lt;=IF(V39="",1,V39),"Performance","Qualité"))))</f>
        <v>Performance</v>
      </c>
      <c r="AA39" s="59">
        <f>IF(AC39=1,N(H39)*N(IFERROR(INDEX(art_cost,MATCH(E39,art_ref,0)),0)),"")</f>
        <v>6.8</v>
      </c>
      <c r="AB39" s="58" t="str">
        <f>IF(COUNTA(A39:I39)=0,"",IF(N(A39)&lt;=0,"Date manquante ou invalide",IF(B39="","Équipe manquante",IF(ISNA(MATCH(B39,eq_code,0)),"Équipe inconnue",IF(INDEX(eq_check,MATCH(B39,eq_code,0))&lt;&gt;"OK","Équipe à corriger dans Paramètres",IF(C39="","Poste manquant",IF(ISNA(MATCH(C39,po_code,0)),"Poste inconnu",IF(AND(E39&lt;&gt;"",ISNA(MATCH(E39,art_ref,0))),"Article inconnu",IF(IF(E39="",FALSE,INDEX(art_check,MATCH(E39,art_ref,0))&lt;&gt;"OK"),"Article à corriger (feuille Articles)",IF(COUNTIFS(sj_date,A39,sj_eq,B39,sj_po,C39)&gt;1,"Ligne en double (même jour, équipe et poste)",IF(OR(NOT(ISNUMBER(K39)),N(K39)&lt;=0,N(K39)&gt;1440),"Temps d'ouverture invalide",IF(OR(AND(G39&lt;&gt;"",NOT(ISNUMBER(G39))),N(G39)&lt;0,N(G39)&lt;&gt;INT(N(G39)),AND(H39&lt;&gt;"",NOT(ISNUMBER(H39))),N(H39)&lt;0,N(H39)&lt;&gt;INT(N(H39)),AND(I39&lt;&gt;"",NOT(ISNUMBER(I39))),N(I39)&lt;0,N(I39)&lt;&gt;INT(N(I39))),"Quantité invalide",IF(Q39&lt;=0,"Cadence manquante (poste ou article)",IF(M39&lt;=0,"Arrêts planifiés supérieurs au temps d'ouverture",IF(O39&lt;0,"Arrêts supérieurs au temps requis",IF(AND(P39&gt;0,O39=0),"Pièces déclarées sans temps de marche",IF(AND(P39=0,O39&gt;0),"Aucune pièce déclarée",IF(P39*60/Q39&gt;O39+0.001,"Cadence dépassée : vérifiez la cadence","OK"))))))))))))))))))</f>
        <v>OK</v>
      </c>
      <c r="AC39">
        <f>IF(OR(AB39="OK",AB39="Aucune pièce déclarée",AB39="Cadence dépassée : vérifiez la cadence"),1,0)</f>
        <v>1.0</v>
      </c>
      <c r="AD39">
        <f>IF(AND(AC39=1,A39&gt;=p_from,A39&lt;=p_to),1,0)</f>
        <v>1.0</v>
      </c>
      <c r="AE39">
        <f>IF(AD39=1,IF(COUNTIFS($A$6:A39,A39,$AD$6:AD39,1)=1,1,0),0)</f>
        <v>0.0</v>
      </c>
      <c r="AF39" t="str">
        <f>IF(AE39=1,COUNTIFS(sj_first,1,sj_date,"&lt;"&amp;A39)+1,"")</f>
        <v/>
      </c>
      <c r="AG39" t="str">
        <f>IF(AND(AD39=1,N(W39)&lt;p_alert),ROUND(W39,4),"")</f>
        <v/>
      </c>
      <c r="AH39" t="str">
        <f>IF(AG39="","",COUNTIF(sj_akey,"&lt;"&amp;AG39)+COUNTIF($AG$6:AG39,AG39))</f>
        <v/>
      </c>
    </row>
    <row r="40">
      <c r="A40" s="51" t="n">
        <v>46289</v>
      </c>
      <c r="B40" s="52" t="inlineStr">
        <is>
          <t>Matin</t>
        </is>
      </c>
      <c r="C40" s="52" t="inlineStr">
        <is>
          <t>USIN</t>
        </is>
      </c>
      <c r="D40" s="53" t="inlineStr">
        <is>
          <t>OF-2609-105</t>
        </is>
      </c>
      <c r="E40" s="53" t="inlineStr">
        <is>
          <t>FLA-PL-150</t>
        </is>
      </c>
      <c r="F40" s="54" t="n"/>
      <c r="G40" s="54" t="n">
        <v>77</v>
      </c>
      <c r="H40" s="54" t="n">
        <v>0</v>
      </c>
      <c r="I40" s="54" t="n">
        <v>0</v>
      </c>
      <c r="J40" s="53" t="n"/>
      <c r="K40" s="55">
        <f>IF(COUNTA(A40:I40)=0,"",IF(F40="",IFERROR(INDEX(eq_dur,MATCH(B40,eq_code,0)),""),F40))</f>
        <v>480.0</v>
      </c>
      <c r="L40" s="55">
        <f>IF(ISNUMBER(K40),N(IFERROR(INDEX(eq_pause,MATCH(B40,eq_code,0)),0))+SUMIFS(st_min,st_date,A40,st_eq,B40,st_po,C40,st_type,"Planifié"),"")</f>
        <v>30.0</v>
      </c>
      <c r="M40" s="55">
        <f>IF(ISNUMBER(K40),K40-L40,"")</f>
        <v>450.0</v>
      </c>
      <c r="N40" s="55">
        <f>IF(ISNUMBER(K40),SUMIFS(st_min,st_date,A40,st_eq,B40,st_po,C40,st_type,"Non planifié"),"")</f>
        <v>22.0</v>
      </c>
      <c r="O40" s="55">
        <f>IF(ISNUMBER(K40),M40-N40,"")</f>
        <v>428.0</v>
      </c>
      <c r="P40" s="55">
        <f>IF(COUNTA(A40:I40)=0,"",N(G40)+N(H40)+N(I40))</f>
        <v>77.0</v>
      </c>
      <c r="Q40" s="56">
        <f>IF(COUNTA(A40:I40)=0,"",IF(N(IFERROR(INDEX(art_rate,MATCH(E40,art_ref,0)),0))&gt;0,N(IFERROR(INDEX(art_rate,MATCH(E40,art_ref,0)),0)),N(IFERROR(INDEX(po_rate,MATCH(C40,po_code,0)),0))))</f>
        <v>12.0</v>
      </c>
      <c r="R40" s="55">
        <f>IF(AC40=1,P40*60/Q40,"")</f>
        <v>385.0</v>
      </c>
      <c r="S40" s="55">
        <f>IF(AC40=1,N(G40)*60/Q40,"")</f>
        <v>385.0</v>
      </c>
      <c r="T40" s="57">
        <f>IF(AC40=1,O40/M40,"")</f>
        <v>0.951111111111111</v>
      </c>
      <c r="U40" s="57">
        <f>IF(AC40=1,IF(O40&gt;0,R40/O40,""),"")</f>
        <v>0.899532710280374</v>
      </c>
      <c r="V40" s="57">
        <f>IF(AC40=1,IF(P40&gt;0,N(G40)/P40,""),"")</f>
        <v>1.0</v>
      </c>
      <c r="W40" s="57">
        <f>IF(AC40=1,S40/M40,"")</f>
        <v>0.855555555555556</v>
      </c>
      <c r="X40" s="57">
        <f>IF(AC40=1,S40/K40,"")</f>
        <v>0.802083333333333</v>
      </c>
      <c r="Y40" s="58" t="str">
        <f>IF(W40="","",IF(W40&gt;=p_target,"Bon",IF(W40&gt;=p_alert,"À surveiller","Faible")))</f>
        <v>Bon</v>
      </c>
      <c r="Z40" s="58" t="str">
        <f>IF(W40="","",IF(MIN(IF(T40="",1,T40),IF(U40="",1,U40),IF(V40="",1,V40))&gt;=1,"Aucune",IF(IF(T40="",1,T40)&lt;=MIN(IF(U40="",1,U40),IF(V40="",1,V40)),"Disponibilité",IF(IF(U40="",1,U40)&lt;=IF(V40="",1,V40),"Performance","Qualité"))))</f>
        <v>Performance</v>
      </c>
      <c r="AA40" s="59">
        <f>IF(AC40=1,N(H40)*N(IFERROR(INDEX(art_cost,MATCH(E40,art_ref,0)),0)),"")</f>
        <v>0.0</v>
      </c>
      <c r="AB40" s="58" t="str">
        <f>IF(COUNTA(A40:I40)=0,"",IF(N(A40)&lt;=0,"Date manquante ou invalide",IF(B40="","Équipe manquante",IF(ISNA(MATCH(B40,eq_code,0)),"Équipe inconnue",IF(INDEX(eq_check,MATCH(B40,eq_code,0))&lt;&gt;"OK","Équipe à corriger dans Paramètres",IF(C40="","Poste manquant",IF(ISNA(MATCH(C40,po_code,0)),"Poste inconnu",IF(AND(E40&lt;&gt;"",ISNA(MATCH(E40,art_ref,0))),"Article inconnu",IF(IF(E40="",FALSE,INDEX(art_check,MATCH(E40,art_ref,0))&lt;&gt;"OK"),"Article à corriger (feuille Articles)",IF(COUNTIFS(sj_date,A40,sj_eq,B40,sj_po,C40)&gt;1,"Ligne en double (même jour, équipe et poste)",IF(OR(NOT(ISNUMBER(K40)),N(K40)&lt;=0,N(K40)&gt;1440),"Temps d'ouverture invalide",IF(OR(AND(G40&lt;&gt;"",NOT(ISNUMBER(G40))),N(G40)&lt;0,N(G40)&lt;&gt;INT(N(G40)),AND(H40&lt;&gt;"",NOT(ISNUMBER(H40))),N(H40)&lt;0,N(H40)&lt;&gt;INT(N(H40)),AND(I40&lt;&gt;"",NOT(ISNUMBER(I40))),N(I40)&lt;0,N(I40)&lt;&gt;INT(N(I40))),"Quantité invalide",IF(Q40&lt;=0,"Cadence manquante (poste ou article)",IF(M40&lt;=0,"Arrêts planifiés supérieurs au temps d'ouverture",IF(O40&lt;0,"Arrêts supérieurs au temps requis",IF(AND(P40&gt;0,O40=0),"Pièces déclarées sans temps de marche",IF(AND(P40=0,O40&gt;0),"Aucune pièce déclarée",IF(P40*60/Q40&gt;O40+0.001,"Cadence dépassée : vérifiez la cadence","OK"))))))))))))))))))</f>
        <v>OK</v>
      </c>
      <c r="AC40">
        <f>IF(OR(AB40="OK",AB40="Aucune pièce déclarée",AB40="Cadence dépassée : vérifiez la cadence"),1,0)</f>
        <v>1.0</v>
      </c>
      <c r="AD40">
        <f>IF(AND(AC40=1,A40&gt;=p_from,A40&lt;=p_to),1,0)</f>
        <v>1.0</v>
      </c>
      <c r="AE40">
        <f>IF(AD40=1,IF(COUNTIFS($A$6:A40,A40,$AD$6:AD40,1)=1,1,0),0)</f>
        <v>0.0</v>
      </c>
      <c r="AF40" t="str">
        <f>IF(AE40=1,COUNTIFS(sj_first,1,sj_date,"&lt;"&amp;A40)+1,"")</f>
        <v/>
      </c>
      <c r="AG40" t="str">
        <f>IF(AND(AD40=1,N(W40)&lt;p_alert),ROUND(W40,4),"")</f>
        <v/>
      </c>
      <c r="AH40" t="str">
        <f>IF(AG40="","",COUNTIF(sj_akey,"&lt;"&amp;AG40)+COUNTIF($AG$6:AG40,AG40))</f>
        <v/>
      </c>
    </row>
    <row r="41">
      <c r="A41" s="51" t="n">
        <v>46289</v>
      </c>
      <c r="B41" s="52" t="inlineStr">
        <is>
          <t>Après-midi</t>
        </is>
      </c>
      <c r="C41" s="52" t="inlineStr">
        <is>
          <t>USIN</t>
        </is>
      </c>
      <c r="D41" s="53" t="inlineStr">
        <is>
          <t>OF-2609-121</t>
        </is>
      </c>
      <c r="E41" s="53" t="inlineStr">
        <is>
          <t>FLA-PL-150</t>
        </is>
      </c>
      <c r="F41" s="54" t="n"/>
      <c r="G41" s="54" t="n">
        <v>53</v>
      </c>
      <c r="H41" s="54" t="n">
        <v>0</v>
      </c>
      <c r="I41" s="54" t="n">
        <v>0</v>
      </c>
      <c r="J41" s="53" t="n"/>
      <c r="K41" s="55">
        <f>IF(COUNTA(A41:I41)=0,"",IF(F41="",IFERROR(INDEX(eq_dur,MATCH(B41,eq_code,0)),""),F41))</f>
        <v>480.0</v>
      </c>
      <c r="L41" s="55">
        <f>IF(ISNUMBER(K41),N(IFERROR(INDEX(eq_pause,MATCH(B41,eq_code,0)),0))+SUMIFS(st_min,st_date,A41,st_eq,B41,st_po,C41,st_type,"Planifié"),"")</f>
        <v>30.0</v>
      </c>
      <c r="M41" s="55">
        <f>IF(ISNUMBER(K41),K41-L41,"")</f>
        <v>450.0</v>
      </c>
      <c r="N41" s="55">
        <f>IF(ISNUMBER(K41),SUMIFS(st_min,st_date,A41,st_eq,B41,st_po,C41,st_type,"Non planifié"),"")</f>
        <v>170.0</v>
      </c>
      <c r="O41" s="55">
        <f>IF(ISNUMBER(K41),M41-N41,"")</f>
        <v>280.0</v>
      </c>
      <c r="P41" s="55">
        <f>IF(COUNTA(A41:I41)=0,"",N(G41)+N(H41)+N(I41))</f>
        <v>53.0</v>
      </c>
      <c r="Q41" s="56">
        <f>IF(COUNTA(A41:I41)=0,"",IF(N(IFERROR(INDEX(art_rate,MATCH(E41,art_ref,0)),0))&gt;0,N(IFERROR(INDEX(art_rate,MATCH(E41,art_ref,0)),0)),N(IFERROR(INDEX(po_rate,MATCH(C41,po_code,0)),0))))</f>
        <v>12.0</v>
      </c>
      <c r="R41" s="55">
        <f>IF(AC41=1,P41*60/Q41,"")</f>
        <v>265.0</v>
      </c>
      <c r="S41" s="55">
        <f>IF(AC41=1,N(G41)*60/Q41,"")</f>
        <v>265.0</v>
      </c>
      <c r="T41" s="57">
        <f>IF(AC41=1,O41/M41,"")</f>
        <v>0.622222222222222</v>
      </c>
      <c r="U41" s="57">
        <f>IF(AC41=1,IF(O41&gt;0,R41/O41,""),"")</f>
        <v>0.946428571428571</v>
      </c>
      <c r="V41" s="57">
        <f>IF(AC41=1,IF(P41&gt;0,N(G41)/P41,""),"")</f>
        <v>1.0</v>
      </c>
      <c r="W41" s="57">
        <f>IF(AC41=1,S41/M41,"")</f>
        <v>0.588888888888889</v>
      </c>
      <c r="X41" s="57">
        <f>IF(AC41=1,S41/K41,"")</f>
        <v>0.552083333333333</v>
      </c>
      <c r="Y41" s="58" t="str">
        <f>IF(W41="","",IF(W41&gt;=p_target,"Bon",IF(W41&gt;=p_alert,"À surveiller","Faible")))</f>
        <v>À surveiller</v>
      </c>
      <c r="Z41" s="58" t="str">
        <f>IF(W41="","",IF(MIN(IF(T41="",1,T41),IF(U41="",1,U41),IF(V41="",1,V41))&gt;=1,"Aucune",IF(IF(T41="",1,T41)&lt;=MIN(IF(U41="",1,U41),IF(V41="",1,V41)),"Disponibilité",IF(IF(U41="",1,U41)&lt;=IF(V41="",1,V41),"Performance","Qualité"))))</f>
        <v>Disponibilité</v>
      </c>
      <c r="AA41" s="59">
        <f>IF(AC41=1,N(H41)*N(IFERROR(INDEX(art_cost,MATCH(E41,art_ref,0)),0)),"")</f>
        <v>0.0</v>
      </c>
      <c r="AB41" s="58" t="str">
        <f>IF(COUNTA(A41:I41)=0,"",IF(N(A41)&lt;=0,"Date manquante ou invalide",IF(B41="","Équipe manquante",IF(ISNA(MATCH(B41,eq_code,0)),"Équipe inconnue",IF(INDEX(eq_check,MATCH(B41,eq_code,0))&lt;&gt;"OK","Équipe à corriger dans Paramètres",IF(C41="","Poste manquant",IF(ISNA(MATCH(C41,po_code,0)),"Poste inconnu",IF(AND(E41&lt;&gt;"",ISNA(MATCH(E41,art_ref,0))),"Article inconnu",IF(IF(E41="",FALSE,INDEX(art_check,MATCH(E41,art_ref,0))&lt;&gt;"OK"),"Article à corriger (feuille Articles)",IF(COUNTIFS(sj_date,A41,sj_eq,B41,sj_po,C41)&gt;1,"Ligne en double (même jour, équipe et poste)",IF(OR(NOT(ISNUMBER(K41)),N(K41)&lt;=0,N(K41)&gt;1440),"Temps d'ouverture invalide",IF(OR(AND(G41&lt;&gt;"",NOT(ISNUMBER(G41))),N(G41)&lt;0,N(G41)&lt;&gt;INT(N(G41)),AND(H41&lt;&gt;"",NOT(ISNUMBER(H41))),N(H41)&lt;0,N(H41)&lt;&gt;INT(N(H41)),AND(I41&lt;&gt;"",NOT(ISNUMBER(I41))),N(I41)&lt;0,N(I41)&lt;&gt;INT(N(I41))),"Quantité invalide",IF(Q41&lt;=0,"Cadence manquante (poste ou article)",IF(M41&lt;=0,"Arrêts planifiés supérieurs au temps d'ouverture",IF(O41&lt;0,"Arrêts supérieurs au temps requis",IF(AND(P41&gt;0,O41=0),"Pièces déclarées sans temps de marche",IF(AND(P41=0,O41&gt;0),"Aucune pièce déclarée",IF(P41*60/Q41&gt;O41+0.001,"Cadence dépassée : vérifiez la cadence","OK"))))))))))))))))))</f>
        <v>OK</v>
      </c>
      <c r="AC41">
        <f>IF(OR(AB41="OK",AB41="Aucune pièce déclarée",AB41="Cadence dépassée : vérifiez la cadence"),1,0)</f>
        <v>1.0</v>
      </c>
      <c r="AD41">
        <f>IF(AND(AC41=1,A41&gt;=p_from,A41&lt;=p_to),1,0)</f>
        <v>1.0</v>
      </c>
      <c r="AE41">
        <f>IF(AD41=1,IF(COUNTIFS($A$6:A41,A41,$AD$6:AD41,1)=1,1,0),0)</f>
        <v>0.0</v>
      </c>
      <c r="AF41" t="str">
        <f>IF(AE41=1,COUNTIFS(sj_first,1,sj_date,"&lt;"&amp;A41)+1,"")</f>
        <v/>
      </c>
      <c r="AG41" t="str">
        <f>IF(AND(AD41=1,N(W41)&lt;p_alert),ROUND(W41,4),"")</f>
        <v/>
      </c>
      <c r="AH41" t="str">
        <f>IF(AG41="","",COUNTIF(sj_akey,"&lt;"&amp;AG41)+COUNTIF($AG$6:AG41,AG41))</f>
        <v/>
      </c>
    </row>
    <row r="42">
      <c r="A42" s="51" t="n">
        <v>46289</v>
      </c>
      <c r="B42" s="52" t="inlineStr">
        <is>
          <t>Matin</t>
        </is>
      </c>
      <c r="C42" s="52" t="inlineStr">
        <is>
          <t>PRESSE</t>
        </is>
      </c>
      <c r="D42" s="53" t="inlineStr">
        <is>
          <t>OF-2609-107</t>
        </is>
      </c>
      <c r="E42" s="53" t="inlineStr">
        <is>
          <t>PAT-FIX-10</t>
        </is>
      </c>
      <c r="F42" s="54" t="n"/>
      <c r="G42" s="54" t="n">
        <v>2614</v>
      </c>
      <c r="H42" s="54" t="n">
        <v>19</v>
      </c>
      <c r="I42" s="54" t="n">
        <v>21</v>
      </c>
      <c r="J42" s="53" t="n"/>
      <c r="K42" s="55">
        <f>IF(COUNTA(A42:I42)=0,"",IF(F42="",IFERROR(INDEX(eq_dur,MATCH(B42,eq_code,0)),""),F42))</f>
        <v>480.0</v>
      </c>
      <c r="L42" s="55">
        <f>IF(ISNUMBER(K42),N(IFERROR(INDEX(eq_pause,MATCH(B42,eq_code,0)),0))+SUMIFS(st_min,st_date,A42,st_eq,B42,st_po,C42,st_type,"Planifié"),"")</f>
        <v>30.0</v>
      </c>
      <c r="M42" s="55">
        <f>IF(ISNUMBER(K42),K42-L42,"")</f>
        <v>450.0</v>
      </c>
      <c r="N42" s="55">
        <f>IF(ISNUMBER(K42),SUMIFS(st_min,st_date,A42,st_eq,B42,st_po,C42,st_type,"Non planifié"),"")</f>
        <v>26.0</v>
      </c>
      <c r="O42" s="55">
        <f>IF(ISNUMBER(K42),M42-N42,"")</f>
        <v>424.0</v>
      </c>
      <c r="P42" s="55">
        <f>IF(COUNTA(A42:I42)=0,"",N(G42)+N(H42)+N(I42))</f>
        <v>2654.0</v>
      </c>
      <c r="Q42" s="56">
        <f>IF(COUNTA(A42:I42)=0,"",IF(N(IFERROR(INDEX(art_rate,MATCH(E42,art_ref,0)),0))&gt;0,N(IFERROR(INDEX(art_rate,MATCH(E42,art_ref,0)),0)),N(IFERROR(INDEX(po_rate,MATCH(C42,po_code,0)),0))))</f>
        <v>420.0</v>
      </c>
      <c r="R42" s="55">
        <f>IF(AC42=1,P42*60/Q42,"")</f>
        <v>379.142857142857</v>
      </c>
      <c r="S42" s="55">
        <f>IF(AC42=1,N(G42)*60/Q42,"")</f>
        <v>373.428571428571</v>
      </c>
      <c r="T42" s="57">
        <f>IF(AC42=1,O42/M42,"")</f>
        <v>0.942222222222222</v>
      </c>
      <c r="U42" s="57">
        <f>IF(AC42=1,IF(O42&gt;0,R42/O42,""),"")</f>
        <v>0.894204851752022</v>
      </c>
      <c r="V42" s="57">
        <f>IF(AC42=1,IF(P42&gt;0,N(G42)/P42,""),"")</f>
        <v>0.984928409947249</v>
      </c>
      <c r="W42" s="57">
        <f>IF(AC42=1,S42/M42,"")</f>
        <v>0.82984126984127</v>
      </c>
      <c r="X42" s="57">
        <f>IF(AC42=1,S42/K42,"")</f>
        <v>0.777976190476191</v>
      </c>
      <c r="Y42" s="58" t="str">
        <f>IF(W42="","",IF(W42&gt;=p_target,"Bon",IF(W42&gt;=p_alert,"À surveiller","Faible")))</f>
        <v>Bon</v>
      </c>
      <c r="Z42" s="58" t="str">
        <f>IF(W42="","",IF(MIN(IF(T42="",1,T42),IF(U42="",1,U42),IF(V42="",1,V42))&gt;=1,"Aucune",IF(IF(T42="",1,T42)&lt;=MIN(IF(U42="",1,U42),IF(V42="",1,V42)),"Disponibilité",IF(IF(U42="",1,U42)&lt;=IF(V42="",1,V42),"Performance","Qualité"))))</f>
        <v>Performance</v>
      </c>
      <c r="AA42" s="59">
        <f>IF(AC42=1,N(H42)*N(IFERROR(INDEX(art_cost,MATCH(E42,art_ref,0)),0)),"")</f>
        <v>79.8</v>
      </c>
      <c r="AB42" s="58" t="str">
        <f>IF(COUNTA(A42:I42)=0,"",IF(N(A42)&lt;=0,"Date manquante ou invalide",IF(B42="","Équipe manquante",IF(ISNA(MATCH(B42,eq_code,0)),"Équipe inconnue",IF(INDEX(eq_check,MATCH(B42,eq_code,0))&lt;&gt;"OK","Équipe à corriger dans Paramètres",IF(C42="","Poste manquant",IF(ISNA(MATCH(C42,po_code,0)),"Poste inconnu",IF(AND(E42&lt;&gt;"",ISNA(MATCH(E42,art_ref,0))),"Article inconnu",IF(IF(E42="",FALSE,INDEX(art_check,MATCH(E42,art_ref,0))&lt;&gt;"OK"),"Article à corriger (feuille Articles)",IF(COUNTIFS(sj_date,A42,sj_eq,B42,sj_po,C42)&gt;1,"Ligne en double (même jour, équipe et poste)",IF(OR(NOT(ISNUMBER(K42)),N(K42)&lt;=0,N(K42)&gt;1440),"Temps d'ouverture invalide",IF(OR(AND(G42&lt;&gt;"",NOT(ISNUMBER(G42))),N(G42)&lt;0,N(G42)&lt;&gt;INT(N(G42)),AND(H42&lt;&gt;"",NOT(ISNUMBER(H42))),N(H42)&lt;0,N(H42)&lt;&gt;INT(N(H42)),AND(I42&lt;&gt;"",NOT(ISNUMBER(I42))),N(I42)&lt;0,N(I42)&lt;&gt;INT(N(I42))),"Quantité invalide",IF(Q42&lt;=0,"Cadence manquante (poste ou article)",IF(M42&lt;=0,"Arrêts planifiés supérieurs au temps d'ouverture",IF(O42&lt;0,"Arrêts supérieurs au temps requis",IF(AND(P42&gt;0,O42=0),"Pièces déclarées sans temps de marche",IF(AND(P42=0,O42&gt;0),"Aucune pièce déclarée",IF(P42*60/Q42&gt;O42+0.001,"Cadence dépassée : vérifiez la cadence","OK"))))))))))))))))))</f>
        <v>OK</v>
      </c>
      <c r="AC42">
        <f>IF(OR(AB42="OK",AB42="Aucune pièce déclarée",AB42="Cadence dépassée : vérifiez la cadence"),1,0)</f>
        <v>1.0</v>
      </c>
      <c r="AD42">
        <f>IF(AND(AC42=1,A42&gt;=p_from,A42&lt;=p_to),1,0)</f>
        <v>1.0</v>
      </c>
      <c r="AE42">
        <f>IF(AD42=1,IF(COUNTIFS($A$6:A42,A42,$AD$6:AD42,1)=1,1,0),0)</f>
        <v>0.0</v>
      </c>
      <c r="AF42" t="str">
        <f>IF(AE42=1,COUNTIFS(sj_first,1,sj_date,"&lt;"&amp;A42)+1,"")</f>
        <v/>
      </c>
      <c r="AG42" t="str">
        <f>IF(AND(AD42=1,N(W42)&lt;p_alert),ROUND(W42,4),"")</f>
        <v/>
      </c>
      <c r="AH42" t="str">
        <f>IF(AG42="","",COUNTIF(sj_akey,"&lt;"&amp;AG42)+COUNTIF($AG$6:AG42,AG42))</f>
        <v/>
      </c>
    </row>
    <row r="43">
      <c r="A43" s="51" t="n">
        <v>46289</v>
      </c>
      <c r="B43" s="52" t="inlineStr">
        <is>
          <t>Journée</t>
        </is>
      </c>
      <c r="C43" s="52" t="inlineStr">
        <is>
          <t>PLIE</t>
        </is>
      </c>
      <c r="D43" s="53" t="inlineStr">
        <is>
          <t>OF-2609-117</t>
        </is>
      </c>
      <c r="E43" s="53" t="inlineStr">
        <is>
          <t>GAR-SUP-02</t>
        </is>
      </c>
      <c r="F43" s="54" t="n"/>
      <c r="G43" s="54" t="n">
        <v>749</v>
      </c>
      <c r="H43" s="54" t="n">
        <v>23</v>
      </c>
      <c r="I43" s="54" t="n">
        <v>1</v>
      </c>
      <c r="J43" s="53" t="n"/>
      <c r="K43" s="55">
        <f>IF(COUNTA(A43:I43)=0,"",IF(F43="",IFERROR(INDEX(eq_dur,MATCH(B43,eq_code,0)),""),F43))</f>
        <v>540.0</v>
      </c>
      <c r="L43" s="55">
        <f>IF(ISNUMBER(K43),N(IFERROR(INDEX(eq_pause,MATCH(B43,eq_code,0)),0))+SUMIFS(st_min,st_date,A43,st_eq,B43,st_po,C43,st_type,"Planifié"),"")</f>
        <v>60.0</v>
      </c>
      <c r="M43" s="55">
        <f>IF(ISNUMBER(K43),K43-L43,"")</f>
        <v>480.0</v>
      </c>
      <c r="N43" s="55">
        <f>IF(ISNUMBER(K43),SUMIFS(st_min,st_date,A43,st_eq,B43,st_po,C43,st_type,"Non planifié"),"")</f>
        <v>0.0</v>
      </c>
      <c r="O43" s="55">
        <f>IF(ISNUMBER(K43),M43-N43,"")</f>
        <v>480.0</v>
      </c>
      <c r="P43" s="55">
        <f>IF(COUNTA(A43:I43)=0,"",N(G43)+N(H43)+N(I43))</f>
        <v>773.0</v>
      </c>
      <c r="Q43" s="56">
        <f>IF(COUNTA(A43:I43)=0,"",IF(N(IFERROR(INDEX(art_rate,MATCH(E43,art_ref,0)),0))&gt;0,N(IFERROR(INDEX(art_rate,MATCH(E43,art_ref,0)),0)),N(IFERROR(INDEX(po_rate,MATCH(C43,po_code,0)),0))))</f>
        <v>110.0</v>
      </c>
      <c r="R43" s="55">
        <f>IF(AC43=1,P43*60/Q43,"")</f>
        <v>421.636363636364</v>
      </c>
      <c r="S43" s="55">
        <f>IF(AC43=1,N(G43)*60/Q43,"")</f>
        <v>408.545454545455</v>
      </c>
      <c r="T43" s="57">
        <f>IF(AC43=1,O43/M43,"")</f>
        <v>1.0</v>
      </c>
      <c r="U43" s="57">
        <f>IF(AC43=1,IF(O43&gt;0,R43/O43,""),"")</f>
        <v>0.878409090909091</v>
      </c>
      <c r="V43" s="57">
        <f>IF(AC43=1,IF(P43&gt;0,N(G43)/P43,""),"")</f>
        <v>0.96895213454075</v>
      </c>
      <c r="W43" s="57">
        <f>IF(AC43=1,S43/M43,"")</f>
        <v>0.851136363636364</v>
      </c>
      <c r="X43" s="57">
        <f>IF(AC43=1,S43/K43,"")</f>
        <v>0.756565656565657</v>
      </c>
      <c r="Y43" s="58" t="str">
        <f>IF(W43="","",IF(W43&gt;=p_target,"Bon",IF(W43&gt;=p_alert,"À surveiller","Faible")))</f>
        <v>Bon</v>
      </c>
      <c r="Z43" s="58" t="str">
        <f>IF(W43="","",IF(MIN(IF(T43="",1,T43),IF(U43="",1,U43),IF(V43="",1,V43))&gt;=1,"Aucune",IF(IF(T43="",1,T43)&lt;=MIN(IF(U43="",1,U43),IF(V43="",1,V43)),"Disponibilité",IF(IF(U43="",1,U43)&lt;=IF(V43="",1,V43),"Performance","Qualité"))))</f>
        <v>Performance</v>
      </c>
      <c r="AA43" s="59">
        <f>IF(AC43=1,N(H43)*N(IFERROR(INDEX(art_cost,MATCH(E43,art_ref,0)),0)),"")</f>
        <v>494.5</v>
      </c>
      <c r="AB43" s="58" t="str">
        <f>IF(COUNTA(A43:I43)=0,"",IF(N(A43)&lt;=0,"Date manquante ou invalide",IF(B43="","Équipe manquante",IF(ISNA(MATCH(B43,eq_code,0)),"Équipe inconnue",IF(INDEX(eq_check,MATCH(B43,eq_code,0))&lt;&gt;"OK","Équipe à corriger dans Paramètres",IF(C43="","Poste manquant",IF(ISNA(MATCH(C43,po_code,0)),"Poste inconnu",IF(AND(E43&lt;&gt;"",ISNA(MATCH(E43,art_ref,0))),"Article inconnu",IF(IF(E43="",FALSE,INDEX(art_check,MATCH(E43,art_ref,0))&lt;&gt;"OK"),"Article à corriger (feuille Articles)",IF(COUNTIFS(sj_date,A43,sj_eq,B43,sj_po,C43)&gt;1,"Ligne en double (même jour, équipe et poste)",IF(OR(NOT(ISNUMBER(K43)),N(K43)&lt;=0,N(K43)&gt;1440),"Temps d'ouverture invalide",IF(OR(AND(G43&lt;&gt;"",NOT(ISNUMBER(G43))),N(G43)&lt;0,N(G43)&lt;&gt;INT(N(G43)),AND(H43&lt;&gt;"",NOT(ISNUMBER(H43))),N(H43)&lt;0,N(H43)&lt;&gt;INT(N(H43)),AND(I43&lt;&gt;"",NOT(ISNUMBER(I43))),N(I43)&lt;0,N(I43)&lt;&gt;INT(N(I43))),"Quantité invalide",IF(Q43&lt;=0,"Cadence manquante (poste ou article)",IF(M43&lt;=0,"Arrêts planifiés supérieurs au temps d'ouverture",IF(O43&lt;0,"Arrêts supérieurs au temps requis",IF(AND(P43&gt;0,O43=0),"Pièces déclarées sans temps de marche",IF(AND(P43=0,O43&gt;0),"Aucune pièce déclarée",IF(P43*60/Q43&gt;O43+0.001,"Cadence dépassée : vérifiez la cadence","OK"))))))))))))))))))</f>
        <v>OK</v>
      </c>
      <c r="AC43">
        <f>IF(OR(AB43="OK",AB43="Aucune pièce déclarée",AB43="Cadence dépassée : vérifiez la cadence"),1,0)</f>
        <v>1.0</v>
      </c>
      <c r="AD43">
        <f>IF(AND(AC43=1,A43&gt;=p_from,A43&lt;=p_to),1,0)</f>
        <v>1.0</v>
      </c>
      <c r="AE43">
        <f>IF(AD43=1,IF(COUNTIFS($A$6:A43,A43,$AD$6:AD43,1)=1,1,0),0)</f>
        <v>0.0</v>
      </c>
      <c r="AF43" t="str">
        <f>IF(AE43=1,COUNTIFS(sj_first,1,sj_date,"&lt;"&amp;A43)+1,"")</f>
        <v/>
      </c>
      <c r="AG43" t="str">
        <f>IF(AND(AD43=1,N(W43)&lt;p_alert),ROUND(W43,4),"")</f>
        <v/>
      </c>
      <c r="AH43" t="str">
        <f>IF(AG43="","",COUNTIF(sj_akey,"&lt;"&amp;AG43)+COUNTIF($AG$6:AG43,AG43))</f>
        <v/>
      </c>
    </row>
    <row r="44">
      <c r="A44" s="51" t="n">
        <v>46289</v>
      </c>
      <c r="B44" s="52" t="inlineStr">
        <is>
          <t>Matin</t>
        </is>
      </c>
      <c r="C44" s="52" t="inlineStr">
        <is>
          <t>SOUD</t>
        </is>
      </c>
      <c r="D44" s="53" t="inlineStr">
        <is>
          <t>OF-2609-115</t>
        </is>
      </c>
      <c r="E44" s="53" t="inlineStr">
        <is>
          <t>CHA-REM-01</t>
        </is>
      </c>
      <c r="F44" s="54" t="n"/>
      <c r="G44" s="54" t="n">
        <v>24</v>
      </c>
      <c r="H44" s="54" t="n">
        <v>0</v>
      </c>
      <c r="I44" s="54" t="n">
        <v>0</v>
      </c>
      <c r="J44" s="53" t="n"/>
      <c r="K44" s="55">
        <f>IF(COUNTA(A44:I44)=0,"",IF(F44="",IFERROR(INDEX(eq_dur,MATCH(B44,eq_code,0)),""),F44))</f>
        <v>480.0</v>
      </c>
      <c r="L44" s="55">
        <f>IF(ISNUMBER(K44),N(IFERROR(INDEX(eq_pause,MATCH(B44,eq_code,0)),0))+SUMIFS(st_min,st_date,A44,st_eq,B44,st_po,C44,st_type,"Planifié"),"")</f>
        <v>30.0</v>
      </c>
      <c r="M44" s="55">
        <f>IF(ISNUMBER(K44),K44-L44,"")</f>
        <v>450.0</v>
      </c>
      <c r="N44" s="55">
        <f>IF(ISNUMBER(K44),SUMIFS(st_min,st_date,A44,st_eq,B44,st_po,C44,st_type,"Non planifié"),"")</f>
        <v>0.0</v>
      </c>
      <c r="O44" s="55">
        <f>IF(ISNUMBER(K44),M44-N44,"")</f>
        <v>450.0</v>
      </c>
      <c r="P44" s="55">
        <f>IF(COUNTA(A44:I44)=0,"",N(G44)+N(H44)+N(I44))</f>
        <v>24.0</v>
      </c>
      <c r="Q44" s="56">
        <f>IF(COUNTA(A44:I44)=0,"",IF(N(IFERROR(INDEX(art_rate,MATCH(E44,art_ref,0)),0))&gt;0,N(IFERROR(INDEX(art_rate,MATCH(E44,art_ref,0)),0)),N(IFERROR(INDEX(po_rate,MATCH(C44,po_code,0)),0))))</f>
        <v>4.0</v>
      </c>
      <c r="R44" s="55">
        <f>IF(AC44=1,P44*60/Q44,"")</f>
        <v>360.0</v>
      </c>
      <c r="S44" s="55">
        <f>IF(AC44=1,N(G44)*60/Q44,"")</f>
        <v>360.0</v>
      </c>
      <c r="T44" s="57">
        <f>IF(AC44=1,O44/M44,"")</f>
        <v>1.0</v>
      </c>
      <c r="U44" s="57">
        <f>IF(AC44=1,IF(O44&gt;0,R44/O44,""),"")</f>
        <v>0.8</v>
      </c>
      <c r="V44" s="57">
        <f>IF(AC44=1,IF(P44&gt;0,N(G44)/P44,""),"")</f>
        <v>1.0</v>
      </c>
      <c r="W44" s="57">
        <f>IF(AC44=1,S44/M44,"")</f>
        <v>0.8</v>
      </c>
      <c r="X44" s="57">
        <f>IF(AC44=1,S44/K44,"")</f>
        <v>0.75</v>
      </c>
      <c r="Y44" s="58" t="str">
        <f>IF(W44="","",IF(W44&gt;=p_target,"Bon",IF(W44&gt;=p_alert,"À surveiller","Faible")))</f>
        <v>Bon</v>
      </c>
      <c r="Z44" s="58" t="str">
        <f>IF(W44="","",IF(MIN(IF(T44="",1,T44),IF(U44="",1,U44),IF(V44="",1,V44))&gt;=1,"Aucune",IF(IF(T44="",1,T44)&lt;=MIN(IF(U44="",1,U44),IF(V44="",1,V44)),"Disponibilité",IF(IF(U44="",1,U44)&lt;=IF(V44="",1,V44),"Performance","Qualité"))))</f>
        <v>Performance</v>
      </c>
      <c r="AA44" s="59">
        <f>IF(AC44=1,N(H44)*N(IFERROR(INDEX(art_cost,MATCH(E44,art_ref,0)),0)),"")</f>
        <v>0.0</v>
      </c>
      <c r="AB44" s="58" t="str">
        <f>IF(COUNTA(A44:I44)=0,"",IF(N(A44)&lt;=0,"Date manquante ou invalide",IF(B44="","Équipe manquante",IF(ISNA(MATCH(B44,eq_code,0)),"Équipe inconnue",IF(INDEX(eq_check,MATCH(B44,eq_code,0))&lt;&gt;"OK","Équipe à corriger dans Paramètres",IF(C44="","Poste manquant",IF(ISNA(MATCH(C44,po_code,0)),"Poste inconnu",IF(AND(E44&lt;&gt;"",ISNA(MATCH(E44,art_ref,0))),"Article inconnu",IF(IF(E44="",FALSE,INDEX(art_check,MATCH(E44,art_ref,0))&lt;&gt;"OK"),"Article à corriger (feuille Articles)",IF(COUNTIFS(sj_date,A44,sj_eq,B44,sj_po,C44)&gt;1,"Ligne en double (même jour, équipe et poste)",IF(OR(NOT(ISNUMBER(K44)),N(K44)&lt;=0,N(K44)&gt;1440),"Temps d'ouverture invalide",IF(OR(AND(G44&lt;&gt;"",NOT(ISNUMBER(G44))),N(G44)&lt;0,N(G44)&lt;&gt;INT(N(G44)),AND(H44&lt;&gt;"",NOT(ISNUMBER(H44))),N(H44)&lt;0,N(H44)&lt;&gt;INT(N(H44)),AND(I44&lt;&gt;"",NOT(ISNUMBER(I44))),N(I44)&lt;0,N(I44)&lt;&gt;INT(N(I44))),"Quantité invalide",IF(Q44&lt;=0,"Cadence manquante (poste ou article)",IF(M44&lt;=0,"Arrêts planifiés supérieurs au temps d'ouverture",IF(O44&lt;0,"Arrêts supérieurs au temps requis",IF(AND(P44&gt;0,O44=0),"Pièces déclarées sans temps de marche",IF(AND(P44=0,O44&gt;0),"Aucune pièce déclarée",IF(P44*60/Q44&gt;O44+0.001,"Cadence dépassée : vérifiez la cadence","OK"))))))))))))))))))</f>
        <v>OK</v>
      </c>
      <c r="AC44">
        <f>IF(OR(AB44="OK",AB44="Aucune pièce déclarée",AB44="Cadence dépassée : vérifiez la cadence"),1,0)</f>
        <v>1.0</v>
      </c>
      <c r="AD44">
        <f>IF(AND(AC44=1,A44&gt;=p_from,A44&lt;=p_to),1,0)</f>
        <v>1.0</v>
      </c>
      <c r="AE44">
        <f>IF(AD44=1,IF(COUNTIFS($A$6:A44,A44,$AD$6:AD44,1)=1,1,0),0)</f>
        <v>0.0</v>
      </c>
      <c r="AF44" t="str">
        <f>IF(AE44=1,COUNTIFS(sj_first,1,sj_date,"&lt;"&amp;A44)+1,"")</f>
        <v/>
      </c>
      <c r="AG44" t="str">
        <f>IF(AND(AD44=1,N(W44)&lt;p_alert),ROUND(W44,4),"")</f>
        <v/>
      </c>
      <c r="AH44" t="str">
        <f>IF(AG44="","",COUNTIF(sj_akey,"&lt;"&amp;AG44)+COUNTIF($AG$6:AG44,AG44))</f>
        <v/>
      </c>
    </row>
    <row r="45">
      <c r="A45" s="51" t="n">
        <v>46289</v>
      </c>
      <c r="B45" s="52" t="inlineStr">
        <is>
          <t>Après-midi</t>
        </is>
      </c>
      <c r="C45" s="52" t="inlineStr">
        <is>
          <t>SOUD</t>
        </is>
      </c>
      <c r="D45" s="53" t="inlineStr">
        <is>
          <t>OF-2609-110</t>
        </is>
      </c>
      <c r="E45" s="53" t="inlineStr">
        <is>
          <t>BRA-SUS-02</t>
        </is>
      </c>
      <c r="F45" s="54" t="n"/>
      <c r="G45" s="54" t="n">
        <v>115</v>
      </c>
      <c r="H45" s="54" t="n">
        <v>1</v>
      </c>
      <c r="I45" s="54" t="n">
        <v>0</v>
      </c>
      <c r="J45" s="53" t="n"/>
      <c r="K45" s="55">
        <f>IF(COUNTA(A45:I45)=0,"",IF(F45="",IFERROR(INDEX(eq_dur,MATCH(B45,eq_code,0)),""),F45))</f>
        <v>480.0</v>
      </c>
      <c r="L45" s="55">
        <f>IF(ISNUMBER(K45),N(IFERROR(INDEX(eq_pause,MATCH(B45,eq_code,0)),0))+SUMIFS(st_min,st_date,A45,st_eq,B45,st_po,C45,st_type,"Planifié"),"")</f>
        <v>30.0</v>
      </c>
      <c r="M45" s="55">
        <f>IF(ISNUMBER(K45),K45-L45,"")</f>
        <v>450.0</v>
      </c>
      <c r="N45" s="55">
        <f>IF(ISNUMBER(K45),SUMIFS(st_min,st_date,A45,st_eq,B45,st_po,C45,st_type,"Non planifié"),"")</f>
        <v>70.0</v>
      </c>
      <c r="O45" s="55">
        <f>IF(ISNUMBER(K45),M45-N45,"")</f>
        <v>380.0</v>
      </c>
      <c r="P45" s="55">
        <f>IF(COUNTA(A45:I45)=0,"",N(G45)+N(H45)+N(I45))</f>
        <v>116.0</v>
      </c>
      <c r="Q45" s="56">
        <f>IF(COUNTA(A45:I45)=0,"",IF(N(IFERROR(INDEX(art_rate,MATCH(E45,art_ref,0)),0))&gt;0,N(IFERROR(INDEX(art_rate,MATCH(E45,art_ref,0)),0)),N(IFERROR(INDEX(po_rate,MATCH(C45,po_code,0)),0))))</f>
        <v>20.0</v>
      </c>
      <c r="R45" s="55">
        <f>IF(AC45=1,P45*60/Q45,"")</f>
        <v>348.0</v>
      </c>
      <c r="S45" s="55">
        <f>IF(AC45=1,N(G45)*60/Q45,"")</f>
        <v>345.0</v>
      </c>
      <c r="T45" s="57">
        <f>IF(AC45=1,O45/M45,"")</f>
        <v>0.844444444444444</v>
      </c>
      <c r="U45" s="57">
        <f>IF(AC45=1,IF(O45&gt;0,R45/O45,""),"")</f>
        <v>0.915789473684211</v>
      </c>
      <c r="V45" s="57">
        <f>IF(AC45=1,IF(P45&gt;0,N(G45)/P45,""),"")</f>
        <v>0.991379310344828</v>
      </c>
      <c r="W45" s="57">
        <f>IF(AC45=1,S45/M45,"")</f>
        <v>0.766666666666667</v>
      </c>
      <c r="X45" s="57">
        <f>IF(AC45=1,S45/K45,"")</f>
        <v>0.71875</v>
      </c>
      <c r="Y45" s="58" t="str">
        <f>IF(W45="","",IF(W45&gt;=p_target,"Bon",IF(W45&gt;=p_alert,"À surveiller","Faible")))</f>
        <v>Bon</v>
      </c>
      <c r="Z45" s="58" t="str">
        <f>IF(W45="","",IF(MIN(IF(T45="",1,T45),IF(U45="",1,U45),IF(V45="",1,V45))&gt;=1,"Aucune",IF(IF(T45="",1,T45)&lt;=MIN(IF(U45="",1,U45),IF(V45="",1,V45)),"Disponibilité",IF(IF(U45="",1,U45)&lt;=IF(V45="",1,V45),"Performance","Qualité"))))</f>
        <v>Disponibilité</v>
      </c>
      <c r="AA45" s="59">
        <f>IF(AC45=1,N(H45)*N(IFERROR(INDEX(art_cost,MATCH(E45,art_ref,0)),0)),"")</f>
        <v>238.0</v>
      </c>
      <c r="AB45" s="58" t="str">
        <f>IF(COUNTA(A45:I45)=0,"",IF(N(A45)&lt;=0,"Date manquante ou invalide",IF(B45="","Équipe manquante",IF(ISNA(MATCH(B45,eq_code,0)),"Équipe inconnue",IF(INDEX(eq_check,MATCH(B45,eq_code,0))&lt;&gt;"OK","Équipe à corriger dans Paramètres",IF(C45="","Poste manquant",IF(ISNA(MATCH(C45,po_code,0)),"Poste inconnu",IF(AND(E45&lt;&gt;"",ISNA(MATCH(E45,art_ref,0))),"Article inconnu",IF(IF(E45="",FALSE,INDEX(art_check,MATCH(E45,art_ref,0))&lt;&gt;"OK"),"Article à corriger (feuille Articles)",IF(COUNTIFS(sj_date,A45,sj_eq,B45,sj_po,C45)&gt;1,"Ligne en double (même jour, équipe et poste)",IF(OR(NOT(ISNUMBER(K45)),N(K45)&lt;=0,N(K45)&gt;1440),"Temps d'ouverture invalide",IF(OR(AND(G45&lt;&gt;"",NOT(ISNUMBER(G45))),N(G45)&lt;0,N(G45)&lt;&gt;INT(N(G45)),AND(H45&lt;&gt;"",NOT(ISNUMBER(H45))),N(H45)&lt;0,N(H45)&lt;&gt;INT(N(H45)),AND(I45&lt;&gt;"",NOT(ISNUMBER(I45))),N(I45)&lt;0,N(I45)&lt;&gt;INT(N(I45))),"Quantité invalide",IF(Q45&lt;=0,"Cadence manquante (poste ou article)",IF(M45&lt;=0,"Arrêts planifiés supérieurs au temps d'ouverture",IF(O45&lt;0,"Arrêts supérieurs au temps requis",IF(AND(P45&gt;0,O45=0),"Pièces déclarées sans temps de marche",IF(AND(P45=0,O45&gt;0),"Aucune pièce déclarée",IF(P45*60/Q45&gt;O45+0.001,"Cadence dépassée : vérifiez la cadence","OK"))))))))))))))))))</f>
        <v>OK</v>
      </c>
      <c r="AC45">
        <f>IF(OR(AB45="OK",AB45="Aucune pièce déclarée",AB45="Cadence dépassée : vérifiez la cadence"),1,0)</f>
        <v>1.0</v>
      </c>
      <c r="AD45">
        <f>IF(AND(AC45=1,A45&gt;=p_from,A45&lt;=p_to),1,0)</f>
        <v>1.0</v>
      </c>
      <c r="AE45">
        <f>IF(AD45=1,IF(COUNTIFS($A$6:A45,A45,$AD$6:AD45,1)=1,1,0),0)</f>
        <v>0.0</v>
      </c>
      <c r="AF45" t="str">
        <f>IF(AE45=1,COUNTIFS(sj_first,1,sj_date,"&lt;"&amp;A45)+1,"")</f>
        <v/>
      </c>
      <c r="AG45" t="str">
        <f>IF(AND(AD45=1,N(W45)&lt;p_alert),ROUND(W45,4),"")</f>
        <v/>
      </c>
      <c r="AH45" t="str">
        <f>IF(AG45="","",COUNTIF(sj_akey,"&lt;"&amp;AG45)+COUNTIF($AG$6:AG45,AG45))</f>
        <v/>
      </c>
    </row>
    <row r="46">
      <c r="A46" s="51" t="n">
        <v>46290</v>
      </c>
      <c r="B46" s="52" t="inlineStr">
        <is>
          <t>Matin</t>
        </is>
      </c>
      <c r="C46" s="52" t="inlineStr">
        <is>
          <t>TOUR1</t>
        </is>
      </c>
      <c r="D46" s="53" t="inlineStr">
        <is>
          <t>OF-2609-122</t>
        </is>
      </c>
      <c r="E46" s="53" t="inlineStr">
        <is>
          <t>BAG-BR-32</t>
        </is>
      </c>
      <c r="F46" s="54" t="n"/>
      <c r="G46" s="54" t="n">
        <v>243</v>
      </c>
      <c r="H46" s="54" t="n">
        <v>6</v>
      </c>
      <c r="I46" s="54" t="n">
        <v>2</v>
      </c>
      <c r="J46" s="53" t="n"/>
      <c r="K46" s="55">
        <f>IF(COUNTA(A46:I46)=0,"",IF(F46="",IFERROR(INDEX(eq_dur,MATCH(B46,eq_code,0)),""),F46))</f>
        <v>480.0</v>
      </c>
      <c r="L46" s="55">
        <f>IF(ISNUMBER(K46),N(IFERROR(INDEX(eq_pause,MATCH(B46,eq_code,0)),0))+SUMIFS(st_min,st_date,A46,st_eq,B46,st_po,C46,st_type,"Planifié"),"")</f>
        <v>30.0</v>
      </c>
      <c r="M46" s="55">
        <f>IF(ISNUMBER(K46),K46-L46,"")</f>
        <v>450.0</v>
      </c>
      <c r="N46" s="55">
        <f>IF(ISNUMBER(K46),SUMIFS(st_min,st_date,A46,st_eq,B46,st_po,C46,st_type,"Non planifié"),"")</f>
        <v>44.0</v>
      </c>
      <c r="O46" s="55">
        <f>IF(ISNUMBER(K46),M46-N46,"")</f>
        <v>406.0</v>
      </c>
      <c r="P46" s="55">
        <f>IF(COUNTA(A46:I46)=0,"",N(G46)+N(H46)+N(I46))</f>
        <v>251.0</v>
      </c>
      <c r="Q46" s="56">
        <f>IF(COUNTA(A46:I46)=0,"",IF(N(IFERROR(INDEX(art_rate,MATCH(E46,art_ref,0)),0))&gt;0,N(IFERROR(INDEX(art_rate,MATCH(E46,art_ref,0)),0)),N(IFERROR(INDEX(po_rate,MATCH(C46,po_code,0)),0))))</f>
        <v>40.0</v>
      </c>
      <c r="R46" s="55">
        <f>IF(AC46=1,P46*60/Q46,"")</f>
        <v>376.5</v>
      </c>
      <c r="S46" s="55">
        <f>IF(AC46=1,N(G46)*60/Q46,"")</f>
        <v>364.5</v>
      </c>
      <c r="T46" s="57">
        <f>IF(AC46=1,O46/M46,"")</f>
        <v>0.902222222222222</v>
      </c>
      <c r="U46" s="57">
        <f>IF(AC46=1,IF(O46&gt;0,R46/O46,""),"")</f>
        <v>0.927339901477833</v>
      </c>
      <c r="V46" s="57">
        <f>IF(AC46=1,IF(P46&gt;0,N(G46)/P46,""),"")</f>
        <v>0.968127490039841</v>
      </c>
      <c r="W46" s="57">
        <f>IF(AC46=1,S46/M46,"")</f>
        <v>0.81</v>
      </c>
      <c r="X46" s="57">
        <f>IF(AC46=1,S46/K46,"")</f>
        <v>0.759375</v>
      </c>
      <c r="Y46" s="58" t="str">
        <f>IF(W46="","",IF(W46&gt;=p_target,"Bon",IF(W46&gt;=p_alert,"À surveiller","Faible")))</f>
        <v>Bon</v>
      </c>
      <c r="Z46" s="58" t="str">
        <f>IF(W46="","",IF(MIN(IF(T46="",1,T46),IF(U46="",1,U46),IF(V46="",1,V46))&gt;=1,"Aucune",IF(IF(T46="",1,T46)&lt;=MIN(IF(U46="",1,U46),IF(V46="",1,V46)),"Disponibilité",IF(IF(U46="",1,U46)&lt;=IF(V46="",1,V46),"Performance","Qualité"))))</f>
        <v>Disponibilité</v>
      </c>
      <c r="AA46" s="59">
        <f>IF(AC46=1,N(H46)*N(IFERROR(INDEX(art_cost,MATCH(E46,art_ref,0)),0)),"")</f>
        <v>312.0</v>
      </c>
      <c r="AB46" s="58" t="str">
        <f>IF(COUNTA(A46:I46)=0,"",IF(N(A46)&lt;=0,"Date manquante ou invalide",IF(B46="","Équipe manquante",IF(ISNA(MATCH(B46,eq_code,0)),"Équipe inconnue",IF(INDEX(eq_check,MATCH(B46,eq_code,0))&lt;&gt;"OK","Équipe à corriger dans Paramètres",IF(C46="","Poste manquant",IF(ISNA(MATCH(C46,po_code,0)),"Poste inconnu",IF(AND(E46&lt;&gt;"",ISNA(MATCH(E46,art_ref,0))),"Article inconnu",IF(IF(E46="",FALSE,INDEX(art_check,MATCH(E46,art_ref,0))&lt;&gt;"OK"),"Article à corriger (feuille Articles)",IF(COUNTIFS(sj_date,A46,sj_eq,B46,sj_po,C46)&gt;1,"Ligne en double (même jour, équipe et poste)",IF(OR(NOT(ISNUMBER(K46)),N(K46)&lt;=0,N(K46)&gt;1440),"Temps d'ouverture invalide",IF(OR(AND(G46&lt;&gt;"",NOT(ISNUMBER(G46))),N(G46)&lt;0,N(G46)&lt;&gt;INT(N(G46)),AND(H46&lt;&gt;"",NOT(ISNUMBER(H46))),N(H46)&lt;0,N(H46)&lt;&gt;INT(N(H46)),AND(I46&lt;&gt;"",NOT(ISNUMBER(I46))),N(I46)&lt;0,N(I46)&lt;&gt;INT(N(I46))),"Quantité invalide",IF(Q46&lt;=0,"Cadence manquante (poste ou article)",IF(M46&lt;=0,"Arrêts planifiés supérieurs au temps d'ouverture",IF(O46&lt;0,"Arrêts supérieurs au temps requis",IF(AND(P46&gt;0,O46=0),"Pièces déclarées sans temps de marche",IF(AND(P46=0,O46&gt;0),"Aucune pièce déclarée",IF(P46*60/Q46&gt;O46+0.001,"Cadence dépassée : vérifiez la cadence","OK"))))))))))))))))))</f>
        <v>OK</v>
      </c>
      <c r="AC46">
        <f>IF(OR(AB46="OK",AB46="Aucune pièce déclarée",AB46="Cadence dépassée : vérifiez la cadence"),1,0)</f>
        <v>1.0</v>
      </c>
      <c r="AD46">
        <f>IF(AND(AC46=1,A46&gt;=p_from,A46&lt;=p_to),1,0)</f>
        <v>1.0</v>
      </c>
      <c r="AE46">
        <f>IF(AD46=1,IF(COUNTIFS($A$6:A46,A46,$AD$6:AD46,1)=1,1,0),0)</f>
        <v>1.0</v>
      </c>
      <c r="AF46">
        <f>IF(AE46=1,COUNTIFS(sj_first,1,sj_date,"&lt;"&amp;A46)+1,"")</f>
        <v>5.0</v>
      </c>
      <c r="AG46" t="str">
        <f>IF(AND(AD46=1,N(W46)&lt;p_alert),ROUND(W46,4),"")</f>
        <v/>
      </c>
      <c r="AH46" t="str">
        <f>IF(AG46="","",COUNTIF(sj_akey,"&lt;"&amp;AG46)+COUNTIF($AG$6:AG46,AG46))</f>
        <v/>
      </c>
    </row>
    <row r="47">
      <c r="A47" s="51" t="n">
        <v>46290</v>
      </c>
      <c r="B47" s="52" t="inlineStr">
        <is>
          <t>Après-midi</t>
        </is>
      </c>
      <c r="C47" s="52" t="inlineStr">
        <is>
          <t>TOUR1</t>
        </is>
      </c>
      <c r="D47" s="53" t="inlineStr">
        <is>
          <t>OF-2609-119</t>
        </is>
      </c>
      <c r="E47" s="53" t="inlineStr">
        <is>
          <t>AXE-R20</t>
        </is>
      </c>
      <c r="F47" s="54" t="n"/>
      <c r="G47" s="54" t="n">
        <v>201</v>
      </c>
      <c r="H47" s="54" t="n">
        <v>5</v>
      </c>
      <c r="I47" s="54" t="n">
        <v>0</v>
      </c>
      <c r="J47" s="53" t="n"/>
      <c r="K47" s="55">
        <f>IF(COUNTA(A47:I47)=0,"",IF(F47="",IFERROR(INDEX(eq_dur,MATCH(B47,eq_code,0)),""),F47))</f>
        <v>480.0</v>
      </c>
      <c r="L47" s="55">
        <f>IF(ISNUMBER(K47),N(IFERROR(INDEX(eq_pause,MATCH(B47,eq_code,0)),0))+SUMIFS(st_min,st_date,A47,st_eq,B47,st_po,C47,st_type,"Planifié"),"")</f>
        <v>30.0</v>
      </c>
      <c r="M47" s="55">
        <f>IF(ISNUMBER(K47),K47-L47,"")</f>
        <v>450.0</v>
      </c>
      <c r="N47" s="55">
        <f>IF(ISNUMBER(K47),SUMIFS(st_min,st_date,A47,st_eq,B47,st_po,C47,st_type,"Non planifié"),"")</f>
        <v>0.0</v>
      </c>
      <c r="O47" s="55">
        <f>IF(ISNUMBER(K47),M47-N47,"")</f>
        <v>450.0</v>
      </c>
      <c r="P47" s="55">
        <f>IF(COUNTA(A47:I47)=0,"",N(G47)+N(H47)+N(I47))</f>
        <v>206.0</v>
      </c>
      <c r="Q47" s="56">
        <f>IF(COUNTA(A47:I47)=0,"",IF(N(IFERROR(INDEX(art_rate,MATCH(E47,art_ref,0)),0))&gt;0,N(IFERROR(INDEX(art_rate,MATCH(E47,art_ref,0)),0)),N(IFERROR(INDEX(po_rate,MATCH(C47,po_code,0)),0))))</f>
        <v>30.0</v>
      </c>
      <c r="R47" s="55">
        <f>IF(AC47=1,P47*60/Q47,"")</f>
        <v>412.0</v>
      </c>
      <c r="S47" s="55">
        <f>IF(AC47=1,N(G47)*60/Q47,"")</f>
        <v>402.0</v>
      </c>
      <c r="T47" s="57">
        <f>IF(AC47=1,O47/M47,"")</f>
        <v>1.0</v>
      </c>
      <c r="U47" s="57">
        <f>IF(AC47=1,IF(O47&gt;0,R47/O47,""),"")</f>
        <v>0.915555555555556</v>
      </c>
      <c r="V47" s="57">
        <f>IF(AC47=1,IF(P47&gt;0,N(G47)/P47,""),"")</f>
        <v>0.975728155339806</v>
      </c>
      <c r="W47" s="57">
        <f>IF(AC47=1,S47/M47,"")</f>
        <v>0.893333333333333</v>
      </c>
      <c r="X47" s="57">
        <f>IF(AC47=1,S47/K47,"")</f>
        <v>0.8375</v>
      </c>
      <c r="Y47" s="58" t="str">
        <f>IF(W47="","",IF(W47&gt;=p_target,"Bon",IF(W47&gt;=p_alert,"À surveiller","Faible")))</f>
        <v>Bon</v>
      </c>
      <c r="Z47" s="58" t="str">
        <f>IF(W47="","",IF(MIN(IF(T47="",1,T47),IF(U47="",1,U47),IF(V47="",1,V47))&gt;=1,"Aucune",IF(IF(T47="",1,T47)&lt;=MIN(IF(U47="",1,U47),IF(V47="",1,V47)),"Disponibilité",IF(IF(U47="",1,U47)&lt;=IF(V47="",1,V47),"Performance","Qualité"))))</f>
        <v>Performance</v>
      </c>
      <c r="AA47" s="59">
        <f>IF(AC47=1,N(H47)*N(IFERROR(INDEX(art_cost,MATCH(E47,art_ref,0)),0)),"")</f>
        <v>192.5</v>
      </c>
      <c r="AB47" s="58" t="str">
        <f>IF(COUNTA(A47:I47)=0,"",IF(N(A47)&lt;=0,"Date manquante ou invalide",IF(B47="","Équipe manquante",IF(ISNA(MATCH(B47,eq_code,0)),"Équipe inconnue",IF(INDEX(eq_check,MATCH(B47,eq_code,0))&lt;&gt;"OK","Équipe à corriger dans Paramètres",IF(C47="","Poste manquant",IF(ISNA(MATCH(C47,po_code,0)),"Poste inconnu",IF(AND(E47&lt;&gt;"",ISNA(MATCH(E47,art_ref,0))),"Article inconnu",IF(IF(E47="",FALSE,INDEX(art_check,MATCH(E47,art_ref,0))&lt;&gt;"OK"),"Article à corriger (feuille Articles)",IF(COUNTIFS(sj_date,A47,sj_eq,B47,sj_po,C47)&gt;1,"Ligne en double (même jour, équipe et poste)",IF(OR(NOT(ISNUMBER(K47)),N(K47)&lt;=0,N(K47)&gt;1440),"Temps d'ouverture invalide",IF(OR(AND(G47&lt;&gt;"",NOT(ISNUMBER(G47))),N(G47)&lt;0,N(G47)&lt;&gt;INT(N(G47)),AND(H47&lt;&gt;"",NOT(ISNUMBER(H47))),N(H47)&lt;0,N(H47)&lt;&gt;INT(N(H47)),AND(I47&lt;&gt;"",NOT(ISNUMBER(I47))),N(I47)&lt;0,N(I47)&lt;&gt;INT(N(I47))),"Quantité invalide",IF(Q47&lt;=0,"Cadence manquante (poste ou article)",IF(M47&lt;=0,"Arrêts planifiés supérieurs au temps d'ouverture",IF(O47&lt;0,"Arrêts supérieurs au temps requis",IF(AND(P47&gt;0,O47=0),"Pièces déclarées sans temps de marche",IF(AND(P47=0,O47&gt;0),"Aucune pièce déclarée",IF(P47*60/Q47&gt;O47+0.001,"Cadence dépassée : vérifiez la cadence","OK"))))))))))))))))))</f>
        <v>OK</v>
      </c>
      <c r="AC47">
        <f>IF(OR(AB47="OK",AB47="Aucune pièce déclarée",AB47="Cadence dépassée : vérifiez la cadence"),1,0)</f>
        <v>1.0</v>
      </c>
      <c r="AD47">
        <f>IF(AND(AC47=1,A47&gt;=p_from,A47&lt;=p_to),1,0)</f>
        <v>1.0</v>
      </c>
      <c r="AE47">
        <f>IF(AD47=1,IF(COUNTIFS($A$6:A47,A47,$AD$6:AD47,1)=1,1,0),0)</f>
        <v>0.0</v>
      </c>
      <c r="AF47" t="str">
        <f>IF(AE47=1,COUNTIFS(sj_first,1,sj_date,"&lt;"&amp;A47)+1,"")</f>
        <v/>
      </c>
      <c r="AG47" t="str">
        <f>IF(AND(AD47=1,N(W47)&lt;p_alert),ROUND(W47,4),"")</f>
        <v/>
      </c>
      <c r="AH47" t="str">
        <f>IF(AG47="","",COUNTIF(sj_akey,"&lt;"&amp;AG47)+COUNTIF($AG$6:AG47,AG47))</f>
        <v/>
      </c>
    </row>
    <row r="48">
      <c r="A48" s="51" t="n">
        <v>46290</v>
      </c>
      <c r="B48" s="52" t="inlineStr">
        <is>
          <t>Matin</t>
        </is>
      </c>
      <c r="C48" s="52" t="inlineStr">
        <is>
          <t>TOUR2</t>
        </is>
      </c>
      <c r="D48" s="53" t="inlineStr">
        <is>
          <t>OF-2609-116</t>
        </is>
      </c>
      <c r="E48" s="53" t="inlineStr">
        <is>
          <t>AXE-R20</t>
        </is>
      </c>
      <c r="F48" s="54" t="n">
        <v>240</v>
      </c>
      <c r="G48" s="54" t="n">
        <v>86</v>
      </c>
      <c r="H48" s="54" t="n">
        <v>1</v>
      </c>
      <c r="I48" s="54" t="n">
        <v>0</v>
      </c>
      <c r="J48" s="53" t="n"/>
      <c r="K48" s="55">
        <f>IF(COUNTA(A48:I48)=0,"",IF(F48="",IFERROR(INDEX(eq_dur,MATCH(B48,eq_code,0)),""),F48))</f>
        <v>240.0</v>
      </c>
      <c r="L48" s="55">
        <f>IF(ISNUMBER(K48),N(IFERROR(INDEX(eq_pause,MATCH(B48,eq_code,0)),0))+SUMIFS(st_min,st_date,A48,st_eq,B48,st_po,C48,st_type,"Planifié"),"")</f>
        <v>30.0</v>
      </c>
      <c r="M48" s="55">
        <f>IF(ISNUMBER(K48),K48-L48,"")</f>
        <v>210.0</v>
      </c>
      <c r="N48" s="55">
        <f>IF(ISNUMBER(K48),SUMIFS(st_min,st_date,A48,st_eq,B48,st_po,C48,st_type,"Non planifié"),"")</f>
        <v>0.0</v>
      </c>
      <c r="O48" s="55">
        <f>IF(ISNUMBER(K48),M48-N48,"")</f>
        <v>210.0</v>
      </c>
      <c r="P48" s="55">
        <f>IF(COUNTA(A48:I48)=0,"",N(G48)+N(H48)+N(I48))</f>
        <v>87.0</v>
      </c>
      <c r="Q48" s="56">
        <f>IF(COUNTA(A48:I48)=0,"",IF(N(IFERROR(INDEX(art_rate,MATCH(E48,art_ref,0)),0))&gt;0,N(IFERROR(INDEX(art_rate,MATCH(E48,art_ref,0)),0)),N(IFERROR(INDEX(po_rate,MATCH(C48,po_code,0)),0))))</f>
        <v>30.0</v>
      </c>
      <c r="R48" s="55">
        <f>IF(AC48=1,P48*60/Q48,"")</f>
        <v>174.0</v>
      </c>
      <c r="S48" s="55">
        <f>IF(AC48=1,N(G48)*60/Q48,"")</f>
        <v>172.0</v>
      </c>
      <c r="T48" s="57">
        <f>IF(AC48=1,O48/M48,"")</f>
        <v>1.0</v>
      </c>
      <c r="U48" s="57">
        <f>IF(AC48=1,IF(O48&gt;0,R48/O48,""),"")</f>
        <v>0.828571428571429</v>
      </c>
      <c r="V48" s="57">
        <f>IF(AC48=1,IF(P48&gt;0,N(G48)/P48,""),"")</f>
        <v>0.988505747126437</v>
      </c>
      <c r="W48" s="57">
        <f>IF(AC48=1,S48/M48,"")</f>
        <v>0.819047619047619</v>
      </c>
      <c r="X48" s="57">
        <f>IF(AC48=1,S48/K48,"")</f>
        <v>0.716666666666667</v>
      </c>
      <c r="Y48" s="58" t="str">
        <f>IF(W48="","",IF(W48&gt;=p_target,"Bon",IF(W48&gt;=p_alert,"À surveiller","Faible")))</f>
        <v>Bon</v>
      </c>
      <c r="Z48" s="58" t="str">
        <f>IF(W48="","",IF(MIN(IF(T48="",1,T48),IF(U48="",1,U48),IF(V48="",1,V48))&gt;=1,"Aucune",IF(IF(T48="",1,T48)&lt;=MIN(IF(U48="",1,U48),IF(V48="",1,V48)),"Disponibilité",IF(IF(U48="",1,U48)&lt;=IF(V48="",1,V48),"Performance","Qualité"))))</f>
        <v>Performance</v>
      </c>
      <c r="AA48" s="59">
        <f>IF(AC48=1,N(H48)*N(IFERROR(INDEX(art_cost,MATCH(E48,art_ref,0)),0)),"")</f>
        <v>38.5</v>
      </c>
      <c r="AB48" s="58" t="str">
        <f>IF(COUNTA(A48:I48)=0,"",IF(N(A48)&lt;=0,"Date manquante ou invalide",IF(B48="","Équipe manquante",IF(ISNA(MATCH(B48,eq_code,0)),"Équipe inconnue",IF(INDEX(eq_check,MATCH(B48,eq_code,0))&lt;&gt;"OK","Équipe à corriger dans Paramètres",IF(C48="","Poste manquant",IF(ISNA(MATCH(C48,po_code,0)),"Poste inconnu",IF(AND(E48&lt;&gt;"",ISNA(MATCH(E48,art_ref,0))),"Article inconnu",IF(IF(E48="",FALSE,INDEX(art_check,MATCH(E48,art_ref,0))&lt;&gt;"OK"),"Article à corriger (feuille Articles)",IF(COUNTIFS(sj_date,A48,sj_eq,B48,sj_po,C48)&gt;1,"Ligne en double (même jour, équipe et poste)",IF(OR(NOT(ISNUMBER(K48)),N(K48)&lt;=0,N(K48)&gt;1440),"Temps d'ouverture invalide",IF(OR(AND(G48&lt;&gt;"",NOT(ISNUMBER(G48))),N(G48)&lt;0,N(G48)&lt;&gt;INT(N(G48)),AND(H48&lt;&gt;"",NOT(ISNUMBER(H48))),N(H48)&lt;0,N(H48)&lt;&gt;INT(N(H48)),AND(I48&lt;&gt;"",NOT(ISNUMBER(I48))),N(I48)&lt;0,N(I48)&lt;&gt;INT(N(I48))),"Quantité invalide",IF(Q48&lt;=0,"Cadence manquante (poste ou article)",IF(M48&lt;=0,"Arrêts planifiés supérieurs au temps d'ouverture",IF(O48&lt;0,"Arrêts supérieurs au temps requis",IF(AND(P48&gt;0,O48=0),"Pièces déclarées sans temps de marche",IF(AND(P48=0,O48&gt;0),"Aucune pièce déclarée",IF(P48*60/Q48&gt;O48+0.001,"Cadence dépassée : vérifiez la cadence","OK"))))))))))))))))))</f>
        <v>OK</v>
      </c>
      <c r="AC48">
        <f>IF(OR(AB48="OK",AB48="Aucune pièce déclarée",AB48="Cadence dépassée : vérifiez la cadence"),1,0)</f>
        <v>1.0</v>
      </c>
      <c r="AD48">
        <f>IF(AND(AC48=1,A48&gt;=p_from,A48&lt;=p_to),1,0)</f>
        <v>1.0</v>
      </c>
      <c r="AE48">
        <f>IF(AD48=1,IF(COUNTIFS($A$6:A48,A48,$AD$6:AD48,1)=1,1,0),0)</f>
        <v>0.0</v>
      </c>
      <c r="AF48" t="str">
        <f>IF(AE48=1,COUNTIFS(sj_first,1,sj_date,"&lt;"&amp;A48)+1,"")</f>
        <v/>
      </c>
      <c r="AG48" t="str">
        <f>IF(AND(AD48=1,N(W48)&lt;p_alert),ROUND(W48,4),"")</f>
        <v/>
      </c>
      <c r="AH48" t="str">
        <f>IF(AG48="","",COUNTIF(sj_akey,"&lt;"&amp;AG48)+COUNTIF($AG$6:AG48,AG48))</f>
        <v/>
      </c>
    </row>
    <row r="49">
      <c r="A49" s="51" t="n">
        <v>46290</v>
      </c>
      <c r="B49" s="52" t="inlineStr">
        <is>
          <t>Après-midi</t>
        </is>
      </c>
      <c r="C49" s="52" t="inlineStr">
        <is>
          <t>TOUR2</t>
        </is>
      </c>
      <c r="D49" s="53" t="inlineStr">
        <is>
          <t>OF-2609-120</t>
        </is>
      </c>
      <c r="E49" s="53" t="inlineStr">
        <is>
          <t>ENT-12</t>
        </is>
      </c>
      <c r="F49" s="54" t="n"/>
      <c r="G49" s="54" t="n">
        <v>324</v>
      </c>
      <c r="H49" s="54" t="n">
        <v>6</v>
      </c>
      <c r="I49" s="54" t="n">
        <v>3</v>
      </c>
      <c r="J49" s="53" t="n"/>
      <c r="K49" s="55">
        <f>IF(COUNTA(A49:I49)=0,"",IF(F49="",IFERROR(INDEX(eq_dur,MATCH(B49,eq_code,0)),""),F49))</f>
        <v>480.0</v>
      </c>
      <c r="L49" s="55">
        <f>IF(ISNUMBER(K49),N(IFERROR(INDEX(eq_pause,MATCH(B49,eq_code,0)),0))+SUMIFS(st_min,st_date,A49,st_eq,B49,st_po,C49,st_type,"Planifié"),"")</f>
        <v>30.0</v>
      </c>
      <c r="M49" s="55">
        <f>IF(ISNUMBER(K49),K49-L49,"")</f>
        <v>450.0</v>
      </c>
      <c r="N49" s="55">
        <f>IF(ISNUMBER(K49),SUMIFS(st_min,st_date,A49,st_eq,B49,st_po,C49,st_type,"Non planifié"),"")</f>
        <v>66.0</v>
      </c>
      <c r="O49" s="55">
        <f>IF(ISNUMBER(K49),M49-N49,"")</f>
        <v>384.0</v>
      </c>
      <c r="P49" s="55">
        <f>IF(COUNTA(A49:I49)=0,"",N(G49)+N(H49)+N(I49))</f>
        <v>333.0</v>
      </c>
      <c r="Q49" s="56">
        <f>IF(COUNTA(A49:I49)=0,"",IF(N(IFERROR(INDEX(art_rate,MATCH(E49,art_ref,0)),0))&gt;0,N(IFERROR(INDEX(art_rate,MATCH(E49,art_ref,0)),0)),N(IFERROR(INDEX(po_rate,MATCH(C49,po_code,0)),0))))</f>
        <v>55.0</v>
      </c>
      <c r="R49" s="55">
        <f>IF(AC49=1,P49*60/Q49,"")</f>
        <v>363.272727272727</v>
      </c>
      <c r="S49" s="55">
        <f>IF(AC49=1,N(G49)*60/Q49,"")</f>
        <v>353.454545454545</v>
      </c>
      <c r="T49" s="57">
        <f>IF(AC49=1,O49/M49,"")</f>
        <v>0.853333333333333</v>
      </c>
      <c r="U49" s="57">
        <f>IF(AC49=1,IF(O49&gt;0,R49/O49,""),"")</f>
        <v>0.946022727272727</v>
      </c>
      <c r="V49" s="57">
        <f>IF(AC49=1,IF(P49&gt;0,N(G49)/P49,""),"")</f>
        <v>0.972972972972973</v>
      </c>
      <c r="W49" s="57">
        <f>IF(AC49=1,S49/M49,"")</f>
        <v>0.785454545454545</v>
      </c>
      <c r="X49" s="57">
        <f>IF(AC49=1,S49/K49,"")</f>
        <v>0.736363636363636</v>
      </c>
      <c r="Y49" s="58" t="str">
        <f>IF(W49="","",IF(W49&gt;=p_target,"Bon",IF(W49&gt;=p_alert,"À surveiller","Faible")))</f>
        <v>Bon</v>
      </c>
      <c r="Z49" s="58" t="str">
        <f>IF(W49="","",IF(MIN(IF(T49="",1,T49),IF(U49="",1,U49),IF(V49="",1,V49))&gt;=1,"Aucune",IF(IF(T49="",1,T49)&lt;=MIN(IF(U49="",1,U49),IF(V49="",1,V49)),"Disponibilité",IF(IF(U49="",1,U49)&lt;=IF(V49="",1,V49),"Performance","Qualité"))))</f>
        <v>Disponibilité</v>
      </c>
      <c r="AA49" s="59">
        <f>IF(AC49=1,N(H49)*N(IFERROR(INDEX(art_cost,MATCH(E49,art_ref,0)),0)),"")</f>
        <v>40.8</v>
      </c>
      <c r="AB49" s="58" t="str">
        <f>IF(COUNTA(A49:I49)=0,"",IF(N(A49)&lt;=0,"Date manquante ou invalide",IF(B49="","Équipe manquante",IF(ISNA(MATCH(B49,eq_code,0)),"Équipe inconnue",IF(INDEX(eq_check,MATCH(B49,eq_code,0))&lt;&gt;"OK","Équipe à corriger dans Paramètres",IF(C49="","Poste manquant",IF(ISNA(MATCH(C49,po_code,0)),"Poste inconnu",IF(AND(E49&lt;&gt;"",ISNA(MATCH(E49,art_ref,0))),"Article inconnu",IF(IF(E49="",FALSE,INDEX(art_check,MATCH(E49,art_ref,0))&lt;&gt;"OK"),"Article à corriger (feuille Articles)",IF(COUNTIFS(sj_date,A49,sj_eq,B49,sj_po,C49)&gt;1,"Ligne en double (même jour, équipe et poste)",IF(OR(NOT(ISNUMBER(K49)),N(K49)&lt;=0,N(K49)&gt;1440),"Temps d'ouverture invalide",IF(OR(AND(G49&lt;&gt;"",NOT(ISNUMBER(G49))),N(G49)&lt;0,N(G49)&lt;&gt;INT(N(G49)),AND(H49&lt;&gt;"",NOT(ISNUMBER(H49))),N(H49)&lt;0,N(H49)&lt;&gt;INT(N(H49)),AND(I49&lt;&gt;"",NOT(ISNUMBER(I49))),N(I49)&lt;0,N(I49)&lt;&gt;INT(N(I49))),"Quantité invalide",IF(Q49&lt;=0,"Cadence manquante (poste ou article)",IF(M49&lt;=0,"Arrêts planifiés supérieurs au temps d'ouverture",IF(O49&lt;0,"Arrêts supérieurs au temps requis",IF(AND(P49&gt;0,O49=0),"Pièces déclarées sans temps de marche",IF(AND(P49=0,O49&gt;0),"Aucune pièce déclarée",IF(P49*60/Q49&gt;O49+0.001,"Cadence dépassée : vérifiez la cadence","OK"))))))))))))))))))</f>
        <v>OK</v>
      </c>
      <c r="AC49">
        <f>IF(OR(AB49="OK",AB49="Aucune pièce déclarée",AB49="Cadence dépassée : vérifiez la cadence"),1,0)</f>
        <v>1.0</v>
      </c>
      <c r="AD49">
        <f>IF(AND(AC49=1,A49&gt;=p_from,A49&lt;=p_to),1,0)</f>
        <v>1.0</v>
      </c>
      <c r="AE49">
        <f>IF(AD49=1,IF(COUNTIFS($A$6:A49,A49,$AD$6:AD49,1)=1,1,0),0)</f>
        <v>0.0</v>
      </c>
      <c r="AF49" t="str">
        <f>IF(AE49=1,COUNTIFS(sj_first,1,sj_date,"&lt;"&amp;A49)+1,"")</f>
        <v/>
      </c>
      <c r="AG49" t="str">
        <f>IF(AND(AD49=1,N(W49)&lt;p_alert),ROUND(W49,4),"")</f>
        <v/>
      </c>
      <c r="AH49" t="str">
        <f>IF(AG49="","",COUNTIF(sj_akey,"&lt;"&amp;AG49)+COUNTIF($AG$6:AG49,AG49))</f>
        <v/>
      </c>
    </row>
    <row r="50">
      <c r="A50" s="51" t="n">
        <v>46290</v>
      </c>
      <c r="B50" s="52" t="inlineStr">
        <is>
          <t>Matin</t>
        </is>
      </c>
      <c r="C50" s="52" t="inlineStr">
        <is>
          <t>USIN</t>
        </is>
      </c>
      <c r="D50" s="53" t="inlineStr">
        <is>
          <t>OF-2609-123</t>
        </is>
      </c>
      <c r="E50" s="53" t="inlineStr">
        <is>
          <t>CAR-BOI-04</t>
        </is>
      </c>
      <c r="F50" s="54" t="n"/>
      <c r="G50" s="54" t="n">
        <v>33</v>
      </c>
      <c r="H50" s="54" t="n">
        <v>1</v>
      </c>
      <c r="I50" s="54" t="n">
        <v>0</v>
      </c>
      <c r="J50" s="53" t="n"/>
      <c r="K50" s="55">
        <f>IF(COUNTA(A50:I50)=0,"",IF(F50="",IFERROR(INDEX(eq_dur,MATCH(B50,eq_code,0)),""),F50))</f>
        <v>480.0</v>
      </c>
      <c r="L50" s="55">
        <f>IF(ISNUMBER(K50),N(IFERROR(INDEX(eq_pause,MATCH(B50,eq_code,0)),0))+SUMIFS(st_min,st_date,A50,st_eq,B50,st_po,C50,st_type,"Planifié"),"")</f>
        <v>30.0</v>
      </c>
      <c r="M50" s="55">
        <f>IF(ISNUMBER(K50),K50-L50,"")</f>
        <v>450.0</v>
      </c>
      <c r="N50" s="55">
        <f>IF(ISNUMBER(K50),SUMIFS(st_min,st_date,A50,st_eq,B50,st_po,C50,st_type,"Non planifié"),"")</f>
        <v>86.0</v>
      </c>
      <c r="O50" s="55">
        <f>IF(ISNUMBER(K50),M50-N50,"")</f>
        <v>364.0</v>
      </c>
      <c r="P50" s="55">
        <f>IF(COUNTA(A50:I50)=0,"",N(G50)+N(H50)+N(I50))</f>
        <v>34.0</v>
      </c>
      <c r="Q50" s="56">
        <f>IF(COUNTA(A50:I50)=0,"",IF(N(IFERROR(INDEX(art_rate,MATCH(E50,art_ref,0)),0))&gt;0,N(IFERROR(INDEX(art_rate,MATCH(E50,art_ref,0)),0)),N(IFERROR(INDEX(po_rate,MATCH(C50,po_code,0)),0))))</f>
        <v>6.0</v>
      </c>
      <c r="R50" s="55">
        <f>IF(AC50=1,P50*60/Q50,"")</f>
        <v>340.0</v>
      </c>
      <c r="S50" s="55">
        <f>IF(AC50=1,N(G50)*60/Q50,"")</f>
        <v>330.0</v>
      </c>
      <c r="T50" s="57">
        <f>IF(AC50=1,O50/M50,"")</f>
        <v>0.808888888888889</v>
      </c>
      <c r="U50" s="57">
        <f>IF(AC50=1,IF(O50&gt;0,R50/O50,""),"")</f>
        <v>0.934065934065934</v>
      </c>
      <c r="V50" s="57">
        <f>IF(AC50=1,IF(P50&gt;0,N(G50)/P50,""),"")</f>
        <v>0.970588235294118</v>
      </c>
      <c r="W50" s="57">
        <f>IF(AC50=1,S50/M50,"")</f>
        <v>0.733333333333333</v>
      </c>
      <c r="X50" s="57">
        <f>IF(AC50=1,S50/K50,"")</f>
        <v>0.6875</v>
      </c>
      <c r="Y50" s="58" t="str">
        <f>IF(W50="","",IF(W50&gt;=p_target,"Bon",IF(W50&gt;=p_alert,"À surveiller","Faible")))</f>
        <v>À surveiller</v>
      </c>
      <c r="Z50" s="58" t="str">
        <f>IF(W50="","",IF(MIN(IF(T50="",1,T50),IF(U50="",1,U50),IF(V50="",1,V50))&gt;=1,"Aucune",IF(IF(T50="",1,T50)&lt;=MIN(IF(U50="",1,U50),IF(V50="",1,V50)),"Disponibilité",IF(IF(U50="",1,U50)&lt;=IF(V50="",1,V50),"Performance","Qualité"))))</f>
        <v>Disponibilité</v>
      </c>
      <c r="AA50" s="59">
        <f>IF(AC50=1,N(H50)*N(IFERROR(INDEX(art_cost,MATCH(E50,art_ref,0)),0)),"")</f>
        <v>610.0</v>
      </c>
      <c r="AB50" s="58" t="str">
        <f>IF(COUNTA(A50:I50)=0,"",IF(N(A50)&lt;=0,"Date manquante ou invalide",IF(B50="","Équipe manquante",IF(ISNA(MATCH(B50,eq_code,0)),"Équipe inconnue",IF(INDEX(eq_check,MATCH(B50,eq_code,0))&lt;&gt;"OK","Équipe à corriger dans Paramètres",IF(C50="","Poste manquant",IF(ISNA(MATCH(C50,po_code,0)),"Poste inconnu",IF(AND(E50&lt;&gt;"",ISNA(MATCH(E50,art_ref,0))),"Article inconnu",IF(IF(E50="",FALSE,INDEX(art_check,MATCH(E50,art_ref,0))&lt;&gt;"OK"),"Article à corriger (feuille Articles)",IF(COUNTIFS(sj_date,A50,sj_eq,B50,sj_po,C50)&gt;1,"Ligne en double (même jour, équipe et poste)",IF(OR(NOT(ISNUMBER(K50)),N(K50)&lt;=0,N(K50)&gt;1440),"Temps d'ouverture invalide",IF(OR(AND(G50&lt;&gt;"",NOT(ISNUMBER(G50))),N(G50)&lt;0,N(G50)&lt;&gt;INT(N(G50)),AND(H50&lt;&gt;"",NOT(ISNUMBER(H50))),N(H50)&lt;0,N(H50)&lt;&gt;INT(N(H50)),AND(I50&lt;&gt;"",NOT(ISNUMBER(I50))),N(I50)&lt;0,N(I50)&lt;&gt;INT(N(I50))),"Quantité invalide",IF(Q50&lt;=0,"Cadence manquante (poste ou article)",IF(M50&lt;=0,"Arrêts planifiés supérieurs au temps d'ouverture",IF(O50&lt;0,"Arrêts supérieurs au temps requis",IF(AND(P50&gt;0,O50=0),"Pièces déclarées sans temps de marche",IF(AND(P50=0,O50&gt;0),"Aucune pièce déclarée",IF(P50*60/Q50&gt;O50+0.001,"Cadence dépassée : vérifiez la cadence","OK"))))))))))))))))))</f>
        <v>OK</v>
      </c>
      <c r="AC50">
        <f>IF(OR(AB50="OK",AB50="Aucune pièce déclarée",AB50="Cadence dépassée : vérifiez la cadence"),1,0)</f>
        <v>1.0</v>
      </c>
      <c r="AD50">
        <f>IF(AND(AC50=1,A50&gt;=p_from,A50&lt;=p_to),1,0)</f>
        <v>1.0</v>
      </c>
      <c r="AE50">
        <f>IF(AD50=1,IF(COUNTIFS($A$6:A50,A50,$AD$6:AD50,1)=1,1,0),0)</f>
        <v>0.0</v>
      </c>
      <c r="AF50" t="str">
        <f>IF(AE50=1,COUNTIFS(sj_first,1,sj_date,"&lt;"&amp;A50)+1,"")</f>
        <v/>
      </c>
      <c r="AG50" t="str">
        <f>IF(AND(AD50=1,N(W50)&lt;p_alert),ROUND(W50,4),"")</f>
        <v/>
      </c>
      <c r="AH50" t="str">
        <f>IF(AG50="","",COUNTIF(sj_akey,"&lt;"&amp;AG50)+COUNTIF($AG$6:AG50,AG50))</f>
        <v/>
      </c>
    </row>
    <row r="51">
      <c r="A51" s="51" t="n">
        <v>46290</v>
      </c>
      <c r="B51" s="52" t="inlineStr">
        <is>
          <t>Après-midi</t>
        </is>
      </c>
      <c r="C51" s="52" t="inlineStr">
        <is>
          <t>USIN</t>
        </is>
      </c>
      <c r="D51" s="53" t="inlineStr">
        <is>
          <t>OF-2609-124</t>
        </is>
      </c>
      <c r="E51" s="53" t="inlineStr">
        <is>
          <t>CAR-BOI-04</t>
        </is>
      </c>
      <c r="F51" s="54" t="n"/>
      <c r="G51" s="54" t="n">
        <v>25</v>
      </c>
      <c r="H51" s="54" t="n">
        <v>0</v>
      </c>
      <c r="I51" s="54" t="n">
        <v>0</v>
      </c>
      <c r="J51" s="53" t="n"/>
      <c r="K51" s="55">
        <f>IF(COUNTA(A51:I51)=0,"",IF(F51="",IFERROR(INDEX(eq_dur,MATCH(B51,eq_code,0)),""),F51))</f>
        <v>480.0</v>
      </c>
      <c r="L51" s="55">
        <f>IF(ISNUMBER(K51),N(IFERROR(INDEX(eq_pause,MATCH(B51,eq_code,0)),0))+SUMIFS(st_min,st_date,A51,st_eq,B51,st_po,C51,st_type,"Planifié"),"")</f>
        <v>30.0</v>
      </c>
      <c r="M51" s="55">
        <f>IF(ISNUMBER(K51),K51-L51,"")</f>
        <v>450.0</v>
      </c>
      <c r="N51" s="55">
        <f>IF(ISNUMBER(K51),SUMIFS(st_min,st_date,A51,st_eq,B51,st_po,C51,st_type,"Non planifié"),"")</f>
        <v>179.0</v>
      </c>
      <c r="O51" s="55">
        <f>IF(ISNUMBER(K51),M51-N51,"")</f>
        <v>271.0</v>
      </c>
      <c r="P51" s="55">
        <f>IF(COUNTA(A51:I51)=0,"",N(G51)+N(H51)+N(I51))</f>
        <v>25.0</v>
      </c>
      <c r="Q51" s="56">
        <f>IF(COUNTA(A51:I51)=0,"",IF(N(IFERROR(INDEX(art_rate,MATCH(E51,art_ref,0)),0))&gt;0,N(IFERROR(INDEX(art_rate,MATCH(E51,art_ref,0)),0)),N(IFERROR(INDEX(po_rate,MATCH(C51,po_code,0)),0))))</f>
        <v>6.0</v>
      </c>
      <c r="R51" s="55">
        <f>IF(AC51=1,P51*60/Q51,"")</f>
        <v>250.0</v>
      </c>
      <c r="S51" s="55">
        <f>IF(AC51=1,N(G51)*60/Q51,"")</f>
        <v>250.0</v>
      </c>
      <c r="T51" s="57">
        <f>IF(AC51=1,O51/M51,"")</f>
        <v>0.602222222222222</v>
      </c>
      <c r="U51" s="57">
        <f>IF(AC51=1,IF(O51&gt;0,R51/O51,""),"")</f>
        <v>0.922509225092251</v>
      </c>
      <c r="V51" s="57">
        <f>IF(AC51=1,IF(P51&gt;0,N(G51)/P51,""),"")</f>
        <v>1.0</v>
      </c>
      <c r="W51" s="57">
        <f>IF(AC51=1,S51/M51,"")</f>
        <v>0.555555555555556</v>
      </c>
      <c r="X51" s="57">
        <f>IF(AC51=1,S51/K51,"")</f>
        <v>0.520833333333333</v>
      </c>
      <c r="Y51" s="58" t="str">
        <f>IF(W51="","",IF(W51&gt;=p_target,"Bon",IF(W51&gt;=p_alert,"À surveiller","Faible")))</f>
        <v>À surveiller</v>
      </c>
      <c r="Z51" s="58" t="str">
        <f>IF(W51="","",IF(MIN(IF(T51="",1,T51),IF(U51="",1,U51),IF(V51="",1,V51))&gt;=1,"Aucune",IF(IF(T51="",1,T51)&lt;=MIN(IF(U51="",1,U51),IF(V51="",1,V51)),"Disponibilité",IF(IF(U51="",1,U51)&lt;=IF(V51="",1,V51),"Performance","Qualité"))))</f>
        <v>Disponibilité</v>
      </c>
      <c r="AA51" s="59">
        <f>IF(AC51=1,N(H51)*N(IFERROR(INDEX(art_cost,MATCH(E51,art_ref,0)),0)),"")</f>
        <v>0.0</v>
      </c>
      <c r="AB51" s="58" t="str">
        <f>IF(COUNTA(A51:I51)=0,"",IF(N(A51)&lt;=0,"Date manquante ou invalide",IF(B51="","Équipe manquante",IF(ISNA(MATCH(B51,eq_code,0)),"Équipe inconnue",IF(INDEX(eq_check,MATCH(B51,eq_code,0))&lt;&gt;"OK","Équipe à corriger dans Paramètres",IF(C51="","Poste manquant",IF(ISNA(MATCH(C51,po_code,0)),"Poste inconnu",IF(AND(E51&lt;&gt;"",ISNA(MATCH(E51,art_ref,0))),"Article inconnu",IF(IF(E51="",FALSE,INDEX(art_check,MATCH(E51,art_ref,0))&lt;&gt;"OK"),"Article à corriger (feuille Articles)",IF(COUNTIFS(sj_date,A51,sj_eq,B51,sj_po,C51)&gt;1,"Ligne en double (même jour, équipe et poste)",IF(OR(NOT(ISNUMBER(K51)),N(K51)&lt;=0,N(K51)&gt;1440),"Temps d'ouverture invalide",IF(OR(AND(G51&lt;&gt;"",NOT(ISNUMBER(G51))),N(G51)&lt;0,N(G51)&lt;&gt;INT(N(G51)),AND(H51&lt;&gt;"",NOT(ISNUMBER(H51))),N(H51)&lt;0,N(H51)&lt;&gt;INT(N(H51)),AND(I51&lt;&gt;"",NOT(ISNUMBER(I51))),N(I51)&lt;0,N(I51)&lt;&gt;INT(N(I51))),"Quantité invalide",IF(Q51&lt;=0,"Cadence manquante (poste ou article)",IF(M51&lt;=0,"Arrêts planifiés supérieurs au temps d'ouverture",IF(O51&lt;0,"Arrêts supérieurs au temps requis",IF(AND(P51&gt;0,O51=0),"Pièces déclarées sans temps de marche",IF(AND(P51=0,O51&gt;0),"Aucune pièce déclarée",IF(P51*60/Q51&gt;O51+0.001,"Cadence dépassée : vérifiez la cadence","OK"))))))))))))))))))</f>
        <v>OK</v>
      </c>
      <c r="AC51">
        <f>IF(OR(AB51="OK",AB51="Aucune pièce déclarée",AB51="Cadence dépassée : vérifiez la cadence"),1,0)</f>
        <v>1.0</v>
      </c>
      <c r="AD51">
        <f>IF(AND(AC51=1,A51&gt;=p_from,A51&lt;=p_to),1,0)</f>
        <v>1.0</v>
      </c>
      <c r="AE51">
        <f>IF(AD51=1,IF(COUNTIFS($A$6:A51,A51,$AD$6:AD51,1)=1,1,0),0)</f>
        <v>0.0</v>
      </c>
      <c r="AF51" t="str">
        <f>IF(AE51=1,COUNTIFS(sj_first,1,sj_date,"&lt;"&amp;A51)+1,"")</f>
        <v/>
      </c>
      <c r="AG51" t="str">
        <f>IF(AND(AD51=1,N(W51)&lt;p_alert),ROUND(W51,4),"")</f>
        <v/>
      </c>
      <c r="AH51" t="str">
        <f>IF(AG51="","",COUNTIF(sj_akey,"&lt;"&amp;AG51)+COUNTIF($AG$6:AG51,AG51))</f>
        <v/>
      </c>
    </row>
    <row r="52">
      <c r="A52" s="51" t="n">
        <v>46290</v>
      </c>
      <c r="B52" s="52" t="inlineStr">
        <is>
          <t>Matin</t>
        </is>
      </c>
      <c r="C52" s="52" t="inlineStr">
        <is>
          <t>PRESSE</t>
        </is>
      </c>
      <c r="D52" s="53" t="inlineStr">
        <is>
          <t>OF-2609-125</t>
        </is>
      </c>
      <c r="E52" s="53" t="inlineStr">
        <is>
          <t>RON-M10</t>
        </is>
      </c>
      <c r="F52" s="54" t="n"/>
      <c r="G52" s="54" t="n">
        <v>3884</v>
      </c>
      <c r="H52" s="54" t="n">
        <v>16</v>
      </c>
      <c r="I52" s="54" t="n">
        <v>58</v>
      </c>
      <c r="J52" s="53" t="n"/>
      <c r="K52" s="55">
        <f>IF(COUNTA(A52:I52)=0,"",IF(F52="",IFERROR(INDEX(eq_dur,MATCH(B52,eq_code,0)),""),F52))</f>
        <v>480.0</v>
      </c>
      <c r="L52" s="55">
        <f>IF(ISNUMBER(K52),N(IFERROR(INDEX(eq_pause,MATCH(B52,eq_code,0)),0))+SUMIFS(st_min,st_date,A52,st_eq,B52,st_po,C52,st_type,"Planifié"),"")</f>
        <v>30.0</v>
      </c>
      <c r="M52" s="55">
        <f>IF(ISNUMBER(K52),K52-L52,"")</f>
        <v>450.0</v>
      </c>
      <c r="N52" s="55">
        <f>IF(ISNUMBER(K52),SUMIFS(st_min,st_date,A52,st_eq,B52,st_po,C52,st_type,"Non planifié"),"")</f>
        <v>37.0</v>
      </c>
      <c r="O52" s="55">
        <f>IF(ISNUMBER(K52),M52-N52,"")</f>
        <v>413.0</v>
      </c>
      <c r="P52" s="55">
        <f>IF(COUNTA(A52:I52)=0,"",N(G52)+N(H52)+N(I52))</f>
        <v>3958.0</v>
      </c>
      <c r="Q52" s="56">
        <f>IF(COUNTA(A52:I52)=0,"",IF(N(IFERROR(INDEX(art_rate,MATCH(E52,art_ref,0)),0))&gt;0,N(IFERROR(INDEX(art_rate,MATCH(E52,art_ref,0)),0)),N(IFERROR(INDEX(po_rate,MATCH(C52,po_code,0)),0))))</f>
        <v>600.0</v>
      </c>
      <c r="R52" s="55">
        <f>IF(AC52=1,P52*60/Q52,"")</f>
        <v>395.8</v>
      </c>
      <c r="S52" s="55">
        <f>IF(AC52=1,N(G52)*60/Q52,"")</f>
        <v>388.4</v>
      </c>
      <c r="T52" s="57">
        <f>IF(AC52=1,O52/M52,"")</f>
        <v>0.917777777777778</v>
      </c>
      <c r="U52" s="57">
        <f>IF(AC52=1,IF(O52&gt;0,R52/O52,""),"")</f>
        <v>0.958353510895884</v>
      </c>
      <c r="V52" s="57">
        <f>IF(AC52=1,IF(P52&gt;0,N(G52)/P52,""),"")</f>
        <v>0.981303688731683</v>
      </c>
      <c r="W52" s="57">
        <f>IF(AC52=1,S52/M52,"")</f>
        <v>0.863111111111111</v>
      </c>
      <c r="X52" s="57">
        <f>IF(AC52=1,S52/K52,"")</f>
        <v>0.809166666666667</v>
      </c>
      <c r="Y52" s="58" t="str">
        <f>IF(W52="","",IF(W52&gt;=p_target,"Bon",IF(W52&gt;=p_alert,"À surveiller","Faible")))</f>
        <v>Bon</v>
      </c>
      <c r="Z52" s="58" t="str">
        <f>IF(W52="","",IF(MIN(IF(T52="",1,T52),IF(U52="",1,U52),IF(V52="",1,V52))&gt;=1,"Aucune",IF(IF(T52="",1,T52)&lt;=MIN(IF(U52="",1,U52),IF(V52="",1,V52)),"Disponibilité",IF(IF(U52="",1,U52)&lt;=IF(V52="",1,V52),"Performance","Qualité"))))</f>
        <v>Disponibilité</v>
      </c>
      <c r="AA52" s="59">
        <f>IF(AC52=1,N(H52)*N(IFERROR(INDEX(art_cost,MATCH(E52,art_ref,0)),0)),"")</f>
        <v>14.4</v>
      </c>
      <c r="AB52" s="58" t="str">
        <f>IF(COUNTA(A52:I52)=0,"",IF(N(A52)&lt;=0,"Date manquante ou invalide",IF(B52="","Équipe manquante",IF(ISNA(MATCH(B52,eq_code,0)),"Équipe inconnue",IF(INDEX(eq_check,MATCH(B52,eq_code,0))&lt;&gt;"OK","Équipe à corriger dans Paramètres",IF(C52="","Poste manquant",IF(ISNA(MATCH(C52,po_code,0)),"Poste inconnu",IF(AND(E52&lt;&gt;"",ISNA(MATCH(E52,art_ref,0))),"Article inconnu",IF(IF(E52="",FALSE,INDEX(art_check,MATCH(E52,art_ref,0))&lt;&gt;"OK"),"Article à corriger (feuille Articles)",IF(COUNTIFS(sj_date,A52,sj_eq,B52,sj_po,C52)&gt;1,"Ligne en double (même jour, équipe et poste)",IF(OR(NOT(ISNUMBER(K52)),N(K52)&lt;=0,N(K52)&gt;1440),"Temps d'ouverture invalide",IF(OR(AND(G52&lt;&gt;"",NOT(ISNUMBER(G52))),N(G52)&lt;0,N(G52)&lt;&gt;INT(N(G52)),AND(H52&lt;&gt;"",NOT(ISNUMBER(H52))),N(H52)&lt;0,N(H52)&lt;&gt;INT(N(H52)),AND(I52&lt;&gt;"",NOT(ISNUMBER(I52))),N(I52)&lt;0,N(I52)&lt;&gt;INT(N(I52))),"Quantité invalide",IF(Q52&lt;=0,"Cadence manquante (poste ou article)",IF(M52&lt;=0,"Arrêts planifiés supérieurs au temps d'ouverture",IF(O52&lt;0,"Arrêts supérieurs au temps requis",IF(AND(P52&gt;0,O52=0),"Pièces déclarées sans temps de marche",IF(AND(P52=0,O52&gt;0),"Aucune pièce déclarée",IF(P52*60/Q52&gt;O52+0.001,"Cadence dépassée : vérifiez la cadence","OK"))))))))))))))))))</f>
        <v>OK</v>
      </c>
      <c r="AC52">
        <f>IF(OR(AB52="OK",AB52="Aucune pièce déclarée",AB52="Cadence dépassée : vérifiez la cadence"),1,0)</f>
        <v>1.0</v>
      </c>
      <c r="AD52">
        <f>IF(AND(AC52=1,A52&gt;=p_from,A52&lt;=p_to),1,0)</f>
        <v>1.0</v>
      </c>
      <c r="AE52">
        <f>IF(AD52=1,IF(COUNTIFS($A$6:A52,A52,$AD$6:AD52,1)=1,1,0),0)</f>
        <v>0.0</v>
      </c>
      <c r="AF52" t="str">
        <f>IF(AE52=1,COUNTIFS(sj_first,1,sj_date,"&lt;"&amp;A52)+1,"")</f>
        <v/>
      </c>
      <c r="AG52" t="str">
        <f>IF(AND(AD52=1,N(W52)&lt;p_alert),ROUND(W52,4),"")</f>
        <v/>
      </c>
      <c r="AH52" t="str">
        <f>IF(AG52="","",COUNTIF(sj_akey,"&lt;"&amp;AG52)+COUNTIF($AG$6:AG52,AG52))</f>
        <v/>
      </c>
    </row>
    <row r="53">
      <c r="A53" s="51" t="n">
        <v>46290</v>
      </c>
      <c r="B53" s="52" t="inlineStr">
        <is>
          <t>Journée</t>
        </is>
      </c>
      <c r="C53" s="52" t="inlineStr">
        <is>
          <t>PLIE</t>
        </is>
      </c>
      <c r="D53" s="53" t="inlineStr">
        <is>
          <t>OF-2609-117</t>
        </is>
      </c>
      <c r="E53" s="53" t="inlineStr">
        <is>
          <t>GAR-SUP-02</t>
        </is>
      </c>
      <c r="F53" s="54" t="n"/>
      <c r="G53" s="54" t="n">
        <v>690</v>
      </c>
      <c r="H53" s="54" t="n">
        <v>14</v>
      </c>
      <c r="I53" s="54" t="n">
        <v>3</v>
      </c>
      <c r="J53" s="53" t="n"/>
      <c r="K53" s="55">
        <f>IF(COUNTA(A53:I53)=0,"",IF(F53="",IFERROR(INDEX(eq_dur,MATCH(B53,eq_code,0)),""),F53))</f>
        <v>540.0</v>
      </c>
      <c r="L53" s="55">
        <f>IF(ISNUMBER(K53),N(IFERROR(INDEX(eq_pause,MATCH(B53,eq_code,0)),0))+SUMIFS(st_min,st_date,A53,st_eq,B53,st_po,C53,st_type,"Planifié"),"")</f>
        <v>60.0</v>
      </c>
      <c r="M53" s="55">
        <f>IF(ISNUMBER(K53),K53-L53,"")</f>
        <v>480.0</v>
      </c>
      <c r="N53" s="55">
        <f>IF(ISNUMBER(K53),SUMIFS(st_min,st_date,A53,st_eq,B53,st_po,C53,st_type,"Non planifié"),"")</f>
        <v>0.0</v>
      </c>
      <c r="O53" s="55">
        <f>IF(ISNUMBER(K53),M53-N53,"")</f>
        <v>480.0</v>
      </c>
      <c r="P53" s="55">
        <f>IF(COUNTA(A53:I53)=0,"",N(G53)+N(H53)+N(I53))</f>
        <v>707.0</v>
      </c>
      <c r="Q53" s="56">
        <f>IF(COUNTA(A53:I53)=0,"",IF(N(IFERROR(INDEX(art_rate,MATCH(E53,art_ref,0)),0))&gt;0,N(IFERROR(INDEX(art_rate,MATCH(E53,art_ref,0)),0)),N(IFERROR(INDEX(po_rate,MATCH(C53,po_code,0)),0))))</f>
        <v>110.0</v>
      </c>
      <c r="R53" s="55">
        <f>IF(AC53=1,P53*60/Q53,"")</f>
        <v>385.636363636364</v>
      </c>
      <c r="S53" s="55">
        <f>IF(AC53=1,N(G53)*60/Q53,"")</f>
        <v>376.363636363636</v>
      </c>
      <c r="T53" s="57">
        <f>IF(AC53=1,O53/M53,"")</f>
        <v>1.0</v>
      </c>
      <c r="U53" s="57">
        <f>IF(AC53=1,IF(O53&gt;0,R53/O53,""),"")</f>
        <v>0.803409090909091</v>
      </c>
      <c r="V53" s="57">
        <f>IF(AC53=1,IF(P53&gt;0,N(G53)/P53,""),"")</f>
        <v>0.975954738330976</v>
      </c>
      <c r="W53" s="57">
        <f>IF(AC53=1,S53/M53,"")</f>
        <v>0.784090909090909</v>
      </c>
      <c r="X53" s="57">
        <f>IF(AC53=1,S53/K53,"")</f>
        <v>0.696969696969697</v>
      </c>
      <c r="Y53" s="58" t="str">
        <f>IF(W53="","",IF(W53&gt;=p_target,"Bon",IF(W53&gt;=p_alert,"À surveiller","Faible")))</f>
        <v>Bon</v>
      </c>
      <c r="Z53" s="58" t="str">
        <f>IF(W53="","",IF(MIN(IF(T53="",1,T53),IF(U53="",1,U53),IF(V53="",1,V53))&gt;=1,"Aucune",IF(IF(T53="",1,T53)&lt;=MIN(IF(U53="",1,U53),IF(V53="",1,V53)),"Disponibilité",IF(IF(U53="",1,U53)&lt;=IF(V53="",1,V53),"Performance","Qualité"))))</f>
        <v>Performance</v>
      </c>
      <c r="AA53" s="59">
        <f>IF(AC53=1,N(H53)*N(IFERROR(INDEX(art_cost,MATCH(E53,art_ref,0)),0)),"")</f>
        <v>301.0</v>
      </c>
      <c r="AB53" s="58" t="str">
        <f>IF(COUNTA(A53:I53)=0,"",IF(N(A53)&lt;=0,"Date manquante ou invalide",IF(B53="","Équipe manquante",IF(ISNA(MATCH(B53,eq_code,0)),"Équipe inconnue",IF(INDEX(eq_check,MATCH(B53,eq_code,0))&lt;&gt;"OK","Équipe à corriger dans Paramètres",IF(C53="","Poste manquant",IF(ISNA(MATCH(C53,po_code,0)),"Poste inconnu",IF(AND(E53&lt;&gt;"",ISNA(MATCH(E53,art_ref,0))),"Article inconnu",IF(IF(E53="",FALSE,INDEX(art_check,MATCH(E53,art_ref,0))&lt;&gt;"OK"),"Article à corriger (feuille Articles)",IF(COUNTIFS(sj_date,A53,sj_eq,B53,sj_po,C53)&gt;1,"Ligne en double (même jour, équipe et poste)",IF(OR(NOT(ISNUMBER(K53)),N(K53)&lt;=0,N(K53)&gt;1440),"Temps d'ouverture invalide",IF(OR(AND(G53&lt;&gt;"",NOT(ISNUMBER(G53))),N(G53)&lt;0,N(G53)&lt;&gt;INT(N(G53)),AND(H53&lt;&gt;"",NOT(ISNUMBER(H53))),N(H53)&lt;0,N(H53)&lt;&gt;INT(N(H53)),AND(I53&lt;&gt;"",NOT(ISNUMBER(I53))),N(I53)&lt;0,N(I53)&lt;&gt;INT(N(I53))),"Quantité invalide",IF(Q53&lt;=0,"Cadence manquante (poste ou article)",IF(M53&lt;=0,"Arrêts planifiés supérieurs au temps d'ouverture",IF(O53&lt;0,"Arrêts supérieurs au temps requis",IF(AND(P53&gt;0,O53=0),"Pièces déclarées sans temps de marche",IF(AND(P53=0,O53&gt;0),"Aucune pièce déclarée",IF(P53*60/Q53&gt;O53+0.001,"Cadence dépassée : vérifiez la cadence","OK"))))))))))))))))))</f>
        <v>OK</v>
      </c>
      <c r="AC53">
        <f>IF(OR(AB53="OK",AB53="Aucune pièce déclarée",AB53="Cadence dépassée : vérifiez la cadence"),1,0)</f>
        <v>1.0</v>
      </c>
      <c r="AD53">
        <f>IF(AND(AC53=1,A53&gt;=p_from,A53&lt;=p_to),1,0)</f>
        <v>1.0</v>
      </c>
      <c r="AE53">
        <f>IF(AD53=1,IF(COUNTIFS($A$6:A53,A53,$AD$6:AD53,1)=1,1,0),0)</f>
        <v>0.0</v>
      </c>
      <c r="AF53" t="str">
        <f>IF(AE53=1,COUNTIFS(sj_first,1,sj_date,"&lt;"&amp;A53)+1,"")</f>
        <v/>
      </c>
      <c r="AG53" t="str">
        <f>IF(AND(AD53=1,N(W53)&lt;p_alert),ROUND(W53,4),"")</f>
        <v/>
      </c>
      <c r="AH53" t="str">
        <f>IF(AG53="","",COUNTIF(sj_akey,"&lt;"&amp;AG53)+COUNTIF($AG$6:AG53,AG53))</f>
        <v/>
      </c>
    </row>
    <row r="54">
      <c r="A54" s="51" t="n">
        <v>46290</v>
      </c>
      <c r="B54" s="52" t="inlineStr">
        <is>
          <t>Matin</t>
        </is>
      </c>
      <c r="C54" s="52" t="inlineStr">
        <is>
          <t>SOUD</t>
        </is>
      </c>
      <c r="D54" s="53" t="inlineStr">
        <is>
          <t>OF-2609-115</t>
        </is>
      </c>
      <c r="E54" s="53" t="inlineStr">
        <is>
          <t>CHA-REM-01</t>
        </is>
      </c>
      <c r="F54" s="54" t="n"/>
      <c r="G54" s="54" t="n">
        <v>24</v>
      </c>
      <c r="H54" s="54" t="n">
        <v>0</v>
      </c>
      <c r="I54" s="54" t="n">
        <v>0</v>
      </c>
      <c r="J54" s="53" t="n"/>
      <c r="K54" s="55">
        <f>IF(COUNTA(A54:I54)=0,"",IF(F54="",IFERROR(INDEX(eq_dur,MATCH(B54,eq_code,0)),""),F54))</f>
        <v>480.0</v>
      </c>
      <c r="L54" s="55">
        <f>IF(ISNUMBER(K54),N(IFERROR(INDEX(eq_pause,MATCH(B54,eq_code,0)),0))+SUMIFS(st_min,st_date,A54,st_eq,B54,st_po,C54,st_type,"Planifié"),"")</f>
        <v>30.0</v>
      </c>
      <c r="M54" s="55">
        <f>IF(ISNUMBER(K54),K54-L54,"")</f>
        <v>450.0</v>
      </c>
      <c r="N54" s="55">
        <f>IF(ISNUMBER(K54),SUMIFS(st_min,st_date,A54,st_eq,B54,st_po,C54,st_type,"Non planifié"),"")</f>
        <v>0.0</v>
      </c>
      <c r="O54" s="55">
        <f>IF(ISNUMBER(K54),M54-N54,"")</f>
        <v>450.0</v>
      </c>
      <c r="P54" s="55">
        <f>IF(COUNTA(A54:I54)=0,"",N(G54)+N(H54)+N(I54))</f>
        <v>24.0</v>
      </c>
      <c r="Q54" s="56">
        <f>IF(COUNTA(A54:I54)=0,"",IF(N(IFERROR(INDEX(art_rate,MATCH(E54,art_ref,0)),0))&gt;0,N(IFERROR(INDEX(art_rate,MATCH(E54,art_ref,0)),0)),N(IFERROR(INDEX(po_rate,MATCH(C54,po_code,0)),0))))</f>
        <v>4.0</v>
      </c>
      <c r="R54" s="55">
        <f>IF(AC54=1,P54*60/Q54,"")</f>
        <v>360.0</v>
      </c>
      <c r="S54" s="55">
        <f>IF(AC54=1,N(G54)*60/Q54,"")</f>
        <v>360.0</v>
      </c>
      <c r="T54" s="57">
        <f>IF(AC54=1,O54/M54,"")</f>
        <v>1.0</v>
      </c>
      <c r="U54" s="57">
        <f>IF(AC54=1,IF(O54&gt;0,R54/O54,""),"")</f>
        <v>0.8</v>
      </c>
      <c r="V54" s="57">
        <f>IF(AC54=1,IF(P54&gt;0,N(G54)/P54,""),"")</f>
        <v>1.0</v>
      </c>
      <c r="W54" s="57">
        <f>IF(AC54=1,S54/M54,"")</f>
        <v>0.8</v>
      </c>
      <c r="X54" s="57">
        <f>IF(AC54=1,S54/K54,"")</f>
        <v>0.75</v>
      </c>
      <c r="Y54" s="58" t="str">
        <f>IF(W54="","",IF(W54&gt;=p_target,"Bon",IF(W54&gt;=p_alert,"À surveiller","Faible")))</f>
        <v>Bon</v>
      </c>
      <c r="Z54" s="58" t="str">
        <f>IF(W54="","",IF(MIN(IF(T54="",1,T54),IF(U54="",1,U54),IF(V54="",1,V54))&gt;=1,"Aucune",IF(IF(T54="",1,T54)&lt;=MIN(IF(U54="",1,U54),IF(V54="",1,V54)),"Disponibilité",IF(IF(U54="",1,U54)&lt;=IF(V54="",1,V54),"Performance","Qualité"))))</f>
        <v>Performance</v>
      </c>
      <c r="AA54" s="59">
        <f>IF(AC54=1,N(H54)*N(IFERROR(INDEX(art_cost,MATCH(E54,art_ref,0)),0)),"")</f>
        <v>0.0</v>
      </c>
      <c r="AB54" s="58" t="str">
        <f>IF(COUNTA(A54:I54)=0,"",IF(N(A54)&lt;=0,"Date manquante ou invalide",IF(B54="","Équipe manquante",IF(ISNA(MATCH(B54,eq_code,0)),"Équipe inconnue",IF(INDEX(eq_check,MATCH(B54,eq_code,0))&lt;&gt;"OK","Équipe à corriger dans Paramètres",IF(C54="","Poste manquant",IF(ISNA(MATCH(C54,po_code,0)),"Poste inconnu",IF(AND(E54&lt;&gt;"",ISNA(MATCH(E54,art_ref,0))),"Article inconnu",IF(IF(E54="",FALSE,INDEX(art_check,MATCH(E54,art_ref,0))&lt;&gt;"OK"),"Article à corriger (feuille Articles)",IF(COUNTIFS(sj_date,A54,sj_eq,B54,sj_po,C54)&gt;1,"Ligne en double (même jour, équipe et poste)",IF(OR(NOT(ISNUMBER(K54)),N(K54)&lt;=0,N(K54)&gt;1440),"Temps d'ouverture invalide",IF(OR(AND(G54&lt;&gt;"",NOT(ISNUMBER(G54))),N(G54)&lt;0,N(G54)&lt;&gt;INT(N(G54)),AND(H54&lt;&gt;"",NOT(ISNUMBER(H54))),N(H54)&lt;0,N(H54)&lt;&gt;INT(N(H54)),AND(I54&lt;&gt;"",NOT(ISNUMBER(I54))),N(I54)&lt;0,N(I54)&lt;&gt;INT(N(I54))),"Quantité invalide",IF(Q54&lt;=0,"Cadence manquante (poste ou article)",IF(M54&lt;=0,"Arrêts planifiés supérieurs au temps d'ouverture",IF(O54&lt;0,"Arrêts supérieurs au temps requis",IF(AND(P54&gt;0,O54=0),"Pièces déclarées sans temps de marche",IF(AND(P54=0,O54&gt;0),"Aucune pièce déclarée",IF(P54*60/Q54&gt;O54+0.001,"Cadence dépassée : vérifiez la cadence","OK"))))))))))))))))))</f>
        <v>OK</v>
      </c>
      <c r="AC54">
        <f>IF(OR(AB54="OK",AB54="Aucune pièce déclarée",AB54="Cadence dépassée : vérifiez la cadence"),1,0)</f>
        <v>1.0</v>
      </c>
      <c r="AD54">
        <f>IF(AND(AC54=1,A54&gt;=p_from,A54&lt;=p_to),1,0)</f>
        <v>1.0</v>
      </c>
      <c r="AE54">
        <f>IF(AD54=1,IF(COUNTIFS($A$6:A54,A54,$AD$6:AD54,1)=1,1,0),0)</f>
        <v>0.0</v>
      </c>
      <c r="AF54" t="str">
        <f>IF(AE54=1,COUNTIFS(sj_first,1,sj_date,"&lt;"&amp;A54)+1,"")</f>
        <v/>
      </c>
      <c r="AG54" t="str">
        <f>IF(AND(AD54=1,N(W54)&lt;p_alert),ROUND(W54,4),"")</f>
        <v/>
      </c>
      <c r="AH54" t="str">
        <f>IF(AG54="","",COUNTIF(sj_akey,"&lt;"&amp;AG54)+COUNTIF($AG$6:AG54,AG54))</f>
        <v/>
      </c>
    </row>
    <row r="55">
      <c r="A55" s="51" t="n">
        <v>46290</v>
      </c>
      <c r="B55" s="52" t="inlineStr">
        <is>
          <t>Après-midi</t>
        </is>
      </c>
      <c r="C55" s="52" t="inlineStr">
        <is>
          <t>SOUD</t>
        </is>
      </c>
      <c r="D55" s="53" t="inlineStr">
        <is>
          <t>OF-2609-110</t>
        </is>
      </c>
      <c r="E55" s="53" t="inlineStr">
        <is>
          <t>BRA-SUS-02</t>
        </is>
      </c>
      <c r="F55" s="54" t="n">
        <v>240</v>
      </c>
      <c r="G55" s="54" t="n">
        <v>26</v>
      </c>
      <c r="H55" s="54" t="n">
        <v>0</v>
      </c>
      <c r="I55" s="54" t="n">
        <v>0</v>
      </c>
      <c r="J55" s="53" t="n"/>
      <c r="K55" s="55">
        <f>IF(COUNTA(A55:I55)=0,"",IF(F55="",IFERROR(INDEX(eq_dur,MATCH(B55,eq_code,0)),""),F55))</f>
        <v>240.0</v>
      </c>
      <c r="L55" s="55">
        <f>IF(ISNUMBER(K55),N(IFERROR(INDEX(eq_pause,MATCH(B55,eq_code,0)),0))+SUMIFS(st_min,st_date,A55,st_eq,B55,st_po,C55,st_type,"Planifié"),"")</f>
        <v>30.0</v>
      </c>
      <c r="M55" s="55">
        <f>IF(ISNUMBER(K55),K55-L55,"")</f>
        <v>210.0</v>
      </c>
      <c r="N55" s="55">
        <f>IF(ISNUMBER(K55),SUMIFS(st_min,st_date,A55,st_eq,B55,st_po,C55,st_type,"Non planifié"),"")</f>
        <v>103.0</v>
      </c>
      <c r="O55" s="55">
        <f>IF(ISNUMBER(K55),M55-N55,"")</f>
        <v>107.0</v>
      </c>
      <c r="P55" s="55">
        <f>IF(COUNTA(A55:I55)=0,"",N(G55)+N(H55)+N(I55))</f>
        <v>26.0</v>
      </c>
      <c r="Q55" s="56">
        <f>IF(COUNTA(A55:I55)=0,"",IF(N(IFERROR(INDEX(art_rate,MATCH(E55,art_ref,0)),0))&gt;0,N(IFERROR(INDEX(art_rate,MATCH(E55,art_ref,0)),0)),N(IFERROR(INDEX(po_rate,MATCH(C55,po_code,0)),0))))</f>
        <v>20.0</v>
      </c>
      <c r="R55" s="55">
        <f>IF(AC55=1,P55*60/Q55,"")</f>
        <v>78.0</v>
      </c>
      <c r="S55" s="55">
        <f>IF(AC55=1,N(G55)*60/Q55,"")</f>
        <v>78.0</v>
      </c>
      <c r="T55" s="57">
        <f>IF(AC55=1,O55/M55,"")</f>
        <v>0.50952380952381</v>
      </c>
      <c r="U55" s="57">
        <f>IF(AC55=1,IF(O55&gt;0,R55/O55,""),"")</f>
        <v>0.728971962616822</v>
      </c>
      <c r="V55" s="57">
        <f>IF(AC55=1,IF(P55&gt;0,N(G55)/P55,""),"")</f>
        <v>1.0</v>
      </c>
      <c r="W55" s="57">
        <f>IF(AC55=1,S55/M55,"")</f>
        <v>0.371428571428571</v>
      </c>
      <c r="X55" s="57">
        <f>IF(AC55=1,S55/K55,"")</f>
        <v>0.325</v>
      </c>
      <c r="Y55" s="58" t="str">
        <f>IF(W55="","",IF(W55&gt;=p_target,"Bon",IF(W55&gt;=p_alert,"À surveiller","Faible")))</f>
        <v>Faible</v>
      </c>
      <c r="Z55" s="58" t="str">
        <f>IF(W55="","",IF(MIN(IF(T55="",1,T55),IF(U55="",1,U55),IF(V55="",1,V55))&gt;=1,"Aucune",IF(IF(T55="",1,T55)&lt;=MIN(IF(U55="",1,U55),IF(V55="",1,V55)),"Disponibilité",IF(IF(U55="",1,U55)&lt;=IF(V55="",1,V55),"Performance","Qualité"))))</f>
        <v>Disponibilité</v>
      </c>
      <c r="AA55" s="59">
        <f>IF(AC55=1,N(H55)*N(IFERROR(INDEX(art_cost,MATCH(E55,art_ref,0)),0)),"")</f>
        <v>0.0</v>
      </c>
      <c r="AB55" s="58" t="str">
        <f>IF(COUNTA(A55:I55)=0,"",IF(N(A55)&lt;=0,"Date manquante ou invalide",IF(B55="","Équipe manquante",IF(ISNA(MATCH(B55,eq_code,0)),"Équipe inconnue",IF(INDEX(eq_check,MATCH(B55,eq_code,0))&lt;&gt;"OK","Équipe à corriger dans Paramètres",IF(C55="","Poste manquant",IF(ISNA(MATCH(C55,po_code,0)),"Poste inconnu",IF(AND(E55&lt;&gt;"",ISNA(MATCH(E55,art_ref,0))),"Article inconnu",IF(IF(E55="",FALSE,INDEX(art_check,MATCH(E55,art_ref,0))&lt;&gt;"OK"),"Article à corriger (feuille Articles)",IF(COUNTIFS(sj_date,A55,sj_eq,B55,sj_po,C55)&gt;1,"Ligne en double (même jour, équipe et poste)",IF(OR(NOT(ISNUMBER(K55)),N(K55)&lt;=0,N(K55)&gt;1440),"Temps d'ouverture invalide",IF(OR(AND(G55&lt;&gt;"",NOT(ISNUMBER(G55))),N(G55)&lt;0,N(G55)&lt;&gt;INT(N(G55)),AND(H55&lt;&gt;"",NOT(ISNUMBER(H55))),N(H55)&lt;0,N(H55)&lt;&gt;INT(N(H55)),AND(I55&lt;&gt;"",NOT(ISNUMBER(I55))),N(I55)&lt;0,N(I55)&lt;&gt;INT(N(I55))),"Quantité invalide",IF(Q55&lt;=0,"Cadence manquante (poste ou article)",IF(M55&lt;=0,"Arrêts planifiés supérieurs au temps d'ouverture",IF(O55&lt;0,"Arrêts supérieurs au temps requis",IF(AND(P55&gt;0,O55=0),"Pièces déclarées sans temps de marche",IF(AND(P55=0,O55&gt;0),"Aucune pièce déclarée",IF(P55*60/Q55&gt;O55+0.001,"Cadence dépassée : vérifiez la cadence","OK"))))))))))))))))))</f>
        <v>OK</v>
      </c>
      <c r="AC55">
        <f>IF(OR(AB55="OK",AB55="Aucune pièce déclarée",AB55="Cadence dépassée : vérifiez la cadence"),1,0)</f>
        <v>1.0</v>
      </c>
      <c r="AD55">
        <f>IF(AND(AC55=1,A55&gt;=p_from,A55&lt;=p_to),1,0)</f>
        <v>1.0</v>
      </c>
      <c r="AE55">
        <f>IF(AD55=1,IF(COUNTIFS($A$6:A55,A55,$AD$6:AD55,1)=1,1,0),0)</f>
        <v>0.0</v>
      </c>
      <c r="AF55" t="str">
        <f>IF(AE55=1,COUNTIFS(sj_first,1,sj_date,"&lt;"&amp;A55)+1,"")</f>
        <v/>
      </c>
      <c r="AG55">
        <f>IF(AND(AD55=1,N(W55)&lt;p_alert),ROUND(W55,4),"")</f>
        <v>0.3714</v>
      </c>
      <c r="AH55">
        <f>IF(AG55="","",COUNTIF(sj_akey,"&lt;"&amp;AG55)+COUNTIF($AG$6:AG55,AG55))</f>
        <v>9.0</v>
      </c>
    </row>
    <row r="56">
      <c r="A56" s="51" t="n">
        <v>46293</v>
      </c>
      <c r="B56" s="52" t="inlineStr">
        <is>
          <t>Matin</t>
        </is>
      </c>
      <c r="C56" s="52" t="inlineStr">
        <is>
          <t>TOUR1</t>
        </is>
      </c>
      <c r="D56" s="53" t="inlineStr">
        <is>
          <t>OF-2609-122</t>
        </is>
      </c>
      <c r="E56" s="53" t="inlineStr">
        <is>
          <t>BAG-BR-32</t>
        </is>
      </c>
      <c r="F56" s="54" t="n"/>
      <c r="G56" s="54" t="n">
        <v>212</v>
      </c>
      <c r="H56" s="54" t="n">
        <v>3</v>
      </c>
      <c r="I56" s="54" t="n">
        <v>2</v>
      </c>
      <c r="J56" s="53" t="n"/>
      <c r="K56" s="55">
        <f>IF(COUNTA(A56:I56)=0,"",IF(F56="",IFERROR(INDEX(eq_dur,MATCH(B56,eq_code,0)),""),F56))</f>
        <v>480.0</v>
      </c>
      <c r="L56" s="55">
        <f>IF(ISNUMBER(K56),N(IFERROR(INDEX(eq_pause,MATCH(B56,eq_code,0)),0))+SUMIFS(st_min,st_date,A56,st_eq,B56,st_po,C56,st_type,"Planifié"),"")</f>
        <v>30.0</v>
      </c>
      <c r="M56" s="55">
        <f>IF(ISNUMBER(K56),K56-L56,"")</f>
        <v>450.0</v>
      </c>
      <c r="N56" s="55">
        <f>IF(ISNUMBER(K56),SUMIFS(st_min,st_date,A56,st_eq,B56,st_po,C56,st_type,"Non planifié"),"")</f>
        <v>74.0</v>
      </c>
      <c r="O56" s="55">
        <f>IF(ISNUMBER(K56),M56-N56,"")</f>
        <v>376.0</v>
      </c>
      <c r="P56" s="55">
        <f>IF(COUNTA(A56:I56)=0,"",N(G56)+N(H56)+N(I56))</f>
        <v>217.0</v>
      </c>
      <c r="Q56" s="56">
        <f>IF(COUNTA(A56:I56)=0,"",IF(N(IFERROR(INDEX(art_rate,MATCH(E56,art_ref,0)),0))&gt;0,N(IFERROR(INDEX(art_rate,MATCH(E56,art_ref,0)),0)),N(IFERROR(INDEX(po_rate,MATCH(C56,po_code,0)),0))))</f>
        <v>40.0</v>
      </c>
      <c r="R56" s="55">
        <f>IF(AC56=1,P56*60/Q56,"")</f>
        <v>325.5</v>
      </c>
      <c r="S56" s="55">
        <f>IF(AC56=1,N(G56)*60/Q56,"")</f>
        <v>318.0</v>
      </c>
      <c r="T56" s="57">
        <f>IF(AC56=1,O56/M56,"")</f>
        <v>0.835555555555556</v>
      </c>
      <c r="U56" s="57">
        <f>IF(AC56=1,IF(O56&gt;0,R56/O56,""),"")</f>
        <v>0.865691489361702</v>
      </c>
      <c r="V56" s="57">
        <f>IF(AC56=1,IF(P56&gt;0,N(G56)/P56,""),"")</f>
        <v>0.976958525345622</v>
      </c>
      <c r="W56" s="57">
        <f>IF(AC56=1,S56/M56,"")</f>
        <v>0.706666666666667</v>
      </c>
      <c r="X56" s="57">
        <f>IF(AC56=1,S56/K56,"")</f>
        <v>0.6625</v>
      </c>
      <c r="Y56" s="58" t="str">
        <f>IF(W56="","",IF(W56&gt;=p_target,"Bon",IF(W56&gt;=p_alert,"À surveiller","Faible")))</f>
        <v>À surveiller</v>
      </c>
      <c r="Z56" s="58" t="str">
        <f>IF(W56="","",IF(MIN(IF(T56="",1,T56),IF(U56="",1,U56),IF(V56="",1,V56))&gt;=1,"Aucune",IF(IF(T56="",1,T56)&lt;=MIN(IF(U56="",1,U56),IF(V56="",1,V56)),"Disponibilité",IF(IF(U56="",1,U56)&lt;=IF(V56="",1,V56),"Performance","Qualité"))))</f>
        <v>Disponibilité</v>
      </c>
      <c r="AA56" s="59">
        <f>IF(AC56=1,N(H56)*N(IFERROR(INDEX(art_cost,MATCH(E56,art_ref,0)),0)),"")</f>
        <v>156.0</v>
      </c>
      <c r="AB56" s="58" t="str">
        <f>IF(COUNTA(A56:I56)=0,"",IF(N(A56)&lt;=0,"Date manquante ou invalide",IF(B56="","Équipe manquante",IF(ISNA(MATCH(B56,eq_code,0)),"Équipe inconnue",IF(INDEX(eq_check,MATCH(B56,eq_code,0))&lt;&gt;"OK","Équipe à corriger dans Paramètres",IF(C56="","Poste manquant",IF(ISNA(MATCH(C56,po_code,0)),"Poste inconnu",IF(AND(E56&lt;&gt;"",ISNA(MATCH(E56,art_ref,0))),"Article inconnu",IF(IF(E56="",FALSE,INDEX(art_check,MATCH(E56,art_ref,0))&lt;&gt;"OK"),"Article à corriger (feuille Articles)",IF(COUNTIFS(sj_date,A56,sj_eq,B56,sj_po,C56)&gt;1,"Ligne en double (même jour, équipe et poste)",IF(OR(NOT(ISNUMBER(K56)),N(K56)&lt;=0,N(K56)&gt;1440),"Temps d'ouverture invalide",IF(OR(AND(G56&lt;&gt;"",NOT(ISNUMBER(G56))),N(G56)&lt;0,N(G56)&lt;&gt;INT(N(G56)),AND(H56&lt;&gt;"",NOT(ISNUMBER(H56))),N(H56)&lt;0,N(H56)&lt;&gt;INT(N(H56)),AND(I56&lt;&gt;"",NOT(ISNUMBER(I56))),N(I56)&lt;0,N(I56)&lt;&gt;INT(N(I56))),"Quantité invalide",IF(Q56&lt;=0,"Cadence manquante (poste ou article)",IF(M56&lt;=0,"Arrêts planifiés supérieurs au temps d'ouverture",IF(O56&lt;0,"Arrêts supérieurs au temps requis",IF(AND(P56&gt;0,O56=0),"Pièces déclarées sans temps de marche",IF(AND(P56=0,O56&gt;0),"Aucune pièce déclarée",IF(P56*60/Q56&gt;O56+0.001,"Cadence dépassée : vérifiez la cadence","OK"))))))))))))))))))</f>
        <v>OK</v>
      </c>
      <c r="AC56">
        <f>IF(OR(AB56="OK",AB56="Aucune pièce déclarée",AB56="Cadence dépassée : vérifiez la cadence"),1,0)</f>
        <v>1.0</v>
      </c>
      <c r="AD56">
        <f>IF(AND(AC56=1,A56&gt;=p_from,A56&lt;=p_to),1,0)</f>
        <v>1.0</v>
      </c>
      <c r="AE56">
        <f>IF(AD56=1,IF(COUNTIFS($A$6:A56,A56,$AD$6:AD56,1)=1,1,0),0)</f>
        <v>1.0</v>
      </c>
      <c r="AF56">
        <f>IF(AE56=1,COUNTIFS(sj_first,1,sj_date,"&lt;"&amp;A56)+1,"")</f>
        <v>6.0</v>
      </c>
      <c r="AG56" t="str">
        <f>IF(AND(AD56=1,N(W56)&lt;p_alert),ROUND(W56,4),"")</f>
        <v/>
      </c>
      <c r="AH56" t="str">
        <f>IF(AG56="","",COUNTIF(sj_akey,"&lt;"&amp;AG56)+COUNTIF($AG$6:AG56,AG56))</f>
        <v/>
      </c>
    </row>
    <row r="57">
      <c r="A57" s="51" t="n">
        <v>46293</v>
      </c>
      <c r="B57" s="52" t="inlineStr">
        <is>
          <t>Après-midi</t>
        </is>
      </c>
      <c r="C57" s="52" t="inlineStr">
        <is>
          <t>TOUR1</t>
        </is>
      </c>
      <c r="D57" s="53" t="inlineStr">
        <is>
          <t>OF-2609-119</t>
        </is>
      </c>
      <c r="E57" s="53" t="inlineStr">
        <is>
          <t>AXE-R20</t>
        </is>
      </c>
      <c r="F57" s="54" t="n"/>
      <c r="G57" s="54" t="n">
        <v>203</v>
      </c>
      <c r="H57" s="54" t="n">
        <v>2</v>
      </c>
      <c r="I57" s="54" t="n">
        <v>1</v>
      </c>
      <c r="J57" s="53" t="n"/>
      <c r="K57" s="55">
        <f>IF(COUNTA(A57:I57)=0,"",IF(F57="",IFERROR(INDEX(eq_dur,MATCH(B57,eq_code,0)),""),F57))</f>
        <v>480.0</v>
      </c>
      <c r="L57" s="55">
        <f>IF(ISNUMBER(K57),N(IFERROR(INDEX(eq_pause,MATCH(B57,eq_code,0)),0))+SUMIFS(st_min,st_date,A57,st_eq,B57,st_po,C57,st_type,"Planifié"),"")</f>
        <v>30.0</v>
      </c>
      <c r="M57" s="55">
        <f>IF(ISNUMBER(K57),K57-L57,"")</f>
        <v>450.0</v>
      </c>
      <c r="N57" s="55">
        <f>IF(ISNUMBER(K57),SUMIFS(st_min,st_date,A57,st_eq,B57,st_po,C57,st_type,"Non planifié"),"")</f>
        <v>19.0</v>
      </c>
      <c r="O57" s="55">
        <f>IF(ISNUMBER(K57),M57-N57,"")</f>
        <v>431.0</v>
      </c>
      <c r="P57" s="55">
        <f>IF(COUNTA(A57:I57)=0,"",N(G57)+N(H57)+N(I57))</f>
        <v>206.0</v>
      </c>
      <c r="Q57" s="56">
        <f>IF(COUNTA(A57:I57)=0,"",IF(N(IFERROR(INDEX(art_rate,MATCH(E57,art_ref,0)),0))&gt;0,N(IFERROR(INDEX(art_rate,MATCH(E57,art_ref,0)),0)),N(IFERROR(INDEX(po_rate,MATCH(C57,po_code,0)),0))))</f>
        <v>30.0</v>
      </c>
      <c r="R57" s="55">
        <f>IF(AC57=1,P57*60/Q57,"")</f>
        <v>412.0</v>
      </c>
      <c r="S57" s="55">
        <f>IF(AC57=1,N(G57)*60/Q57,"")</f>
        <v>406.0</v>
      </c>
      <c r="T57" s="57">
        <f>IF(AC57=1,O57/M57,"")</f>
        <v>0.957777777777778</v>
      </c>
      <c r="U57" s="57">
        <f>IF(AC57=1,IF(O57&gt;0,R57/O57,""),"")</f>
        <v>0.955916473317865</v>
      </c>
      <c r="V57" s="57">
        <f>IF(AC57=1,IF(P57&gt;0,N(G57)/P57,""),"")</f>
        <v>0.985436893203884</v>
      </c>
      <c r="W57" s="57">
        <f>IF(AC57=1,S57/M57,"")</f>
        <v>0.902222222222222</v>
      </c>
      <c r="X57" s="57">
        <f>IF(AC57=1,S57/K57,"")</f>
        <v>0.845833333333333</v>
      </c>
      <c r="Y57" s="58" t="str">
        <f>IF(W57="","",IF(W57&gt;=p_target,"Bon",IF(W57&gt;=p_alert,"À surveiller","Faible")))</f>
        <v>Bon</v>
      </c>
      <c r="Z57" s="58" t="str">
        <f>IF(W57="","",IF(MIN(IF(T57="",1,T57),IF(U57="",1,U57),IF(V57="",1,V57))&gt;=1,"Aucune",IF(IF(T57="",1,T57)&lt;=MIN(IF(U57="",1,U57),IF(V57="",1,V57)),"Disponibilité",IF(IF(U57="",1,U57)&lt;=IF(V57="",1,V57),"Performance","Qualité"))))</f>
        <v>Performance</v>
      </c>
      <c r="AA57" s="59">
        <f>IF(AC57=1,N(H57)*N(IFERROR(INDEX(art_cost,MATCH(E57,art_ref,0)),0)),"")</f>
        <v>77.0</v>
      </c>
      <c r="AB57" s="58" t="str">
        <f>IF(COUNTA(A57:I57)=0,"",IF(N(A57)&lt;=0,"Date manquante ou invalide",IF(B57="","Équipe manquante",IF(ISNA(MATCH(B57,eq_code,0)),"Équipe inconnue",IF(INDEX(eq_check,MATCH(B57,eq_code,0))&lt;&gt;"OK","Équipe à corriger dans Paramètres",IF(C57="","Poste manquant",IF(ISNA(MATCH(C57,po_code,0)),"Poste inconnu",IF(AND(E57&lt;&gt;"",ISNA(MATCH(E57,art_ref,0))),"Article inconnu",IF(IF(E57="",FALSE,INDEX(art_check,MATCH(E57,art_ref,0))&lt;&gt;"OK"),"Article à corriger (feuille Articles)",IF(COUNTIFS(sj_date,A57,sj_eq,B57,sj_po,C57)&gt;1,"Ligne en double (même jour, équipe et poste)",IF(OR(NOT(ISNUMBER(K57)),N(K57)&lt;=0,N(K57)&gt;1440),"Temps d'ouverture invalide",IF(OR(AND(G57&lt;&gt;"",NOT(ISNUMBER(G57))),N(G57)&lt;0,N(G57)&lt;&gt;INT(N(G57)),AND(H57&lt;&gt;"",NOT(ISNUMBER(H57))),N(H57)&lt;0,N(H57)&lt;&gt;INT(N(H57)),AND(I57&lt;&gt;"",NOT(ISNUMBER(I57))),N(I57)&lt;0,N(I57)&lt;&gt;INT(N(I57))),"Quantité invalide",IF(Q57&lt;=0,"Cadence manquante (poste ou article)",IF(M57&lt;=0,"Arrêts planifiés supérieurs au temps d'ouverture",IF(O57&lt;0,"Arrêts supérieurs au temps requis",IF(AND(P57&gt;0,O57=0),"Pièces déclarées sans temps de marche",IF(AND(P57=0,O57&gt;0),"Aucune pièce déclarée",IF(P57*60/Q57&gt;O57+0.001,"Cadence dépassée : vérifiez la cadence","OK"))))))))))))))))))</f>
        <v>OK</v>
      </c>
      <c r="AC57">
        <f>IF(OR(AB57="OK",AB57="Aucune pièce déclarée",AB57="Cadence dépassée : vérifiez la cadence"),1,0)</f>
        <v>1.0</v>
      </c>
      <c r="AD57">
        <f>IF(AND(AC57=1,A57&gt;=p_from,A57&lt;=p_to),1,0)</f>
        <v>1.0</v>
      </c>
      <c r="AE57">
        <f>IF(AD57=1,IF(COUNTIFS($A$6:A57,A57,$AD$6:AD57,1)=1,1,0),0)</f>
        <v>0.0</v>
      </c>
      <c r="AF57" t="str">
        <f>IF(AE57=1,COUNTIFS(sj_first,1,sj_date,"&lt;"&amp;A57)+1,"")</f>
        <v/>
      </c>
      <c r="AG57" t="str">
        <f>IF(AND(AD57=1,N(W57)&lt;p_alert),ROUND(W57,4),"")</f>
        <v/>
      </c>
      <c r="AH57" t="str">
        <f>IF(AG57="","",COUNTIF(sj_akey,"&lt;"&amp;AG57)+COUNTIF($AG$6:AG57,AG57))</f>
        <v/>
      </c>
    </row>
    <row r="58">
      <c r="A58" s="51" t="n">
        <v>46293</v>
      </c>
      <c r="B58" s="52" t="inlineStr">
        <is>
          <t>Matin</t>
        </is>
      </c>
      <c r="C58" s="52" t="inlineStr">
        <is>
          <t>TOUR2</t>
        </is>
      </c>
      <c r="D58" s="53" t="inlineStr">
        <is>
          <t>OF-2609-116</t>
        </is>
      </c>
      <c r="E58" s="53" t="inlineStr">
        <is>
          <t>AXE-R20</t>
        </is>
      </c>
      <c r="F58" s="54" t="n"/>
      <c r="G58" s="54" t="n">
        <v>191</v>
      </c>
      <c r="H58" s="54" t="n">
        <v>5</v>
      </c>
      <c r="I58" s="54" t="n">
        <v>0</v>
      </c>
      <c r="J58" s="53" t="n"/>
      <c r="K58" s="55">
        <f>IF(COUNTA(A58:I58)=0,"",IF(F58="",IFERROR(INDEX(eq_dur,MATCH(B58,eq_code,0)),""),F58))</f>
        <v>480.0</v>
      </c>
      <c r="L58" s="55">
        <f>IF(ISNUMBER(K58),N(IFERROR(INDEX(eq_pause,MATCH(B58,eq_code,0)),0))+SUMIFS(st_min,st_date,A58,st_eq,B58,st_po,C58,st_type,"Planifié"),"")</f>
        <v>30.0</v>
      </c>
      <c r="M58" s="55">
        <f>IF(ISNUMBER(K58),K58-L58,"")</f>
        <v>450.0</v>
      </c>
      <c r="N58" s="55">
        <f>IF(ISNUMBER(K58),SUMIFS(st_min,st_date,A58,st_eq,B58,st_po,C58,st_type,"Non planifié"),"")</f>
        <v>0.0</v>
      </c>
      <c r="O58" s="55">
        <f>IF(ISNUMBER(K58),M58-N58,"")</f>
        <v>450.0</v>
      </c>
      <c r="P58" s="55">
        <f>IF(COUNTA(A58:I58)=0,"",N(G58)+N(H58)+N(I58))</f>
        <v>196.0</v>
      </c>
      <c r="Q58" s="56">
        <f>IF(COUNTA(A58:I58)=0,"",IF(N(IFERROR(INDEX(art_rate,MATCH(E58,art_ref,0)),0))&gt;0,N(IFERROR(INDEX(art_rate,MATCH(E58,art_ref,0)),0)),N(IFERROR(INDEX(po_rate,MATCH(C58,po_code,0)),0))))</f>
        <v>30.0</v>
      </c>
      <c r="R58" s="55">
        <f>IF(AC58=1,P58*60/Q58,"")</f>
        <v>392.0</v>
      </c>
      <c r="S58" s="55">
        <f>IF(AC58=1,N(G58)*60/Q58,"")</f>
        <v>382.0</v>
      </c>
      <c r="T58" s="57">
        <f>IF(AC58=1,O58/M58,"")</f>
        <v>1.0</v>
      </c>
      <c r="U58" s="57">
        <f>IF(AC58=1,IF(O58&gt;0,R58/O58,""),"")</f>
        <v>0.871111111111111</v>
      </c>
      <c r="V58" s="57">
        <f>IF(AC58=1,IF(P58&gt;0,N(G58)/P58,""),"")</f>
        <v>0.974489795918367</v>
      </c>
      <c r="W58" s="57">
        <f>IF(AC58=1,S58/M58,"")</f>
        <v>0.848888888888889</v>
      </c>
      <c r="X58" s="57">
        <f>IF(AC58=1,S58/K58,"")</f>
        <v>0.795833333333333</v>
      </c>
      <c r="Y58" s="58" t="str">
        <f>IF(W58="","",IF(W58&gt;=p_target,"Bon",IF(W58&gt;=p_alert,"À surveiller","Faible")))</f>
        <v>Bon</v>
      </c>
      <c r="Z58" s="58" t="str">
        <f>IF(W58="","",IF(MIN(IF(T58="",1,T58),IF(U58="",1,U58),IF(V58="",1,V58))&gt;=1,"Aucune",IF(IF(T58="",1,T58)&lt;=MIN(IF(U58="",1,U58),IF(V58="",1,V58)),"Disponibilité",IF(IF(U58="",1,U58)&lt;=IF(V58="",1,V58),"Performance","Qualité"))))</f>
        <v>Performance</v>
      </c>
      <c r="AA58" s="59">
        <f>IF(AC58=1,N(H58)*N(IFERROR(INDEX(art_cost,MATCH(E58,art_ref,0)),0)),"")</f>
        <v>192.5</v>
      </c>
      <c r="AB58" s="58" t="str">
        <f>IF(COUNTA(A58:I58)=0,"",IF(N(A58)&lt;=0,"Date manquante ou invalide",IF(B58="","Équipe manquante",IF(ISNA(MATCH(B58,eq_code,0)),"Équipe inconnue",IF(INDEX(eq_check,MATCH(B58,eq_code,0))&lt;&gt;"OK","Équipe à corriger dans Paramètres",IF(C58="","Poste manquant",IF(ISNA(MATCH(C58,po_code,0)),"Poste inconnu",IF(AND(E58&lt;&gt;"",ISNA(MATCH(E58,art_ref,0))),"Article inconnu",IF(IF(E58="",FALSE,INDEX(art_check,MATCH(E58,art_ref,0))&lt;&gt;"OK"),"Article à corriger (feuille Articles)",IF(COUNTIFS(sj_date,A58,sj_eq,B58,sj_po,C58)&gt;1,"Ligne en double (même jour, équipe et poste)",IF(OR(NOT(ISNUMBER(K58)),N(K58)&lt;=0,N(K58)&gt;1440),"Temps d'ouverture invalide",IF(OR(AND(G58&lt;&gt;"",NOT(ISNUMBER(G58))),N(G58)&lt;0,N(G58)&lt;&gt;INT(N(G58)),AND(H58&lt;&gt;"",NOT(ISNUMBER(H58))),N(H58)&lt;0,N(H58)&lt;&gt;INT(N(H58)),AND(I58&lt;&gt;"",NOT(ISNUMBER(I58))),N(I58)&lt;0,N(I58)&lt;&gt;INT(N(I58))),"Quantité invalide",IF(Q58&lt;=0,"Cadence manquante (poste ou article)",IF(M58&lt;=0,"Arrêts planifiés supérieurs au temps d'ouverture",IF(O58&lt;0,"Arrêts supérieurs au temps requis",IF(AND(P58&gt;0,O58=0),"Pièces déclarées sans temps de marche",IF(AND(P58=0,O58&gt;0),"Aucune pièce déclarée",IF(P58*60/Q58&gt;O58+0.001,"Cadence dépassée : vérifiez la cadence","OK"))))))))))))))))))</f>
        <v>OK</v>
      </c>
      <c r="AC58">
        <f>IF(OR(AB58="OK",AB58="Aucune pièce déclarée",AB58="Cadence dépassée : vérifiez la cadence"),1,0)</f>
        <v>1.0</v>
      </c>
      <c r="AD58">
        <f>IF(AND(AC58=1,A58&gt;=p_from,A58&lt;=p_to),1,0)</f>
        <v>1.0</v>
      </c>
      <c r="AE58">
        <f>IF(AD58=1,IF(COUNTIFS($A$6:A58,A58,$AD$6:AD58,1)=1,1,0),0)</f>
        <v>0.0</v>
      </c>
      <c r="AF58" t="str">
        <f>IF(AE58=1,COUNTIFS(sj_first,1,sj_date,"&lt;"&amp;A58)+1,"")</f>
        <v/>
      </c>
      <c r="AG58" t="str">
        <f>IF(AND(AD58=1,N(W58)&lt;p_alert),ROUND(W58,4),"")</f>
        <v/>
      </c>
      <c r="AH58" t="str">
        <f>IF(AG58="","",COUNTIF(sj_akey,"&lt;"&amp;AG58)+COUNTIF($AG$6:AG58,AG58))</f>
        <v/>
      </c>
    </row>
    <row r="59">
      <c r="A59" s="51" t="n">
        <v>46293</v>
      </c>
      <c r="B59" s="52" t="inlineStr">
        <is>
          <t>Après-midi</t>
        </is>
      </c>
      <c r="C59" s="52" t="inlineStr">
        <is>
          <t>TOUR2</t>
        </is>
      </c>
      <c r="D59" s="53" t="inlineStr">
        <is>
          <t>OF-2609-126</t>
        </is>
      </c>
      <c r="E59" s="53" t="inlineStr">
        <is>
          <t>AXE-R20</t>
        </is>
      </c>
      <c r="F59" s="54" t="n"/>
      <c r="G59" s="54" t="n">
        <v>182</v>
      </c>
      <c r="H59" s="54" t="n">
        <v>1</v>
      </c>
      <c r="I59" s="54" t="n">
        <v>2</v>
      </c>
      <c r="J59" s="53" t="n"/>
      <c r="K59" s="55">
        <f>IF(COUNTA(A59:I59)=0,"",IF(F59="",IFERROR(INDEX(eq_dur,MATCH(B59,eq_code,0)),""),F59))</f>
        <v>480.0</v>
      </c>
      <c r="L59" s="55">
        <f>IF(ISNUMBER(K59),N(IFERROR(INDEX(eq_pause,MATCH(B59,eq_code,0)),0))+SUMIFS(st_min,st_date,A59,st_eq,B59,st_po,C59,st_type,"Planifié"),"")</f>
        <v>30.0</v>
      </c>
      <c r="M59" s="55">
        <f>IF(ISNUMBER(K59),K59-L59,"")</f>
        <v>450.0</v>
      </c>
      <c r="N59" s="55">
        <f>IF(ISNUMBER(K59),SUMIFS(st_min,st_date,A59,st_eq,B59,st_po,C59,st_type,"Non planifié"),"")</f>
        <v>64.0</v>
      </c>
      <c r="O59" s="55">
        <f>IF(ISNUMBER(K59),M59-N59,"")</f>
        <v>386.0</v>
      </c>
      <c r="P59" s="55">
        <f>IF(COUNTA(A59:I59)=0,"",N(G59)+N(H59)+N(I59))</f>
        <v>185.0</v>
      </c>
      <c r="Q59" s="56">
        <f>IF(COUNTA(A59:I59)=0,"",IF(N(IFERROR(INDEX(art_rate,MATCH(E59,art_ref,0)),0))&gt;0,N(IFERROR(INDEX(art_rate,MATCH(E59,art_ref,0)),0)),N(IFERROR(INDEX(po_rate,MATCH(C59,po_code,0)),0))))</f>
        <v>30.0</v>
      </c>
      <c r="R59" s="55">
        <f>IF(AC59=1,P59*60/Q59,"")</f>
        <v>370.0</v>
      </c>
      <c r="S59" s="55">
        <f>IF(AC59=1,N(G59)*60/Q59,"")</f>
        <v>364.0</v>
      </c>
      <c r="T59" s="57">
        <f>IF(AC59=1,O59/M59,"")</f>
        <v>0.857777777777778</v>
      </c>
      <c r="U59" s="57">
        <f>IF(AC59=1,IF(O59&gt;0,R59/O59,""),"")</f>
        <v>0.958549222797927</v>
      </c>
      <c r="V59" s="57">
        <f>IF(AC59=1,IF(P59&gt;0,N(G59)/P59,""),"")</f>
        <v>0.983783783783784</v>
      </c>
      <c r="W59" s="57">
        <f>IF(AC59=1,S59/M59,"")</f>
        <v>0.808888888888889</v>
      </c>
      <c r="X59" s="57">
        <f>IF(AC59=1,S59/K59,"")</f>
        <v>0.758333333333333</v>
      </c>
      <c r="Y59" s="58" t="str">
        <f>IF(W59="","",IF(W59&gt;=p_target,"Bon",IF(W59&gt;=p_alert,"À surveiller","Faible")))</f>
        <v>Bon</v>
      </c>
      <c r="Z59" s="58" t="str">
        <f>IF(W59="","",IF(MIN(IF(T59="",1,T59),IF(U59="",1,U59),IF(V59="",1,V59))&gt;=1,"Aucune",IF(IF(T59="",1,T59)&lt;=MIN(IF(U59="",1,U59),IF(V59="",1,V59)),"Disponibilité",IF(IF(U59="",1,U59)&lt;=IF(V59="",1,V59),"Performance","Qualité"))))</f>
        <v>Disponibilité</v>
      </c>
      <c r="AA59" s="59">
        <f>IF(AC59=1,N(H59)*N(IFERROR(INDEX(art_cost,MATCH(E59,art_ref,0)),0)),"")</f>
        <v>38.5</v>
      </c>
      <c r="AB59" s="58" t="str">
        <f>IF(COUNTA(A59:I59)=0,"",IF(N(A59)&lt;=0,"Date manquante ou invalide",IF(B59="","Équipe manquante",IF(ISNA(MATCH(B59,eq_code,0)),"Équipe inconnue",IF(INDEX(eq_check,MATCH(B59,eq_code,0))&lt;&gt;"OK","Équipe à corriger dans Paramètres",IF(C59="","Poste manquant",IF(ISNA(MATCH(C59,po_code,0)),"Poste inconnu",IF(AND(E59&lt;&gt;"",ISNA(MATCH(E59,art_ref,0))),"Article inconnu",IF(IF(E59="",FALSE,INDEX(art_check,MATCH(E59,art_ref,0))&lt;&gt;"OK"),"Article à corriger (feuille Articles)",IF(COUNTIFS(sj_date,A59,sj_eq,B59,sj_po,C59)&gt;1,"Ligne en double (même jour, équipe et poste)",IF(OR(NOT(ISNUMBER(K59)),N(K59)&lt;=0,N(K59)&gt;1440),"Temps d'ouverture invalide",IF(OR(AND(G59&lt;&gt;"",NOT(ISNUMBER(G59))),N(G59)&lt;0,N(G59)&lt;&gt;INT(N(G59)),AND(H59&lt;&gt;"",NOT(ISNUMBER(H59))),N(H59)&lt;0,N(H59)&lt;&gt;INT(N(H59)),AND(I59&lt;&gt;"",NOT(ISNUMBER(I59))),N(I59)&lt;0,N(I59)&lt;&gt;INT(N(I59))),"Quantité invalide",IF(Q59&lt;=0,"Cadence manquante (poste ou article)",IF(M59&lt;=0,"Arrêts planifiés supérieurs au temps d'ouverture",IF(O59&lt;0,"Arrêts supérieurs au temps requis",IF(AND(P59&gt;0,O59=0),"Pièces déclarées sans temps de marche",IF(AND(P59=0,O59&gt;0),"Aucune pièce déclarée",IF(P59*60/Q59&gt;O59+0.001,"Cadence dépassée : vérifiez la cadence","OK"))))))))))))))))))</f>
        <v>OK</v>
      </c>
      <c r="AC59">
        <f>IF(OR(AB59="OK",AB59="Aucune pièce déclarée",AB59="Cadence dépassée : vérifiez la cadence"),1,0)</f>
        <v>1.0</v>
      </c>
      <c r="AD59">
        <f>IF(AND(AC59=1,A59&gt;=p_from,A59&lt;=p_to),1,0)</f>
        <v>1.0</v>
      </c>
      <c r="AE59">
        <f>IF(AD59=1,IF(COUNTIFS($A$6:A59,A59,$AD$6:AD59,1)=1,1,0),0)</f>
        <v>0.0</v>
      </c>
      <c r="AF59" t="str">
        <f>IF(AE59=1,COUNTIFS(sj_first,1,sj_date,"&lt;"&amp;A59)+1,"")</f>
        <v/>
      </c>
      <c r="AG59" t="str">
        <f>IF(AND(AD59=1,N(W59)&lt;p_alert),ROUND(W59,4),"")</f>
        <v/>
      </c>
      <c r="AH59" t="str">
        <f>IF(AG59="","",COUNTIF(sj_akey,"&lt;"&amp;AG59)+COUNTIF($AG$6:AG59,AG59))</f>
        <v/>
      </c>
    </row>
    <row r="60">
      <c r="A60" s="51" t="n">
        <v>46293</v>
      </c>
      <c r="B60" s="52" t="inlineStr">
        <is>
          <t>Matin</t>
        </is>
      </c>
      <c r="C60" s="52" t="inlineStr">
        <is>
          <t>USIN</t>
        </is>
      </c>
      <c r="D60" s="53" t="inlineStr">
        <is>
          <t>OF-2609-123</t>
        </is>
      </c>
      <c r="E60" s="53" t="inlineStr">
        <is>
          <t>CAR-BOI-04</t>
        </is>
      </c>
      <c r="F60" s="54" t="n"/>
      <c r="G60" s="54" t="n">
        <v>32</v>
      </c>
      <c r="H60" s="54" t="n">
        <v>0</v>
      </c>
      <c r="I60" s="54" t="n">
        <v>0</v>
      </c>
      <c r="J60" s="53" t="n"/>
      <c r="K60" s="55">
        <f>IF(COUNTA(A60:I60)=0,"",IF(F60="",IFERROR(INDEX(eq_dur,MATCH(B60,eq_code,0)),""),F60))</f>
        <v>480.0</v>
      </c>
      <c r="L60" s="55">
        <f>IF(ISNUMBER(K60),N(IFERROR(INDEX(eq_pause,MATCH(B60,eq_code,0)),0))+SUMIFS(st_min,st_date,A60,st_eq,B60,st_po,C60,st_type,"Planifié"),"")</f>
        <v>90.0</v>
      </c>
      <c r="M60" s="55">
        <f>IF(ISNUMBER(K60),K60-L60,"")</f>
        <v>390.0</v>
      </c>
      <c r="N60" s="55">
        <f>IF(ISNUMBER(K60),SUMIFS(st_min,st_date,A60,st_eq,B60,st_po,C60,st_type,"Non planifié"),"")</f>
        <v>29.0</v>
      </c>
      <c r="O60" s="55">
        <f>IF(ISNUMBER(K60),M60-N60,"")</f>
        <v>361.0</v>
      </c>
      <c r="P60" s="55">
        <f>IF(COUNTA(A60:I60)=0,"",N(G60)+N(H60)+N(I60))</f>
        <v>32.0</v>
      </c>
      <c r="Q60" s="56">
        <f>IF(COUNTA(A60:I60)=0,"",IF(N(IFERROR(INDEX(art_rate,MATCH(E60,art_ref,0)),0))&gt;0,N(IFERROR(INDEX(art_rate,MATCH(E60,art_ref,0)),0)),N(IFERROR(INDEX(po_rate,MATCH(C60,po_code,0)),0))))</f>
        <v>6.0</v>
      </c>
      <c r="R60" s="55">
        <f>IF(AC60=1,P60*60/Q60,"")</f>
        <v>320.0</v>
      </c>
      <c r="S60" s="55">
        <f>IF(AC60=1,N(G60)*60/Q60,"")</f>
        <v>320.0</v>
      </c>
      <c r="T60" s="57">
        <f>IF(AC60=1,O60/M60,"")</f>
        <v>0.925641025641026</v>
      </c>
      <c r="U60" s="57">
        <f>IF(AC60=1,IF(O60&gt;0,R60/O60,""),"")</f>
        <v>0.886426592797784</v>
      </c>
      <c r="V60" s="57">
        <f>IF(AC60=1,IF(P60&gt;0,N(G60)/P60,""),"")</f>
        <v>1.0</v>
      </c>
      <c r="W60" s="57">
        <f>IF(AC60=1,S60/M60,"")</f>
        <v>0.820512820512821</v>
      </c>
      <c r="X60" s="57">
        <f>IF(AC60=1,S60/K60,"")</f>
        <v>0.666666666666667</v>
      </c>
      <c r="Y60" s="58" t="str">
        <f>IF(W60="","",IF(W60&gt;=p_target,"Bon",IF(W60&gt;=p_alert,"À surveiller","Faible")))</f>
        <v>Bon</v>
      </c>
      <c r="Z60" s="58" t="str">
        <f>IF(W60="","",IF(MIN(IF(T60="",1,T60),IF(U60="",1,U60),IF(V60="",1,V60))&gt;=1,"Aucune",IF(IF(T60="",1,T60)&lt;=MIN(IF(U60="",1,U60),IF(V60="",1,V60)),"Disponibilité",IF(IF(U60="",1,U60)&lt;=IF(V60="",1,V60),"Performance","Qualité"))))</f>
        <v>Performance</v>
      </c>
      <c r="AA60" s="59">
        <f>IF(AC60=1,N(H60)*N(IFERROR(INDEX(art_cost,MATCH(E60,art_ref,0)),0)),"")</f>
        <v>0.0</v>
      </c>
      <c r="AB60" s="58" t="str">
        <f>IF(COUNTA(A60:I60)=0,"",IF(N(A60)&lt;=0,"Date manquante ou invalide",IF(B60="","Équipe manquante",IF(ISNA(MATCH(B60,eq_code,0)),"Équipe inconnue",IF(INDEX(eq_check,MATCH(B60,eq_code,0))&lt;&gt;"OK","Équipe à corriger dans Paramètres",IF(C60="","Poste manquant",IF(ISNA(MATCH(C60,po_code,0)),"Poste inconnu",IF(AND(E60&lt;&gt;"",ISNA(MATCH(E60,art_ref,0))),"Article inconnu",IF(IF(E60="",FALSE,INDEX(art_check,MATCH(E60,art_ref,0))&lt;&gt;"OK"),"Article à corriger (feuille Articles)",IF(COUNTIFS(sj_date,A60,sj_eq,B60,sj_po,C60)&gt;1,"Ligne en double (même jour, équipe et poste)",IF(OR(NOT(ISNUMBER(K60)),N(K60)&lt;=0,N(K60)&gt;1440),"Temps d'ouverture invalide",IF(OR(AND(G60&lt;&gt;"",NOT(ISNUMBER(G60))),N(G60)&lt;0,N(G60)&lt;&gt;INT(N(G60)),AND(H60&lt;&gt;"",NOT(ISNUMBER(H60))),N(H60)&lt;0,N(H60)&lt;&gt;INT(N(H60)),AND(I60&lt;&gt;"",NOT(ISNUMBER(I60))),N(I60)&lt;0,N(I60)&lt;&gt;INT(N(I60))),"Quantité invalide",IF(Q60&lt;=0,"Cadence manquante (poste ou article)",IF(M60&lt;=0,"Arrêts planifiés supérieurs au temps d'ouverture",IF(O60&lt;0,"Arrêts supérieurs au temps requis",IF(AND(P60&gt;0,O60=0),"Pièces déclarées sans temps de marche",IF(AND(P60=0,O60&gt;0),"Aucune pièce déclarée",IF(P60*60/Q60&gt;O60+0.001,"Cadence dépassée : vérifiez la cadence","OK"))))))))))))))))))</f>
        <v>OK</v>
      </c>
      <c r="AC60">
        <f>IF(OR(AB60="OK",AB60="Aucune pièce déclarée",AB60="Cadence dépassée : vérifiez la cadence"),1,0)</f>
        <v>1.0</v>
      </c>
      <c r="AD60">
        <f>IF(AND(AC60=1,A60&gt;=p_from,A60&lt;=p_to),1,0)</f>
        <v>1.0</v>
      </c>
      <c r="AE60">
        <f>IF(AD60=1,IF(COUNTIFS($A$6:A60,A60,$AD$6:AD60,1)=1,1,0),0)</f>
        <v>0.0</v>
      </c>
      <c r="AF60" t="str">
        <f>IF(AE60=1,COUNTIFS(sj_first,1,sj_date,"&lt;"&amp;A60)+1,"")</f>
        <v/>
      </c>
      <c r="AG60" t="str">
        <f>IF(AND(AD60=1,N(W60)&lt;p_alert),ROUND(W60,4),"")</f>
        <v/>
      </c>
      <c r="AH60" t="str">
        <f>IF(AG60="","",COUNTIF(sj_akey,"&lt;"&amp;AG60)+COUNTIF($AG$6:AG60,AG60))</f>
        <v/>
      </c>
    </row>
    <row r="61">
      <c r="A61" s="51" t="n">
        <v>46293</v>
      </c>
      <c r="B61" s="52" t="inlineStr">
        <is>
          <t>Après-midi</t>
        </is>
      </c>
      <c r="C61" s="52" t="inlineStr">
        <is>
          <t>USIN</t>
        </is>
      </c>
      <c r="D61" s="53" t="inlineStr">
        <is>
          <t>OF-2609-124</t>
        </is>
      </c>
      <c r="E61" s="53" t="inlineStr">
        <is>
          <t>CAR-BOI-04</t>
        </is>
      </c>
      <c r="F61" s="54" t="n"/>
      <c r="G61" s="54" t="n">
        <v>40</v>
      </c>
      <c r="H61" s="54" t="n">
        <v>0</v>
      </c>
      <c r="I61" s="54" t="n">
        <v>0</v>
      </c>
      <c r="J61" s="53" t="n"/>
      <c r="K61" s="55">
        <f>IF(COUNTA(A61:I61)=0,"",IF(F61="",IFERROR(INDEX(eq_dur,MATCH(B61,eq_code,0)),""),F61))</f>
        <v>480.0</v>
      </c>
      <c r="L61" s="55">
        <f>IF(ISNUMBER(K61),N(IFERROR(INDEX(eq_pause,MATCH(B61,eq_code,0)),0))+SUMIFS(st_min,st_date,A61,st_eq,B61,st_po,C61,st_type,"Planifié"),"")</f>
        <v>30.0</v>
      </c>
      <c r="M61" s="55">
        <f>IF(ISNUMBER(K61),K61-L61,"")</f>
        <v>450.0</v>
      </c>
      <c r="N61" s="55">
        <f>IF(ISNUMBER(K61),SUMIFS(st_min,st_date,A61,st_eq,B61,st_po,C61,st_type,"Non planifié"),"")</f>
        <v>0.0</v>
      </c>
      <c r="O61" s="55">
        <f>IF(ISNUMBER(K61),M61-N61,"")</f>
        <v>450.0</v>
      </c>
      <c r="P61" s="55">
        <f>IF(COUNTA(A61:I61)=0,"",N(G61)+N(H61)+N(I61))</f>
        <v>40.0</v>
      </c>
      <c r="Q61" s="56">
        <f>IF(COUNTA(A61:I61)=0,"",IF(N(IFERROR(INDEX(art_rate,MATCH(E61,art_ref,0)),0))&gt;0,N(IFERROR(INDEX(art_rate,MATCH(E61,art_ref,0)),0)),N(IFERROR(INDEX(po_rate,MATCH(C61,po_code,0)),0))))</f>
        <v>6.0</v>
      </c>
      <c r="R61" s="55">
        <f>IF(AC61=1,P61*60/Q61,"")</f>
        <v>400.0</v>
      </c>
      <c r="S61" s="55">
        <f>IF(AC61=1,N(G61)*60/Q61,"")</f>
        <v>400.0</v>
      </c>
      <c r="T61" s="57">
        <f>IF(AC61=1,O61/M61,"")</f>
        <v>1.0</v>
      </c>
      <c r="U61" s="57">
        <f>IF(AC61=1,IF(O61&gt;0,R61/O61,""),"")</f>
        <v>0.888888888888889</v>
      </c>
      <c r="V61" s="57">
        <f>IF(AC61=1,IF(P61&gt;0,N(G61)/P61,""),"")</f>
        <v>1.0</v>
      </c>
      <c r="W61" s="57">
        <f>IF(AC61=1,S61/M61,"")</f>
        <v>0.888888888888889</v>
      </c>
      <c r="X61" s="57">
        <f>IF(AC61=1,S61/K61,"")</f>
        <v>0.833333333333333</v>
      </c>
      <c r="Y61" s="58" t="str">
        <f>IF(W61="","",IF(W61&gt;=p_target,"Bon",IF(W61&gt;=p_alert,"À surveiller","Faible")))</f>
        <v>Bon</v>
      </c>
      <c r="Z61" s="58" t="str">
        <f>IF(W61="","",IF(MIN(IF(T61="",1,T61),IF(U61="",1,U61),IF(V61="",1,V61))&gt;=1,"Aucune",IF(IF(T61="",1,T61)&lt;=MIN(IF(U61="",1,U61),IF(V61="",1,V61)),"Disponibilité",IF(IF(U61="",1,U61)&lt;=IF(V61="",1,V61),"Performance","Qualité"))))</f>
        <v>Performance</v>
      </c>
      <c r="AA61" s="59">
        <f>IF(AC61=1,N(H61)*N(IFERROR(INDEX(art_cost,MATCH(E61,art_ref,0)),0)),"")</f>
        <v>0.0</v>
      </c>
      <c r="AB61" s="58" t="str">
        <f>IF(COUNTA(A61:I61)=0,"",IF(N(A61)&lt;=0,"Date manquante ou invalide",IF(B61="","Équipe manquante",IF(ISNA(MATCH(B61,eq_code,0)),"Équipe inconnue",IF(INDEX(eq_check,MATCH(B61,eq_code,0))&lt;&gt;"OK","Équipe à corriger dans Paramètres",IF(C61="","Poste manquant",IF(ISNA(MATCH(C61,po_code,0)),"Poste inconnu",IF(AND(E61&lt;&gt;"",ISNA(MATCH(E61,art_ref,0))),"Article inconnu",IF(IF(E61="",FALSE,INDEX(art_check,MATCH(E61,art_ref,0))&lt;&gt;"OK"),"Article à corriger (feuille Articles)",IF(COUNTIFS(sj_date,A61,sj_eq,B61,sj_po,C61)&gt;1,"Ligne en double (même jour, équipe et poste)",IF(OR(NOT(ISNUMBER(K61)),N(K61)&lt;=0,N(K61)&gt;1440),"Temps d'ouverture invalide",IF(OR(AND(G61&lt;&gt;"",NOT(ISNUMBER(G61))),N(G61)&lt;0,N(G61)&lt;&gt;INT(N(G61)),AND(H61&lt;&gt;"",NOT(ISNUMBER(H61))),N(H61)&lt;0,N(H61)&lt;&gt;INT(N(H61)),AND(I61&lt;&gt;"",NOT(ISNUMBER(I61))),N(I61)&lt;0,N(I61)&lt;&gt;INT(N(I61))),"Quantité invalide",IF(Q61&lt;=0,"Cadence manquante (poste ou article)",IF(M61&lt;=0,"Arrêts planifiés supérieurs au temps d'ouverture",IF(O61&lt;0,"Arrêts supérieurs au temps requis",IF(AND(P61&gt;0,O61=0),"Pièces déclarées sans temps de marche",IF(AND(P61=0,O61&gt;0),"Aucune pièce déclarée",IF(P61*60/Q61&gt;O61+0.001,"Cadence dépassée : vérifiez la cadence","OK"))))))))))))))))))</f>
        <v>OK</v>
      </c>
      <c r="AC61">
        <f>IF(OR(AB61="OK",AB61="Aucune pièce déclarée",AB61="Cadence dépassée : vérifiez la cadence"),1,0)</f>
        <v>1.0</v>
      </c>
      <c r="AD61">
        <f>IF(AND(AC61=1,A61&gt;=p_from,A61&lt;=p_to),1,0)</f>
        <v>1.0</v>
      </c>
      <c r="AE61">
        <f>IF(AD61=1,IF(COUNTIFS($A$6:A61,A61,$AD$6:AD61,1)=1,1,0),0)</f>
        <v>0.0</v>
      </c>
      <c r="AF61" t="str">
        <f>IF(AE61=1,COUNTIFS(sj_first,1,sj_date,"&lt;"&amp;A61)+1,"")</f>
        <v/>
      </c>
      <c r="AG61" t="str">
        <f>IF(AND(AD61=1,N(W61)&lt;p_alert),ROUND(W61,4),"")</f>
        <v/>
      </c>
      <c r="AH61" t="str">
        <f>IF(AG61="","",COUNTIF(sj_akey,"&lt;"&amp;AG61)+COUNTIF($AG$6:AG61,AG61))</f>
        <v/>
      </c>
    </row>
    <row r="62">
      <c r="A62" s="51" t="n">
        <v>46293</v>
      </c>
      <c r="B62" s="52" t="inlineStr">
        <is>
          <t>Matin</t>
        </is>
      </c>
      <c r="C62" s="52" t="inlineStr">
        <is>
          <t>PRESSE</t>
        </is>
      </c>
      <c r="D62" s="53" t="inlineStr">
        <is>
          <t>OF-2609-127</t>
        </is>
      </c>
      <c r="E62" s="53" t="inlineStr">
        <is>
          <t>PAT-FIX-10</t>
        </is>
      </c>
      <c r="F62" s="54" t="n"/>
      <c r="G62" s="54" t="n">
        <v>2224</v>
      </c>
      <c r="H62" s="54" t="n">
        <v>15</v>
      </c>
      <c r="I62" s="54" t="n">
        <v>19</v>
      </c>
      <c r="J62" s="53" t="n"/>
      <c r="K62" s="55">
        <f>IF(COUNTA(A62:I62)=0,"",IF(F62="",IFERROR(INDEX(eq_dur,MATCH(B62,eq_code,0)),""),F62))</f>
        <v>480.0</v>
      </c>
      <c r="L62" s="55">
        <f>IF(ISNUMBER(K62),N(IFERROR(INDEX(eq_pause,MATCH(B62,eq_code,0)),0))+SUMIFS(st_min,st_date,A62,st_eq,B62,st_po,C62,st_type,"Planifié"),"")</f>
        <v>90.0</v>
      </c>
      <c r="M62" s="55">
        <f>IF(ISNUMBER(K62),K62-L62,"")</f>
        <v>390.0</v>
      </c>
      <c r="N62" s="55">
        <f>IF(ISNUMBER(K62),SUMIFS(st_min,st_date,A62,st_eq,B62,st_po,C62,st_type,"Non planifié"),"")</f>
        <v>52.0</v>
      </c>
      <c r="O62" s="55">
        <f>IF(ISNUMBER(K62),M62-N62,"")</f>
        <v>338.0</v>
      </c>
      <c r="P62" s="55">
        <f>IF(COUNTA(A62:I62)=0,"",N(G62)+N(H62)+N(I62))</f>
        <v>2258.0</v>
      </c>
      <c r="Q62" s="56">
        <f>IF(COUNTA(A62:I62)=0,"",IF(N(IFERROR(INDEX(art_rate,MATCH(E62,art_ref,0)),0))&gt;0,N(IFERROR(INDEX(art_rate,MATCH(E62,art_ref,0)),0)),N(IFERROR(INDEX(po_rate,MATCH(C62,po_code,0)),0))))</f>
        <v>420.0</v>
      </c>
      <c r="R62" s="55">
        <f>IF(AC62=1,P62*60/Q62,"")</f>
        <v>322.571428571429</v>
      </c>
      <c r="S62" s="55">
        <f>IF(AC62=1,N(G62)*60/Q62,"")</f>
        <v>317.714285714286</v>
      </c>
      <c r="T62" s="57">
        <f>IF(AC62=1,O62/M62,"")</f>
        <v>0.866666666666667</v>
      </c>
      <c r="U62" s="57">
        <f>IF(AC62=1,IF(O62&gt;0,R62/O62,""),"")</f>
        <v>0.954353338968724</v>
      </c>
      <c r="V62" s="57">
        <f>IF(AC62=1,IF(P62&gt;0,N(G62)/P62,""),"")</f>
        <v>0.984942426926484</v>
      </c>
      <c r="W62" s="57">
        <f>IF(AC62=1,S62/M62,"")</f>
        <v>0.814652014652015</v>
      </c>
      <c r="X62" s="57">
        <f>IF(AC62=1,S62/K62,"")</f>
        <v>0.661904761904762</v>
      </c>
      <c r="Y62" s="58" t="str">
        <f>IF(W62="","",IF(W62&gt;=p_target,"Bon",IF(W62&gt;=p_alert,"À surveiller","Faible")))</f>
        <v>Bon</v>
      </c>
      <c r="Z62" s="58" t="str">
        <f>IF(W62="","",IF(MIN(IF(T62="",1,T62),IF(U62="",1,U62),IF(V62="",1,V62))&gt;=1,"Aucune",IF(IF(T62="",1,T62)&lt;=MIN(IF(U62="",1,U62),IF(V62="",1,V62)),"Disponibilité",IF(IF(U62="",1,U62)&lt;=IF(V62="",1,V62),"Performance","Qualité"))))</f>
        <v>Disponibilité</v>
      </c>
      <c r="AA62" s="59">
        <f>IF(AC62=1,N(H62)*N(IFERROR(INDEX(art_cost,MATCH(E62,art_ref,0)),0)),"")</f>
        <v>63.0</v>
      </c>
      <c r="AB62" s="58" t="str">
        <f>IF(COUNTA(A62:I62)=0,"",IF(N(A62)&lt;=0,"Date manquante ou invalide",IF(B62="","Équipe manquante",IF(ISNA(MATCH(B62,eq_code,0)),"Équipe inconnue",IF(INDEX(eq_check,MATCH(B62,eq_code,0))&lt;&gt;"OK","Équipe à corriger dans Paramètres",IF(C62="","Poste manquant",IF(ISNA(MATCH(C62,po_code,0)),"Poste inconnu",IF(AND(E62&lt;&gt;"",ISNA(MATCH(E62,art_ref,0))),"Article inconnu",IF(IF(E62="",FALSE,INDEX(art_check,MATCH(E62,art_ref,0))&lt;&gt;"OK"),"Article à corriger (feuille Articles)",IF(COUNTIFS(sj_date,A62,sj_eq,B62,sj_po,C62)&gt;1,"Ligne en double (même jour, équipe et poste)",IF(OR(NOT(ISNUMBER(K62)),N(K62)&lt;=0,N(K62)&gt;1440),"Temps d'ouverture invalide",IF(OR(AND(G62&lt;&gt;"",NOT(ISNUMBER(G62))),N(G62)&lt;0,N(G62)&lt;&gt;INT(N(G62)),AND(H62&lt;&gt;"",NOT(ISNUMBER(H62))),N(H62)&lt;0,N(H62)&lt;&gt;INT(N(H62)),AND(I62&lt;&gt;"",NOT(ISNUMBER(I62))),N(I62)&lt;0,N(I62)&lt;&gt;INT(N(I62))),"Quantité invalide",IF(Q62&lt;=0,"Cadence manquante (poste ou article)",IF(M62&lt;=0,"Arrêts planifiés supérieurs au temps d'ouverture",IF(O62&lt;0,"Arrêts supérieurs au temps requis",IF(AND(P62&gt;0,O62=0),"Pièces déclarées sans temps de marche",IF(AND(P62=0,O62&gt;0),"Aucune pièce déclarée",IF(P62*60/Q62&gt;O62+0.001,"Cadence dépassée : vérifiez la cadence","OK"))))))))))))))))))</f>
        <v>OK</v>
      </c>
      <c r="AC62">
        <f>IF(OR(AB62="OK",AB62="Aucune pièce déclarée",AB62="Cadence dépassée : vérifiez la cadence"),1,0)</f>
        <v>1.0</v>
      </c>
      <c r="AD62">
        <f>IF(AND(AC62=1,A62&gt;=p_from,A62&lt;=p_to),1,0)</f>
        <v>1.0</v>
      </c>
      <c r="AE62">
        <f>IF(AD62=1,IF(COUNTIFS($A$6:A62,A62,$AD$6:AD62,1)=1,1,0),0)</f>
        <v>0.0</v>
      </c>
      <c r="AF62" t="str">
        <f>IF(AE62=1,COUNTIFS(sj_first,1,sj_date,"&lt;"&amp;A62)+1,"")</f>
        <v/>
      </c>
      <c r="AG62" t="str">
        <f>IF(AND(AD62=1,N(W62)&lt;p_alert),ROUND(W62,4),"")</f>
        <v/>
      </c>
      <c r="AH62" t="str">
        <f>IF(AG62="","",COUNTIF(sj_akey,"&lt;"&amp;AG62)+COUNTIF($AG$6:AG62,AG62))</f>
        <v/>
      </c>
    </row>
    <row r="63">
      <c r="A63" s="51" t="n">
        <v>46293</v>
      </c>
      <c r="B63" s="52" t="inlineStr">
        <is>
          <t>Journée</t>
        </is>
      </c>
      <c r="C63" s="52" t="inlineStr">
        <is>
          <t>PLIE</t>
        </is>
      </c>
      <c r="D63" s="53" t="inlineStr">
        <is>
          <t>OF-2609-128</t>
        </is>
      </c>
      <c r="E63" s="53" t="inlineStr">
        <is>
          <t>SUP-MOT-01</t>
        </is>
      </c>
      <c r="F63" s="54" t="n"/>
      <c r="G63" s="54" t="n">
        <v>457</v>
      </c>
      <c r="H63" s="54" t="n">
        <v>4</v>
      </c>
      <c r="I63" s="54" t="n">
        <v>6</v>
      </c>
      <c r="J63" s="53" t="n"/>
      <c r="K63" s="55">
        <f>IF(COUNTA(A63:I63)=0,"",IF(F63="",IFERROR(INDEX(eq_dur,MATCH(B63,eq_code,0)),""),F63))</f>
        <v>540.0</v>
      </c>
      <c r="L63" s="55">
        <f>IF(ISNUMBER(K63),N(IFERROR(INDEX(eq_pause,MATCH(B63,eq_code,0)),0))+SUMIFS(st_min,st_date,A63,st_eq,B63,st_po,C63,st_type,"Planifié"),"")</f>
        <v>60.0</v>
      </c>
      <c r="M63" s="55">
        <f>IF(ISNUMBER(K63),K63-L63,"")</f>
        <v>480.0</v>
      </c>
      <c r="N63" s="55">
        <f>IF(ISNUMBER(K63),SUMIFS(st_min,st_date,A63,st_eq,B63,st_po,C63,st_type,"Non planifié"),"")</f>
        <v>104.0</v>
      </c>
      <c r="O63" s="55">
        <f>IF(ISNUMBER(K63),M63-N63,"")</f>
        <v>376.0</v>
      </c>
      <c r="P63" s="55">
        <f>IF(COUNTA(A63:I63)=0,"",N(G63)+N(H63)+N(I63))</f>
        <v>467.0</v>
      </c>
      <c r="Q63" s="56">
        <f>IF(COUNTA(A63:I63)=0,"",IF(N(IFERROR(INDEX(art_rate,MATCH(E63,art_ref,0)),0))&gt;0,N(IFERROR(INDEX(art_rate,MATCH(E63,art_ref,0)),0)),N(IFERROR(INDEX(po_rate,MATCH(C63,po_code,0)),0))))</f>
        <v>90.0</v>
      </c>
      <c r="R63" s="55">
        <f>IF(AC63=1,P63*60/Q63,"")</f>
        <v>311.333333333333</v>
      </c>
      <c r="S63" s="55">
        <f>IF(AC63=1,N(G63)*60/Q63,"")</f>
        <v>304.666666666667</v>
      </c>
      <c r="T63" s="57">
        <f>IF(AC63=1,O63/M63,"")</f>
        <v>0.783333333333333</v>
      </c>
      <c r="U63" s="57">
        <f>IF(AC63=1,IF(O63&gt;0,R63/O63,""),"")</f>
        <v>0.828014184397163</v>
      </c>
      <c r="V63" s="57">
        <f>IF(AC63=1,IF(P63&gt;0,N(G63)/P63,""),"")</f>
        <v>0.978586723768737</v>
      </c>
      <c r="W63" s="57">
        <f>IF(AC63=1,S63/M63,"")</f>
        <v>0.634722222222222</v>
      </c>
      <c r="X63" s="57">
        <f>IF(AC63=1,S63/K63,"")</f>
        <v>0.564197530864198</v>
      </c>
      <c r="Y63" s="58" t="str">
        <f>IF(W63="","",IF(W63&gt;=p_target,"Bon",IF(W63&gt;=p_alert,"À surveiller","Faible")))</f>
        <v>À surveiller</v>
      </c>
      <c r="Z63" s="58" t="str">
        <f>IF(W63="","",IF(MIN(IF(T63="",1,T63),IF(U63="",1,U63),IF(V63="",1,V63))&gt;=1,"Aucune",IF(IF(T63="",1,T63)&lt;=MIN(IF(U63="",1,U63),IF(V63="",1,V63)),"Disponibilité",IF(IF(U63="",1,U63)&lt;=IF(V63="",1,V63),"Performance","Qualité"))))</f>
        <v>Disponibilité</v>
      </c>
      <c r="AA63" s="59">
        <f>IF(AC63=1,N(H63)*N(IFERROR(INDEX(art_cost,MATCH(E63,art_ref,0)),0)),"")</f>
        <v>256.0</v>
      </c>
      <c r="AB63" s="58" t="str">
        <f>IF(COUNTA(A63:I63)=0,"",IF(N(A63)&lt;=0,"Date manquante ou invalide",IF(B63="","Équipe manquante",IF(ISNA(MATCH(B63,eq_code,0)),"Équipe inconnue",IF(INDEX(eq_check,MATCH(B63,eq_code,0))&lt;&gt;"OK","Équipe à corriger dans Paramètres",IF(C63="","Poste manquant",IF(ISNA(MATCH(C63,po_code,0)),"Poste inconnu",IF(AND(E63&lt;&gt;"",ISNA(MATCH(E63,art_ref,0))),"Article inconnu",IF(IF(E63="",FALSE,INDEX(art_check,MATCH(E63,art_ref,0))&lt;&gt;"OK"),"Article à corriger (feuille Articles)",IF(COUNTIFS(sj_date,A63,sj_eq,B63,sj_po,C63)&gt;1,"Ligne en double (même jour, équipe et poste)",IF(OR(NOT(ISNUMBER(K63)),N(K63)&lt;=0,N(K63)&gt;1440),"Temps d'ouverture invalide",IF(OR(AND(G63&lt;&gt;"",NOT(ISNUMBER(G63))),N(G63)&lt;0,N(G63)&lt;&gt;INT(N(G63)),AND(H63&lt;&gt;"",NOT(ISNUMBER(H63))),N(H63)&lt;0,N(H63)&lt;&gt;INT(N(H63)),AND(I63&lt;&gt;"",NOT(ISNUMBER(I63))),N(I63)&lt;0,N(I63)&lt;&gt;INT(N(I63))),"Quantité invalide",IF(Q63&lt;=0,"Cadence manquante (poste ou article)",IF(M63&lt;=0,"Arrêts planifiés supérieurs au temps d'ouverture",IF(O63&lt;0,"Arrêts supérieurs au temps requis",IF(AND(P63&gt;0,O63=0),"Pièces déclarées sans temps de marche",IF(AND(P63=0,O63&gt;0),"Aucune pièce déclarée",IF(P63*60/Q63&gt;O63+0.001,"Cadence dépassée : vérifiez la cadence","OK"))))))))))))))))))</f>
        <v>OK</v>
      </c>
      <c r="AC63">
        <f>IF(OR(AB63="OK",AB63="Aucune pièce déclarée",AB63="Cadence dépassée : vérifiez la cadence"),1,0)</f>
        <v>1.0</v>
      </c>
      <c r="AD63">
        <f>IF(AND(AC63=1,A63&gt;=p_from,A63&lt;=p_to),1,0)</f>
        <v>1.0</v>
      </c>
      <c r="AE63">
        <f>IF(AD63=1,IF(COUNTIFS($A$6:A63,A63,$AD$6:AD63,1)=1,1,0),0)</f>
        <v>0.0</v>
      </c>
      <c r="AF63" t="str">
        <f>IF(AE63=1,COUNTIFS(sj_first,1,sj_date,"&lt;"&amp;A63)+1,"")</f>
        <v/>
      </c>
      <c r="AG63" t="str">
        <f>IF(AND(AD63=1,N(W63)&lt;p_alert),ROUND(W63,4),"")</f>
        <v/>
      </c>
      <c r="AH63" t="str">
        <f>IF(AG63="","",COUNTIF(sj_akey,"&lt;"&amp;AG63)+COUNTIF($AG$6:AG63,AG63))</f>
        <v/>
      </c>
    </row>
    <row r="64">
      <c r="A64" s="51" t="n">
        <v>46293</v>
      </c>
      <c r="B64" s="52" t="inlineStr">
        <is>
          <t>Matin</t>
        </is>
      </c>
      <c r="C64" s="52" t="inlineStr">
        <is>
          <t>SOUD</t>
        </is>
      </c>
      <c r="D64" s="53" t="inlineStr">
        <is>
          <t>OF-2609-115</t>
        </is>
      </c>
      <c r="E64" s="53" t="inlineStr">
        <is>
          <t>CHA-REM-01</t>
        </is>
      </c>
      <c r="F64" s="54" t="n"/>
      <c r="G64" s="54" t="n">
        <v>21</v>
      </c>
      <c r="H64" s="54" t="n">
        <v>0</v>
      </c>
      <c r="I64" s="54" t="n">
        <v>0</v>
      </c>
      <c r="J64" s="53" t="n"/>
      <c r="K64" s="55">
        <f>IF(COUNTA(A64:I64)=0,"",IF(F64="",IFERROR(INDEX(eq_dur,MATCH(B64,eq_code,0)),""),F64))</f>
        <v>480.0</v>
      </c>
      <c r="L64" s="55">
        <f>IF(ISNUMBER(K64),N(IFERROR(INDEX(eq_pause,MATCH(B64,eq_code,0)),0))+SUMIFS(st_min,st_date,A64,st_eq,B64,st_po,C64,st_type,"Planifié"),"")</f>
        <v>30.0</v>
      </c>
      <c r="M64" s="55">
        <f>IF(ISNUMBER(K64),K64-L64,"")</f>
        <v>450.0</v>
      </c>
      <c r="N64" s="55">
        <f>IF(ISNUMBER(K64),SUMIFS(st_min,st_date,A64,st_eq,B64,st_po,C64,st_type,"Non planifié"),"")</f>
        <v>6.0</v>
      </c>
      <c r="O64" s="55">
        <f>IF(ISNUMBER(K64),M64-N64,"")</f>
        <v>444.0</v>
      </c>
      <c r="P64" s="55">
        <f>IF(COUNTA(A64:I64)=0,"",N(G64)+N(H64)+N(I64))</f>
        <v>21.0</v>
      </c>
      <c r="Q64" s="56">
        <f>IF(COUNTA(A64:I64)=0,"",IF(N(IFERROR(INDEX(art_rate,MATCH(E64,art_ref,0)),0))&gt;0,N(IFERROR(INDEX(art_rate,MATCH(E64,art_ref,0)),0)),N(IFERROR(INDEX(po_rate,MATCH(C64,po_code,0)),0))))</f>
        <v>4.0</v>
      </c>
      <c r="R64" s="55">
        <f>IF(AC64=1,P64*60/Q64,"")</f>
        <v>315.0</v>
      </c>
      <c r="S64" s="55">
        <f>IF(AC64=1,N(G64)*60/Q64,"")</f>
        <v>315.0</v>
      </c>
      <c r="T64" s="57">
        <f>IF(AC64=1,O64/M64,"")</f>
        <v>0.986666666666667</v>
      </c>
      <c r="U64" s="57">
        <f>IF(AC64=1,IF(O64&gt;0,R64/O64,""),"")</f>
        <v>0.709459459459459</v>
      </c>
      <c r="V64" s="57">
        <f>IF(AC64=1,IF(P64&gt;0,N(G64)/P64,""),"")</f>
        <v>1.0</v>
      </c>
      <c r="W64" s="57">
        <f>IF(AC64=1,S64/M64,"")</f>
        <v>0.7</v>
      </c>
      <c r="X64" s="57">
        <f>IF(AC64=1,S64/K64,"")</f>
        <v>0.65625</v>
      </c>
      <c r="Y64" s="58" t="str">
        <f>IF(W64="","",IF(W64&gt;=p_target,"Bon",IF(W64&gt;=p_alert,"À surveiller","Faible")))</f>
        <v>À surveiller</v>
      </c>
      <c r="Z64" s="58" t="str">
        <f>IF(W64="","",IF(MIN(IF(T64="",1,T64),IF(U64="",1,U64),IF(V64="",1,V64))&gt;=1,"Aucune",IF(IF(T64="",1,T64)&lt;=MIN(IF(U64="",1,U64),IF(V64="",1,V64)),"Disponibilité",IF(IF(U64="",1,U64)&lt;=IF(V64="",1,V64),"Performance","Qualité"))))</f>
        <v>Performance</v>
      </c>
      <c r="AA64" s="59">
        <f>IF(AC64=1,N(H64)*N(IFERROR(INDEX(art_cost,MATCH(E64,art_ref,0)),0)),"")</f>
        <v>0.0</v>
      </c>
      <c r="AB64" s="58" t="str">
        <f>IF(COUNTA(A64:I64)=0,"",IF(N(A64)&lt;=0,"Date manquante ou invalide",IF(B64="","Équipe manquante",IF(ISNA(MATCH(B64,eq_code,0)),"Équipe inconnue",IF(INDEX(eq_check,MATCH(B64,eq_code,0))&lt;&gt;"OK","Équipe à corriger dans Paramètres",IF(C64="","Poste manquant",IF(ISNA(MATCH(C64,po_code,0)),"Poste inconnu",IF(AND(E64&lt;&gt;"",ISNA(MATCH(E64,art_ref,0))),"Article inconnu",IF(IF(E64="",FALSE,INDEX(art_check,MATCH(E64,art_ref,0))&lt;&gt;"OK"),"Article à corriger (feuille Articles)",IF(COUNTIFS(sj_date,A64,sj_eq,B64,sj_po,C64)&gt;1,"Ligne en double (même jour, équipe et poste)",IF(OR(NOT(ISNUMBER(K64)),N(K64)&lt;=0,N(K64)&gt;1440),"Temps d'ouverture invalide",IF(OR(AND(G64&lt;&gt;"",NOT(ISNUMBER(G64))),N(G64)&lt;0,N(G64)&lt;&gt;INT(N(G64)),AND(H64&lt;&gt;"",NOT(ISNUMBER(H64))),N(H64)&lt;0,N(H64)&lt;&gt;INT(N(H64)),AND(I64&lt;&gt;"",NOT(ISNUMBER(I64))),N(I64)&lt;0,N(I64)&lt;&gt;INT(N(I64))),"Quantité invalide",IF(Q64&lt;=0,"Cadence manquante (poste ou article)",IF(M64&lt;=0,"Arrêts planifiés supérieurs au temps d'ouverture",IF(O64&lt;0,"Arrêts supérieurs au temps requis",IF(AND(P64&gt;0,O64=0),"Pièces déclarées sans temps de marche",IF(AND(P64=0,O64&gt;0),"Aucune pièce déclarée",IF(P64*60/Q64&gt;O64+0.001,"Cadence dépassée : vérifiez la cadence","OK"))))))))))))))))))</f>
        <v>OK</v>
      </c>
      <c r="AC64">
        <f>IF(OR(AB64="OK",AB64="Aucune pièce déclarée",AB64="Cadence dépassée : vérifiez la cadence"),1,0)</f>
        <v>1.0</v>
      </c>
      <c r="AD64">
        <f>IF(AND(AC64=1,A64&gt;=p_from,A64&lt;=p_to),1,0)</f>
        <v>1.0</v>
      </c>
      <c r="AE64">
        <f>IF(AD64=1,IF(COUNTIFS($A$6:A64,A64,$AD$6:AD64,1)=1,1,0),0)</f>
        <v>0.0</v>
      </c>
      <c r="AF64" t="str">
        <f>IF(AE64=1,COUNTIFS(sj_first,1,sj_date,"&lt;"&amp;A64)+1,"")</f>
        <v/>
      </c>
      <c r="AG64" t="str">
        <f>IF(AND(AD64=1,N(W64)&lt;p_alert),ROUND(W64,4),"")</f>
        <v/>
      </c>
      <c r="AH64" t="str">
        <f>IF(AG64="","",COUNTIF(sj_akey,"&lt;"&amp;AG64)+COUNTIF($AG$6:AG64,AG64))</f>
        <v/>
      </c>
    </row>
    <row r="65">
      <c r="A65" s="51" t="n">
        <v>46293</v>
      </c>
      <c r="B65" s="52" t="inlineStr">
        <is>
          <t>Après-midi</t>
        </is>
      </c>
      <c r="C65" s="52" t="inlineStr">
        <is>
          <t>SOUD</t>
        </is>
      </c>
      <c r="D65" s="53" t="inlineStr">
        <is>
          <t>OF-2609-129</t>
        </is>
      </c>
      <c r="E65" s="53" t="inlineStr">
        <is>
          <t>CHA-REM-01</t>
        </is>
      </c>
      <c r="F65" s="54" t="n"/>
      <c r="G65" s="54" t="n">
        <v>20</v>
      </c>
      <c r="H65" s="54" t="n">
        <v>0</v>
      </c>
      <c r="I65" s="54" t="n">
        <v>0</v>
      </c>
      <c r="J65" s="53" t="n"/>
      <c r="K65" s="55">
        <f>IF(COUNTA(A65:I65)=0,"",IF(F65="",IFERROR(INDEX(eq_dur,MATCH(B65,eq_code,0)),""),F65))</f>
        <v>480.0</v>
      </c>
      <c r="L65" s="55">
        <f>IF(ISNUMBER(K65),N(IFERROR(INDEX(eq_pause,MATCH(B65,eq_code,0)),0))+SUMIFS(st_min,st_date,A65,st_eq,B65,st_po,C65,st_type,"Planifié"),"")</f>
        <v>30.0</v>
      </c>
      <c r="M65" s="55">
        <f>IF(ISNUMBER(K65),K65-L65,"")</f>
        <v>450.0</v>
      </c>
      <c r="N65" s="55">
        <f>IF(ISNUMBER(K65),SUMIFS(st_min,st_date,A65,st_eq,B65,st_po,C65,st_type,"Non planifié"),"")</f>
        <v>51.0</v>
      </c>
      <c r="O65" s="55">
        <f>IF(ISNUMBER(K65),M65-N65,"")</f>
        <v>399.0</v>
      </c>
      <c r="P65" s="55">
        <f>IF(COUNTA(A65:I65)=0,"",N(G65)+N(H65)+N(I65))</f>
        <v>20.0</v>
      </c>
      <c r="Q65" s="56">
        <f>IF(COUNTA(A65:I65)=0,"",IF(N(IFERROR(INDEX(art_rate,MATCH(E65,art_ref,0)),0))&gt;0,N(IFERROR(INDEX(art_rate,MATCH(E65,art_ref,0)),0)),N(IFERROR(INDEX(po_rate,MATCH(C65,po_code,0)),0))))</f>
        <v>4.0</v>
      </c>
      <c r="R65" s="55">
        <f>IF(AC65=1,P65*60/Q65,"")</f>
        <v>300.0</v>
      </c>
      <c r="S65" s="55">
        <f>IF(AC65=1,N(G65)*60/Q65,"")</f>
        <v>300.0</v>
      </c>
      <c r="T65" s="57">
        <f>IF(AC65=1,O65/M65,"")</f>
        <v>0.886666666666667</v>
      </c>
      <c r="U65" s="57">
        <f>IF(AC65=1,IF(O65&gt;0,R65/O65,""),"")</f>
        <v>0.75187969924812</v>
      </c>
      <c r="V65" s="57">
        <f>IF(AC65=1,IF(P65&gt;0,N(G65)/P65,""),"")</f>
        <v>1.0</v>
      </c>
      <c r="W65" s="57">
        <f>IF(AC65=1,S65/M65,"")</f>
        <v>0.666666666666667</v>
      </c>
      <c r="X65" s="57">
        <f>IF(AC65=1,S65/K65,"")</f>
        <v>0.625</v>
      </c>
      <c r="Y65" s="58" t="str">
        <f>IF(W65="","",IF(W65&gt;=p_target,"Bon",IF(W65&gt;=p_alert,"À surveiller","Faible")))</f>
        <v>À surveiller</v>
      </c>
      <c r="Z65" s="58" t="str">
        <f>IF(W65="","",IF(MIN(IF(T65="",1,T65),IF(U65="",1,U65),IF(V65="",1,V65))&gt;=1,"Aucune",IF(IF(T65="",1,T65)&lt;=MIN(IF(U65="",1,U65),IF(V65="",1,V65)),"Disponibilité",IF(IF(U65="",1,U65)&lt;=IF(V65="",1,V65),"Performance","Qualité"))))</f>
        <v>Performance</v>
      </c>
      <c r="AA65" s="59">
        <f>IF(AC65=1,N(H65)*N(IFERROR(INDEX(art_cost,MATCH(E65,art_ref,0)),0)),"")</f>
        <v>0.0</v>
      </c>
      <c r="AB65" s="58" t="str">
        <f>IF(COUNTA(A65:I65)=0,"",IF(N(A65)&lt;=0,"Date manquante ou invalide",IF(B65="","Équipe manquante",IF(ISNA(MATCH(B65,eq_code,0)),"Équipe inconnue",IF(INDEX(eq_check,MATCH(B65,eq_code,0))&lt;&gt;"OK","Équipe à corriger dans Paramètres",IF(C65="","Poste manquant",IF(ISNA(MATCH(C65,po_code,0)),"Poste inconnu",IF(AND(E65&lt;&gt;"",ISNA(MATCH(E65,art_ref,0))),"Article inconnu",IF(IF(E65="",FALSE,INDEX(art_check,MATCH(E65,art_ref,0))&lt;&gt;"OK"),"Article à corriger (feuille Articles)",IF(COUNTIFS(sj_date,A65,sj_eq,B65,sj_po,C65)&gt;1,"Ligne en double (même jour, équipe et poste)",IF(OR(NOT(ISNUMBER(K65)),N(K65)&lt;=0,N(K65)&gt;1440),"Temps d'ouverture invalide",IF(OR(AND(G65&lt;&gt;"",NOT(ISNUMBER(G65))),N(G65)&lt;0,N(G65)&lt;&gt;INT(N(G65)),AND(H65&lt;&gt;"",NOT(ISNUMBER(H65))),N(H65)&lt;0,N(H65)&lt;&gt;INT(N(H65)),AND(I65&lt;&gt;"",NOT(ISNUMBER(I65))),N(I65)&lt;0,N(I65)&lt;&gt;INT(N(I65))),"Quantité invalide",IF(Q65&lt;=0,"Cadence manquante (poste ou article)",IF(M65&lt;=0,"Arrêts planifiés supérieurs au temps d'ouverture",IF(O65&lt;0,"Arrêts supérieurs au temps requis",IF(AND(P65&gt;0,O65=0),"Pièces déclarées sans temps de marche",IF(AND(P65=0,O65&gt;0),"Aucune pièce déclarée",IF(P65*60/Q65&gt;O65+0.001,"Cadence dépassée : vérifiez la cadence","OK"))))))))))))))))))</f>
        <v>OK</v>
      </c>
      <c r="AC65">
        <f>IF(OR(AB65="OK",AB65="Aucune pièce déclarée",AB65="Cadence dépassée : vérifiez la cadence"),1,0)</f>
        <v>1.0</v>
      </c>
      <c r="AD65">
        <f>IF(AND(AC65=1,A65&gt;=p_from,A65&lt;=p_to),1,0)</f>
        <v>1.0</v>
      </c>
      <c r="AE65">
        <f>IF(AD65=1,IF(COUNTIFS($A$6:A65,A65,$AD$6:AD65,1)=1,1,0),0)</f>
        <v>0.0</v>
      </c>
      <c r="AF65" t="str">
        <f>IF(AE65=1,COUNTIFS(sj_first,1,sj_date,"&lt;"&amp;A65)+1,"")</f>
        <v/>
      </c>
      <c r="AG65" t="str">
        <f>IF(AND(AD65=1,N(W65)&lt;p_alert),ROUND(W65,4),"")</f>
        <v/>
      </c>
      <c r="AH65" t="str">
        <f>IF(AG65="","",COUNTIF(sj_akey,"&lt;"&amp;AG65)+COUNTIF($AG$6:AG65,AG65))</f>
        <v/>
      </c>
    </row>
    <row r="66">
      <c r="A66" s="51" t="n">
        <v>46294</v>
      </c>
      <c r="B66" s="52" t="inlineStr">
        <is>
          <t>Matin</t>
        </is>
      </c>
      <c r="C66" s="52" t="inlineStr">
        <is>
          <t>TOUR1</t>
        </is>
      </c>
      <c r="D66" s="53" t="inlineStr">
        <is>
          <t>OF-2609-130</t>
        </is>
      </c>
      <c r="E66" s="53" t="inlineStr">
        <is>
          <t>AXE-R20</t>
        </is>
      </c>
      <c r="F66" s="54" t="n"/>
      <c r="G66" s="54" t="n">
        <v>175</v>
      </c>
      <c r="H66" s="54" t="n">
        <v>3</v>
      </c>
      <c r="I66" s="54" t="n">
        <v>0</v>
      </c>
      <c r="J66" s="53" t="n"/>
      <c r="K66" s="55">
        <f>IF(COUNTA(A66:I66)=0,"",IF(F66="",IFERROR(INDEX(eq_dur,MATCH(B66,eq_code,0)),""),F66))</f>
        <v>480.0</v>
      </c>
      <c r="L66" s="55">
        <f>IF(ISNUMBER(K66),N(IFERROR(INDEX(eq_pause,MATCH(B66,eq_code,0)),0))+SUMIFS(st_min,st_date,A66,st_eq,B66,st_po,C66,st_type,"Planifié"),"")</f>
        <v>30.0</v>
      </c>
      <c r="M66" s="55">
        <f>IF(ISNUMBER(K66),K66-L66,"")</f>
        <v>450.0</v>
      </c>
      <c r="N66" s="55">
        <f>IF(ISNUMBER(K66),SUMIFS(st_min,st_date,A66,st_eq,B66,st_po,C66,st_type,"Non planifié"),"")</f>
        <v>63.0</v>
      </c>
      <c r="O66" s="55">
        <f>IF(ISNUMBER(K66),M66-N66,"")</f>
        <v>387.0</v>
      </c>
      <c r="P66" s="55">
        <f>IF(COUNTA(A66:I66)=0,"",N(G66)+N(H66)+N(I66))</f>
        <v>178.0</v>
      </c>
      <c r="Q66" s="56">
        <f>IF(COUNTA(A66:I66)=0,"",IF(N(IFERROR(INDEX(art_rate,MATCH(E66,art_ref,0)),0))&gt;0,N(IFERROR(INDEX(art_rate,MATCH(E66,art_ref,0)),0)),N(IFERROR(INDEX(po_rate,MATCH(C66,po_code,0)),0))))</f>
        <v>30.0</v>
      </c>
      <c r="R66" s="55">
        <f>IF(AC66=1,P66*60/Q66,"")</f>
        <v>356.0</v>
      </c>
      <c r="S66" s="55">
        <f>IF(AC66=1,N(G66)*60/Q66,"")</f>
        <v>350.0</v>
      </c>
      <c r="T66" s="57">
        <f>IF(AC66=1,O66/M66,"")</f>
        <v>0.86</v>
      </c>
      <c r="U66" s="57">
        <f>IF(AC66=1,IF(O66&gt;0,R66/O66,""),"")</f>
        <v>0.919896640826873</v>
      </c>
      <c r="V66" s="57">
        <f>IF(AC66=1,IF(P66&gt;0,N(G66)/P66,""),"")</f>
        <v>0.98314606741573</v>
      </c>
      <c r="W66" s="57">
        <f>IF(AC66=1,S66/M66,"")</f>
        <v>0.777777777777778</v>
      </c>
      <c r="X66" s="57">
        <f>IF(AC66=1,S66/K66,"")</f>
        <v>0.729166666666667</v>
      </c>
      <c r="Y66" s="58" t="str">
        <f>IF(W66="","",IF(W66&gt;=p_target,"Bon",IF(W66&gt;=p_alert,"À surveiller","Faible")))</f>
        <v>Bon</v>
      </c>
      <c r="Z66" s="58" t="str">
        <f>IF(W66="","",IF(MIN(IF(T66="",1,T66),IF(U66="",1,U66),IF(V66="",1,V66))&gt;=1,"Aucune",IF(IF(T66="",1,T66)&lt;=MIN(IF(U66="",1,U66),IF(V66="",1,V66)),"Disponibilité",IF(IF(U66="",1,U66)&lt;=IF(V66="",1,V66),"Performance","Qualité"))))</f>
        <v>Disponibilité</v>
      </c>
      <c r="AA66" s="59">
        <f>IF(AC66=1,N(H66)*N(IFERROR(INDEX(art_cost,MATCH(E66,art_ref,0)),0)),"")</f>
        <v>115.5</v>
      </c>
      <c r="AB66" s="58" t="str">
        <f>IF(COUNTA(A66:I66)=0,"",IF(N(A66)&lt;=0,"Date manquante ou invalide",IF(B66="","Équipe manquante",IF(ISNA(MATCH(B66,eq_code,0)),"Équipe inconnue",IF(INDEX(eq_check,MATCH(B66,eq_code,0))&lt;&gt;"OK","Équipe à corriger dans Paramètres",IF(C66="","Poste manquant",IF(ISNA(MATCH(C66,po_code,0)),"Poste inconnu",IF(AND(E66&lt;&gt;"",ISNA(MATCH(E66,art_ref,0))),"Article inconnu",IF(IF(E66="",FALSE,INDEX(art_check,MATCH(E66,art_ref,0))&lt;&gt;"OK"),"Article à corriger (feuille Articles)",IF(COUNTIFS(sj_date,A66,sj_eq,B66,sj_po,C66)&gt;1,"Ligne en double (même jour, équipe et poste)",IF(OR(NOT(ISNUMBER(K66)),N(K66)&lt;=0,N(K66)&gt;1440),"Temps d'ouverture invalide",IF(OR(AND(G66&lt;&gt;"",NOT(ISNUMBER(G66))),N(G66)&lt;0,N(G66)&lt;&gt;INT(N(G66)),AND(H66&lt;&gt;"",NOT(ISNUMBER(H66))),N(H66)&lt;0,N(H66)&lt;&gt;INT(N(H66)),AND(I66&lt;&gt;"",NOT(ISNUMBER(I66))),N(I66)&lt;0,N(I66)&lt;&gt;INT(N(I66))),"Quantité invalide",IF(Q66&lt;=0,"Cadence manquante (poste ou article)",IF(M66&lt;=0,"Arrêts planifiés supérieurs au temps d'ouverture",IF(O66&lt;0,"Arrêts supérieurs au temps requis",IF(AND(P66&gt;0,O66=0),"Pièces déclarées sans temps de marche",IF(AND(P66=0,O66&gt;0),"Aucune pièce déclarée",IF(P66*60/Q66&gt;O66+0.001,"Cadence dépassée : vérifiez la cadence","OK"))))))))))))))))))</f>
        <v>OK</v>
      </c>
      <c r="AC66">
        <f>IF(OR(AB66="OK",AB66="Aucune pièce déclarée",AB66="Cadence dépassée : vérifiez la cadence"),1,0)</f>
        <v>1.0</v>
      </c>
      <c r="AD66">
        <f>IF(AND(AC66=1,A66&gt;=p_from,A66&lt;=p_to),1,0)</f>
        <v>1.0</v>
      </c>
      <c r="AE66">
        <f>IF(AD66=1,IF(COUNTIFS($A$6:A66,A66,$AD$6:AD66,1)=1,1,0),0)</f>
        <v>1.0</v>
      </c>
      <c r="AF66">
        <f>IF(AE66=1,COUNTIFS(sj_first,1,sj_date,"&lt;"&amp;A66)+1,"")</f>
        <v>7.0</v>
      </c>
      <c r="AG66" t="str">
        <f>IF(AND(AD66=1,N(W66)&lt;p_alert),ROUND(W66,4),"")</f>
        <v/>
      </c>
      <c r="AH66" t="str">
        <f>IF(AG66="","",COUNTIF(sj_akey,"&lt;"&amp;AG66)+COUNTIF($AG$6:AG66,AG66))</f>
        <v/>
      </c>
    </row>
    <row r="67">
      <c r="A67" s="51" t="n">
        <v>46294</v>
      </c>
      <c r="B67" s="52" t="inlineStr">
        <is>
          <t>Après-midi</t>
        </is>
      </c>
      <c r="C67" s="52" t="inlineStr">
        <is>
          <t>TOUR1</t>
        </is>
      </c>
      <c r="D67" s="53" t="inlineStr">
        <is>
          <t>OF-2609-131</t>
        </is>
      </c>
      <c r="E67" s="53" t="inlineStr">
        <is>
          <t>BAG-BR-32</t>
        </is>
      </c>
      <c r="F67" s="54" t="n"/>
      <c r="G67" s="54" t="n">
        <v>241</v>
      </c>
      <c r="H67" s="54" t="n">
        <v>2</v>
      </c>
      <c r="I67" s="54" t="n">
        <v>3</v>
      </c>
      <c r="J67" s="53" t="n"/>
      <c r="K67" s="55">
        <f>IF(COUNTA(A67:I67)=0,"",IF(F67="",IFERROR(INDEX(eq_dur,MATCH(B67,eq_code,0)),""),F67))</f>
        <v>480.0</v>
      </c>
      <c r="L67" s="55">
        <f>IF(ISNUMBER(K67),N(IFERROR(INDEX(eq_pause,MATCH(B67,eq_code,0)),0))+SUMIFS(st_min,st_date,A67,st_eq,B67,st_po,C67,st_type,"Planifié"),"")</f>
        <v>30.0</v>
      </c>
      <c r="M67" s="55">
        <f>IF(ISNUMBER(K67),K67-L67,"")</f>
        <v>450.0</v>
      </c>
      <c r="N67" s="55">
        <f>IF(ISNUMBER(K67),SUMIFS(st_min,st_date,A67,st_eq,B67,st_po,C67,st_type,"Non planifié"),"")</f>
        <v>58.0</v>
      </c>
      <c r="O67" s="55">
        <f>IF(ISNUMBER(K67),M67-N67,"")</f>
        <v>392.0</v>
      </c>
      <c r="P67" s="55">
        <f>IF(COUNTA(A67:I67)=0,"",N(G67)+N(H67)+N(I67))</f>
        <v>246.0</v>
      </c>
      <c r="Q67" s="56">
        <f>IF(COUNTA(A67:I67)=0,"",IF(N(IFERROR(INDEX(art_rate,MATCH(E67,art_ref,0)),0))&gt;0,N(IFERROR(INDEX(art_rate,MATCH(E67,art_ref,0)),0)),N(IFERROR(INDEX(po_rate,MATCH(C67,po_code,0)),0))))</f>
        <v>40.0</v>
      </c>
      <c r="R67" s="55">
        <f>IF(AC67=1,P67*60/Q67,"")</f>
        <v>369.0</v>
      </c>
      <c r="S67" s="55">
        <f>IF(AC67=1,N(G67)*60/Q67,"")</f>
        <v>361.5</v>
      </c>
      <c r="T67" s="57">
        <f>IF(AC67=1,O67/M67,"")</f>
        <v>0.871111111111111</v>
      </c>
      <c r="U67" s="57">
        <f>IF(AC67=1,IF(O67&gt;0,R67/O67,""),"")</f>
        <v>0.941326530612245</v>
      </c>
      <c r="V67" s="57">
        <f>IF(AC67=1,IF(P67&gt;0,N(G67)/P67,""),"")</f>
        <v>0.979674796747967</v>
      </c>
      <c r="W67" s="57">
        <f>IF(AC67=1,S67/M67,"")</f>
        <v>0.803333333333333</v>
      </c>
      <c r="X67" s="57">
        <f>IF(AC67=1,S67/K67,"")</f>
        <v>0.753125</v>
      </c>
      <c r="Y67" s="58" t="str">
        <f>IF(W67="","",IF(W67&gt;=p_target,"Bon",IF(W67&gt;=p_alert,"À surveiller","Faible")))</f>
        <v>Bon</v>
      </c>
      <c r="Z67" s="58" t="str">
        <f>IF(W67="","",IF(MIN(IF(T67="",1,T67),IF(U67="",1,U67),IF(V67="",1,V67))&gt;=1,"Aucune",IF(IF(T67="",1,T67)&lt;=MIN(IF(U67="",1,U67),IF(V67="",1,V67)),"Disponibilité",IF(IF(U67="",1,U67)&lt;=IF(V67="",1,V67),"Performance","Qualité"))))</f>
        <v>Disponibilité</v>
      </c>
      <c r="AA67" s="59">
        <f>IF(AC67=1,N(H67)*N(IFERROR(INDEX(art_cost,MATCH(E67,art_ref,0)),0)),"")</f>
        <v>104.0</v>
      </c>
      <c r="AB67" s="58" t="str">
        <f>IF(COUNTA(A67:I67)=0,"",IF(N(A67)&lt;=0,"Date manquante ou invalide",IF(B67="","Équipe manquante",IF(ISNA(MATCH(B67,eq_code,0)),"Équipe inconnue",IF(INDEX(eq_check,MATCH(B67,eq_code,0))&lt;&gt;"OK","Équipe à corriger dans Paramètres",IF(C67="","Poste manquant",IF(ISNA(MATCH(C67,po_code,0)),"Poste inconnu",IF(AND(E67&lt;&gt;"",ISNA(MATCH(E67,art_ref,0))),"Article inconnu",IF(IF(E67="",FALSE,INDEX(art_check,MATCH(E67,art_ref,0))&lt;&gt;"OK"),"Article à corriger (feuille Articles)",IF(COUNTIFS(sj_date,A67,sj_eq,B67,sj_po,C67)&gt;1,"Ligne en double (même jour, équipe et poste)",IF(OR(NOT(ISNUMBER(K67)),N(K67)&lt;=0,N(K67)&gt;1440),"Temps d'ouverture invalide",IF(OR(AND(G67&lt;&gt;"",NOT(ISNUMBER(G67))),N(G67)&lt;0,N(G67)&lt;&gt;INT(N(G67)),AND(H67&lt;&gt;"",NOT(ISNUMBER(H67))),N(H67)&lt;0,N(H67)&lt;&gt;INT(N(H67)),AND(I67&lt;&gt;"",NOT(ISNUMBER(I67))),N(I67)&lt;0,N(I67)&lt;&gt;INT(N(I67))),"Quantité invalide",IF(Q67&lt;=0,"Cadence manquante (poste ou article)",IF(M67&lt;=0,"Arrêts planifiés supérieurs au temps d'ouverture",IF(O67&lt;0,"Arrêts supérieurs au temps requis",IF(AND(P67&gt;0,O67=0),"Pièces déclarées sans temps de marche",IF(AND(P67=0,O67&gt;0),"Aucune pièce déclarée",IF(P67*60/Q67&gt;O67+0.001,"Cadence dépassée : vérifiez la cadence","OK"))))))))))))))))))</f>
        <v>OK</v>
      </c>
      <c r="AC67">
        <f>IF(OR(AB67="OK",AB67="Aucune pièce déclarée",AB67="Cadence dépassée : vérifiez la cadence"),1,0)</f>
        <v>1.0</v>
      </c>
      <c r="AD67">
        <f>IF(AND(AC67=1,A67&gt;=p_from,A67&lt;=p_to),1,0)</f>
        <v>1.0</v>
      </c>
      <c r="AE67">
        <f>IF(AD67=1,IF(COUNTIFS($A$6:A67,A67,$AD$6:AD67,1)=1,1,0),0)</f>
        <v>0.0</v>
      </c>
      <c r="AF67" t="str">
        <f>IF(AE67=1,COUNTIFS(sj_first,1,sj_date,"&lt;"&amp;A67)+1,"")</f>
        <v/>
      </c>
      <c r="AG67" t="str">
        <f>IF(AND(AD67=1,N(W67)&lt;p_alert),ROUND(W67,4),"")</f>
        <v/>
      </c>
      <c r="AH67" t="str">
        <f>IF(AG67="","",COUNTIF(sj_akey,"&lt;"&amp;AG67)+COUNTIF($AG$6:AG67,AG67))</f>
        <v/>
      </c>
    </row>
    <row r="68">
      <c r="A68" s="51" t="n">
        <v>46294</v>
      </c>
      <c r="B68" s="52" t="inlineStr">
        <is>
          <t>Matin</t>
        </is>
      </c>
      <c r="C68" s="52" t="inlineStr">
        <is>
          <t>TOUR2</t>
        </is>
      </c>
      <c r="D68" s="53" t="inlineStr">
        <is>
          <t>OF-2609-116</t>
        </is>
      </c>
      <c r="E68" s="53" t="inlineStr">
        <is>
          <t>AXE-R20</t>
        </is>
      </c>
      <c r="F68" s="54" t="n"/>
      <c r="G68" s="54" t="n">
        <v>206</v>
      </c>
      <c r="H68" s="54" t="n">
        <v>0</v>
      </c>
      <c r="I68" s="54" t="n">
        <v>2</v>
      </c>
      <c r="J68" s="53" t="n"/>
      <c r="K68" s="55">
        <f>IF(COUNTA(A68:I68)=0,"",IF(F68="",IFERROR(INDEX(eq_dur,MATCH(B68,eq_code,0)),""),F68))</f>
        <v>480.0</v>
      </c>
      <c r="L68" s="55">
        <f>IF(ISNUMBER(K68),N(IFERROR(INDEX(eq_pause,MATCH(B68,eq_code,0)),0))+SUMIFS(st_min,st_date,A68,st_eq,B68,st_po,C68,st_type,"Planifié"),"")</f>
        <v>30.0</v>
      </c>
      <c r="M68" s="55">
        <f>IF(ISNUMBER(K68),K68-L68,"")</f>
        <v>450.0</v>
      </c>
      <c r="N68" s="55">
        <f>IF(ISNUMBER(K68),SUMIFS(st_min,st_date,A68,st_eq,B68,st_po,C68,st_type,"Non planifié"),"")</f>
        <v>9.0</v>
      </c>
      <c r="O68" s="55">
        <f>IF(ISNUMBER(K68),M68-N68,"")</f>
        <v>441.0</v>
      </c>
      <c r="P68" s="55">
        <f>IF(COUNTA(A68:I68)=0,"",N(G68)+N(H68)+N(I68))</f>
        <v>208.0</v>
      </c>
      <c r="Q68" s="56">
        <f>IF(COUNTA(A68:I68)=0,"",IF(N(IFERROR(INDEX(art_rate,MATCH(E68,art_ref,0)),0))&gt;0,N(IFERROR(INDEX(art_rate,MATCH(E68,art_ref,0)),0)),N(IFERROR(INDEX(po_rate,MATCH(C68,po_code,0)),0))))</f>
        <v>30.0</v>
      </c>
      <c r="R68" s="55">
        <f>IF(AC68=1,P68*60/Q68,"")</f>
        <v>416.0</v>
      </c>
      <c r="S68" s="55">
        <f>IF(AC68=1,N(G68)*60/Q68,"")</f>
        <v>412.0</v>
      </c>
      <c r="T68" s="57">
        <f>IF(AC68=1,O68/M68,"")</f>
        <v>0.98</v>
      </c>
      <c r="U68" s="57">
        <f>IF(AC68=1,IF(O68&gt;0,R68/O68,""),"")</f>
        <v>0.943310657596372</v>
      </c>
      <c r="V68" s="57">
        <f>IF(AC68=1,IF(P68&gt;0,N(G68)/P68,""),"")</f>
        <v>0.990384615384615</v>
      </c>
      <c r="W68" s="57">
        <f>IF(AC68=1,S68/M68,"")</f>
        <v>0.915555555555556</v>
      </c>
      <c r="X68" s="57">
        <f>IF(AC68=1,S68/K68,"")</f>
        <v>0.858333333333333</v>
      </c>
      <c r="Y68" s="58" t="str">
        <f>IF(W68="","",IF(W68&gt;=p_target,"Bon",IF(W68&gt;=p_alert,"À surveiller","Faible")))</f>
        <v>Bon</v>
      </c>
      <c r="Z68" s="58" t="str">
        <f>IF(W68="","",IF(MIN(IF(T68="",1,T68),IF(U68="",1,U68),IF(V68="",1,V68))&gt;=1,"Aucune",IF(IF(T68="",1,T68)&lt;=MIN(IF(U68="",1,U68),IF(V68="",1,V68)),"Disponibilité",IF(IF(U68="",1,U68)&lt;=IF(V68="",1,V68),"Performance","Qualité"))))</f>
        <v>Performance</v>
      </c>
      <c r="AA68" s="59">
        <f>IF(AC68=1,N(H68)*N(IFERROR(INDEX(art_cost,MATCH(E68,art_ref,0)),0)),"")</f>
        <v>0.0</v>
      </c>
      <c r="AB68" s="58" t="str">
        <f>IF(COUNTA(A68:I68)=0,"",IF(N(A68)&lt;=0,"Date manquante ou invalide",IF(B68="","Équipe manquante",IF(ISNA(MATCH(B68,eq_code,0)),"Équipe inconnue",IF(INDEX(eq_check,MATCH(B68,eq_code,0))&lt;&gt;"OK","Équipe à corriger dans Paramètres",IF(C68="","Poste manquant",IF(ISNA(MATCH(C68,po_code,0)),"Poste inconnu",IF(AND(E68&lt;&gt;"",ISNA(MATCH(E68,art_ref,0))),"Article inconnu",IF(IF(E68="",FALSE,INDEX(art_check,MATCH(E68,art_ref,0))&lt;&gt;"OK"),"Article à corriger (feuille Articles)",IF(COUNTIFS(sj_date,A68,sj_eq,B68,sj_po,C68)&gt;1,"Ligne en double (même jour, équipe et poste)",IF(OR(NOT(ISNUMBER(K68)),N(K68)&lt;=0,N(K68)&gt;1440),"Temps d'ouverture invalide",IF(OR(AND(G68&lt;&gt;"",NOT(ISNUMBER(G68))),N(G68)&lt;0,N(G68)&lt;&gt;INT(N(G68)),AND(H68&lt;&gt;"",NOT(ISNUMBER(H68))),N(H68)&lt;0,N(H68)&lt;&gt;INT(N(H68)),AND(I68&lt;&gt;"",NOT(ISNUMBER(I68))),N(I68)&lt;0,N(I68)&lt;&gt;INT(N(I68))),"Quantité invalide",IF(Q68&lt;=0,"Cadence manquante (poste ou article)",IF(M68&lt;=0,"Arrêts planifiés supérieurs au temps d'ouverture",IF(O68&lt;0,"Arrêts supérieurs au temps requis",IF(AND(P68&gt;0,O68=0),"Pièces déclarées sans temps de marche",IF(AND(P68=0,O68&gt;0),"Aucune pièce déclarée",IF(P68*60/Q68&gt;O68+0.001,"Cadence dépassée : vérifiez la cadence","OK"))))))))))))))))))</f>
        <v>OK</v>
      </c>
      <c r="AC68">
        <f>IF(OR(AB68="OK",AB68="Aucune pièce déclarée",AB68="Cadence dépassée : vérifiez la cadence"),1,0)</f>
        <v>1.0</v>
      </c>
      <c r="AD68">
        <f>IF(AND(AC68=1,A68&gt;=p_from,A68&lt;=p_to),1,0)</f>
        <v>1.0</v>
      </c>
      <c r="AE68">
        <f>IF(AD68=1,IF(COUNTIFS($A$6:A68,A68,$AD$6:AD68,1)=1,1,0),0)</f>
        <v>0.0</v>
      </c>
      <c r="AF68" t="str">
        <f>IF(AE68=1,COUNTIFS(sj_first,1,sj_date,"&lt;"&amp;A68)+1,"")</f>
        <v/>
      </c>
      <c r="AG68" t="str">
        <f>IF(AND(AD68=1,N(W68)&lt;p_alert),ROUND(W68,4),"")</f>
        <v/>
      </c>
      <c r="AH68" t="str">
        <f>IF(AG68="","",COUNTIF(sj_akey,"&lt;"&amp;AG68)+COUNTIF($AG$6:AG68,AG68))</f>
        <v/>
      </c>
    </row>
    <row r="69">
      <c r="A69" s="51" t="n">
        <v>46294</v>
      </c>
      <c r="B69" s="52" t="inlineStr">
        <is>
          <t>Après-midi</t>
        </is>
      </c>
      <c r="C69" s="52" t="inlineStr">
        <is>
          <t>TOUR2</t>
        </is>
      </c>
      <c r="D69" s="53" t="inlineStr">
        <is>
          <t>OF-2609-132</t>
        </is>
      </c>
      <c r="E69" s="53" t="inlineStr">
        <is>
          <t>ENT-12</t>
        </is>
      </c>
      <c r="F69" s="54" t="n"/>
      <c r="G69" s="54" t="n">
        <v>234</v>
      </c>
      <c r="H69" s="54" t="n">
        <v>2</v>
      </c>
      <c r="I69" s="54" t="n">
        <v>0</v>
      </c>
      <c r="J69" s="53" t="n"/>
      <c r="K69" s="55">
        <f>IF(COUNTA(A69:I69)=0,"",IF(F69="",IFERROR(INDEX(eq_dur,MATCH(B69,eq_code,0)),""),F69))</f>
        <v>480.0</v>
      </c>
      <c r="L69" s="55">
        <f>IF(ISNUMBER(K69),N(IFERROR(INDEX(eq_pause,MATCH(B69,eq_code,0)),0))+SUMIFS(st_min,st_date,A69,st_eq,B69,st_po,C69,st_type,"Planifié"),"")</f>
        <v>30.0</v>
      </c>
      <c r="M69" s="55">
        <f>IF(ISNUMBER(K69),K69-L69,"")</f>
        <v>450.0</v>
      </c>
      <c r="N69" s="55">
        <f>IF(ISNUMBER(K69),SUMIFS(st_min,st_date,A69,st_eq,B69,st_po,C69,st_type,"Non planifié"),"")</f>
        <v>128.0</v>
      </c>
      <c r="O69" s="55">
        <f>IF(ISNUMBER(K69),M69-N69,"")</f>
        <v>322.0</v>
      </c>
      <c r="P69" s="55">
        <f>IF(COUNTA(A69:I69)=0,"",N(G69)+N(H69)+N(I69))</f>
        <v>236.0</v>
      </c>
      <c r="Q69" s="56">
        <f>IF(COUNTA(A69:I69)=0,"",IF(N(IFERROR(INDEX(art_rate,MATCH(E69,art_ref,0)),0))&gt;0,N(IFERROR(INDEX(art_rate,MATCH(E69,art_ref,0)),0)),N(IFERROR(INDEX(po_rate,MATCH(C69,po_code,0)),0))))</f>
        <v>55.0</v>
      </c>
      <c r="R69" s="55">
        <f>IF(AC69=1,P69*60/Q69,"")</f>
        <v>257.454545454545</v>
      </c>
      <c r="S69" s="55">
        <f>IF(AC69=1,N(G69)*60/Q69,"")</f>
        <v>255.272727272727</v>
      </c>
      <c r="T69" s="57">
        <f>IF(AC69=1,O69/M69,"")</f>
        <v>0.715555555555556</v>
      </c>
      <c r="U69" s="57">
        <f>IF(AC69=1,IF(O69&gt;0,R69/O69,""),"")</f>
        <v>0.799548277809147</v>
      </c>
      <c r="V69" s="57">
        <f>IF(AC69=1,IF(P69&gt;0,N(G69)/P69,""),"")</f>
        <v>0.991525423728814</v>
      </c>
      <c r="W69" s="57">
        <f>IF(AC69=1,S69/M69,"")</f>
        <v>0.567272727272727</v>
      </c>
      <c r="X69" s="57">
        <f>IF(AC69=1,S69/K69,"")</f>
        <v>0.531818181818182</v>
      </c>
      <c r="Y69" s="58" t="str">
        <f>IF(W69="","",IF(W69&gt;=p_target,"Bon",IF(W69&gt;=p_alert,"À surveiller","Faible")))</f>
        <v>À surveiller</v>
      </c>
      <c r="Z69" s="58" t="str">
        <f>IF(W69="","",IF(MIN(IF(T69="",1,T69),IF(U69="",1,U69),IF(V69="",1,V69))&gt;=1,"Aucune",IF(IF(T69="",1,T69)&lt;=MIN(IF(U69="",1,U69),IF(V69="",1,V69)),"Disponibilité",IF(IF(U69="",1,U69)&lt;=IF(V69="",1,V69),"Performance","Qualité"))))</f>
        <v>Disponibilité</v>
      </c>
      <c r="AA69" s="59">
        <f>IF(AC69=1,N(H69)*N(IFERROR(INDEX(art_cost,MATCH(E69,art_ref,0)),0)),"")</f>
        <v>13.6</v>
      </c>
      <c r="AB69" s="58" t="str">
        <f>IF(COUNTA(A69:I69)=0,"",IF(N(A69)&lt;=0,"Date manquante ou invalide",IF(B69="","Équipe manquante",IF(ISNA(MATCH(B69,eq_code,0)),"Équipe inconnue",IF(INDEX(eq_check,MATCH(B69,eq_code,0))&lt;&gt;"OK","Équipe à corriger dans Paramètres",IF(C69="","Poste manquant",IF(ISNA(MATCH(C69,po_code,0)),"Poste inconnu",IF(AND(E69&lt;&gt;"",ISNA(MATCH(E69,art_ref,0))),"Article inconnu",IF(IF(E69="",FALSE,INDEX(art_check,MATCH(E69,art_ref,0))&lt;&gt;"OK"),"Article à corriger (feuille Articles)",IF(COUNTIFS(sj_date,A69,sj_eq,B69,sj_po,C69)&gt;1,"Ligne en double (même jour, équipe et poste)",IF(OR(NOT(ISNUMBER(K69)),N(K69)&lt;=0,N(K69)&gt;1440),"Temps d'ouverture invalide",IF(OR(AND(G69&lt;&gt;"",NOT(ISNUMBER(G69))),N(G69)&lt;0,N(G69)&lt;&gt;INT(N(G69)),AND(H69&lt;&gt;"",NOT(ISNUMBER(H69))),N(H69)&lt;0,N(H69)&lt;&gt;INT(N(H69)),AND(I69&lt;&gt;"",NOT(ISNUMBER(I69))),N(I69)&lt;0,N(I69)&lt;&gt;INT(N(I69))),"Quantité invalide",IF(Q69&lt;=0,"Cadence manquante (poste ou article)",IF(M69&lt;=0,"Arrêts planifiés supérieurs au temps d'ouverture",IF(O69&lt;0,"Arrêts supérieurs au temps requis",IF(AND(P69&gt;0,O69=0),"Pièces déclarées sans temps de marche",IF(AND(P69=0,O69&gt;0),"Aucune pièce déclarée",IF(P69*60/Q69&gt;O69+0.001,"Cadence dépassée : vérifiez la cadence","OK"))))))))))))))))))</f>
        <v>OK</v>
      </c>
      <c r="AC69">
        <f>IF(OR(AB69="OK",AB69="Aucune pièce déclarée",AB69="Cadence dépassée : vérifiez la cadence"),1,0)</f>
        <v>1.0</v>
      </c>
      <c r="AD69">
        <f>IF(AND(AC69=1,A69&gt;=p_from,A69&lt;=p_to),1,0)</f>
        <v>1.0</v>
      </c>
      <c r="AE69">
        <f>IF(AD69=1,IF(COUNTIFS($A$6:A69,A69,$AD$6:AD69,1)=1,1,0),0)</f>
        <v>0.0</v>
      </c>
      <c r="AF69" t="str">
        <f>IF(AE69=1,COUNTIFS(sj_first,1,sj_date,"&lt;"&amp;A69)+1,"")</f>
        <v/>
      </c>
      <c r="AG69" t="str">
        <f>IF(AND(AD69=1,N(W69)&lt;p_alert),ROUND(W69,4),"")</f>
        <v/>
      </c>
      <c r="AH69" t="str">
        <f>IF(AG69="","",COUNTIF(sj_akey,"&lt;"&amp;AG69)+COUNTIF($AG$6:AG69,AG69))</f>
        <v/>
      </c>
    </row>
    <row r="70">
      <c r="A70" s="51" t="n">
        <v>46294</v>
      </c>
      <c r="B70" s="52" t="inlineStr">
        <is>
          <t>Matin</t>
        </is>
      </c>
      <c r="C70" s="52" t="inlineStr">
        <is>
          <t>USIN</t>
        </is>
      </c>
      <c r="D70" s="53" t="inlineStr">
        <is>
          <t>OF-2609-123</t>
        </is>
      </c>
      <c r="E70" s="53" t="inlineStr">
        <is>
          <t>CAR-BOI-04</t>
        </is>
      </c>
      <c r="F70" s="54" t="n"/>
      <c r="G70" s="54" t="n">
        <v>34</v>
      </c>
      <c r="H70" s="54" t="n">
        <v>1</v>
      </c>
      <c r="I70" s="54" t="n">
        <v>0</v>
      </c>
      <c r="J70" s="53" t="n"/>
      <c r="K70" s="55">
        <f>IF(COUNTA(A70:I70)=0,"",IF(F70="",IFERROR(INDEX(eq_dur,MATCH(B70,eq_code,0)),""),F70))</f>
        <v>480.0</v>
      </c>
      <c r="L70" s="55">
        <f>IF(ISNUMBER(K70),N(IFERROR(INDEX(eq_pause,MATCH(B70,eq_code,0)),0))+SUMIFS(st_min,st_date,A70,st_eq,B70,st_po,C70,st_type,"Planifié"),"")</f>
        <v>30.0</v>
      </c>
      <c r="M70" s="55">
        <f>IF(ISNUMBER(K70),K70-L70,"")</f>
        <v>450.0</v>
      </c>
      <c r="N70" s="55">
        <f>IF(ISNUMBER(K70),SUMIFS(st_min,st_date,A70,st_eq,B70,st_po,C70,st_type,"Non planifié"),"")</f>
        <v>44.0</v>
      </c>
      <c r="O70" s="55">
        <f>IF(ISNUMBER(K70),M70-N70,"")</f>
        <v>406.0</v>
      </c>
      <c r="P70" s="55">
        <f>IF(COUNTA(A70:I70)=0,"",N(G70)+N(H70)+N(I70))</f>
        <v>35.0</v>
      </c>
      <c r="Q70" s="56">
        <f>IF(COUNTA(A70:I70)=0,"",IF(N(IFERROR(INDEX(art_rate,MATCH(E70,art_ref,0)),0))&gt;0,N(IFERROR(INDEX(art_rate,MATCH(E70,art_ref,0)),0)),N(IFERROR(INDEX(po_rate,MATCH(C70,po_code,0)),0))))</f>
        <v>6.0</v>
      </c>
      <c r="R70" s="55">
        <f>IF(AC70=1,P70*60/Q70,"")</f>
        <v>350.0</v>
      </c>
      <c r="S70" s="55">
        <f>IF(AC70=1,N(G70)*60/Q70,"")</f>
        <v>340.0</v>
      </c>
      <c r="T70" s="57">
        <f>IF(AC70=1,O70/M70,"")</f>
        <v>0.902222222222222</v>
      </c>
      <c r="U70" s="57">
        <f>IF(AC70=1,IF(O70&gt;0,R70/O70,""),"")</f>
        <v>0.862068965517241</v>
      </c>
      <c r="V70" s="57">
        <f>IF(AC70=1,IF(P70&gt;0,N(G70)/P70,""),"")</f>
        <v>0.971428571428571</v>
      </c>
      <c r="W70" s="57">
        <f>IF(AC70=1,S70/M70,"")</f>
        <v>0.755555555555556</v>
      </c>
      <c r="X70" s="57">
        <f>IF(AC70=1,S70/K70,"")</f>
        <v>0.708333333333333</v>
      </c>
      <c r="Y70" s="58" t="str">
        <f>IF(W70="","",IF(W70&gt;=p_target,"Bon",IF(W70&gt;=p_alert,"À surveiller","Faible")))</f>
        <v>Bon</v>
      </c>
      <c r="Z70" s="58" t="str">
        <f>IF(W70="","",IF(MIN(IF(T70="",1,T70),IF(U70="",1,U70),IF(V70="",1,V70))&gt;=1,"Aucune",IF(IF(T70="",1,T70)&lt;=MIN(IF(U70="",1,U70),IF(V70="",1,V70)),"Disponibilité",IF(IF(U70="",1,U70)&lt;=IF(V70="",1,V70),"Performance","Qualité"))))</f>
        <v>Performance</v>
      </c>
      <c r="AA70" s="59">
        <f>IF(AC70=1,N(H70)*N(IFERROR(INDEX(art_cost,MATCH(E70,art_ref,0)),0)),"")</f>
        <v>610.0</v>
      </c>
      <c r="AB70" s="58" t="str">
        <f>IF(COUNTA(A70:I70)=0,"",IF(N(A70)&lt;=0,"Date manquante ou invalide",IF(B70="","Équipe manquante",IF(ISNA(MATCH(B70,eq_code,0)),"Équipe inconnue",IF(INDEX(eq_check,MATCH(B70,eq_code,0))&lt;&gt;"OK","Équipe à corriger dans Paramètres",IF(C70="","Poste manquant",IF(ISNA(MATCH(C70,po_code,0)),"Poste inconnu",IF(AND(E70&lt;&gt;"",ISNA(MATCH(E70,art_ref,0))),"Article inconnu",IF(IF(E70="",FALSE,INDEX(art_check,MATCH(E70,art_ref,0))&lt;&gt;"OK"),"Article à corriger (feuille Articles)",IF(COUNTIFS(sj_date,A70,sj_eq,B70,sj_po,C70)&gt;1,"Ligne en double (même jour, équipe et poste)",IF(OR(NOT(ISNUMBER(K70)),N(K70)&lt;=0,N(K70)&gt;1440),"Temps d'ouverture invalide",IF(OR(AND(G70&lt;&gt;"",NOT(ISNUMBER(G70))),N(G70)&lt;0,N(G70)&lt;&gt;INT(N(G70)),AND(H70&lt;&gt;"",NOT(ISNUMBER(H70))),N(H70)&lt;0,N(H70)&lt;&gt;INT(N(H70)),AND(I70&lt;&gt;"",NOT(ISNUMBER(I70))),N(I70)&lt;0,N(I70)&lt;&gt;INT(N(I70))),"Quantité invalide",IF(Q70&lt;=0,"Cadence manquante (poste ou article)",IF(M70&lt;=0,"Arrêts planifiés supérieurs au temps d'ouverture",IF(O70&lt;0,"Arrêts supérieurs au temps requis",IF(AND(P70&gt;0,O70=0),"Pièces déclarées sans temps de marche",IF(AND(P70=0,O70&gt;0),"Aucune pièce déclarée",IF(P70*60/Q70&gt;O70+0.001,"Cadence dépassée : vérifiez la cadence","OK"))))))))))))))))))</f>
        <v>OK</v>
      </c>
      <c r="AC70">
        <f>IF(OR(AB70="OK",AB70="Aucune pièce déclarée",AB70="Cadence dépassée : vérifiez la cadence"),1,0)</f>
        <v>1.0</v>
      </c>
      <c r="AD70">
        <f>IF(AND(AC70=1,A70&gt;=p_from,A70&lt;=p_to),1,0)</f>
        <v>1.0</v>
      </c>
      <c r="AE70">
        <f>IF(AD70=1,IF(COUNTIFS($A$6:A70,A70,$AD$6:AD70,1)=1,1,0),0)</f>
        <v>0.0</v>
      </c>
      <c r="AF70" t="str">
        <f>IF(AE70=1,COUNTIFS(sj_first,1,sj_date,"&lt;"&amp;A70)+1,"")</f>
        <v/>
      </c>
      <c r="AG70" t="str">
        <f>IF(AND(AD70=1,N(W70)&lt;p_alert),ROUND(W70,4),"")</f>
        <v/>
      </c>
      <c r="AH70" t="str">
        <f>IF(AG70="","",COUNTIF(sj_akey,"&lt;"&amp;AG70)+COUNTIF($AG$6:AG70,AG70))</f>
        <v/>
      </c>
    </row>
    <row r="71">
      <c r="A71" s="51" t="n">
        <v>46294</v>
      </c>
      <c r="B71" s="52" t="inlineStr">
        <is>
          <t>Après-midi</t>
        </is>
      </c>
      <c r="C71" s="52" t="inlineStr">
        <is>
          <t>USIN</t>
        </is>
      </c>
      <c r="D71" s="53" t="inlineStr">
        <is>
          <t>OF-2609-133</t>
        </is>
      </c>
      <c r="E71" s="53" t="inlineStr">
        <is>
          <t>FLA-PL-150</t>
        </is>
      </c>
      <c r="F71" s="54" t="n"/>
      <c r="G71" s="54" t="n">
        <v>71</v>
      </c>
      <c r="H71" s="54" t="n">
        <v>0</v>
      </c>
      <c r="I71" s="54" t="n">
        <v>0</v>
      </c>
      <c r="J71" s="53" t="n"/>
      <c r="K71" s="55">
        <f>IF(COUNTA(A71:I71)=0,"",IF(F71="",IFERROR(INDEX(eq_dur,MATCH(B71,eq_code,0)),""),F71))</f>
        <v>480.0</v>
      </c>
      <c r="L71" s="55">
        <f>IF(ISNUMBER(K71),N(IFERROR(INDEX(eq_pause,MATCH(B71,eq_code,0)),0))+SUMIFS(st_min,st_date,A71,st_eq,B71,st_po,C71,st_type,"Planifié"),"")</f>
        <v>30.0</v>
      </c>
      <c r="M71" s="55">
        <f>IF(ISNUMBER(K71),K71-L71,"")</f>
        <v>450.0</v>
      </c>
      <c r="N71" s="55">
        <f>IF(ISNUMBER(K71),SUMIFS(st_min,st_date,A71,st_eq,B71,st_po,C71,st_type,"Non planifié"),"")</f>
        <v>33.0</v>
      </c>
      <c r="O71" s="55">
        <f>IF(ISNUMBER(K71),M71-N71,"")</f>
        <v>417.0</v>
      </c>
      <c r="P71" s="55">
        <f>IF(COUNTA(A71:I71)=0,"",N(G71)+N(H71)+N(I71))</f>
        <v>71.0</v>
      </c>
      <c r="Q71" s="56">
        <f>IF(COUNTA(A71:I71)=0,"",IF(N(IFERROR(INDEX(art_rate,MATCH(E71,art_ref,0)),0))&gt;0,N(IFERROR(INDEX(art_rate,MATCH(E71,art_ref,0)),0)),N(IFERROR(INDEX(po_rate,MATCH(C71,po_code,0)),0))))</f>
        <v>12.0</v>
      </c>
      <c r="R71" s="55">
        <f>IF(AC71=1,P71*60/Q71,"")</f>
        <v>355.0</v>
      </c>
      <c r="S71" s="55">
        <f>IF(AC71=1,N(G71)*60/Q71,"")</f>
        <v>355.0</v>
      </c>
      <c r="T71" s="57">
        <f>IF(AC71=1,O71/M71,"")</f>
        <v>0.926666666666667</v>
      </c>
      <c r="U71" s="57">
        <f>IF(AC71=1,IF(O71&gt;0,R71/O71,""),"")</f>
        <v>0.851318944844125</v>
      </c>
      <c r="V71" s="57">
        <f>IF(AC71=1,IF(P71&gt;0,N(G71)/P71,""),"")</f>
        <v>1.0</v>
      </c>
      <c r="W71" s="57">
        <f>IF(AC71=1,S71/M71,"")</f>
        <v>0.788888888888889</v>
      </c>
      <c r="X71" s="57">
        <f>IF(AC71=1,S71/K71,"")</f>
        <v>0.739583333333333</v>
      </c>
      <c r="Y71" s="58" t="str">
        <f>IF(W71="","",IF(W71&gt;=p_target,"Bon",IF(W71&gt;=p_alert,"À surveiller","Faible")))</f>
        <v>Bon</v>
      </c>
      <c r="Z71" s="58" t="str">
        <f>IF(W71="","",IF(MIN(IF(T71="",1,T71),IF(U71="",1,U71),IF(V71="",1,V71))&gt;=1,"Aucune",IF(IF(T71="",1,T71)&lt;=MIN(IF(U71="",1,U71),IF(V71="",1,V71)),"Disponibilité",IF(IF(U71="",1,U71)&lt;=IF(V71="",1,V71),"Performance","Qualité"))))</f>
        <v>Performance</v>
      </c>
      <c r="AA71" s="59">
        <f>IF(AC71=1,N(H71)*N(IFERROR(INDEX(art_cost,MATCH(E71,art_ref,0)),0)),"")</f>
        <v>0.0</v>
      </c>
      <c r="AB71" s="58" t="str">
        <f>IF(COUNTA(A71:I71)=0,"",IF(N(A71)&lt;=0,"Date manquante ou invalide",IF(B71="","Équipe manquante",IF(ISNA(MATCH(B71,eq_code,0)),"Équipe inconnue",IF(INDEX(eq_check,MATCH(B71,eq_code,0))&lt;&gt;"OK","Équipe à corriger dans Paramètres",IF(C71="","Poste manquant",IF(ISNA(MATCH(C71,po_code,0)),"Poste inconnu",IF(AND(E71&lt;&gt;"",ISNA(MATCH(E71,art_ref,0))),"Article inconnu",IF(IF(E71="",FALSE,INDEX(art_check,MATCH(E71,art_ref,0))&lt;&gt;"OK"),"Article à corriger (feuille Articles)",IF(COUNTIFS(sj_date,A71,sj_eq,B71,sj_po,C71)&gt;1,"Ligne en double (même jour, équipe et poste)",IF(OR(NOT(ISNUMBER(K71)),N(K71)&lt;=0,N(K71)&gt;1440),"Temps d'ouverture invalide",IF(OR(AND(G71&lt;&gt;"",NOT(ISNUMBER(G71))),N(G71)&lt;0,N(G71)&lt;&gt;INT(N(G71)),AND(H71&lt;&gt;"",NOT(ISNUMBER(H71))),N(H71)&lt;0,N(H71)&lt;&gt;INT(N(H71)),AND(I71&lt;&gt;"",NOT(ISNUMBER(I71))),N(I71)&lt;0,N(I71)&lt;&gt;INT(N(I71))),"Quantité invalide",IF(Q71&lt;=0,"Cadence manquante (poste ou article)",IF(M71&lt;=0,"Arrêts planifiés supérieurs au temps d'ouverture",IF(O71&lt;0,"Arrêts supérieurs au temps requis",IF(AND(P71&gt;0,O71=0),"Pièces déclarées sans temps de marche",IF(AND(P71=0,O71&gt;0),"Aucune pièce déclarée",IF(P71*60/Q71&gt;O71+0.001,"Cadence dépassée : vérifiez la cadence","OK"))))))))))))))))))</f>
        <v>OK</v>
      </c>
      <c r="AC71">
        <f>IF(OR(AB71="OK",AB71="Aucune pièce déclarée",AB71="Cadence dépassée : vérifiez la cadence"),1,0)</f>
        <v>1.0</v>
      </c>
      <c r="AD71">
        <f>IF(AND(AC71=1,A71&gt;=p_from,A71&lt;=p_to),1,0)</f>
        <v>1.0</v>
      </c>
      <c r="AE71">
        <f>IF(AD71=1,IF(COUNTIFS($A$6:A71,A71,$AD$6:AD71,1)=1,1,0),0)</f>
        <v>0.0</v>
      </c>
      <c r="AF71" t="str">
        <f>IF(AE71=1,COUNTIFS(sj_first,1,sj_date,"&lt;"&amp;A71)+1,"")</f>
        <v/>
      </c>
      <c r="AG71" t="str">
        <f>IF(AND(AD71=1,N(W71)&lt;p_alert),ROUND(W71,4),"")</f>
        <v/>
      </c>
      <c r="AH71" t="str">
        <f>IF(AG71="","",COUNTIF(sj_akey,"&lt;"&amp;AG71)+COUNTIF($AG$6:AG71,AG71))</f>
        <v/>
      </c>
    </row>
    <row r="72">
      <c r="A72" s="51" t="n">
        <v>46294</v>
      </c>
      <c r="B72" s="52" t="inlineStr">
        <is>
          <t>Matin</t>
        </is>
      </c>
      <c r="C72" s="52" t="inlineStr">
        <is>
          <t>PRESSE</t>
        </is>
      </c>
      <c r="D72" s="53" t="inlineStr">
        <is>
          <t>OF-2609-134</t>
        </is>
      </c>
      <c r="E72" s="53" t="inlineStr">
        <is>
          <t>RON-M10</t>
        </is>
      </c>
      <c r="F72" s="54" t="n"/>
      <c r="G72" s="54" t="n">
        <v>3486</v>
      </c>
      <c r="H72" s="54" t="n">
        <v>39</v>
      </c>
      <c r="I72" s="54" t="n">
        <v>46</v>
      </c>
      <c r="J72" s="53" t="n"/>
      <c r="K72" s="55">
        <f>IF(COUNTA(A72:I72)=0,"",IF(F72="",IFERROR(INDEX(eq_dur,MATCH(B72,eq_code,0)),""),F72))</f>
        <v>480.0</v>
      </c>
      <c r="L72" s="55">
        <f>IF(ISNUMBER(K72),N(IFERROR(INDEX(eq_pause,MATCH(B72,eq_code,0)),0))+SUMIFS(st_min,st_date,A72,st_eq,B72,st_po,C72,st_type,"Planifié"),"")</f>
        <v>30.0</v>
      </c>
      <c r="M72" s="55">
        <f>IF(ISNUMBER(K72),K72-L72,"")</f>
        <v>450.0</v>
      </c>
      <c r="N72" s="55">
        <f>IF(ISNUMBER(K72),SUMIFS(st_min,st_date,A72,st_eq,B72,st_po,C72,st_type,"Non planifié"),"")</f>
        <v>64.0</v>
      </c>
      <c r="O72" s="55">
        <f>IF(ISNUMBER(K72),M72-N72,"")</f>
        <v>386.0</v>
      </c>
      <c r="P72" s="55">
        <f>IF(COUNTA(A72:I72)=0,"",N(G72)+N(H72)+N(I72))</f>
        <v>3571.0</v>
      </c>
      <c r="Q72" s="56">
        <f>IF(COUNTA(A72:I72)=0,"",IF(N(IFERROR(INDEX(art_rate,MATCH(E72,art_ref,0)),0))&gt;0,N(IFERROR(INDEX(art_rate,MATCH(E72,art_ref,0)),0)),N(IFERROR(INDEX(po_rate,MATCH(C72,po_code,0)),0))))</f>
        <v>600.0</v>
      </c>
      <c r="R72" s="55">
        <f>IF(AC72=1,P72*60/Q72,"")</f>
        <v>357.1</v>
      </c>
      <c r="S72" s="55">
        <f>IF(AC72=1,N(G72)*60/Q72,"")</f>
        <v>348.6</v>
      </c>
      <c r="T72" s="57">
        <f>IF(AC72=1,O72/M72,"")</f>
        <v>0.857777777777778</v>
      </c>
      <c r="U72" s="57">
        <f>IF(AC72=1,IF(O72&gt;0,R72/O72,""),"")</f>
        <v>0.925129533678757</v>
      </c>
      <c r="V72" s="57">
        <f>IF(AC72=1,IF(P72&gt;0,N(G72)/P72,""),"")</f>
        <v>0.976197143657239</v>
      </c>
      <c r="W72" s="57">
        <f>IF(AC72=1,S72/M72,"")</f>
        <v>0.774666666666667</v>
      </c>
      <c r="X72" s="57">
        <f>IF(AC72=1,S72/K72,"")</f>
        <v>0.72625</v>
      </c>
      <c r="Y72" s="58" t="str">
        <f>IF(W72="","",IF(W72&gt;=p_target,"Bon",IF(W72&gt;=p_alert,"À surveiller","Faible")))</f>
        <v>Bon</v>
      </c>
      <c r="Z72" s="58" t="str">
        <f>IF(W72="","",IF(MIN(IF(T72="",1,T72),IF(U72="",1,U72),IF(V72="",1,V72))&gt;=1,"Aucune",IF(IF(T72="",1,T72)&lt;=MIN(IF(U72="",1,U72),IF(V72="",1,V72)),"Disponibilité",IF(IF(U72="",1,U72)&lt;=IF(V72="",1,V72),"Performance","Qualité"))))</f>
        <v>Disponibilité</v>
      </c>
      <c r="AA72" s="59">
        <f>IF(AC72=1,N(H72)*N(IFERROR(INDEX(art_cost,MATCH(E72,art_ref,0)),0)),"")</f>
        <v>35.1</v>
      </c>
      <c r="AB72" s="58" t="str">
        <f>IF(COUNTA(A72:I72)=0,"",IF(N(A72)&lt;=0,"Date manquante ou invalide",IF(B72="","Équipe manquante",IF(ISNA(MATCH(B72,eq_code,0)),"Équipe inconnue",IF(INDEX(eq_check,MATCH(B72,eq_code,0))&lt;&gt;"OK","Équipe à corriger dans Paramètres",IF(C72="","Poste manquant",IF(ISNA(MATCH(C72,po_code,0)),"Poste inconnu",IF(AND(E72&lt;&gt;"",ISNA(MATCH(E72,art_ref,0))),"Article inconnu",IF(IF(E72="",FALSE,INDEX(art_check,MATCH(E72,art_ref,0))&lt;&gt;"OK"),"Article à corriger (feuille Articles)",IF(COUNTIFS(sj_date,A72,sj_eq,B72,sj_po,C72)&gt;1,"Ligne en double (même jour, équipe et poste)",IF(OR(NOT(ISNUMBER(K72)),N(K72)&lt;=0,N(K72)&gt;1440),"Temps d'ouverture invalide",IF(OR(AND(G72&lt;&gt;"",NOT(ISNUMBER(G72))),N(G72)&lt;0,N(G72)&lt;&gt;INT(N(G72)),AND(H72&lt;&gt;"",NOT(ISNUMBER(H72))),N(H72)&lt;0,N(H72)&lt;&gt;INT(N(H72)),AND(I72&lt;&gt;"",NOT(ISNUMBER(I72))),N(I72)&lt;0,N(I72)&lt;&gt;INT(N(I72))),"Quantité invalide",IF(Q72&lt;=0,"Cadence manquante (poste ou article)",IF(M72&lt;=0,"Arrêts planifiés supérieurs au temps d'ouverture",IF(O72&lt;0,"Arrêts supérieurs au temps requis",IF(AND(P72&gt;0,O72=0),"Pièces déclarées sans temps de marche",IF(AND(P72=0,O72&gt;0),"Aucune pièce déclarée",IF(P72*60/Q72&gt;O72+0.001,"Cadence dépassée : vérifiez la cadence","OK"))))))))))))))))))</f>
        <v>OK</v>
      </c>
      <c r="AC72">
        <f>IF(OR(AB72="OK",AB72="Aucune pièce déclarée",AB72="Cadence dépassée : vérifiez la cadence"),1,0)</f>
        <v>1.0</v>
      </c>
      <c r="AD72">
        <f>IF(AND(AC72=1,A72&gt;=p_from,A72&lt;=p_to),1,0)</f>
        <v>1.0</v>
      </c>
      <c r="AE72">
        <f>IF(AD72=1,IF(COUNTIFS($A$6:A72,A72,$AD$6:AD72,1)=1,1,0),0)</f>
        <v>0.0</v>
      </c>
      <c r="AF72" t="str">
        <f>IF(AE72=1,COUNTIFS(sj_first,1,sj_date,"&lt;"&amp;A72)+1,"")</f>
        <v/>
      </c>
      <c r="AG72" t="str">
        <f>IF(AND(AD72=1,N(W72)&lt;p_alert),ROUND(W72,4),"")</f>
        <v/>
      </c>
      <c r="AH72" t="str">
        <f>IF(AG72="","",COUNTIF(sj_akey,"&lt;"&amp;AG72)+COUNTIF($AG$6:AG72,AG72))</f>
        <v/>
      </c>
    </row>
    <row r="73">
      <c r="A73" s="51" t="n">
        <v>46294</v>
      </c>
      <c r="B73" s="52" t="inlineStr">
        <is>
          <t>Journée</t>
        </is>
      </c>
      <c r="C73" s="52" t="inlineStr">
        <is>
          <t>PLIE</t>
        </is>
      </c>
      <c r="D73" s="53" t="inlineStr">
        <is>
          <t>OF-2609-128</t>
        </is>
      </c>
      <c r="E73" s="53" t="inlineStr">
        <is>
          <t>SUP-MOT-01</t>
        </is>
      </c>
      <c r="F73" s="54" t="n"/>
      <c r="G73" s="54" t="n">
        <v>321</v>
      </c>
      <c r="H73" s="54" t="n">
        <v>11</v>
      </c>
      <c r="I73" s="54" t="n">
        <v>3</v>
      </c>
      <c r="J73" s="53" t="n"/>
      <c r="K73" s="55">
        <f>IF(COUNTA(A73:I73)=0,"",IF(F73="",IFERROR(INDEX(eq_dur,MATCH(B73,eq_code,0)),""),F73))</f>
        <v>540.0</v>
      </c>
      <c r="L73" s="55">
        <f>IF(ISNUMBER(K73),N(IFERROR(INDEX(eq_pause,MATCH(B73,eq_code,0)),0))+SUMIFS(st_min,st_date,A73,st_eq,B73,st_po,C73,st_type,"Planifié"),"")</f>
        <v>60.0</v>
      </c>
      <c r="M73" s="55">
        <f>IF(ISNUMBER(K73),K73-L73,"")</f>
        <v>480.0</v>
      </c>
      <c r="N73" s="55">
        <f>IF(ISNUMBER(K73),SUMIFS(st_min,st_date,A73,st_eq,B73,st_po,C73,st_type,"Non planifié"),"")</f>
        <v>197.0</v>
      </c>
      <c r="O73" s="55">
        <f>IF(ISNUMBER(K73),M73-N73,"")</f>
        <v>283.0</v>
      </c>
      <c r="P73" s="55">
        <f>IF(COUNTA(A73:I73)=0,"",N(G73)+N(H73)+N(I73))</f>
        <v>335.0</v>
      </c>
      <c r="Q73" s="56">
        <f>IF(COUNTA(A73:I73)=0,"",IF(N(IFERROR(INDEX(art_rate,MATCH(E73,art_ref,0)),0))&gt;0,N(IFERROR(INDEX(art_rate,MATCH(E73,art_ref,0)),0)),N(IFERROR(INDEX(po_rate,MATCH(C73,po_code,0)),0))))</f>
        <v>90.0</v>
      </c>
      <c r="R73" s="55">
        <f>IF(AC73=1,P73*60/Q73,"")</f>
        <v>223.333333333333</v>
      </c>
      <c r="S73" s="55">
        <f>IF(AC73=1,N(G73)*60/Q73,"")</f>
        <v>214.0</v>
      </c>
      <c r="T73" s="57">
        <f>IF(AC73=1,O73/M73,"")</f>
        <v>0.589583333333333</v>
      </c>
      <c r="U73" s="57">
        <f>IF(AC73=1,IF(O73&gt;0,R73/O73,""),"")</f>
        <v>0.789163722025913</v>
      </c>
      <c r="V73" s="57">
        <f>IF(AC73=1,IF(P73&gt;0,N(G73)/P73,""),"")</f>
        <v>0.958208955223881</v>
      </c>
      <c r="W73" s="57">
        <f>IF(AC73=1,S73/M73,"")</f>
        <v>0.445833333333333</v>
      </c>
      <c r="X73" s="57">
        <f>IF(AC73=1,S73/K73,"")</f>
        <v>0.396296296296296</v>
      </c>
      <c r="Y73" s="58" t="str">
        <f>IF(W73="","",IF(W73&gt;=p_target,"Bon",IF(W73&gt;=p_alert,"À surveiller","Faible")))</f>
        <v>Faible</v>
      </c>
      <c r="Z73" s="58" t="str">
        <f>IF(W73="","",IF(MIN(IF(T73="",1,T73),IF(U73="",1,U73),IF(V73="",1,V73))&gt;=1,"Aucune",IF(IF(T73="",1,T73)&lt;=MIN(IF(U73="",1,U73),IF(V73="",1,V73)),"Disponibilité",IF(IF(U73="",1,U73)&lt;=IF(V73="",1,V73),"Performance","Qualité"))))</f>
        <v>Disponibilité</v>
      </c>
      <c r="AA73" s="59">
        <f>IF(AC73=1,N(H73)*N(IFERROR(INDEX(art_cost,MATCH(E73,art_ref,0)),0)),"")</f>
        <v>704.0</v>
      </c>
      <c r="AB73" s="58" t="str">
        <f>IF(COUNTA(A73:I73)=0,"",IF(N(A73)&lt;=0,"Date manquante ou invalide",IF(B73="","Équipe manquante",IF(ISNA(MATCH(B73,eq_code,0)),"Équipe inconnue",IF(INDEX(eq_check,MATCH(B73,eq_code,0))&lt;&gt;"OK","Équipe à corriger dans Paramètres",IF(C73="","Poste manquant",IF(ISNA(MATCH(C73,po_code,0)),"Poste inconnu",IF(AND(E73&lt;&gt;"",ISNA(MATCH(E73,art_ref,0))),"Article inconnu",IF(IF(E73="",FALSE,INDEX(art_check,MATCH(E73,art_ref,0))&lt;&gt;"OK"),"Article à corriger (feuille Articles)",IF(COUNTIFS(sj_date,A73,sj_eq,B73,sj_po,C73)&gt;1,"Ligne en double (même jour, équipe et poste)",IF(OR(NOT(ISNUMBER(K73)),N(K73)&lt;=0,N(K73)&gt;1440),"Temps d'ouverture invalide",IF(OR(AND(G73&lt;&gt;"",NOT(ISNUMBER(G73))),N(G73)&lt;0,N(G73)&lt;&gt;INT(N(G73)),AND(H73&lt;&gt;"",NOT(ISNUMBER(H73))),N(H73)&lt;0,N(H73)&lt;&gt;INT(N(H73)),AND(I73&lt;&gt;"",NOT(ISNUMBER(I73))),N(I73)&lt;0,N(I73)&lt;&gt;INT(N(I73))),"Quantité invalide",IF(Q73&lt;=0,"Cadence manquante (poste ou article)",IF(M73&lt;=0,"Arrêts planifiés supérieurs au temps d'ouverture",IF(O73&lt;0,"Arrêts supérieurs au temps requis",IF(AND(P73&gt;0,O73=0),"Pièces déclarées sans temps de marche",IF(AND(P73=0,O73&gt;0),"Aucune pièce déclarée",IF(P73*60/Q73&gt;O73+0.001,"Cadence dépassée : vérifiez la cadence","OK"))))))))))))))))))</f>
        <v>OK</v>
      </c>
      <c r="AC73">
        <f>IF(OR(AB73="OK",AB73="Aucune pièce déclarée",AB73="Cadence dépassée : vérifiez la cadence"),1,0)</f>
        <v>1.0</v>
      </c>
      <c r="AD73">
        <f>IF(AND(AC73=1,A73&gt;=p_from,A73&lt;=p_to),1,0)</f>
        <v>1.0</v>
      </c>
      <c r="AE73">
        <f>IF(AD73=1,IF(COUNTIFS($A$6:A73,A73,$AD$6:AD73,1)=1,1,0),0)</f>
        <v>0.0</v>
      </c>
      <c r="AF73" t="str">
        <f>IF(AE73=1,COUNTIFS(sj_first,1,sj_date,"&lt;"&amp;A73)+1,"")</f>
        <v/>
      </c>
      <c r="AG73">
        <f>IF(AND(AD73=1,N(W73)&lt;p_alert),ROUND(W73,4),"")</f>
        <v>0.4458</v>
      </c>
      <c r="AH73">
        <f>IF(AG73="","",COUNTIF(sj_akey,"&lt;"&amp;AG73)+COUNTIF($AG$6:AG73,AG73))</f>
        <v>15.0</v>
      </c>
    </row>
    <row r="74">
      <c r="A74" s="51" t="n">
        <v>46294</v>
      </c>
      <c r="B74" s="52" t="inlineStr">
        <is>
          <t>Matin</t>
        </is>
      </c>
      <c r="C74" s="52" t="inlineStr">
        <is>
          <t>SOUD</t>
        </is>
      </c>
      <c r="D74" s="53" t="inlineStr">
        <is>
          <t>OF-2609-115</t>
        </is>
      </c>
      <c r="E74" s="53" t="inlineStr">
        <is>
          <t>CHA-REM-01</t>
        </is>
      </c>
      <c r="F74" s="54" t="n"/>
      <c r="G74" s="54" t="n">
        <v>22</v>
      </c>
      <c r="H74" s="54" t="n">
        <v>0</v>
      </c>
      <c r="I74" s="54" t="n">
        <v>0</v>
      </c>
      <c r="J74" s="53" t="n"/>
      <c r="K74" s="55">
        <f>IF(COUNTA(A74:I74)=0,"",IF(F74="",IFERROR(INDEX(eq_dur,MATCH(B74,eq_code,0)),""),F74))</f>
        <v>480.0</v>
      </c>
      <c r="L74" s="55">
        <f>IF(ISNUMBER(K74),N(IFERROR(INDEX(eq_pause,MATCH(B74,eq_code,0)),0))+SUMIFS(st_min,st_date,A74,st_eq,B74,st_po,C74,st_type,"Planifié"),"")</f>
        <v>30.0</v>
      </c>
      <c r="M74" s="55">
        <f>IF(ISNUMBER(K74),K74-L74,"")</f>
        <v>450.0</v>
      </c>
      <c r="N74" s="55">
        <f>IF(ISNUMBER(K74),SUMIFS(st_min,st_date,A74,st_eq,B74,st_po,C74,st_type,"Non planifié"),"")</f>
        <v>85.0</v>
      </c>
      <c r="O74" s="55">
        <f>IF(ISNUMBER(K74),M74-N74,"")</f>
        <v>365.0</v>
      </c>
      <c r="P74" s="55">
        <f>IF(COUNTA(A74:I74)=0,"",N(G74)+N(H74)+N(I74))</f>
        <v>22.0</v>
      </c>
      <c r="Q74" s="56">
        <f>IF(COUNTA(A74:I74)=0,"",IF(N(IFERROR(INDEX(art_rate,MATCH(E74,art_ref,0)),0))&gt;0,N(IFERROR(INDEX(art_rate,MATCH(E74,art_ref,0)),0)),N(IFERROR(INDEX(po_rate,MATCH(C74,po_code,0)),0))))</f>
        <v>4.0</v>
      </c>
      <c r="R74" s="55">
        <f>IF(AC74=1,P74*60/Q74,"")</f>
        <v>330.0</v>
      </c>
      <c r="S74" s="55">
        <f>IF(AC74=1,N(G74)*60/Q74,"")</f>
        <v>330.0</v>
      </c>
      <c r="T74" s="57">
        <f>IF(AC74=1,O74/M74,"")</f>
        <v>0.811111111111111</v>
      </c>
      <c r="U74" s="57">
        <f>IF(AC74=1,IF(O74&gt;0,R74/O74,""),"")</f>
        <v>0.904109589041096</v>
      </c>
      <c r="V74" s="57">
        <f>IF(AC74=1,IF(P74&gt;0,N(G74)/P74,""),"")</f>
        <v>1.0</v>
      </c>
      <c r="W74" s="57">
        <f>IF(AC74=1,S74/M74,"")</f>
        <v>0.733333333333333</v>
      </c>
      <c r="X74" s="57">
        <f>IF(AC74=1,S74/K74,"")</f>
        <v>0.6875</v>
      </c>
      <c r="Y74" s="58" t="str">
        <f>IF(W74="","",IF(W74&gt;=p_target,"Bon",IF(W74&gt;=p_alert,"À surveiller","Faible")))</f>
        <v>À surveiller</v>
      </c>
      <c r="Z74" s="58" t="str">
        <f>IF(W74="","",IF(MIN(IF(T74="",1,T74),IF(U74="",1,U74),IF(V74="",1,V74))&gt;=1,"Aucune",IF(IF(T74="",1,T74)&lt;=MIN(IF(U74="",1,U74),IF(V74="",1,V74)),"Disponibilité",IF(IF(U74="",1,U74)&lt;=IF(V74="",1,V74),"Performance","Qualité"))))</f>
        <v>Disponibilité</v>
      </c>
      <c r="AA74" s="59">
        <f>IF(AC74=1,N(H74)*N(IFERROR(INDEX(art_cost,MATCH(E74,art_ref,0)),0)),"")</f>
        <v>0.0</v>
      </c>
      <c r="AB74" s="58" t="str">
        <f>IF(COUNTA(A74:I74)=0,"",IF(N(A74)&lt;=0,"Date manquante ou invalide",IF(B74="","Équipe manquante",IF(ISNA(MATCH(B74,eq_code,0)),"Équipe inconnue",IF(INDEX(eq_check,MATCH(B74,eq_code,0))&lt;&gt;"OK","Équipe à corriger dans Paramètres",IF(C74="","Poste manquant",IF(ISNA(MATCH(C74,po_code,0)),"Poste inconnu",IF(AND(E74&lt;&gt;"",ISNA(MATCH(E74,art_ref,0))),"Article inconnu",IF(IF(E74="",FALSE,INDEX(art_check,MATCH(E74,art_ref,0))&lt;&gt;"OK"),"Article à corriger (feuille Articles)",IF(COUNTIFS(sj_date,A74,sj_eq,B74,sj_po,C74)&gt;1,"Ligne en double (même jour, équipe et poste)",IF(OR(NOT(ISNUMBER(K74)),N(K74)&lt;=0,N(K74)&gt;1440),"Temps d'ouverture invalide",IF(OR(AND(G74&lt;&gt;"",NOT(ISNUMBER(G74))),N(G74)&lt;0,N(G74)&lt;&gt;INT(N(G74)),AND(H74&lt;&gt;"",NOT(ISNUMBER(H74))),N(H74)&lt;0,N(H74)&lt;&gt;INT(N(H74)),AND(I74&lt;&gt;"",NOT(ISNUMBER(I74))),N(I74)&lt;0,N(I74)&lt;&gt;INT(N(I74))),"Quantité invalide",IF(Q74&lt;=0,"Cadence manquante (poste ou article)",IF(M74&lt;=0,"Arrêts planifiés supérieurs au temps d'ouverture",IF(O74&lt;0,"Arrêts supérieurs au temps requis",IF(AND(P74&gt;0,O74=0),"Pièces déclarées sans temps de marche",IF(AND(P74=0,O74&gt;0),"Aucune pièce déclarée",IF(P74*60/Q74&gt;O74+0.001,"Cadence dépassée : vérifiez la cadence","OK"))))))))))))))))))</f>
        <v>OK</v>
      </c>
      <c r="AC74">
        <f>IF(OR(AB74="OK",AB74="Aucune pièce déclarée",AB74="Cadence dépassée : vérifiez la cadence"),1,0)</f>
        <v>1.0</v>
      </c>
      <c r="AD74">
        <f>IF(AND(AC74=1,A74&gt;=p_from,A74&lt;=p_to),1,0)</f>
        <v>1.0</v>
      </c>
      <c r="AE74">
        <f>IF(AD74=1,IF(COUNTIFS($A$6:A74,A74,$AD$6:AD74,1)=1,1,0),0)</f>
        <v>0.0</v>
      </c>
      <c r="AF74" t="str">
        <f>IF(AE74=1,COUNTIFS(sj_first,1,sj_date,"&lt;"&amp;A74)+1,"")</f>
        <v/>
      </c>
      <c r="AG74" t="str">
        <f>IF(AND(AD74=1,N(W74)&lt;p_alert),ROUND(W74,4),"")</f>
        <v/>
      </c>
      <c r="AH74" t="str">
        <f>IF(AG74="","",COUNTIF(sj_akey,"&lt;"&amp;AG74)+COUNTIF($AG$6:AG74,AG74))</f>
        <v/>
      </c>
    </row>
    <row r="75">
      <c r="A75" s="51" t="n">
        <v>46294</v>
      </c>
      <c r="B75" s="52" t="inlineStr">
        <is>
          <t>Après-midi</t>
        </is>
      </c>
      <c r="C75" s="52" t="inlineStr">
        <is>
          <t>SOUD</t>
        </is>
      </c>
      <c r="D75" s="53" t="inlineStr">
        <is>
          <t>OF-2609-129</t>
        </is>
      </c>
      <c r="E75" s="53" t="inlineStr">
        <is>
          <t>CHA-REM-01</t>
        </is>
      </c>
      <c r="F75" s="54" t="n"/>
      <c r="G75" s="54" t="n">
        <v>16</v>
      </c>
      <c r="H75" s="54" t="n">
        <v>0</v>
      </c>
      <c r="I75" s="54" t="n">
        <v>0</v>
      </c>
      <c r="J75" s="53" t="n"/>
      <c r="K75" s="55">
        <f>IF(COUNTA(A75:I75)=0,"",IF(F75="",IFERROR(INDEX(eq_dur,MATCH(B75,eq_code,0)),""),F75))</f>
        <v>480.0</v>
      </c>
      <c r="L75" s="55">
        <f>IF(ISNUMBER(K75),N(IFERROR(INDEX(eq_pause,MATCH(B75,eq_code,0)),0))+SUMIFS(st_min,st_date,A75,st_eq,B75,st_po,C75,st_type,"Planifié"),"")</f>
        <v>30.0</v>
      </c>
      <c r="M75" s="55">
        <f>IF(ISNUMBER(K75),K75-L75,"")</f>
        <v>450.0</v>
      </c>
      <c r="N75" s="55">
        <f>IF(ISNUMBER(K75),SUMIFS(st_min,st_date,A75,st_eq,B75,st_po,C75,st_type,"Non planifié"),"")</f>
        <v>112.0</v>
      </c>
      <c r="O75" s="55">
        <f>IF(ISNUMBER(K75),M75-N75,"")</f>
        <v>338.0</v>
      </c>
      <c r="P75" s="55">
        <f>IF(COUNTA(A75:I75)=0,"",N(G75)+N(H75)+N(I75))</f>
        <v>16.0</v>
      </c>
      <c r="Q75" s="56">
        <f>IF(COUNTA(A75:I75)=0,"",IF(N(IFERROR(INDEX(art_rate,MATCH(E75,art_ref,0)),0))&gt;0,N(IFERROR(INDEX(art_rate,MATCH(E75,art_ref,0)),0)),N(IFERROR(INDEX(po_rate,MATCH(C75,po_code,0)),0))))</f>
        <v>4.0</v>
      </c>
      <c r="R75" s="55">
        <f>IF(AC75=1,P75*60/Q75,"")</f>
        <v>240.0</v>
      </c>
      <c r="S75" s="55">
        <f>IF(AC75=1,N(G75)*60/Q75,"")</f>
        <v>240.0</v>
      </c>
      <c r="T75" s="57">
        <f>IF(AC75=1,O75/M75,"")</f>
        <v>0.751111111111111</v>
      </c>
      <c r="U75" s="57">
        <f>IF(AC75=1,IF(O75&gt;0,R75/O75,""),"")</f>
        <v>0.710059171597633</v>
      </c>
      <c r="V75" s="57">
        <f>IF(AC75=1,IF(P75&gt;0,N(G75)/P75,""),"")</f>
        <v>1.0</v>
      </c>
      <c r="W75" s="57">
        <f>IF(AC75=1,S75/M75,"")</f>
        <v>0.533333333333333</v>
      </c>
      <c r="X75" s="57">
        <f>IF(AC75=1,S75/K75,"")</f>
        <v>0.5</v>
      </c>
      <c r="Y75" s="58" t="str">
        <f>IF(W75="","",IF(W75&gt;=p_target,"Bon",IF(W75&gt;=p_alert,"À surveiller","Faible")))</f>
        <v>Faible</v>
      </c>
      <c r="Z75" s="58" t="str">
        <f>IF(W75="","",IF(MIN(IF(T75="",1,T75),IF(U75="",1,U75),IF(V75="",1,V75))&gt;=1,"Aucune",IF(IF(T75="",1,T75)&lt;=MIN(IF(U75="",1,U75),IF(V75="",1,V75)),"Disponibilité",IF(IF(U75="",1,U75)&lt;=IF(V75="",1,V75),"Performance","Qualité"))))</f>
        <v>Performance</v>
      </c>
      <c r="AA75" s="59">
        <f>IF(AC75=1,N(H75)*N(IFERROR(INDEX(art_cost,MATCH(E75,art_ref,0)),0)),"")</f>
        <v>0.0</v>
      </c>
      <c r="AB75" s="58" t="str">
        <f>IF(COUNTA(A75:I75)=0,"",IF(N(A75)&lt;=0,"Date manquante ou invalide",IF(B75="","Équipe manquante",IF(ISNA(MATCH(B75,eq_code,0)),"Équipe inconnue",IF(INDEX(eq_check,MATCH(B75,eq_code,0))&lt;&gt;"OK","Équipe à corriger dans Paramètres",IF(C75="","Poste manquant",IF(ISNA(MATCH(C75,po_code,0)),"Poste inconnu",IF(AND(E75&lt;&gt;"",ISNA(MATCH(E75,art_ref,0))),"Article inconnu",IF(IF(E75="",FALSE,INDEX(art_check,MATCH(E75,art_ref,0))&lt;&gt;"OK"),"Article à corriger (feuille Articles)",IF(COUNTIFS(sj_date,A75,sj_eq,B75,sj_po,C75)&gt;1,"Ligne en double (même jour, équipe et poste)",IF(OR(NOT(ISNUMBER(K75)),N(K75)&lt;=0,N(K75)&gt;1440),"Temps d'ouverture invalide",IF(OR(AND(G75&lt;&gt;"",NOT(ISNUMBER(G75))),N(G75)&lt;0,N(G75)&lt;&gt;INT(N(G75)),AND(H75&lt;&gt;"",NOT(ISNUMBER(H75))),N(H75)&lt;0,N(H75)&lt;&gt;INT(N(H75)),AND(I75&lt;&gt;"",NOT(ISNUMBER(I75))),N(I75)&lt;0,N(I75)&lt;&gt;INT(N(I75))),"Quantité invalide",IF(Q75&lt;=0,"Cadence manquante (poste ou article)",IF(M75&lt;=0,"Arrêts planifiés supérieurs au temps d'ouverture",IF(O75&lt;0,"Arrêts supérieurs au temps requis",IF(AND(P75&gt;0,O75=0),"Pièces déclarées sans temps de marche",IF(AND(P75=0,O75&gt;0),"Aucune pièce déclarée",IF(P75*60/Q75&gt;O75+0.001,"Cadence dépassée : vérifiez la cadence","OK"))))))))))))))))))</f>
        <v>OK</v>
      </c>
      <c r="AC75">
        <f>IF(OR(AB75="OK",AB75="Aucune pièce déclarée",AB75="Cadence dépassée : vérifiez la cadence"),1,0)</f>
        <v>1.0</v>
      </c>
      <c r="AD75">
        <f>IF(AND(AC75=1,A75&gt;=p_from,A75&lt;=p_to),1,0)</f>
        <v>1.0</v>
      </c>
      <c r="AE75">
        <f>IF(AD75=1,IF(COUNTIFS($A$6:A75,A75,$AD$6:AD75,1)=1,1,0),0)</f>
        <v>0.0</v>
      </c>
      <c r="AF75" t="str">
        <f>IF(AE75=1,COUNTIFS(sj_first,1,sj_date,"&lt;"&amp;A75)+1,"")</f>
        <v/>
      </c>
      <c r="AG75">
        <f>IF(AND(AD75=1,N(W75)&lt;p_alert),ROUND(W75,4),"")</f>
        <v>0.5333</v>
      </c>
      <c r="AH75">
        <f>IF(AG75="","",COUNTIF(sj_akey,"&lt;"&amp;AG75)+COUNTIF($AG$6:AG75,AG75))</f>
        <v>29.0</v>
      </c>
    </row>
    <row r="76">
      <c r="A76" s="51" t="n">
        <v>46295</v>
      </c>
      <c r="B76" s="52" t="inlineStr">
        <is>
          <t>Matin</t>
        </is>
      </c>
      <c r="C76" s="52" t="inlineStr">
        <is>
          <t>TOUR1</t>
        </is>
      </c>
      <c r="D76" s="53" t="inlineStr">
        <is>
          <t>OF-2609-130</t>
        </is>
      </c>
      <c r="E76" s="53" t="inlineStr">
        <is>
          <t>AXE-R20</t>
        </is>
      </c>
      <c r="F76" s="54" t="n"/>
      <c r="G76" s="54" t="n">
        <v>182</v>
      </c>
      <c r="H76" s="54" t="n">
        <v>0</v>
      </c>
      <c r="I76" s="54" t="n">
        <v>0</v>
      </c>
      <c r="J76" s="53" t="n"/>
      <c r="K76" s="55">
        <f>IF(COUNTA(A76:I76)=0,"",IF(F76="",IFERROR(INDEX(eq_dur,MATCH(B76,eq_code,0)),""),F76))</f>
        <v>480.0</v>
      </c>
      <c r="L76" s="55">
        <f>IF(ISNUMBER(K76),N(IFERROR(INDEX(eq_pause,MATCH(B76,eq_code,0)),0))+SUMIFS(st_min,st_date,A76,st_eq,B76,st_po,C76,st_type,"Planifié"),"")</f>
        <v>30.0</v>
      </c>
      <c r="M76" s="55">
        <f>IF(ISNUMBER(K76),K76-L76,"")</f>
        <v>450.0</v>
      </c>
      <c r="N76" s="55">
        <f>IF(ISNUMBER(K76),SUMIFS(st_min,st_date,A76,st_eq,B76,st_po,C76,st_type,"Non planifié"),"")</f>
        <v>35.0</v>
      </c>
      <c r="O76" s="55">
        <f>IF(ISNUMBER(K76),M76-N76,"")</f>
        <v>415.0</v>
      </c>
      <c r="P76" s="55">
        <f>IF(COUNTA(A76:I76)=0,"",N(G76)+N(H76)+N(I76))</f>
        <v>182.0</v>
      </c>
      <c r="Q76" s="56">
        <f>IF(COUNTA(A76:I76)=0,"",IF(N(IFERROR(INDEX(art_rate,MATCH(E76,art_ref,0)),0))&gt;0,N(IFERROR(INDEX(art_rate,MATCH(E76,art_ref,0)),0)),N(IFERROR(INDEX(po_rate,MATCH(C76,po_code,0)),0))))</f>
        <v>30.0</v>
      </c>
      <c r="R76" s="55">
        <f>IF(AC76=1,P76*60/Q76,"")</f>
        <v>364.0</v>
      </c>
      <c r="S76" s="55">
        <f>IF(AC76=1,N(G76)*60/Q76,"")</f>
        <v>364.0</v>
      </c>
      <c r="T76" s="57">
        <f>IF(AC76=1,O76/M76,"")</f>
        <v>0.922222222222222</v>
      </c>
      <c r="U76" s="57">
        <f>IF(AC76=1,IF(O76&gt;0,R76/O76,""),"")</f>
        <v>0.87710843373494</v>
      </c>
      <c r="V76" s="57">
        <f>IF(AC76=1,IF(P76&gt;0,N(G76)/P76,""),"")</f>
        <v>1.0</v>
      </c>
      <c r="W76" s="57">
        <f>IF(AC76=1,S76/M76,"")</f>
        <v>0.808888888888889</v>
      </c>
      <c r="X76" s="57">
        <f>IF(AC76=1,S76/K76,"")</f>
        <v>0.758333333333333</v>
      </c>
      <c r="Y76" s="58" t="str">
        <f>IF(W76="","",IF(W76&gt;=p_target,"Bon",IF(W76&gt;=p_alert,"À surveiller","Faible")))</f>
        <v>Bon</v>
      </c>
      <c r="Z76" s="58" t="str">
        <f>IF(W76="","",IF(MIN(IF(T76="",1,T76),IF(U76="",1,U76),IF(V76="",1,V76))&gt;=1,"Aucune",IF(IF(T76="",1,T76)&lt;=MIN(IF(U76="",1,U76),IF(V76="",1,V76)),"Disponibilité",IF(IF(U76="",1,U76)&lt;=IF(V76="",1,V76),"Performance","Qualité"))))</f>
        <v>Performance</v>
      </c>
      <c r="AA76" s="59">
        <f>IF(AC76=1,N(H76)*N(IFERROR(INDEX(art_cost,MATCH(E76,art_ref,0)),0)),"")</f>
        <v>0.0</v>
      </c>
      <c r="AB76" s="58" t="str">
        <f>IF(COUNTA(A76:I76)=0,"",IF(N(A76)&lt;=0,"Date manquante ou invalide",IF(B76="","Équipe manquante",IF(ISNA(MATCH(B76,eq_code,0)),"Équipe inconnue",IF(INDEX(eq_check,MATCH(B76,eq_code,0))&lt;&gt;"OK","Équipe à corriger dans Paramètres",IF(C76="","Poste manquant",IF(ISNA(MATCH(C76,po_code,0)),"Poste inconnu",IF(AND(E76&lt;&gt;"",ISNA(MATCH(E76,art_ref,0))),"Article inconnu",IF(IF(E76="",FALSE,INDEX(art_check,MATCH(E76,art_ref,0))&lt;&gt;"OK"),"Article à corriger (feuille Articles)",IF(COUNTIFS(sj_date,A76,sj_eq,B76,sj_po,C76)&gt;1,"Ligne en double (même jour, équipe et poste)",IF(OR(NOT(ISNUMBER(K76)),N(K76)&lt;=0,N(K76)&gt;1440),"Temps d'ouverture invalide",IF(OR(AND(G76&lt;&gt;"",NOT(ISNUMBER(G76))),N(G76)&lt;0,N(G76)&lt;&gt;INT(N(G76)),AND(H76&lt;&gt;"",NOT(ISNUMBER(H76))),N(H76)&lt;0,N(H76)&lt;&gt;INT(N(H76)),AND(I76&lt;&gt;"",NOT(ISNUMBER(I76))),N(I76)&lt;0,N(I76)&lt;&gt;INT(N(I76))),"Quantité invalide",IF(Q76&lt;=0,"Cadence manquante (poste ou article)",IF(M76&lt;=0,"Arrêts planifiés supérieurs au temps d'ouverture",IF(O76&lt;0,"Arrêts supérieurs au temps requis",IF(AND(P76&gt;0,O76=0),"Pièces déclarées sans temps de marche",IF(AND(P76=0,O76&gt;0),"Aucune pièce déclarée",IF(P76*60/Q76&gt;O76+0.001,"Cadence dépassée : vérifiez la cadence","OK"))))))))))))))))))</f>
        <v>OK</v>
      </c>
      <c r="AC76">
        <f>IF(OR(AB76="OK",AB76="Aucune pièce déclarée",AB76="Cadence dépassée : vérifiez la cadence"),1,0)</f>
        <v>1.0</v>
      </c>
      <c r="AD76">
        <f>IF(AND(AC76=1,A76&gt;=p_from,A76&lt;=p_to),1,0)</f>
        <v>1.0</v>
      </c>
      <c r="AE76">
        <f>IF(AD76=1,IF(COUNTIFS($A$6:A76,A76,$AD$6:AD76,1)=1,1,0),0)</f>
        <v>1.0</v>
      </c>
      <c r="AF76">
        <f>IF(AE76=1,COUNTIFS(sj_first,1,sj_date,"&lt;"&amp;A76)+1,"")</f>
        <v>8.0</v>
      </c>
      <c r="AG76" t="str">
        <f>IF(AND(AD76=1,N(W76)&lt;p_alert),ROUND(W76,4),"")</f>
        <v/>
      </c>
      <c r="AH76" t="str">
        <f>IF(AG76="","",COUNTIF(sj_akey,"&lt;"&amp;AG76)+COUNTIF($AG$6:AG76,AG76))</f>
        <v/>
      </c>
    </row>
    <row r="77">
      <c r="A77" s="51" t="n">
        <v>46295</v>
      </c>
      <c r="B77" s="52" t="inlineStr">
        <is>
          <t>Après-midi</t>
        </is>
      </c>
      <c r="C77" s="52" t="inlineStr">
        <is>
          <t>TOUR1</t>
        </is>
      </c>
      <c r="D77" s="53" t="inlineStr">
        <is>
          <t>OF-2609-131</t>
        </is>
      </c>
      <c r="E77" s="53" t="inlineStr">
        <is>
          <t>BAG-BR-32</t>
        </is>
      </c>
      <c r="F77" s="54" t="n"/>
      <c r="G77" s="54" t="n">
        <v>280</v>
      </c>
      <c r="H77" s="54" t="n">
        <v>3</v>
      </c>
      <c r="I77" s="54" t="n">
        <v>1</v>
      </c>
      <c r="J77" s="53" t="n"/>
      <c r="K77" s="55">
        <f>IF(COUNTA(A77:I77)=0,"",IF(F77="",IFERROR(INDEX(eq_dur,MATCH(B77,eq_code,0)),""),F77))</f>
        <v>480.0</v>
      </c>
      <c r="L77" s="55">
        <f>IF(ISNUMBER(K77),N(IFERROR(INDEX(eq_pause,MATCH(B77,eq_code,0)),0))+SUMIFS(st_min,st_date,A77,st_eq,B77,st_po,C77,st_type,"Planifié"),"")</f>
        <v>30.0</v>
      </c>
      <c r="M77" s="55">
        <f>IF(ISNUMBER(K77),K77-L77,"")</f>
        <v>450.0</v>
      </c>
      <c r="N77" s="55">
        <f>IF(ISNUMBER(K77),SUMIFS(st_min,st_date,A77,st_eq,B77,st_po,C77,st_type,"Non planifié"),"")</f>
        <v>0.0</v>
      </c>
      <c r="O77" s="55">
        <f>IF(ISNUMBER(K77),M77-N77,"")</f>
        <v>450.0</v>
      </c>
      <c r="P77" s="55">
        <f>IF(COUNTA(A77:I77)=0,"",N(G77)+N(H77)+N(I77))</f>
        <v>284.0</v>
      </c>
      <c r="Q77" s="56">
        <f>IF(COUNTA(A77:I77)=0,"",IF(N(IFERROR(INDEX(art_rate,MATCH(E77,art_ref,0)),0))&gt;0,N(IFERROR(INDEX(art_rate,MATCH(E77,art_ref,0)),0)),N(IFERROR(INDEX(po_rate,MATCH(C77,po_code,0)),0))))</f>
        <v>40.0</v>
      </c>
      <c r="R77" s="55">
        <f>IF(AC77=1,P77*60/Q77,"")</f>
        <v>426.0</v>
      </c>
      <c r="S77" s="55">
        <f>IF(AC77=1,N(G77)*60/Q77,"")</f>
        <v>420.0</v>
      </c>
      <c r="T77" s="57">
        <f>IF(AC77=1,O77/M77,"")</f>
        <v>1.0</v>
      </c>
      <c r="U77" s="57">
        <f>IF(AC77=1,IF(O77&gt;0,R77/O77,""),"")</f>
        <v>0.946666666666667</v>
      </c>
      <c r="V77" s="57">
        <f>IF(AC77=1,IF(P77&gt;0,N(G77)/P77,""),"")</f>
        <v>0.985915492957747</v>
      </c>
      <c r="W77" s="57">
        <f>IF(AC77=1,S77/M77,"")</f>
        <v>0.933333333333333</v>
      </c>
      <c r="X77" s="57">
        <f>IF(AC77=1,S77/K77,"")</f>
        <v>0.875</v>
      </c>
      <c r="Y77" s="58" t="str">
        <f>IF(W77="","",IF(W77&gt;=p_target,"Bon",IF(W77&gt;=p_alert,"À surveiller","Faible")))</f>
        <v>Bon</v>
      </c>
      <c r="Z77" s="58" t="str">
        <f>IF(W77="","",IF(MIN(IF(T77="",1,T77),IF(U77="",1,U77),IF(V77="",1,V77))&gt;=1,"Aucune",IF(IF(T77="",1,T77)&lt;=MIN(IF(U77="",1,U77),IF(V77="",1,V77)),"Disponibilité",IF(IF(U77="",1,U77)&lt;=IF(V77="",1,V77),"Performance","Qualité"))))</f>
        <v>Performance</v>
      </c>
      <c r="AA77" s="59">
        <f>IF(AC77=1,N(H77)*N(IFERROR(INDEX(art_cost,MATCH(E77,art_ref,0)),0)),"")</f>
        <v>156.0</v>
      </c>
      <c r="AB77" s="58" t="str">
        <f>IF(COUNTA(A77:I77)=0,"",IF(N(A77)&lt;=0,"Date manquante ou invalide",IF(B77="","Équipe manquante",IF(ISNA(MATCH(B77,eq_code,0)),"Équipe inconnue",IF(INDEX(eq_check,MATCH(B77,eq_code,0))&lt;&gt;"OK","Équipe à corriger dans Paramètres",IF(C77="","Poste manquant",IF(ISNA(MATCH(C77,po_code,0)),"Poste inconnu",IF(AND(E77&lt;&gt;"",ISNA(MATCH(E77,art_ref,0))),"Article inconnu",IF(IF(E77="",FALSE,INDEX(art_check,MATCH(E77,art_ref,0))&lt;&gt;"OK"),"Article à corriger (feuille Articles)",IF(COUNTIFS(sj_date,A77,sj_eq,B77,sj_po,C77)&gt;1,"Ligne en double (même jour, équipe et poste)",IF(OR(NOT(ISNUMBER(K77)),N(K77)&lt;=0,N(K77)&gt;1440),"Temps d'ouverture invalide",IF(OR(AND(G77&lt;&gt;"",NOT(ISNUMBER(G77))),N(G77)&lt;0,N(G77)&lt;&gt;INT(N(G77)),AND(H77&lt;&gt;"",NOT(ISNUMBER(H77))),N(H77)&lt;0,N(H77)&lt;&gt;INT(N(H77)),AND(I77&lt;&gt;"",NOT(ISNUMBER(I77))),N(I77)&lt;0,N(I77)&lt;&gt;INT(N(I77))),"Quantité invalide",IF(Q77&lt;=0,"Cadence manquante (poste ou article)",IF(M77&lt;=0,"Arrêts planifiés supérieurs au temps d'ouverture",IF(O77&lt;0,"Arrêts supérieurs au temps requis",IF(AND(P77&gt;0,O77=0),"Pièces déclarées sans temps de marche",IF(AND(P77=0,O77&gt;0),"Aucune pièce déclarée",IF(P77*60/Q77&gt;O77+0.001,"Cadence dépassée : vérifiez la cadence","OK"))))))))))))))))))</f>
        <v>OK</v>
      </c>
      <c r="AC77">
        <f>IF(OR(AB77="OK",AB77="Aucune pièce déclarée",AB77="Cadence dépassée : vérifiez la cadence"),1,0)</f>
        <v>1.0</v>
      </c>
      <c r="AD77">
        <f>IF(AND(AC77=1,A77&gt;=p_from,A77&lt;=p_to),1,0)</f>
        <v>1.0</v>
      </c>
      <c r="AE77">
        <f>IF(AD77=1,IF(COUNTIFS($A$6:A77,A77,$AD$6:AD77,1)=1,1,0),0)</f>
        <v>0.0</v>
      </c>
      <c r="AF77" t="str">
        <f>IF(AE77=1,COUNTIFS(sj_first,1,sj_date,"&lt;"&amp;A77)+1,"")</f>
        <v/>
      </c>
      <c r="AG77" t="str">
        <f>IF(AND(AD77=1,N(W77)&lt;p_alert),ROUND(W77,4),"")</f>
        <v/>
      </c>
      <c r="AH77" t="str">
        <f>IF(AG77="","",COUNTIF(sj_akey,"&lt;"&amp;AG77)+COUNTIF($AG$6:AG77,AG77))</f>
        <v/>
      </c>
    </row>
    <row r="78">
      <c r="A78" s="51" t="n">
        <v>46295</v>
      </c>
      <c r="B78" s="52" t="inlineStr">
        <is>
          <t>Matin</t>
        </is>
      </c>
      <c r="C78" s="52" t="inlineStr">
        <is>
          <t>TOUR2</t>
        </is>
      </c>
      <c r="D78" s="53" t="inlineStr">
        <is>
          <t>OF-2609-116</t>
        </is>
      </c>
      <c r="E78" s="53" t="inlineStr">
        <is>
          <t>AXE-R20</t>
        </is>
      </c>
      <c r="F78" s="54" t="n"/>
      <c r="G78" s="54" t="n">
        <v>158</v>
      </c>
      <c r="H78" s="54" t="n">
        <v>5</v>
      </c>
      <c r="I78" s="54" t="n">
        <v>0</v>
      </c>
      <c r="J78" s="53" t="n"/>
      <c r="K78" s="55">
        <f>IF(COUNTA(A78:I78)=0,"",IF(F78="",IFERROR(INDEX(eq_dur,MATCH(B78,eq_code,0)),""),F78))</f>
        <v>480.0</v>
      </c>
      <c r="L78" s="55">
        <f>IF(ISNUMBER(K78),N(IFERROR(INDEX(eq_pause,MATCH(B78,eq_code,0)),0))+SUMIFS(st_min,st_date,A78,st_eq,B78,st_po,C78,st_type,"Planifié"),"")</f>
        <v>30.0</v>
      </c>
      <c r="M78" s="55">
        <f>IF(ISNUMBER(K78),K78-L78,"")</f>
        <v>450.0</v>
      </c>
      <c r="N78" s="55">
        <f>IF(ISNUMBER(K78),SUMIFS(st_min,st_date,A78,st_eq,B78,st_po,C78,st_type,"Non planifié"),"")</f>
        <v>84.0</v>
      </c>
      <c r="O78" s="55">
        <f>IF(ISNUMBER(K78),M78-N78,"")</f>
        <v>366.0</v>
      </c>
      <c r="P78" s="55">
        <f>IF(COUNTA(A78:I78)=0,"",N(G78)+N(H78)+N(I78))</f>
        <v>163.0</v>
      </c>
      <c r="Q78" s="56">
        <f>IF(COUNTA(A78:I78)=0,"",IF(N(IFERROR(INDEX(art_rate,MATCH(E78,art_ref,0)),0))&gt;0,N(IFERROR(INDEX(art_rate,MATCH(E78,art_ref,0)),0)),N(IFERROR(INDEX(po_rate,MATCH(C78,po_code,0)),0))))</f>
        <v>30.0</v>
      </c>
      <c r="R78" s="55">
        <f>IF(AC78=1,P78*60/Q78,"")</f>
        <v>326.0</v>
      </c>
      <c r="S78" s="55">
        <f>IF(AC78=1,N(G78)*60/Q78,"")</f>
        <v>316.0</v>
      </c>
      <c r="T78" s="57">
        <f>IF(AC78=1,O78/M78,"")</f>
        <v>0.813333333333333</v>
      </c>
      <c r="U78" s="57">
        <f>IF(AC78=1,IF(O78&gt;0,R78/O78,""),"")</f>
        <v>0.890710382513661</v>
      </c>
      <c r="V78" s="57">
        <f>IF(AC78=1,IF(P78&gt;0,N(G78)/P78,""),"")</f>
        <v>0.969325153374233</v>
      </c>
      <c r="W78" s="57">
        <f>IF(AC78=1,S78/M78,"")</f>
        <v>0.702222222222222</v>
      </c>
      <c r="X78" s="57">
        <f>IF(AC78=1,S78/K78,"")</f>
        <v>0.658333333333333</v>
      </c>
      <c r="Y78" s="58" t="str">
        <f>IF(W78="","",IF(W78&gt;=p_target,"Bon",IF(W78&gt;=p_alert,"À surveiller","Faible")))</f>
        <v>À surveiller</v>
      </c>
      <c r="Z78" s="58" t="str">
        <f>IF(W78="","",IF(MIN(IF(T78="",1,T78),IF(U78="",1,U78),IF(V78="",1,V78))&gt;=1,"Aucune",IF(IF(T78="",1,T78)&lt;=MIN(IF(U78="",1,U78),IF(V78="",1,V78)),"Disponibilité",IF(IF(U78="",1,U78)&lt;=IF(V78="",1,V78),"Performance","Qualité"))))</f>
        <v>Disponibilité</v>
      </c>
      <c r="AA78" s="59">
        <f>IF(AC78=1,N(H78)*N(IFERROR(INDEX(art_cost,MATCH(E78,art_ref,0)),0)),"")</f>
        <v>192.5</v>
      </c>
      <c r="AB78" s="58" t="str">
        <f>IF(COUNTA(A78:I78)=0,"",IF(N(A78)&lt;=0,"Date manquante ou invalide",IF(B78="","Équipe manquante",IF(ISNA(MATCH(B78,eq_code,0)),"Équipe inconnue",IF(INDEX(eq_check,MATCH(B78,eq_code,0))&lt;&gt;"OK","Équipe à corriger dans Paramètres",IF(C78="","Poste manquant",IF(ISNA(MATCH(C78,po_code,0)),"Poste inconnu",IF(AND(E78&lt;&gt;"",ISNA(MATCH(E78,art_ref,0))),"Article inconnu",IF(IF(E78="",FALSE,INDEX(art_check,MATCH(E78,art_ref,0))&lt;&gt;"OK"),"Article à corriger (feuille Articles)",IF(COUNTIFS(sj_date,A78,sj_eq,B78,sj_po,C78)&gt;1,"Ligne en double (même jour, équipe et poste)",IF(OR(NOT(ISNUMBER(K78)),N(K78)&lt;=0,N(K78)&gt;1440),"Temps d'ouverture invalide",IF(OR(AND(G78&lt;&gt;"",NOT(ISNUMBER(G78))),N(G78)&lt;0,N(G78)&lt;&gt;INT(N(G78)),AND(H78&lt;&gt;"",NOT(ISNUMBER(H78))),N(H78)&lt;0,N(H78)&lt;&gt;INT(N(H78)),AND(I78&lt;&gt;"",NOT(ISNUMBER(I78))),N(I78)&lt;0,N(I78)&lt;&gt;INT(N(I78))),"Quantité invalide",IF(Q78&lt;=0,"Cadence manquante (poste ou article)",IF(M78&lt;=0,"Arrêts planifiés supérieurs au temps d'ouverture",IF(O78&lt;0,"Arrêts supérieurs au temps requis",IF(AND(P78&gt;0,O78=0),"Pièces déclarées sans temps de marche",IF(AND(P78=0,O78&gt;0),"Aucune pièce déclarée",IF(P78*60/Q78&gt;O78+0.001,"Cadence dépassée : vérifiez la cadence","OK"))))))))))))))))))</f>
        <v>OK</v>
      </c>
      <c r="AC78">
        <f>IF(OR(AB78="OK",AB78="Aucune pièce déclarée",AB78="Cadence dépassée : vérifiez la cadence"),1,0)</f>
        <v>1.0</v>
      </c>
      <c r="AD78">
        <f>IF(AND(AC78=1,A78&gt;=p_from,A78&lt;=p_to),1,0)</f>
        <v>1.0</v>
      </c>
      <c r="AE78">
        <f>IF(AD78=1,IF(COUNTIFS($A$6:A78,A78,$AD$6:AD78,1)=1,1,0),0)</f>
        <v>0.0</v>
      </c>
      <c r="AF78" t="str">
        <f>IF(AE78=1,COUNTIFS(sj_first,1,sj_date,"&lt;"&amp;A78)+1,"")</f>
        <v/>
      </c>
      <c r="AG78" t="str">
        <f>IF(AND(AD78=1,N(W78)&lt;p_alert),ROUND(W78,4),"")</f>
        <v/>
      </c>
      <c r="AH78" t="str">
        <f>IF(AG78="","",COUNTIF(sj_akey,"&lt;"&amp;AG78)+COUNTIF($AG$6:AG78,AG78))</f>
        <v/>
      </c>
    </row>
    <row r="79">
      <c r="A79" s="51" t="n">
        <v>46295</v>
      </c>
      <c r="B79" s="52" t="inlineStr">
        <is>
          <t>Après-midi</t>
        </is>
      </c>
      <c r="C79" s="52" t="inlineStr">
        <is>
          <t>TOUR2</t>
        </is>
      </c>
      <c r="D79" s="53" t="inlineStr">
        <is>
          <t>OF-2609-135</t>
        </is>
      </c>
      <c r="E79" s="53" t="inlineStr">
        <is>
          <t>AXE-R20</t>
        </is>
      </c>
      <c r="F79" s="54" t="n"/>
      <c r="G79" s="54" t="n">
        <v>134</v>
      </c>
      <c r="H79" s="54" t="n">
        <v>4</v>
      </c>
      <c r="I79" s="54" t="n">
        <v>1</v>
      </c>
      <c r="J79" s="53" t="n"/>
      <c r="K79" s="55">
        <f>IF(COUNTA(A79:I79)=0,"",IF(F79="",IFERROR(INDEX(eq_dur,MATCH(B79,eq_code,0)),""),F79))</f>
        <v>480.0</v>
      </c>
      <c r="L79" s="55">
        <f>IF(ISNUMBER(K79),N(IFERROR(INDEX(eq_pause,MATCH(B79,eq_code,0)),0))+SUMIFS(st_min,st_date,A79,st_eq,B79,st_po,C79,st_type,"Planifié"),"")</f>
        <v>30.0</v>
      </c>
      <c r="M79" s="55">
        <f>IF(ISNUMBER(K79),K79-L79,"")</f>
        <v>450.0</v>
      </c>
      <c r="N79" s="55">
        <f>IF(ISNUMBER(K79),SUMIFS(st_min,st_date,A79,st_eq,B79,st_po,C79,st_type,"Non planifié"),"")</f>
        <v>98.0</v>
      </c>
      <c r="O79" s="55">
        <f>IF(ISNUMBER(K79),M79-N79,"")</f>
        <v>352.0</v>
      </c>
      <c r="P79" s="55">
        <f>IF(COUNTA(A79:I79)=0,"",N(G79)+N(H79)+N(I79))</f>
        <v>139.0</v>
      </c>
      <c r="Q79" s="56">
        <f>IF(COUNTA(A79:I79)=0,"",IF(N(IFERROR(INDEX(art_rate,MATCH(E79,art_ref,0)),0))&gt;0,N(IFERROR(INDEX(art_rate,MATCH(E79,art_ref,0)),0)),N(IFERROR(INDEX(po_rate,MATCH(C79,po_code,0)),0))))</f>
        <v>30.0</v>
      </c>
      <c r="R79" s="55">
        <f>IF(AC79=1,P79*60/Q79,"")</f>
        <v>278.0</v>
      </c>
      <c r="S79" s="55">
        <f>IF(AC79=1,N(G79)*60/Q79,"")</f>
        <v>268.0</v>
      </c>
      <c r="T79" s="57">
        <f>IF(AC79=1,O79/M79,"")</f>
        <v>0.782222222222222</v>
      </c>
      <c r="U79" s="57">
        <f>IF(AC79=1,IF(O79&gt;0,R79/O79,""),"")</f>
        <v>0.789772727272727</v>
      </c>
      <c r="V79" s="57">
        <f>IF(AC79=1,IF(P79&gt;0,N(G79)/P79,""),"")</f>
        <v>0.964028776978417</v>
      </c>
      <c r="W79" s="57">
        <f>IF(AC79=1,S79/M79,"")</f>
        <v>0.595555555555556</v>
      </c>
      <c r="X79" s="57">
        <f>IF(AC79=1,S79/K79,"")</f>
        <v>0.558333333333333</v>
      </c>
      <c r="Y79" s="58" t="str">
        <f>IF(W79="","",IF(W79&gt;=p_target,"Bon",IF(W79&gt;=p_alert,"À surveiller","Faible")))</f>
        <v>À surveiller</v>
      </c>
      <c r="Z79" s="58" t="str">
        <f>IF(W79="","",IF(MIN(IF(T79="",1,T79),IF(U79="",1,U79),IF(V79="",1,V79))&gt;=1,"Aucune",IF(IF(T79="",1,T79)&lt;=MIN(IF(U79="",1,U79),IF(V79="",1,V79)),"Disponibilité",IF(IF(U79="",1,U79)&lt;=IF(V79="",1,V79),"Performance","Qualité"))))</f>
        <v>Disponibilité</v>
      </c>
      <c r="AA79" s="59">
        <f>IF(AC79=1,N(H79)*N(IFERROR(INDEX(art_cost,MATCH(E79,art_ref,0)),0)),"")</f>
        <v>154.0</v>
      </c>
      <c r="AB79" s="58" t="str">
        <f>IF(COUNTA(A79:I79)=0,"",IF(N(A79)&lt;=0,"Date manquante ou invalide",IF(B79="","Équipe manquante",IF(ISNA(MATCH(B79,eq_code,0)),"Équipe inconnue",IF(INDEX(eq_check,MATCH(B79,eq_code,0))&lt;&gt;"OK","Équipe à corriger dans Paramètres",IF(C79="","Poste manquant",IF(ISNA(MATCH(C79,po_code,0)),"Poste inconnu",IF(AND(E79&lt;&gt;"",ISNA(MATCH(E79,art_ref,0))),"Article inconnu",IF(IF(E79="",FALSE,INDEX(art_check,MATCH(E79,art_ref,0))&lt;&gt;"OK"),"Article à corriger (feuille Articles)",IF(COUNTIFS(sj_date,A79,sj_eq,B79,sj_po,C79)&gt;1,"Ligne en double (même jour, équipe et poste)",IF(OR(NOT(ISNUMBER(K79)),N(K79)&lt;=0,N(K79)&gt;1440),"Temps d'ouverture invalide",IF(OR(AND(G79&lt;&gt;"",NOT(ISNUMBER(G79))),N(G79)&lt;0,N(G79)&lt;&gt;INT(N(G79)),AND(H79&lt;&gt;"",NOT(ISNUMBER(H79))),N(H79)&lt;0,N(H79)&lt;&gt;INT(N(H79)),AND(I79&lt;&gt;"",NOT(ISNUMBER(I79))),N(I79)&lt;0,N(I79)&lt;&gt;INT(N(I79))),"Quantité invalide",IF(Q79&lt;=0,"Cadence manquante (poste ou article)",IF(M79&lt;=0,"Arrêts planifiés supérieurs au temps d'ouverture",IF(O79&lt;0,"Arrêts supérieurs au temps requis",IF(AND(P79&gt;0,O79=0),"Pièces déclarées sans temps de marche",IF(AND(P79=0,O79&gt;0),"Aucune pièce déclarée",IF(P79*60/Q79&gt;O79+0.001,"Cadence dépassée : vérifiez la cadence","OK"))))))))))))))))))</f>
        <v>OK</v>
      </c>
      <c r="AC79">
        <f>IF(OR(AB79="OK",AB79="Aucune pièce déclarée",AB79="Cadence dépassée : vérifiez la cadence"),1,0)</f>
        <v>1.0</v>
      </c>
      <c r="AD79">
        <f>IF(AND(AC79=1,A79&gt;=p_from,A79&lt;=p_to),1,0)</f>
        <v>1.0</v>
      </c>
      <c r="AE79">
        <f>IF(AD79=1,IF(COUNTIFS($A$6:A79,A79,$AD$6:AD79,1)=1,1,0),0)</f>
        <v>0.0</v>
      </c>
      <c r="AF79" t="str">
        <f>IF(AE79=1,COUNTIFS(sj_first,1,sj_date,"&lt;"&amp;A79)+1,"")</f>
        <v/>
      </c>
      <c r="AG79" t="str">
        <f>IF(AND(AD79=1,N(W79)&lt;p_alert),ROUND(W79,4),"")</f>
        <v/>
      </c>
      <c r="AH79" t="str">
        <f>IF(AG79="","",COUNTIF(sj_akey,"&lt;"&amp;AG79)+COUNTIF($AG$6:AG79,AG79))</f>
        <v/>
      </c>
    </row>
    <row r="80">
      <c r="A80" s="51" t="n">
        <v>46295</v>
      </c>
      <c r="B80" s="52" t="inlineStr">
        <is>
          <t>Matin</t>
        </is>
      </c>
      <c r="C80" s="52" t="inlineStr">
        <is>
          <t>USIN</t>
        </is>
      </c>
      <c r="D80" s="53" t="inlineStr">
        <is>
          <t>OF-2609-123</t>
        </is>
      </c>
      <c r="E80" s="53" t="inlineStr">
        <is>
          <t>CAR-BOI-04</t>
        </is>
      </c>
      <c r="F80" s="54" t="n"/>
      <c r="G80" s="54" t="n">
        <v>40</v>
      </c>
      <c r="H80" s="54" t="n">
        <v>0</v>
      </c>
      <c r="I80" s="54" t="n">
        <v>0</v>
      </c>
      <c r="J80" s="53" t="n"/>
      <c r="K80" s="55">
        <f>IF(COUNTA(A80:I80)=0,"",IF(F80="",IFERROR(INDEX(eq_dur,MATCH(B80,eq_code,0)),""),F80))</f>
        <v>480.0</v>
      </c>
      <c r="L80" s="55">
        <f>IF(ISNUMBER(K80),N(IFERROR(INDEX(eq_pause,MATCH(B80,eq_code,0)),0))+SUMIFS(st_min,st_date,A80,st_eq,B80,st_po,C80,st_type,"Planifié"),"")</f>
        <v>30.0</v>
      </c>
      <c r="M80" s="55">
        <f>IF(ISNUMBER(K80),K80-L80,"")</f>
        <v>450.0</v>
      </c>
      <c r="N80" s="55">
        <f>IF(ISNUMBER(K80),SUMIFS(st_min,st_date,A80,st_eq,B80,st_po,C80,st_type,"Non planifié"),"")</f>
        <v>24.0</v>
      </c>
      <c r="O80" s="55">
        <f>IF(ISNUMBER(K80),M80-N80,"")</f>
        <v>426.0</v>
      </c>
      <c r="P80" s="55">
        <f>IF(COUNTA(A80:I80)=0,"",N(G80)+N(H80)+N(I80))</f>
        <v>40.0</v>
      </c>
      <c r="Q80" s="56">
        <f>IF(COUNTA(A80:I80)=0,"",IF(N(IFERROR(INDEX(art_rate,MATCH(E80,art_ref,0)),0))&gt;0,N(IFERROR(INDEX(art_rate,MATCH(E80,art_ref,0)),0)),N(IFERROR(INDEX(po_rate,MATCH(C80,po_code,0)),0))))</f>
        <v>6.0</v>
      </c>
      <c r="R80" s="55">
        <f>IF(AC80=1,P80*60/Q80,"")</f>
        <v>400.0</v>
      </c>
      <c r="S80" s="55">
        <f>IF(AC80=1,N(G80)*60/Q80,"")</f>
        <v>400.0</v>
      </c>
      <c r="T80" s="57">
        <f>IF(AC80=1,O80/M80,"")</f>
        <v>0.946666666666667</v>
      </c>
      <c r="U80" s="57">
        <f>IF(AC80=1,IF(O80&gt;0,R80/O80,""),"")</f>
        <v>0.938967136150235</v>
      </c>
      <c r="V80" s="57">
        <f>IF(AC80=1,IF(P80&gt;0,N(G80)/P80,""),"")</f>
        <v>1.0</v>
      </c>
      <c r="W80" s="57">
        <f>IF(AC80=1,S80/M80,"")</f>
        <v>0.888888888888889</v>
      </c>
      <c r="X80" s="57">
        <f>IF(AC80=1,S80/K80,"")</f>
        <v>0.833333333333333</v>
      </c>
      <c r="Y80" s="58" t="str">
        <f>IF(W80="","",IF(W80&gt;=p_target,"Bon",IF(W80&gt;=p_alert,"À surveiller","Faible")))</f>
        <v>Bon</v>
      </c>
      <c r="Z80" s="58" t="str">
        <f>IF(W80="","",IF(MIN(IF(T80="",1,T80),IF(U80="",1,U80),IF(V80="",1,V80))&gt;=1,"Aucune",IF(IF(T80="",1,T80)&lt;=MIN(IF(U80="",1,U80),IF(V80="",1,V80)),"Disponibilité",IF(IF(U80="",1,U80)&lt;=IF(V80="",1,V80),"Performance","Qualité"))))</f>
        <v>Performance</v>
      </c>
      <c r="AA80" s="59">
        <f>IF(AC80=1,N(H80)*N(IFERROR(INDEX(art_cost,MATCH(E80,art_ref,0)),0)),"")</f>
        <v>0.0</v>
      </c>
      <c r="AB80" s="58" t="str">
        <f>IF(COUNTA(A80:I80)=0,"",IF(N(A80)&lt;=0,"Date manquante ou invalide",IF(B80="","Équipe manquante",IF(ISNA(MATCH(B80,eq_code,0)),"Équipe inconnue",IF(INDEX(eq_check,MATCH(B80,eq_code,0))&lt;&gt;"OK","Équipe à corriger dans Paramètres",IF(C80="","Poste manquant",IF(ISNA(MATCH(C80,po_code,0)),"Poste inconnu",IF(AND(E80&lt;&gt;"",ISNA(MATCH(E80,art_ref,0))),"Article inconnu",IF(IF(E80="",FALSE,INDEX(art_check,MATCH(E80,art_ref,0))&lt;&gt;"OK"),"Article à corriger (feuille Articles)",IF(COUNTIFS(sj_date,A80,sj_eq,B80,sj_po,C80)&gt;1,"Ligne en double (même jour, équipe et poste)",IF(OR(NOT(ISNUMBER(K80)),N(K80)&lt;=0,N(K80)&gt;1440),"Temps d'ouverture invalide",IF(OR(AND(G80&lt;&gt;"",NOT(ISNUMBER(G80))),N(G80)&lt;0,N(G80)&lt;&gt;INT(N(G80)),AND(H80&lt;&gt;"",NOT(ISNUMBER(H80))),N(H80)&lt;0,N(H80)&lt;&gt;INT(N(H80)),AND(I80&lt;&gt;"",NOT(ISNUMBER(I80))),N(I80)&lt;0,N(I80)&lt;&gt;INT(N(I80))),"Quantité invalide",IF(Q80&lt;=0,"Cadence manquante (poste ou article)",IF(M80&lt;=0,"Arrêts planifiés supérieurs au temps d'ouverture",IF(O80&lt;0,"Arrêts supérieurs au temps requis",IF(AND(P80&gt;0,O80=0),"Pièces déclarées sans temps de marche",IF(AND(P80=0,O80&gt;0),"Aucune pièce déclarée",IF(P80*60/Q80&gt;O80+0.001,"Cadence dépassée : vérifiez la cadence","OK"))))))))))))))))))</f>
        <v>OK</v>
      </c>
      <c r="AC80">
        <f>IF(OR(AB80="OK",AB80="Aucune pièce déclarée",AB80="Cadence dépassée : vérifiez la cadence"),1,0)</f>
        <v>1.0</v>
      </c>
      <c r="AD80">
        <f>IF(AND(AC80=1,A80&gt;=p_from,A80&lt;=p_to),1,0)</f>
        <v>1.0</v>
      </c>
      <c r="AE80">
        <f>IF(AD80=1,IF(COUNTIFS($A$6:A80,A80,$AD$6:AD80,1)=1,1,0),0)</f>
        <v>0.0</v>
      </c>
      <c r="AF80" t="str">
        <f>IF(AE80=1,COUNTIFS(sj_first,1,sj_date,"&lt;"&amp;A80)+1,"")</f>
        <v/>
      </c>
      <c r="AG80" t="str">
        <f>IF(AND(AD80=1,N(W80)&lt;p_alert),ROUND(W80,4),"")</f>
        <v/>
      </c>
      <c r="AH80" t="str">
        <f>IF(AG80="","",COUNTIF(sj_akey,"&lt;"&amp;AG80)+COUNTIF($AG$6:AG80,AG80))</f>
        <v/>
      </c>
    </row>
    <row r="81">
      <c r="A81" s="51" t="n">
        <v>46295</v>
      </c>
      <c r="B81" s="52" t="inlineStr">
        <is>
          <t>Après-midi</t>
        </is>
      </c>
      <c r="C81" s="52" t="inlineStr">
        <is>
          <t>USIN</t>
        </is>
      </c>
      <c r="D81" s="53" t="inlineStr">
        <is>
          <t>OF-2609-133</t>
        </is>
      </c>
      <c r="E81" s="53" t="inlineStr">
        <is>
          <t>FLA-PL-150</t>
        </is>
      </c>
      <c r="F81" s="54" t="n"/>
      <c r="G81" s="54" t="n">
        <v>25</v>
      </c>
      <c r="H81" s="54" t="n">
        <v>0</v>
      </c>
      <c r="I81" s="54" t="n">
        <v>0</v>
      </c>
      <c r="J81" s="53" t="n"/>
      <c r="K81" s="55">
        <f>IF(COUNTA(A81:I81)=0,"",IF(F81="",IFERROR(INDEX(eq_dur,MATCH(B81,eq_code,0)),""),F81))</f>
        <v>480.0</v>
      </c>
      <c r="L81" s="55">
        <f>IF(ISNUMBER(K81),N(IFERROR(INDEX(eq_pause,MATCH(B81,eq_code,0)),0))+SUMIFS(st_min,st_date,A81,st_eq,B81,st_po,C81,st_type,"Planifié"),"")</f>
        <v>30.0</v>
      </c>
      <c r="M81" s="55">
        <f>IF(ISNUMBER(K81),K81-L81,"")</f>
        <v>450.0</v>
      </c>
      <c r="N81" s="55">
        <f>IF(ISNUMBER(K81),SUMIFS(st_min,st_date,A81,st_eq,B81,st_po,C81,st_type,"Non planifié"),"")</f>
        <v>318.0</v>
      </c>
      <c r="O81" s="55">
        <f>IF(ISNUMBER(K81),M81-N81,"")</f>
        <v>132.0</v>
      </c>
      <c r="P81" s="55">
        <f>IF(COUNTA(A81:I81)=0,"",N(G81)+N(H81)+N(I81))</f>
        <v>25.0</v>
      </c>
      <c r="Q81" s="56">
        <f>IF(COUNTA(A81:I81)=0,"",IF(N(IFERROR(INDEX(art_rate,MATCH(E81,art_ref,0)),0))&gt;0,N(IFERROR(INDEX(art_rate,MATCH(E81,art_ref,0)),0)),N(IFERROR(INDEX(po_rate,MATCH(C81,po_code,0)),0))))</f>
        <v>12.0</v>
      </c>
      <c r="R81" s="55">
        <f>IF(AC81=1,P81*60/Q81,"")</f>
        <v>125.0</v>
      </c>
      <c r="S81" s="55">
        <f>IF(AC81=1,N(G81)*60/Q81,"")</f>
        <v>125.0</v>
      </c>
      <c r="T81" s="57">
        <f>IF(AC81=1,O81/M81,"")</f>
        <v>0.293333333333333</v>
      </c>
      <c r="U81" s="57">
        <f>IF(AC81=1,IF(O81&gt;0,R81/O81,""),"")</f>
        <v>0.946969696969697</v>
      </c>
      <c r="V81" s="57">
        <f>IF(AC81=1,IF(P81&gt;0,N(G81)/P81,""),"")</f>
        <v>1.0</v>
      </c>
      <c r="W81" s="57">
        <f>IF(AC81=1,S81/M81,"")</f>
        <v>0.277777777777778</v>
      </c>
      <c r="X81" s="57">
        <f>IF(AC81=1,S81/K81,"")</f>
        <v>0.260416666666667</v>
      </c>
      <c r="Y81" s="58" t="str">
        <f>IF(W81="","",IF(W81&gt;=p_target,"Bon",IF(W81&gt;=p_alert,"À surveiller","Faible")))</f>
        <v>Faible</v>
      </c>
      <c r="Z81" s="58" t="str">
        <f>IF(W81="","",IF(MIN(IF(T81="",1,T81),IF(U81="",1,U81),IF(V81="",1,V81))&gt;=1,"Aucune",IF(IF(T81="",1,T81)&lt;=MIN(IF(U81="",1,U81),IF(V81="",1,V81)),"Disponibilité",IF(IF(U81="",1,U81)&lt;=IF(V81="",1,V81),"Performance","Qualité"))))</f>
        <v>Disponibilité</v>
      </c>
      <c r="AA81" s="59">
        <f>IF(AC81=1,N(H81)*N(IFERROR(INDEX(art_cost,MATCH(E81,art_ref,0)),0)),"")</f>
        <v>0.0</v>
      </c>
      <c r="AB81" s="58" t="str">
        <f>IF(COUNTA(A81:I81)=0,"",IF(N(A81)&lt;=0,"Date manquante ou invalide",IF(B81="","Équipe manquante",IF(ISNA(MATCH(B81,eq_code,0)),"Équipe inconnue",IF(INDEX(eq_check,MATCH(B81,eq_code,0))&lt;&gt;"OK","Équipe à corriger dans Paramètres",IF(C81="","Poste manquant",IF(ISNA(MATCH(C81,po_code,0)),"Poste inconnu",IF(AND(E81&lt;&gt;"",ISNA(MATCH(E81,art_ref,0))),"Article inconnu",IF(IF(E81="",FALSE,INDEX(art_check,MATCH(E81,art_ref,0))&lt;&gt;"OK"),"Article à corriger (feuille Articles)",IF(COUNTIFS(sj_date,A81,sj_eq,B81,sj_po,C81)&gt;1,"Ligne en double (même jour, équipe et poste)",IF(OR(NOT(ISNUMBER(K81)),N(K81)&lt;=0,N(K81)&gt;1440),"Temps d'ouverture invalide",IF(OR(AND(G81&lt;&gt;"",NOT(ISNUMBER(G81))),N(G81)&lt;0,N(G81)&lt;&gt;INT(N(G81)),AND(H81&lt;&gt;"",NOT(ISNUMBER(H81))),N(H81)&lt;0,N(H81)&lt;&gt;INT(N(H81)),AND(I81&lt;&gt;"",NOT(ISNUMBER(I81))),N(I81)&lt;0,N(I81)&lt;&gt;INT(N(I81))),"Quantité invalide",IF(Q81&lt;=0,"Cadence manquante (poste ou article)",IF(M81&lt;=0,"Arrêts planifiés supérieurs au temps d'ouverture",IF(O81&lt;0,"Arrêts supérieurs au temps requis",IF(AND(P81&gt;0,O81=0),"Pièces déclarées sans temps de marche",IF(AND(P81=0,O81&gt;0),"Aucune pièce déclarée",IF(P81*60/Q81&gt;O81+0.001,"Cadence dépassée : vérifiez la cadence","OK"))))))))))))))))))</f>
        <v>OK</v>
      </c>
      <c r="AC81">
        <f>IF(OR(AB81="OK",AB81="Aucune pièce déclarée",AB81="Cadence dépassée : vérifiez la cadence"),1,0)</f>
        <v>1.0</v>
      </c>
      <c r="AD81">
        <f>IF(AND(AC81=1,A81&gt;=p_from,A81&lt;=p_to),1,0)</f>
        <v>1.0</v>
      </c>
      <c r="AE81">
        <f>IF(AD81=1,IF(COUNTIFS($A$6:A81,A81,$AD$6:AD81,1)=1,1,0),0)</f>
        <v>0.0</v>
      </c>
      <c r="AF81" t="str">
        <f>IF(AE81=1,COUNTIFS(sj_first,1,sj_date,"&lt;"&amp;A81)+1,"")</f>
        <v/>
      </c>
      <c r="AG81">
        <f>IF(AND(AD81=1,N(W81)&lt;p_alert),ROUND(W81,4),"")</f>
        <v>0.2778</v>
      </c>
      <c r="AH81">
        <f>IF(AG81="","",COUNTIF(sj_akey,"&lt;"&amp;AG81)+COUNTIF($AG$6:AG81,AG81))</f>
        <v>5.0</v>
      </c>
    </row>
    <row r="82">
      <c r="A82" s="51" t="n">
        <v>46295</v>
      </c>
      <c r="B82" s="52" t="inlineStr">
        <is>
          <t>Matin</t>
        </is>
      </c>
      <c r="C82" s="52" t="inlineStr">
        <is>
          <t>PRESSE</t>
        </is>
      </c>
      <c r="D82" s="53" t="inlineStr">
        <is>
          <t>OF-2609-134</t>
        </is>
      </c>
      <c r="E82" s="53" t="inlineStr">
        <is>
          <t>RON-M10</t>
        </is>
      </c>
      <c r="F82" s="54" t="n"/>
      <c r="G82" s="54" t="n">
        <v>3983</v>
      </c>
      <c r="H82" s="54" t="n">
        <v>59</v>
      </c>
      <c r="I82" s="54" t="n">
        <v>34</v>
      </c>
      <c r="J82" s="53" t="n"/>
      <c r="K82" s="55">
        <f>IF(COUNTA(A82:I82)=0,"",IF(F82="",IFERROR(INDEX(eq_dur,MATCH(B82,eq_code,0)),""),F82))</f>
        <v>480.0</v>
      </c>
      <c r="L82" s="55">
        <f>IF(ISNUMBER(K82),N(IFERROR(INDEX(eq_pause,MATCH(B82,eq_code,0)),0))+SUMIFS(st_min,st_date,A82,st_eq,B82,st_po,C82,st_type,"Planifié"),"")</f>
        <v>30.0</v>
      </c>
      <c r="M82" s="55">
        <f>IF(ISNUMBER(K82),K82-L82,"")</f>
        <v>450.0</v>
      </c>
      <c r="N82" s="55">
        <f>IF(ISNUMBER(K82),SUMIFS(st_min,st_date,A82,st_eq,B82,st_po,C82,st_type,"Non planifié"),"")</f>
        <v>10.0</v>
      </c>
      <c r="O82" s="55">
        <f>IF(ISNUMBER(K82),M82-N82,"")</f>
        <v>440.0</v>
      </c>
      <c r="P82" s="55">
        <f>IF(COUNTA(A82:I82)=0,"",N(G82)+N(H82)+N(I82))</f>
        <v>4076.0</v>
      </c>
      <c r="Q82" s="56">
        <f>IF(COUNTA(A82:I82)=0,"",IF(N(IFERROR(INDEX(art_rate,MATCH(E82,art_ref,0)),0))&gt;0,N(IFERROR(INDEX(art_rate,MATCH(E82,art_ref,0)),0)),N(IFERROR(INDEX(po_rate,MATCH(C82,po_code,0)),0))))</f>
        <v>600.0</v>
      </c>
      <c r="R82" s="55">
        <f>IF(AC82=1,P82*60/Q82,"")</f>
        <v>407.6</v>
      </c>
      <c r="S82" s="55">
        <f>IF(AC82=1,N(G82)*60/Q82,"")</f>
        <v>398.3</v>
      </c>
      <c r="T82" s="57">
        <f>IF(AC82=1,O82/M82,"")</f>
        <v>0.977777777777778</v>
      </c>
      <c r="U82" s="57">
        <f>IF(AC82=1,IF(O82&gt;0,R82/O82,""),"")</f>
        <v>0.926363636363636</v>
      </c>
      <c r="V82" s="57">
        <f>IF(AC82=1,IF(P82&gt;0,N(G82)/P82,""),"")</f>
        <v>0.977183513248283</v>
      </c>
      <c r="W82" s="57">
        <f>IF(AC82=1,S82/M82,"")</f>
        <v>0.885111111111111</v>
      </c>
      <c r="X82" s="57">
        <f>IF(AC82=1,S82/K82,"")</f>
        <v>0.829791666666667</v>
      </c>
      <c r="Y82" s="58" t="str">
        <f>IF(W82="","",IF(W82&gt;=p_target,"Bon",IF(W82&gt;=p_alert,"À surveiller","Faible")))</f>
        <v>Bon</v>
      </c>
      <c r="Z82" s="58" t="str">
        <f>IF(W82="","",IF(MIN(IF(T82="",1,T82),IF(U82="",1,U82),IF(V82="",1,V82))&gt;=1,"Aucune",IF(IF(T82="",1,T82)&lt;=MIN(IF(U82="",1,U82),IF(V82="",1,V82)),"Disponibilité",IF(IF(U82="",1,U82)&lt;=IF(V82="",1,V82),"Performance","Qualité"))))</f>
        <v>Performance</v>
      </c>
      <c r="AA82" s="59">
        <f>IF(AC82=1,N(H82)*N(IFERROR(INDEX(art_cost,MATCH(E82,art_ref,0)),0)),"")</f>
        <v>53.1</v>
      </c>
      <c r="AB82" s="58" t="str">
        <f>IF(COUNTA(A82:I82)=0,"",IF(N(A82)&lt;=0,"Date manquante ou invalide",IF(B82="","Équipe manquante",IF(ISNA(MATCH(B82,eq_code,0)),"Équipe inconnue",IF(INDEX(eq_check,MATCH(B82,eq_code,0))&lt;&gt;"OK","Équipe à corriger dans Paramètres",IF(C82="","Poste manquant",IF(ISNA(MATCH(C82,po_code,0)),"Poste inconnu",IF(AND(E82&lt;&gt;"",ISNA(MATCH(E82,art_ref,0))),"Article inconnu",IF(IF(E82="",FALSE,INDEX(art_check,MATCH(E82,art_ref,0))&lt;&gt;"OK"),"Article à corriger (feuille Articles)",IF(COUNTIFS(sj_date,A82,sj_eq,B82,sj_po,C82)&gt;1,"Ligne en double (même jour, équipe et poste)",IF(OR(NOT(ISNUMBER(K82)),N(K82)&lt;=0,N(K82)&gt;1440),"Temps d'ouverture invalide",IF(OR(AND(G82&lt;&gt;"",NOT(ISNUMBER(G82))),N(G82)&lt;0,N(G82)&lt;&gt;INT(N(G82)),AND(H82&lt;&gt;"",NOT(ISNUMBER(H82))),N(H82)&lt;0,N(H82)&lt;&gt;INT(N(H82)),AND(I82&lt;&gt;"",NOT(ISNUMBER(I82))),N(I82)&lt;0,N(I82)&lt;&gt;INT(N(I82))),"Quantité invalide",IF(Q82&lt;=0,"Cadence manquante (poste ou article)",IF(M82&lt;=0,"Arrêts planifiés supérieurs au temps d'ouverture",IF(O82&lt;0,"Arrêts supérieurs au temps requis",IF(AND(P82&gt;0,O82=0),"Pièces déclarées sans temps de marche",IF(AND(P82=0,O82&gt;0),"Aucune pièce déclarée",IF(P82*60/Q82&gt;O82+0.001,"Cadence dépassée : vérifiez la cadence","OK"))))))))))))))))))</f>
        <v>OK</v>
      </c>
      <c r="AC82">
        <f>IF(OR(AB82="OK",AB82="Aucune pièce déclarée",AB82="Cadence dépassée : vérifiez la cadence"),1,0)</f>
        <v>1.0</v>
      </c>
      <c r="AD82">
        <f>IF(AND(AC82=1,A82&gt;=p_from,A82&lt;=p_to),1,0)</f>
        <v>1.0</v>
      </c>
      <c r="AE82">
        <f>IF(AD82=1,IF(COUNTIFS($A$6:A82,A82,$AD$6:AD82,1)=1,1,0),0)</f>
        <v>0.0</v>
      </c>
      <c r="AF82" t="str">
        <f>IF(AE82=1,COUNTIFS(sj_first,1,sj_date,"&lt;"&amp;A82)+1,"")</f>
        <v/>
      </c>
      <c r="AG82" t="str">
        <f>IF(AND(AD82=1,N(W82)&lt;p_alert),ROUND(W82,4),"")</f>
        <v/>
      </c>
      <c r="AH82" t="str">
        <f>IF(AG82="","",COUNTIF(sj_akey,"&lt;"&amp;AG82)+COUNTIF($AG$6:AG82,AG82))</f>
        <v/>
      </c>
    </row>
    <row r="83">
      <c r="A83" s="51" t="n">
        <v>46295</v>
      </c>
      <c r="B83" s="52" t="inlineStr">
        <is>
          <t>Journée</t>
        </is>
      </c>
      <c r="C83" s="52" t="inlineStr">
        <is>
          <t>PLIE</t>
        </is>
      </c>
      <c r="D83" s="53" t="inlineStr">
        <is>
          <t>OF-2609-128</t>
        </is>
      </c>
      <c r="E83" s="53" t="inlineStr">
        <is>
          <t>SUP-MOT-01</t>
        </is>
      </c>
      <c r="F83" s="54" t="n"/>
      <c r="G83" s="54" t="n">
        <v>549</v>
      </c>
      <c r="H83" s="54" t="n">
        <v>12</v>
      </c>
      <c r="I83" s="54" t="n">
        <v>6</v>
      </c>
      <c r="J83" s="53" t="n"/>
      <c r="K83" s="55">
        <f>IF(COUNTA(A83:I83)=0,"",IF(F83="",IFERROR(INDEX(eq_dur,MATCH(B83,eq_code,0)),""),F83))</f>
        <v>540.0</v>
      </c>
      <c r="L83" s="55">
        <f>IF(ISNUMBER(K83),N(IFERROR(INDEX(eq_pause,MATCH(B83,eq_code,0)),0))+SUMIFS(st_min,st_date,A83,st_eq,B83,st_po,C83,st_type,"Planifié"),"")</f>
        <v>60.0</v>
      </c>
      <c r="M83" s="55">
        <f>IF(ISNUMBER(K83),K83-L83,"")</f>
        <v>480.0</v>
      </c>
      <c r="N83" s="55">
        <f>IF(ISNUMBER(K83),SUMIFS(st_min,st_date,A83,st_eq,B83,st_po,C83,st_type,"Non planifié"),"")</f>
        <v>39.0</v>
      </c>
      <c r="O83" s="55">
        <f>IF(ISNUMBER(K83),M83-N83,"")</f>
        <v>441.0</v>
      </c>
      <c r="P83" s="55">
        <f>IF(COUNTA(A83:I83)=0,"",N(G83)+N(H83)+N(I83))</f>
        <v>567.0</v>
      </c>
      <c r="Q83" s="56">
        <f>IF(COUNTA(A83:I83)=0,"",IF(N(IFERROR(INDEX(art_rate,MATCH(E83,art_ref,0)),0))&gt;0,N(IFERROR(INDEX(art_rate,MATCH(E83,art_ref,0)),0)),N(IFERROR(INDEX(po_rate,MATCH(C83,po_code,0)),0))))</f>
        <v>90.0</v>
      </c>
      <c r="R83" s="55">
        <f>IF(AC83=1,P83*60/Q83,"")</f>
        <v>378.0</v>
      </c>
      <c r="S83" s="55">
        <f>IF(AC83=1,N(G83)*60/Q83,"")</f>
        <v>366.0</v>
      </c>
      <c r="T83" s="57">
        <f>IF(AC83=1,O83/M83,"")</f>
        <v>0.91875</v>
      </c>
      <c r="U83" s="57">
        <f>IF(AC83=1,IF(O83&gt;0,R83/O83,""),"")</f>
        <v>0.857142857142857</v>
      </c>
      <c r="V83" s="57">
        <f>IF(AC83=1,IF(P83&gt;0,N(G83)/P83,""),"")</f>
        <v>0.968253968253968</v>
      </c>
      <c r="W83" s="57">
        <f>IF(AC83=1,S83/M83,"")</f>
        <v>0.7625</v>
      </c>
      <c r="X83" s="57">
        <f>IF(AC83=1,S83/K83,"")</f>
        <v>0.677777777777778</v>
      </c>
      <c r="Y83" s="58" t="str">
        <f>IF(W83="","",IF(W83&gt;=p_target,"Bon",IF(W83&gt;=p_alert,"À surveiller","Faible")))</f>
        <v>Bon</v>
      </c>
      <c r="Z83" s="58" t="str">
        <f>IF(W83="","",IF(MIN(IF(T83="",1,T83),IF(U83="",1,U83),IF(V83="",1,V83))&gt;=1,"Aucune",IF(IF(T83="",1,T83)&lt;=MIN(IF(U83="",1,U83),IF(V83="",1,V83)),"Disponibilité",IF(IF(U83="",1,U83)&lt;=IF(V83="",1,V83),"Performance","Qualité"))))</f>
        <v>Performance</v>
      </c>
      <c r="AA83" s="59">
        <f>IF(AC83=1,N(H83)*N(IFERROR(INDEX(art_cost,MATCH(E83,art_ref,0)),0)),"")</f>
        <v>768.0</v>
      </c>
      <c r="AB83" s="58" t="str">
        <f>IF(COUNTA(A83:I83)=0,"",IF(N(A83)&lt;=0,"Date manquante ou invalide",IF(B83="","Équipe manquante",IF(ISNA(MATCH(B83,eq_code,0)),"Équipe inconnue",IF(INDEX(eq_check,MATCH(B83,eq_code,0))&lt;&gt;"OK","Équipe à corriger dans Paramètres",IF(C83="","Poste manquant",IF(ISNA(MATCH(C83,po_code,0)),"Poste inconnu",IF(AND(E83&lt;&gt;"",ISNA(MATCH(E83,art_ref,0))),"Article inconnu",IF(IF(E83="",FALSE,INDEX(art_check,MATCH(E83,art_ref,0))&lt;&gt;"OK"),"Article à corriger (feuille Articles)",IF(COUNTIFS(sj_date,A83,sj_eq,B83,sj_po,C83)&gt;1,"Ligne en double (même jour, équipe et poste)",IF(OR(NOT(ISNUMBER(K83)),N(K83)&lt;=0,N(K83)&gt;1440),"Temps d'ouverture invalide",IF(OR(AND(G83&lt;&gt;"",NOT(ISNUMBER(G83))),N(G83)&lt;0,N(G83)&lt;&gt;INT(N(G83)),AND(H83&lt;&gt;"",NOT(ISNUMBER(H83))),N(H83)&lt;0,N(H83)&lt;&gt;INT(N(H83)),AND(I83&lt;&gt;"",NOT(ISNUMBER(I83))),N(I83)&lt;0,N(I83)&lt;&gt;INT(N(I83))),"Quantité invalide",IF(Q83&lt;=0,"Cadence manquante (poste ou article)",IF(M83&lt;=0,"Arrêts planifiés supérieurs au temps d'ouverture",IF(O83&lt;0,"Arrêts supérieurs au temps requis",IF(AND(P83&gt;0,O83=0),"Pièces déclarées sans temps de marche",IF(AND(P83=0,O83&gt;0),"Aucune pièce déclarée",IF(P83*60/Q83&gt;O83+0.001,"Cadence dépassée : vérifiez la cadence","OK"))))))))))))))))))</f>
        <v>OK</v>
      </c>
      <c r="AC83">
        <f>IF(OR(AB83="OK",AB83="Aucune pièce déclarée",AB83="Cadence dépassée : vérifiez la cadence"),1,0)</f>
        <v>1.0</v>
      </c>
      <c r="AD83">
        <f>IF(AND(AC83=1,A83&gt;=p_from,A83&lt;=p_to),1,0)</f>
        <v>1.0</v>
      </c>
      <c r="AE83">
        <f>IF(AD83=1,IF(COUNTIFS($A$6:A83,A83,$AD$6:AD83,1)=1,1,0),0)</f>
        <v>0.0</v>
      </c>
      <c r="AF83" t="str">
        <f>IF(AE83=1,COUNTIFS(sj_first,1,sj_date,"&lt;"&amp;A83)+1,"")</f>
        <v/>
      </c>
      <c r="AG83" t="str">
        <f>IF(AND(AD83=1,N(W83)&lt;p_alert),ROUND(W83,4),"")</f>
        <v/>
      </c>
      <c r="AH83" t="str">
        <f>IF(AG83="","",COUNTIF(sj_akey,"&lt;"&amp;AG83)+COUNTIF($AG$6:AG83,AG83))</f>
        <v/>
      </c>
    </row>
    <row r="84">
      <c r="A84" s="51" t="n">
        <v>46295</v>
      </c>
      <c r="B84" s="52" t="inlineStr">
        <is>
          <t>Matin</t>
        </is>
      </c>
      <c r="C84" s="52" t="inlineStr">
        <is>
          <t>SOUD</t>
        </is>
      </c>
      <c r="D84" s="53" t="inlineStr">
        <is>
          <t>OF-2609-115</t>
        </is>
      </c>
      <c r="E84" s="53" t="inlineStr">
        <is>
          <t>CHA-REM-01</t>
        </is>
      </c>
      <c r="F84" s="54" t="n"/>
      <c r="G84" s="54" t="n">
        <v>9</v>
      </c>
      <c r="H84" s="54" t="n">
        <v>0</v>
      </c>
      <c r="I84" s="54" t="n">
        <v>0</v>
      </c>
      <c r="J84" s="53" t="n"/>
      <c r="K84" s="55">
        <f>IF(COUNTA(A84:I84)=0,"",IF(F84="",IFERROR(INDEX(eq_dur,MATCH(B84,eq_code,0)),""),F84))</f>
        <v>480.0</v>
      </c>
      <c r="L84" s="55">
        <f>IF(ISNUMBER(K84),N(IFERROR(INDEX(eq_pause,MATCH(B84,eq_code,0)),0))+SUMIFS(st_min,st_date,A84,st_eq,B84,st_po,C84,st_type,"Planifié"),"")</f>
        <v>30.0</v>
      </c>
      <c r="M84" s="55">
        <f>IF(ISNUMBER(K84),K84-L84,"")</f>
        <v>450.0</v>
      </c>
      <c r="N84" s="55">
        <f>IF(ISNUMBER(K84),SUMIFS(st_min,st_date,A84,st_eq,B84,st_po,C84,st_type,"Non planifié"),"")</f>
        <v>242.0</v>
      </c>
      <c r="O84" s="55">
        <f>IF(ISNUMBER(K84),M84-N84,"")</f>
        <v>208.0</v>
      </c>
      <c r="P84" s="55">
        <f>IF(COUNTA(A84:I84)=0,"",N(G84)+N(H84)+N(I84))</f>
        <v>9.0</v>
      </c>
      <c r="Q84" s="56">
        <f>IF(COUNTA(A84:I84)=0,"",IF(N(IFERROR(INDEX(art_rate,MATCH(E84,art_ref,0)),0))&gt;0,N(IFERROR(INDEX(art_rate,MATCH(E84,art_ref,0)),0)),N(IFERROR(INDEX(po_rate,MATCH(C84,po_code,0)),0))))</f>
        <v>4.0</v>
      </c>
      <c r="R84" s="55">
        <f>IF(AC84=1,P84*60/Q84,"")</f>
        <v>135.0</v>
      </c>
      <c r="S84" s="55">
        <f>IF(AC84=1,N(G84)*60/Q84,"")</f>
        <v>135.0</v>
      </c>
      <c r="T84" s="57">
        <f>IF(AC84=1,O84/M84,"")</f>
        <v>0.462222222222222</v>
      </c>
      <c r="U84" s="57">
        <f>IF(AC84=1,IF(O84&gt;0,R84/O84,""),"")</f>
        <v>0.649038461538462</v>
      </c>
      <c r="V84" s="57">
        <f>IF(AC84=1,IF(P84&gt;0,N(G84)/P84,""),"")</f>
        <v>1.0</v>
      </c>
      <c r="W84" s="57">
        <f>IF(AC84=1,S84/M84,"")</f>
        <v>0.3</v>
      </c>
      <c r="X84" s="57">
        <f>IF(AC84=1,S84/K84,"")</f>
        <v>0.28125</v>
      </c>
      <c r="Y84" s="58" t="str">
        <f>IF(W84="","",IF(W84&gt;=p_target,"Bon",IF(W84&gt;=p_alert,"À surveiller","Faible")))</f>
        <v>Faible</v>
      </c>
      <c r="Z84" s="58" t="str">
        <f>IF(W84="","",IF(MIN(IF(T84="",1,T84),IF(U84="",1,U84),IF(V84="",1,V84))&gt;=1,"Aucune",IF(IF(T84="",1,T84)&lt;=MIN(IF(U84="",1,U84),IF(V84="",1,V84)),"Disponibilité",IF(IF(U84="",1,U84)&lt;=IF(V84="",1,V84),"Performance","Qualité"))))</f>
        <v>Disponibilité</v>
      </c>
      <c r="AA84" s="59">
        <f>IF(AC84=1,N(H84)*N(IFERROR(INDEX(art_cost,MATCH(E84,art_ref,0)),0)),"")</f>
        <v>0.0</v>
      </c>
      <c r="AB84" s="58" t="str">
        <f>IF(COUNTA(A84:I84)=0,"",IF(N(A84)&lt;=0,"Date manquante ou invalide",IF(B84="","Équipe manquante",IF(ISNA(MATCH(B84,eq_code,0)),"Équipe inconnue",IF(INDEX(eq_check,MATCH(B84,eq_code,0))&lt;&gt;"OK","Équipe à corriger dans Paramètres",IF(C84="","Poste manquant",IF(ISNA(MATCH(C84,po_code,0)),"Poste inconnu",IF(AND(E84&lt;&gt;"",ISNA(MATCH(E84,art_ref,0))),"Article inconnu",IF(IF(E84="",FALSE,INDEX(art_check,MATCH(E84,art_ref,0))&lt;&gt;"OK"),"Article à corriger (feuille Articles)",IF(COUNTIFS(sj_date,A84,sj_eq,B84,sj_po,C84)&gt;1,"Ligne en double (même jour, équipe et poste)",IF(OR(NOT(ISNUMBER(K84)),N(K84)&lt;=0,N(K84)&gt;1440),"Temps d'ouverture invalide",IF(OR(AND(G84&lt;&gt;"",NOT(ISNUMBER(G84))),N(G84)&lt;0,N(G84)&lt;&gt;INT(N(G84)),AND(H84&lt;&gt;"",NOT(ISNUMBER(H84))),N(H84)&lt;0,N(H84)&lt;&gt;INT(N(H84)),AND(I84&lt;&gt;"",NOT(ISNUMBER(I84))),N(I84)&lt;0,N(I84)&lt;&gt;INT(N(I84))),"Quantité invalide",IF(Q84&lt;=0,"Cadence manquante (poste ou article)",IF(M84&lt;=0,"Arrêts planifiés supérieurs au temps d'ouverture",IF(O84&lt;0,"Arrêts supérieurs au temps requis",IF(AND(P84&gt;0,O84=0),"Pièces déclarées sans temps de marche",IF(AND(P84=0,O84&gt;0),"Aucune pièce déclarée",IF(P84*60/Q84&gt;O84+0.001,"Cadence dépassée : vérifiez la cadence","OK"))))))))))))))))))</f>
        <v>OK</v>
      </c>
      <c r="AC84">
        <f>IF(OR(AB84="OK",AB84="Aucune pièce déclarée",AB84="Cadence dépassée : vérifiez la cadence"),1,0)</f>
        <v>1.0</v>
      </c>
      <c r="AD84">
        <f>IF(AND(AC84=1,A84&gt;=p_from,A84&lt;=p_to),1,0)</f>
        <v>1.0</v>
      </c>
      <c r="AE84">
        <f>IF(AD84=1,IF(COUNTIFS($A$6:A84,A84,$AD$6:AD84,1)=1,1,0),0)</f>
        <v>0.0</v>
      </c>
      <c r="AF84" t="str">
        <f>IF(AE84=1,COUNTIFS(sj_first,1,sj_date,"&lt;"&amp;A84)+1,"")</f>
        <v/>
      </c>
      <c r="AG84">
        <f>IF(AND(AD84=1,N(W84)&lt;p_alert),ROUND(W84,4),"")</f>
        <v>0.3</v>
      </c>
      <c r="AH84">
        <f>IF(AG84="","",COUNTIF(sj_akey,"&lt;"&amp;AG84)+COUNTIF($AG$6:AG84,AG84))</f>
        <v>6.0</v>
      </c>
    </row>
    <row r="85">
      <c r="A85" s="51" t="n">
        <v>46295</v>
      </c>
      <c r="B85" s="52" t="inlineStr">
        <is>
          <t>Après-midi</t>
        </is>
      </c>
      <c r="C85" s="52" t="inlineStr">
        <is>
          <t>SOUD</t>
        </is>
      </c>
      <c r="D85" s="53" t="inlineStr">
        <is>
          <t>OF-2609-129</t>
        </is>
      </c>
      <c r="E85" s="53" t="inlineStr">
        <is>
          <t>CHA-REM-01</t>
        </is>
      </c>
      <c r="F85" s="54" t="n"/>
      <c r="G85" s="54" t="n">
        <v>19</v>
      </c>
      <c r="H85" s="54" t="n">
        <v>0</v>
      </c>
      <c r="I85" s="54" t="n">
        <v>0</v>
      </c>
      <c r="J85" s="53" t="n"/>
      <c r="K85" s="55">
        <f>IF(COUNTA(A85:I85)=0,"",IF(F85="",IFERROR(INDEX(eq_dur,MATCH(B85,eq_code,0)),""),F85))</f>
        <v>480.0</v>
      </c>
      <c r="L85" s="55">
        <f>IF(ISNUMBER(K85),N(IFERROR(INDEX(eq_pause,MATCH(B85,eq_code,0)),0))+SUMIFS(st_min,st_date,A85,st_eq,B85,st_po,C85,st_type,"Planifié"),"")</f>
        <v>30.0</v>
      </c>
      <c r="M85" s="55">
        <f>IF(ISNUMBER(K85),K85-L85,"")</f>
        <v>450.0</v>
      </c>
      <c r="N85" s="55">
        <f>IF(ISNUMBER(K85),SUMIFS(st_min,st_date,A85,st_eq,B85,st_po,C85,st_type,"Non planifié"),"")</f>
        <v>59.0</v>
      </c>
      <c r="O85" s="55">
        <f>IF(ISNUMBER(K85),M85-N85,"")</f>
        <v>391.0</v>
      </c>
      <c r="P85" s="55">
        <f>IF(COUNTA(A85:I85)=0,"",N(G85)+N(H85)+N(I85))</f>
        <v>19.0</v>
      </c>
      <c r="Q85" s="56">
        <f>IF(COUNTA(A85:I85)=0,"",IF(N(IFERROR(INDEX(art_rate,MATCH(E85,art_ref,0)),0))&gt;0,N(IFERROR(INDEX(art_rate,MATCH(E85,art_ref,0)),0)),N(IFERROR(INDEX(po_rate,MATCH(C85,po_code,0)),0))))</f>
        <v>4.0</v>
      </c>
      <c r="R85" s="55">
        <f>IF(AC85=1,P85*60/Q85,"")</f>
        <v>285.0</v>
      </c>
      <c r="S85" s="55">
        <f>IF(AC85=1,N(G85)*60/Q85,"")</f>
        <v>285.0</v>
      </c>
      <c r="T85" s="57">
        <f>IF(AC85=1,O85/M85,"")</f>
        <v>0.868888888888889</v>
      </c>
      <c r="U85" s="57">
        <f>IF(AC85=1,IF(O85&gt;0,R85/O85,""),"")</f>
        <v>0.728900255754476</v>
      </c>
      <c r="V85" s="57">
        <f>IF(AC85=1,IF(P85&gt;0,N(G85)/P85,""),"")</f>
        <v>1.0</v>
      </c>
      <c r="W85" s="57">
        <f>IF(AC85=1,S85/M85,"")</f>
        <v>0.633333333333333</v>
      </c>
      <c r="X85" s="57">
        <f>IF(AC85=1,S85/K85,"")</f>
        <v>0.59375</v>
      </c>
      <c r="Y85" s="58" t="str">
        <f>IF(W85="","",IF(W85&gt;=p_target,"Bon",IF(W85&gt;=p_alert,"À surveiller","Faible")))</f>
        <v>À surveiller</v>
      </c>
      <c r="Z85" s="58" t="str">
        <f>IF(W85="","",IF(MIN(IF(T85="",1,T85),IF(U85="",1,U85),IF(V85="",1,V85))&gt;=1,"Aucune",IF(IF(T85="",1,T85)&lt;=MIN(IF(U85="",1,U85),IF(V85="",1,V85)),"Disponibilité",IF(IF(U85="",1,U85)&lt;=IF(V85="",1,V85),"Performance","Qualité"))))</f>
        <v>Performance</v>
      </c>
      <c r="AA85" s="59">
        <f>IF(AC85=1,N(H85)*N(IFERROR(INDEX(art_cost,MATCH(E85,art_ref,0)),0)),"")</f>
        <v>0.0</v>
      </c>
      <c r="AB85" s="58" t="str">
        <f>IF(COUNTA(A85:I85)=0,"",IF(N(A85)&lt;=0,"Date manquante ou invalide",IF(B85="","Équipe manquante",IF(ISNA(MATCH(B85,eq_code,0)),"Équipe inconnue",IF(INDEX(eq_check,MATCH(B85,eq_code,0))&lt;&gt;"OK","Équipe à corriger dans Paramètres",IF(C85="","Poste manquant",IF(ISNA(MATCH(C85,po_code,0)),"Poste inconnu",IF(AND(E85&lt;&gt;"",ISNA(MATCH(E85,art_ref,0))),"Article inconnu",IF(IF(E85="",FALSE,INDEX(art_check,MATCH(E85,art_ref,0))&lt;&gt;"OK"),"Article à corriger (feuille Articles)",IF(COUNTIFS(sj_date,A85,sj_eq,B85,sj_po,C85)&gt;1,"Ligne en double (même jour, équipe et poste)",IF(OR(NOT(ISNUMBER(K85)),N(K85)&lt;=0,N(K85)&gt;1440),"Temps d'ouverture invalide",IF(OR(AND(G85&lt;&gt;"",NOT(ISNUMBER(G85))),N(G85)&lt;0,N(G85)&lt;&gt;INT(N(G85)),AND(H85&lt;&gt;"",NOT(ISNUMBER(H85))),N(H85)&lt;0,N(H85)&lt;&gt;INT(N(H85)),AND(I85&lt;&gt;"",NOT(ISNUMBER(I85))),N(I85)&lt;0,N(I85)&lt;&gt;INT(N(I85))),"Quantité invalide",IF(Q85&lt;=0,"Cadence manquante (poste ou article)",IF(M85&lt;=0,"Arrêts planifiés supérieurs au temps d'ouverture",IF(O85&lt;0,"Arrêts supérieurs au temps requis",IF(AND(P85&gt;0,O85=0),"Pièces déclarées sans temps de marche",IF(AND(P85=0,O85&gt;0),"Aucune pièce déclarée",IF(P85*60/Q85&gt;O85+0.001,"Cadence dépassée : vérifiez la cadence","OK"))))))))))))))))))</f>
        <v>OK</v>
      </c>
      <c r="AC85">
        <f>IF(OR(AB85="OK",AB85="Aucune pièce déclarée",AB85="Cadence dépassée : vérifiez la cadence"),1,0)</f>
        <v>1.0</v>
      </c>
      <c r="AD85">
        <f>IF(AND(AC85=1,A85&gt;=p_from,A85&lt;=p_to),1,0)</f>
        <v>1.0</v>
      </c>
      <c r="AE85">
        <f>IF(AD85=1,IF(COUNTIFS($A$6:A85,A85,$AD$6:AD85,1)=1,1,0),0)</f>
        <v>0.0</v>
      </c>
      <c r="AF85" t="str">
        <f>IF(AE85=1,COUNTIFS(sj_first,1,sj_date,"&lt;"&amp;A85)+1,"")</f>
        <v/>
      </c>
      <c r="AG85" t="str">
        <f>IF(AND(AD85=1,N(W85)&lt;p_alert),ROUND(W85,4),"")</f>
        <v/>
      </c>
      <c r="AH85" t="str">
        <f>IF(AG85="","",COUNTIF(sj_akey,"&lt;"&amp;AG85)+COUNTIF($AG$6:AG85,AG85))</f>
        <v/>
      </c>
    </row>
    <row r="86">
      <c r="A86" s="51" t="n">
        <v>46296</v>
      </c>
      <c r="B86" s="52" t="inlineStr">
        <is>
          <t>Matin</t>
        </is>
      </c>
      <c r="C86" s="52" t="inlineStr">
        <is>
          <t>TOUR1</t>
        </is>
      </c>
      <c r="D86" s="53" t="inlineStr">
        <is>
          <t>OF-2609-130</t>
        </is>
      </c>
      <c r="E86" s="53" t="inlineStr">
        <is>
          <t>AXE-R20</t>
        </is>
      </c>
      <c r="F86" s="54" t="n"/>
      <c r="G86" s="54" t="n">
        <v>145</v>
      </c>
      <c r="H86" s="54" t="n">
        <v>0</v>
      </c>
      <c r="I86" s="54" t="n">
        <v>0</v>
      </c>
      <c r="J86" s="53" t="n"/>
      <c r="K86" s="55">
        <f>IF(COUNTA(A86:I86)=0,"",IF(F86="",IFERROR(INDEX(eq_dur,MATCH(B86,eq_code,0)),""),F86))</f>
        <v>480.0</v>
      </c>
      <c r="L86" s="55">
        <f>IF(ISNUMBER(K86),N(IFERROR(INDEX(eq_pause,MATCH(B86,eq_code,0)),0))+SUMIFS(st_min,st_date,A86,st_eq,B86,st_po,C86,st_type,"Planifié"),"")</f>
        <v>30.0</v>
      </c>
      <c r="M86" s="55">
        <f>IF(ISNUMBER(K86),K86-L86,"")</f>
        <v>450.0</v>
      </c>
      <c r="N86" s="55">
        <f>IF(ISNUMBER(K86),SUMIFS(st_min,st_date,A86,st_eq,B86,st_po,C86,st_type,"Non planifié"),"")</f>
        <v>113.0</v>
      </c>
      <c r="O86" s="55">
        <f>IF(ISNUMBER(K86),M86-N86,"")</f>
        <v>337.0</v>
      </c>
      <c r="P86" s="55">
        <f>IF(COUNTA(A86:I86)=0,"",N(G86)+N(H86)+N(I86))</f>
        <v>145.0</v>
      </c>
      <c r="Q86" s="56">
        <f>IF(COUNTA(A86:I86)=0,"",IF(N(IFERROR(INDEX(art_rate,MATCH(E86,art_ref,0)),0))&gt;0,N(IFERROR(INDEX(art_rate,MATCH(E86,art_ref,0)),0)),N(IFERROR(INDEX(po_rate,MATCH(C86,po_code,0)),0))))</f>
        <v>30.0</v>
      </c>
      <c r="R86" s="55">
        <f>IF(AC86=1,P86*60/Q86,"")</f>
        <v>290.0</v>
      </c>
      <c r="S86" s="55">
        <f>IF(AC86=1,N(G86)*60/Q86,"")</f>
        <v>290.0</v>
      </c>
      <c r="T86" s="57">
        <f>IF(AC86=1,O86/M86,"")</f>
        <v>0.748888888888889</v>
      </c>
      <c r="U86" s="57">
        <f>IF(AC86=1,IF(O86&gt;0,R86/O86,""),"")</f>
        <v>0.86053412462908</v>
      </c>
      <c r="V86" s="57">
        <f>IF(AC86=1,IF(P86&gt;0,N(G86)/P86,""),"")</f>
        <v>1.0</v>
      </c>
      <c r="W86" s="57">
        <f>IF(AC86=1,S86/M86,"")</f>
        <v>0.644444444444445</v>
      </c>
      <c r="X86" s="57">
        <f>IF(AC86=1,S86/K86,"")</f>
        <v>0.604166666666667</v>
      </c>
      <c r="Y86" s="58" t="str">
        <f>IF(W86="","",IF(W86&gt;=p_target,"Bon",IF(W86&gt;=p_alert,"À surveiller","Faible")))</f>
        <v>À surveiller</v>
      </c>
      <c r="Z86" s="58" t="str">
        <f>IF(W86="","",IF(MIN(IF(T86="",1,T86),IF(U86="",1,U86),IF(V86="",1,V86))&gt;=1,"Aucune",IF(IF(T86="",1,T86)&lt;=MIN(IF(U86="",1,U86),IF(V86="",1,V86)),"Disponibilité",IF(IF(U86="",1,U86)&lt;=IF(V86="",1,V86),"Performance","Qualité"))))</f>
        <v>Disponibilité</v>
      </c>
      <c r="AA86" s="59">
        <f>IF(AC86=1,N(H86)*N(IFERROR(INDEX(art_cost,MATCH(E86,art_ref,0)),0)),"")</f>
        <v>0.0</v>
      </c>
      <c r="AB86" s="58" t="str">
        <f>IF(COUNTA(A86:I86)=0,"",IF(N(A86)&lt;=0,"Date manquante ou invalide",IF(B86="","Équipe manquante",IF(ISNA(MATCH(B86,eq_code,0)),"Équipe inconnue",IF(INDEX(eq_check,MATCH(B86,eq_code,0))&lt;&gt;"OK","Équipe à corriger dans Paramètres",IF(C86="","Poste manquant",IF(ISNA(MATCH(C86,po_code,0)),"Poste inconnu",IF(AND(E86&lt;&gt;"",ISNA(MATCH(E86,art_ref,0))),"Article inconnu",IF(IF(E86="",FALSE,INDEX(art_check,MATCH(E86,art_ref,0))&lt;&gt;"OK"),"Article à corriger (feuille Articles)",IF(COUNTIFS(sj_date,A86,sj_eq,B86,sj_po,C86)&gt;1,"Ligne en double (même jour, équipe et poste)",IF(OR(NOT(ISNUMBER(K86)),N(K86)&lt;=0,N(K86)&gt;1440),"Temps d'ouverture invalide",IF(OR(AND(G86&lt;&gt;"",NOT(ISNUMBER(G86))),N(G86)&lt;0,N(G86)&lt;&gt;INT(N(G86)),AND(H86&lt;&gt;"",NOT(ISNUMBER(H86))),N(H86)&lt;0,N(H86)&lt;&gt;INT(N(H86)),AND(I86&lt;&gt;"",NOT(ISNUMBER(I86))),N(I86)&lt;0,N(I86)&lt;&gt;INT(N(I86))),"Quantité invalide",IF(Q86&lt;=0,"Cadence manquante (poste ou article)",IF(M86&lt;=0,"Arrêts planifiés supérieurs au temps d'ouverture",IF(O86&lt;0,"Arrêts supérieurs au temps requis",IF(AND(P86&gt;0,O86=0),"Pièces déclarées sans temps de marche",IF(AND(P86=0,O86&gt;0),"Aucune pièce déclarée",IF(P86*60/Q86&gt;O86+0.001,"Cadence dépassée : vérifiez la cadence","OK"))))))))))))))))))</f>
        <v>OK</v>
      </c>
      <c r="AC86">
        <f>IF(OR(AB86="OK",AB86="Aucune pièce déclarée",AB86="Cadence dépassée : vérifiez la cadence"),1,0)</f>
        <v>1.0</v>
      </c>
      <c r="AD86">
        <f>IF(AND(AC86=1,A86&gt;=p_from,A86&lt;=p_to),1,0)</f>
        <v>1.0</v>
      </c>
      <c r="AE86">
        <f>IF(AD86=1,IF(COUNTIFS($A$6:A86,A86,$AD$6:AD86,1)=1,1,0),0)</f>
        <v>1.0</v>
      </c>
      <c r="AF86">
        <f>IF(AE86=1,COUNTIFS(sj_first,1,sj_date,"&lt;"&amp;A86)+1,"")</f>
        <v>9.0</v>
      </c>
      <c r="AG86" t="str">
        <f>IF(AND(AD86=1,N(W86)&lt;p_alert),ROUND(W86,4),"")</f>
        <v/>
      </c>
      <c r="AH86" t="str">
        <f>IF(AG86="","",COUNTIF(sj_akey,"&lt;"&amp;AG86)+COUNTIF($AG$6:AG86,AG86))</f>
        <v/>
      </c>
    </row>
    <row r="87">
      <c r="A87" s="51" t="n">
        <v>46296</v>
      </c>
      <c r="B87" s="52" t="inlineStr">
        <is>
          <t>Après-midi</t>
        </is>
      </c>
      <c r="C87" s="52" t="inlineStr">
        <is>
          <t>TOUR1</t>
        </is>
      </c>
      <c r="D87" s="53" t="inlineStr">
        <is>
          <t>OF-2609-131</t>
        </is>
      </c>
      <c r="E87" s="53" t="inlineStr">
        <is>
          <t>BAG-BR-32</t>
        </is>
      </c>
      <c r="F87" s="54" t="n"/>
      <c r="G87" s="54" t="n">
        <v>272</v>
      </c>
      <c r="H87" s="54" t="n">
        <v>2</v>
      </c>
      <c r="I87" s="54" t="n">
        <v>3</v>
      </c>
      <c r="J87" s="53" t="n"/>
      <c r="K87" s="55">
        <f>IF(COUNTA(A87:I87)=0,"",IF(F87="",IFERROR(INDEX(eq_dur,MATCH(B87,eq_code,0)),""),F87))</f>
        <v>480.0</v>
      </c>
      <c r="L87" s="55">
        <f>IF(ISNUMBER(K87),N(IFERROR(INDEX(eq_pause,MATCH(B87,eq_code,0)),0))+SUMIFS(st_min,st_date,A87,st_eq,B87,st_po,C87,st_type,"Planifié"),"")</f>
        <v>30.0</v>
      </c>
      <c r="M87" s="55">
        <f>IF(ISNUMBER(K87),K87-L87,"")</f>
        <v>450.0</v>
      </c>
      <c r="N87" s="55">
        <f>IF(ISNUMBER(K87),SUMIFS(st_min,st_date,A87,st_eq,B87,st_po,C87,st_type,"Non planifié"),"")</f>
        <v>0.0</v>
      </c>
      <c r="O87" s="55">
        <f>IF(ISNUMBER(K87),M87-N87,"")</f>
        <v>450.0</v>
      </c>
      <c r="P87" s="55">
        <f>IF(COUNTA(A87:I87)=0,"",N(G87)+N(H87)+N(I87))</f>
        <v>277.0</v>
      </c>
      <c r="Q87" s="56">
        <f>IF(COUNTA(A87:I87)=0,"",IF(N(IFERROR(INDEX(art_rate,MATCH(E87,art_ref,0)),0))&gt;0,N(IFERROR(INDEX(art_rate,MATCH(E87,art_ref,0)),0)),N(IFERROR(INDEX(po_rate,MATCH(C87,po_code,0)),0))))</f>
        <v>40.0</v>
      </c>
      <c r="R87" s="55">
        <f>IF(AC87=1,P87*60/Q87,"")</f>
        <v>415.5</v>
      </c>
      <c r="S87" s="55">
        <f>IF(AC87=1,N(G87)*60/Q87,"")</f>
        <v>408.0</v>
      </c>
      <c r="T87" s="57">
        <f>IF(AC87=1,O87/M87,"")</f>
        <v>1.0</v>
      </c>
      <c r="U87" s="57">
        <f>IF(AC87=1,IF(O87&gt;0,R87/O87,""),"")</f>
        <v>0.923333333333333</v>
      </c>
      <c r="V87" s="57">
        <f>IF(AC87=1,IF(P87&gt;0,N(G87)/P87,""),"")</f>
        <v>0.981949458483755</v>
      </c>
      <c r="W87" s="57">
        <f>IF(AC87=1,S87/M87,"")</f>
        <v>0.906666666666667</v>
      </c>
      <c r="X87" s="57">
        <f>IF(AC87=1,S87/K87,"")</f>
        <v>0.85</v>
      </c>
      <c r="Y87" s="58" t="str">
        <f>IF(W87="","",IF(W87&gt;=p_target,"Bon",IF(W87&gt;=p_alert,"À surveiller","Faible")))</f>
        <v>Bon</v>
      </c>
      <c r="Z87" s="58" t="str">
        <f>IF(W87="","",IF(MIN(IF(T87="",1,T87),IF(U87="",1,U87),IF(V87="",1,V87))&gt;=1,"Aucune",IF(IF(T87="",1,T87)&lt;=MIN(IF(U87="",1,U87),IF(V87="",1,V87)),"Disponibilité",IF(IF(U87="",1,U87)&lt;=IF(V87="",1,V87),"Performance","Qualité"))))</f>
        <v>Performance</v>
      </c>
      <c r="AA87" s="59">
        <f>IF(AC87=1,N(H87)*N(IFERROR(INDEX(art_cost,MATCH(E87,art_ref,0)),0)),"")</f>
        <v>104.0</v>
      </c>
      <c r="AB87" s="58" t="str">
        <f>IF(COUNTA(A87:I87)=0,"",IF(N(A87)&lt;=0,"Date manquante ou invalide",IF(B87="","Équipe manquante",IF(ISNA(MATCH(B87,eq_code,0)),"Équipe inconnue",IF(INDEX(eq_check,MATCH(B87,eq_code,0))&lt;&gt;"OK","Équipe à corriger dans Paramètres",IF(C87="","Poste manquant",IF(ISNA(MATCH(C87,po_code,0)),"Poste inconnu",IF(AND(E87&lt;&gt;"",ISNA(MATCH(E87,art_ref,0))),"Article inconnu",IF(IF(E87="",FALSE,INDEX(art_check,MATCH(E87,art_ref,0))&lt;&gt;"OK"),"Article à corriger (feuille Articles)",IF(COUNTIFS(sj_date,A87,sj_eq,B87,sj_po,C87)&gt;1,"Ligne en double (même jour, équipe et poste)",IF(OR(NOT(ISNUMBER(K87)),N(K87)&lt;=0,N(K87)&gt;1440),"Temps d'ouverture invalide",IF(OR(AND(G87&lt;&gt;"",NOT(ISNUMBER(G87))),N(G87)&lt;0,N(G87)&lt;&gt;INT(N(G87)),AND(H87&lt;&gt;"",NOT(ISNUMBER(H87))),N(H87)&lt;0,N(H87)&lt;&gt;INT(N(H87)),AND(I87&lt;&gt;"",NOT(ISNUMBER(I87))),N(I87)&lt;0,N(I87)&lt;&gt;INT(N(I87))),"Quantité invalide",IF(Q87&lt;=0,"Cadence manquante (poste ou article)",IF(M87&lt;=0,"Arrêts planifiés supérieurs au temps d'ouverture",IF(O87&lt;0,"Arrêts supérieurs au temps requis",IF(AND(P87&gt;0,O87=0),"Pièces déclarées sans temps de marche",IF(AND(P87=0,O87&gt;0),"Aucune pièce déclarée",IF(P87*60/Q87&gt;O87+0.001,"Cadence dépassée : vérifiez la cadence","OK"))))))))))))))))))</f>
        <v>OK</v>
      </c>
      <c r="AC87">
        <f>IF(OR(AB87="OK",AB87="Aucune pièce déclarée",AB87="Cadence dépassée : vérifiez la cadence"),1,0)</f>
        <v>1.0</v>
      </c>
      <c r="AD87">
        <f>IF(AND(AC87=1,A87&gt;=p_from,A87&lt;=p_to),1,0)</f>
        <v>1.0</v>
      </c>
      <c r="AE87">
        <f>IF(AD87=1,IF(COUNTIFS($A$6:A87,A87,$AD$6:AD87,1)=1,1,0),0)</f>
        <v>0.0</v>
      </c>
      <c r="AF87" t="str">
        <f>IF(AE87=1,COUNTIFS(sj_first,1,sj_date,"&lt;"&amp;A87)+1,"")</f>
        <v/>
      </c>
      <c r="AG87" t="str">
        <f>IF(AND(AD87=1,N(W87)&lt;p_alert),ROUND(W87,4),"")</f>
        <v/>
      </c>
      <c r="AH87" t="str">
        <f>IF(AG87="","",COUNTIF(sj_akey,"&lt;"&amp;AG87)+COUNTIF($AG$6:AG87,AG87))</f>
        <v/>
      </c>
    </row>
    <row r="88">
      <c r="A88" s="51" t="n">
        <v>46296</v>
      </c>
      <c r="B88" s="52" t="inlineStr">
        <is>
          <t>Matin</t>
        </is>
      </c>
      <c r="C88" s="52" t="inlineStr">
        <is>
          <t>TOUR2</t>
        </is>
      </c>
      <c r="D88" s="53" t="inlineStr">
        <is>
          <t>OF-2609-116</t>
        </is>
      </c>
      <c r="E88" s="53" t="inlineStr">
        <is>
          <t>AXE-R20</t>
        </is>
      </c>
      <c r="F88" s="54" t="n"/>
      <c r="G88" s="54" t="n">
        <v>211</v>
      </c>
      <c r="H88" s="54" t="n">
        <v>1</v>
      </c>
      <c r="I88" s="54" t="n">
        <v>0</v>
      </c>
      <c r="J88" s="53" t="n"/>
      <c r="K88" s="55">
        <f>IF(COUNTA(A88:I88)=0,"",IF(F88="",IFERROR(INDEX(eq_dur,MATCH(B88,eq_code,0)),""),F88))</f>
        <v>480.0</v>
      </c>
      <c r="L88" s="55">
        <f>IF(ISNUMBER(K88),N(IFERROR(INDEX(eq_pause,MATCH(B88,eq_code,0)),0))+SUMIFS(st_min,st_date,A88,st_eq,B88,st_po,C88,st_type,"Planifié"),"")</f>
        <v>30.0</v>
      </c>
      <c r="M88" s="55">
        <f>IF(ISNUMBER(K88),K88-L88,"")</f>
        <v>450.0</v>
      </c>
      <c r="N88" s="55">
        <f>IF(ISNUMBER(K88),SUMIFS(st_min,st_date,A88,st_eq,B88,st_po,C88,st_type,"Non planifié"),"")</f>
        <v>0.0</v>
      </c>
      <c r="O88" s="55">
        <f>IF(ISNUMBER(K88),M88-N88,"")</f>
        <v>450.0</v>
      </c>
      <c r="P88" s="55">
        <f>IF(COUNTA(A88:I88)=0,"",N(G88)+N(H88)+N(I88))</f>
        <v>212.0</v>
      </c>
      <c r="Q88" s="56">
        <f>IF(COUNTA(A88:I88)=0,"",IF(N(IFERROR(INDEX(art_rate,MATCH(E88,art_ref,0)),0))&gt;0,N(IFERROR(INDEX(art_rate,MATCH(E88,art_ref,0)),0)),N(IFERROR(INDEX(po_rate,MATCH(C88,po_code,0)),0))))</f>
        <v>30.0</v>
      </c>
      <c r="R88" s="55">
        <f>IF(AC88=1,P88*60/Q88,"")</f>
        <v>424.0</v>
      </c>
      <c r="S88" s="55">
        <f>IF(AC88=1,N(G88)*60/Q88,"")</f>
        <v>422.0</v>
      </c>
      <c r="T88" s="57">
        <f>IF(AC88=1,O88/M88,"")</f>
        <v>1.0</v>
      </c>
      <c r="U88" s="57">
        <f>IF(AC88=1,IF(O88&gt;0,R88/O88,""),"")</f>
        <v>0.942222222222222</v>
      </c>
      <c r="V88" s="57">
        <f>IF(AC88=1,IF(P88&gt;0,N(G88)/P88,""),"")</f>
        <v>0.995283018867925</v>
      </c>
      <c r="W88" s="57">
        <f>IF(AC88=1,S88/M88,"")</f>
        <v>0.937777777777778</v>
      </c>
      <c r="X88" s="57">
        <f>IF(AC88=1,S88/K88,"")</f>
        <v>0.879166666666667</v>
      </c>
      <c r="Y88" s="58" t="str">
        <f>IF(W88="","",IF(W88&gt;=p_target,"Bon",IF(W88&gt;=p_alert,"À surveiller","Faible")))</f>
        <v>Bon</v>
      </c>
      <c r="Z88" s="58" t="str">
        <f>IF(W88="","",IF(MIN(IF(T88="",1,T88),IF(U88="",1,U88),IF(V88="",1,V88))&gt;=1,"Aucune",IF(IF(T88="",1,T88)&lt;=MIN(IF(U88="",1,U88),IF(V88="",1,V88)),"Disponibilité",IF(IF(U88="",1,U88)&lt;=IF(V88="",1,V88),"Performance","Qualité"))))</f>
        <v>Performance</v>
      </c>
      <c r="AA88" s="59">
        <f>IF(AC88=1,N(H88)*N(IFERROR(INDEX(art_cost,MATCH(E88,art_ref,0)),0)),"")</f>
        <v>38.5</v>
      </c>
      <c r="AB88" s="58" t="str">
        <f>IF(COUNTA(A88:I88)=0,"",IF(N(A88)&lt;=0,"Date manquante ou invalide",IF(B88="","Équipe manquante",IF(ISNA(MATCH(B88,eq_code,0)),"Équipe inconnue",IF(INDEX(eq_check,MATCH(B88,eq_code,0))&lt;&gt;"OK","Équipe à corriger dans Paramètres",IF(C88="","Poste manquant",IF(ISNA(MATCH(C88,po_code,0)),"Poste inconnu",IF(AND(E88&lt;&gt;"",ISNA(MATCH(E88,art_ref,0))),"Article inconnu",IF(IF(E88="",FALSE,INDEX(art_check,MATCH(E88,art_ref,0))&lt;&gt;"OK"),"Article à corriger (feuille Articles)",IF(COUNTIFS(sj_date,A88,sj_eq,B88,sj_po,C88)&gt;1,"Ligne en double (même jour, équipe et poste)",IF(OR(NOT(ISNUMBER(K88)),N(K88)&lt;=0,N(K88)&gt;1440),"Temps d'ouverture invalide",IF(OR(AND(G88&lt;&gt;"",NOT(ISNUMBER(G88))),N(G88)&lt;0,N(G88)&lt;&gt;INT(N(G88)),AND(H88&lt;&gt;"",NOT(ISNUMBER(H88))),N(H88)&lt;0,N(H88)&lt;&gt;INT(N(H88)),AND(I88&lt;&gt;"",NOT(ISNUMBER(I88))),N(I88)&lt;0,N(I88)&lt;&gt;INT(N(I88))),"Quantité invalide",IF(Q88&lt;=0,"Cadence manquante (poste ou article)",IF(M88&lt;=0,"Arrêts planifiés supérieurs au temps d'ouverture",IF(O88&lt;0,"Arrêts supérieurs au temps requis",IF(AND(P88&gt;0,O88=0),"Pièces déclarées sans temps de marche",IF(AND(P88=0,O88&gt;0),"Aucune pièce déclarée",IF(P88*60/Q88&gt;O88+0.001,"Cadence dépassée : vérifiez la cadence","OK"))))))))))))))))))</f>
        <v>OK</v>
      </c>
      <c r="AC88">
        <f>IF(OR(AB88="OK",AB88="Aucune pièce déclarée",AB88="Cadence dépassée : vérifiez la cadence"),1,0)</f>
        <v>1.0</v>
      </c>
      <c r="AD88">
        <f>IF(AND(AC88=1,A88&gt;=p_from,A88&lt;=p_to),1,0)</f>
        <v>1.0</v>
      </c>
      <c r="AE88">
        <f>IF(AD88=1,IF(COUNTIFS($A$6:A88,A88,$AD$6:AD88,1)=1,1,0),0)</f>
        <v>0.0</v>
      </c>
      <c r="AF88" t="str">
        <f>IF(AE88=1,COUNTIFS(sj_first,1,sj_date,"&lt;"&amp;A88)+1,"")</f>
        <v/>
      </c>
      <c r="AG88" t="str">
        <f>IF(AND(AD88=1,N(W88)&lt;p_alert),ROUND(W88,4),"")</f>
        <v/>
      </c>
      <c r="AH88" t="str">
        <f>IF(AG88="","",COUNTIF(sj_akey,"&lt;"&amp;AG88)+COUNTIF($AG$6:AG88,AG88))</f>
        <v/>
      </c>
    </row>
    <row r="89">
      <c r="A89" s="51" t="n">
        <v>46296</v>
      </c>
      <c r="B89" s="52" t="inlineStr">
        <is>
          <t>Après-midi</t>
        </is>
      </c>
      <c r="C89" s="52" t="inlineStr">
        <is>
          <t>TOUR2</t>
        </is>
      </c>
      <c r="D89" s="53" t="inlineStr">
        <is>
          <t>OF-2609-135</t>
        </is>
      </c>
      <c r="E89" s="53" t="inlineStr">
        <is>
          <t>AXE-R20</t>
        </is>
      </c>
      <c r="F89" s="54" t="n"/>
      <c r="G89" s="54" t="n">
        <v>157</v>
      </c>
      <c r="H89" s="54" t="n">
        <v>4</v>
      </c>
      <c r="I89" s="54" t="n">
        <v>2</v>
      </c>
      <c r="J89" s="53" t="n"/>
      <c r="K89" s="55">
        <f>IF(COUNTA(A89:I89)=0,"",IF(F89="",IFERROR(INDEX(eq_dur,MATCH(B89,eq_code,0)),""),F89))</f>
        <v>480.0</v>
      </c>
      <c r="L89" s="55">
        <f>IF(ISNUMBER(K89),N(IFERROR(INDEX(eq_pause,MATCH(B89,eq_code,0)),0))+SUMIFS(st_min,st_date,A89,st_eq,B89,st_po,C89,st_type,"Planifié"),"")</f>
        <v>30.0</v>
      </c>
      <c r="M89" s="55">
        <f>IF(ISNUMBER(K89),K89-L89,"")</f>
        <v>450.0</v>
      </c>
      <c r="N89" s="55">
        <f>IF(ISNUMBER(K89),SUMIFS(st_min,st_date,A89,st_eq,B89,st_po,C89,st_type,"Non planifié"),"")</f>
        <v>54.0</v>
      </c>
      <c r="O89" s="55">
        <f>IF(ISNUMBER(K89),M89-N89,"")</f>
        <v>396.0</v>
      </c>
      <c r="P89" s="55">
        <f>IF(COUNTA(A89:I89)=0,"",N(G89)+N(H89)+N(I89))</f>
        <v>163.0</v>
      </c>
      <c r="Q89" s="56">
        <f>IF(COUNTA(A89:I89)=0,"",IF(N(IFERROR(INDEX(art_rate,MATCH(E89,art_ref,0)),0))&gt;0,N(IFERROR(INDEX(art_rate,MATCH(E89,art_ref,0)),0)),N(IFERROR(INDEX(po_rate,MATCH(C89,po_code,0)),0))))</f>
        <v>30.0</v>
      </c>
      <c r="R89" s="55">
        <f>IF(AC89=1,P89*60/Q89,"")</f>
        <v>326.0</v>
      </c>
      <c r="S89" s="55">
        <f>IF(AC89=1,N(G89)*60/Q89,"")</f>
        <v>314.0</v>
      </c>
      <c r="T89" s="57">
        <f>IF(AC89=1,O89/M89,"")</f>
        <v>0.88</v>
      </c>
      <c r="U89" s="57">
        <f>IF(AC89=1,IF(O89&gt;0,R89/O89,""),"")</f>
        <v>0.823232323232323</v>
      </c>
      <c r="V89" s="57">
        <f>IF(AC89=1,IF(P89&gt;0,N(G89)/P89,""),"")</f>
        <v>0.96319018404908</v>
      </c>
      <c r="W89" s="57">
        <f>IF(AC89=1,S89/M89,"")</f>
        <v>0.697777777777778</v>
      </c>
      <c r="X89" s="57">
        <f>IF(AC89=1,S89/K89,"")</f>
        <v>0.654166666666667</v>
      </c>
      <c r="Y89" s="58" t="str">
        <f>IF(W89="","",IF(W89&gt;=p_target,"Bon",IF(W89&gt;=p_alert,"À surveiller","Faible")))</f>
        <v>À surveiller</v>
      </c>
      <c r="Z89" s="58" t="str">
        <f>IF(W89="","",IF(MIN(IF(T89="",1,T89),IF(U89="",1,U89),IF(V89="",1,V89))&gt;=1,"Aucune",IF(IF(T89="",1,T89)&lt;=MIN(IF(U89="",1,U89),IF(V89="",1,V89)),"Disponibilité",IF(IF(U89="",1,U89)&lt;=IF(V89="",1,V89),"Performance","Qualité"))))</f>
        <v>Performance</v>
      </c>
      <c r="AA89" s="59">
        <f>IF(AC89=1,N(H89)*N(IFERROR(INDEX(art_cost,MATCH(E89,art_ref,0)),0)),"")</f>
        <v>154.0</v>
      </c>
      <c r="AB89" s="58" t="str">
        <f>IF(COUNTA(A89:I89)=0,"",IF(N(A89)&lt;=0,"Date manquante ou invalide",IF(B89="","Équipe manquante",IF(ISNA(MATCH(B89,eq_code,0)),"Équipe inconnue",IF(INDEX(eq_check,MATCH(B89,eq_code,0))&lt;&gt;"OK","Équipe à corriger dans Paramètres",IF(C89="","Poste manquant",IF(ISNA(MATCH(C89,po_code,0)),"Poste inconnu",IF(AND(E89&lt;&gt;"",ISNA(MATCH(E89,art_ref,0))),"Article inconnu",IF(IF(E89="",FALSE,INDEX(art_check,MATCH(E89,art_ref,0))&lt;&gt;"OK"),"Article à corriger (feuille Articles)",IF(COUNTIFS(sj_date,A89,sj_eq,B89,sj_po,C89)&gt;1,"Ligne en double (même jour, équipe et poste)",IF(OR(NOT(ISNUMBER(K89)),N(K89)&lt;=0,N(K89)&gt;1440),"Temps d'ouverture invalide",IF(OR(AND(G89&lt;&gt;"",NOT(ISNUMBER(G89))),N(G89)&lt;0,N(G89)&lt;&gt;INT(N(G89)),AND(H89&lt;&gt;"",NOT(ISNUMBER(H89))),N(H89)&lt;0,N(H89)&lt;&gt;INT(N(H89)),AND(I89&lt;&gt;"",NOT(ISNUMBER(I89))),N(I89)&lt;0,N(I89)&lt;&gt;INT(N(I89))),"Quantité invalide",IF(Q89&lt;=0,"Cadence manquante (poste ou article)",IF(M89&lt;=0,"Arrêts planifiés supérieurs au temps d'ouverture",IF(O89&lt;0,"Arrêts supérieurs au temps requis",IF(AND(P89&gt;0,O89=0),"Pièces déclarées sans temps de marche",IF(AND(P89=0,O89&gt;0),"Aucune pièce déclarée",IF(P89*60/Q89&gt;O89+0.001,"Cadence dépassée : vérifiez la cadence","OK"))))))))))))))))))</f>
        <v>OK</v>
      </c>
      <c r="AC89">
        <f>IF(OR(AB89="OK",AB89="Aucune pièce déclarée",AB89="Cadence dépassée : vérifiez la cadence"),1,0)</f>
        <v>1.0</v>
      </c>
      <c r="AD89">
        <f>IF(AND(AC89=1,A89&gt;=p_from,A89&lt;=p_to),1,0)</f>
        <v>1.0</v>
      </c>
      <c r="AE89">
        <f>IF(AD89=1,IF(COUNTIFS($A$6:A89,A89,$AD$6:AD89,1)=1,1,0),0)</f>
        <v>0.0</v>
      </c>
      <c r="AF89" t="str">
        <f>IF(AE89=1,COUNTIFS(sj_first,1,sj_date,"&lt;"&amp;A89)+1,"")</f>
        <v/>
      </c>
      <c r="AG89" t="str">
        <f>IF(AND(AD89=1,N(W89)&lt;p_alert),ROUND(W89,4),"")</f>
        <v/>
      </c>
      <c r="AH89" t="str">
        <f>IF(AG89="","",COUNTIF(sj_akey,"&lt;"&amp;AG89)+COUNTIF($AG$6:AG89,AG89))</f>
        <v/>
      </c>
    </row>
    <row r="90">
      <c r="A90" s="51" t="n">
        <v>46296</v>
      </c>
      <c r="B90" s="52" t="inlineStr">
        <is>
          <t>Matin</t>
        </is>
      </c>
      <c r="C90" s="52" t="inlineStr">
        <is>
          <t>USIN</t>
        </is>
      </c>
      <c r="D90" s="53" t="inlineStr">
        <is>
          <t>OF-2609-123</t>
        </is>
      </c>
      <c r="E90" s="53" t="inlineStr">
        <is>
          <t>CAR-BOI-04</t>
        </is>
      </c>
      <c r="F90" s="54" t="n"/>
      <c r="G90" s="54" t="n">
        <v>27</v>
      </c>
      <c r="H90" s="54" t="n">
        <v>0</v>
      </c>
      <c r="I90" s="54" t="n">
        <v>0</v>
      </c>
      <c r="J90" s="53" t="n"/>
      <c r="K90" s="55">
        <f>IF(COUNTA(A90:I90)=0,"",IF(F90="",IFERROR(INDEX(eq_dur,MATCH(B90,eq_code,0)),""),F90))</f>
        <v>480.0</v>
      </c>
      <c r="L90" s="55">
        <f>IF(ISNUMBER(K90),N(IFERROR(INDEX(eq_pause,MATCH(B90,eq_code,0)),0))+SUMIFS(st_min,st_date,A90,st_eq,B90,st_po,C90,st_type,"Planifié"),"")</f>
        <v>30.0</v>
      </c>
      <c r="M90" s="55">
        <f>IF(ISNUMBER(K90),K90-L90,"")</f>
        <v>450.0</v>
      </c>
      <c r="N90" s="55">
        <f>IF(ISNUMBER(K90),SUMIFS(st_min,st_date,A90,st_eq,B90,st_po,C90,st_type,"Non planifié"),"")</f>
        <v>151.0</v>
      </c>
      <c r="O90" s="55">
        <f>IF(ISNUMBER(K90),M90-N90,"")</f>
        <v>299.0</v>
      </c>
      <c r="P90" s="55">
        <f>IF(COUNTA(A90:I90)=0,"",N(G90)+N(H90)+N(I90))</f>
        <v>27.0</v>
      </c>
      <c r="Q90" s="56">
        <f>IF(COUNTA(A90:I90)=0,"",IF(N(IFERROR(INDEX(art_rate,MATCH(E90,art_ref,0)),0))&gt;0,N(IFERROR(INDEX(art_rate,MATCH(E90,art_ref,0)),0)),N(IFERROR(INDEX(po_rate,MATCH(C90,po_code,0)),0))))</f>
        <v>6.0</v>
      </c>
      <c r="R90" s="55">
        <f>IF(AC90=1,P90*60/Q90,"")</f>
        <v>270.0</v>
      </c>
      <c r="S90" s="55">
        <f>IF(AC90=1,N(G90)*60/Q90,"")</f>
        <v>270.0</v>
      </c>
      <c r="T90" s="57">
        <f>IF(AC90=1,O90/M90,"")</f>
        <v>0.664444444444444</v>
      </c>
      <c r="U90" s="57">
        <f>IF(AC90=1,IF(O90&gt;0,R90/O90,""),"")</f>
        <v>0.903010033444816</v>
      </c>
      <c r="V90" s="57">
        <f>IF(AC90=1,IF(P90&gt;0,N(G90)/P90,""),"")</f>
        <v>1.0</v>
      </c>
      <c r="W90" s="57">
        <f>IF(AC90=1,S90/M90,"")</f>
        <v>0.6</v>
      </c>
      <c r="X90" s="57">
        <f>IF(AC90=1,S90/K90,"")</f>
        <v>0.5625</v>
      </c>
      <c r="Y90" s="58" t="str">
        <f>IF(W90="","",IF(W90&gt;=p_target,"Bon",IF(W90&gt;=p_alert,"À surveiller","Faible")))</f>
        <v>À surveiller</v>
      </c>
      <c r="Z90" s="58" t="str">
        <f>IF(W90="","",IF(MIN(IF(T90="",1,T90),IF(U90="",1,U90),IF(V90="",1,V90))&gt;=1,"Aucune",IF(IF(T90="",1,T90)&lt;=MIN(IF(U90="",1,U90),IF(V90="",1,V90)),"Disponibilité",IF(IF(U90="",1,U90)&lt;=IF(V90="",1,V90),"Performance","Qualité"))))</f>
        <v>Disponibilité</v>
      </c>
      <c r="AA90" s="59">
        <f>IF(AC90=1,N(H90)*N(IFERROR(INDEX(art_cost,MATCH(E90,art_ref,0)),0)),"")</f>
        <v>0.0</v>
      </c>
      <c r="AB90" s="58" t="str">
        <f>IF(COUNTA(A90:I90)=0,"",IF(N(A90)&lt;=0,"Date manquante ou invalide",IF(B90="","Équipe manquante",IF(ISNA(MATCH(B90,eq_code,0)),"Équipe inconnue",IF(INDEX(eq_check,MATCH(B90,eq_code,0))&lt;&gt;"OK","Équipe à corriger dans Paramètres",IF(C90="","Poste manquant",IF(ISNA(MATCH(C90,po_code,0)),"Poste inconnu",IF(AND(E90&lt;&gt;"",ISNA(MATCH(E90,art_ref,0))),"Article inconnu",IF(IF(E90="",FALSE,INDEX(art_check,MATCH(E90,art_ref,0))&lt;&gt;"OK"),"Article à corriger (feuille Articles)",IF(COUNTIFS(sj_date,A90,sj_eq,B90,sj_po,C90)&gt;1,"Ligne en double (même jour, équipe et poste)",IF(OR(NOT(ISNUMBER(K90)),N(K90)&lt;=0,N(K90)&gt;1440),"Temps d'ouverture invalide",IF(OR(AND(G90&lt;&gt;"",NOT(ISNUMBER(G90))),N(G90)&lt;0,N(G90)&lt;&gt;INT(N(G90)),AND(H90&lt;&gt;"",NOT(ISNUMBER(H90))),N(H90)&lt;0,N(H90)&lt;&gt;INT(N(H90)),AND(I90&lt;&gt;"",NOT(ISNUMBER(I90))),N(I90)&lt;0,N(I90)&lt;&gt;INT(N(I90))),"Quantité invalide",IF(Q90&lt;=0,"Cadence manquante (poste ou article)",IF(M90&lt;=0,"Arrêts planifiés supérieurs au temps d'ouverture",IF(O90&lt;0,"Arrêts supérieurs au temps requis",IF(AND(P90&gt;0,O90=0),"Pièces déclarées sans temps de marche",IF(AND(P90=0,O90&gt;0),"Aucune pièce déclarée",IF(P90*60/Q90&gt;O90+0.001,"Cadence dépassée : vérifiez la cadence","OK"))))))))))))))))))</f>
        <v>OK</v>
      </c>
      <c r="AC90">
        <f>IF(OR(AB90="OK",AB90="Aucune pièce déclarée",AB90="Cadence dépassée : vérifiez la cadence"),1,0)</f>
        <v>1.0</v>
      </c>
      <c r="AD90">
        <f>IF(AND(AC90=1,A90&gt;=p_from,A90&lt;=p_to),1,0)</f>
        <v>1.0</v>
      </c>
      <c r="AE90">
        <f>IF(AD90=1,IF(COUNTIFS($A$6:A90,A90,$AD$6:AD90,1)=1,1,0),0)</f>
        <v>0.0</v>
      </c>
      <c r="AF90" t="str">
        <f>IF(AE90=1,COUNTIFS(sj_first,1,sj_date,"&lt;"&amp;A90)+1,"")</f>
        <v/>
      </c>
      <c r="AG90" t="str">
        <f>IF(AND(AD90=1,N(W90)&lt;p_alert),ROUND(W90,4),"")</f>
        <v/>
      </c>
      <c r="AH90" t="str">
        <f>IF(AG90="","",COUNTIF(sj_akey,"&lt;"&amp;AG90)+COUNTIF($AG$6:AG90,AG90))</f>
        <v/>
      </c>
    </row>
    <row r="91">
      <c r="A91" s="51" t="n">
        <v>46296</v>
      </c>
      <c r="B91" s="52" t="inlineStr">
        <is>
          <t>Après-midi</t>
        </is>
      </c>
      <c r="C91" s="52" t="inlineStr">
        <is>
          <t>USIN</t>
        </is>
      </c>
      <c r="D91" s="53" t="inlineStr">
        <is>
          <t>OF-2610-136</t>
        </is>
      </c>
      <c r="E91" s="53" t="inlineStr">
        <is>
          <t>CAR-BOI-04</t>
        </is>
      </c>
      <c r="F91" s="54" t="n"/>
      <c r="G91" s="54" t="n">
        <v>30</v>
      </c>
      <c r="H91" s="54" t="n">
        <v>0</v>
      </c>
      <c r="I91" s="54" t="n">
        <v>0</v>
      </c>
      <c r="J91" s="53" t="n"/>
      <c r="K91" s="55">
        <f>IF(COUNTA(A91:I91)=0,"",IF(F91="",IFERROR(INDEX(eq_dur,MATCH(B91,eq_code,0)),""),F91))</f>
        <v>480.0</v>
      </c>
      <c r="L91" s="55">
        <f>IF(ISNUMBER(K91),N(IFERROR(INDEX(eq_pause,MATCH(B91,eq_code,0)),0))+SUMIFS(st_min,st_date,A91,st_eq,B91,st_po,C91,st_type,"Planifié"),"")</f>
        <v>30.0</v>
      </c>
      <c r="M91" s="55">
        <f>IF(ISNUMBER(K91),K91-L91,"")</f>
        <v>450.0</v>
      </c>
      <c r="N91" s="55">
        <f>IF(ISNUMBER(K91),SUMIFS(st_min,st_date,A91,st_eq,B91,st_po,C91,st_type,"Non planifié"),"")</f>
        <v>69.0</v>
      </c>
      <c r="O91" s="55">
        <f>IF(ISNUMBER(K91),M91-N91,"")</f>
        <v>381.0</v>
      </c>
      <c r="P91" s="55">
        <f>IF(COUNTA(A91:I91)=0,"",N(G91)+N(H91)+N(I91))</f>
        <v>30.0</v>
      </c>
      <c r="Q91" s="56">
        <f>IF(COUNTA(A91:I91)=0,"",IF(N(IFERROR(INDEX(art_rate,MATCH(E91,art_ref,0)),0))&gt;0,N(IFERROR(INDEX(art_rate,MATCH(E91,art_ref,0)),0)),N(IFERROR(INDEX(po_rate,MATCH(C91,po_code,0)),0))))</f>
        <v>6.0</v>
      </c>
      <c r="R91" s="55">
        <f>IF(AC91=1,P91*60/Q91,"")</f>
        <v>300.0</v>
      </c>
      <c r="S91" s="55">
        <f>IF(AC91=1,N(G91)*60/Q91,"")</f>
        <v>300.0</v>
      </c>
      <c r="T91" s="57">
        <f>IF(AC91=1,O91/M91,"")</f>
        <v>0.846666666666667</v>
      </c>
      <c r="U91" s="57">
        <f>IF(AC91=1,IF(O91&gt;0,R91/O91,""),"")</f>
        <v>0.78740157480315</v>
      </c>
      <c r="V91" s="57">
        <f>IF(AC91=1,IF(P91&gt;0,N(G91)/P91,""),"")</f>
        <v>1.0</v>
      </c>
      <c r="W91" s="57">
        <f>IF(AC91=1,S91/M91,"")</f>
        <v>0.666666666666667</v>
      </c>
      <c r="X91" s="57">
        <f>IF(AC91=1,S91/K91,"")</f>
        <v>0.625</v>
      </c>
      <c r="Y91" s="58" t="str">
        <f>IF(W91="","",IF(W91&gt;=p_target,"Bon",IF(W91&gt;=p_alert,"À surveiller","Faible")))</f>
        <v>À surveiller</v>
      </c>
      <c r="Z91" s="58" t="str">
        <f>IF(W91="","",IF(MIN(IF(T91="",1,T91),IF(U91="",1,U91),IF(V91="",1,V91))&gt;=1,"Aucune",IF(IF(T91="",1,T91)&lt;=MIN(IF(U91="",1,U91),IF(V91="",1,V91)),"Disponibilité",IF(IF(U91="",1,U91)&lt;=IF(V91="",1,V91),"Performance","Qualité"))))</f>
        <v>Performance</v>
      </c>
      <c r="AA91" s="59">
        <f>IF(AC91=1,N(H91)*N(IFERROR(INDEX(art_cost,MATCH(E91,art_ref,0)),0)),"")</f>
        <v>0.0</v>
      </c>
      <c r="AB91" s="58" t="str">
        <f>IF(COUNTA(A91:I91)=0,"",IF(N(A91)&lt;=0,"Date manquante ou invalide",IF(B91="","Équipe manquante",IF(ISNA(MATCH(B91,eq_code,0)),"Équipe inconnue",IF(INDEX(eq_check,MATCH(B91,eq_code,0))&lt;&gt;"OK","Équipe à corriger dans Paramètres",IF(C91="","Poste manquant",IF(ISNA(MATCH(C91,po_code,0)),"Poste inconnu",IF(AND(E91&lt;&gt;"",ISNA(MATCH(E91,art_ref,0))),"Article inconnu",IF(IF(E91="",FALSE,INDEX(art_check,MATCH(E91,art_ref,0))&lt;&gt;"OK"),"Article à corriger (feuille Articles)",IF(COUNTIFS(sj_date,A91,sj_eq,B91,sj_po,C91)&gt;1,"Ligne en double (même jour, équipe et poste)",IF(OR(NOT(ISNUMBER(K91)),N(K91)&lt;=0,N(K91)&gt;1440),"Temps d'ouverture invalide",IF(OR(AND(G91&lt;&gt;"",NOT(ISNUMBER(G91))),N(G91)&lt;0,N(G91)&lt;&gt;INT(N(G91)),AND(H91&lt;&gt;"",NOT(ISNUMBER(H91))),N(H91)&lt;0,N(H91)&lt;&gt;INT(N(H91)),AND(I91&lt;&gt;"",NOT(ISNUMBER(I91))),N(I91)&lt;0,N(I91)&lt;&gt;INT(N(I91))),"Quantité invalide",IF(Q91&lt;=0,"Cadence manquante (poste ou article)",IF(M91&lt;=0,"Arrêts planifiés supérieurs au temps d'ouverture",IF(O91&lt;0,"Arrêts supérieurs au temps requis",IF(AND(P91&gt;0,O91=0),"Pièces déclarées sans temps de marche",IF(AND(P91=0,O91&gt;0),"Aucune pièce déclarée",IF(P91*60/Q91&gt;O91+0.001,"Cadence dépassée : vérifiez la cadence","OK"))))))))))))))))))</f>
        <v>OK</v>
      </c>
      <c r="AC91">
        <f>IF(OR(AB91="OK",AB91="Aucune pièce déclarée",AB91="Cadence dépassée : vérifiez la cadence"),1,0)</f>
        <v>1.0</v>
      </c>
      <c r="AD91">
        <f>IF(AND(AC91=1,A91&gt;=p_from,A91&lt;=p_to),1,0)</f>
        <v>1.0</v>
      </c>
      <c r="AE91">
        <f>IF(AD91=1,IF(COUNTIFS($A$6:A91,A91,$AD$6:AD91,1)=1,1,0),0)</f>
        <v>0.0</v>
      </c>
      <c r="AF91" t="str">
        <f>IF(AE91=1,COUNTIFS(sj_first,1,sj_date,"&lt;"&amp;A91)+1,"")</f>
        <v/>
      </c>
      <c r="AG91" t="str">
        <f>IF(AND(AD91=1,N(W91)&lt;p_alert),ROUND(W91,4),"")</f>
        <v/>
      </c>
      <c r="AH91" t="str">
        <f>IF(AG91="","",COUNTIF(sj_akey,"&lt;"&amp;AG91)+COUNTIF($AG$6:AG91,AG91))</f>
        <v/>
      </c>
    </row>
    <row r="92">
      <c r="A92" s="51" t="n">
        <v>46296</v>
      </c>
      <c r="B92" s="52" t="inlineStr">
        <is>
          <t>Matin</t>
        </is>
      </c>
      <c r="C92" s="52" t="inlineStr">
        <is>
          <t>PRESSE</t>
        </is>
      </c>
      <c r="D92" s="53" t="inlineStr">
        <is>
          <t>OF-2609-134</t>
        </is>
      </c>
      <c r="E92" s="53" t="inlineStr">
        <is>
          <t>RON-M10</t>
        </is>
      </c>
      <c r="F92" s="54" t="n"/>
      <c r="G92" s="54" t="n">
        <v>4111</v>
      </c>
      <c r="H92" s="54" t="n">
        <v>2</v>
      </c>
      <c r="I92" s="54" t="n">
        <v>31</v>
      </c>
      <c r="J92" s="53" t="n"/>
      <c r="K92" s="55">
        <f>IF(COUNTA(A92:I92)=0,"",IF(F92="",IFERROR(INDEX(eq_dur,MATCH(B92,eq_code,0)),""),F92))</f>
        <v>480.0</v>
      </c>
      <c r="L92" s="55">
        <f>IF(ISNUMBER(K92),N(IFERROR(INDEX(eq_pause,MATCH(B92,eq_code,0)),0))+SUMIFS(st_min,st_date,A92,st_eq,B92,st_po,C92,st_type,"Planifié"),"")</f>
        <v>30.0</v>
      </c>
      <c r="M92" s="55">
        <f>IF(ISNUMBER(K92),K92-L92,"")</f>
        <v>450.0</v>
      </c>
      <c r="N92" s="55">
        <f>IF(ISNUMBER(K92),SUMIFS(st_min,st_date,A92,st_eq,B92,st_po,C92,st_type,"Non planifié"),"")</f>
        <v>0.0</v>
      </c>
      <c r="O92" s="55">
        <f>IF(ISNUMBER(K92),M92-N92,"")</f>
        <v>450.0</v>
      </c>
      <c r="P92" s="55">
        <f>IF(COUNTA(A92:I92)=0,"",N(G92)+N(H92)+N(I92))</f>
        <v>4144.0</v>
      </c>
      <c r="Q92" s="56">
        <f>IF(COUNTA(A92:I92)=0,"",IF(N(IFERROR(INDEX(art_rate,MATCH(E92,art_ref,0)),0))&gt;0,N(IFERROR(INDEX(art_rate,MATCH(E92,art_ref,0)),0)),N(IFERROR(INDEX(po_rate,MATCH(C92,po_code,0)),0))))</f>
        <v>600.0</v>
      </c>
      <c r="R92" s="55">
        <f>IF(AC92=1,P92*60/Q92,"")</f>
        <v>414.4</v>
      </c>
      <c r="S92" s="55">
        <f>IF(AC92=1,N(G92)*60/Q92,"")</f>
        <v>411.1</v>
      </c>
      <c r="T92" s="57">
        <f>IF(AC92=1,O92/M92,"")</f>
        <v>1.0</v>
      </c>
      <c r="U92" s="57">
        <f>IF(AC92=1,IF(O92&gt;0,R92/O92,""),"")</f>
        <v>0.920888888888889</v>
      </c>
      <c r="V92" s="57">
        <f>IF(AC92=1,IF(P92&gt;0,N(G92)/P92,""),"")</f>
        <v>0.99203667953668</v>
      </c>
      <c r="W92" s="57">
        <f>IF(AC92=1,S92/M92,"")</f>
        <v>0.913555555555556</v>
      </c>
      <c r="X92" s="57">
        <f>IF(AC92=1,S92/K92,"")</f>
        <v>0.856458333333333</v>
      </c>
      <c r="Y92" s="58" t="str">
        <f>IF(W92="","",IF(W92&gt;=p_target,"Bon",IF(W92&gt;=p_alert,"À surveiller","Faible")))</f>
        <v>Bon</v>
      </c>
      <c r="Z92" s="58" t="str">
        <f>IF(W92="","",IF(MIN(IF(T92="",1,T92),IF(U92="",1,U92),IF(V92="",1,V92))&gt;=1,"Aucune",IF(IF(T92="",1,T92)&lt;=MIN(IF(U92="",1,U92),IF(V92="",1,V92)),"Disponibilité",IF(IF(U92="",1,U92)&lt;=IF(V92="",1,V92),"Performance","Qualité"))))</f>
        <v>Performance</v>
      </c>
      <c r="AA92" s="59">
        <f>IF(AC92=1,N(H92)*N(IFERROR(INDEX(art_cost,MATCH(E92,art_ref,0)),0)),"")</f>
        <v>1.8</v>
      </c>
      <c r="AB92" s="58" t="str">
        <f>IF(COUNTA(A92:I92)=0,"",IF(N(A92)&lt;=0,"Date manquante ou invalide",IF(B92="","Équipe manquante",IF(ISNA(MATCH(B92,eq_code,0)),"Équipe inconnue",IF(INDEX(eq_check,MATCH(B92,eq_code,0))&lt;&gt;"OK","Équipe à corriger dans Paramètres",IF(C92="","Poste manquant",IF(ISNA(MATCH(C92,po_code,0)),"Poste inconnu",IF(AND(E92&lt;&gt;"",ISNA(MATCH(E92,art_ref,0))),"Article inconnu",IF(IF(E92="",FALSE,INDEX(art_check,MATCH(E92,art_ref,0))&lt;&gt;"OK"),"Article à corriger (feuille Articles)",IF(COUNTIFS(sj_date,A92,sj_eq,B92,sj_po,C92)&gt;1,"Ligne en double (même jour, équipe et poste)",IF(OR(NOT(ISNUMBER(K92)),N(K92)&lt;=0,N(K92)&gt;1440),"Temps d'ouverture invalide",IF(OR(AND(G92&lt;&gt;"",NOT(ISNUMBER(G92))),N(G92)&lt;0,N(G92)&lt;&gt;INT(N(G92)),AND(H92&lt;&gt;"",NOT(ISNUMBER(H92))),N(H92)&lt;0,N(H92)&lt;&gt;INT(N(H92)),AND(I92&lt;&gt;"",NOT(ISNUMBER(I92))),N(I92)&lt;0,N(I92)&lt;&gt;INT(N(I92))),"Quantité invalide",IF(Q92&lt;=0,"Cadence manquante (poste ou article)",IF(M92&lt;=0,"Arrêts planifiés supérieurs au temps d'ouverture",IF(O92&lt;0,"Arrêts supérieurs au temps requis",IF(AND(P92&gt;0,O92=0),"Pièces déclarées sans temps de marche",IF(AND(P92=0,O92&gt;0),"Aucune pièce déclarée",IF(P92*60/Q92&gt;O92+0.001,"Cadence dépassée : vérifiez la cadence","OK"))))))))))))))))))</f>
        <v>OK</v>
      </c>
      <c r="AC92">
        <f>IF(OR(AB92="OK",AB92="Aucune pièce déclarée",AB92="Cadence dépassée : vérifiez la cadence"),1,0)</f>
        <v>1.0</v>
      </c>
      <c r="AD92">
        <f>IF(AND(AC92=1,A92&gt;=p_from,A92&lt;=p_to),1,0)</f>
        <v>1.0</v>
      </c>
      <c r="AE92">
        <f>IF(AD92=1,IF(COUNTIFS($A$6:A92,A92,$AD$6:AD92,1)=1,1,0),0)</f>
        <v>0.0</v>
      </c>
      <c r="AF92" t="str">
        <f>IF(AE92=1,COUNTIFS(sj_first,1,sj_date,"&lt;"&amp;A92)+1,"")</f>
        <v/>
      </c>
      <c r="AG92" t="str">
        <f>IF(AND(AD92=1,N(W92)&lt;p_alert),ROUND(W92,4),"")</f>
        <v/>
      </c>
      <c r="AH92" t="str">
        <f>IF(AG92="","",COUNTIF(sj_akey,"&lt;"&amp;AG92)+COUNTIF($AG$6:AG92,AG92))</f>
        <v/>
      </c>
    </row>
    <row r="93">
      <c r="A93" s="51" t="n">
        <v>46296</v>
      </c>
      <c r="B93" s="52" t="inlineStr">
        <is>
          <t>Journée</t>
        </is>
      </c>
      <c r="C93" s="52" t="inlineStr">
        <is>
          <t>PLIE</t>
        </is>
      </c>
      <c r="D93" s="53" t="inlineStr">
        <is>
          <t>OF-2609-128</t>
        </is>
      </c>
      <c r="E93" s="53" t="inlineStr">
        <is>
          <t>SUP-MOT-01</t>
        </is>
      </c>
      <c r="F93" s="54" t="n"/>
      <c r="G93" s="54" t="n">
        <v>417</v>
      </c>
      <c r="H93" s="54" t="n">
        <v>13</v>
      </c>
      <c r="I93" s="54" t="n">
        <v>6</v>
      </c>
      <c r="J93" s="53" t="n"/>
      <c r="K93" s="55">
        <f>IF(COUNTA(A93:I93)=0,"",IF(F93="",IFERROR(INDEX(eq_dur,MATCH(B93,eq_code,0)),""),F93))</f>
        <v>540.0</v>
      </c>
      <c r="L93" s="55">
        <f>IF(ISNUMBER(K93),N(IFERROR(INDEX(eq_pause,MATCH(B93,eq_code,0)),0))+SUMIFS(st_min,st_date,A93,st_eq,B93,st_po,C93,st_type,"Planifié"),"")</f>
        <v>60.0</v>
      </c>
      <c r="M93" s="55">
        <f>IF(ISNUMBER(K93),K93-L93,"")</f>
        <v>480.0</v>
      </c>
      <c r="N93" s="55">
        <f>IF(ISNUMBER(K93),SUMIFS(st_min,st_date,A93,st_eq,B93,st_po,C93,st_type,"Non planifié"),"")</f>
        <v>100.0</v>
      </c>
      <c r="O93" s="55">
        <f>IF(ISNUMBER(K93),M93-N93,"")</f>
        <v>380.0</v>
      </c>
      <c r="P93" s="55">
        <f>IF(COUNTA(A93:I93)=0,"",N(G93)+N(H93)+N(I93))</f>
        <v>436.0</v>
      </c>
      <c r="Q93" s="56">
        <f>IF(COUNTA(A93:I93)=0,"",IF(N(IFERROR(INDEX(art_rate,MATCH(E93,art_ref,0)),0))&gt;0,N(IFERROR(INDEX(art_rate,MATCH(E93,art_ref,0)),0)),N(IFERROR(INDEX(po_rate,MATCH(C93,po_code,0)),0))))</f>
        <v>90.0</v>
      </c>
      <c r="R93" s="55">
        <f>IF(AC93=1,P93*60/Q93,"")</f>
        <v>290.666666666667</v>
      </c>
      <c r="S93" s="55">
        <f>IF(AC93=1,N(G93)*60/Q93,"")</f>
        <v>278.0</v>
      </c>
      <c r="T93" s="57">
        <f>IF(AC93=1,O93/M93,"")</f>
        <v>0.791666666666667</v>
      </c>
      <c r="U93" s="57">
        <f>IF(AC93=1,IF(O93&gt;0,R93/O93,""),"")</f>
        <v>0.764912280701754</v>
      </c>
      <c r="V93" s="57">
        <f>IF(AC93=1,IF(P93&gt;0,N(G93)/P93,""),"")</f>
        <v>0.956422018348624</v>
      </c>
      <c r="W93" s="57">
        <f>IF(AC93=1,S93/M93,"")</f>
        <v>0.579166666666667</v>
      </c>
      <c r="X93" s="57">
        <f>IF(AC93=1,S93/K93,"")</f>
        <v>0.514814814814815</v>
      </c>
      <c r="Y93" s="58" t="str">
        <f>IF(W93="","",IF(W93&gt;=p_target,"Bon",IF(W93&gt;=p_alert,"À surveiller","Faible")))</f>
        <v>À surveiller</v>
      </c>
      <c r="Z93" s="58" t="str">
        <f>IF(W93="","",IF(MIN(IF(T93="",1,T93),IF(U93="",1,U93),IF(V93="",1,V93))&gt;=1,"Aucune",IF(IF(T93="",1,T93)&lt;=MIN(IF(U93="",1,U93),IF(V93="",1,V93)),"Disponibilité",IF(IF(U93="",1,U93)&lt;=IF(V93="",1,V93),"Performance","Qualité"))))</f>
        <v>Performance</v>
      </c>
      <c r="AA93" s="59">
        <f>IF(AC93=1,N(H93)*N(IFERROR(INDEX(art_cost,MATCH(E93,art_ref,0)),0)),"")</f>
        <v>832.0</v>
      </c>
      <c r="AB93" s="58" t="str">
        <f>IF(COUNTA(A93:I93)=0,"",IF(N(A93)&lt;=0,"Date manquante ou invalide",IF(B93="","Équipe manquante",IF(ISNA(MATCH(B93,eq_code,0)),"Équipe inconnue",IF(INDEX(eq_check,MATCH(B93,eq_code,0))&lt;&gt;"OK","Équipe à corriger dans Paramètres",IF(C93="","Poste manquant",IF(ISNA(MATCH(C93,po_code,0)),"Poste inconnu",IF(AND(E93&lt;&gt;"",ISNA(MATCH(E93,art_ref,0))),"Article inconnu",IF(IF(E93="",FALSE,INDEX(art_check,MATCH(E93,art_ref,0))&lt;&gt;"OK"),"Article à corriger (feuille Articles)",IF(COUNTIFS(sj_date,A93,sj_eq,B93,sj_po,C93)&gt;1,"Ligne en double (même jour, équipe et poste)",IF(OR(NOT(ISNUMBER(K93)),N(K93)&lt;=0,N(K93)&gt;1440),"Temps d'ouverture invalide",IF(OR(AND(G93&lt;&gt;"",NOT(ISNUMBER(G93))),N(G93)&lt;0,N(G93)&lt;&gt;INT(N(G93)),AND(H93&lt;&gt;"",NOT(ISNUMBER(H93))),N(H93)&lt;0,N(H93)&lt;&gt;INT(N(H93)),AND(I93&lt;&gt;"",NOT(ISNUMBER(I93))),N(I93)&lt;0,N(I93)&lt;&gt;INT(N(I93))),"Quantité invalide",IF(Q93&lt;=0,"Cadence manquante (poste ou article)",IF(M93&lt;=0,"Arrêts planifiés supérieurs au temps d'ouverture",IF(O93&lt;0,"Arrêts supérieurs au temps requis",IF(AND(P93&gt;0,O93=0),"Pièces déclarées sans temps de marche",IF(AND(P93=0,O93&gt;0),"Aucune pièce déclarée",IF(P93*60/Q93&gt;O93+0.001,"Cadence dépassée : vérifiez la cadence","OK"))))))))))))))))))</f>
        <v>OK</v>
      </c>
      <c r="AC93">
        <f>IF(OR(AB93="OK",AB93="Aucune pièce déclarée",AB93="Cadence dépassée : vérifiez la cadence"),1,0)</f>
        <v>1.0</v>
      </c>
      <c r="AD93">
        <f>IF(AND(AC93=1,A93&gt;=p_from,A93&lt;=p_to),1,0)</f>
        <v>1.0</v>
      </c>
      <c r="AE93">
        <f>IF(AD93=1,IF(COUNTIFS($A$6:A93,A93,$AD$6:AD93,1)=1,1,0),0)</f>
        <v>0.0</v>
      </c>
      <c r="AF93" t="str">
        <f>IF(AE93=1,COUNTIFS(sj_first,1,sj_date,"&lt;"&amp;A93)+1,"")</f>
        <v/>
      </c>
      <c r="AG93" t="str">
        <f>IF(AND(AD93=1,N(W93)&lt;p_alert),ROUND(W93,4),"")</f>
        <v/>
      </c>
      <c r="AH93" t="str">
        <f>IF(AG93="","",COUNTIF(sj_akey,"&lt;"&amp;AG93)+COUNTIF($AG$6:AG93,AG93))</f>
        <v/>
      </c>
    </row>
    <row r="94">
      <c r="A94" s="51" t="n">
        <v>46296</v>
      </c>
      <c r="B94" s="52" t="inlineStr">
        <is>
          <t>Matin</t>
        </is>
      </c>
      <c r="C94" s="52" t="inlineStr">
        <is>
          <t>SOUD</t>
        </is>
      </c>
      <c r="D94" s="53" t="inlineStr">
        <is>
          <t>OF-2610-137</t>
        </is>
      </c>
      <c r="E94" s="53" t="inlineStr">
        <is>
          <t>BRA-SUS-02</t>
        </is>
      </c>
      <c r="F94" s="54" t="n"/>
      <c r="G94" s="54" t="n">
        <v>67</v>
      </c>
      <c r="H94" s="54" t="n">
        <v>1</v>
      </c>
      <c r="I94" s="54" t="n">
        <v>0</v>
      </c>
      <c r="J94" s="53" t="n"/>
      <c r="K94" s="55">
        <f>IF(COUNTA(A94:I94)=0,"",IF(F94="",IFERROR(INDEX(eq_dur,MATCH(B94,eq_code,0)),""),F94))</f>
        <v>480.0</v>
      </c>
      <c r="L94" s="55">
        <f>IF(ISNUMBER(K94),N(IFERROR(INDEX(eq_pause,MATCH(B94,eq_code,0)),0))+SUMIFS(st_min,st_date,A94,st_eq,B94,st_po,C94,st_type,"Planifié"),"")</f>
        <v>30.0</v>
      </c>
      <c r="M94" s="55">
        <f>IF(ISNUMBER(K94),K94-L94,"")</f>
        <v>450.0</v>
      </c>
      <c r="N94" s="55">
        <f>IF(ISNUMBER(K94),SUMIFS(st_min,st_date,A94,st_eq,B94,st_po,C94,st_type,"Non planifié"),"")</f>
        <v>194.0</v>
      </c>
      <c r="O94" s="55">
        <f>IF(ISNUMBER(K94),M94-N94,"")</f>
        <v>256.0</v>
      </c>
      <c r="P94" s="55">
        <f>IF(COUNTA(A94:I94)=0,"",N(G94)+N(H94)+N(I94))</f>
        <v>68.0</v>
      </c>
      <c r="Q94" s="56">
        <f>IF(COUNTA(A94:I94)=0,"",IF(N(IFERROR(INDEX(art_rate,MATCH(E94,art_ref,0)),0))&gt;0,N(IFERROR(INDEX(art_rate,MATCH(E94,art_ref,0)),0)),N(IFERROR(INDEX(po_rate,MATCH(C94,po_code,0)),0))))</f>
        <v>20.0</v>
      </c>
      <c r="R94" s="55">
        <f>IF(AC94=1,P94*60/Q94,"")</f>
        <v>204.0</v>
      </c>
      <c r="S94" s="55">
        <f>IF(AC94=1,N(G94)*60/Q94,"")</f>
        <v>201.0</v>
      </c>
      <c r="T94" s="57">
        <f>IF(AC94=1,O94/M94,"")</f>
        <v>0.568888888888889</v>
      </c>
      <c r="U94" s="57">
        <f>IF(AC94=1,IF(O94&gt;0,R94/O94,""),"")</f>
        <v>0.796875</v>
      </c>
      <c r="V94" s="57">
        <f>IF(AC94=1,IF(P94&gt;0,N(G94)/P94,""),"")</f>
        <v>0.985294117647059</v>
      </c>
      <c r="W94" s="57">
        <f>IF(AC94=1,S94/M94,"")</f>
        <v>0.446666666666667</v>
      </c>
      <c r="X94" s="57">
        <f>IF(AC94=1,S94/K94,"")</f>
        <v>0.41875</v>
      </c>
      <c r="Y94" s="58" t="str">
        <f>IF(W94="","",IF(W94&gt;=p_target,"Bon",IF(W94&gt;=p_alert,"À surveiller","Faible")))</f>
        <v>Faible</v>
      </c>
      <c r="Z94" s="58" t="str">
        <f>IF(W94="","",IF(MIN(IF(T94="",1,T94),IF(U94="",1,U94),IF(V94="",1,V94))&gt;=1,"Aucune",IF(IF(T94="",1,T94)&lt;=MIN(IF(U94="",1,U94),IF(V94="",1,V94)),"Disponibilité",IF(IF(U94="",1,U94)&lt;=IF(V94="",1,V94),"Performance","Qualité"))))</f>
        <v>Disponibilité</v>
      </c>
      <c r="AA94" s="59">
        <f>IF(AC94=1,N(H94)*N(IFERROR(INDEX(art_cost,MATCH(E94,art_ref,0)),0)),"")</f>
        <v>238.0</v>
      </c>
      <c r="AB94" s="58" t="str">
        <f>IF(COUNTA(A94:I94)=0,"",IF(N(A94)&lt;=0,"Date manquante ou invalide",IF(B94="","Équipe manquante",IF(ISNA(MATCH(B94,eq_code,0)),"Équipe inconnue",IF(INDEX(eq_check,MATCH(B94,eq_code,0))&lt;&gt;"OK","Équipe à corriger dans Paramètres",IF(C94="","Poste manquant",IF(ISNA(MATCH(C94,po_code,0)),"Poste inconnu",IF(AND(E94&lt;&gt;"",ISNA(MATCH(E94,art_ref,0))),"Article inconnu",IF(IF(E94="",FALSE,INDEX(art_check,MATCH(E94,art_ref,0))&lt;&gt;"OK"),"Article à corriger (feuille Articles)",IF(COUNTIFS(sj_date,A94,sj_eq,B94,sj_po,C94)&gt;1,"Ligne en double (même jour, équipe et poste)",IF(OR(NOT(ISNUMBER(K94)),N(K94)&lt;=0,N(K94)&gt;1440),"Temps d'ouverture invalide",IF(OR(AND(G94&lt;&gt;"",NOT(ISNUMBER(G94))),N(G94)&lt;0,N(G94)&lt;&gt;INT(N(G94)),AND(H94&lt;&gt;"",NOT(ISNUMBER(H94))),N(H94)&lt;0,N(H94)&lt;&gt;INT(N(H94)),AND(I94&lt;&gt;"",NOT(ISNUMBER(I94))),N(I94)&lt;0,N(I94)&lt;&gt;INT(N(I94))),"Quantité invalide",IF(Q94&lt;=0,"Cadence manquante (poste ou article)",IF(M94&lt;=0,"Arrêts planifiés supérieurs au temps d'ouverture",IF(O94&lt;0,"Arrêts supérieurs au temps requis",IF(AND(P94&gt;0,O94=0),"Pièces déclarées sans temps de marche",IF(AND(P94=0,O94&gt;0),"Aucune pièce déclarée",IF(P94*60/Q94&gt;O94+0.001,"Cadence dépassée : vérifiez la cadence","OK"))))))))))))))))))</f>
        <v>OK</v>
      </c>
      <c r="AC94">
        <f>IF(OR(AB94="OK",AB94="Aucune pièce déclarée",AB94="Cadence dépassée : vérifiez la cadence"),1,0)</f>
        <v>1.0</v>
      </c>
      <c r="AD94">
        <f>IF(AND(AC94=1,A94&gt;=p_from,A94&lt;=p_to),1,0)</f>
        <v>1.0</v>
      </c>
      <c r="AE94">
        <f>IF(AD94=1,IF(COUNTIFS($A$6:A94,A94,$AD$6:AD94,1)=1,1,0),0)</f>
        <v>0.0</v>
      </c>
      <c r="AF94" t="str">
        <f>IF(AE94=1,COUNTIFS(sj_first,1,sj_date,"&lt;"&amp;A94)+1,"")</f>
        <v/>
      </c>
      <c r="AG94">
        <f>IF(AND(AD94=1,N(W94)&lt;p_alert),ROUND(W94,4),"")</f>
        <v>0.4467</v>
      </c>
      <c r="AH94">
        <f>IF(AG94="","",COUNTIF(sj_akey,"&lt;"&amp;AG94)+COUNTIF($AG$6:AG94,AG94))</f>
        <v>16.0</v>
      </c>
    </row>
    <row r="95">
      <c r="A95" s="51" t="n">
        <v>46296</v>
      </c>
      <c r="B95" s="52" t="inlineStr">
        <is>
          <t>Après-midi</t>
        </is>
      </c>
      <c r="C95" s="52" t="inlineStr">
        <is>
          <t>SOUD</t>
        </is>
      </c>
      <c r="D95" s="53" t="inlineStr">
        <is>
          <t>OF-2609-129</t>
        </is>
      </c>
      <c r="E95" s="53" t="inlineStr">
        <is>
          <t>CHA-REM-01</t>
        </is>
      </c>
      <c r="F95" s="54" t="n"/>
      <c r="G95" s="54" t="n">
        <v>23</v>
      </c>
      <c r="H95" s="54" t="n">
        <v>0</v>
      </c>
      <c r="I95" s="54" t="n">
        <v>0</v>
      </c>
      <c r="J95" s="53" t="n"/>
      <c r="K95" s="55">
        <f>IF(COUNTA(A95:I95)=0,"",IF(F95="",IFERROR(INDEX(eq_dur,MATCH(B95,eq_code,0)),""),F95))</f>
        <v>480.0</v>
      </c>
      <c r="L95" s="55">
        <f>IF(ISNUMBER(K95),N(IFERROR(INDEX(eq_pause,MATCH(B95,eq_code,0)),0))+SUMIFS(st_min,st_date,A95,st_eq,B95,st_po,C95,st_type,"Planifié"),"")</f>
        <v>30.0</v>
      </c>
      <c r="M95" s="55">
        <f>IF(ISNUMBER(K95),K95-L95,"")</f>
        <v>450.0</v>
      </c>
      <c r="N95" s="55">
        <f>IF(ISNUMBER(K95),SUMIFS(st_min,st_date,A95,st_eq,B95,st_po,C95,st_type,"Non planifié"),"")</f>
        <v>14.0</v>
      </c>
      <c r="O95" s="55">
        <f>IF(ISNUMBER(K95),M95-N95,"")</f>
        <v>436.0</v>
      </c>
      <c r="P95" s="55">
        <f>IF(COUNTA(A95:I95)=0,"",N(G95)+N(H95)+N(I95))</f>
        <v>23.0</v>
      </c>
      <c r="Q95" s="56">
        <f>IF(COUNTA(A95:I95)=0,"",IF(N(IFERROR(INDEX(art_rate,MATCH(E95,art_ref,0)),0))&gt;0,N(IFERROR(INDEX(art_rate,MATCH(E95,art_ref,0)),0)),N(IFERROR(INDEX(po_rate,MATCH(C95,po_code,0)),0))))</f>
        <v>4.0</v>
      </c>
      <c r="R95" s="55">
        <f>IF(AC95=1,P95*60/Q95,"")</f>
        <v>345.0</v>
      </c>
      <c r="S95" s="55">
        <f>IF(AC95=1,N(G95)*60/Q95,"")</f>
        <v>345.0</v>
      </c>
      <c r="T95" s="57">
        <f>IF(AC95=1,O95/M95,"")</f>
        <v>0.968888888888889</v>
      </c>
      <c r="U95" s="57">
        <f>IF(AC95=1,IF(O95&gt;0,R95/O95,""),"")</f>
        <v>0.791284403669725</v>
      </c>
      <c r="V95" s="57">
        <f>IF(AC95=1,IF(P95&gt;0,N(G95)/P95,""),"")</f>
        <v>1.0</v>
      </c>
      <c r="W95" s="57">
        <f>IF(AC95=1,S95/M95,"")</f>
        <v>0.766666666666667</v>
      </c>
      <c r="X95" s="57">
        <f>IF(AC95=1,S95/K95,"")</f>
        <v>0.71875</v>
      </c>
      <c r="Y95" s="58" t="str">
        <f>IF(W95="","",IF(W95&gt;=p_target,"Bon",IF(W95&gt;=p_alert,"À surveiller","Faible")))</f>
        <v>Bon</v>
      </c>
      <c r="Z95" s="58" t="str">
        <f>IF(W95="","",IF(MIN(IF(T95="",1,T95),IF(U95="",1,U95),IF(V95="",1,V95))&gt;=1,"Aucune",IF(IF(T95="",1,T95)&lt;=MIN(IF(U95="",1,U95),IF(V95="",1,V95)),"Disponibilité",IF(IF(U95="",1,U95)&lt;=IF(V95="",1,V95),"Performance","Qualité"))))</f>
        <v>Performance</v>
      </c>
      <c r="AA95" s="59">
        <f>IF(AC95=1,N(H95)*N(IFERROR(INDEX(art_cost,MATCH(E95,art_ref,0)),0)),"")</f>
        <v>0.0</v>
      </c>
      <c r="AB95" s="58" t="str">
        <f>IF(COUNTA(A95:I95)=0,"",IF(N(A95)&lt;=0,"Date manquante ou invalide",IF(B95="","Équipe manquante",IF(ISNA(MATCH(B95,eq_code,0)),"Équipe inconnue",IF(INDEX(eq_check,MATCH(B95,eq_code,0))&lt;&gt;"OK","Équipe à corriger dans Paramètres",IF(C95="","Poste manquant",IF(ISNA(MATCH(C95,po_code,0)),"Poste inconnu",IF(AND(E95&lt;&gt;"",ISNA(MATCH(E95,art_ref,0))),"Article inconnu",IF(IF(E95="",FALSE,INDEX(art_check,MATCH(E95,art_ref,0))&lt;&gt;"OK"),"Article à corriger (feuille Articles)",IF(COUNTIFS(sj_date,A95,sj_eq,B95,sj_po,C95)&gt;1,"Ligne en double (même jour, équipe et poste)",IF(OR(NOT(ISNUMBER(K95)),N(K95)&lt;=0,N(K95)&gt;1440),"Temps d'ouverture invalide",IF(OR(AND(G95&lt;&gt;"",NOT(ISNUMBER(G95))),N(G95)&lt;0,N(G95)&lt;&gt;INT(N(G95)),AND(H95&lt;&gt;"",NOT(ISNUMBER(H95))),N(H95)&lt;0,N(H95)&lt;&gt;INT(N(H95)),AND(I95&lt;&gt;"",NOT(ISNUMBER(I95))),N(I95)&lt;0,N(I95)&lt;&gt;INT(N(I95))),"Quantité invalide",IF(Q95&lt;=0,"Cadence manquante (poste ou article)",IF(M95&lt;=0,"Arrêts planifiés supérieurs au temps d'ouverture",IF(O95&lt;0,"Arrêts supérieurs au temps requis",IF(AND(P95&gt;0,O95=0),"Pièces déclarées sans temps de marche",IF(AND(P95=0,O95&gt;0),"Aucune pièce déclarée",IF(P95*60/Q95&gt;O95+0.001,"Cadence dépassée : vérifiez la cadence","OK"))))))))))))))))))</f>
        <v>OK</v>
      </c>
      <c r="AC95">
        <f>IF(OR(AB95="OK",AB95="Aucune pièce déclarée",AB95="Cadence dépassée : vérifiez la cadence"),1,0)</f>
        <v>1.0</v>
      </c>
      <c r="AD95">
        <f>IF(AND(AC95=1,A95&gt;=p_from,A95&lt;=p_to),1,0)</f>
        <v>1.0</v>
      </c>
      <c r="AE95">
        <f>IF(AD95=1,IF(COUNTIFS($A$6:A95,A95,$AD$6:AD95,1)=1,1,0),0)</f>
        <v>0.0</v>
      </c>
      <c r="AF95" t="str">
        <f>IF(AE95=1,COUNTIFS(sj_first,1,sj_date,"&lt;"&amp;A95)+1,"")</f>
        <v/>
      </c>
      <c r="AG95" t="str">
        <f>IF(AND(AD95=1,N(W95)&lt;p_alert),ROUND(W95,4),"")</f>
        <v/>
      </c>
      <c r="AH95" t="str">
        <f>IF(AG95="","",COUNTIF(sj_akey,"&lt;"&amp;AG95)+COUNTIF($AG$6:AG95,AG95))</f>
        <v/>
      </c>
    </row>
    <row r="96">
      <c r="A96" s="51" t="n">
        <v>46297</v>
      </c>
      <c r="B96" s="52" t="inlineStr">
        <is>
          <t>Matin</t>
        </is>
      </c>
      <c r="C96" s="52" t="inlineStr">
        <is>
          <t>TOUR1</t>
        </is>
      </c>
      <c r="D96" s="53" t="inlineStr">
        <is>
          <t>OF-2609-130</t>
        </is>
      </c>
      <c r="E96" s="53" t="inlineStr">
        <is>
          <t>AXE-R20</t>
        </is>
      </c>
      <c r="F96" s="54" t="n"/>
      <c r="G96" s="54" t="n">
        <v>211</v>
      </c>
      <c r="H96" s="54" t="n">
        <v>1</v>
      </c>
      <c r="I96" s="54" t="n">
        <v>1</v>
      </c>
      <c r="J96" s="53" t="n"/>
      <c r="K96" s="55">
        <f>IF(COUNTA(A96:I96)=0,"",IF(F96="",IFERROR(INDEX(eq_dur,MATCH(B96,eq_code,0)),""),F96))</f>
        <v>480.0</v>
      </c>
      <c r="L96" s="55">
        <f>IF(ISNUMBER(K96),N(IFERROR(INDEX(eq_pause,MATCH(B96,eq_code,0)),0))+SUMIFS(st_min,st_date,A96,st_eq,B96,st_po,C96,st_type,"Planifié"),"")</f>
        <v>30.0</v>
      </c>
      <c r="M96" s="55">
        <f>IF(ISNUMBER(K96),K96-L96,"")</f>
        <v>450.0</v>
      </c>
      <c r="N96" s="55">
        <f>IF(ISNUMBER(K96),SUMIFS(st_min,st_date,A96,st_eq,B96,st_po,C96,st_type,"Non planifié"),"")</f>
        <v>0.0</v>
      </c>
      <c r="O96" s="55">
        <f>IF(ISNUMBER(K96),M96-N96,"")</f>
        <v>450.0</v>
      </c>
      <c r="P96" s="55">
        <f>IF(COUNTA(A96:I96)=0,"",N(G96)+N(H96)+N(I96))</f>
        <v>213.0</v>
      </c>
      <c r="Q96" s="56">
        <f>IF(COUNTA(A96:I96)=0,"",IF(N(IFERROR(INDEX(art_rate,MATCH(E96,art_ref,0)),0))&gt;0,N(IFERROR(INDEX(art_rate,MATCH(E96,art_ref,0)),0)),N(IFERROR(INDEX(po_rate,MATCH(C96,po_code,0)),0))))</f>
        <v>30.0</v>
      </c>
      <c r="R96" s="55">
        <f>IF(AC96=1,P96*60/Q96,"")</f>
        <v>426.0</v>
      </c>
      <c r="S96" s="55">
        <f>IF(AC96=1,N(G96)*60/Q96,"")</f>
        <v>422.0</v>
      </c>
      <c r="T96" s="57">
        <f>IF(AC96=1,O96/M96,"")</f>
        <v>1.0</v>
      </c>
      <c r="U96" s="57">
        <f>IF(AC96=1,IF(O96&gt;0,R96/O96,""),"")</f>
        <v>0.946666666666667</v>
      </c>
      <c r="V96" s="57">
        <f>IF(AC96=1,IF(P96&gt;0,N(G96)/P96,""),"")</f>
        <v>0.990610328638498</v>
      </c>
      <c r="W96" s="57">
        <f>IF(AC96=1,S96/M96,"")</f>
        <v>0.937777777777778</v>
      </c>
      <c r="X96" s="57">
        <f>IF(AC96=1,S96/K96,"")</f>
        <v>0.879166666666667</v>
      </c>
      <c r="Y96" s="58" t="str">
        <f>IF(W96="","",IF(W96&gt;=p_target,"Bon",IF(W96&gt;=p_alert,"À surveiller","Faible")))</f>
        <v>Bon</v>
      </c>
      <c r="Z96" s="58" t="str">
        <f>IF(W96="","",IF(MIN(IF(T96="",1,T96),IF(U96="",1,U96),IF(V96="",1,V96))&gt;=1,"Aucune",IF(IF(T96="",1,T96)&lt;=MIN(IF(U96="",1,U96),IF(V96="",1,V96)),"Disponibilité",IF(IF(U96="",1,U96)&lt;=IF(V96="",1,V96),"Performance","Qualité"))))</f>
        <v>Performance</v>
      </c>
      <c r="AA96" s="59">
        <f>IF(AC96=1,N(H96)*N(IFERROR(INDEX(art_cost,MATCH(E96,art_ref,0)),0)),"")</f>
        <v>38.5</v>
      </c>
      <c r="AB96" s="58" t="str">
        <f>IF(COUNTA(A96:I96)=0,"",IF(N(A96)&lt;=0,"Date manquante ou invalide",IF(B96="","Équipe manquante",IF(ISNA(MATCH(B96,eq_code,0)),"Équipe inconnue",IF(INDEX(eq_check,MATCH(B96,eq_code,0))&lt;&gt;"OK","Équipe à corriger dans Paramètres",IF(C96="","Poste manquant",IF(ISNA(MATCH(C96,po_code,0)),"Poste inconnu",IF(AND(E96&lt;&gt;"",ISNA(MATCH(E96,art_ref,0))),"Article inconnu",IF(IF(E96="",FALSE,INDEX(art_check,MATCH(E96,art_ref,0))&lt;&gt;"OK"),"Article à corriger (feuille Articles)",IF(COUNTIFS(sj_date,A96,sj_eq,B96,sj_po,C96)&gt;1,"Ligne en double (même jour, équipe et poste)",IF(OR(NOT(ISNUMBER(K96)),N(K96)&lt;=0,N(K96)&gt;1440),"Temps d'ouverture invalide",IF(OR(AND(G96&lt;&gt;"",NOT(ISNUMBER(G96))),N(G96)&lt;0,N(G96)&lt;&gt;INT(N(G96)),AND(H96&lt;&gt;"",NOT(ISNUMBER(H96))),N(H96)&lt;0,N(H96)&lt;&gt;INT(N(H96)),AND(I96&lt;&gt;"",NOT(ISNUMBER(I96))),N(I96)&lt;0,N(I96)&lt;&gt;INT(N(I96))),"Quantité invalide",IF(Q96&lt;=0,"Cadence manquante (poste ou article)",IF(M96&lt;=0,"Arrêts planifiés supérieurs au temps d'ouverture",IF(O96&lt;0,"Arrêts supérieurs au temps requis",IF(AND(P96&gt;0,O96=0),"Pièces déclarées sans temps de marche",IF(AND(P96=0,O96&gt;0),"Aucune pièce déclarée",IF(P96*60/Q96&gt;O96+0.001,"Cadence dépassée : vérifiez la cadence","OK"))))))))))))))))))</f>
        <v>OK</v>
      </c>
      <c r="AC96">
        <f>IF(OR(AB96="OK",AB96="Aucune pièce déclarée",AB96="Cadence dépassée : vérifiez la cadence"),1,0)</f>
        <v>1.0</v>
      </c>
      <c r="AD96">
        <f>IF(AND(AC96=1,A96&gt;=p_from,A96&lt;=p_to),1,0)</f>
        <v>1.0</v>
      </c>
      <c r="AE96">
        <f>IF(AD96=1,IF(COUNTIFS($A$6:A96,A96,$AD$6:AD96,1)=1,1,0),0)</f>
        <v>1.0</v>
      </c>
      <c r="AF96">
        <f>IF(AE96=1,COUNTIFS(sj_first,1,sj_date,"&lt;"&amp;A96)+1,"")</f>
        <v>10.0</v>
      </c>
      <c r="AG96" t="str">
        <f>IF(AND(AD96=1,N(W96)&lt;p_alert),ROUND(W96,4),"")</f>
        <v/>
      </c>
      <c r="AH96" t="str">
        <f>IF(AG96="","",COUNTIF(sj_akey,"&lt;"&amp;AG96)+COUNTIF($AG$6:AG96,AG96))</f>
        <v/>
      </c>
    </row>
    <row r="97">
      <c r="A97" s="51" t="n">
        <v>46297</v>
      </c>
      <c r="B97" s="52" t="inlineStr">
        <is>
          <t>Après-midi</t>
        </is>
      </c>
      <c r="C97" s="52" t="inlineStr">
        <is>
          <t>TOUR1</t>
        </is>
      </c>
      <c r="D97" s="53" t="inlineStr">
        <is>
          <t>OF-2609-131</t>
        </is>
      </c>
      <c r="E97" s="53" t="inlineStr">
        <is>
          <t>BAG-BR-32</t>
        </is>
      </c>
      <c r="F97" s="54" t="n"/>
      <c r="G97" s="54" t="n">
        <v>224</v>
      </c>
      <c r="H97" s="54" t="n">
        <v>3</v>
      </c>
      <c r="I97" s="54" t="n">
        <v>1</v>
      </c>
      <c r="J97" s="53" t="n"/>
      <c r="K97" s="55">
        <f>IF(COUNTA(A97:I97)=0,"",IF(F97="",IFERROR(INDEX(eq_dur,MATCH(B97,eq_code,0)),""),F97))</f>
        <v>480.0</v>
      </c>
      <c r="L97" s="55">
        <f>IF(ISNUMBER(K97),N(IFERROR(INDEX(eq_pause,MATCH(B97,eq_code,0)),0))+SUMIFS(st_min,st_date,A97,st_eq,B97,st_po,C97,st_type,"Planifié"),"")</f>
        <v>30.0</v>
      </c>
      <c r="M97" s="55">
        <f>IF(ISNUMBER(K97),K97-L97,"")</f>
        <v>450.0</v>
      </c>
      <c r="N97" s="55">
        <f>IF(ISNUMBER(K97),SUMIFS(st_min,st_date,A97,st_eq,B97,st_po,C97,st_type,"Non planifié"),"")</f>
        <v>65.0</v>
      </c>
      <c r="O97" s="55">
        <f>IF(ISNUMBER(K97),M97-N97,"")</f>
        <v>385.0</v>
      </c>
      <c r="P97" s="55">
        <f>IF(COUNTA(A97:I97)=0,"",N(G97)+N(H97)+N(I97))</f>
        <v>228.0</v>
      </c>
      <c r="Q97" s="56">
        <f>IF(COUNTA(A97:I97)=0,"",IF(N(IFERROR(INDEX(art_rate,MATCH(E97,art_ref,0)),0))&gt;0,N(IFERROR(INDEX(art_rate,MATCH(E97,art_ref,0)),0)),N(IFERROR(INDEX(po_rate,MATCH(C97,po_code,0)),0))))</f>
        <v>40.0</v>
      </c>
      <c r="R97" s="55">
        <f>IF(AC97=1,P97*60/Q97,"")</f>
        <v>342.0</v>
      </c>
      <c r="S97" s="55">
        <f>IF(AC97=1,N(G97)*60/Q97,"")</f>
        <v>336.0</v>
      </c>
      <c r="T97" s="57">
        <f>IF(AC97=1,O97/M97,"")</f>
        <v>0.855555555555556</v>
      </c>
      <c r="U97" s="57">
        <f>IF(AC97=1,IF(O97&gt;0,R97/O97,""),"")</f>
        <v>0.888311688311688</v>
      </c>
      <c r="V97" s="57">
        <f>IF(AC97=1,IF(P97&gt;0,N(G97)/P97,""),"")</f>
        <v>0.982456140350877</v>
      </c>
      <c r="W97" s="57">
        <f>IF(AC97=1,S97/M97,"")</f>
        <v>0.746666666666667</v>
      </c>
      <c r="X97" s="57">
        <f>IF(AC97=1,S97/K97,"")</f>
        <v>0.7</v>
      </c>
      <c r="Y97" s="58" t="str">
        <f>IF(W97="","",IF(W97&gt;=p_target,"Bon",IF(W97&gt;=p_alert,"À surveiller","Faible")))</f>
        <v>À surveiller</v>
      </c>
      <c r="Z97" s="58" t="str">
        <f>IF(W97="","",IF(MIN(IF(T97="",1,T97),IF(U97="",1,U97),IF(V97="",1,V97))&gt;=1,"Aucune",IF(IF(T97="",1,T97)&lt;=MIN(IF(U97="",1,U97),IF(V97="",1,V97)),"Disponibilité",IF(IF(U97="",1,U97)&lt;=IF(V97="",1,V97),"Performance","Qualité"))))</f>
        <v>Disponibilité</v>
      </c>
      <c r="AA97" s="59">
        <f>IF(AC97=1,N(H97)*N(IFERROR(INDEX(art_cost,MATCH(E97,art_ref,0)),0)),"")</f>
        <v>156.0</v>
      </c>
      <c r="AB97" s="58" t="str">
        <f>IF(COUNTA(A97:I97)=0,"",IF(N(A97)&lt;=0,"Date manquante ou invalide",IF(B97="","Équipe manquante",IF(ISNA(MATCH(B97,eq_code,0)),"Équipe inconnue",IF(INDEX(eq_check,MATCH(B97,eq_code,0))&lt;&gt;"OK","Équipe à corriger dans Paramètres",IF(C97="","Poste manquant",IF(ISNA(MATCH(C97,po_code,0)),"Poste inconnu",IF(AND(E97&lt;&gt;"",ISNA(MATCH(E97,art_ref,0))),"Article inconnu",IF(IF(E97="",FALSE,INDEX(art_check,MATCH(E97,art_ref,0))&lt;&gt;"OK"),"Article à corriger (feuille Articles)",IF(COUNTIFS(sj_date,A97,sj_eq,B97,sj_po,C97)&gt;1,"Ligne en double (même jour, équipe et poste)",IF(OR(NOT(ISNUMBER(K97)),N(K97)&lt;=0,N(K97)&gt;1440),"Temps d'ouverture invalide",IF(OR(AND(G97&lt;&gt;"",NOT(ISNUMBER(G97))),N(G97)&lt;0,N(G97)&lt;&gt;INT(N(G97)),AND(H97&lt;&gt;"",NOT(ISNUMBER(H97))),N(H97)&lt;0,N(H97)&lt;&gt;INT(N(H97)),AND(I97&lt;&gt;"",NOT(ISNUMBER(I97))),N(I97)&lt;0,N(I97)&lt;&gt;INT(N(I97))),"Quantité invalide",IF(Q97&lt;=0,"Cadence manquante (poste ou article)",IF(M97&lt;=0,"Arrêts planifiés supérieurs au temps d'ouverture",IF(O97&lt;0,"Arrêts supérieurs au temps requis",IF(AND(P97&gt;0,O97=0),"Pièces déclarées sans temps de marche",IF(AND(P97=0,O97&gt;0),"Aucune pièce déclarée",IF(P97*60/Q97&gt;O97+0.001,"Cadence dépassée : vérifiez la cadence","OK"))))))))))))))))))</f>
        <v>OK</v>
      </c>
      <c r="AC97">
        <f>IF(OR(AB97="OK",AB97="Aucune pièce déclarée",AB97="Cadence dépassée : vérifiez la cadence"),1,0)</f>
        <v>1.0</v>
      </c>
      <c r="AD97">
        <f>IF(AND(AC97=1,A97&gt;=p_from,A97&lt;=p_to),1,0)</f>
        <v>1.0</v>
      </c>
      <c r="AE97">
        <f>IF(AD97=1,IF(COUNTIFS($A$6:A97,A97,$AD$6:AD97,1)=1,1,0),0)</f>
        <v>0.0</v>
      </c>
      <c r="AF97" t="str">
        <f>IF(AE97=1,COUNTIFS(sj_first,1,sj_date,"&lt;"&amp;A97)+1,"")</f>
        <v/>
      </c>
      <c r="AG97" t="str">
        <f>IF(AND(AD97=1,N(W97)&lt;p_alert),ROUND(W97,4),"")</f>
        <v/>
      </c>
      <c r="AH97" t="str">
        <f>IF(AG97="","",COUNTIF(sj_akey,"&lt;"&amp;AG97)+COUNTIF($AG$6:AG97,AG97))</f>
        <v/>
      </c>
    </row>
    <row r="98">
      <c r="A98" s="51" t="n">
        <v>46297</v>
      </c>
      <c r="B98" s="52" t="inlineStr">
        <is>
          <t>Matin</t>
        </is>
      </c>
      <c r="C98" s="52" t="inlineStr">
        <is>
          <t>TOUR2</t>
        </is>
      </c>
      <c r="D98" s="53" t="inlineStr">
        <is>
          <t>OF-2609-116</t>
        </is>
      </c>
      <c r="E98" s="53" t="inlineStr">
        <is>
          <t>AXE-R20</t>
        </is>
      </c>
      <c r="F98" s="54" t="n"/>
      <c r="G98" s="54" t="n">
        <v>164</v>
      </c>
      <c r="H98" s="54" t="n">
        <v>4</v>
      </c>
      <c r="I98" s="54" t="n">
        <v>2</v>
      </c>
      <c r="J98" s="53" t="n"/>
      <c r="K98" s="55">
        <f>IF(COUNTA(A98:I98)=0,"",IF(F98="",IFERROR(INDEX(eq_dur,MATCH(B98,eq_code,0)),""),F98))</f>
        <v>480.0</v>
      </c>
      <c r="L98" s="55">
        <f>IF(ISNUMBER(K98),N(IFERROR(INDEX(eq_pause,MATCH(B98,eq_code,0)),0))+SUMIFS(st_min,st_date,A98,st_eq,B98,st_po,C98,st_type,"Planifié"),"")</f>
        <v>30.0</v>
      </c>
      <c r="M98" s="55">
        <f>IF(ISNUMBER(K98),K98-L98,"")</f>
        <v>450.0</v>
      </c>
      <c r="N98" s="55">
        <f>IF(ISNUMBER(K98),SUMIFS(st_min,st_date,A98,st_eq,B98,st_po,C98,st_type,"Non planifié"),"")</f>
        <v>50.0</v>
      </c>
      <c r="O98" s="55">
        <f>IF(ISNUMBER(K98),M98-N98,"")</f>
        <v>400.0</v>
      </c>
      <c r="P98" s="55">
        <f>IF(COUNTA(A98:I98)=0,"",N(G98)+N(H98)+N(I98))</f>
        <v>170.0</v>
      </c>
      <c r="Q98" s="56">
        <f>IF(COUNTA(A98:I98)=0,"",IF(N(IFERROR(INDEX(art_rate,MATCH(E98,art_ref,0)),0))&gt;0,N(IFERROR(INDEX(art_rate,MATCH(E98,art_ref,0)),0)),N(IFERROR(INDEX(po_rate,MATCH(C98,po_code,0)),0))))</f>
        <v>30.0</v>
      </c>
      <c r="R98" s="55">
        <f>IF(AC98=1,P98*60/Q98,"")</f>
        <v>340.0</v>
      </c>
      <c r="S98" s="55">
        <f>IF(AC98=1,N(G98)*60/Q98,"")</f>
        <v>328.0</v>
      </c>
      <c r="T98" s="57">
        <f>IF(AC98=1,O98/M98,"")</f>
        <v>0.888888888888889</v>
      </c>
      <c r="U98" s="57">
        <f>IF(AC98=1,IF(O98&gt;0,R98/O98,""),"")</f>
        <v>0.85</v>
      </c>
      <c r="V98" s="57">
        <f>IF(AC98=1,IF(P98&gt;0,N(G98)/P98,""),"")</f>
        <v>0.964705882352941</v>
      </c>
      <c r="W98" s="57">
        <f>IF(AC98=1,S98/M98,"")</f>
        <v>0.728888888888889</v>
      </c>
      <c r="X98" s="57">
        <f>IF(AC98=1,S98/K98,"")</f>
        <v>0.683333333333333</v>
      </c>
      <c r="Y98" s="58" t="str">
        <f>IF(W98="","",IF(W98&gt;=p_target,"Bon",IF(W98&gt;=p_alert,"À surveiller","Faible")))</f>
        <v>À surveiller</v>
      </c>
      <c r="Z98" s="58" t="str">
        <f>IF(W98="","",IF(MIN(IF(T98="",1,T98),IF(U98="",1,U98),IF(V98="",1,V98))&gt;=1,"Aucune",IF(IF(T98="",1,T98)&lt;=MIN(IF(U98="",1,U98),IF(V98="",1,V98)),"Disponibilité",IF(IF(U98="",1,U98)&lt;=IF(V98="",1,V98),"Performance","Qualité"))))</f>
        <v>Performance</v>
      </c>
      <c r="AA98" s="59">
        <f>IF(AC98=1,N(H98)*N(IFERROR(INDEX(art_cost,MATCH(E98,art_ref,0)),0)),"")</f>
        <v>154.0</v>
      </c>
      <c r="AB98" s="58" t="str">
        <f>IF(COUNTA(A98:I98)=0,"",IF(N(A98)&lt;=0,"Date manquante ou invalide",IF(B98="","Équipe manquante",IF(ISNA(MATCH(B98,eq_code,0)),"Équipe inconnue",IF(INDEX(eq_check,MATCH(B98,eq_code,0))&lt;&gt;"OK","Équipe à corriger dans Paramètres",IF(C98="","Poste manquant",IF(ISNA(MATCH(C98,po_code,0)),"Poste inconnu",IF(AND(E98&lt;&gt;"",ISNA(MATCH(E98,art_ref,0))),"Article inconnu",IF(IF(E98="",FALSE,INDEX(art_check,MATCH(E98,art_ref,0))&lt;&gt;"OK"),"Article à corriger (feuille Articles)",IF(COUNTIFS(sj_date,A98,sj_eq,B98,sj_po,C98)&gt;1,"Ligne en double (même jour, équipe et poste)",IF(OR(NOT(ISNUMBER(K98)),N(K98)&lt;=0,N(K98)&gt;1440),"Temps d'ouverture invalide",IF(OR(AND(G98&lt;&gt;"",NOT(ISNUMBER(G98))),N(G98)&lt;0,N(G98)&lt;&gt;INT(N(G98)),AND(H98&lt;&gt;"",NOT(ISNUMBER(H98))),N(H98)&lt;0,N(H98)&lt;&gt;INT(N(H98)),AND(I98&lt;&gt;"",NOT(ISNUMBER(I98))),N(I98)&lt;0,N(I98)&lt;&gt;INT(N(I98))),"Quantité invalide",IF(Q98&lt;=0,"Cadence manquante (poste ou article)",IF(M98&lt;=0,"Arrêts planifiés supérieurs au temps d'ouverture",IF(O98&lt;0,"Arrêts supérieurs au temps requis",IF(AND(P98&gt;0,O98=0),"Pièces déclarées sans temps de marche",IF(AND(P98=0,O98&gt;0),"Aucune pièce déclarée",IF(P98*60/Q98&gt;O98+0.001,"Cadence dépassée : vérifiez la cadence","OK"))))))))))))))))))</f>
        <v>OK</v>
      </c>
      <c r="AC98">
        <f>IF(OR(AB98="OK",AB98="Aucune pièce déclarée",AB98="Cadence dépassée : vérifiez la cadence"),1,0)</f>
        <v>1.0</v>
      </c>
      <c r="AD98">
        <f>IF(AND(AC98=1,A98&gt;=p_from,A98&lt;=p_to),1,0)</f>
        <v>1.0</v>
      </c>
      <c r="AE98">
        <f>IF(AD98=1,IF(COUNTIFS($A$6:A98,A98,$AD$6:AD98,1)=1,1,0),0)</f>
        <v>0.0</v>
      </c>
      <c r="AF98" t="str">
        <f>IF(AE98=1,COUNTIFS(sj_first,1,sj_date,"&lt;"&amp;A98)+1,"")</f>
        <v/>
      </c>
      <c r="AG98" t="str">
        <f>IF(AND(AD98=1,N(W98)&lt;p_alert),ROUND(W98,4),"")</f>
        <v/>
      </c>
      <c r="AH98" t="str">
        <f>IF(AG98="","",COUNTIF(sj_akey,"&lt;"&amp;AG98)+COUNTIF($AG$6:AG98,AG98))</f>
        <v/>
      </c>
    </row>
    <row r="99">
      <c r="A99" s="51" t="n">
        <v>46297</v>
      </c>
      <c r="B99" s="52" t="inlineStr">
        <is>
          <t>Après-midi</t>
        </is>
      </c>
      <c r="C99" s="52" t="inlineStr">
        <is>
          <t>TOUR2</t>
        </is>
      </c>
      <c r="D99" s="53" t="inlineStr">
        <is>
          <t>OF-2610-138</t>
        </is>
      </c>
      <c r="E99" s="53" t="inlineStr">
        <is>
          <t>ENT-12</t>
        </is>
      </c>
      <c r="F99" s="54" t="n"/>
      <c r="G99" s="54" t="n">
        <v>220</v>
      </c>
      <c r="H99" s="54" t="n">
        <v>5</v>
      </c>
      <c r="I99" s="54" t="n">
        <v>2</v>
      </c>
      <c r="J99" s="53" t="n"/>
      <c r="K99" s="55">
        <f>IF(COUNTA(A99:I99)=0,"",IF(F99="",IFERROR(INDEX(eq_dur,MATCH(B99,eq_code,0)),""),F99))</f>
        <v>480.0</v>
      </c>
      <c r="L99" s="55">
        <f>IF(ISNUMBER(K99),N(IFERROR(INDEX(eq_pause,MATCH(B99,eq_code,0)),0))+SUMIFS(st_min,st_date,A99,st_eq,B99,st_po,C99,st_type,"Planifié"),"")</f>
        <v>30.0</v>
      </c>
      <c r="M99" s="55">
        <f>IF(ISNUMBER(K99),K99-L99,"")</f>
        <v>450.0</v>
      </c>
      <c r="N99" s="55">
        <f>IF(ISNUMBER(K99),SUMIFS(st_min,st_date,A99,st_eq,B99,st_po,C99,st_type,"Non planifié"),"")</f>
        <v>180.0</v>
      </c>
      <c r="O99" s="55">
        <f>IF(ISNUMBER(K99),M99-N99,"")</f>
        <v>270.0</v>
      </c>
      <c r="P99" s="55">
        <f>IF(COUNTA(A99:I99)=0,"",N(G99)+N(H99)+N(I99))</f>
        <v>227.0</v>
      </c>
      <c r="Q99" s="56">
        <f>IF(COUNTA(A99:I99)=0,"",IF(N(IFERROR(INDEX(art_rate,MATCH(E99,art_ref,0)),0))&gt;0,N(IFERROR(INDEX(art_rate,MATCH(E99,art_ref,0)),0)),N(IFERROR(INDEX(po_rate,MATCH(C99,po_code,0)),0))))</f>
        <v>55.0</v>
      </c>
      <c r="R99" s="55">
        <f>IF(AC99=1,P99*60/Q99,"")</f>
        <v>247.636363636364</v>
      </c>
      <c r="S99" s="55">
        <f>IF(AC99=1,N(G99)*60/Q99,"")</f>
        <v>240.0</v>
      </c>
      <c r="T99" s="57">
        <f>IF(AC99=1,O99/M99,"")</f>
        <v>0.6</v>
      </c>
      <c r="U99" s="57">
        <f>IF(AC99=1,IF(O99&gt;0,R99/O99,""),"")</f>
        <v>0.917171717171717</v>
      </c>
      <c r="V99" s="57">
        <f>IF(AC99=1,IF(P99&gt;0,N(G99)/P99,""),"")</f>
        <v>0.969162995594714</v>
      </c>
      <c r="W99" s="57">
        <f>IF(AC99=1,S99/M99,"")</f>
        <v>0.533333333333333</v>
      </c>
      <c r="X99" s="57">
        <f>IF(AC99=1,S99/K99,"")</f>
        <v>0.5</v>
      </c>
      <c r="Y99" s="58" t="str">
        <f>IF(W99="","",IF(W99&gt;=p_target,"Bon",IF(W99&gt;=p_alert,"À surveiller","Faible")))</f>
        <v>Faible</v>
      </c>
      <c r="Z99" s="58" t="str">
        <f>IF(W99="","",IF(MIN(IF(T99="",1,T99),IF(U99="",1,U99),IF(V99="",1,V99))&gt;=1,"Aucune",IF(IF(T99="",1,T99)&lt;=MIN(IF(U99="",1,U99),IF(V99="",1,V99)),"Disponibilité",IF(IF(U99="",1,U99)&lt;=IF(V99="",1,V99),"Performance","Qualité"))))</f>
        <v>Disponibilité</v>
      </c>
      <c r="AA99" s="59">
        <f>IF(AC99=1,N(H99)*N(IFERROR(INDEX(art_cost,MATCH(E99,art_ref,0)),0)),"")</f>
        <v>34.0</v>
      </c>
      <c r="AB99" s="58" t="str">
        <f>IF(COUNTA(A99:I99)=0,"",IF(N(A99)&lt;=0,"Date manquante ou invalide",IF(B99="","Équipe manquante",IF(ISNA(MATCH(B99,eq_code,0)),"Équipe inconnue",IF(INDEX(eq_check,MATCH(B99,eq_code,0))&lt;&gt;"OK","Équipe à corriger dans Paramètres",IF(C99="","Poste manquant",IF(ISNA(MATCH(C99,po_code,0)),"Poste inconnu",IF(AND(E99&lt;&gt;"",ISNA(MATCH(E99,art_ref,0))),"Article inconnu",IF(IF(E99="",FALSE,INDEX(art_check,MATCH(E99,art_ref,0))&lt;&gt;"OK"),"Article à corriger (feuille Articles)",IF(COUNTIFS(sj_date,A99,sj_eq,B99,sj_po,C99)&gt;1,"Ligne en double (même jour, équipe et poste)",IF(OR(NOT(ISNUMBER(K99)),N(K99)&lt;=0,N(K99)&gt;1440),"Temps d'ouverture invalide",IF(OR(AND(G99&lt;&gt;"",NOT(ISNUMBER(G99))),N(G99)&lt;0,N(G99)&lt;&gt;INT(N(G99)),AND(H99&lt;&gt;"",NOT(ISNUMBER(H99))),N(H99)&lt;0,N(H99)&lt;&gt;INT(N(H99)),AND(I99&lt;&gt;"",NOT(ISNUMBER(I99))),N(I99)&lt;0,N(I99)&lt;&gt;INT(N(I99))),"Quantité invalide",IF(Q99&lt;=0,"Cadence manquante (poste ou article)",IF(M99&lt;=0,"Arrêts planifiés supérieurs au temps d'ouverture",IF(O99&lt;0,"Arrêts supérieurs au temps requis",IF(AND(P99&gt;0,O99=0),"Pièces déclarées sans temps de marche",IF(AND(P99=0,O99&gt;0),"Aucune pièce déclarée",IF(P99*60/Q99&gt;O99+0.001,"Cadence dépassée : vérifiez la cadence","OK"))))))))))))))))))</f>
        <v>OK</v>
      </c>
      <c r="AC99">
        <f>IF(OR(AB99="OK",AB99="Aucune pièce déclarée",AB99="Cadence dépassée : vérifiez la cadence"),1,0)</f>
        <v>1.0</v>
      </c>
      <c r="AD99">
        <f>IF(AND(AC99=1,A99&gt;=p_from,A99&lt;=p_to),1,0)</f>
        <v>1.0</v>
      </c>
      <c r="AE99">
        <f>IF(AD99=1,IF(COUNTIFS($A$6:A99,A99,$AD$6:AD99,1)=1,1,0),0)</f>
        <v>0.0</v>
      </c>
      <c r="AF99" t="str">
        <f>IF(AE99=1,COUNTIFS(sj_first,1,sj_date,"&lt;"&amp;A99)+1,"")</f>
        <v/>
      </c>
      <c r="AG99">
        <f>IF(AND(AD99=1,N(W99)&lt;p_alert),ROUND(W99,4),"")</f>
        <v>0.5333</v>
      </c>
      <c r="AH99">
        <f>IF(AG99="","",COUNTIF(sj_akey,"&lt;"&amp;AG99)+COUNTIF($AG$6:AG99,AG99))</f>
        <v>30.0</v>
      </c>
    </row>
    <row r="100">
      <c r="A100" s="51" t="n">
        <v>46297</v>
      </c>
      <c r="B100" s="52" t="inlineStr">
        <is>
          <t>Matin</t>
        </is>
      </c>
      <c r="C100" s="52" t="inlineStr">
        <is>
          <t>USIN</t>
        </is>
      </c>
      <c r="D100" s="53" t="inlineStr">
        <is>
          <t>OF-2609-123</t>
        </is>
      </c>
      <c r="E100" s="53" t="inlineStr">
        <is>
          <t>CAR-BOI-04</t>
        </is>
      </c>
      <c r="F100" s="54" t="n"/>
      <c r="G100" s="54" t="n">
        <v>37</v>
      </c>
      <c r="H100" s="54" t="n">
        <v>1</v>
      </c>
      <c r="I100" s="54" t="n">
        <v>0</v>
      </c>
      <c r="J100" s="53" t="n"/>
      <c r="K100" s="55">
        <f>IF(COUNTA(A100:I100)=0,"",IF(F100="",IFERROR(INDEX(eq_dur,MATCH(B100,eq_code,0)),""),F100))</f>
        <v>480.0</v>
      </c>
      <c r="L100" s="55">
        <f>IF(ISNUMBER(K100),N(IFERROR(INDEX(eq_pause,MATCH(B100,eq_code,0)),0))+SUMIFS(st_min,st_date,A100,st_eq,B100,st_po,C100,st_type,"Planifié"),"")</f>
        <v>30.0</v>
      </c>
      <c r="M100" s="55">
        <f>IF(ISNUMBER(K100),K100-L100,"")</f>
        <v>450.0</v>
      </c>
      <c r="N100" s="55">
        <f>IF(ISNUMBER(K100),SUMIFS(st_min,st_date,A100,st_eq,B100,st_po,C100,st_type,"Non planifié"),"")</f>
        <v>0.0</v>
      </c>
      <c r="O100" s="55">
        <f>IF(ISNUMBER(K100),M100-N100,"")</f>
        <v>450.0</v>
      </c>
      <c r="P100" s="55">
        <f>IF(COUNTA(A100:I100)=0,"",N(G100)+N(H100)+N(I100))</f>
        <v>38.0</v>
      </c>
      <c r="Q100" s="56">
        <f>IF(COUNTA(A100:I100)=0,"",IF(N(IFERROR(INDEX(art_rate,MATCH(E100,art_ref,0)),0))&gt;0,N(IFERROR(INDEX(art_rate,MATCH(E100,art_ref,0)),0)),N(IFERROR(INDEX(po_rate,MATCH(C100,po_code,0)),0))))</f>
        <v>6.0</v>
      </c>
      <c r="R100" s="55">
        <f>IF(AC100=1,P100*60/Q100,"")</f>
        <v>380.0</v>
      </c>
      <c r="S100" s="55">
        <f>IF(AC100=1,N(G100)*60/Q100,"")</f>
        <v>370.0</v>
      </c>
      <c r="T100" s="57">
        <f>IF(AC100=1,O100/M100,"")</f>
        <v>1.0</v>
      </c>
      <c r="U100" s="57">
        <f>IF(AC100=1,IF(O100&gt;0,R100/O100,""),"")</f>
        <v>0.844444444444444</v>
      </c>
      <c r="V100" s="57">
        <f>IF(AC100=1,IF(P100&gt;0,N(G100)/P100,""),"")</f>
        <v>0.973684210526316</v>
      </c>
      <c r="W100" s="57">
        <f>IF(AC100=1,S100/M100,"")</f>
        <v>0.822222222222222</v>
      </c>
      <c r="X100" s="57">
        <f>IF(AC100=1,S100/K100,"")</f>
        <v>0.770833333333333</v>
      </c>
      <c r="Y100" s="58" t="str">
        <f>IF(W100="","",IF(W100&gt;=p_target,"Bon",IF(W100&gt;=p_alert,"À surveiller","Faible")))</f>
        <v>Bon</v>
      </c>
      <c r="Z100" s="58" t="str">
        <f>IF(W100="","",IF(MIN(IF(T100="",1,T100),IF(U100="",1,U100),IF(V100="",1,V100))&gt;=1,"Aucune",IF(IF(T100="",1,T100)&lt;=MIN(IF(U100="",1,U100),IF(V100="",1,V100)),"Disponibilité",IF(IF(U100="",1,U100)&lt;=IF(V100="",1,V100),"Performance","Qualité"))))</f>
        <v>Performance</v>
      </c>
      <c r="AA100" s="59">
        <f>IF(AC100=1,N(H100)*N(IFERROR(INDEX(art_cost,MATCH(E100,art_ref,0)),0)),"")</f>
        <v>610.0</v>
      </c>
      <c r="AB100" s="58" t="str">
        <f>IF(COUNTA(A100:I100)=0,"",IF(N(A100)&lt;=0,"Date manquante ou invalide",IF(B100="","Équipe manquante",IF(ISNA(MATCH(B100,eq_code,0)),"Équipe inconnue",IF(INDEX(eq_check,MATCH(B100,eq_code,0))&lt;&gt;"OK","Équipe à corriger dans Paramètres",IF(C100="","Poste manquant",IF(ISNA(MATCH(C100,po_code,0)),"Poste inconnu",IF(AND(E100&lt;&gt;"",ISNA(MATCH(E100,art_ref,0))),"Article inconnu",IF(IF(E100="",FALSE,INDEX(art_check,MATCH(E100,art_ref,0))&lt;&gt;"OK"),"Article à corriger (feuille Articles)",IF(COUNTIFS(sj_date,A100,sj_eq,B100,sj_po,C100)&gt;1,"Ligne en double (même jour, équipe et poste)",IF(OR(NOT(ISNUMBER(K100)),N(K100)&lt;=0,N(K100)&gt;1440),"Temps d'ouverture invalide",IF(OR(AND(G100&lt;&gt;"",NOT(ISNUMBER(G100))),N(G100)&lt;0,N(G100)&lt;&gt;INT(N(G100)),AND(H100&lt;&gt;"",NOT(ISNUMBER(H100))),N(H100)&lt;0,N(H100)&lt;&gt;INT(N(H100)),AND(I100&lt;&gt;"",NOT(ISNUMBER(I100))),N(I100)&lt;0,N(I100)&lt;&gt;INT(N(I100))),"Quantité invalide",IF(Q100&lt;=0,"Cadence manquante (poste ou article)",IF(M100&lt;=0,"Arrêts planifiés supérieurs au temps d'ouverture",IF(O100&lt;0,"Arrêts supérieurs au temps requis",IF(AND(P100&gt;0,O100=0),"Pièces déclarées sans temps de marche",IF(AND(P100=0,O100&gt;0),"Aucune pièce déclarée",IF(P100*60/Q100&gt;O100+0.001,"Cadence dépassée : vérifiez la cadence","OK"))))))))))))))))))</f>
        <v>OK</v>
      </c>
      <c r="AC100">
        <f>IF(OR(AB100="OK",AB100="Aucune pièce déclarée",AB100="Cadence dépassée : vérifiez la cadence"),1,0)</f>
        <v>1.0</v>
      </c>
      <c r="AD100">
        <f>IF(AND(AC100=1,A100&gt;=p_from,A100&lt;=p_to),1,0)</f>
        <v>1.0</v>
      </c>
      <c r="AE100">
        <f>IF(AD100=1,IF(COUNTIFS($A$6:A100,A100,$AD$6:AD100,1)=1,1,0),0)</f>
        <v>0.0</v>
      </c>
      <c r="AF100" t="str">
        <f>IF(AE100=1,COUNTIFS(sj_first,1,sj_date,"&lt;"&amp;A100)+1,"")</f>
        <v/>
      </c>
      <c r="AG100" t="str">
        <f>IF(AND(AD100=1,N(W100)&lt;p_alert),ROUND(W100,4),"")</f>
        <v/>
      </c>
      <c r="AH100" t="str">
        <f>IF(AG100="","",COUNTIF(sj_akey,"&lt;"&amp;AG100)+COUNTIF($AG$6:AG100,AG100))</f>
        <v/>
      </c>
    </row>
    <row r="101">
      <c r="A101" s="51" t="n">
        <v>46297</v>
      </c>
      <c r="B101" s="52" t="inlineStr">
        <is>
          <t>Après-midi</t>
        </is>
      </c>
      <c r="C101" s="52" t="inlineStr">
        <is>
          <t>USIN</t>
        </is>
      </c>
      <c r="D101" s="53" t="inlineStr">
        <is>
          <t>OF-2610-139</t>
        </is>
      </c>
      <c r="E101" s="53" t="inlineStr">
        <is>
          <t>FLA-PL-150</t>
        </is>
      </c>
      <c r="F101" s="54" t="n"/>
      <c r="G101" s="54" t="n">
        <v>57</v>
      </c>
      <c r="H101" s="54" t="n">
        <v>0</v>
      </c>
      <c r="I101" s="54" t="n">
        <v>0</v>
      </c>
      <c r="J101" s="53" t="n"/>
      <c r="K101" s="55">
        <f>IF(COUNTA(A101:I101)=0,"",IF(F101="",IFERROR(INDEX(eq_dur,MATCH(B101,eq_code,0)),""),F101))</f>
        <v>480.0</v>
      </c>
      <c r="L101" s="55">
        <f>IF(ISNUMBER(K101),N(IFERROR(INDEX(eq_pause,MATCH(B101,eq_code,0)),0))+SUMIFS(st_min,st_date,A101,st_eq,B101,st_po,C101,st_type,"Planifié"),"")</f>
        <v>30.0</v>
      </c>
      <c r="M101" s="55">
        <f>IF(ISNUMBER(K101),K101-L101,"")</f>
        <v>450.0</v>
      </c>
      <c r="N101" s="55">
        <f>IF(ISNUMBER(K101),SUMIFS(st_min,st_date,A101,st_eq,B101,st_po,C101,st_type,"Non planifié"),"")</f>
        <v>111.0</v>
      </c>
      <c r="O101" s="55">
        <f>IF(ISNUMBER(K101),M101-N101,"")</f>
        <v>339.0</v>
      </c>
      <c r="P101" s="55">
        <f>IF(COUNTA(A101:I101)=0,"",N(G101)+N(H101)+N(I101))</f>
        <v>57.0</v>
      </c>
      <c r="Q101" s="56">
        <f>IF(COUNTA(A101:I101)=0,"",IF(N(IFERROR(INDEX(art_rate,MATCH(E101,art_ref,0)),0))&gt;0,N(IFERROR(INDEX(art_rate,MATCH(E101,art_ref,0)),0)),N(IFERROR(INDEX(po_rate,MATCH(C101,po_code,0)),0))))</f>
        <v>12.0</v>
      </c>
      <c r="R101" s="55">
        <f>IF(AC101=1,P101*60/Q101,"")</f>
        <v>285.0</v>
      </c>
      <c r="S101" s="55">
        <f>IF(AC101=1,N(G101)*60/Q101,"")</f>
        <v>285.0</v>
      </c>
      <c r="T101" s="57">
        <f>IF(AC101=1,O101/M101,"")</f>
        <v>0.753333333333333</v>
      </c>
      <c r="U101" s="57">
        <f>IF(AC101=1,IF(O101&gt;0,R101/O101,""),"")</f>
        <v>0.84070796460177</v>
      </c>
      <c r="V101" s="57">
        <f>IF(AC101=1,IF(P101&gt;0,N(G101)/P101,""),"")</f>
        <v>1.0</v>
      </c>
      <c r="W101" s="57">
        <f>IF(AC101=1,S101/M101,"")</f>
        <v>0.633333333333333</v>
      </c>
      <c r="X101" s="57">
        <f>IF(AC101=1,S101/K101,"")</f>
        <v>0.59375</v>
      </c>
      <c r="Y101" s="58" t="str">
        <f>IF(W101="","",IF(W101&gt;=p_target,"Bon",IF(W101&gt;=p_alert,"À surveiller","Faible")))</f>
        <v>À surveiller</v>
      </c>
      <c r="Z101" s="58" t="str">
        <f>IF(W101="","",IF(MIN(IF(T101="",1,T101),IF(U101="",1,U101),IF(V101="",1,V101))&gt;=1,"Aucune",IF(IF(T101="",1,T101)&lt;=MIN(IF(U101="",1,U101),IF(V101="",1,V101)),"Disponibilité",IF(IF(U101="",1,U101)&lt;=IF(V101="",1,V101),"Performance","Qualité"))))</f>
        <v>Disponibilité</v>
      </c>
      <c r="AA101" s="59">
        <f>IF(AC101=1,N(H101)*N(IFERROR(INDEX(art_cost,MATCH(E101,art_ref,0)),0)),"")</f>
        <v>0.0</v>
      </c>
      <c r="AB101" s="58" t="str">
        <f>IF(COUNTA(A101:I101)=0,"",IF(N(A101)&lt;=0,"Date manquante ou invalide",IF(B101="","Équipe manquante",IF(ISNA(MATCH(B101,eq_code,0)),"Équipe inconnue",IF(INDEX(eq_check,MATCH(B101,eq_code,0))&lt;&gt;"OK","Équipe à corriger dans Paramètres",IF(C101="","Poste manquant",IF(ISNA(MATCH(C101,po_code,0)),"Poste inconnu",IF(AND(E101&lt;&gt;"",ISNA(MATCH(E101,art_ref,0))),"Article inconnu",IF(IF(E101="",FALSE,INDEX(art_check,MATCH(E101,art_ref,0))&lt;&gt;"OK"),"Article à corriger (feuille Articles)",IF(COUNTIFS(sj_date,A101,sj_eq,B101,sj_po,C101)&gt;1,"Ligne en double (même jour, équipe et poste)",IF(OR(NOT(ISNUMBER(K101)),N(K101)&lt;=0,N(K101)&gt;1440),"Temps d'ouverture invalide",IF(OR(AND(G101&lt;&gt;"",NOT(ISNUMBER(G101))),N(G101)&lt;0,N(G101)&lt;&gt;INT(N(G101)),AND(H101&lt;&gt;"",NOT(ISNUMBER(H101))),N(H101)&lt;0,N(H101)&lt;&gt;INT(N(H101)),AND(I101&lt;&gt;"",NOT(ISNUMBER(I101))),N(I101)&lt;0,N(I101)&lt;&gt;INT(N(I101))),"Quantité invalide",IF(Q101&lt;=0,"Cadence manquante (poste ou article)",IF(M101&lt;=0,"Arrêts planifiés supérieurs au temps d'ouverture",IF(O101&lt;0,"Arrêts supérieurs au temps requis",IF(AND(P101&gt;0,O101=0),"Pièces déclarées sans temps de marche",IF(AND(P101=0,O101&gt;0),"Aucune pièce déclarée",IF(P101*60/Q101&gt;O101+0.001,"Cadence dépassée : vérifiez la cadence","OK"))))))))))))))))))</f>
        <v>OK</v>
      </c>
      <c r="AC101">
        <f>IF(OR(AB101="OK",AB101="Aucune pièce déclarée",AB101="Cadence dépassée : vérifiez la cadence"),1,0)</f>
        <v>1.0</v>
      </c>
      <c r="AD101">
        <f>IF(AND(AC101=1,A101&gt;=p_from,A101&lt;=p_to),1,0)</f>
        <v>1.0</v>
      </c>
      <c r="AE101">
        <f>IF(AD101=1,IF(COUNTIFS($A$6:A101,A101,$AD$6:AD101,1)=1,1,0),0)</f>
        <v>0.0</v>
      </c>
      <c r="AF101" t="str">
        <f>IF(AE101=1,COUNTIFS(sj_first,1,sj_date,"&lt;"&amp;A101)+1,"")</f>
        <v/>
      </c>
      <c r="AG101" t="str">
        <f>IF(AND(AD101=1,N(W101)&lt;p_alert),ROUND(W101,4),"")</f>
        <v/>
      </c>
      <c r="AH101" t="str">
        <f>IF(AG101="","",COUNTIF(sj_akey,"&lt;"&amp;AG101)+COUNTIF($AG$6:AG101,AG101))</f>
        <v/>
      </c>
    </row>
    <row r="102">
      <c r="A102" s="51" t="n">
        <v>46297</v>
      </c>
      <c r="B102" s="52" t="inlineStr">
        <is>
          <t>Matin</t>
        </is>
      </c>
      <c r="C102" s="52" t="inlineStr">
        <is>
          <t>PRESSE</t>
        </is>
      </c>
      <c r="D102" s="53" t="inlineStr">
        <is>
          <t>OF-2609-134</t>
        </is>
      </c>
      <c r="E102" s="53" t="inlineStr">
        <is>
          <t>RON-M10</t>
        </is>
      </c>
      <c r="F102" s="54" t="n"/>
      <c r="G102" s="54" t="n">
        <v>4300</v>
      </c>
      <c r="H102" s="54" t="n">
        <v>14</v>
      </c>
      <c r="I102" s="54" t="n">
        <v>11</v>
      </c>
      <c r="J102" s="53" t="n"/>
      <c r="K102" s="55">
        <f>IF(COUNTA(A102:I102)=0,"",IF(F102="",IFERROR(INDEX(eq_dur,MATCH(B102,eq_code,0)),""),F102))</f>
        <v>480.0</v>
      </c>
      <c r="L102" s="55">
        <f>IF(ISNUMBER(K102),N(IFERROR(INDEX(eq_pause,MATCH(B102,eq_code,0)),0))+SUMIFS(st_min,st_date,A102,st_eq,B102,st_po,C102,st_type,"Planifié"),"")</f>
        <v>30.0</v>
      </c>
      <c r="M102" s="55">
        <f>IF(ISNUMBER(K102),K102-L102,"")</f>
        <v>450.0</v>
      </c>
      <c r="N102" s="55">
        <f>IF(ISNUMBER(K102),SUMIFS(st_min,st_date,A102,st_eq,B102,st_po,C102,st_type,"Non planifié"),"")</f>
        <v>5.0</v>
      </c>
      <c r="O102" s="55">
        <f>IF(ISNUMBER(K102),M102-N102,"")</f>
        <v>445.0</v>
      </c>
      <c r="P102" s="55">
        <f>IF(COUNTA(A102:I102)=0,"",N(G102)+N(H102)+N(I102))</f>
        <v>4325.0</v>
      </c>
      <c r="Q102" s="56">
        <f>IF(COUNTA(A102:I102)=0,"",IF(N(IFERROR(INDEX(art_rate,MATCH(E102,art_ref,0)),0))&gt;0,N(IFERROR(INDEX(art_rate,MATCH(E102,art_ref,0)),0)),N(IFERROR(INDEX(po_rate,MATCH(C102,po_code,0)),0))))</f>
        <v>600.0</v>
      </c>
      <c r="R102" s="55">
        <f>IF(AC102=1,P102*60/Q102,"")</f>
        <v>432.5</v>
      </c>
      <c r="S102" s="55">
        <f>IF(AC102=1,N(G102)*60/Q102,"")</f>
        <v>430.0</v>
      </c>
      <c r="T102" s="57">
        <f>IF(AC102=1,O102/M102,"")</f>
        <v>0.988888888888889</v>
      </c>
      <c r="U102" s="57">
        <f>IF(AC102=1,IF(O102&gt;0,R102/O102,""),"")</f>
        <v>0.971910112359551</v>
      </c>
      <c r="V102" s="57">
        <f>IF(AC102=1,IF(P102&gt;0,N(G102)/P102,""),"")</f>
        <v>0.994219653179191</v>
      </c>
      <c r="W102" s="57">
        <f>IF(AC102=1,S102/M102,"")</f>
        <v>0.955555555555556</v>
      </c>
      <c r="X102" s="57">
        <f>IF(AC102=1,S102/K102,"")</f>
        <v>0.895833333333333</v>
      </c>
      <c r="Y102" s="58" t="str">
        <f>IF(W102="","",IF(W102&gt;=p_target,"Bon",IF(W102&gt;=p_alert,"À surveiller","Faible")))</f>
        <v>Bon</v>
      </c>
      <c r="Z102" s="58" t="str">
        <f>IF(W102="","",IF(MIN(IF(T102="",1,T102),IF(U102="",1,U102),IF(V102="",1,V102))&gt;=1,"Aucune",IF(IF(T102="",1,T102)&lt;=MIN(IF(U102="",1,U102),IF(V102="",1,V102)),"Disponibilité",IF(IF(U102="",1,U102)&lt;=IF(V102="",1,V102),"Performance","Qualité"))))</f>
        <v>Performance</v>
      </c>
      <c r="AA102" s="59">
        <f>IF(AC102=1,N(H102)*N(IFERROR(INDEX(art_cost,MATCH(E102,art_ref,0)),0)),"")</f>
        <v>12.6</v>
      </c>
      <c r="AB102" s="58" t="str">
        <f>IF(COUNTA(A102:I102)=0,"",IF(N(A102)&lt;=0,"Date manquante ou invalide",IF(B102="","Équipe manquante",IF(ISNA(MATCH(B102,eq_code,0)),"Équipe inconnue",IF(INDEX(eq_check,MATCH(B102,eq_code,0))&lt;&gt;"OK","Équipe à corriger dans Paramètres",IF(C102="","Poste manquant",IF(ISNA(MATCH(C102,po_code,0)),"Poste inconnu",IF(AND(E102&lt;&gt;"",ISNA(MATCH(E102,art_ref,0))),"Article inconnu",IF(IF(E102="",FALSE,INDEX(art_check,MATCH(E102,art_ref,0))&lt;&gt;"OK"),"Article à corriger (feuille Articles)",IF(COUNTIFS(sj_date,A102,sj_eq,B102,sj_po,C102)&gt;1,"Ligne en double (même jour, équipe et poste)",IF(OR(NOT(ISNUMBER(K102)),N(K102)&lt;=0,N(K102)&gt;1440),"Temps d'ouverture invalide",IF(OR(AND(G102&lt;&gt;"",NOT(ISNUMBER(G102))),N(G102)&lt;0,N(G102)&lt;&gt;INT(N(G102)),AND(H102&lt;&gt;"",NOT(ISNUMBER(H102))),N(H102)&lt;0,N(H102)&lt;&gt;INT(N(H102)),AND(I102&lt;&gt;"",NOT(ISNUMBER(I102))),N(I102)&lt;0,N(I102)&lt;&gt;INT(N(I102))),"Quantité invalide",IF(Q102&lt;=0,"Cadence manquante (poste ou article)",IF(M102&lt;=0,"Arrêts planifiés supérieurs au temps d'ouverture",IF(O102&lt;0,"Arrêts supérieurs au temps requis",IF(AND(P102&gt;0,O102=0),"Pièces déclarées sans temps de marche",IF(AND(P102=0,O102&gt;0),"Aucune pièce déclarée",IF(P102*60/Q102&gt;O102+0.001,"Cadence dépassée : vérifiez la cadence","OK"))))))))))))))))))</f>
        <v>OK</v>
      </c>
      <c r="AC102">
        <f>IF(OR(AB102="OK",AB102="Aucune pièce déclarée",AB102="Cadence dépassée : vérifiez la cadence"),1,0)</f>
        <v>1.0</v>
      </c>
      <c r="AD102">
        <f>IF(AND(AC102=1,A102&gt;=p_from,A102&lt;=p_to),1,0)</f>
        <v>1.0</v>
      </c>
      <c r="AE102">
        <f>IF(AD102=1,IF(COUNTIFS($A$6:A102,A102,$AD$6:AD102,1)=1,1,0),0)</f>
        <v>0.0</v>
      </c>
      <c r="AF102" t="str">
        <f>IF(AE102=1,COUNTIFS(sj_first,1,sj_date,"&lt;"&amp;A102)+1,"")</f>
        <v/>
      </c>
      <c r="AG102" t="str">
        <f>IF(AND(AD102=1,N(W102)&lt;p_alert),ROUND(W102,4),"")</f>
        <v/>
      </c>
      <c r="AH102" t="str">
        <f>IF(AG102="","",COUNTIF(sj_akey,"&lt;"&amp;AG102)+COUNTIF($AG$6:AG102,AG102))</f>
        <v/>
      </c>
    </row>
    <row r="103">
      <c r="A103" s="51" t="n">
        <v>46297</v>
      </c>
      <c r="B103" s="52" t="inlineStr">
        <is>
          <t>Journée</t>
        </is>
      </c>
      <c r="C103" s="52" t="inlineStr">
        <is>
          <t>PLIE</t>
        </is>
      </c>
      <c r="D103" s="53" t="inlineStr">
        <is>
          <t>OF-2609-128</t>
        </is>
      </c>
      <c r="E103" s="53" t="inlineStr">
        <is>
          <t>SUP-MOT-01</t>
        </is>
      </c>
      <c r="F103" s="54" t="n"/>
      <c r="G103" s="54" t="n">
        <v>514</v>
      </c>
      <c r="H103" s="54" t="n">
        <v>17</v>
      </c>
      <c r="I103" s="54" t="n">
        <v>0</v>
      </c>
      <c r="J103" s="53" t="n"/>
      <c r="K103" s="55">
        <f>IF(COUNTA(A103:I103)=0,"",IF(F103="",IFERROR(INDEX(eq_dur,MATCH(B103,eq_code,0)),""),F103))</f>
        <v>540.0</v>
      </c>
      <c r="L103" s="55">
        <f>IF(ISNUMBER(K103),N(IFERROR(INDEX(eq_pause,MATCH(B103,eq_code,0)),0))+SUMIFS(st_min,st_date,A103,st_eq,B103,st_po,C103,st_type,"Planifié"),"")</f>
        <v>60.0</v>
      </c>
      <c r="M103" s="55">
        <f>IF(ISNUMBER(K103),K103-L103,"")</f>
        <v>480.0</v>
      </c>
      <c r="N103" s="55">
        <f>IF(ISNUMBER(K103),SUMIFS(st_min,st_date,A103,st_eq,B103,st_po,C103,st_type,"Non planifié"),"")</f>
        <v>48.0</v>
      </c>
      <c r="O103" s="55">
        <f>IF(ISNUMBER(K103),M103-N103,"")</f>
        <v>432.0</v>
      </c>
      <c r="P103" s="55">
        <f>IF(COUNTA(A103:I103)=0,"",N(G103)+N(H103)+N(I103))</f>
        <v>531.0</v>
      </c>
      <c r="Q103" s="56">
        <f>IF(COUNTA(A103:I103)=0,"",IF(N(IFERROR(INDEX(art_rate,MATCH(E103,art_ref,0)),0))&gt;0,N(IFERROR(INDEX(art_rate,MATCH(E103,art_ref,0)),0)),N(IFERROR(INDEX(po_rate,MATCH(C103,po_code,0)),0))))</f>
        <v>90.0</v>
      </c>
      <c r="R103" s="55">
        <f>IF(AC103=1,P103*60/Q103,"")</f>
        <v>354.0</v>
      </c>
      <c r="S103" s="55">
        <f>IF(AC103=1,N(G103)*60/Q103,"")</f>
        <v>342.666666666667</v>
      </c>
      <c r="T103" s="57">
        <f>IF(AC103=1,O103/M103,"")</f>
        <v>0.9</v>
      </c>
      <c r="U103" s="57">
        <f>IF(AC103=1,IF(O103&gt;0,R103/O103,""),"")</f>
        <v>0.819444444444444</v>
      </c>
      <c r="V103" s="57">
        <f>IF(AC103=1,IF(P103&gt;0,N(G103)/P103,""),"")</f>
        <v>0.967984934086629</v>
      </c>
      <c r="W103" s="57">
        <f>IF(AC103=1,S103/M103,"")</f>
        <v>0.713888888888889</v>
      </c>
      <c r="X103" s="57">
        <f>IF(AC103=1,S103/K103,"")</f>
        <v>0.634567901234568</v>
      </c>
      <c r="Y103" s="58" t="str">
        <f>IF(W103="","",IF(W103&gt;=p_target,"Bon",IF(W103&gt;=p_alert,"À surveiller","Faible")))</f>
        <v>À surveiller</v>
      </c>
      <c r="Z103" s="58" t="str">
        <f>IF(W103="","",IF(MIN(IF(T103="",1,T103),IF(U103="",1,U103),IF(V103="",1,V103))&gt;=1,"Aucune",IF(IF(T103="",1,T103)&lt;=MIN(IF(U103="",1,U103),IF(V103="",1,V103)),"Disponibilité",IF(IF(U103="",1,U103)&lt;=IF(V103="",1,V103),"Performance","Qualité"))))</f>
        <v>Performance</v>
      </c>
      <c r="AA103" s="59">
        <f>IF(AC103=1,N(H103)*N(IFERROR(INDEX(art_cost,MATCH(E103,art_ref,0)),0)),"")</f>
        <v>1088.0</v>
      </c>
      <c r="AB103" s="58" t="str">
        <f>IF(COUNTA(A103:I103)=0,"",IF(N(A103)&lt;=0,"Date manquante ou invalide",IF(B103="","Équipe manquante",IF(ISNA(MATCH(B103,eq_code,0)),"Équipe inconnue",IF(INDEX(eq_check,MATCH(B103,eq_code,0))&lt;&gt;"OK","Équipe à corriger dans Paramètres",IF(C103="","Poste manquant",IF(ISNA(MATCH(C103,po_code,0)),"Poste inconnu",IF(AND(E103&lt;&gt;"",ISNA(MATCH(E103,art_ref,0))),"Article inconnu",IF(IF(E103="",FALSE,INDEX(art_check,MATCH(E103,art_ref,0))&lt;&gt;"OK"),"Article à corriger (feuille Articles)",IF(COUNTIFS(sj_date,A103,sj_eq,B103,sj_po,C103)&gt;1,"Ligne en double (même jour, équipe et poste)",IF(OR(NOT(ISNUMBER(K103)),N(K103)&lt;=0,N(K103)&gt;1440),"Temps d'ouverture invalide",IF(OR(AND(G103&lt;&gt;"",NOT(ISNUMBER(G103))),N(G103)&lt;0,N(G103)&lt;&gt;INT(N(G103)),AND(H103&lt;&gt;"",NOT(ISNUMBER(H103))),N(H103)&lt;0,N(H103)&lt;&gt;INT(N(H103)),AND(I103&lt;&gt;"",NOT(ISNUMBER(I103))),N(I103)&lt;0,N(I103)&lt;&gt;INT(N(I103))),"Quantité invalide",IF(Q103&lt;=0,"Cadence manquante (poste ou article)",IF(M103&lt;=0,"Arrêts planifiés supérieurs au temps d'ouverture",IF(O103&lt;0,"Arrêts supérieurs au temps requis",IF(AND(P103&gt;0,O103=0),"Pièces déclarées sans temps de marche",IF(AND(P103=0,O103&gt;0),"Aucune pièce déclarée",IF(P103*60/Q103&gt;O103+0.001,"Cadence dépassée : vérifiez la cadence","OK"))))))))))))))))))</f>
        <v>OK</v>
      </c>
      <c r="AC103">
        <f>IF(OR(AB103="OK",AB103="Aucune pièce déclarée",AB103="Cadence dépassée : vérifiez la cadence"),1,0)</f>
        <v>1.0</v>
      </c>
      <c r="AD103">
        <f>IF(AND(AC103=1,A103&gt;=p_from,A103&lt;=p_to),1,0)</f>
        <v>1.0</v>
      </c>
      <c r="AE103">
        <f>IF(AD103=1,IF(COUNTIFS($A$6:A103,A103,$AD$6:AD103,1)=1,1,0),0)</f>
        <v>0.0</v>
      </c>
      <c r="AF103" t="str">
        <f>IF(AE103=1,COUNTIFS(sj_first,1,sj_date,"&lt;"&amp;A103)+1,"")</f>
        <v/>
      </c>
      <c r="AG103" t="str">
        <f>IF(AND(AD103=1,N(W103)&lt;p_alert),ROUND(W103,4),"")</f>
        <v/>
      </c>
      <c r="AH103" t="str">
        <f>IF(AG103="","",COUNTIF(sj_akey,"&lt;"&amp;AG103)+COUNTIF($AG$6:AG103,AG103))</f>
        <v/>
      </c>
    </row>
    <row r="104">
      <c r="A104" s="51" t="n">
        <v>46297</v>
      </c>
      <c r="B104" s="52" t="inlineStr">
        <is>
          <t>Matin</t>
        </is>
      </c>
      <c r="C104" s="52" t="inlineStr">
        <is>
          <t>SOUD</t>
        </is>
      </c>
      <c r="D104" s="53" t="inlineStr">
        <is>
          <t>OF-2610-140</t>
        </is>
      </c>
      <c r="E104" s="53" t="inlineStr">
        <is>
          <t>CHA-REM-01</t>
        </is>
      </c>
      <c r="F104" s="54" t="n"/>
      <c r="G104" s="54" t="n">
        <v>18</v>
      </c>
      <c r="H104" s="54" t="n">
        <v>0</v>
      </c>
      <c r="I104" s="54" t="n">
        <v>0</v>
      </c>
      <c r="J104" s="53" t="n"/>
      <c r="K104" s="55">
        <f>IF(COUNTA(A104:I104)=0,"",IF(F104="",IFERROR(INDEX(eq_dur,MATCH(B104,eq_code,0)),""),F104))</f>
        <v>480.0</v>
      </c>
      <c r="L104" s="55">
        <f>IF(ISNUMBER(K104),N(IFERROR(INDEX(eq_pause,MATCH(B104,eq_code,0)),0))+SUMIFS(st_min,st_date,A104,st_eq,B104,st_po,C104,st_type,"Planifié"),"")</f>
        <v>30.0</v>
      </c>
      <c r="M104" s="55">
        <f>IF(ISNUMBER(K104),K104-L104,"")</f>
        <v>450.0</v>
      </c>
      <c r="N104" s="55">
        <f>IF(ISNUMBER(K104),SUMIFS(st_min,st_date,A104,st_eq,B104,st_po,C104,st_type,"Non planifié"),"")</f>
        <v>64.0</v>
      </c>
      <c r="O104" s="55">
        <f>IF(ISNUMBER(K104),M104-N104,"")</f>
        <v>386.0</v>
      </c>
      <c r="P104" s="55">
        <f>IF(COUNTA(A104:I104)=0,"",N(G104)+N(H104)+N(I104))</f>
        <v>18.0</v>
      </c>
      <c r="Q104" s="56">
        <f>IF(COUNTA(A104:I104)=0,"",IF(N(IFERROR(INDEX(art_rate,MATCH(E104,art_ref,0)),0))&gt;0,N(IFERROR(INDEX(art_rate,MATCH(E104,art_ref,0)),0)),N(IFERROR(INDEX(po_rate,MATCH(C104,po_code,0)),0))))</f>
        <v>4.0</v>
      </c>
      <c r="R104" s="55">
        <f>IF(AC104=1,P104*60/Q104,"")</f>
        <v>270.0</v>
      </c>
      <c r="S104" s="55">
        <f>IF(AC104=1,N(G104)*60/Q104,"")</f>
        <v>270.0</v>
      </c>
      <c r="T104" s="57">
        <f>IF(AC104=1,O104/M104,"")</f>
        <v>0.857777777777778</v>
      </c>
      <c r="U104" s="57">
        <f>IF(AC104=1,IF(O104&gt;0,R104/O104,""),"")</f>
        <v>0.699481865284974</v>
      </c>
      <c r="V104" s="57">
        <f>IF(AC104=1,IF(P104&gt;0,N(G104)/P104,""),"")</f>
        <v>1.0</v>
      </c>
      <c r="W104" s="57">
        <f>IF(AC104=1,S104/M104,"")</f>
        <v>0.6</v>
      </c>
      <c r="X104" s="57">
        <f>IF(AC104=1,S104/K104,"")</f>
        <v>0.5625</v>
      </c>
      <c r="Y104" s="58" t="str">
        <f>IF(W104="","",IF(W104&gt;=p_target,"Bon",IF(W104&gt;=p_alert,"À surveiller","Faible")))</f>
        <v>À surveiller</v>
      </c>
      <c r="Z104" s="58" t="str">
        <f>IF(W104="","",IF(MIN(IF(T104="",1,T104),IF(U104="",1,U104),IF(V104="",1,V104))&gt;=1,"Aucune",IF(IF(T104="",1,T104)&lt;=MIN(IF(U104="",1,U104),IF(V104="",1,V104)),"Disponibilité",IF(IF(U104="",1,U104)&lt;=IF(V104="",1,V104),"Performance","Qualité"))))</f>
        <v>Performance</v>
      </c>
      <c r="AA104" s="59">
        <f>IF(AC104=1,N(H104)*N(IFERROR(INDEX(art_cost,MATCH(E104,art_ref,0)),0)),"")</f>
        <v>0.0</v>
      </c>
      <c r="AB104" s="58" t="str">
        <f>IF(COUNTA(A104:I104)=0,"",IF(N(A104)&lt;=0,"Date manquante ou invalide",IF(B104="","Équipe manquante",IF(ISNA(MATCH(B104,eq_code,0)),"Équipe inconnue",IF(INDEX(eq_check,MATCH(B104,eq_code,0))&lt;&gt;"OK","Équipe à corriger dans Paramètres",IF(C104="","Poste manquant",IF(ISNA(MATCH(C104,po_code,0)),"Poste inconnu",IF(AND(E104&lt;&gt;"",ISNA(MATCH(E104,art_ref,0))),"Article inconnu",IF(IF(E104="",FALSE,INDEX(art_check,MATCH(E104,art_ref,0))&lt;&gt;"OK"),"Article à corriger (feuille Articles)",IF(COUNTIFS(sj_date,A104,sj_eq,B104,sj_po,C104)&gt;1,"Ligne en double (même jour, équipe et poste)",IF(OR(NOT(ISNUMBER(K104)),N(K104)&lt;=0,N(K104)&gt;1440),"Temps d'ouverture invalide",IF(OR(AND(G104&lt;&gt;"",NOT(ISNUMBER(G104))),N(G104)&lt;0,N(G104)&lt;&gt;INT(N(G104)),AND(H104&lt;&gt;"",NOT(ISNUMBER(H104))),N(H104)&lt;0,N(H104)&lt;&gt;INT(N(H104)),AND(I104&lt;&gt;"",NOT(ISNUMBER(I104))),N(I104)&lt;0,N(I104)&lt;&gt;INT(N(I104))),"Quantité invalide",IF(Q104&lt;=0,"Cadence manquante (poste ou article)",IF(M104&lt;=0,"Arrêts planifiés supérieurs au temps d'ouverture",IF(O104&lt;0,"Arrêts supérieurs au temps requis",IF(AND(P104&gt;0,O104=0),"Pièces déclarées sans temps de marche",IF(AND(P104=0,O104&gt;0),"Aucune pièce déclarée",IF(P104*60/Q104&gt;O104+0.001,"Cadence dépassée : vérifiez la cadence","OK"))))))))))))))))))</f>
        <v>OK</v>
      </c>
      <c r="AC104">
        <f>IF(OR(AB104="OK",AB104="Aucune pièce déclarée",AB104="Cadence dépassée : vérifiez la cadence"),1,0)</f>
        <v>1.0</v>
      </c>
      <c r="AD104">
        <f>IF(AND(AC104=1,A104&gt;=p_from,A104&lt;=p_to),1,0)</f>
        <v>1.0</v>
      </c>
      <c r="AE104">
        <f>IF(AD104=1,IF(COUNTIFS($A$6:A104,A104,$AD$6:AD104,1)=1,1,0),0)</f>
        <v>0.0</v>
      </c>
      <c r="AF104" t="str">
        <f>IF(AE104=1,COUNTIFS(sj_first,1,sj_date,"&lt;"&amp;A104)+1,"")</f>
        <v/>
      </c>
      <c r="AG104" t="str">
        <f>IF(AND(AD104=1,N(W104)&lt;p_alert),ROUND(W104,4),"")</f>
        <v/>
      </c>
      <c r="AH104" t="str">
        <f>IF(AG104="","",COUNTIF(sj_akey,"&lt;"&amp;AG104)+COUNTIF($AG$6:AG104,AG104))</f>
        <v/>
      </c>
    </row>
    <row r="105">
      <c r="A105" s="51" t="n">
        <v>46297</v>
      </c>
      <c r="B105" s="52" t="inlineStr">
        <is>
          <t>Après-midi</t>
        </is>
      </c>
      <c r="C105" s="52" t="inlineStr">
        <is>
          <t>SOUD</t>
        </is>
      </c>
      <c r="D105" s="53" t="inlineStr">
        <is>
          <t>OF-2609-129</t>
        </is>
      </c>
      <c r="E105" s="53" t="inlineStr">
        <is>
          <t>CHA-REM-01</t>
        </is>
      </c>
      <c r="F105" s="54" t="n"/>
      <c r="G105" s="54" t="n">
        <v>23</v>
      </c>
      <c r="H105" s="54" t="n">
        <v>0</v>
      </c>
      <c r="I105" s="54" t="n">
        <v>0</v>
      </c>
      <c r="J105" s="53" t="n"/>
      <c r="K105" s="55">
        <f>IF(COUNTA(A105:I105)=0,"",IF(F105="",IFERROR(INDEX(eq_dur,MATCH(B105,eq_code,0)),""),F105))</f>
        <v>480.0</v>
      </c>
      <c r="L105" s="55">
        <f>IF(ISNUMBER(K105),N(IFERROR(INDEX(eq_pause,MATCH(B105,eq_code,0)),0))+SUMIFS(st_min,st_date,A105,st_eq,B105,st_po,C105,st_type,"Planifié"),"")</f>
        <v>30.0</v>
      </c>
      <c r="M105" s="55">
        <f>IF(ISNUMBER(K105),K105-L105,"")</f>
        <v>450.0</v>
      </c>
      <c r="N105" s="55">
        <f>IF(ISNUMBER(K105),SUMIFS(st_min,st_date,A105,st_eq,B105,st_po,C105,st_type,"Non planifié"),"")</f>
        <v>68.0</v>
      </c>
      <c r="O105" s="55">
        <f>IF(ISNUMBER(K105),M105-N105,"")</f>
        <v>382.0</v>
      </c>
      <c r="P105" s="55">
        <f>IF(COUNTA(A105:I105)=0,"",N(G105)+N(H105)+N(I105))</f>
        <v>23.0</v>
      </c>
      <c r="Q105" s="56">
        <f>IF(COUNTA(A105:I105)=0,"",IF(N(IFERROR(INDEX(art_rate,MATCH(E105,art_ref,0)),0))&gt;0,N(IFERROR(INDEX(art_rate,MATCH(E105,art_ref,0)),0)),N(IFERROR(INDEX(po_rate,MATCH(C105,po_code,0)),0))))</f>
        <v>4.0</v>
      </c>
      <c r="R105" s="55">
        <f>IF(AC105=1,P105*60/Q105,"")</f>
        <v>345.0</v>
      </c>
      <c r="S105" s="55">
        <f>IF(AC105=1,N(G105)*60/Q105,"")</f>
        <v>345.0</v>
      </c>
      <c r="T105" s="57">
        <f>IF(AC105=1,O105/M105,"")</f>
        <v>0.848888888888889</v>
      </c>
      <c r="U105" s="57">
        <f>IF(AC105=1,IF(O105&gt;0,R105/O105,""),"")</f>
        <v>0.903141361256545</v>
      </c>
      <c r="V105" s="57">
        <f>IF(AC105=1,IF(P105&gt;0,N(G105)/P105,""),"")</f>
        <v>1.0</v>
      </c>
      <c r="W105" s="57">
        <f>IF(AC105=1,S105/M105,"")</f>
        <v>0.766666666666667</v>
      </c>
      <c r="X105" s="57">
        <f>IF(AC105=1,S105/K105,"")</f>
        <v>0.71875</v>
      </c>
      <c r="Y105" s="58" t="str">
        <f>IF(W105="","",IF(W105&gt;=p_target,"Bon",IF(W105&gt;=p_alert,"À surveiller","Faible")))</f>
        <v>Bon</v>
      </c>
      <c r="Z105" s="58" t="str">
        <f>IF(W105="","",IF(MIN(IF(T105="",1,T105),IF(U105="",1,U105),IF(V105="",1,V105))&gt;=1,"Aucune",IF(IF(T105="",1,T105)&lt;=MIN(IF(U105="",1,U105),IF(V105="",1,V105)),"Disponibilité",IF(IF(U105="",1,U105)&lt;=IF(V105="",1,V105),"Performance","Qualité"))))</f>
        <v>Disponibilité</v>
      </c>
      <c r="AA105" s="59">
        <f>IF(AC105=1,N(H105)*N(IFERROR(INDEX(art_cost,MATCH(E105,art_ref,0)),0)),"")</f>
        <v>0.0</v>
      </c>
      <c r="AB105" s="58" t="str">
        <f>IF(COUNTA(A105:I105)=0,"",IF(N(A105)&lt;=0,"Date manquante ou invalide",IF(B105="","Équipe manquante",IF(ISNA(MATCH(B105,eq_code,0)),"Équipe inconnue",IF(INDEX(eq_check,MATCH(B105,eq_code,0))&lt;&gt;"OK","Équipe à corriger dans Paramètres",IF(C105="","Poste manquant",IF(ISNA(MATCH(C105,po_code,0)),"Poste inconnu",IF(AND(E105&lt;&gt;"",ISNA(MATCH(E105,art_ref,0))),"Article inconnu",IF(IF(E105="",FALSE,INDEX(art_check,MATCH(E105,art_ref,0))&lt;&gt;"OK"),"Article à corriger (feuille Articles)",IF(COUNTIFS(sj_date,A105,sj_eq,B105,sj_po,C105)&gt;1,"Ligne en double (même jour, équipe et poste)",IF(OR(NOT(ISNUMBER(K105)),N(K105)&lt;=0,N(K105)&gt;1440),"Temps d'ouverture invalide",IF(OR(AND(G105&lt;&gt;"",NOT(ISNUMBER(G105))),N(G105)&lt;0,N(G105)&lt;&gt;INT(N(G105)),AND(H105&lt;&gt;"",NOT(ISNUMBER(H105))),N(H105)&lt;0,N(H105)&lt;&gt;INT(N(H105)),AND(I105&lt;&gt;"",NOT(ISNUMBER(I105))),N(I105)&lt;0,N(I105)&lt;&gt;INT(N(I105))),"Quantité invalide",IF(Q105&lt;=0,"Cadence manquante (poste ou article)",IF(M105&lt;=0,"Arrêts planifiés supérieurs au temps d'ouverture",IF(O105&lt;0,"Arrêts supérieurs au temps requis",IF(AND(P105&gt;0,O105=0),"Pièces déclarées sans temps de marche",IF(AND(P105=0,O105&gt;0),"Aucune pièce déclarée",IF(P105*60/Q105&gt;O105+0.001,"Cadence dépassée : vérifiez la cadence","OK"))))))))))))))))))</f>
        <v>OK</v>
      </c>
      <c r="AC105">
        <f>IF(OR(AB105="OK",AB105="Aucune pièce déclarée",AB105="Cadence dépassée : vérifiez la cadence"),1,0)</f>
        <v>1.0</v>
      </c>
      <c r="AD105">
        <f>IF(AND(AC105=1,A105&gt;=p_from,A105&lt;=p_to),1,0)</f>
        <v>1.0</v>
      </c>
      <c r="AE105">
        <f>IF(AD105=1,IF(COUNTIFS($A$6:A105,A105,$AD$6:AD105,1)=1,1,0),0)</f>
        <v>0.0</v>
      </c>
      <c r="AF105" t="str">
        <f>IF(AE105=1,COUNTIFS(sj_first,1,sj_date,"&lt;"&amp;A105)+1,"")</f>
        <v/>
      </c>
      <c r="AG105" t="str">
        <f>IF(AND(AD105=1,N(W105)&lt;p_alert),ROUND(W105,4),"")</f>
        <v/>
      </c>
      <c r="AH105" t="str">
        <f>IF(AG105="","",COUNTIF(sj_akey,"&lt;"&amp;AG105)+COUNTIF($AG$6:AG105,AG105))</f>
        <v/>
      </c>
    </row>
    <row r="106">
      <c r="A106" s="51" t="n">
        <v>46300</v>
      </c>
      <c r="B106" s="52" t="inlineStr">
        <is>
          <t>Matin</t>
        </is>
      </c>
      <c r="C106" s="52" t="inlineStr">
        <is>
          <t>TOUR1</t>
        </is>
      </c>
      <c r="D106" s="53" t="inlineStr">
        <is>
          <t>OF-2610-141</t>
        </is>
      </c>
      <c r="E106" s="53" t="inlineStr">
        <is>
          <t>BAG-BR-32</t>
        </is>
      </c>
      <c r="F106" s="54" t="n"/>
      <c r="G106" s="54" t="n">
        <v>222</v>
      </c>
      <c r="H106" s="54" t="n">
        <v>3</v>
      </c>
      <c r="I106" s="54" t="n">
        <v>3</v>
      </c>
      <c r="J106" s="53" t="n"/>
      <c r="K106" s="55">
        <f>IF(COUNTA(A106:I106)=0,"",IF(F106="",IFERROR(INDEX(eq_dur,MATCH(B106,eq_code,0)),""),F106))</f>
        <v>480.0</v>
      </c>
      <c r="L106" s="55">
        <f>IF(ISNUMBER(K106),N(IFERROR(INDEX(eq_pause,MATCH(B106,eq_code,0)),0))+SUMIFS(st_min,st_date,A106,st_eq,B106,st_po,C106,st_type,"Planifié"),"")</f>
        <v>30.0</v>
      </c>
      <c r="M106" s="55">
        <f>IF(ISNUMBER(K106),K106-L106,"")</f>
        <v>450.0</v>
      </c>
      <c r="N106" s="55">
        <f>IF(ISNUMBER(K106),SUMIFS(st_min,st_date,A106,st_eq,B106,st_po,C106,st_type,"Non planifié"),"")</f>
        <v>53.0</v>
      </c>
      <c r="O106" s="55">
        <f>IF(ISNUMBER(K106),M106-N106,"")</f>
        <v>397.0</v>
      </c>
      <c r="P106" s="55">
        <f>IF(COUNTA(A106:I106)=0,"",N(G106)+N(H106)+N(I106))</f>
        <v>228.0</v>
      </c>
      <c r="Q106" s="56">
        <f>IF(COUNTA(A106:I106)=0,"",IF(N(IFERROR(INDEX(art_rate,MATCH(E106,art_ref,0)),0))&gt;0,N(IFERROR(INDEX(art_rate,MATCH(E106,art_ref,0)),0)),N(IFERROR(INDEX(po_rate,MATCH(C106,po_code,0)),0))))</f>
        <v>40.0</v>
      </c>
      <c r="R106" s="55">
        <f>IF(AC106=1,P106*60/Q106,"")</f>
        <v>342.0</v>
      </c>
      <c r="S106" s="55">
        <f>IF(AC106=1,N(G106)*60/Q106,"")</f>
        <v>333.0</v>
      </c>
      <c r="T106" s="57">
        <f>IF(AC106=1,O106/M106,"")</f>
        <v>0.882222222222222</v>
      </c>
      <c r="U106" s="57">
        <f>IF(AC106=1,IF(O106&gt;0,R106/O106,""),"")</f>
        <v>0.861460957178841</v>
      </c>
      <c r="V106" s="57">
        <f>IF(AC106=1,IF(P106&gt;0,N(G106)/P106,""),"")</f>
        <v>0.973684210526316</v>
      </c>
      <c r="W106" s="57">
        <f>IF(AC106=1,S106/M106,"")</f>
        <v>0.74</v>
      </c>
      <c r="X106" s="57">
        <f>IF(AC106=1,S106/K106,"")</f>
        <v>0.69375</v>
      </c>
      <c r="Y106" s="58" t="str">
        <f>IF(W106="","",IF(W106&gt;=p_target,"Bon",IF(W106&gt;=p_alert,"À surveiller","Faible")))</f>
        <v>À surveiller</v>
      </c>
      <c r="Z106" s="58" t="str">
        <f>IF(W106="","",IF(MIN(IF(T106="",1,T106),IF(U106="",1,U106),IF(V106="",1,V106))&gt;=1,"Aucune",IF(IF(T106="",1,T106)&lt;=MIN(IF(U106="",1,U106),IF(V106="",1,V106)),"Disponibilité",IF(IF(U106="",1,U106)&lt;=IF(V106="",1,V106),"Performance","Qualité"))))</f>
        <v>Performance</v>
      </c>
      <c r="AA106" s="59">
        <f>IF(AC106=1,N(H106)*N(IFERROR(INDEX(art_cost,MATCH(E106,art_ref,0)),0)),"")</f>
        <v>156.0</v>
      </c>
      <c r="AB106" s="58" t="str">
        <f>IF(COUNTA(A106:I106)=0,"",IF(N(A106)&lt;=0,"Date manquante ou invalide",IF(B106="","Équipe manquante",IF(ISNA(MATCH(B106,eq_code,0)),"Équipe inconnue",IF(INDEX(eq_check,MATCH(B106,eq_code,0))&lt;&gt;"OK","Équipe à corriger dans Paramètres",IF(C106="","Poste manquant",IF(ISNA(MATCH(C106,po_code,0)),"Poste inconnu",IF(AND(E106&lt;&gt;"",ISNA(MATCH(E106,art_ref,0))),"Article inconnu",IF(IF(E106="",FALSE,INDEX(art_check,MATCH(E106,art_ref,0))&lt;&gt;"OK"),"Article à corriger (feuille Articles)",IF(COUNTIFS(sj_date,A106,sj_eq,B106,sj_po,C106)&gt;1,"Ligne en double (même jour, équipe et poste)",IF(OR(NOT(ISNUMBER(K106)),N(K106)&lt;=0,N(K106)&gt;1440),"Temps d'ouverture invalide",IF(OR(AND(G106&lt;&gt;"",NOT(ISNUMBER(G106))),N(G106)&lt;0,N(G106)&lt;&gt;INT(N(G106)),AND(H106&lt;&gt;"",NOT(ISNUMBER(H106))),N(H106)&lt;0,N(H106)&lt;&gt;INT(N(H106)),AND(I106&lt;&gt;"",NOT(ISNUMBER(I106))),N(I106)&lt;0,N(I106)&lt;&gt;INT(N(I106))),"Quantité invalide",IF(Q106&lt;=0,"Cadence manquante (poste ou article)",IF(M106&lt;=0,"Arrêts planifiés supérieurs au temps d'ouverture",IF(O106&lt;0,"Arrêts supérieurs au temps requis",IF(AND(P106&gt;0,O106=0),"Pièces déclarées sans temps de marche",IF(AND(P106=0,O106&gt;0),"Aucune pièce déclarée",IF(P106*60/Q106&gt;O106+0.001,"Cadence dépassée : vérifiez la cadence","OK"))))))))))))))))))</f>
        <v>OK</v>
      </c>
      <c r="AC106">
        <f>IF(OR(AB106="OK",AB106="Aucune pièce déclarée",AB106="Cadence dépassée : vérifiez la cadence"),1,0)</f>
        <v>1.0</v>
      </c>
      <c r="AD106">
        <f>IF(AND(AC106=1,A106&gt;=p_from,A106&lt;=p_to),1,0)</f>
        <v>1.0</v>
      </c>
      <c r="AE106">
        <f>IF(AD106=1,IF(COUNTIFS($A$6:A106,A106,$AD$6:AD106,1)=1,1,0),0)</f>
        <v>1.0</v>
      </c>
      <c r="AF106">
        <f>IF(AE106=1,COUNTIFS(sj_first,1,sj_date,"&lt;"&amp;A106)+1,"")</f>
        <v>11.0</v>
      </c>
      <c r="AG106" t="str">
        <f>IF(AND(AD106=1,N(W106)&lt;p_alert),ROUND(W106,4),"")</f>
        <v/>
      </c>
      <c r="AH106" t="str">
        <f>IF(AG106="","",COUNTIF(sj_akey,"&lt;"&amp;AG106)+COUNTIF($AG$6:AG106,AG106))</f>
        <v/>
      </c>
    </row>
    <row r="107">
      <c r="A107" s="51" t="n">
        <v>46300</v>
      </c>
      <c r="B107" s="52" t="inlineStr">
        <is>
          <t>Après-midi</t>
        </is>
      </c>
      <c r="C107" s="52" t="inlineStr">
        <is>
          <t>TOUR1</t>
        </is>
      </c>
      <c r="D107" s="53" t="inlineStr">
        <is>
          <t>OF-2610-142</t>
        </is>
      </c>
      <c r="E107" s="53" t="inlineStr">
        <is>
          <t>AXE-R20</t>
        </is>
      </c>
      <c r="F107" s="54" t="n"/>
      <c r="G107" s="54" t="n">
        <v>162</v>
      </c>
      <c r="H107" s="54" t="n">
        <v>3</v>
      </c>
      <c r="I107" s="54" t="n">
        <v>0</v>
      </c>
      <c r="J107" s="53" t="n"/>
      <c r="K107" s="55">
        <f>IF(COUNTA(A107:I107)=0,"",IF(F107="",IFERROR(INDEX(eq_dur,MATCH(B107,eq_code,0)),""),F107))</f>
        <v>480.0</v>
      </c>
      <c r="L107" s="55">
        <f>IF(ISNUMBER(K107),N(IFERROR(INDEX(eq_pause,MATCH(B107,eq_code,0)),0))+SUMIFS(st_min,st_date,A107,st_eq,B107,st_po,C107,st_type,"Planifié"),"")</f>
        <v>30.0</v>
      </c>
      <c r="M107" s="55">
        <f>IF(ISNUMBER(K107),K107-L107,"")</f>
        <v>450.0</v>
      </c>
      <c r="N107" s="55">
        <f>IF(ISNUMBER(K107),SUMIFS(st_min,st_date,A107,st_eq,B107,st_po,C107,st_type,"Non planifié"),"")</f>
        <v>97.0</v>
      </c>
      <c r="O107" s="55">
        <f>IF(ISNUMBER(K107),M107-N107,"")</f>
        <v>353.0</v>
      </c>
      <c r="P107" s="55">
        <f>IF(COUNTA(A107:I107)=0,"",N(G107)+N(H107)+N(I107))</f>
        <v>165.0</v>
      </c>
      <c r="Q107" s="56">
        <f>IF(COUNTA(A107:I107)=0,"",IF(N(IFERROR(INDEX(art_rate,MATCH(E107,art_ref,0)),0))&gt;0,N(IFERROR(INDEX(art_rate,MATCH(E107,art_ref,0)),0)),N(IFERROR(INDEX(po_rate,MATCH(C107,po_code,0)),0))))</f>
        <v>30.0</v>
      </c>
      <c r="R107" s="55">
        <f>IF(AC107=1,P107*60/Q107,"")</f>
        <v>330.0</v>
      </c>
      <c r="S107" s="55">
        <f>IF(AC107=1,N(G107)*60/Q107,"")</f>
        <v>324.0</v>
      </c>
      <c r="T107" s="57">
        <f>IF(AC107=1,O107/M107,"")</f>
        <v>0.784444444444445</v>
      </c>
      <c r="U107" s="57">
        <f>IF(AC107=1,IF(O107&gt;0,R107/O107,""),"")</f>
        <v>0.934844192634561</v>
      </c>
      <c r="V107" s="57">
        <f>IF(AC107=1,IF(P107&gt;0,N(G107)/P107,""),"")</f>
        <v>0.981818181818182</v>
      </c>
      <c r="W107" s="57">
        <f>IF(AC107=1,S107/M107,"")</f>
        <v>0.72</v>
      </c>
      <c r="X107" s="57">
        <f>IF(AC107=1,S107/K107,"")</f>
        <v>0.675</v>
      </c>
      <c r="Y107" s="58" t="str">
        <f>IF(W107="","",IF(W107&gt;=p_target,"Bon",IF(W107&gt;=p_alert,"À surveiller","Faible")))</f>
        <v>À surveiller</v>
      </c>
      <c r="Z107" s="58" t="str">
        <f>IF(W107="","",IF(MIN(IF(T107="",1,T107),IF(U107="",1,U107),IF(V107="",1,V107))&gt;=1,"Aucune",IF(IF(T107="",1,T107)&lt;=MIN(IF(U107="",1,U107),IF(V107="",1,V107)),"Disponibilité",IF(IF(U107="",1,U107)&lt;=IF(V107="",1,V107),"Performance","Qualité"))))</f>
        <v>Disponibilité</v>
      </c>
      <c r="AA107" s="59">
        <f>IF(AC107=1,N(H107)*N(IFERROR(INDEX(art_cost,MATCH(E107,art_ref,0)),0)),"")</f>
        <v>115.5</v>
      </c>
      <c r="AB107" s="58" t="str">
        <f>IF(COUNTA(A107:I107)=0,"",IF(N(A107)&lt;=0,"Date manquante ou invalide",IF(B107="","Équipe manquante",IF(ISNA(MATCH(B107,eq_code,0)),"Équipe inconnue",IF(INDEX(eq_check,MATCH(B107,eq_code,0))&lt;&gt;"OK","Équipe à corriger dans Paramètres",IF(C107="","Poste manquant",IF(ISNA(MATCH(C107,po_code,0)),"Poste inconnu",IF(AND(E107&lt;&gt;"",ISNA(MATCH(E107,art_ref,0))),"Article inconnu",IF(IF(E107="",FALSE,INDEX(art_check,MATCH(E107,art_ref,0))&lt;&gt;"OK"),"Article à corriger (feuille Articles)",IF(COUNTIFS(sj_date,A107,sj_eq,B107,sj_po,C107)&gt;1,"Ligne en double (même jour, équipe et poste)",IF(OR(NOT(ISNUMBER(K107)),N(K107)&lt;=0,N(K107)&gt;1440),"Temps d'ouverture invalide",IF(OR(AND(G107&lt;&gt;"",NOT(ISNUMBER(G107))),N(G107)&lt;0,N(G107)&lt;&gt;INT(N(G107)),AND(H107&lt;&gt;"",NOT(ISNUMBER(H107))),N(H107)&lt;0,N(H107)&lt;&gt;INT(N(H107)),AND(I107&lt;&gt;"",NOT(ISNUMBER(I107))),N(I107)&lt;0,N(I107)&lt;&gt;INT(N(I107))),"Quantité invalide",IF(Q107&lt;=0,"Cadence manquante (poste ou article)",IF(M107&lt;=0,"Arrêts planifiés supérieurs au temps d'ouverture",IF(O107&lt;0,"Arrêts supérieurs au temps requis",IF(AND(P107&gt;0,O107=0),"Pièces déclarées sans temps de marche",IF(AND(P107=0,O107&gt;0),"Aucune pièce déclarée",IF(P107*60/Q107&gt;O107+0.001,"Cadence dépassée : vérifiez la cadence","OK"))))))))))))))))))</f>
        <v>OK</v>
      </c>
      <c r="AC107">
        <f>IF(OR(AB107="OK",AB107="Aucune pièce déclarée",AB107="Cadence dépassée : vérifiez la cadence"),1,0)</f>
        <v>1.0</v>
      </c>
      <c r="AD107">
        <f>IF(AND(AC107=1,A107&gt;=p_from,A107&lt;=p_to),1,0)</f>
        <v>1.0</v>
      </c>
      <c r="AE107">
        <f>IF(AD107=1,IF(COUNTIFS($A$6:A107,A107,$AD$6:AD107,1)=1,1,0),0)</f>
        <v>0.0</v>
      </c>
      <c r="AF107" t="str">
        <f>IF(AE107=1,COUNTIFS(sj_first,1,sj_date,"&lt;"&amp;A107)+1,"")</f>
        <v/>
      </c>
      <c r="AG107" t="str">
        <f>IF(AND(AD107=1,N(W107)&lt;p_alert),ROUND(W107,4),"")</f>
        <v/>
      </c>
      <c r="AH107" t="str">
        <f>IF(AG107="","",COUNTIF(sj_akey,"&lt;"&amp;AG107)+COUNTIF($AG$6:AG107,AG107))</f>
        <v/>
      </c>
    </row>
    <row r="108">
      <c r="A108" s="51" t="n">
        <v>46300</v>
      </c>
      <c r="B108" s="52" t="inlineStr">
        <is>
          <t>Matin</t>
        </is>
      </c>
      <c r="C108" s="52" t="inlineStr">
        <is>
          <t>TOUR2</t>
        </is>
      </c>
      <c r="D108" s="53" t="inlineStr">
        <is>
          <t>OF-2609-116</t>
        </is>
      </c>
      <c r="E108" s="53" t="inlineStr">
        <is>
          <t>AXE-R20</t>
        </is>
      </c>
      <c r="F108" s="54" t="n"/>
      <c r="G108" s="54" t="n">
        <v>193</v>
      </c>
      <c r="H108" s="54" t="n">
        <v>6</v>
      </c>
      <c r="I108" s="54" t="n">
        <v>0</v>
      </c>
      <c r="J108" s="53" t="n"/>
      <c r="K108" s="55">
        <f>IF(COUNTA(A108:I108)=0,"",IF(F108="",IFERROR(INDEX(eq_dur,MATCH(B108,eq_code,0)),""),F108))</f>
        <v>480.0</v>
      </c>
      <c r="L108" s="55">
        <f>IF(ISNUMBER(K108),N(IFERROR(INDEX(eq_pause,MATCH(B108,eq_code,0)),0))+SUMIFS(st_min,st_date,A108,st_eq,B108,st_po,C108,st_type,"Planifié"),"")</f>
        <v>30.0</v>
      </c>
      <c r="M108" s="55">
        <f>IF(ISNUMBER(K108),K108-L108,"")</f>
        <v>450.0</v>
      </c>
      <c r="N108" s="55">
        <f>IF(ISNUMBER(K108),SUMIFS(st_min,st_date,A108,st_eq,B108,st_po,C108,st_type,"Non planifié"),"")</f>
        <v>25.0</v>
      </c>
      <c r="O108" s="55">
        <f>IF(ISNUMBER(K108),M108-N108,"")</f>
        <v>425.0</v>
      </c>
      <c r="P108" s="55">
        <f>IF(COUNTA(A108:I108)=0,"",N(G108)+N(H108)+N(I108))</f>
        <v>199.0</v>
      </c>
      <c r="Q108" s="56">
        <f>IF(COUNTA(A108:I108)=0,"",IF(N(IFERROR(INDEX(art_rate,MATCH(E108,art_ref,0)),0))&gt;0,N(IFERROR(INDEX(art_rate,MATCH(E108,art_ref,0)),0)),N(IFERROR(INDEX(po_rate,MATCH(C108,po_code,0)),0))))</f>
        <v>30.0</v>
      </c>
      <c r="R108" s="55">
        <f>IF(AC108=1,P108*60/Q108,"")</f>
        <v>398.0</v>
      </c>
      <c r="S108" s="55">
        <f>IF(AC108=1,N(G108)*60/Q108,"")</f>
        <v>386.0</v>
      </c>
      <c r="T108" s="57">
        <f>IF(AC108=1,O108/M108,"")</f>
        <v>0.944444444444444</v>
      </c>
      <c r="U108" s="57">
        <f>IF(AC108=1,IF(O108&gt;0,R108/O108,""),"")</f>
        <v>0.936470588235294</v>
      </c>
      <c r="V108" s="57">
        <f>IF(AC108=1,IF(P108&gt;0,N(G108)/P108,""),"")</f>
        <v>0.969849246231156</v>
      </c>
      <c r="W108" s="57">
        <f>IF(AC108=1,S108/M108,"")</f>
        <v>0.857777777777778</v>
      </c>
      <c r="X108" s="57">
        <f>IF(AC108=1,S108/K108,"")</f>
        <v>0.804166666666667</v>
      </c>
      <c r="Y108" s="58" t="str">
        <f>IF(W108="","",IF(W108&gt;=p_target,"Bon",IF(W108&gt;=p_alert,"À surveiller","Faible")))</f>
        <v>Bon</v>
      </c>
      <c r="Z108" s="58" t="str">
        <f>IF(W108="","",IF(MIN(IF(T108="",1,T108),IF(U108="",1,U108),IF(V108="",1,V108))&gt;=1,"Aucune",IF(IF(T108="",1,T108)&lt;=MIN(IF(U108="",1,U108),IF(V108="",1,V108)),"Disponibilité",IF(IF(U108="",1,U108)&lt;=IF(V108="",1,V108),"Performance","Qualité"))))</f>
        <v>Performance</v>
      </c>
      <c r="AA108" s="59">
        <f>IF(AC108=1,N(H108)*N(IFERROR(INDEX(art_cost,MATCH(E108,art_ref,0)),0)),"")</f>
        <v>231.0</v>
      </c>
      <c r="AB108" s="58" t="str">
        <f>IF(COUNTA(A108:I108)=0,"",IF(N(A108)&lt;=0,"Date manquante ou invalide",IF(B108="","Équipe manquante",IF(ISNA(MATCH(B108,eq_code,0)),"Équipe inconnue",IF(INDEX(eq_check,MATCH(B108,eq_code,0))&lt;&gt;"OK","Équipe à corriger dans Paramètres",IF(C108="","Poste manquant",IF(ISNA(MATCH(C108,po_code,0)),"Poste inconnu",IF(AND(E108&lt;&gt;"",ISNA(MATCH(E108,art_ref,0))),"Article inconnu",IF(IF(E108="",FALSE,INDEX(art_check,MATCH(E108,art_ref,0))&lt;&gt;"OK"),"Article à corriger (feuille Articles)",IF(COUNTIFS(sj_date,A108,sj_eq,B108,sj_po,C108)&gt;1,"Ligne en double (même jour, équipe et poste)",IF(OR(NOT(ISNUMBER(K108)),N(K108)&lt;=0,N(K108)&gt;1440),"Temps d'ouverture invalide",IF(OR(AND(G108&lt;&gt;"",NOT(ISNUMBER(G108))),N(G108)&lt;0,N(G108)&lt;&gt;INT(N(G108)),AND(H108&lt;&gt;"",NOT(ISNUMBER(H108))),N(H108)&lt;0,N(H108)&lt;&gt;INT(N(H108)),AND(I108&lt;&gt;"",NOT(ISNUMBER(I108))),N(I108)&lt;0,N(I108)&lt;&gt;INT(N(I108))),"Quantité invalide",IF(Q108&lt;=0,"Cadence manquante (poste ou article)",IF(M108&lt;=0,"Arrêts planifiés supérieurs au temps d'ouverture",IF(O108&lt;0,"Arrêts supérieurs au temps requis",IF(AND(P108&gt;0,O108=0),"Pièces déclarées sans temps de marche",IF(AND(P108=0,O108&gt;0),"Aucune pièce déclarée",IF(P108*60/Q108&gt;O108+0.001,"Cadence dépassée : vérifiez la cadence","OK"))))))))))))))))))</f>
        <v>OK</v>
      </c>
      <c r="AC108">
        <f>IF(OR(AB108="OK",AB108="Aucune pièce déclarée",AB108="Cadence dépassée : vérifiez la cadence"),1,0)</f>
        <v>1.0</v>
      </c>
      <c r="AD108">
        <f>IF(AND(AC108=1,A108&gt;=p_from,A108&lt;=p_to),1,0)</f>
        <v>1.0</v>
      </c>
      <c r="AE108">
        <f>IF(AD108=1,IF(COUNTIFS($A$6:A108,A108,$AD$6:AD108,1)=1,1,0),0)</f>
        <v>0.0</v>
      </c>
      <c r="AF108" t="str">
        <f>IF(AE108=1,COUNTIFS(sj_first,1,sj_date,"&lt;"&amp;A108)+1,"")</f>
        <v/>
      </c>
      <c r="AG108" t="str">
        <f>IF(AND(AD108=1,N(W108)&lt;p_alert),ROUND(W108,4),"")</f>
        <v/>
      </c>
      <c r="AH108" t="str">
        <f>IF(AG108="","",COUNTIF(sj_akey,"&lt;"&amp;AG108)+COUNTIF($AG$6:AG108,AG108))</f>
        <v/>
      </c>
    </row>
    <row r="109">
      <c r="A109" s="51" t="n">
        <v>46300</v>
      </c>
      <c r="B109" s="52" t="inlineStr">
        <is>
          <t>Après-midi</t>
        </is>
      </c>
      <c r="C109" s="52" t="inlineStr">
        <is>
          <t>TOUR2</t>
        </is>
      </c>
      <c r="D109" s="53" t="inlineStr">
        <is>
          <t>OF-2610-138</t>
        </is>
      </c>
      <c r="E109" s="53" t="inlineStr">
        <is>
          <t>ENT-12</t>
        </is>
      </c>
      <c r="F109" s="54" t="n"/>
      <c r="G109" s="54" t="n">
        <v>271</v>
      </c>
      <c r="H109" s="54" t="n">
        <v>2</v>
      </c>
      <c r="I109" s="54" t="n">
        <v>3</v>
      </c>
      <c r="J109" s="53" t="n"/>
      <c r="K109" s="55">
        <f>IF(COUNTA(A109:I109)=0,"",IF(F109="",IFERROR(INDEX(eq_dur,MATCH(B109,eq_code,0)),""),F109))</f>
        <v>480.0</v>
      </c>
      <c r="L109" s="55">
        <f>IF(ISNUMBER(K109),N(IFERROR(INDEX(eq_pause,MATCH(B109,eq_code,0)),0))+SUMIFS(st_min,st_date,A109,st_eq,B109,st_po,C109,st_type,"Planifié"),"")</f>
        <v>30.0</v>
      </c>
      <c r="M109" s="55">
        <f>IF(ISNUMBER(K109),K109-L109,"")</f>
        <v>450.0</v>
      </c>
      <c r="N109" s="55">
        <f>IF(ISNUMBER(K109),SUMIFS(st_min,st_date,A109,st_eq,B109,st_po,C109,st_type,"Non planifié"),"")</f>
        <v>125.0</v>
      </c>
      <c r="O109" s="55">
        <f>IF(ISNUMBER(K109),M109-N109,"")</f>
        <v>325.0</v>
      </c>
      <c r="P109" s="55">
        <f>IF(COUNTA(A109:I109)=0,"",N(G109)+N(H109)+N(I109))</f>
        <v>276.0</v>
      </c>
      <c r="Q109" s="56">
        <f>IF(COUNTA(A109:I109)=0,"",IF(N(IFERROR(INDEX(art_rate,MATCH(E109,art_ref,0)),0))&gt;0,N(IFERROR(INDEX(art_rate,MATCH(E109,art_ref,0)),0)),N(IFERROR(INDEX(po_rate,MATCH(C109,po_code,0)),0))))</f>
        <v>55.0</v>
      </c>
      <c r="R109" s="55">
        <f>IF(AC109=1,P109*60/Q109,"")</f>
        <v>301.090909090909</v>
      </c>
      <c r="S109" s="55">
        <f>IF(AC109=1,N(G109)*60/Q109,"")</f>
        <v>295.636363636364</v>
      </c>
      <c r="T109" s="57">
        <f>IF(AC109=1,O109/M109,"")</f>
        <v>0.722222222222222</v>
      </c>
      <c r="U109" s="57">
        <f>IF(AC109=1,IF(O109&gt;0,R109/O109,""),"")</f>
        <v>0.926433566433566</v>
      </c>
      <c r="V109" s="57">
        <f>IF(AC109=1,IF(P109&gt;0,N(G109)/P109,""),"")</f>
        <v>0.981884057971015</v>
      </c>
      <c r="W109" s="57">
        <f>IF(AC109=1,S109/M109,"")</f>
        <v>0.656969696969697</v>
      </c>
      <c r="X109" s="57">
        <f>IF(AC109=1,S109/K109,"")</f>
        <v>0.615909090909091</v>
      </c>
      <c r="Y109" s="58" t="str">
        <f>IF(W109="","",IF(W109&gt;=p_target,"Bon",IF(W109&gt;=p_alert,"À surveiller","Faible")))</f>
        <v>À surveiller</v>
      </c>
      <c r="Z109" s="58" t="str">
        <f>IF(W109="","",IF(MIN(IF(T109="",1,T109),IF(U109="",1,U109),IF(V109="",1,V109))&gt;=1,"Aucune",IF(IF(T109="",1,T109)&lt;=MIN(IF(U109="",1,U109),IF(V109="",1,V109)),"Disponibilité",IF(IF(U109="",1,U109)&lt;=IF(V109="",1,V109),"Performance","Qualité"))))</f>
        <v>Disponibilité</v>
      </c>
      <c r="AA109" s="59">
        <f>IF(AC109=1,N(H109)*N(IFERROR(INDEX(art_cost,MATCH(E109,art_ref,0)),0)),"")</f>
        <v>13.6</v>
      </c>
      <c r="AB109" s="58" t="str">
        <f>IF(COUNTA(A109:I109)=0,"",IF(N(A109)&lt;=0,"Date manquante ou invalide",IF(B109="","Équipe manquante",IF(ISNA(MATCH(B109,eq_code,0)),"Équipe inconnue",IF(INDEX(eq_check,MATCH(B109,eq_code,0))&lt;&gt;"OK","Équipe à corriger dans Paramètres",IF(C109="","Poste manquant",IF(ISNA(MATCH(C109,po_code,0)),"Poste inconnu",IF(AND(E109&lt;&gt;"",ISNA(MATCH(E109,art_ref,0))),"Article inconnu",IF(IF(E109="",FALSE,INDEX(art_check,MATCH(E109,art_ref,0))&lt;&gt;"OK"),"Article à corriger (feuille Articles)",IF(COUNTIFS(sj_date,A109,sj_eq,B109,sj_po,C109)&gt;1,"Ligne en double (même jour, équipe et poste)",IF(OR(NOT(ISNUMBER(K109)),N(K109)&lt;=0,N(K109)&gt;1440),"Temps d'ouverture invalide",IF(OR(AND(G109&lt;&gt;"",NOT(ISNUMBER(G109))),N(G109)&lt;0,N(G109)&lt;&gt;INT(N(G109)),AND(H109&lt;&gt;"",NOT(ISNUMBER(H109))),N(H109)&lt;0,N(H109)&lt;&gt;INT(N(H109)),AND(I109&lt;&gt;"",NOT(ISNUMBER(I109))),N(I109)&lt;0,N(I109)&lt;&gt;INT(N(I109))),"Quantité invalide",IF(Q109&lt;=0,"Cadence manquante (poste ou article)",IF(M109&lt;=0,"Arrêts planifiés supérieurs au temps d'ouverture",IF(O109&lt;0,"Arrêts supérieurs au temps requis",IF(AND(P109&gt;0,O109=0),"Pièces déclarées sans temps de marche",IF(AND(P109=0,O109&gt;0),"Aucune pièce déclarée",IF(P109*60/Q109&gt;O109+0.001,"Cadence dépassée : vérifiez la cadence","OK"))))))))))))))))))</f>
        <v>OK</v>
      </c>
      <c r="AC109">
        <f>IF(OR(AB109="OK",AB109="Aucune pièce déclarée",AB109="Cadence dépassée : vérifiez la cadence"),1,0)</f>
        <v>1.0</v>
      </c>
      <c r="AD109">
        <f>IF(AND(AC109=1,A109&gt;=p_from,A109&lt;=p_to),1,0)</f>
        <v>1.0</v>
      </c>
      <c r="AE109">
        <f>IF(AD109=1,IF(COUNTIFS($A$6:A109,A109,$AD$6:AD109,1)=1,1,0),0)</f>
        <v>0.0</v>
      </c>
      <c r="AF109" t="str">
        <f>IF(AE109=1,COUNTIFS(sj_first,1,sj_date,"&lt;"&amp;A109)+1,"")</f>
        <v/>
      </c>
      <c r="AG109" t="str">
        <f>IF(AND(AD109=1,N(W109)&lt;p_alert),ROUND(W109,4),"")</f>
        <v/>
      </c>
      <c r="AH109" t="str">
        <f>IF(AG109="","",COUNTIF(sj_akey,"&lt;"&amp;AG109)+COUNTIF($AG$6:AG109,AG109))</f>
        <v/>
      </c>
    </row>
    <row r="110">
      <c r="A110" s="51" t="n">
        <v>46300</v>
      </c>
      <c r="B110" s="52" t="inlineStr">
        <is>
          <t>Matin</t>
        </is>
      </c>
      <c r="C110" s="52" t="inlineStr">
        <is>
          <t>USIN</t>
        </is>
      </c>
      <c r="D110" s="53" t="inlineStr">
        <is>
          <t>OF-2609-123</t>
        </is>
      </c>
      <c r="E110" s="53" t="inlineStr">
        <is>
          <t>CAR-BOI-04</t>
        </is>
      </c>
      <c r="F110" s="54" t="n"/>
      <c r="G110" s="54" t="n">
        <v>34</v>
      </c>
      <c r="H110" s="54" t="n">
        <v>1</v>
      </c>
      <c r="I110" s="54" t="n">
        <v>0</v>
      </c>
      <c r="J110" s="53" t="n"/>
      <c r="K110" s="55">
        <f>IF(COUNTA(A110:I110)=0,"",IF(F110="",IFERROR(INDEX(eq_dur,MATCH(B110,eq_code,0)),""),F110))</f>
        <v>480.0</v>
      </c>
      <c r="L110" s="55">
        <f>IF(ISNUMBER(K110),N(IFERROR(INDEX(eq_pause,MATCH(B110,eq_code,0)),0))+SUMIFS(st_min,st_date,A110,st_eq,B110,st_po,C110,st_type,"Planifié"),"")</f>
        <v>90.0</v>
      </c>
      <c r="M110" s="55">
        <f>IF(ISNUMBER(K110),K110-L110,"")</f>
        <v>390.0</v>
      </c>
      <c r="N110" s="55">
        <f>IF(ISNUMBER(K110),SUMIFS(st_min,st_date,A110,st_eq,B110,st_po,C110,st_type,"Non planifié"),"")</f>
        <v>0.0</v>
      </c>
      <c r="O110" s="55">
        <f>IF(ISNUMBER(K110),M110-N110,"")</f>
        <v>390.0</v>
      </c>
      <c r="P110" s="55">
        <f>IF(COUNTA(A110:I110)=0,"",N(G110)+N(H110)+N(I110))</f>
        <v>35.0</v>
      </c>
      <c r="Q110" s="56">
        <f>IF(COUNTA(A110:I110)=0,"",IF(N(IFERROR(INDEX(art_rate,MATCH(E110,art_ref,0)),0))&gt;0,N(IFERROR(INDEX(art_rate,MATCH(E110,art_ref,0)),0)),N(IFERROR(INDEX(po_rate,MATCH(C110,po_code,0)),0))))</f>
        <v>6.0</v>
      </c>
      <c r="R110" s="55">
        <f>IF(AC110=1,P110*60/Q110,"")</f>
        <v>350.0</v>
      </c>
      <c r="S110" s="55">
        <f>IF(AC110=1,N(G110)*60/Q110,"")</f>
        <v>340.0</v>
      </c>
      <c r="T110" s="57">
        <f>IF(AC110=1,O110/M110,"")</f>
        <v>1.0</v>
      </c>
      <c r="U110" s="57">
        <f>IF(AC110=1,IF(O110&gt;0,R110/O110,""),"")</f>
        <v>0.897435897435898</v>
      </c>
      <c r="V110" s="57">
        <f>IF(AC110=1,IF(P110&gt;0,N(G110)/P110,""),"")</f>
        <v>0.971428571428571</v>
      </c>
      <c r="W110" s="57">
        <f>IF(AC110=1,S110/M110,"")</f>
        <v>0.871794871794872</v>
      </c>
      <c r="X110" s="57">
        <f>IF(AC110=1,S110/K110,"")</f>
        <v>0.708333333333333</v>
      </c>
      <c r="Y110" s="58" t="str">
        <f>IF(W110="","",IF(W110&gt;=p_target,"Bon",IF(W110&gt;=p_alert,"À surveiller","Faible")))</f>
        <v>Bon</v>
      </c>
      <c r="Z110" s="58" t="str">
        <f>IF(W110="","",IF(MIN(IF(T110="",1,T110),IF(U110="",1,U110),IF(V110="",1,V110))&gt;=1,"Aucune",IF(IF(T110="",1,T110)&lt;=MIN(IF(U110="",1,U110),IF(V110="",1,V110)),"Disponibilité",IF(IF(U110="",1,U110)&lt;=IF(V110="",1,V110),"Performance","Qualité"))))</f>
        <v>Performance</v>
      </c>
      <c r="AA110" s="59">
        <f>IF(AC110=1,N(H110)*N(IFERROR(INDEX(art_cost,MATCH(E110,art_ref,0)),0)),"")</f>
        <v>610.0</v>
      </c>
      <c r="AB110" s="58" t="str">
        <f>IF(COUNTA(A110:I110)=0,"",IF(N(A110)&lt;=0,"Date manquante ou invalide",IF(B110="","Équipe manquante",IF(ISNA(MATCH(B110,eq_code,0)),"Équipe inconnue",IF(INDEX(eq_check,MATCH(B110,eq_code,0))&lt;&gt;"OK","Équipe à corriger dans Paramètres",IF(C110="","Poste manquant",IF(ISNA(MATCH(C110,po_code,0)),"Poste inconnu",IF(AND(E110&lt;&gt;"",ISNA(MATCH(E110,art_ref,0))),"Article inconnu",IF(IF(E110="",FALSE,INDEX(art_check,MATCH(E110,art_ref,0))&lt;&gt;"OK"),"Article à corriger (feuille Articles)",IF(COUNTIFS(sj_date,A110,sj_eq,B110,sj_po,C110)&gt;1,"Ligne en double (même jour, équipe et poste)",IF(OR(NOT(ISNUMBER(K110)),N(K110)&lt;=0,N(K110)&gt;1440),"Temps d'ouverture invalide",IF(OR(AND(G110&lt;&gt;"",NOT(ISNUMBER(G110))),N(G110)&lt;0,N(G110)&lt;&gt;INT(N(G110)),AND(H110&lt;&gt;"",NOT(ISNUMBER(H110))),N(H110)&lt;0,N(H110)&lt;&gt;INT(N(H110)),AND(I110&lt;&gt;"",NOT(ISNUMBER(I110))),N(I110)&lt;0,N(I110)&lt;&gt;INT(N(I110))),"Quantité invalide",IF(Q110&lt;=0,"Cadence manquante (poste ou article)",IF(M110&lt;=0,"Arrêts planifiés supérieurs au temps d'ouverture",IF(O110&lt;0,"Arrêts supérieurs au temps requis",IF(AND(P110&gt;0,O110=0),"Pièces déclarées sans temps de marche",IF(AND(P110=0,O110&gt;0),"Aucune pièce déclarée",IF(P110*60/Q110&gt;O110+0.001,"Cadence dépassée : vérifiez la cadence","OK"))))))))))))))))))</f>
        <v>OK</v>
      </c>
      <c r="AC110">
        <f>IF(OR(AB110="OK",AB110="Aucune pièce déclarée",AB110="Cadence dépassée : vérifiez la cadence"),1,0)</f>
        <v>1.0</v>
      </c>
      <c r="AD110">
        <f>IF(AND(AC110=1,A110&gt;=p_from,A110&lt;=p_to),1,0)</f>
        <v>1.0</v>
      </c>
      <c r="AE110">
        <f>IF(AD110=1,IF(COUNTIFS($A$6:A110,A110,$AD$6:AD110,1)=1,1,0),0)</f>
        <v>0.0</v>
      </c>
      <c r="AF110" t="str">
        <f>IF(AE110=1,COUNTIFS(sj_first,1,sj_date,"&lt;"&amp;A110)+1,"")</f>
        <v/>
      </c>
      <c r="AG110" t="str">
        <f>IF(AND(AD110=1,N(W110)&lt;p_alert),ROUND(W110,4),"")</f>
        <v/>
      </c>
      <c r="AH110" t="str">
        <f>IF(AG110="","",COUNTIF(sj_akey,"&lt;"&amp;AG110)+COUNTIF($AG$6:AG110,AG110))</f>
        <v/>
      </c>
    </row>
    <row r="111">
      <c r="A111" s="51" t="n">
        <v>46300</v>
      </c>
      <c r="B111" s="52" t="inlineStr">
        <is>
          <t>Après-midi</t>
        </is>
      </c>
      <c r="C111" s="52" t="inlineStr">
        <is>
          <t>USIN</t>
        </is>
      </c>
      <c r="D111" s="53" t="inlineStr">
        <is>
          <t>OF-2610-139</t>
        </is>
      </c>
      <c r="E111" s="53" t="inlineStr">
        <is>
          <t>FLA-PL-150</t>
        </is>
      </c>
      <c r="F111" s="54" t="n"/>
      <c r="G111" s="54" t="n">
        <v>59</v>
      </c>
      <c r="H111" s="54" t="n">
        <v>1</v>
      </c>
      <c r="I111" s="54" t="n">
        <v>0</v>
      </c>
      <c r="J111" s="53" t="n"/>
      <c r="K111" s="55">
        <f>IF(COUNTA(A111:I111)=0,"",IF(F111="",IFERROR(INDEX(eq_dur,MATCH(B111,eq_code,0)),""),F111))</f>
        <v>480.0</v>
      </c>
      <c r="L111" s="55">
        <f>IF(ISNUMBER(K111),N(IFERROR(INDEX(eq_pause,MATCH(B111,eq_code,0)),0))+SUMIFS(st_min,st_date,A111,st_eq,B111,st_po,C111,st_type,"Planifié"),"")</f>
        <v>30.0</v>
      </c>
      <c r="M111" s="55">
        <f>IF(ISNUMBER(K111),K111-L111,"")</f>
        <v>450.0</v>
      </c>
      <c r="N111" s="55">
        <f>IF(ISNUMBER(K111),SUMIFS(st_min,st_date,A111,st_eq,B111,st_po,C111,st_type,"Non planifié"),"")</f>
        <v>84.0</v>
      </c>
      <c r="O111" s="55">
        <f>IF(ISNUMBER(K111),M111-N111,"")</f>
        <v>366.0</v>
      </c>
      <c r="P111" s="55">
        <f>IF(COUNTA(A111:I111)=0,"",N(G111)+N(H111)+N(I111))</f>
        <v>60.0</v>
      </c>
      <c r="Q111" s="56">
        <f>IF(COUNTA(A111:I111)=0,"",IF(N(IFERROR(INDEX(art_rate,MATCH(E111,art_ref,0)),0))&gt;0,N(IFERROR(INDEX(art_rate,MATCH(E111,art_ref,0)),0)),N(IFERROR(INDEX(po_rate,MATCH(C111,po_code,0)),0))))</f>
        <v>12.0</v>
      </c>
      <c r="R111" s="55">
        <f>IF(AC111=1,P111*60/Q111,"")</f>
        <v>300.0</v>
      </c>
      <c r="S111" s="55">
        <f>IF(AC111=1,N(G111)*60/Q111,"")</f>
        <v>295.0</v>
      </c>
      <c r="T111" s="57">
        <f>IF(AC111=1,O111/M111,"")</f>
        <v>0.813333333333333</v>
      </c>
      <c r="U111" s="57">
        <f>IF(AC111=1,IF(O111&gt;0,R111/O111,""),"")</f>
        <v>0.819672131147541</v>
      </c>
      <c r="V111" s="57">
        <f>IF(AC111=1,IF(P111&gt;0,N(G111)/P111,""),"")</f>
        <v>0.983333333333333</v>
      </c>
      <c r="W111" s="57">
        <f>IF(AC111=1,S111/M111,"")</f>
        <v>0.655555555555556</v>
      </c>
      <c r="X111" s="57">
        <f>IF(AC111=1,S111/K111,"")</f>
        <v>0.614583333333333</v>
      </c>
      <c r="Y111" s="58" t="str">
        <f>IF(W111="","",IF(W111&gt;=p_target,"Bon",IF(W111&gt;=p_alert,"À surveiller","Faible")))</f>
        <v>À surveiller</v>
      </c>
      <c r="Z111" s="58" t="str">
        <f>IF(W111="","",IF(MIN(IF(T111="",1,T111),IF(U111="",1,U111),IF(V111="",1,V111))&gt;=1,"Aucune",IF(IF(T111="",1,T111)&lt;=MIN(IF(U111="",1,U111),IF(V111="",1,V111)),"Disponibilité",IF(IF(U111="",1,U111)&lt;=IF(V111="",1,V111),"Performance","Qualité"))))</f>
        <v>Disponibilité</v>
      </c>
      <c r="AA111" s="59">
        <f>IF(AC111=1,N(H111)*N(IFERROR(INDEX(art_cost,MATCH(E111,art_ref,0)),0)),"")</f>
        <v>145.0</v>
      </c>
      <c r="AB111" s="58" t="str">
        <f>IF(COUNTA(A111:I111)=0,"",IF(N(A111)&lt;=0,"Date manquante ou invalide",IF(B111="","Équipe manquante",IF(ISNA(MATCH(B111,eq_code,0)),"Équipe inconnue",IF(INDEX(eq_check,MATCH(B111,eq_code,0))&lt;&gt;"OK","Équipe à corriger dans Paramètres",IF(C111="","Poste manquant",IF(ISNA(MATCH(C111,po_code,0)),"Poste inconnu",IF(AND(E111&lt;&gt;"",ISNA(MATCH(E111,art_ref,0))),"Article inconnu",IF(IF(E111="",FALSE,INDEX(art_check,MATCH(E111,art_ref,0))&lt;&gt;"OK"),"Article à corriger (feuille Articles)",IF(COUNTIFS(sj_date,A111,sj_eq,B111,sj_po,C111)&gt;1,"Ligne en double (même jour, équipe et poste)",IF(OR(NOT(ISNUMBER(K111)),N(K111)&lt;=0,N(K111)&gt;1440),"Temps d'ouverture invalide",IF(OR(AND(G111&lt;&gt;"",NOT(ISNUMBER(G111))),N(G111)&lt;0,N(G111)&lt;&gt;INT(N(G111)),AND(H111&lt;&gt;"",NOT(ISNUMBER(H111))),N(H111)&lt;0,N(H111)&lt;&gt;INT(N(H111)),AND(I111&lt;&gt;"",NOT(ISNUMBER(I111))),N(I111)&lt;0,N(I111)&lt;&gt;INT(N(I111))),"Quantité invalide",IF(Q111&lt;=0,"Cadence manquante (poste ou article)",IF(M111&lt;=0,"Arrêts planifiés supérieurs au temps d'ouverture",IF(O111&lt;0,"Arrêts supérieurs au temps requis",IF(AND(P111&gt;0,O111=0),"Pièces déclarées sans temps de marche",IF(AND(P111=0,O111&gt;0),"Aucune pièce déclarée",IF(P111*60/Q111&gt;O111+0.001,"Cadence dépassée : vérifiez la cadence","OK"))))))))))))))))))</f>
        <v>OK</v>
      </c>
      <c r="AC111">
        <f>IF(OR(AB111="OK",AB111="Aucune pièce déclarée",AB111="Cadence dépassée : vérifiez la cadence"),1,0)</f>
        <v>1.0</v>
      </c>
      <c r="AD111">
        <f>IF(AND(AC111=1,A111&gt;=p_from,A111&lt;=p_to),1,0)</f>
        <v>1.0</v>
      </c>
      <c r="AE111">
        <f>IF(AD111=1,IF(COUNTIFS($A$6:A111,A111,$AD$6:AD111,1)=1,1,0),0)</f>
        <v>0.0</v>
      </c>
      <c r="AF111" t="str">
        <f>IF(AE111=1,COUNTIFS(sj_first,1,sj_date,"&lt;"&amp;A111)+1,"")</f>
        <v/>
      </c>
      <c r="AG111" t="str">
        <f>IF(AND(AD111=1,N(W111)&lt;p_alert),ROUND(W111,4),"")</f>
        <v/>
      </c>
      <c r="AH111" t="str">
        <f>IF(AG111="","",COUNTIF(sj_akey,"&lt;"&amp;AG111)+COUNTIF($AG$6:AG111,AG111))</f>
        <v/>
      </c>
    </row>
    <row r="112">
      <c r="A112" s="51" t="n">
        <v>46300</v>
      </c>
      <c r="B112" s="52" t="inlineStr">
        <is>
          <t>Matin</t>
        </is>
      </c>
      <c r="C112" s="52" t="inlineStr">
        <is>
          <t>PRESSE</t>
        </is>
      </c>
      <c r="D112" s="53" t="inlineStr">
        <is>
          <t>OF-2609-134</t>
        </is>
      </c>
      <c r="E112" s="53" t="inlineStr">
        <is>
          <t>RON-M10</t>
        </is>
      </c>
      <c r="F112" s="54" t="n"/>
      <c r="G112" s="54" t="n">
        <v>3657</v>
      </c>
      <c r="H112" s="54" t="n">
        <v>54</v>
      </c>
      <c r="I112" s="54" t="n">
        <v>11</v>
      </c>
      <c r="J112" s="53" t="n"/>
      <c r="K112" s="55">
        <f>IF(COUNTA(A112:I112)=0,"",IF(F112="",IFERROR(INDEX(eq_dur,MATCH(B112,eq_code,0)),""),F112))</f>
        <v>480.0</v>
      </c>
      <c r="L112" s="55">
        <f>IF(ISNUMBER(K112),N(IFERROR(INDEX(eq_pause,MATCH(B112,eq_code,0)),0))+SUMIFS(st_min,st_date,A112,st_eq,B112,st_po,C112,st_type,"Planifié"),"")</f>
        <v>90.0</v>
      </c>
      <c r="M112" s="55">
        <f>IF(ISNUMBER(K112),K112-L112,"")</f>
        <v>390.0</v>
      </c>
      <c r="N112" s="55">
        <f>IF(ISNUMBER(K112),SUMIFS(st_min,st_date,A112,st_eq,B112,st_po,C112,st_type,"Non planifié"),"")</f>
        <v>0.0</v>
      </c>
      <c r="O112" s="55">
        <f>IF(ISNUMBER(K112),M112-N112,"")</f>
        <v>390.0</v>
      </c>
      <c r="P112" s="55">
        <f>IF(COUNTA(A112:I112)=0,"",N(G112)+N(H112)+N(I112))</f>
        <v>3722.0</v>
      </c>
      <c r="Q112" s="56">
        <f>IF(COUNTA(A112:I112)=0,"",IF(N(IFERROR(INDEX(art_rate,MATCH(E112,art_ref,0)),0))&gt;0,N(IFERROR(INDEX(art_rate,MATCH(E112,art_ref,0)),0)),N(IFERROR(INDEX(po_rate,MATCH(C112,po_code,0)),0))))</f>
        <v>600.0</v>
      </c>
      <c r="R112" s="55">
        <f>IF(AC112=1,P112*60/Q112,"")</f>
        <v>372.2</v>
      </c>
      <c r="S112" s="55">
        <f>IF(AC112=1,N(G112)*60/Q112,"")</f>
        <v>365.7</v>
      </c>
      <c r="T112" s="57">
        <f>IF(AC112=1,O112/M112,"")</f>
        <v>1.0</v>
      </c>
      <c r="U112" s="57">
        <f>IF(AC112=1,IF(O112&gt;0,R112/O112,""),"")</f>
        <v>0.954358974358974</v>
      </c>
      <c r="V112" s="57">
        <f>IF(AC112=1,IF(P112&gt;0,N(G112)/P112,""),"")</f>
        <v>0.982536270822139</v>
      </c>
      <c r="W112" s="57">
        <f>IF(AC112=1,S112/M112,"")</f>
        <v>0.937692307692308</v>
      </c>
      <c r="X112" s="57">
        <f>IF(AC112=1,S112/K112,"")</f>
        <v>0.761875</v>
      </c>
      <c r="Y112" s="58" t="str">
        <f>IF(W112="","",IF(W112&gt;=p_target,"Bon",IF(W112&gt;=p_alert,"À surveiller","Faible")))</f>
        <v>Bon</v>
      </c>
      <c r="Z112" s="58" t="str">
        <f>IF(W112="","",IF(MIN(IF(T112="",1,T112),IF(U112="",1,U112),IF(V112="",1,V112))&gt;=1,"Aucune",IF(IF(T112="",1,T112)&lt;=MIN(IF(U112="",1,U112),IF(V112="",1,V112)),"Disponibilité",IF(IF(U112="",1,U112)&lt;=IF(V112="",1,V112),"Performance","Qualité"))))</f>
        <v>Performance</v>
      </c>
      <c r="AA112" s="59">
        <f>IF(AC112=1,N(H112)*N(IFERROR(INDEX(art_cost,MATCH(E112,art_ref,0)),0)),"")</f>
        <v>48.6</v>
      </c>
      <c r="AB112" s="58" t="str">
        <f>IF(COUNTA(A112:I112)=0,"",IF(N(A112)&lt;=0,"Date manquante ou invalide",IF(B112="","Équipe manquante",IF(ISNA(MATCH(B112,eq_code,0)),"Équipe inconnue",IF(INDEX(eq_check,MATCH(B112,eq_code,0))&lt;&gt;"OK","Équipe à corriger dans Paramètres",IF(C112="","Poste manquant",IF(ISNA(MATCH(C112,po_code,0)),"Poste inconnu",IF(AND(E112&lt;&gt;"",ISNA(MATCH(E112,art_ref,0))),"Article inconnu",IF(IF(E112="",FALSE,INDEX(art_check,MATCH(E112,art_ref,0))&lt;&gt;"OK"),"Article à corriger (feuille Articles)",IF(COUNTIFS(sj_date,A112,sj_eq,B112,sj_po,C112)&gt;1,"Ligne en double (même jour, équipe et poste)",IF(OR(NOT(ISNUMBER(K112)),N(K112)&lt;=0,N(K112)&gt;1440),"Temps d'ouverture invalide",IF(OR(AND(G112&lt;&gt;"",NOT(ISNUMBER(G112))),N(G112)&lt;0,N(G112)&lt;&gt;INT(N(G112)),AND(H112&lt;&gt;"",NOT(ISNUMBER(H112))),N(H112)&lt;0,N(H112)&lt;&gt;INT(N(H112)),AND(I112&lt;&gt;"",NOT(ISNUMBER(I112))),N(I112)&lt;0,N(I112)&lt;&gt;INT(N(I112))),"Quantité invalide",IF(Q112&lt;=0,"Cadence manquante (poste ou article)",IF(M112&lt;=0,"Arrêts planifiés supérieurs au temps d'ouverture",IF(O112&lt;0,"Arrêts supérieurs au temps requis",IF(AND(P112&gt;0,O112=0),"Pièces déclarées sans temps de marche",IF(AND(P112=0,O112&gt;0),"Aucune pièce déclarée",IF(P112*60/Q112&gt;O112+0.001,"Cadence dépassée : vérifiez la cadence","OK"))))))))))))))))))</f>
        <v>OK</v>
      </c>
      <c r="AC112">
        <f>IF(OR(AB112="OK",AB112="Aucune pièce déclarée",AB112="Cadence dépassée : vérifiez la cadence"),1,0)</f>
        <v>1.0</v>
      </c>
      <c r="AD112">
        <f>IF(AND(AC112=1,A112&gt;=p_from,A112&lt;=p_to),1,0)</f>
        <v>1.0</v>
      </c>
      <c r="AE112">
        <f>IF(AD112=1,IF(COUNTIFS($A$6:A112,A112,$AD$6:AD112,1)=1,1,0),0)</f>
        <v>0.0</v>
      </c>
      <c r="AF112" t="str">
        <f>IF(AE112=1,COUNTIFS(sj_first,1,sj_date,"&lt;"&amp;A112)+1,"")</f>
        <v/>
      </c>
      <c r="AG112" t="str">
        <f>IF(AND(AD112=1,N(W112)&lt;p_alert),ROUND(W112,4),"")</f>
        <v/>
      </c>
      <c r="AH112" t="str">
        <f>IF(AG112="","",COUNTIF(sj_akey,"&lt;"&amp;AG112)+COUNTIF($AG$6:AG112,AG112))</f>
        <v/>
      </c>
    </row>
    <row r="113">
      <c r="A113" s="51" t="n">
        <v>46300</v>
      </c>
      <c r="B113" s="52" t="inlineStr">
        <is>
          <t>Journée</t>
        </is>
      </c>
      <c r="C113" s="52" t="inlineStr">
        <is>
          <t>PLIE</t>
        </is>
      </c>
      <c r="D113" s="53" t="inlineStr">
        <is>
          <t>OF-2609-128</t>
        </is>
      </c>
      <c r="E113" s="53" t="inlineStr">
        <is>
          <t>SUP-MOT-01</t>
        </is>
      </c>
      <c r="F113" s="54" t="n"/>
      <c r="G113" s="54" t="n">
        <v>578</v>
      </c>
      <c r="H113" s="54" t="n">
        <v>9</v>
      </c>
      <c r="I113" s="54" t="n">
        <v>5</v>
      </c>
      <c r="J113" s="53" t="n"/>
      <c r="K113" s="55">
        <f>IF(COUNTA(A113:I113)=0,"",IF(F113="",IFERROR(INDEX(eq_dur,MATCH(B113,eq_code,0)),""),F113))</f>
        <v>540.0</v>
      </c>
      <c r="L113" s="55">
        <f>IF(ISNUMBER(K113),N(IFERROR(INDEX(eq_pause,MATCH(B113,eq_code,0)),0))+SUMIFS(st_min,st_date,A113,st_eq,B113,st_po,C113,st_type,"Planifié"),"")</f>
        <v>60.0</v>
      </c>
      <c r="M113" s="55">
        <f>IF(ISNUMBER(K113),K113-L113,"")</f>
        <v>480.0</v>
      </c>
      <c r="N113" s="55">
        <f>IF(ISNUMBER(K113),SUMIFS(st_min,st_date,A113,st_eq,B113,st_po,C113,st_type,"Non planifié"),"")</f>
        <v>0.0</v>
      </c>
      <c r="O113" s="55">
        <f>IF(ISNUMBER(K113),M113-N113,"")</f>
        <v>480.0</v>
      </c>
      <c r="P113" s="55">
        <f>IF(COUNTA(A113:I113)=0,"",N(G113)+N(H113)+N(I113))</f>
        <v>592.0</v>
      </c>
      <c r="Q113" s="56">
        <f>IF(COUNTA(A113:I113)=0,"",IF(N(IFERROR(INDEX(art_rate,MATCH(E113,art_ref,0)),0))&gt;0,N(IFERROR(INDEX(art_rate,MATCH(E113,art_ref,0)),0)),N(IFERROR(INDEX(po_rate,MATCH(C113,po_code,0)),0))))</f>
        <v>90.0</v>
      </c>
      <c r="R113" s="55">
        <f>IF(AC113=1,P113*60/Q113,"")</f>
        <v>394.666666666667</v>
      </c>
      <c r="S113" s="55">
        <f>IF(AC113=1,N(G113)*60/Q113,"")</f>
        <v>385.333333333333</v>
      </c>
      <c r="T113" s="57">
        <f>IF(AC113=1,O113/M113,"")</f>
        <v>1.0</v>
      </c>
      <c r="U113" s="57">
        <f>IF(AC113=1,IF(O113&gt;0,R113/O113,""),"")</f>
        <v>0.822222222222222</v>
      </c>
      <c r="V113" s="57">
        <f>IF(AC113=1,IF(P113&gt;0,N(G113)/P113,""),"")</f>
        <v>0.976351351351351</v>
      </c>
      <c r="W113" s="57">
        <f>IF(AC113=1,S113/M113,"")</f>
        <v>0.802777777777778</v>
      </c>
      <c r="X113" s="57">
        <f>IF(AC113=1,S113/K113,"")</f>
        <v>0.71358024691358</v>
      </c>
      <c r="Y113" s="58" t="str">
        <f>IF(W113="","",IF(W113&gt;=p_target,"Bon",IF(W113&gt;=p_alert,"À surveiller","Faible")))</f>
        <v>Bon</v>
      </c>
      <c r="Z113" s="58" t="str">
        <f>IF(W113="","",IF(MIN(IF(T113="",1,T113),IF(U113="",1,U113),IF(V113="",1,V113))&gt;=1,"Aucune",IF(IF(T113="",1,T113)&lt;=MIN(IF(U113="",1,U113),IF(V113="",1,V113)),"Disponibilité",IF(IF(U113="",1,U113)&lt;=IF(V113="",1,V113),"Performance","Qualité"))))</f>
        <v>Performance</v>
      </c>
      <c r="AA113" s="59">
        <f>IF(AC113=1,N(H113)*N(IFERROR(INDEX(art_cost,MATCH(E113,art_ref,0)),0)),"")</f>
        <v>576.0</v>
      </c>
      <c r="AB113" s="58" t="str">
        <f>IF(COUNTA(A113:I113)=0,"",IF(N(A113)&lt;=0,"Date manquante ou invalide",IF(B113="","Équipe manquante",IF(ISNA(MATCH(B113,eq_code,0)),"Équipe inconnue",IF(INDEX(eq_check,MATCH(B113,eq_code,0))&lt;&gt;"OK","Équipe à corriger dans Paramètres",IF(C113="","Poste manquant",IF(ISNA(MATCH(C113,po_code,0)),"Poste inconnu",IF(AND(E113&lt;&gt;"",ISNA(MATCH(E113,art_ref,0))),"Article inconnu",IF(IF(E113="",FALSE,INDEX(art_check,MATCH(E113,art_ref,0))&lt;&gt;"OK"),"Article à corriger (feuille Articles)",IF(COUNTIFS(sj_date,A113,sj_eq,B113,sj_po,C113)&gt;1,"Ligne en double (même jour, équipe et poste)",IF(OR(NOT(ISNUMBER(K113)),N(K113)&lt;=0,N(K113)&gt;1440),"Temps d'ouverture invalide",IF(OR(AND(G113&lt;&gt;"",NOT(ISNUMBER(G113))),N(G113)&lt;0,N(G113)&lt;&gt;INT(N(G113)),AND(H113&lt;&gt;"",NOT(ISNUMBER(H113))),N(H113)&lt;0,N(H113)&lt;&gt;INT(N(H113)),AND(I113&lt;&gt;"",NOT(ISNUMBER(I113))),N(I113)&lt;0,N(I113)&lt;&gt;INT(N(I113))),"Quantité invalide",IF(Q113&lt;=0,"Cadence manquante (poste ou article)",IF(M113&lt;=0,"Arrêts planifiés supérieurs au temps d'ouverture",IF(O113&lt;0,"Arrêts supérieurs au temps requis",IF(AND(P113&gt;0,O113=0),"Pièces déclarées sans temps de marche",IF(AND(P113=0,O113&gt;0),"Aucune pièce déclarée",IF(P113*60/Q113&gt;O113+0.001,"Cadence dépassée : vérifiez la cadence","OK"))))))))))))))))))</f>
        <v>OK</v>
      </c>
      <c r="AC113">
        <f>IF(OR(AB113="OK",AB113="Aucune pièce déclarée",AB113="Cadence dépassée : vérifiez la cadence"),1,0)</f>
        <v>1.0</v>
      </c>
      <c r="AD113">
        <f>IF(AND(AC113=1,A113&gt;=p_from,A113&lt;=p_to),1,0)</f>
        <v>1.0</v>
      </c>
      <c r="AE113">
        <f>IF(AD113=1,IF(COUNTIFS($A$6:A113,A113,$AD$6:AD113,1)=1,1,0),0)</f>
        <v>0.0</v>
      </c>
      <c r="AF113" t="str">
        <f>IF(AE113=1,COUNTIFS(sj_first,1,sj_date,"&lt;"&amp;A113)+1,"")</f>
        <v/>
      </c>
      <c r="AG113" t="str">
        <f>IF(AND(AD113=1,N(W113)&lt;p_alert),ROUND(W113,4),"")</f>
        <v/>
      </c>
      <c r="AH113" t="str">
        <f>IF(AG113="","",COUNTIF(sj_akey,"&lt;"&amp;AG113)+COUNTIF($AG$6:AG113,AG113))</f>
        <v/>
      </c>
    </row>
    <row r="114">
      <c r="A114" s="51" t="n">
        <v>46300</v>
      </c>
      <c r="B114" s="52" t="inlineStr">
        <is>
          <t>Matin</t>
        </is>
      </c>
      <c r="C114" s="52" t="inlineStr">
        <is>
          <t>SOUD</t>
        </is>
      </c>
      <c r="D114" s="53" t="inlineStr">
        <is>
          <t>OF-2610-143</t>
        </is>
      </c>
      <c r="E114" s="53" t="inlineStr">
        <is>
          <t>BRA-SUS-02</t>
        </is>
      </c>
      <c r="F114" s="54" t="n"/>
      <c r="G114" s="54" t="n">
        <v>95</v>
      </c>
      <c r="H114" s="54" t="n">
        <v>3</v>
      </c>
      <c r="I114" s="54" t="n">
        <v>0</v>
      </c>
      <c r="J114" s="53" t="n"/>
      <c r="K114" s="55">
        <f>IF(COUNTA(A114:I114)=0,"",IF(F114="",IFERROR(INDEX(eq_dur,MATCH(B114,eq_code,0)),""),F114))</f>
        <v>480.0</v>
      </c>
      <c r="L114" s="55">
        <f>IF(ISNUMBER(K114),N(IFERROR(INDEX(eq_pause,MATCH(B114,eq_code,0)),0))+SUMIFS(st_min,st_date,A114,st_eq,B114,st_po,C114,st_type,"Planifié"),"")</f>
        <v>30.0</v>
      </c>
      <c r="M114" s="55">
        <f>IF(ISNUMBER(K114),K114-L114,"")</f>
        <v>450.0</v>
      </c>
      <c r="N114" s="55">
        <f>IF(ISNUMBER(K114),SUMIFS(st_min,st_date,A114,st_eq,B114,st_po,C114,st_type,"Non planifié"),"")</f>
        <v>81.0</v>
      </c>
      <c r="O114" s="55">
        <f>IF(ISNUMBER(K114),M114-N114,"")</f>
        <v>369.0</v>
      </c>
      <c r="P114" s="55">
        <f>IF(COUNTA(A114:I114)=0,"",N(G114)+N(H114)+N(I114))</f>
        <v>98.0</v>
      </c>
      <c r="Q114" s="56">
        <f>IF(COUNTA(A114:I114)=0,"",IF(N(IFERROR(INDEX(art_rate,MATCH(E114,art_ref,0)),0))&gt;0,N(IFERROR(INDEX(art_rate,MATCH(E114,art_ref,0)),0)),N(IFERROR(INDEX(po_rate,MATCH(C114,po_code,0)),0))))</f>
        <v>20.0</v>
      </c>
      <c r="R114" s="55">
        <f>IF(AC114=1,P114*60/Q114,"")</f>
        <v>294.0</v>
      </c>
      <c r="S114" s="55">
        <f>IF(AC114=1,N(G114)*60/Q114,"")</f>
        <v>285.0</v>
      </c>
      <c r="T114" s="57">
        <f>IF(AC114=1,O114/M114,"")</f>
        <v>0.82</v>
      </c>
      <c r="U114" s="57">
        <f>IF(AC114=1,IF(O114&gt;0,R114/O114,""),"")</f>
        <v>0.796747967479675</v>
      </c>
      <c r="V114" s="57">
        <f>IF(AC114=1,IF(P114&gt;0,N(G114)/P114,""),"")</f>
        <v>0.969387755102041</v>
      </c>
      <c r="W114" s="57">
        <f>IF(AC114=1,S114/M114,"")</f>
        <v>0.633333333333333</v>
      </c>
      <c r="X114" s="57">
        <f>IF(AC114=1,S114/K114,"")</f>
        <v>0.59375</v>
      </c>
      <c r="Y114" s="58" t="str">
        <f>IF(W114="","",IF(W114&gt;=p_target,"Bon",IF(W114&gt;=p_alert,"À surveiller","Faible")))</f>
        <v>À surveiller</v>
      </c>
      <c r="Z114" s="58" t="str">
        <f>IF(W114="","",IF(MIN(IF(T114="",1,T114),IF(U114="",1,U114),IF(V114="",1,V114))&gt;=1,"Aucune",IF(IF(T114="",1,T114)&lt;=MIN(IF(U114="",1,U114),IF(V114="",1,V114)),"Disponibilité",IF(IF(U114="",1,U114)&lt;=IF(V114="",1,V114),"Performance","Qualité"))))</f>
        <v>Performance</v>
      </c>
      <c r="AA114" s="59">
        <f>IF(AC114=1,N(H114)*N(IFERROR(INDEX(art_cost,MATCH(E114,art_ref,0)),0)),"")</f>
        <v>714.0</v>
      </c>
      <c r="AB114" s="58" t="str">
        <f>IF(COUNTA(A114:I114)=0,"",IF(N(A114)&lt;=0,"Date manquante ou invalide",IF(B114="","Équipe manquante",IF(ISNA(MATCH(B114,eq_code,0)),"Équipe inconnue",IF(INDEX(eq_check,MATCH(B114,eq_code,0))&lt;&gt;"OK","Équipe à corriger dans Paramètres",IF(C114="","Poste manquant",IF(ISNA(MATCH(C114,po_code,0)),"Poste inconnu",IF(AND(E114&lt;&gt;"",ISNA(MATCH(E114,art_ref,0))),"Article inconnu",IF(IF(E114="",FALSE,INDEX(art_check,MATCH(E114,art_ref,0))&lt;&gt;"OK"),"Article à corriger (feuille Articles)",IF(COUNTIFS(sj_date,A114,sj_eq,B114,sj_po,C114)&gt;1,"Ligne en double (même jour, équipe et poste)",IF(OR(NOT(ISNUMBER(K114)),N(K114)&lt;=0,N(K114)&gt;1440),"Temps d'ouverture invalide",IF(OR(AND(G114&lt;&gt;"",NOT(ISNUMBER(G114))),N(G114)&lt;0,N(G114)&lt;&gt;INT(N(G114)),AND(H114&lt;&gt;"",NOT(ISNUMBER(H114))),N(H114)&lt;0,N(H114)&lt;&gt;INT(N(H114)),AND(I114&lt;&gt;"",NOT(ISNUMBER(I114))),N(I114)&lt;0,N(I114)&lt;&gt;INT(N(I114))),"Quantité invalide",IF(Q114&lt;=0,"Cadence manquante (poste ou article)",IF(M114&lt;=0,"Arrêts planifiés supérieurs au temps d'ouverture",IF(O114&lt;0,"Arrêts supérieurs au temps requis",IF(AND(P114&gt;0,O114=0),"Pièces déclarées sans temps de marche",IF(AND(P114=0,O114&gt;0),"Aucune pièce déclarée",IF(P114*60/Q114&gt;O114+0.001,"Cadence dépassée : vérifiez la cadence","OK"))))))))))))))))))</f>
        <v>OK</v>
      </c>
      <c r="AC114">
        <f>IF(OR(AB114="OK",AB114="Aucune pièce déclarée",AB114="Cadence dépassée : vérifiez la cadence"),1,0)</f>
        <v>1.0</v>
      </c>
      <c r="AD114">
        <f>IF(AND(AC114=1,A114&gt;=p_from,A114&lt;=p_to),1,0)</f>
        <v>1.0</v>
      </c>
      <c r="AE114">
        <f>IF(AD114=1,IF(COUNTIFS($A$6:A114,A114,$AD$6:AD114,1)=1,1,0),0)</f>
        <v>0.0</v>
      </c>
      <c r="AF114" t="str">
        <f>IF(AE114=1,COUNTIFS(sj_first,1,sj_date,"&lt;"&amp;A114)+1,"")</f>
        <v/>
      </c>
      <c r="AG114" t="str">
        <f>IF(AND(AD114=1,N(W114)&lt;p_alert),ROUND(W114,4),"")</f>
        <v/>
      </c>
      <c r="AH114" t="str">
        <f>IF(AG114="","",COUNTIF(sj_akey,"&lt;"&amp;AG114)+COUNTIF($AG$6:AG114,AG114))</f>
        <v/>
      </c>
    </row>
    <row r="115">
      <c r="A115" s="51" t="n">
        <v>46300</v>
      </c>
      <c r="B115" s="52" t="inlineStr">
        <is>
          <t>Après-midi</t>
        </is>
      </c>
      <c r="C115" s="52" t="inlineStr">
        <is>
          <t>SOUD</t>
        </is>
      </c>
      <c r="D115" s="53" t="inlineStr">
        <is>
          <t>OF-2610-144</t>
        </is>
      </c>
      <c r="E115" s="53" t="inlineStr">
        <is>
          <t>BRA-SUS-02</t>
        </is>
      </c>
      <c r="F115" s="54" t="n"/>
      <c r="G115" s="54" t="n">
        <v>83</v>
      </c>
      <c r="H115" s="54" t="n">
        <v>2</v>
      </c>
      <c r="I115" s="54" t="n">
        <v>0</v>
      </c>
      <c r="J115" s="53" t="n"/>
      <c r="K115" s="55">
        <f>IF(COUNTA(A115:I115)=0,"",IF(F115="",IFERROR(INDEX(eq_dur,MATCH(B115,eq_code,0)),""),F115))</f>
        <v>480.0</v>
      </c>
      <c r="L115" s="55">
        <f>IF(ISNUMBER(K115),N(IFERROR(INDEX(eq_pause,MATCH(B115,eq_code,0)),0))+SUMIFS(st_min,st_date,A115,st_eq,B115,st_po,C115,st_type,"Planifié"),"")</f>
        <v>30.0</v>
      </c>
      <c r="M115" s="55">
        <f>IF(ISNUMBER(K115),K115-L115,"")</f>
        <v>450.0</v>
      </c>
      <c r="N115" s="55">
        <f>IF(ISNUMBER(K115),SUMIFS(st_min,st_date,A115,st_eq,B115,st_po,C115,st_type,"Non planifié"),"")</f>
        <v>126.0</v>
      </c>
      <c r="O115" s="55">
        <f>IF(ISNUMBER(K115),M115-N115,"")</f>
        <v>324.0</v>
      </c>
      <c r="P115" s="55">
        <f>IF(COUNTA(A115:I115)=0,"",N(G115)+N(H115)+N(I115))</f>
        <v>85.0</v>
      </c>
      <c r="Q115" s="56">
        <f>IF(COUNTA(A115:I115)=0,"",IF(N(IFERROR(INDEX(art_rate,MATCH(E115,art_ref,0)),0))&gt;0,N(IFERROR(INDEX(art_rate,MATCH(E115,art_ref,0)),0)),N(IFERROR(INDEX(po_rate,MATCH(C115,po_code,0)),0))))</f>
        <v>20.0</v>
      </c>
      <c r="R115" s="55">
        <f>IF(AC115=1,P115*60/Q115,"")</f>
        <v>255.0</v>
      </c>
      <c r="S115" s="55">
        <f>IF(AC115=1,N(G115)*60/Q115,"")</f>
        <v>249.0</v>
      </c>
      <c r="T115" s="57">
        <f>IF(AC115=1,O115/M115,"")</f>
        <v>0.72</v>
      </c>
      <c r="U115" s="57">
        <f>IF(AC115=1,IF(O115&gt;0,R115/O115,""),"")</f>
        <v>0.787037037037037</v>
      </c>
      <c r="V115" s="57">
        <f>IF(AC115=1,IF(P115&gt;0,N(G115)/P115,""),"")</f>
        <v>0.976470588235294</v>
      </c>
      <c r="W115" s="57">
        <f>IF(AC115=1,S115/M115,"")</f>
        <v>0.553333333333333</v>
      </c>
      <c r="X115" s="57">
        <f>IF(AC115=1,S115/K115,"")</f>
        <v>0.51875</v>
      </c>
      <c r="Y115" s="58" t="str">
        <f>IF(W115="","",IF(W115&gt;=p_target,"Bon",IF(W115&gt;=p_alert,"À surveiller","Faible")))</f>
        <v>À surveiller</v>
      </c>
      <c r="Z115" s="58" t="str">
        <f>IF(W115="","",IF(MIN(IF(T115="",1,T115),IF(U115="",1,U115),IF(V115="",1,V115))&gt;=1,"Aucune",IF(IF(T115="",1,T115)&lt;=MIN(IF(U115="",1,U115),IF(V115="",1,V115)),"Disponibilité",IF(IF(U115="",1,U115)&lt;=IF(V115="",1,V115),"Performance","Qualité"))))</f>
        <v>Disponibilité</v>
      </c>
      <c r="AA115" s="59">
        <f>IF(AC115=1,N(H115)*N(IFERROR(INDEX(art_cost,MATCH(E115,art_ref,0)),0)),"")</f>
        <v>476.0</v>
      </c>
      <c r="AB115" s="58" t="str">
        <f>IF(COUNTA(A115:I115)=0,"",IF(N(A115)&lt;=0,"Date manquante ou invalide",IF(B115="","Équipe manquante",IF(ISNA(MATCH(B115,eq_code,0)),"Équipe inconnue",IF(INDEX(eq_check,MATCH(B115,eq_code,0))&lt;&gt;"OK","Équipe à corriger dans Paramètres",IF(C115="","Poste manquant",IF(ISNA(MATCH(C115,po_code,0)),"Poste inconnu",IF(AND(E115&lt;&gt;"",ISNA(MATCH(E115,art_ref,0))),"Article inconnu",IF(IF(E115="",FALSE,INDEX(art_check,MATCH(E115,art_ref,0))&lt;&gt;"OK"),"Article à corriger (feuille Articles)",IF(COUNTIFS(sj_date,A115,sj_eq,B115,sj_po,C115)&gt;1,"Ligne en double (même jour, équipe et poste)",IF(OR(NOT(ISNUMBER(K115)),N(K115)&lt;=0,N(K115)&gt;1440),"Temps d'ouverture invalide",IF(OR(AND(G115&lt;&gt;"",NOT(ISNUMBER(G115))),N(G115)&lt;0,N(G115)&lt;&gt;INT(N(G115)),AND(H115&lt;&gt;"",NOT(ISNUMBER(H115))),N(H115)&lt;0,N(H115)&lt;&gt;INT(N(H115)),AND(I115&lt;&gt;"",NOT(ISNUMBER(I115))),N(I115)&lt;0,N(I115)&lt;&gt;INT(N(I115))),"Quantité invalide",IF(Q115&lt;=0,"Cadence manquante (poste ou article)",IF(M115&lt;=0,"Arrêts planifiés supérieurs au temps d'ouverture",IF(O115&lt;0,"Arrêts supérieurs au temps requis",IF(AND(P115&gt;0,O115=0),"Pièces déclarées sans temps de marche",IF(AND(P115=0,O115&gt;0),"Aucune pièce déclarée",IF(P115*60/Q115&gt;O115+0.001,"Cadence dépassée : vérifiez la cadence","OK"))))))))))))))))))</f>
        <v>OK</v>
      </c>
      <c r="AC115">
        <f>IF(OR(AB115="OK",AB115="Aucune pièce déclarée",AB115="Cadence dépassée : vérifiez la cadence"),1,0)</f>
        <v>1.0</v>
      </c>
      <c r="AD115">
        <f>IF(AND(AC115=1,A115&gt;=p_from,A115&lt;=p_to),1,0)</f>
        <v>1.0</v>
      </c>
      <c r="AE115">
        <f>IF(AD115=1,IF(COUNTIFS($A$6:A115,A115,$AD$6:AD115,1)=1,1,0),0)</f>
        <v>0.0</v>
      </c>
      <c r="AF115" t="str">
        <f>IF(AE115=1,COUNTIFS(sj_first,1,sj_date,"&lt;"&amp;A115)+1,"")</f>
        <v/>
      </c>
      <c r="AG115" t="str">
        <f>IF(AND(AD115=1,N(W115)&lt;p_alert),ROUND(W115,4),"")</f>
        <v/>
      </c>
      <c r="AH115" t="str">
        <f>IF(AG115="","",COUNTIF(sj_akey,"&lt;"&amp;AG115)+COUNTIF($AG$6:AG115,AG115))</f>
        <v/>
      </c>
    </row>
    <row r="116">
      <c r="A116" s="51" t="n">
        <v>46301</v>
      </c>
      <c r="B116" s="52" t="inlineStr">
        <is>
          <t>Matin</t>
        </is>
      </c>
      <c r="C116" s="52" t="inlineStr">
        <is>
          <t>TOUR1</t>
        </is>
      </c>
      <c r="D116" s="53" t="inlineStr">
        <is>
          <t>OF-2610-141</t>
        </is>
      </c>
      <c r="E116" s="53" t="inlineStr">
        <is>
          <t>BAG-BR-32</t>
        </is>
      </c>
      <c r="F116" s="54" t="n"/>
      <c r="G116" s="54" t="n">
        <v>267</v>
      </c>
      <c r="H116" s="54" t="n">
        <v>2</v>
      </c>
      <c r="I116" s="54" t="n">
        <v>1</v>
      </c>
      <c r="J116" s="53" t="n"/>
      <c r="K116" s="55">
        <f>IF(COUNTA(A116:I116)=0,"",IF(F116="",IFERROR(INDEX(eq_dur,MATCH(B116,eq_code,0)),""),F116))</f>
        <v>480.0</v>
      </c>
      <c r="L116" s="55">
        <f>IF(ISNUMBER(K116),N(IFERROR(INDEX(eq_pause,MATCH(B116,eq_code,0)),0))+SUMIFS(st_min,st_date,A116,st_eq,B116,st_po,C116,st_type,"Planifié"),"")</f>
        <v>30.0</v>
      </c>
      <c r="M116" s="55">
        <f>IF(ISNUMBER(K116),K116-L116,"")</f>
        <v>450.0</v>
      </c>
      <c r="N116" s="55">
        <f>IF(ISNUMBER(K116),SUMIFS(st_min,st_date,A116,st_eq,B116,st_po,C116,st_type,"Non planifié"),"")</f>
        <v>25.0</v>
      </c>
      <c r="O116" s="55">
        <f>IF(ISNUMBER(K116),M116-N116,"")</f>
        <v>425.0</v>
      </c>
      <c r="P116" s="55">
        <f>IF(COUNTA(A116:I116)=0,"",N(G116)+N(H116)+N(I116))</f>
        <v>270.0</v>
      </c>
      <c r="Q116" s="56">
        <f>IF(COUNTA(A116:I116)=0,"",IF(N(IFERROR(INDEX(art_rate,MATCH(E116,art_ref,0)),0))&gt;0,N(IFERROR(INDEX(art_rate,MATCH(E116,art_ref,0)),0)),N(IFERROR(INDEX(po_rate,MATCH(C116,po_code,0)),0))))</f>
        <v>40.0</v>
      </c>
      <c r="R116" s="55">
        <f>IF(AC116=1,P116*60/Q116,"")</f>
        <v>405.0</v>
      </c>
      <c r="S116" s="55">
        <f>IF(AC116=1,N(G116)*60/Q116,"")</f>
        <v>400.5</v>
      </c>
      <c r="T116" s="57">
        <f>IF(AC116=1,O116/M116,"")</f>
        <v>0.944444444444444</v>
      </c>
      <c r="U116" s="57">
        <f>IF(AC116=1,IF(O116&gt;0,R116/O116,""),"")</f>
        <v>0.952941176470588</v>
      </c>
      <c r="V116" s="57">
        <f>IF(AC116=1,IF(P116&gt;0,N(G116)/P116,""),"")</f>
        <v>0.988888888888889</v>
      </c>
      <c r="W116" s="57">
        <f>IF(AC116=1,S116/M116,"")</f>
        <v>0.89</v>
      </c>
      <c r="X116" s="57">
        <f>IF(AC116=1,S116/K116,"")</f>
        <v>0.834375</v>
      </c>
      <c r="Y116" s="58" t="str">
        <f>IF(W116="","",IF(W116&gt;=p_target,"Bon",IF(W116&gt;=p_alert,"À surveiller","Faible")))</f>
        <v>Bon</v>
      </c>
      <c r="Z116" s="58" t="str">
        <f>IF(W116="","",IF(MIN(IF(T116="",1,T116),IF(U116="",1,U116),IF(V116="",1,V116))&gt;=1,"Aucune",IF(IF(T116="",1,T116)&lt;=MIN(IF(U116="",1,U116),IF(V116="",1,V116)),"Disponibilité",IF(IF(U116="",1,U116)&lt;=IF(V116="",1,V116),"Performance","Qualité"))))</f>
        <v>Disponibilité</v>
      </c>
      <c r="AA116" s="59">
        <f>IF(AC116=1,N(H116)*N(IFERROR(INDEX(art_cost,MATCH(E116,art_ref,0)),0)),"")</f>
        <v>104.0</v>
      </c>
      <c r="AB116" s="58" t="str">
        <f>IF(COUNTA(A116:I116)=0,"",IF(N(A116)&lt;=0,"Date manquante ou invalide",IF(B116="","Équipe manquante",IF(ISNA(MATCH(B116,eq_code,0)),"Équipe inconnue",IF(INDEX(eq_check,MATCH(B116,eq_code,0))&lt;&gt;"OK","Équipe à corriger dans Paramètres",IF(C116="","Poste manquant",IF(ISNA(MATCH(C116,po_code,0)),"Poste inconnu",IF(AND(E116&lt;&gt;"",ISNA(MATCH(E116,art_ref,0))),"Article inconnu",IF(IF(E116="",FALSE,INDEX(art_check,MATCH(E116,art_ref,0))&lt;&gt;"OK"),"Article à corriger (feuille Articles)",IF(COUNTIFS(sj_date,A116,sj_eq,B116,sj_po,C116)&gt;1,"Ligne en double (même jour, équipe et poste)",IF(OR(NOT(ISNUMBER(K116)),N(K116)&lt;=0,N(K116)&gt;1440),"Temps d'ouverture invalide",IF(OR(AND(G116&lt;&gt;"",NOT(ISNUMBER(G116))),N(G116)&lt;0,N(G116)&lt;&gt;INT(N(G116)),AND(H116&lt;&gt;"",NOT(ISNUMBER(H116))),N(H116)&lt;0,N(H116)&lt;&gt;INT(N(H116)),AND(I116&lt;&gt;"",NOT(ISNUMBER(I116))),N(I116)&lt;0,N(I116)&lt;&gt;INT(N(I116))),"Quantité invalide",IF(Q116&lt;=0,"Cadence manquante (poste ou article)",IF(M116&lt;=0,"Arrêts planifiés supérieurs au temps d'ouverture",IF(O116&lt;0,"Arrêts supérieurs au temps requis",IF(AND(P116&gt;0,O116=0),"Pièces déclarées sans temps de marche",IF(AND(P116=0,O116&gt;0),"Aucune pièce déclarée",IF(P116*60/Q116&gt;O116+0.001,"Cadence dépassée : vérifiez la cadence","OK"))))))))))))))))))</f>
        <v>OK</v>
      </c>
      <c r="AC116">
        <f>IF(OR(AB116="OK",AB116="Aucune pièce déclarée",AB116="Cadence dépassée : vérifiez la cadence"),1,0)</f>
        <v>1.0</v>
      </c>
      <c r="AD116">
        <f>IF(AND(AC116=1,A116&gt;=p_from,A116&lt;=p_to),1,0)</f>
        <v>1.0</v>
      </c>
      <c r="AE116">
        <f>IF(AD116=1,IF(COUNTIFS($A$6:A116,A116,$AD$6:AD116,1)=1,1,0),0)</f>
        <v>1.0</v>
      </c>
      <c r="AF116">
        <f>IF(AE116=1,COUNTIFS(sj_first,1,sj_date,"&lt;"&amp;A116)+1,"")</f>
        <v>12.0</v>
      </c>
      <c r="AG116" t="str">
        <f>IF(AND(AD116=1,N(W116)&lt;p_alert),ROUND(W116,4),"")</f>
        <v/>
      </c>
      <c r="AH116" t="str">
        <f>IF(AG116="","",COUNTIF(sj_akey,"&lt;"&amp;AG116)+COUNTIF($AG$6:AG116,AG116))</f>
        <v/>
      </c>
    </row>
    <row r="117">
      <c r="A117" s="51" t="n">
        <v>46301</v>
      </c>
      <c r="B117" s="52" t="inlineStr">
        <is>
          <t>Après-midi</t>
        </is>
      </c>
      <c r="C117" s="52" t="inlineStr">
        <is>
          <t>TOUR1</t>
        </is>
      </c>
      <c r="D117" s="53" t="inlineStr">
        <is>
          <t>OF-2610-142</t>
        </is>
      </c>
      <c r="E117" s="53" t="inlineStr">
        <is>
          <t>AXE-R20</t>
        </is>
      </c>
      <c r="F117" s="54" t="n">
        <v>240</v>
      </c>
      <c r="G117" s="54" t="n">
        <v>77</v>
      </c>
      <c r="H117" s="54" t="n">
        <v>0</v>
      </c>
      <c r="I117" s="54" t="n">
        <v>0</v>
      </c>
      <c r="J117" s="53" t="n"/>
      <c r="K117" s="55">
        <f>IF(COUNTA(A117:I117)=0,"",IF(F117="",IFERROR(INDEX(eq_dur,MATCH(B117,eq_code,0)),""),F117))</f>
        <v>240.0</v>
      </c>
      <c r="L117" s="55">
        <f>IF(ISNUMBER(K117),N(IFERROR(INDEX(eq_pause,MATCH(B117,eq_code,0)),0))+SUMIFS(st_min,st_date,A117,st_eq,B117,st_po,C117,st_type,"Planifié"),"")</f>
        <v>30.0</v>
      </c>
      <c r="M117" s="55">
        <f>IF(ISNUMBER(K117),K117-L117,"")</f>
        <v>210.0</v>
      </c>
      <c r="N117" s="55">
        <f>IF(ISNUMBER(K117),SUMIFS(st_min,st_date,A117,st_eq,B117,st_po,C117,st_type,"Non planifié"),"")</f>
        <v>42.0</v>
      </c>
      <c r="O117" s="55">
        <f>IF(ISNUMBER(K117),M117-N117,"")</f>
        <v>168.0</v>
      </c>
      <c r="P117" s="55">
        <f>IF(COUNTA(A117:I117)=0,"",N(G117)+N(H117)+N(I117))</f>
        <v>77.0</v>
      </c>
      <c r="Q117" s="56">
        <f>IF(COUNTA(A117:I117)=0,"",IF(N(IFERROR(INDEX(art_rate,MATCH(E117,art_ref,0)),0))&gt;0,N(IFERROR(INDEX(art_rate,MATCH(E117,art_ref,0)),0)),N(IFERROR(INDEX(po_rate,MATCH(C117,po_code,0)),0))))</f>
        <v>30.0</v>
      </c>
      <c r="R117" s="55">
        <f>IF(AC117=1,P117*60/Q117,"")</f>
        <v>154.0</v>
      </c>
      <c r="S117" s="55">
        <f>IF(AC117=1,N(G117)*60/Q117,"")</f>
        <v>154.0</v>
      </c>
      <c r="T117" s="57">
        <f>IF(AC117=1,O117/M117,"")</f>
        <v>0.8</v>
      </c>
      <c r="U117" s="57">
        <f>IF(AC117=1,IF(O117&gt;0,R117/O117,""),"")</f>
        <v>0.916666666666667</v>
      </c>
      <c r="V117" s="57">
        <f>IF(AC117=1,IF(P117&gt;0,N(G117)/P117,""),"")</f>
        <v>1.0</v>
      </c>
      <c r="W117" s="57">
        <f>IF(AC117=1,S117/M117,"")</f>
        <v>0.733333333333333</v>
      </c>
      <c r="X117" s="57">
        <f>IF(AC117=1,S117/K117,"")</f>
        <v>0.641666666666667</v>
      </c>
      <c r="Y117" s="58" t="str">
        <f>IF(W117="","",IF(W117&gt;=p_target,"Bon",IF(W117&gt;=p_alert,"À surveiller","Faible")))</f>
        <v>À surveiller</v>
      </c>
      <c r="Z117" s="58" t="str">
        <f>IF(W117="","",IF(MIN(IF(T117="",1,T117),IF(U117="",1,U117),IF(V117="",1,V117))&gt;=1,"Aucune",IF(IF(T117="",1,T117)&lt;=MIN(IF(U117="",1,U117),IF(V117="",1,V117)),"Disponibilité",IF(IF(U117="",1,U117)&lt;=IF(V117="",1,V117),"Performance","Qualité"))))</f>
        <v>Disponibilité</v>
      </c>
      <c r="AA117" s="59">
        <f>IF(AC117=1,N(H117)*N(IFERROR(INDEX(art_cost,MATCH(E117,art_ref,0)),0)),"")</f>
        <v>0.0</v>
      </c>
      <c r="AB117" s="58" t="str">
        <f>IF(COUNTA(A117:I117)=0,"",IF(N(A117)&lt;=0,"Date manquante ou invalide",IF(B117="","Équipe manquante",IF(ISNA(MATCH(B117,eq_code,0)),"Équipe inconnue",IF(INDEX(eq_check,MATCH(B117,eq_code,0))&lt;&gt;"OK","Équipe à corriger dans Paramètres",IF(C117="","Poste manquant",IF(ISNA(MATCH(C117,po_code,0)),"Poste inconnu",IF(AND(E117&lt;&gt;"",ISNA(MATCH(E117,art_ref,0))),"Article inconnu",IF(IF(E117="",FALSE,INDEX(art_check,MATCH(E117,art_ref,0))&lt;&gt;"OK"),"Article à corriger (feuille Articles)",IF(COUNTIFS(sj_date,A117,sj_eq,B117,sj_po,C117)&gt;1,"Ligne en double (même jour, équipe et poste)",IF(OR(NOT(ISNUMBER(K117)),N(K117)&lt;=0,N(K117)&gt;1440),"Temps d'ouverture invalide",IF(OR(AND(G117&lt;&gt;"",NOT(ISNUMBER(G117))),N(G117)&lt;0,N(G117)&lt;&gt;INT(N(G117)),AND(H117&lt;&gt;"",NOT(ISNUMBER(H117))),N(H117)&lt;0,N(H117)&lt;&gt;INT(N(H117)),AND(I117&lt;&gt;"",NOT(ISNUMBER(I117))),N(I117)&lt;0,N(I117)&lt;&gt;INT(N(I117))),"Quantité invalide",IF(Q117&lt;=0,"Cadence manquante (poste ou article)",IF(M117&lt;=0,"Arrêts planifiés supérieurs au temps d'ouverture",IF(O117&lt;0,"Arrêts supérieurs au temps requis",IF(AND(P117&gt;0,O117=0),"Pièces déclarées sans temps de marche",IF(AND(P117=0,O117&gt;0),"Aucune pièce déclarée",IF(P117*60/Q117&gt;O117+0.001,"Cadence dépassée : vérifiez la cadence","OK"))))))))))))))))))</f>
        <v>OK</v>
      </c>
      <c r="AC117">
        <f>IF(OR(AB117="OK",AB117="Aucune pièce déclarée",AB117="Cadence dépassée : vérifiez la cadence"),1,0)</f>
        <v>1.0</v>
      </c>
      <c r="AD117">
        <f>IF(AND(AC117=1,A117&gt;=p_from,A117&lt;=p_to),1,0)</f>
        <v>1.0</v>
      </c>
      <c r="AE117">
        <f>IF(AD117=1,IF(COUNTIFS($A$6:A117,A117,$AD$6:AD117,1)=1,1,0),0)</f>
        <v>0.0</v>
      </c>
      <c r="AF117" t="str">
        <f>IF(AE117=1,COUNTIFS(sj_first,1,sj_date,"&lt;"&amp;A117)+1,"")</f>
        <v/>
      </c>
      <c r="AG117" t="str">
        <f>IF(AND(AD117=1,N(W117)&lt;p_alert),ROUND(W117,4),"")</f>
        <v/>
      </c>
      <c r="AH117" t="str">
        <f>IF(AG117="","",COUNTIF(sj_akey,"&lt;"&amp;AG117)+COUNTIF($AG$6:AG117,AG117))</f>
        <v/>
      </c>
    </row>
    <row r="118">
      <c r="A118" s="51" t="n">
        <v>46301</v>
      </c>
      <c r="B118" s="52" t="inlineStr">
        <is>
          <t>Matin</t>
        </is>
      </c>
      <c r="C118" s="52" t="inlineStr">
        <is>
          <t>TOUR2</t>
        </is>
      </c>
      <c r="D118" s="53" t="inlineStr">
        <is>
          <t>OF-2609-116</t>
        </is>
      </c>
      <c r="E118" s="53" t="inlineStr">
        <is>
          <t>AXE-R20</t>
        </is>
      </c>
      <c r="F118" s="54" t="n"/>
      <c r="G118" s="54" t="n">
        <v>174</v>
      </c>
      <c r="H118" s="54" t="n">
        <v>5</v>
      </c>
      <c r="I118" s="54" t="n">
        <v>1</v>
      </c>
      <c r="J118" s="53" t="n"/>
      <c r="K118" s="55">
        <f>IF(COUNTA(A118:I118)=0,"",IF(F118="",IFERROR(INDEX(eq_dur,MATCH(B118,eq_code,0)),""),F118))</f>
        <v>480.0</v>
      </c>
      <c r="L118" s="55">
        <f>IF(ISNUMBER(K118),N(IFERROR(INDEX(eq_pause,MATCH(B118,eq_code,0)),0))+SUMIFS(st_min,st_date,A118,st_eq,B118,st_po,C118,st_type,"Planifié"),"")</f>
        <v>30.0</v>
      </c>
      <c r="M118" s="55">
        <f>IF(ISNUMBER(K118),K118-L118,"")</f>
        <v>450.0</v>
      </c>
      <c r="N118" s="55">
        <f>IF(ISNUMBER(K118),SUMIFS(st_min,st_date,A118,st_eq,B118,st_po,C118,st_type,"Non planifié"),"")</f>
        <v>13.0</v>
      </c>
      <c r="O118" s="55">
        <f>IF(ISNUMBER(K118),M118-N118,"")</f>
        <v>437.0</v>
      </c>
      <c r="P118" s="55">
        <f>IF(COUNTA(A118:I118)=0,"",N(G118)+N(H118)+N(I118))</f>
        <v>180.0</v>
      </c>
      <c r="Q118" s="56">
        <f>IF(COUNTA(A118:I118)=0,"",IF(N(IFERROR(INDEX(art_rate,MATCH(E118,art_ref,0)),0))&gt;0,N(IFERROR(INDEX(art_rate,MATCH(E118,art_ref,0)),0)),N(IFERROR(INDEX(po_rate,MATCH(C118,po_code,0)),0))))</f>
        <v>30.0</v>
      </c>
      <c r="R118" s="55">
        <f>IF(AC118=1,P118*60/Q118,"")</f>
        <v>360.0</v>
      </c>
      <c r="S118" s="55">
        <f>IF(AC118=1,N(G118)*60/Q118,"")</f>
        <v>348.0</v>
      </c>
      <c r="T118" s="57">
        <f>IF(AC118=1,O118/M118,"")</f>
        <v>0.971111111111111</v>
      </c>
      <c r="U118" s="57">
        <f>IF(AC118=1,IF(O118&gt;0,R118/O118,""),"")</f>
        <v>0.823798627002288</v>
      </c>
      <c r="V118" s="57">
        <f>IF(AC118=1,IF(P118&gt;0,N(G118)/P118,""),"")</f>
        <v>0.966666666666667</v>
      </c>
      <c r="W118" s="57">
        <f>IF(AC118=1,S118/M118,"")</f>
        <v>0.773333333333333</v>
      </c>
      <c r="X118" s="57">
        <f>IF(AC118=1,S118/K118,"")</f>
        <v>0.725</v>
      </c>
      <c r="Y118" s="58" t="str">
        <f>IF(W118="","",IF(W118&gt;=p_target,"Bon",IF(W118&gt;=p_alert,"À surveiller","Faible")))</f>
        <v>Bon</v>
      </c>
      <c r="Z118" s="58" t="str">
        <f>IF(W118="","",IF(MIN(IF(T118="",1,T118),IF(U118="",1,U118),IF(V118="",1,V118))&gt;=1,"Aucune",IF(IF(T118="",1,T118)&lt;=MIN(IF(U118="",1,U118),IF(V118="",1,V118)),"Disponibilité",IF(IF(U118="",1,U118)&lt;=IF(V118="",1,V118),"Performance","Qualité"))))</f>
        <v>Performance</v>
      </c>
      <c r="AA118" s="59">
        <f>IF(AC118=1,N(H118)*N(IFERROR(INDEX(art_cost,MATCH(E118,art_ref,0)),0)),"")</f>
        <v>192.5</v>
      </c>
      <c r="AB118" s="58" t="str">
        <f>IF(COUNTA(A118:I118)=0,"",IF(N(A118)&lt;=0,"Date manquante ou invalide",IF(B118="","Équipe manquante",IF(ISNA(MATCH(B118,eq_code,0)),"Équipe inconnue",IF(INDEX(eq_check,MATCH(B118,eq_code,0))&lt;&gt;"OK","Équipe à corriger dans Paramètres",IF(C118="","Poste manquant",IF(ISNA(MATCH(C118,po_code,0)),"Poste inconnu",IF(AND(E118&lt;&gt;"",ISNA(MATCH(E118,art_ref,0))),"Article inconnu",IF(IF(E118="",FALSE,INDEX(art_check,MATCH(E118,art_ref,0))&lt;&gt;"OK"),"Article à corriger (feuille Articles)",IF(COUNTIFS(sj_date,A118,sj_eq,B118,sj_po,C118)&gt;1,"Ligne en double (même jour, équipe et poste)",IF(OR(NOT(ISNUMBER(K118)),N(K118)&lt;=0,N(K118)&gt;1440),"Temps d'ouverture invalide",IF(OR(AND(G118&lt;&gt;"",NOT(ISNUMBER(G118))),N(G118)&lt;0,N(G118)&lt;&gt;INT(N(G118)),AND(H118&lt;&gt;"",NOT(ISNUMBER(H118))),N(H118)&lt;0,N(H118)&lt;&gt;INT(N(H118)),AND(I118&lt;&gt;"",NOT(ISNUMBER(I118))),N(I118)&lt;0,N(I118)&lt;&gt;INT(N(I118))),"Quantité invalide",IF(Q118&lt;=0,"Cadence manquante (poste ou article)",IF(M118&lt;=0,"Arrêts planifiés supérieurs au temps d'ouverture",IF(O118&lt;0,"Arrêts supérieurs au temps requis",IF(AND(P118&gt;0,O118=0),"Pièces déclarées sans temps de marche",IF(AND(P118=0,O118&gt;0),"Aucune pièce déclarée",IF(P118*60/Q118&gt;O118+0.001,"Cadence dépassée : vérifiez la cadence","OK"))))))))))))))))))</f>
        <v>OK</v>
      </c>
      <c r="AC118">
        <f>IF(OR(AB118="OK",AB118="Aucune pièce déclarée",AB118="Cadence dépassée : vérifiez la cadence"),1,0)</f>
        <v>1.0</v>
      </c>
      <c r="AD118">
        <f>IF(AND(AC118=1,A118&gt;=p_from,A118&lt;=p_to),1,0)</f>
        <v>1.0</v>
      </c>
      <c r="AE118">
        <f>IF(AD118=1,IF(COUNTIFS($A$6:A118,A118,$AD$6:AD118,1)=1,1,0),0)</f>
        <v>0.0</v>
      </c>
      <c r="AF118" t="str">
        <f>IF(AE118=1,COUNTIFS(sj_first,1,sj_date,"&lt;"&amp;A118)+1,"")</f>
        <v/>
      </c>
      <c r="AG118" t="str">
        <f>IF(AND(AD118=1,N(W118)&lt;p_alert),ROUND(W118,4),"")</f>
        <v/>
      </c>
      <c r="AH118" t="str">
        <f>IF(AG118="","",COUNTIF(sj_akey,"&lt;"&amp;AG118)+COUNTIF($AG$6:AG118,AG118))</f>
        <v/>
      </c>
    </row>
    <row r="119">
      <c r="A119" s="51" t="n">
        <v>46301</v>
      </c>
      <c r="B119" s="52" t="inlineStr">
        <is>
          <t>Après-midi</t>
        </is>
      </c>
      <c r="C119" s="52" t="inlineStr">
        <is>
          <t>TOUR2</t>
        </is>
      </c>
      <c r="D119" s="53" t="inlineStr">
        <is>
          <t>OF-2610-138</t>
        </is>
      </c>
      <c r="E119" s="53" t="inlineStr">
        <is>
          <t>ENT-12</t>
        </is>
      </c>
      <c r="F119" s="54" t="n"/>
      <c r="G119" s="54" t="n">
        <v>328</v>
      </c>
      <c r="H119" s="54" t="n">
        <v>11</v>
      </c>
      <c r="I119" s="54" t="n">
        <v>2</v>
      </c>
      <c r="J119" s="53" t="n"/>
      <c r="K119" s="55">
        <f>IF(COUNTA(A119:I119)=0,"",IF(F119="",IFERROR(INDEX(eq_dur,MATCH(B119,eq_code,0)),""),F119))</f>
        <v>480.0</v>
      </c>
      <c r="L119" s="55">
        <f>IF(ISNUMBER(K119),N(IFERROR(INDEX(eq_pause,MATCH(B119,eq_code,0)),0))+SUMIFS(st_min,st_date,A119,st_eq,B119,st_po,C119,st_type,"Planifié"),"")</f>
        <v>30.0</v>
      </c>
      <c r="M119" s="55">
        <f>IF(ISNUMBER(K119),K119-L119,"")</f>
        <v>450.0</v>
      </c>
      <c r="N119" s="55">
        <f>IF(ISNUMBER(K119),SUMIFS(st_min,st_date,A119,st_eq,B119,st_po,C119,st_type,"Non planifié"),"")</f>
        <v>37.0</v>
      </c>
      <c r="O119" s="55">
        <f>IF(ISNUMBER(K119),M119-N119,"")</f>
        <v>413.0</v>
      </c>
      <c r="P119" s="55">
        <f>IF(COUNTA(A119:I119)=0,"",N(G119)+N(H119)+N(I119))</f>
        <v>341.0</v>
      </c>
      <c r="Q119" s="56">
        <f>IF(COUNTA(A119:I119)=0,"",IF(N(IFERROR(INDEX(art_rate,MATCH(E119,art_ref,0)),0))&gt;0,N(IFERROR(INDEX(art_rate,MATCH(E119,art_ref,0)),0)),N(IFERROR(INDEX(po_rate,MATCH(C119,po_code,0)),0))))</f>
        <v>55.0</v>
      </c>
      <c r="R119" s="55">
        <f>IF(AC119=1,P119*60/Q119,"")</f>
        <v>372.0</v>
      </c>
      <c r="S119" s="55">
        <f>IF(AC119=1,N(G119)*60/Q119,"")</f>
        <v>357.818181818182</v>
      </c>
      <c r="T119" s="57">
        <f>IF(AC119=1,O119/M119,"")</f>
        <v>0.917777777777778</v>
      </c>
      <c r="U119" s="57">
        <f>IF(AC119=1,IF(O119&gt;0,R119/O119,""),"")</f>
        <v>0.900726392251816</v>
      </c>
      <c r="V119" s="57">
        <f>IF(AC119=1,IF(P119&gt;0,N(G119)/P119,""),"")</f>
        <v>0.961876832844575</v>
      </c>
      <c r="W119" s="57">
        <f>IF(AC119=1,S119/M119,"")</f>
        <v>0.795151515151515</v>
      </c>
      <c r="X119" s="57">
        <f>IF(AC119=1,S119/K119,"")</f>
        <v>0.745454545454546</v>
      </c>
      <c r="Y119" s="58" t="str">
        <f>IF(W119="","",IF(W119&gt;=p_target,"Bon",IF(W119&gt;=p_alert,"À surveiller","Faible")))</f>
        <v>Bon</v>
      </c>
      <c r="Z119" s="58" t="str">
        <f>IF(W119="","",IF(MIN(IF(T119="",1,T119),IF(U119="",1,U119),IF(V119="",1,V119))&gt;=1,"Aucune",IF(IF(T119="",1,T119)&lt;=MIN(IF(U119="",1,U119),IF(V119="",1,V119)),"Disponibilité",IF(IF(U119="",1,U119)&lt;=IF(V119="",1,V119),"Performance","Qualité"))))</f>
        <v>Performance</v>
      </c>
      <c r="AA119" s="59">
        <f>IF(AC119=1,N(H119)*N(IFERROR(INDEX(art_cost,MATCH(E119,art_ref,0)),0)),"")</f>
        <v>74.8</v>
      </c>
      <c r="AB119" s="58" t="str">
        <f>IF(COUNTA(A119:I119)=0,"",IF(N(A119)&lt;=0,"Date manquante ou invalide",IF(B119="","Équipe manquante",IF(ISNA(MATCH(B119,eq_code,0)),"Équipe inconnue",IF(INDEX(eq_check,MATCH(B119,eq_code,0))&lt;&gt;"OK","Équipe à corriger dans Paramètres",IF(C119="","Poste manquant",IF(ISNA(MATCH(C119,po_code,0)),"Poste inconnu",IF(AND(E119&lt;&gt;"",ISNA(MATCH(E119,art_ref,0))),"Article inconnu",IF(IF(E119="",FALSE,INDEX(art_check,MATCH(E119,art_ref,0))&lt;&gt;"OK"),"Article à corriger (feuille Articles)",IF(COUNTIFS(sj_date,A119,sj_eq,B119,sj_po,C119)&gt;1,"Ligne en double (même jour, équipe et poste)",IF(OR(NOT(ISNUMBER(K119)),N(K119)&lt;=0,N(K119)&gt;1440),"Temps d'ouverture invalide",IF(OR(AND(G119&lt;&gt;"",NOT(ISNUMBER(G119))),N(G119)&lt;0,N(G119)&lt;&gt;INT(N(G119)),AND(H119&lt;&gt;"",NOT(ISNUMBER(H119))),N(H119)&lt;0,N(H119)&lt;&gt;INT(N(H119)),AND(I119&lt;&gt;"",NOT(ISNUMBER(I119))),N(I119)&lt;0,N(I119)&lt;&gt;INT(N(I119))),"Quantité invalide",IF(Q119&lt;=0,"Cadence manquante (poste ou article)",IF(M119&lt;=0,"Arrêts planifiés supérieurs au temps d'ouverture",IF(O119&lt;0,"Arrêts supérieurs au temps requis",IF(AND(P119&gt;0,O119=0),"Pièces déclarées sans temps de marche",IF(AND(P119=0,O119&gt;0),"Aucune pièce déclarée",IF(P119*60/Q119&gt;O119+0.001,"Cadence dépassée : vérifiez la cadence","OK"))))))))))))))))))</f>
        <v>OK</v>
      </c>
      <c r="AC119">
        <f>IF(OR(AB119="OK",AB119="Aucune pièce déclarée",AB119="Cadence dépassée : vérifiez la cadence"),1,0)</f>
        <v>1.0</v>
      </c>
      <c r="AD119">
        <f>IF(AND(AC119=1,A119&gt;=p_from,A119&lt;=p_to),1,0)</f>
        <v>1.0</v>
      </c>
      <c r="AE119">
        <f>IF(AD119=1,IF(COUNTIFS($A$6:A119,A119,$AD$6:AD119,1)=1,1,0),0)</f>
        <v>0.0</v>
      </c>
      <c r="AF119" t="str">
        <f>IF(AE119=1,COUNTIFS(sj_first,1,sj_date,"&lt;"&amp;A119)+1,"")</f>
        <v/>
      </c>
      <c r="AG119" t="str">
        <f>IF(AND(AD119=1,N(W119)&lt;p_alert),ROUND(W119,4),"")</f>
        <v/>
      </c>
      <c r="AH119" t="str">
        <f>IF(AG119="","",COUNTIF(sj_akey,"&lt;"&amp;AG119)+COUNTIF($AG$6:AG119,AG119))</f>
        <v/>
      </c>
    </row>
    <row r="120">
      <c r="A120" s="51" t="n">
        <v>46301</v>
      </c>
      <c r="B120" s="52" t="inlineStr">
        <is>
          <t>Matin</t>
        </is>
      </c>
      <c r="C120" s="52" t="inlineStr">
        <is>
          <t>USIN</t>
        </is>
      </c>
      <c r="D120" s="53" t="inlineStr">
        <is>
          <t>OF-2610-145</t>
        </is>
      </c>
      <c r="E120" s="53" t="inlineStr">
        <is>
          <t>FLA-PL-150</t>
        </is>
      </c>
      <c r="F120" s="54" t="n"/>
      <c r="G120" s="54" t="n">
        <v>34</v>
      </c>
      <c r="H120" s="54" t="n">
        <v>1</v>
      </c>
      <c r="I120" s="54" t="n">
        <v>0</v>
      </c>
      <c r="J120" s="53" t="n"/>
      <c r="K120" s="55">
        <f>IF(COUNTA(A120:I120)=0,"",IF(F120="",IFERROR(INDEX(eq_dur,MATCH(B120,eq_code,0)),""),F120))</f>
        <v>480.0</v>
      </c>
      <c r="L120" s="55">
        <f>IF(ISNUMBER(K120),N(IFERROR(INDEX(eq_pause,MATCH(B120,eq_code,0)),0))+SUMIFS(st_min,st_date,A120,st_eq,B120,st_po,C120,st_type,"Planifié"),"")</f>
        <v>30.0</v>
      </c>
      <c r="M120" s="55">
        <f>IF(ISNUMBER(K120),K120-L120,"")</f>
        <v>450.0</v>
      </c>
      <c r="N120" s="55">
        <f>IF(ISNUMBER(K120),SUMIFS(st_min,st_date,A120,st_eq,B120,st_po,C120,st_type,"Non planifié"),"")</f>
        <v>242.0</v>
      </c>
      <c r="O120" s="55">
        <f>IF(ISNUMBER(K120),M120-N120,"")</f>
        <v>208.0</v>
      </c>
      <c r="P120" s="55">
        <f>IF(COUNTA(A120:I120)=0,"",N(G120)+N(H120)+N(I120))</f>
        <v>35.0</v>
      </c>
      <c r="Q120" s="56">
        <f>IF(COUNTA(A120:I120)=0,"",IF(N(IFERROR(INDEX(art_rate,MATCH(E120,art_ref,0)),0))&gt;0,N(IFERROR(INDEX(art_rate,MATCH(E120,art_ref,0)),0)),N(IFERROR(INDEX(po_rate,MATCH(C120,po_code,0)),0))))</f>
        <v>12.0</v>
      </c>
      <c r="R120" s="55">
        <f>IF(AC120=1,P120*60/Q120,"")</f>
        <v>175.0</v>
      </c>
      <c r="S120" s="55">
        <f>IF(AC120=1,N(G120)*60/Q120,"")</f>
        <v>170.0</v>
      </c>
      <c r="T120" s="57">
        <f>IF(AC120=1,O120/M120,"")</f>
        <v>0.462222222222222</v>
      </c>
      <c r="U120" s="57">
        <f>IF(AC120=1,IF(O120&gt;0,R120/O120,""),"")</f>
        <v>0.841346153846154</v>
      </c>
      <c r="V120" s="57">
        <f>IF(AC120=1,IF(P120&gt;0,N(G120)/P120,""),"")</f>
        <v>0.971428571428571</v>
      </c>
      <c r="W120" s="57">
        <f>IF(AC120=1,S120/M120,"")</f>
        <v>0.377777777777778</v>
      </c>
      <c r="X120" s="57">
        <f>IF(AC120=1,S120/K120,"")</f>
        <v>0.354166666666667</v>
      </c>
      <c r="Y120" s="58" t="str">
        <f>IF(W120="","",IF(W120&gt;=p_target,"Bon",IF(W120&gt;=p_alert,"À surveiller","Faible")))</f>
        <v>Faible</v>
      </c>
      <c r="Z120" s="58" t="str">
        <f>IF(W120="","",IF(MIN(IF(T120="",1,T120),IF(U120="",1,U120),IF(V120="",1,V120))&gt;=1,"Aucune",IF(IF(T120="",1,T120)&lt;=MIN(IF(U120="",1,U120),IF(V120="",1,V120)),"Disponibilité",IF(IF(U120="",1,U120)&lt;=IF(V120="",1,V120),"Performance","Qualité"))))</f>
        <v>Disponibilité</v>
      </c>
      <c r="AA120" s="59">
        <f>IF(AC120=1,N(H120)*N(IFERROR(INDEX(art_cost,MATCH(E120,art_ref,0)),0)),"")</f>
        <v>145.0</v>
      </c>
      <c r="AB120" s="58" t="str">
        <f>IF(COUNTA(A120:I120)=0,"",IF(N(A120)&lt;=0,"Date manquante ou invalide",IF(B120="","Équipe manquante",IF(ISNA(MATCH(B120,eq_code,0)),"Équipe inconnue",IF(INDEX(eq_check,MATCH(B120,eq_code,0))&lt;&gt;"OK","Équipe à corriger dans Paramètres",IF(C120="","Poste manquant",IF(ISNA(MATCH(C120,po_code,0)),"Poste inconnu",IF(AND(E120&lt;&gt;"",ISNA(MATCH(E120,art_ref,0))),"Article inconnu",IF(IF(E120="",FALSE,INDEX(art_check,MATCH(E120,art_ref,0))&lt;&gt;"OK"),"Article à corriger (feuille Articles)",IF(COUNTIFS(sj_date,A120,sj_eq,B120,sj_po,C120)&gt;1,"Ligne en double (même jour, équipe et poste)",IF(OR(NOT(ISNUMBER(K120)),N(K120)&lt;=0,N(K120)&gt;1440),"Temps d'ouverture invalide",IF(OR(AND(G120&lt;&gt;"",NOT(ISNUMBER(G120))),N(G120)&lt;0,N(G120)&lt;&gt;INT(N(G120)),AND(H120&lt;&gt;"",NOT(ISNUMBER(H120))),N(H120)&lt;0,N(H120)&lt;&gt;INT(N(H120)),AND(I120&lt;&gt;"",NOT(ISNUMBER(I120))),N(I120)&lt;0,N(I120)&lt;&gt;INT(N(I120))),"Quantité invalide",IF(Q120&lt;=0,"Cadence manquante (poste ou article)",IF(M120&lt;=0,"Arrêts planifiés supérieurs au temps d'ouverture",IF(O120&lt;0,"Arrêts supérieurs au temps requis",IF(AND(P120&gt;0,O120=0),"Pièces déclarées sans temps de marche",IF(AND(P120=0,O120&gt;0),"Aucune pièce déclarée",IF(P120*60/Q120&gt;O120+0.001,"Cadence dépassée : vérifiez la cadence","OK"))))))))))))))))))</f>
        <v>OK</v>
      </c>
      <c r="AC120">
        <f>IF(OR(AB120="OK",AB120="Aucune pièce déclarée",AB120="Cadence dépassée : vérifiez la cadence"),1,0)</f>
        <v>1.0</v>
      </c>
      <c r="AD120">
        <f>IF(AND(AC120=1,A120&gt;=p_from,A120&lt;=p_to),1,0)</f>
        <v>1.0</v>
      </c>
      <c r="AE120">
        <f>IF(AD120=1,IF(COUNTIFS($A$6:A120,A120,$AD$6:AD120,1)=1,1,0),0)</f>
        <v>0.0</v>
      </c>
      <c r="AF120" t="str">
        <f>IF(AE120=1,COUNTIFS(sj_first,1,sj_date,"&lt;"&amp;A120)+1,"")</f>
        <v/>
      </c>
      <c r="AG120">
        <f>IF(AND(AD120=1,N(W120)&lt;p_alert),ROUND(W120,4),"")</f>
        <v>0.3778</v>
      </c>
      <c r="AH120">
        <f>IF(AG120="","",COUNTIF(sj_akey,"&lt;"&amp;AG120)+COUNTIF($AG$6:AG120,AG120))</f>
        <v>10.0</v>
      </c>
    </row>
    <row r="121">
      <c r="A121" s="51" t="n">
        <v>46301</v>
      </c>
      <c r="B121" s="52" t="inlineStr">
        <is>
          <t>Après-midi</t>
        </is>
      </c>
      <c r="C121" s="52" t="inlineStr">
        <is>
          <t>USIN</t>
        </is>
      </c>
      <c r="D121" s="53" t="inlineStr">
        <is>
          <t>OF-2610-139</t>
        </is>
      </c>
      <c r="E121" s="53" t="inlineStr">
        <is>
          <t>FLA-PL-150</t>
        </is>
      </c>
      <c r="F121" s="54" t="n"/>
      <c r="G121" s="54" t="n">
        <v>73</v>
      </c>
      <c r="H121" s="54" t="n">
        <v>1</v>
      </c>
      <c r="I121" s="54" t="n">
        <v>0</v>
      </c>
      <c r="J121" s="53" t="n"/>
      <c r="K121" s="55">
        <f>IF(COUNTA(A121:I121)=0,"",IF(F121="",IFERROR(INDEX(eq_dur,MATCH(B121,eq_code,0)),""),F121))</f>
        <v>480.0</v>
      </c>
      <c r="L121" s="55">
        <f>IF(ISNUMBER(K121),N(IFERROR(INDEX(eq_pause,MATCH(B121,eq_code,0)),0))+SUMIFS(st_min,st_date,A121,st_eq,B121,st_po,C121,st_type,"Planifié"),"")</f>
        <v>30.0</v>
      </c>
      <c r="M121" s="55">
        <f>IF(ISNUMBER(K121),K121-L121,"")</f>
        <v>450.0</v>
      </c>
      <c r="N121" s="55">
        <f>IF(ISNUMBER(K121),SUMIFS(st_min,st_date,A121,st_eq,B121,st_po,C121,st_type,"Non planifié"),"")</f>
        <v>0.0</v>
      </c>
      <c r="O121" s="55">
        <f>IF(ISNUMBER(K121),M121-N121,"")</f>
        <v>450.0</v>
      </c>
      <c r="P121" s="55">
        <f>IF(COUNTA(A121:I121)=0,"",N(G121)+N(H121)+N(I121))</f>
        <v>74.0</v>
      </c>
      <c r="Q121" s="56">
        <f>IF(COUNTA(A121:I121)=0,"",IF(N(IFERROR(INDEX(art_rate,MATCH(E121,art_ref,0)),0))&gt;0,N(IFERROR(INDEX(art_rate,MATCH(E121,art_ref,0)),0)),N(IFERROR(INDEX(po_rate,MATCH(C121,po_code,0)),0))))</f>
        <v>12.0</v>
      </c>
      <c r="R121" s="55">
        <f>IF(AC121=1,P121*60/Q121,"")</f>
        <v>370.0</v>
      </c>
      <c r="S121" s="55">
        <f>IF(AC121=1,N(G121)*60/Q121,"")</f>
        <v>365.0</v>
      </c>
      <c r="T121" s="57">
        <f>IF(AC121=1,O121/M121,"")</f>
        <v>1.0</v>
      </c>
      <c r="U121" s="57">
        <f>IF(AC121=1,IF(O121&gt;0,R121/O121,""),"")</f>
        <v>0.822222222222222</v>
      </c>
      <c r="V121" s="57">
        <f>IF(AC121=1,IF(P121&gt;0,N(G121)/P121,""),"")</f>
        <v>0.986486486486487</v>
      </c>
      <c r="W121" s="57">
        <f>IF(AC121=1,S121/M121,"")</f>
        <v>0.811111111111111</v>
      </c>
      <c r="X121" s="57">
        <f>IF(AC121=1,S121/K121,"")</f>
        <v>0.760416666666667</v>
      </c>
      <c r="Y121" s="58" t="str">
        <f>IF(W121="","",IF(W121&gt;=p_target,"Bon",IF(W121&gt;=p_alert,"À surveiller","Faible")))</f>
        <v>Bon</v>
      </c>
      <c r="Z121" s="58" t="str">
        <f>IF(W121="","",IF(MIN(IF(T121="",1,T121),IF(U121="",1,U121),IF(V121="",1,V121))&gt;=1,"Aucune",IF(IF(T121="",1,T121)&lt;=MIN(IF(U121="",1,U121),IF(V121="",1,V121)),"Disponibilité",IF(IF(U121="",1,U121)&lt;=IF(V121="",1,V121),"Performance","Qualité"))))</f>
        <v>Performance</v>
      </c>
      <c r="AA121" s="59">
        <f>IF(AC121=1,N(H121)*N(IFERROR(INDEX(art_cost,MATCH(E121,art_ref,0)),0)),"")</f>
        <v>145.0</v>
      </c>
      <c r="AB121" s="58" t="str">
        <f>IF(COUNTA(A121:I121)=0,"",IF(N(A121)&lt;=0,"Date manquante ou invalide",IF(B121="","Équipe manquante",IF(ISNA(MATCH(B121,eq_code,0)),"Équipe inconnue",IF(INDEX(eq_check,MATCH(B121,eq_code,0))&lt;&gt;"OK","Équipe à corriger dans Paramètres",IF(C121="","Poste manquant",IF(ISNA(MATCH(C121,po_code,0)),"Poste inconnu",IF(AND(E121&lt;&gt;"",ISNA(MATCH(E121,art_ref,0))),"Article inconnu",IF(IF(E121="",FALSE,INDEX(art_check,MATCH(E121,art_ref,0))&lt;&gt;"OK"),"Article à corriger (feuille Articles)",IF(COUNTIFS(sj_date,A121,sj_eq,B121,sj_po,C121)&gt;1,"Ligne en double (même jour, équipe et poste)",IF(OR(NOT(ISNUMBER(K121)),N(K121)&lt;=0,N(K121)&gt;1440),"Temps d'ouverture invalide",IF(OR(AND(G121&lt;&gt;"",NOT(ISNUMBER(G121))),N(G121)&lt;0,N(G121)&lt;&gt;INT(N(G121)),AND(H121&lt;&gt;"",NOT(ISNUMBER(H121))),N(H121)&lt;0,N(H121)&lt;&gt;INT(N(H121)),AND(I121&lt;&gt;"",NOT(ISNUMBER(I121))),N(I121)&lt;0,N(I121)&lt;&gt;INT(N(I121))),"Quantité invalide",IF(Q121&lt;=0,"Cadence manquante (poste ou article)",IF(M121&lt;=0,"Arrêts planifiés supérieurs au temps d'ouverture",IF(O121&lt;0,"Arrêts supérieurs au temps requis",IF(AND(P121&gt;0,O121=0),"Pièces déclarées sans temps de marche",IF(AND(P121=0,O121&gt;0),"Aucune pièce déclarée",IF(P121*60/Q121&gt;O121+0.001,"Cadence dépassée : vérifiez la cadence","OK"))))))))))))))))))</f>
        <v>OK</v>
      </c>
      <c r="AC121">
        <f>IF(OR(AB121="OK",AB121="Aucune pièce déclarée",AB121="Cadence dépassée : vérifiez la cadence"),1,0)</f>
        <v>1.0</v>
      </c>
      <c r="AD121">
        <f>IF(AND(AC121=1,A121&gt;=p_from,A121&lt;=p_to),1,0)</f>
        <v>1.0</v>
      </c>
      <c r="AE121">
        <f>IF(AD121=1,IF(COUNTIFS($A$6:A121,A121,$AD$6:AD121,1)=1,1,0),0)</f>
        <v>0.0</v>
      </c>
      <c r="AF121" t="str">
        <f>IF(AE121=1,COUNTIFS(sj_first,1,sj_date,"&lt;"&amp;A121)+1,"")</f>
        <v/>
      </c>
      <c r="AG121" t="str">
        <f>IF(AND(AD121=1,N(W121)&lt;p_alert),ROUND(W121,4),"")</f>
        <v/>
      </c>
      <c r="AH121" t="str">
        <f>IF(AG121="","",COUNTIF(sj_akey,"&lt;"&amp;AG121)+COUNTIF($AG$6:AG121,AG121))</f>
        <v/>
      </c>
    </row>
    <row r="122">
      <c r="A122" s="51" t="n">
        <v>46301</v>
      </c>
      <c r="B122" s="52" t="inlineStr">
        <is>
          <t>Matin</t>
        </is>
      </c>
      <c r="C122" s="52" t="inlineStr">
        <is>
          <t>PRESSE</t>
        </is>
      </c>
      <c r="D122" s="53" t="inlineStr">
        <is>
          <t>OF-2609-134</t>
        </is>
      </c>
      <c r="E122" s="53" t="inlineStr">
        <is>
          <t>RON-M10</t>
        </is>
      </c>
      <c r="F122" s="54" t="n"/>
      <c r="G122" s="54" t="n">
        <v>3519</v>
      </c>
      <c r="H122" s="54" t="n">
        <v>66</v>
      </c>
      <c r="I122" s="54" t="n">
        <v>34</v>
      </c>
      <c r="J122" s="53" t="n"/>
      <c r="K122" s="55">
        <f>IF(COUNTA(A122:I122)=0,"",IF(F122="",IFERROR(INDEX(eq_dur,MATCH(B122,eq_code,0)),""),F122))</f>
        <v>480.0</v>
      </c>
      <c r="L122" s="55">
        <f>IF(ISNUMBER(K122),N(IFERROR(INDEX(eq_pause,MATCH(B122,eq_code,0)),0))+SUMIFS(st_min,st_date,A122,st_eq,B122,st_po,C122,st_type,"Planifié"),"")</f>
        <v>30.0</v>
      </c>
      <c r="M122" s="55">
        <f>IF(ISNUMBER(K122),K122-L122,"")</f>
        <v>450.0</v>
      </c>
      <c r="N122" s="55">
        <f>IF(ISNUMBER(K122),SUMIFS(st_min,st_date,A122,st_eq,B122,st_po,C122,st_type,"Non planifié"),"")</f>
        <v>39.0</v>
      </c>
      <c r="O122" s="55">
        <f>IF(ISNUMBER(K122),M122-N122,"")</f>
        <v>411.0</v>
      </c>
      <c r="P122" s="55">
        <f>IF(COUNTA(A122:I122)=0,"",N(G122)+N(H122)+N(I122))</f>
        <v>3619.0</v>
      </c>
      <c r="Q122" s="56">
        <f>IF(COUNTA(A122:I122)=0,"",IF(N(IFERROR(INDEX(art_rate,MATCH(E122,art_ref,0)),0))&gt;0,N(IFERROR(INDEX(art_rate,MATCH(E122,art_ref,0)),0)),N(IFERROR(INDEX(po_rate,MATCH(C122,po_code,0)),0))))</f>
        <v>600.0</v>
      </c>
      <c r="R122" s="55">
        <f>IF(AC122=1,P122*60/Q122,"")</f>
        <v>361.9</v>
      </c>
      <c r="S122" s="55">
        <f>IF(AC122=1,N(G122)*60/Q122,"")</f>
        <v>351.9</v>
      </c>
      <c r="T122" s="57">
        <f>IF(AC122=1,O122/M122,"")</f>
        <v>0.913333333333333</v>
      </c>
      <c r="U122" s="57">
        <f>IF(AC122=1,IF(O122&gt;0,R122/O122,""),"")</f>
        <v>0.880535279805353</v>
      </c>
      <c r="V122" s="57">
        <f>IF(AC122=1,IF(P122&gt;0,N(G122)/P122,""),"")</f>
        <v>0.97236805747444</v>
      </c>
      <c r="W122" s="57">
        <f>IF(AC122=1,S122/M122,"")</f>
        <v>0.782</v>
      </c>
      <c r="X122" s="57">
        <f>IF(AC122=1,S122/K122,"")</f>
        <v>0.733125</v>
      </c>
      <c r="Y122" s="58" t="str">
        <f>IF(W122="","",IF(W122&gt;=p_target,"Bon",IF(W122&gt;=p_alert,"À surveiller","Faible")))</f>
        <v>Bon</v>
      </c>
      <c r="Z122" s="58" t="str">
        <f>IF(W122="","",IF(MIN(IF(T122="",1,T122),IF(U122="",1,U122),IF(V122="",1,V122))&gt;=1,"Aucune",IF(IF(T122="",1,T122)&lt;=MIN(IF(U122="",1,U122),IF(V122="",1,V122)),"Disponibilité",IF(IF(U122="",1,U122)&lt;=IF(V122="",1,V122),"Performance","Qualité"))))</f>
        <v>Performance</v>
      </c>
      <c r="AA122" s="59">
        <f>IF(AC122=1,N(H122)*N(IFERROR(INDEX(art_cost,MATCH(E122,art_ref,0)),0)),"")</f>
        <v>59.4</v>
      </c>
      <c r="AB122" s="58" t="str">
        <f>IF(COUNTA(A122:I122)=0,"",IF(N(A122)&lt;=0,"Date manquante ou invalide",IF(B122="","Équipe manquante",IF(ISNA(MATCH(B122,eq_code,0)),"Équipe inconnue",IF(INDEX(eq_check,MATCH(B122,eq_code,0))&lt;&gt;"OK","Équipe à corriger dans Paramètres",IF(C122="","Poste manquant",IF(ISNA(MATCH(C122,po_code,0)),"Poste inconnu",IF(AND(E122&lt;&gt;"",ISNA(MATCH(E122,art_ref,0))),"Article inconnu",IF(IF(E122="",FALSE,INDEX(art_check,MATCH(E122,art_ref,0))&lt;&gt;"OK"),"Article à corriger (feuille Articles)",IF(COUNTIFS(sj_date,A122,sj_eq,B122,sj_po,C122)&gt;1,"Ligne en double (même jour, équipe et poste)",IF(OR(NOT(ISNUMBER(K122)),N(K122)&lt;=0,N(K122)&gt;1440),"Temps d'ouverture invalide",IF(OR(AND(G122&lt;&gt;"",NOT(ISNUMBER(G122))),N(G122)&lt;0,N(G122)&lt;&gt;INT(N(G122)),AND(H122&lt;&gt;"",NOT(ISNUMBER(H122))),N(H122)&lt;0,N(H122)&lt;&gt;INT(N(H122)),AND(I122&lt;&gt;"",NOT(ISNUMBER(I122))),N(I122)&lt;0,N(I122)&lt;&gt;INT(N(I122))),"Quantité invalide",IF(Q122&lt;=0,"Cadence manquante (poste ou article)",IF(M122&lt;=0,"Arrêts planifiés supérieurs au temps d'ouverture",IF(O122&lt;0,"Arrêts supérieurs au temps requis",IF(AND(P122&gt;0,O122=0),"Pièces déclarées sans temps de marche",IF(AND(P122=0,O122&gt;0),"Aucune pièce déclarée",IF(P122*60/Q122&gt;O122+0.001,"Cadence dépassée : vérifiez la cadence","OK"))))))))))))))))))</f>
        <v>OK</v>
      </c>
      <c r="AC122">
        <f>IF(OR(AB122="OK",AB122="Aucune pièce déclarée",AB122="Cadence dépassée : vérifiez la cadence"),1,0)</f>
        <v>1.0</v>
      </c>
      <c r="AD122">
        <f>IF(AND(AC122=1,A122&gt;=p_from,A122&lt;=p_to),1,0)</f>
        <v>1.0</v>
      </c>
      <c r="AE122">
        <f>IF(AD122=1,IF(COUNTIFS($A$6:A122,A122,$AD$6:AD122,1)=1,1,0),0)</f>
        <v>0.0</v>
      </c>
      <c r="AF122" t="str">
        <f>IF(AE122=1,COUNTIFS(sj_first,1,sj_date,"&lt;"&amp;A122)+1,"")</f>
        <v/>
      </c>
      <c r="AG122" t="str">
        <f>IF(AND(AD122=1,N(W122)&lt;p_alert),ROUND(W122,4),"")</f>
        <v/>
      </c>
      <c r="AH122" t="str">
        <f>IF(AG122="","",COUNTIF(sj_akey,"&lt;"&amp;AG122)+COUNTIF($AG$6:AG122,AG122))</f>
        <v/>
      </c>
    </row>
    <row r="123">
      <c r="A123" s="51" t="n">
        <v>46301</v>
      </c>
      <c r="B123" s="52" t="inlineStr">
        <is>
          <t>Journée</t>
        </is>
      </c>
      <c r="C123" s="52" t="inlineStr">
        <is>
          <t>PLIE</t>
        </is>
      </c>
      <c r="D123" s="53" t="inlineStr">
        <is>
          <t>OF-2609-128</t>
        </is>
      </c>
      <c r="E123" s="53" t="inlineStr">
        <is>
          <t>SUP-MOT-01</t>
        </is>
      </c>
      <c r="F123" s="54" t="n"/>
      <c r="G123" s="54" t="n">
        <v>361</v>
      </c>
      <c r="H123" s="54" t="n">
        <v>0</v>
      </c>
      <c r="I123" s="54" t="n">
        <v>0</v>
      </c>
      <c r="J123" s="53" t="n"/>
      <c r="K123" s="55">
        <f>IF(COUNTA(A123:I123)=0,"",IF(F123="",IFERROR(INDEX(eq_dur,MATCH(B123,eq_code,0)),""),F123))</f>
        <v>540.0</v>
      </c>
      <c r="L123" s="55">
        <f>IF(ISNUMBER(K123),N(IFERROR(INDEX(eq_pause,MATCH(B123,eq_code,0)),0))+SUMIFS(st_min,st_date,A123,st_eq,B123,st_po,C123,st_type,"Planifié"),"")</f>
        <v>60.0</v>
      </c>
      <c r="M123" s="55">
        <f>IF(ISNUMBER(K123),K123-L123,"")</f>
        <v>480.0</v>
      </c>
      <c r="N123" s="55">
        <f>IF(ISNUMBER(K123),SUMIFS(st_min,st_date,A123,st_eq,B123,st_po,C123,st_type,"Non planifié"),"")</f>
        <v>160.0</v>
      </c>
      <c r="O123" s="55">
        <f>IF(ISNUMBER(K123),M123-N123,"")</f>
        <v>320.0</v>
      </c>
      <c r="P123" s="55">
        <f>IF(COUNTA(A123:I123)=0,"",N(G123)+N(H123)+N(I123))</f>
        <v>361.0</v>
      </c>
      <c r="Q123" s="56">
        <f>IF(COUNTA(A123:I123)=0,"",IF(N(IFERROR(INDEX(art_rate,MATCH(E123,art_ref,0)),0))&gt;0,N(IFERROR(INDEX(art_rate,MATCH(E123,art_ref,0)),0)),N(IFERROR(INDEX(po_rate,MATCH(C123,po_code,0)),0))))</f>
        <v>90.0</v>
      </c>
      <c r="R123" s="55">
        <f>IF(AC123=1,P123*60/Q123,"")</f>
        <v>240.666666666667</v>
      </c>
      <c r="S123" s="55">
        <f>IF(AC123=1,N(G123)*60/Q123,"")</f>
        <v>240.666666666667</v>
      </c>
      <c r="T123" s="57">
        <f>IF(AC123=1,O123/M123,"")</f>
        <v>0.666666666666667</v>
      </c>
      <c r="U123" s="57">
        <f>IF(AC123=1,IF(O123&gt;0,R123/O123,""),"")</f>
        <v>0.752083333333333</v>
      </c>
      <c r="V123" s="57">
        <f>IF(AC123=1,IF(P123&gt;0,N(G123)/P123,""),"")</f>
        <v>1.0</v>
      </c>
      <c r="W123" s="57">
        <f>IF(AC123=1,S123/M123,"")</f>
        <v>0.501388888888889</v>
      </c>
      <c r="X123" s="57">
        <f>IF(AC123=1,S123/K123,"")</f>
        <v>0.445679012345679</v>
      </c>
      <c r="Y123" s="58" t="str">
        <f>IF(W123="","",IF(W123&gt;=p_target,"Bon",IF(W123&gt;=p_alert,"À surveiller","Faible")))</f>
        <v>Faible</v>
      </c>
      <c r="Z123" s="58" t="str">
        <f>IF(W123="","",IF(MIN(IF(T123="",1,T123),IF(U123="",1,U123),IF(V123="",1,V123))&gt;=1,"Aucune",IF(IF(T123="",1,T123)&lt;=MIN(IF(U123="",1,U123),IF(V123="",1,V123)),"Disponibilité",IF(IF(U123="",1,U123)&lt;=IF(V123="",1,V123),"Performance","Qualité"))))</f>
        <v>Disponibilité</v>
      </c>
      <c r="AA123" s="59">
        <f>IF(AC123=1,N(H123)*N(IFERROR(INDEX(art_cost,MATCH(E123,art_ref,0)),0)),"")</f>
        <v>0.0</v>
      </c>
      <c r="AB123" s="58" t="str">
        <f>IF(COUNTA(A123:I123)=0,"",IF(N(A123)&lt;=0,"Date manquante ou invalide",IF(B123="","Équipe manquante",IF(ISNA(MATCH(B123,eq_code,0)),"Équipe inconnue",IF(INDEX(eq_check,MATCH(B123,eq_code,0))&lt;&gt;"OK","Équipe à corriger dans Paramètres",IF(C123="","Poste manquant",IF(ISNA(MATCH(C123,po_code,0)),"Poste inconnu",IF(AND(E123&lt;&gt;"",ISNA(MATCH(E123,art_ref,0))),"Article inconnu",IF(IF(E123="",FALSE,INDEX(art_check,MATCH(E123,art_ref,0))&lt;&gt;"OK"),"Article à corriger (feuille Articles)",IF(COUNTIFS(sj_date,A123,sj_eq,B123,sj_po,C123)&gt;1,"Ligne en double (même jour, équipe et poste)",IF(OR(NOT(ISNUMBER(K123)),N(K123)&lt;=0,N(K123)&gt;1440),"Temps d'ouverture invalide",IF(OR(AND(G123&lt;&gt;"",NOT(ISNUMBER(G123))),N(G123)&lt;0,N(G123)&lt;&gt;INT(N(G123)),AND(H123&lt;&gt;"",NOT(ISNUMBER(H123))),N(H123)&lt;0,N(H123)&lt;&gt;INT(N(H123)),AND(I123&lt;&gt;"",NOT(ISNUMBER(I123))),N(I123)&lt;0,N(I123)&lt;&gt;INT(N(I123))),"Quantité invalide",IF(Q123&lt;=0,"Cadence manquante (poste ou article)",IF(M123&lt;=0,"Arrêts planifiés supérieurs au temps d'ouverture",IF(O123&lt;0,"Arrêts supérieurs au temps requis",IF(AND(P123&gt;0,O123=0),"Pièces déclarées sans temps de marche",IF(AND(P123=0,O123&gt;0),"Aucune pièce déclarée",IF(P123*60/Q123&gt;O123+0.001,"Cadence dépassée : vérifiez la cadence","OK"))))))))))))))))))</f>
        <v>OK</v>
      </c>
      <c r="AC123">
        <f>IF(OR(AB123="OK",AB123="Aucune pièce déclarée",AB123="Cadence dépassée : vérifiez la cadence"),1,0)</f>
        <v>1.0</v>
      </c>
      <c r="AD123">
        <f>IF(AND(AC123=1,A123&gt;=p_from,A123&lt;=p_to),1,0)</f>
        <v>1.0</v>
      </c>
      <c r="AE123">
        <f>IF(AD123=1,IF(COUNTIFS($A$6:A123,A123,$AD$6:AD123,1)=1,1,0),0)</f>
        <v>0.0</v>
      </c>
      <c r="AF123" t="str">
        <f>IF(AE123=1,COUNTIFS(sj_first,1,sj_date,"&lt;"&amp;A123)+1,"")</f>
        <v/>
      </c>
      <c r="AG123">
        <f>IF(AND(AD123=1,N(W123)&lt;p_alert),ROUND(W123,4),"")</f>
        <v>0.5014</v>
      </c>
      <c r="AH123">
        <f>IF(AG123="","",COUNTIF(sj_akey,"&lt;"&amp;AG123)+COUNTIF($AG$6:AG123,AG123))</f>
        <v>21.0</v>
      </c>
    </row>
    <row r="124">
      <c r="A124" s="51" t="n">
        <v>46301</v>
      </c>
      <c r="B124" s="52" t="inlineStr">
        <is>
          <t>Matin</t>
        </is>
      </c>
      <c r="C124" s="52" t="inlineStr">
        <is>
          <t>SOUD</t>
        </is>
      </c>
      <c r="D124" s="53" t="inlineStr">
        <is>
          <t>OF-2610-146</t>
        </is>
      </c>
      <c r="E124" s="53" t="inlineStr">
        <is>
          <t>CHA-REM-01</t>
        </is>
      </c>
      <c r="F124" s="54" t="n"/>
      <c r="G124" s="54" t="n">
        <v>17</v>
      </c>
      <c r="H124" s="54" t="n">
        <v>0</v>
      </c>
      <c r="I124" s="54" t="n">
        <v>0</v>
      </c>
      <c r="J124" s="53" t="n"/>
      <c r="K124" s="55">
        <f>IF(COUNTA(A124:I124)=0,"",IF(F124="",IFERROR(INDEX(eq_dur,MATCH(B124,eq_code,0)),""),F124))</f>
        <v>480.0</v>
      </c>
      <c r="L124" s="55">
        <f>IF(ISNUMBER(K124),N(IFERROR(INDEX(eq_pause,MATCH(B124,eq_code,0)),0))+SUMIFS(st_min,st_date,A124,st_eq,B124,st_po,C124,st_type,"Planifié"),"")</f>
        <v>30.0</v>
      </c>
      <c r="M124" s="55">
        <f>IF(ISNUMBER(K124),K124-L124,"")</f>
        <v>450.0</v>
      </c>
      <c r="N124" s="55">
        <f>IF(ISNUMBER(K124),SUMIFS(st_min,st_date,A124,st_eq,B124,st_po,C124,st_type,"Non planifié"),"")</f>
        <v>97.0</v>
      </c>
      <c r="O124" s="55">
        <f>IF(ISNUMBER(K124),M124-N124,"")</f>
        <v>353.0</v>
      </c>
      <c r="P124" s="55">
        <f>IF(COUNTA(A124:I124)=0,"",N(G124)+N(H124)+N(I124))</f>
        <v>17.0</v>
      </c>
      <c r="Q124" s="56">
        <f>IF(COUNTA(A124:I124)=0,"",IF(N(IFERROR(INDEX(art_rate,MATCH(E124,art_ref,0)),0))&gt;0,N(IFERROR(INDEX(art_rate,MATCH(E124,art_ref,0)),0)),N(IFERROR(INDEX(po_rate,MATCH(C124,po_code,0)),0))))</f>
        <v>4.0</v>
      </c>
      <c r="R124" s="55">
        <f>IF(AC124=1,P124*60/Q124,"")</f>
        <v>255.0</v>
      </c>
      <c r="S124" s="55">
        <f>IF(AC124=1,N(G124)*60/Q124,"")</f>
        <v>255.0</v>
      </c>
      <c r="T124" s="57">
        <f>IF(AC124=1,O124/M124,"")</f>
        <v>0.784444444444445</v>
      </c>
      <c r="U124" s="57">
        <f>IF(AC124=1,IF(O124&gt;0,R124/O124,""),"")</f>
        <v>0.722379603399433</v>
      </c>
      <c r="V124" s="57">
        <f>IF(AC124=1,IF(P124&gt;0,N(G124)/P124,""),"")</f>
        <v>1.0</v>
      </c>
      <c r="W124" s="57">
        <f>IF(AC124=1,S124/M124,"")</f>
        <v>0.566666666666667</v>
      </c>
      <c r="X124" s="57">
        <f>IF(AC124=1,S124/K124,"")</f>
        <v>0.53125</v>
      </c>
      <c r="Y124" s="58" t="str">
        <f>IF(W124="","",IF(W124&gt;=p_target,"Bon",IF(W124&gt;=p_alert,"À surveiller","Faible")))</f>
        <v>À surveiller</v>
      </c>
      <c r="Z124" s="58" t="str">
        <f>IF(W124="","",IF(MIN(IF(T124="",1,T124),IF(U124="",1,U124),IF(V124="",1,V124))&gt;=1,"Aucune",IF(IF(T124="",1,T124)&lt;=MIN(IF(U124="",1,U124),IF(V124="",1,V124)),"Disponibilité",IF(IF(U124="",1,U124)&lt;=IF(V124="",1,V124),"Performance","Qualité"))))</f>
        <v>Performance</v>
      </c>
      <c r="AA124" s="59">
        <f>IF(AC124=1,N(H124)*N(IFERROR(INDEX(art_cost,MATCH(E124,art_ref,0)),0)),"")</f>
        <v>0.0</v>
      </c>
      <c r="AB124" s="58" t="str">
        <f>IF(COUNTA(A124:I124)=0,"",IF(N(A124)&lt;=0,"Date manquante ou invalide",IF(B124="","Équipe manquante",IF(ISNA(MATCH(B124,eq_code,0)),"Équipe inconnue",IF(INDEX(eq_check,MATCH(B124,eq_code,0))&lt;&gt;"OK","Équipe à corriger dans Paramètres",IF(C124="","Poste manquant",IF(ISNA(MATCH(C124,po_code,0)),"Poste inconnu",IF(AND(E124&lt;&gt;"",ISNA(MATCH(E124,art_ref,0))),"Article inconnu",IF(IF(E124="",FALSE,INDEX(art_check,MATCH(E124,art_ref,0))&lt;&gt;"OK"),"Article à corriger (feuille Articles)",IF(COUNTIFS(sj_date,A124,sj_eq,B124,sj_po,C124)&gt;1,"Ligne en double (même jour, équipe et poste)",IF(OR(NOT(ISNUMBER(K124)),N(K124)&lt;=0,N(K124)&gt;1440),"Temps d'ouverture invalide",IF(OR(AND(G124&lt;&gt;"",NOT(ISNUMBER(G124))),N(G124)&lt;0,N(G124)&lt;&gt;INT(N(G124)),AND(H124&lt;&gt;"",NOT(ISNUMBER(H124))),N(H124)&lt;0,N(H124)&lt;&gt;INT(N(H124)),AND(I124&lt;&gt;"",NOT(ISNUMBER(I124))),N(I124)&lt;0,N(I124)&lt;&gt;INT(N(I124))),"Quantité invalide",IF(Q124&lt;=0,"Cadence manquante (poste ou article)",IF(M124&lt;=0,"Arrêts planifiés supérieurs au temps d'ouverture",IF(O124&lt;0,"Arrêts supérieurs au temps requis",IF(AND(P124&gt;0,O124=0),"Pièces déclarées sans temps de marche",IF(AND(P124=0,O124&gt;0),"Aucune pièce déclarée",IF(P124*60/Q124&gt;O124+0.001,"Cadence dépassée : vérifiez la cadence","OK"))))))))))))))))))</f>
        <v>OK</v>
      </c>
      <c r="AC124">
        <f>IF(OR(AB124="OK",AB124="Aucune pièce déclarée",AB124="Cadence dépassée : vérifiez la cadence"),1,0)</f>
        <v>1.0</v>
      </c>
      <c r="AD124">
        <f>IF(AND(AC124=1,A124&gt;=p_from,A124&lt;=p_to),1,0)</f>
        <v>1.0</v>
      </c>
      <c r="AE124">
        <f>IF(AD124=1,IF(COUNTIFS($A$6:A124,A124,$AD$6:AD124,1)=1,1,0),0)</f>
        <v>0.0</v>
      </c>
      <c r="AF124" t="str">
        <f>IF(AE124=1,COUNTIFS(sj_first,1,sj_date,"&lt;"&amp;A124)+1,"")</f>
        <v/>
      </c>
      <c r="AG124" t="str">
        <f>IF(AND(AD124=1,N(W124)&lt;p_alert),ROUND(W124,4),"")</f>
        <v/>
      </c>
      <c r="AH124" t="str">
        <f>IF(AG124="","",COUNTIF(sj_akey,"&lt;"&amp;AG124)+COUNTIF($AG$6:AG124,AG124))</f>
        <v/>
      </c>
    </row>
    <row r="125">
      <c r="A125" s="51" t="n">
        <v>46301</v>
      </c>
      <c r="B125" s="52" t="inlineStr">
        <is>
          <t>Après-midi</t>
        </is>
      </c>
      <c r="C125" s="52" t="inlineStr">
        <is>
          <t>SOUD</t>
        </is>
      </c>
      <c r="D125" s="53" t="inlineStr">
        <is>
          <t>OF-2610-144</t>
        </is>
      </c>
      <c r="E125" s="53" t="inlineStr">
        <is>
          <t>BRA-SUS-02</t>
        </is>
      </c>
      <c r="F125" s="54" t="n"/>
      <c r="G125" s="54" t="n">
        <v>116</v>
      </c>
      <c r="H125" s="54" t="n">
        <v>4</v>
      </c>
      <c r="I125" s="54" t="n">
        <v>0</v>
      </c>
      <c r="J125" s="53" t="n"/>
      <c r="K125" s="55">
        <f>IF(COUNTA(A125:I125)=0,"",IF(F125="",IFERROR(INDEX(eq_dur,MATCH(B125,eq_code,0)),""),F125))</f>
        <v>480.0</v>
      </c>
      <c r="L125" s="55">
        <f>IF(ISNUMBER(K125),N(IFERROR(INDEX(eq_pause,MATCH(B125,eq_code,0)),0))+SUMIFS(st_min,st_date,A125,st_eq,B125,st_po,C125,st_type,"Planifié"),"")</f>
        <v>30.0</v>
      </c>
      <c r="M125" s="55">
        <f>IF(ISNUMBER(K125),K125-L125,"")</f>
        <v>450.0</v>
      </c>
      <c r="N125" s="55">
        <f>IF(ISNUMBER(K125),SUMIFS(st_min,st_date,A125,st_eq,B125,st_po,C125,st_type,"Non planifié"),"")</f>
        <v>44.0</v>
      </c>
      <c r="O125" s="55">
        <f>IF(ISNUMBER(K125),M125-N125,"")</f>
        <v>406.0</v>
      </c>
      <c r="P125" s="55">
        <f>IF(COUNTA(A125:I125)=0,"",N(G125)+N(H125)+N(I125))</f>
        <v>120.0</v>
      </c>
      <c r="Q125" s="56">
        <f>IF(COUNTA(A125:I125)=0,"",IF(N(IFERROR(INDEX(art_rate,MATCH(E125,art_ref,0)),0))&gt;0,N(IFERROR(INDEX(art_rate,MATCH(E125,art_ref,0)),0)),N(IFERROR(INDEX(po_rate,MATCH(C125,po_code,0)),0))))</f>
        <v>20.0</v>
      </c>
      <c r="R125" s="55">
        <f>IF(AC125=1,P125*60/Q125,"")</f>
        <v>360.0</v>
      </c>
      <c r="S125" s="55">
        <f>IF(AC125=1,N(G125)*60/Q125,"")</f>
        <v>348.0</v>
      </c>
      <c r="T125" s="57">
        <f>IF(AC125=1,O125/M125,"")</f>
        <v>0.902222222222222</v>
      </c>
      <c r="U125" s="57">
        <f>IF(AC125=1,IF(O125&gt;0,R125/O125,""),"")</f>
        <v>0.886699507389163</v>
      </c>
      <c r="V125" s="57">
        <f>IF(AC125=1,IF(P125&gt;0,N(G125)/P125,""),"")</f>
        <v>0.966666666666667</v>
      </c>
      <c r="W125" s="57">
        <f>IF(AC125=1,S125/M125,"")</f>
        <v>0.773333333333333</v>
      </c>
      <c r="X125" s="57">
        <f>IF(AC125=1,S125/K125,"")</f>
        <v>0.725</v>
      </c>
      <c r="Y125" s="58" t="str">
        <f>IF(W125="","",IF(W125&gt;=p_target,"Bon",IF(W125&gt;=p_alert,"À surveiller","Faible")))</f>
        <v>Bon</v>
      </c>
      <c r="Z125" s="58" t="str">
        <f>IF(W125="","",IF(MIN(IF(T125="",1,T125),IF(U125="",1,U125),IF(V125="",1,V125))&gt;=1,"Aucune",IF(IF(T125="",1,T125)&lt;=MIN(IF(U125="",1,U125),IF(V125="",1,V125)),"Disponibilité",IF(IF(U125="",1,U125)&lt;=IF(V125="",1,V125),"Performance","Qualité"))))</f>
        <v>Performance</v>
      </c>
      <c r="AA125" s="59">
        <f>IF(AC125=1,N(H125)*N(IFERROR(INDEX(art_cost,MATCH(E125,art_ref,0)),0)),"")</f>
        <v>952.0</v>
      </c>
      <c r="AB125" s="58" t="str">
        <f>IF(COUNTA(A125:I125)=0,"",IF(N(A125)&lt;=0,"Date manquante ou invalide",IF(B125="","Équipe manquante",IF(ISNA(MATCH(B125,eq_code,0)),"Équipe inconnue",IF(INDEX(eq_check,MATCH(B125,eq_code,0))&lt;&gt;"OK","Équipe à corriger dans Paramètres",IF(C125="","Poste manquant",IF(ISNA(MATCH(C125,po_code,0)),"Poste inconnu",IF(AND(E125&lt;&gt;"",ISNA(MATCH(E125,art_ref,0))),"Article inconnu",IF(IF(E125="",FALSE,INDEX(art_check,MATCH(E125,art_ref,0))&lt;&gt;"OK"),"Article à corriger (feuille Articles)",IF(COUNTIFS(sj_date,A125,sj_eq,B125,sj_po,C125)&gt;1,"Ligne en double (même jour, équipe et poste)",IF(OR(NOT(ISNUMBER(K125)),N(K125)&lt;=0,N(K125)&gt;1440),"Temps d'ouverture invalide",IF(OR(AND(G125&lt;&gt;"",NOT(ISNUMBER(G125))),N(G125)&lt;0,N(G125)&lt;&gt;INT(N(G125)),AND(H125&lt;&gt;"",NOT(ISNUMBER(H125))),N(H125)&lt;0,N(H125)&lt;&gt;INT(N(H125)),AND(I125&lt;&gt;"",NOT(ISNUMBER(I125))),N(I125)&lt;0,N(I125)&lt;&gt;INT(N(I125))),"Quantité invalide",IF(Q125&lt;=0,"Cadence manquante (poste ou article)",IF(M125&lt;=0,"Arrêts planifiés supérieurs au temps d'ouverture",IF(O125&lt;0,"Arrêts supérieurs au temps requis",IF(AND(P125&gt;0,O125=0),"Pièces déclarées sans temps de marche",IF(AND(P125=0,O125&gt;0),"Aucune pièce déclarée",IF(P125*60/Q125&gt;O125+0.001,"Cadence dépassée : vérifiez la cadence","OK"))))))))))))))))))</f>
        <v>OK</v>
      </c>
      <c r="AC125">
        <f>IF(OR(AB125="OK",AB125="Aucune pièce déclarée",AB125="Cadence dépassée : vérifiez la cadence"),1,0)</f>
        <v>1.0</v>
      </c>
      <c r="AD125">
        <f>IF(AND(AC125=1,A125&gt;=p_from,A125&lt;=p_to),1,0)</f>
        <v>1.0</v>
      </c>
      <c r="AE125">
        <f>IF(AD125=1,IF(COUNTIFS($A$6:A125,A125,$AD$6:AD125,1)=1,1,0),0)</f>
        <v>0.0</v>
      </c>
      <c r="AF125" t="str">
        <f>IF(AE125=1,COUNTIFS(sj_first,1,sj_date,"&lt;"&amp;A125)+1,"")</f>
        <v/>
      </c>
      <c r="AG125" t="str">
        <f>IF(AND(AD125=1,N(W125)&lt;p_alert),ROUND(W125,4),"")</f>
        <v/>
      </c>
      <c r="AH125" t="str">
        <f>IF(AG125="","",COUNTIF(sj_akey,"&lt;"&amp;AG125)+COUNTIF($AG$6:AG125,AG125))</f>
        <v/>
      </c>
    </row>
    <row r="126">
      <c r="A126" s="51" t="n">
        <v>46302</v>
      </c>
      <c r="B126" s="52" t="inlineStr">
        <is>
          <t>Matin</t>
        </is>
      </c>
      <c r="C126" s="52" t="inlineStr">
        <is>
          <t>TOUR1</t>
        </is>
      </c>
      <c r="D126" s="53" t="inlineStr">
        <is>
          <t>OF-2610-147</t>
        </is>
      </c>
      <c r="E126" s="53" t="inlineStr">
        <is>
          <t>AXE-R20</t>
        </is>
      </c>
      <c r="F126" s="54" t="n"/>
      <c r="G126" s="54" t="n">
        <v>134</v>
      </c>
      <c r="H126" s="54" t="n">
        <v>4</v>
      </c>
      <c r="I126" s="54" t="n">
        <v>0</v>
      </c>
      <c r="J126" s="53" t="n"/>
      <c r="K126" s="55">
        <f>IF(COUNTA(A126:I126)=0,"",IF(F126="",IFERROR(INDEX(eq_dur,MATCH(B126,eq_code,0)),""),F126))</f>
        <v>480.0</v>
      </c>
      <c r="L126" s="55">
        <f>IF(ISNUMBER(K126),N(IFERROR(INDEX(eq_pause,MATCH(B126,eq_code,0)),0))+SUMIFS(st_min,st_date,A126,st_eq,B126,st_po,C126,st_type,"Planifié"),"")</f>
        <v>30.0</v>
      </c>
      <c r="M126" s="55">
        <f>IF(ISNUMBER(K126),K126-L126,"")</f>
        <v>450.0</v>
      </c>
      <c r="N126" s="55">
        <f>IF(ISNUMBER(K126),SUMIFS(st_min,st_date,A126,st_eq,B126,st_po,C126,st_type,"Non planifié"),"")</f>
        <v>136.0</v>
      </c>
      <c r="O126" s="55">
        <f>IF(ISNUMBER(K126),M126-N126,"")</f>
        <v>314.0</v>
      </c>
      <c r="P126" s="55">
        <f>IF(COUNTA(A126:I126)=0,"",N(G126)+N(H126)+N(I126))</f>
        <v>138.0</v>
      </c>
      <c r="Q126" s="56">
        <f>IF(COUNTA(A126:I126)=0,"",IF(N(IFERROR(INDEX(art_rate,MATCH(E126,art_ref,0)),0))&gt;0,N(IFERROR(INDEX(art_rate,MATCH(E126,art_ref,0)),0)),N(IFERROR(INDEX(po_rate,MATCH(C126,po_code,0)),0))))</f>
        <v>30.0</v>
      </c>
      <c r="R126" s="55">
        <f>IF(AC126=1,P126*60/Q126,"")</f>
        <v>276.0</v>
      </c>
      <c r="S126" s="55">
        <f>IF(AC126=1,N(G126)*60/Q126,"")</f>
        <v>268.0</v>
      </c>
      <c r="T126" s="57">
        <f>IF(AC126=1,O126/M126,"")</f>
        <v>0.697777777777778</v>
      </c>
      <c r="U126" s="57">
        <f>IF(AC126=1,IF(O126&gt;0,R126/O126,""),"")</f>
        <v>0.878980891719745</v>
      </c>
      <c r="V126" s="57">
        <f>IF(AC126=1,IF(P126&gt;0,N(G126)/P126,""),"")</f>
        <v>0.971014492753623</v>
      </c>
      <c r="W126" s="57">
        <f>IF(AC126=1,S126/M126,"")</f>
        <v>0.595555555555556</v>
      </c>
      <c r="X126" s="57">
        <f>IF(AC126=1,S126/K126,"")</f>
        <v>0.558333333333333</v>
      </c>
      <c r="Y126" s="58" t="str">
        <f>IF(W126="","",IF(W126&gt;=p_target,"Bon",IF(W126&gt;=p_alert,"À surveiller","Faible")))</f>
        <v>À surveiller</v>
      </c>
      <c r="Z126" s="58" t="str">
        <f>IF(W126="","",IF(MIN(IF(T126="",1,T126),IF(U126="",1,U126),IF(V126="",1,V126))&gt;=1,"Aucune",IF(IF(T126="",1,T126)&lt;=MIN(IF(U126="",1,U126),IF(V126="",1,V126)),"Disponibilité",IF(IF(U126="",1,U126)&lt;=IF(V126="",1,V126),"Performance","Qualité"))))</f>
        <v>Disponibilité</v>
      </c>
      <c r="AA126" s="59">
        <f>IF(AC126=1,N(H126)*N(IFERROR(INDEX(art_cost,MATCH(E126,art_ref,0)),0)),"")</f>
        <v>154.0</v>
      </c>
      <c r="AB126" s="58" t="str">
        <f>IF(COUNTA(A126:I126)=0,"",IF(N(A126)&lt;=0,"Date manquante ou invalide",IF(B126="","Équipe manquante",IF(ISNA(MATCH(B126,eq_code,0)),"Équipe inconnue",IF(INDEX(eq_check,MATCH(B126,eq_code,0))&lt;&gt;"OK","Équipe à corriger dans Paramètres",IF(C126="","Poste manquant",IF(ISNA(MATCH(C126,po_code,0)),"Poste inconnu",IF(AND(E126&lt;&gt;"",ISNA(MATCH(E126,art_ref,0))),"Article inconnu",IF(IF(E126="",FALSE,INDEX(art_check,MATCH(E126,art_ref,0))&lt;&gt;"OK"),"Article à corriger (feuille Articles)",IF(COUNTIFS(sj_date,A126,sj_eq,B126,sj_po,C126)&gt;1,"Ligne en double (même jour, équipe et poste)",IF(OR(NOT(ISNUMBER(K126)),N(K126)&lt;=0,N(K126)&gt;1440),"Temps d'ouverture invalide",IF(OR(AND(G126&lt;&gt;"",NOT(ISNUMBER(G126))),N(G126)&lt;0,N(G126)&lt;&gt;INT(N(G126)),AND(H126&lt;&gt;"",NOT(ISNUMBER(H126))),N(H126)&lt;0,N(H126)&lt;&gt;INT(N(H126)),AND(I126&lt;&gt;"",NOT(ISNUMBER(I126))),N(I126)&lt;0,N(I126)&lt;&gt;INT(N(I126))),"Quantité invalide",IF(Q126&lt;=0,"Cadence manquante (poste ou article)",IF(M126&lt;=0,"Arrêts planifiés supérieurs au temps d'ouverture",IF(O126&lt;0,"Arrêts supérieurs au temps requis",IF(AND(P126&gt;0,O126=0),"Pièces déclarées sans temps de marche",IF(AND(P126=0,O126&gt;0),"Aucune pièce déclarée",IF(P126*60/Q126&gt;O126+0.001,"Cadence dépassée : vérifiez la cadence","OK"))))))))))))))))))</f>
        <v>OK</v>
      </c>
      <c r="AC126">
        <f>IF(OR(AB126="OK",AB126="Aucune pièce déclarée",AB126="Cadence dépassée : vérifiez la cadence"),1,0)</f>
        <v>1.0</v>
      </c>
      <c r="AD126">
        <f>IF(AND(AC126=1,A126&gt;=p_from,A126&lt;=p_to),1,0)</f>
        <v>1.0</v>
      </c>
      <c r="AE126">
        <f>IF(AD126=1,IF(COUNTIFS($A$6:A126,A126,$AD$6:AD126,1)=1,1,0),0)</f>
        <v>1.0</v>
      </c>
      <c r="AF126">
        <f>IF(AE126=1,COUNTIFS(sj_first,1,sj_date,"&lt;"&amp;A126)+1,"")</f>
        <v>13.0</v>
      </c>
      <c r="AG126" t="str">
        <f>IF(AND(AD126=1,N(W126)&lt;p_alert),ROUND(W126,4),"")</f>
        <v/>
      </c>
      <c r="AH126" t="str">
        <f>IF(AG126="","",COUNTIF(sj_akey,"&lt;"&amp;AG126)+COUNTIF($AG$6:AG126,AG126))</f>
        <v/>
      </c>
    </row>
    <row r="127">
      <c r="A127" s="51" t="n">
        <v>46302</v>
      </c>
      <c r="B127" s="52" t="inlineStr">
        <is>
          <t>Après-midi</t>
        </is>
      </c>
      <c r="C127" s="52" t="inlineStr">
        <is>
          <t>TOUR1</t>
        </is>
      </c>
      <c r="D127" s="53" t="inlineStr">
        <is>
          <t>OF-2610-142</t>
        </is>
      </c>
      <c r="E127" s="53" t="inlineStr">
        <is>
          <t>AXE-R20</t>
        </is>
      </c>
      <c r="F127" s="54" t="n"/>
      <c r="G127" s="54" t="n">
        <v>178</v>
      </c>
      <c r="H127" s="54" t="n">
        <v>1</v>
      </c>
      <c r="I127" s="54" t="n">
        <v>0</v>
      </c>
      <c r="J127" s="53" t="n"/>
      <c r="K127" s="55">
        <f>IF(COUNTA(A127:I127)=0,"",IF(F127="",IFERROR(INDEX(eq_dur,MATCH(B127,eq_code,0)),""),F127))</f>
        <v>480.0</v>
      </c>
      <c r="L127" s="55">
        <f>IF(ISNUMBER(K127),N(IFERROR(INDEX(eq_pause,MATCH(B127,eq_code,0)),0))+SUMIFS(st_min,st_date,A127,st_eq,B127,st_po,C127,st_type,"Planifié"),"")</f>
        <v>30.0</v>
      </c>
      <c r="M127" s="55">
        <f>IF(ISNUMBER(K127),K127-L127,"")</f>
        <v>450.0</v>
      </c>
      <c r="N127" s="55">
        <f>IF(ISNUMBER(K127),SUMIFS(st_min,st_date,A127,st_eq,B127,st_po,C127,st_type,"Non planifié"),"")</f>
        <v>45.0</v>
      </c>
      <c r="O127" s="55">
        <f>IF(ISNUMBER(K127),M127-N127,"")</f>
        <v>405.0</v>
      </c>
      <c r="P127" s="55">
        <f>IF(COUNTA(A127:I127)=0,"",N(G127)+N(H127)+N(I127))</f>
        <v>179.0</v>
      </c>
      <c r="Q127" s="56">
        <f>IF(COUNTA(A127:I127)=0,"",IF(N(IFERROR(INDEX(art_rate,MATCH(E127,art_ref,0)),0))&gt;0,N(IFERROR(INDEX(art_rate,MATCH(E127,art_ref,0)),0)),N(IFERROR(INDEX(po_rate,MATCH(C127,po_code,0)),0))))</f>
        <v>30.0</v>
      </c>
      <c r="R127" s="55">
        <f>IF(AC127=1,P127*60/Q127,"")</f>
        <v>358.0</v>
      </c>
      <c r="S127" s="55">
        <f>IF(AC127=1,N(G127)*60/Q127,"")</f>
        <v>356.0</v>
      </c>
      <c r="T127" s="57">
        <f>IF(AC127=1,O127/M127,"")</f>
        <v>0.9</v>
      </c>
      <c r="U127" s="57">
        <f>IF(AC127=1,IF(O127&gt;0,R127/O127,""),"")</f>
        <v>0.883950617283951</v>
      </c>
      <c r="V127" s="57">
        <f>IF(AC127=1,IF(P127&gt;0,N(G127)/P127,""),"")</f>
        <v>0.994413407821229</v>
      </c>
      <c r="W127" s="57">
        <f>IF(AC127=1,S127/M127,"")</f>
        <v>0.791111111111111</v>
      </c>
      <c r="X127" s="57">
        <f>IF(AC127=1,S127/K127,"")</f>
        <v>0.741666666666667</v>
      </c>
      <c r="Y127" s="58" t="str">
        <f>IF(W127="","",IF(W127&gt;=p_target,"Bon",IF(W127&gt;=p_alert,"À surveiller","Faible")))</f>
        <v>Bon</v>
      </c>
      <c r="Z127" s="58" t="str">
        <f>IF(W127="","",IF(MIN(IF(T127="",1,T127),IF(U127="",1,U127),IF(V127="",1,V127))&gt;=1,"Aucune",IF(IF(T127="",1,T127)&lt;=MIN(IF(U127="",1,U127),IF(V127="",1,V127)),"Disponibilité",IF(IF(U127="",1,U127)&lt;=IF(V127="",1,V127),"Performance","Qualité"))))</f>
        <v>Performance</v>
      </c>
      <c r="AA127" s="59">
        <f>IF(AC127=1,N(H127)*N(IFERROR(INDEX(art_cost,MATCH(E127,art_ref,0)),0)),"")</f>
        <v>38.5</v>
      </c>
      <c r="AB127" s="58" t="str">
        <f>IF(COUNTA(A127:I127)=0,"",IF(N(A127)&lt;=0,"Date manquante ou invalide",IF(B127="","Équipe manquante",IF(ISNA(MATCH(B127,eq_code,0)),"Équipe inconnue",IF(INDEX(eq_check,MATCH(B127,eq_code,0))&lt;&gt;"OK","Équipe à corriger dans Paramètres",IF(C127="","Poste manquant",IF(ISNA(MATCH(C127,po_code,0)),"Poste inconnu",IF(AND(E127&lt;&gt;"",ISNA(MATCH(E127,art_ref,0))),"Article inconnu",IF(IF(E127="",FALSE,INDEX(art_check,MATCH(E127,art_ref,0))&lt;&gt;"OK"),"Article à corriger (feuille Articles)",IF(COUNTIFS(sj_date,A127,sj_eq,B127,sj_po,C127)&gt;1,"Ligne en double (même jour, équipe et poste)",IF(OR(NOT(ISNUMBER(K127)),N(K127)&lt;=0,N(K127)&gt;1440),"Temps d'ouverture invalide",IF(OR(AND(G127&lt;&gt;"",NOT(ISNUMBER(G127))),N(G127)&lt;0,N(G127)&lt;&gt;INT(N(G127)),AND(H127&lt;&gt;"",NOT(ISNUMBER(H127))),N(H127)&lt;0,N(H127)&lt;&gt;INT(N(H127)),AND(I127&lt;&gt;"",NOT(ISNUMBER(I127))),N(I127)&lt;0,N(I127)&lt;&gt;INT(N(I127))),"Quantité invalide",IF(Q127&lt;=0,"Cadence manquante (poste ou article)",IF(M127&lt;=0,"Arrêts planifiés supérieurs au temps d'ouverture",IF(O127&lt;0,"Arrêts supérieurs au temps requis",IF(AND(P127&gt;0,O127=0),"Pièces déclarées sans temps de marche",IF(AND(P127=0,O127&gt;0),"Aucune pièce déclarée",IF(P127*60/Q127&gt;O127+0.001,"Cadence dépassée : vérifiez la cadence","OK"))))))))))))))))))</f>
        <v>OK</v>
      </c>
      <c r="AC127">
        <f>IF(OR(AB127="OK",AB127="Aucune pièce déclarée",AB127="Cadence dépassée : vérifiez la cadence"),1,0)</f>
        <v>1.0</v>
      </c>
      <c r="AD127">
        <f>IF(AND(AC127=1,A127&gt;=p_from,A127&lt;=p_to),1,0)</f>
        <v>1.0</v>
      </c>
      <c r="AE127">
        <f>IF(AD127=1,IF(COUNTIFS($A$6:A127,A127,$AD$6:AD127,1)=1,1,0),0)</f>
        <v>0.0</v>
      </c>
      <c r="AF127" t="str">
        <f>IF(AE127=1,COUNTIFS(sj_first,1,sj_date,"&lt;"&amp;A127)+1,"")</f>
        <v/>
      </c>
      <c r="AG127" t="str">
        <f>IF(AND(AD127=1,N(W127)&lt;p_alert),ROUND(W127,4),"")</f>
        <v/>
      </c>
      <c r="AH127" t="str">
        <f>IF(AG127="","",COUNTIF(sj_akey,"&lt;"&amp;AG127)+COUNTIF($AG$6:AG127,AG127))</f>
        <v/>
      </c>
    </row>
    <row r="128">
      <c r="A128" s="51" t="n">
        <v>46302</v>
      </c>
      <c r="B128" s="52" t="inlineStr">
        <is>
          <t>Matin</t>
        </is>
      </c>
      <c r="C128" s="52" t="inlineStr">
        <is>
          <t>TOUR2</t>
        </is>
      </c>
      <c r="D128" s="53" t="inlineStr">
        <is>
          <t>OF-2610-148</t>
        </is>
      </c>
      <c r="E128" s="53" t="inlineStr">
        <is>
          <t>ENT-12</t>
        </is>
      </c>
      <c r="F128" s="54" t="n"/>
      <c r="G128" s="54" t="n">
        <v>271</v>
      </c>
      <c r="H128" s="54" t="n">
        <v>1</v>
      </c>
      <c r="I128" s="54" t="n">
        <v>3</v>
      </c>
      <c r="J128" s="53" t="n"/>
      <c r="K128" s="55">
        <f>IF(COUNTA(A128:I128)=0,"",IF(F128="",IFERROR(INDEX(eq_dur,MATCH(B128,eq_code,0)),""),F128))</f>
        <v>480.0</v>
      </c>
      <c r="L128" s="55">
        <f>IF(ISNUMBER(K128),N(IFERROR(INDEX(eq_pause,MATCH(B128,eq_code,0)),0))+SUMIFS(st_min,st_date,A128,st_eq,B128,st_po,C128,st_type,"Planifié"),"")</f>
        <v>30.0</v>
      </c>
      <c r="M128" s="55">
        <f>IF(ISNUMBER(K128),K128-L128,"")</f>
        <v>450.0</v>
      </c>
      <c r="N128" s="55">
        <f>IF(ISNUMBER(K128),SUMIFS(st_min,st_date,A128,st_eq,B128,st_po,C128,st_type,"Non planifié"),"")</f>
        <v>96.0</v>
      </c>
      <c r="O128" s="55">
        <f>IF(ISNUMBER(K128),M128-N128,"")</f>
        <v>354.0</v>
      </c>
      <c r="P128" s="55">
        <f>IF(COUNTA(A128:I128)=0,"",N(G128)+N(H128)+N(I128))</f>
        <v>275.0</v>
      </c>
      <c r="Q128" s="56">
        <f>IF(COUNTA(A128:I128)=0,"",IF(N(IFERROR(INDEX(art_rate,MATCH(E128,art_ref,0)),0))&gt;0,N(IFERROR(INDEX(art_rate,MATCH(E128,art_ref,0)),0)),N(IFERROR(INDEX(po_rate,MATCH(C128,po_code,0)),0))))</f>
        <v>55.0</v>
      </c>
      <c r="R128" s="55">
        <f>IF(AC128=1,P128*60/Q128,"")</f>
        <v>300.0</v>
      </c>
      <c r="S128" s="55">
        <f>IF(AC128=1,N(G128)*60/Q128,"")</f>
        <v>295.636363636364</v>
      </c>
      <c r="T128" s="57">
        <f>IF(AC128=1,O128/M128,"")</f>
        <v>0.786666666666667</v>
      </c>
      <c r="U128" s="57">
        <f>IF(AC128=1,IF(O128&gt;0,R128/O128,""),"")</f>
        <v>0.847457627118644</v>
      </c>
      <c r="V128" s="57">
        <f>IF(AC128=1,IF(P128&gt;0,N(G128)/P128,""),"")</f>
        <v>0.985454545454546</v>
      </c>
      <c r="W128" s="57">
        <f>IF(AC128=1,S128/M128,"")</f>
        <v>0.656969696969697</v>
      </c>
      <c r="X128" s="57">
        <f>IF(AC128=1,S128/K128,"")</f>
        <v>0.615909090909091</v>
      </c>
      <c r="Y128" s="58" t="str">
        <f>IF(W128="","",IF(W128&gt;=p_target,"Bon",IF(W128&gt;=p_alert,"À surveiller","Faible")))</f>
        <v>À surveiller</v>
      </c>
      <c r="Z128" s="58" t="str">
        <f>IF(W128="","",IF(MIN(IF(T128="",1,T128),IF(U128="",1,U128),IF(V128="",1,V128))&gt;=1,"Aucune",IF(IF(T128="",1,T128)&lt;=MIN(IF(U128="",1,U128),IF(V128="",1,V128)),"Disponibilité",IF(IF(U128="",1,U128)&lt;=IF(V128="",1,V128),"Performance","Qualité"))))</f>
        <v>Disponibilité</v>
      </c>
      <c r="AA128" s="59">
        <f>IF(AC128=1,N(H128)*N(IFERROR(INDEX(art_cost,MATCH(E128,art_ref,0)),0)),"")</f>
        <v>6.8</v>
      </c>
      <c r="AB128" s="58" t="str">
        <f>IF(COUNTA(A128:I128)=0,"",IF(N(A128)&lt;=0,"Date manquante ou invalide",IF(B128="","Équipe manquante",IF(ISNA(MATCH(B128,eq_code,0)),"Équipe inconnue",IF(INDEX(eq_check,MATCH(B128,eq_code,0))&lt;&gt;"OK","Équipe à corriger dans Paramètres",IF(C128="","Poste manquant",IF(ISNA(MATCH(C128,po_code,0)),"Poste inconnu",IF(AND(E128&lt;&gt;"",ISNA(MATCH(E128,art_ref,0))),"Article inconnu",IF(IF(E128="",FALSE,INDEX(art_check,MATCH(E128,art_ref,0))&lt;&gt;"OK"),"Article à corriger (feuille Articles)",IF(COUNTIFS(sj_date,A128,sj_eq,B128,sj_po,C128)&gt;1,"Ligne en double (même jour, équipe et poste)",IF(OR(NOT(ISNUMBER(K128)),N(K128)&lt;=0,N(K128)&gt;1440),"Temps d'ouverture invalide",IF(OR(AND(G128&lt;&gt;"",NOT(ISNUMBER(G128))),N(G128)&lt;0,N(G128)&lt;&gt;INT(N(G128)),AND(H128&lt;&gt;"",NOT(ISNUMBER(H128))),N(H128)&lt;0,N(H128)&lt;&gt;INT(N(H128)),AND(I128&lt;&gt;"",NOT(ISNUMBER(I128))),N(I128)&lt;0,N(I128)&lt;&gt;INT(N(I128))),"Quantité invalide",IF(Q128&lt;=0,"Cadence manquante (poste ou article)",IF(M128&lt;=0,"Arrêts planifiés supérieurs au temps d'ouverture",IF(O128&lt;0,"Arrêts supérieurs au temps requis",IF(AND(P128&gt;0,O128=0),"Pièces déclarées sans temps de marche",IF(AND(P128=0,O128&gt;0),"Aucune pièce déclarée",IF(P128*60/Q128&gt;O128+0.001,"Cadence dépassée : vérifiez la cadence","OK"))))))))))))))))))</f>
        <v>OK</v>
      </c>
      <c r="AC128">
        <f>IF(OR(AB128="OK",AB128="Aucune pièce déclarée",AB128="Cadence dépassée : vérifiez la cadence"),1,0)</f>
        <v>1.0</v>
      </c>
      <c r="AD128">
        <f>IF(AND(AC128=1,A128&gt;=p_from,A128&lt;=p_to),1,0)</f>
        <v>1.0</v>
      </c>
      <c r="AE128">
        <f>IF(AD128=1,IF(COUNTIFS($A$6:A128,A128,$AD$6:AD128,1)=1,1,0),0)</f>
        <v>0.0</v>
      </c>
      <c r="AF128" t="str">
        <f>IF(AE128=1,COUNTIFS(sj_first,1,sj_date,"&lt;"&amp;A128)+1,"")</f>
        <v/>
      </c>
      <c r="AG128" t="str">
        <f>IF(AND(AD128=1,N(W128)&lt;p_alert),ROUND(W128,4),"")</f>
        <v/>
      </c>
      <c r="AH128" t="str">
        <f>IF(AG128="","",COUNTIF(sj_akey,"&lt;"&amp;AG128)+COUNTIF($AG$6:AG128,AG128))</f>
        <v/>
      </c>
    </row>
    <row r="129">
      <c r="A129" s="51" t="n">
        <v>46302</v>
      </c>
      <c r="B129" s="52" t="inlineStr">
        <is>
          <t>Après-midi</t>
        </is>
      </c>
      <c r="C129" s="52" t="inlineStr">
        <is>
          <t>TOUR2</t>
        </is>
      </c>
      <c r="D129" s="53" t="inlineStr">
        <is>
          <t>OF-2610-138</t>
        </is>
      </c>
      <c r="E129" s="53" t="inlineStr">
        <is>
          <t>ENT-12</t>
        </is>
      </c>
      <c r="F129" s="54" t="n"/>
      <c r="G129" s="54" t="n">
        <v>282</v>
      </c>
      <c r="H129" s="54" t="n">
        <v>8</v>
      </c>
      <c r="I129" s="54" t="n">
        <v>4</v>
      </c>
      <c r="J129" s="53" t="n"/>
      <c r="K129" s="55">
        <f>IF(COUNTA(A129:I129)=0,"",IF(F129="",IFERROR(INDEX(eq_dur,MATCH(B129,eq_code,0)),""),F129))</f>
        <v>480.0</v>
      </c>
      <c r="L129" s="55">
        <f>IF(ISNUMBER(K129),N(IFERROR(INDEX(eq_pause,MATCH(B129,eq_code,0)),0))+SUMIFS(st_min,st_date,A129,st_eq,B129,st_po,C129,st_type,"Planifié"),"")</f>
        <v>30.0</v>
      </c>
      <c r="M129" s="55">
        <f>IF(ISNUMBER(K129),K129-L129,"")</f>
        <v>450.0</v>
      </c>
      <c r="N129" s="55">
        <f>IF(ISNUMBER(K129),SUMIFS(st_min,st_date,A129,st_eq,B129,st_po,C129,st_type,"Non planifié"),"")</f>
        <v>99.0</v>
      </c>
      <c r="O129" s="55">
        <f>IF(ISNUMBER(K129),M129-N129,"")</f>
        <v>351.0</v>
      </c>
      <c r="P129" s="55">
        <f>IF(COUNTA(A129:I129)=0,"",N(G129)+N(H129)+N(I129))</f>
        <v>294.0</v>
      </c>
      <c r="Q129" s="56">
        <f>IF(COUNTA(A129:I129)=0,"",IF(N(IFERROR(INDEX(art_rate,MATCH(E129,art_ref,0)),0))&gt;0,N(IFERROR(INDEX(art_rate,MATCH(E129,art_ref,0)),0)),N(IFERROR(INDEX(po_rate,MATCH(C129,po_code,0)),0))))</f>
        <v>55.0</v>
      </c>
      <c r="R129" s="55">
        <f>IF(AC129=1,P129*60/Q129,"")</f>
        <v>320.727272727273</v>
      </c>
      <c r="S129" s="55">
        <f>IF(AC129=1,N(G129)*60/Q129,"")</f>
        <v>307.636363636364</v>
      </c>
      <c r="T129" s="57">
        <f>IF(AC129=1,O129/M129,"")</f>
        <v>0.78</v>
      </c>
      <c r="U129" s="57">
        <f>IF(AC129=1,IF(O129&gt;0,R129/O129,""),"")</f>
        <v>0.913752913752914</v>
      </c>
      <c r="V129" s="57">
        <f>IF(AC129=1,IF(P129&gt;0,N(G129)/P129,""),"")</f>
        <v>0.959183673469388</v>
      </c>
      <c r="W129" s="57">
        <f>IF(AC129=1,S129/M129,"")</f>
        <v>0.683636363636364</v>
      </c>
      <c r="X129" s="57">
        <f>IF(AC129=1,S129/K129,"")</f>
        <v>0.640909090909091</v>
      </c>
      <c r="Y129" s="58" t="str">
        <f>IF(W129="","",IF(W129&gt;=p_target,"Bon",IF(W129&gt;=p_alert,"À surveiller","Faible")))</f>
        <v>À surveiller</v>
      </c>
      <c r="Z129" s="58" t="str">
        <f>IF(W129="","",IF(MIN(IF(T129="",1,T129),IF(U129="",1,U129),IF(V129="",1,V129))&gt;=1,"Aucune",IF(IF(T129="",1,T129)&lt;=MIN(IF(U129="",1,U129),IF(V129="",1,V129)),"Disponibilité",IF(IF(U129="",1,U129)&lt;=IF(V129="",1,V129),"Performance","Qualité"))))</f>
        <v>Disponibilité</v>
      </c>
      <c r="AA129" s="59">
        <f>IF(AC129=1,N(H129)*N(IFERROR(INDEX(art_cost,MATCH(E129,art_ref,0)),0)),"")</f>
        <v>54.4</v>
      </c>
      <c r="AB129" s="58" t="str">
        <f>IF(COUNTA(A129:I129)=0,"",IF(N(A129)&lt;=0,"Date manquante ou invalide",IF(B129="","Équipe manquante",IF(ISNA(MATCH(B129,eq_code,0)),"Équipe inconnue",IF(INDEX(eq_check,MATCH(B129,eq_code,0))&lt;&gt;"OK","Équipe à corriger dans Paramètres",IF(C129="","Poste manquant",IF(ISNA(MATCH(C129,po_code,0)),"Poste inconnu",IF(AND(E129&lt;&gt;"",ISNA(MATCH(E129,art_ref,0))),"Article inconnu",IF(IF(E129="",FALSE,INDEX(art_check,MATCH(E129,art_ref,0))&lt;&gt;"OK"),"Article à corriger (feuille Articles)",IF(COUNTIFS(sj_date,A129,sj_eq,B129,sj_po,C129)&gt;1,"Ligne en double (même jour, équipe et poste)",IF(OR(NOT(ISNUMBER(K129)),N(K129)&lt;=0,N(K129)&gt;1440),"Temps d'ouverture invalide",IF(OR(AND(G129&lt;&gt;"",NOT(ISNUMBER(G129))),N(G129)&lt;0,N(G129)&lt;&gt;INT(N(G129)),AND(H129&lt;&gt;"",NOT(ISNUMBER(H129))),N(H129)&lt;0,N(H129)&lt;&gt;INT(N(H129)),AND(I129&lt;&gt;"",NOT(ISNUMBER(I129))),N(I129)&lt;0,N(I129)&lt;&gt;INT(N(I129))),"Quantité invalide",IF(Q129&lt;=0,"Cadence manquante (poste ou article)",IF(M129&lt;=0,"Arrêts planifiés supérieurs au temps d'ouverture",IF(O129&lt;0,"Arrêts supérieurs au temps requis",IF(AND(P129&gt;0,O129=0),"Pièces déclarées sans temps de marche",IF(AND(P129=0,O129&gt;0),"Aucune pièce déclarée",IF(P129*60/Q129&gt;O129+0.001,"Cadence dépassée : vérifiez la cadence","OK"))))))))))))))))))</f>
        <v>OK</v>
      </c>
      <c r="AC129">
        <f>IF(OR(AB129="OK",AB129="Aucune pièce déclarée",AB129="Cadence dépassée : vérifiez la cadence"),1,0)</f>
        <v>1.0</v>
      </c>
      <c r="AD129">
        <f>IF(AND(AC129=1,A129&gt;=p_from,A129&lt;=p_to),1,0)</f>
        <v>1.0</v>
      </c>
      <c r="AE129">
        <f>IF(AD129=1,IF(COUNTIFS($A$6:A129,A129,$AD$6:AD129,1)=1,1,0),0)</f>
        <v>0.0</v>
      </c>
      <c r="AF129" t="str">
        <f>IF(AE129=1,COUNTIFS(sj_first,1,sj_date,"&lt;"&amp;A129)+1,"")</f>
        <v/>
      </c>
      <c r="AG129" t="str">
        <f>IF(AND(AD129=1,N(W129)&lt;p_alert),ROUND(W129,4),"")</f>
        <v/>
      </c>
      <c r="AH129" t="str">
        <f>IF(AG129="","",COUNTIF(sj_akey,"&lt;"&amp;AG129)+COUNTIF($AG$6:AG129,AG129))</f>
        <v/>
      </c>
    </row>
    <row r="130">
      <c r="A130" s="51" t="n">
        <v>46302</v>
      </c>
      <c r="B130" s="52" t="inlineStr">
        <is>
          <t>Matin</t>
        </is>
      </c>
      <c r="C130" s="52" t="inlineStr">
        <is>
          <t>USIN</t>
        </is>
      </c>
      <c r="D130" s="53" t="inlineStr">
        <is>
          <t>OF-2610-149</t>
        </is>
      </c>
      <c r="E130" s="53" t="inlineStr">
        <is>
          <t>CAR-BOI-04</t>
        </is>
      </c>
      <c r="F130" s="54" t="n"/>
      <c r="G130" s="54" t="n">
        <v>35</v>
      </c>
      <c r="H130" s="54" t="n">
        <v>0</v>
      </c>
      <c r="I130" s="54" t="n">
        <v>0</v>
      </c>
      <c r="J130" s="53" t="n"/>
      <c r="K130" s="55">
        <f>IF(COUNTA(A130:I130)=0,"",IF(F130="",IFERROR(INDEX(eq_dur,MATCH(B130,eq_code,0)),""),F130))</f>
        <v>480.0</v>
      </c>
      <c r="L130" s="55">
        <f>IF(ISNUMBER(K130),N(IFERROR(INDEX(eq_pause,MATCH(B130,eq_code,0)),0))+SUMIFS(st_min,st_date,A130,st_eq,B130,st_po,C130,st_type,"Planifié"),"")</f>
        <v>30.0</v>
      </c>
      <c r="M130" s="55">
        <f>IF(ISNUMBER(K130),K130-L130,"")</f>
        <v>450.0</v>
      </c>
      <c r="N130" s="55">
        <f>IF(ISNUMBER(K130),SUMIFS(st_min,st_date,A130,st_eq,B130,st_po,C130,st_type,"Non planifié"),"")</f>
        <v>64.0</v>
      </c>
      <c r="O130" s="55">
        <f>IF(ISNUMBER(K130),M130-N130,"")</f>
        <v>386.0</v>
      </c>
      <c r="P130" s="55">
        <f>IF(COUNTA(A130:I130)=0,"",N(G130)+N(H130)+N(I130))</f>
        <v>35.0</v>
      </c>
      <c r="Q130" s="56">
        <f>IF(COUNTA(A130:I130)=0,"",IF(N(IFERROR(INDEX(art_rate,MATCH(E130,art_ref,0)),0))&gt;0,N(IFERROR(INDEX(art_rate,MATCH(E130,art_ref,0)),0)),N(IFERROR(INDEX(po_rate,MATCH(C130,po_code,0)),0))))</f>
        <v>6.0</v>
      </c>
      <c r="R130" s="55">
        <f>IF(AC130=1,P130*60/Q130,"")</f>
        <v>350.0</v>
      </c>
      <c r="S130" s="55">
        <f>IF(AC130=1,N(G130)*60/Q130,"")</f>
        <v>350.0</v>
      </c>
      <c r="T130" s="57">
        <f>IF(AC130=1,O130/M130,"")</f>
        <v>0.857777777777778</v>
      </c>
      <c r="U130" s="57">
        <f>IF(AC130=1,IF(O130&gt;0,R130/O130,""),"")</f>
        <v>0.906735751295337</v>
      </c>
      <c r="V130" s="57">
        <f>IF(AC130=1,IF(P130&gt;0,N(G130)/P130,""),"")</f>
        <v>1.0</v>
      </c>
      <c r="W130" s="57">
        <f>IF(AC130=1,S130/M130,"")</f>
        <v>0.777777777777778</v>
      </c>
      <c r="X130" s="57">
        <f>IF(AC130=1,S130/K130,"")</f>
        <v>0.729166666666667</v>
      </c>
      <c r="Y130" s="58" t="str">
        <f>IF(W130="","",IF(W130&gt;=p_target,"Bon",IF(W130&gt;=p_alert,"À surveiller","Faible")))</f>
        <v>Bon</v>
      </c>
      <c r="Z130" s="58" t="str">
        <f>IF(W130="","",IF(MIN(IF(T130="",1,T130),IF(U130="",1,U130),IF(V130="",1,V130))&gt;=1,"Aucune",IF(IF(T130="",1,T130)&lt;=MIN(IF(U130="",1,U130),IF(V130="",1,V130)),"Disponibilité",IF(IF(U130="",1,U130)&lt;=IF(V130="",1,V130),"Performance","Qualité"))))</f>
        <v>Disponibilité</v>
      </c>
      <c r="AA130" s="59">
        <f>IF(AC130=1,N(H130)*N(IFERROR(INDEX(art_cost,MATCH(E130,art_ref,0)),0)),"")</f>
        <v>0.0</v>
      </c>
      <c r="AB130" s="58" t="str">
        <f>IF(COUNTA(A130:I130)=0,"",IF(N(A130)&lt;=0,"Date manquante ou invalide",IF(B130="","Équipe manquante",IF(ISNA(MATCH(B130,eq_code,0)),"Équipe inconnue",IF(INDEX(eq_check,MATCH(B130,eq_code,0))&lt;&gt;"OK","Équipe à corriger dans Paramètres",IF(C130="","Poste manquant",IF(ISNA(MATCH(C130,po_code,0)),"Poste inconnu",IF(AND(E130&lt;&gt;"",ISNA(MATCH(E130,art_ref,0))),"Article inconnu",IF(IF(E130="",FALSE,INDEX(art_check,MATCH(E130,art_ref,0))&lt;&gt;"OK"),"Article à corriger (feuille Articles)",IF(COUNTIFS(sj_date,A130,sj_eq,B130,sj_po,C130)&gt;1,"Ligne en double (même jour, équipe et poste)",IF(OR(NOT(ISNUMBER(K130)),N(K130)&lt;=0,N(K130)&gt;1440),"Temps d'ouverture invalide",IF(OR(AND(G130&lt;&gt;"",NOT(ISNUMBER(G130))),N(G130)&lt;0,N(G130)&lt;&gt;INT(N(G130)),AND(H130&lt;&gt;"",NOT(ISNUMBER(H130))),N(H130)&lt;0,N(H130)&lt;&gt;INT(N(H130)),AND(I130&lt;&gt;"",NOT(ISNUMBER(I130))),N(I130)&lt;0,N(I130)&lt;&gt;INT(N(I130))),"Quantité invalide",IF(Q130&lt;=0,"Cadence manquante (poste ou article)",IF(M130&lt;=0,"Arrêts planifiés supérieurs au temps d'ouverture",IF(O130&lt;0,"Arrêts supérieurs au temps requis",IF(AND(P130&gt;0,O130=0),"Pièces déclarées sans temps de marche",IF(AND(P130=0,O130&gt;0),"Aucune pièce déclarée",IF(P130*60/Q130&gt;O130+0.001,"Cadence dépassée : vérifiez la cadence","OK"))))))))))))))))))</f>
        <v>OK</v>
      </c>
      <c r="AC130">
        <f>IF(OR(AB130="OK",AB130="Aucune pièce déclarée",AB130="Cadence dépassée : vérifiez la cadence"),1,0)</f>
        <v>1.0</v>
      </c>
      <c r="AD130">
        <f>IF(AND(AC130=1,A130&gt;=p_from,A130&lt;=p_to),1,0)</f>
        <v>1.0</v>
      </c>
      <c r="AE130">
        <f>IF(AD130=1,IF(COUNTIFS($A$6:A130,A130,$AD$6:AD130,1)=1,1,0),0)</f>
        <v>0.0</v>
      </c>
      <c r="AF130" t="str">
        <f>IF(AE130=1,COUNTIFS(sj_first,1,sj_date,"&lt;"&amp;A130)+1,"")</f>
        <v/>
      </c>
      <c r="AG130" t="str">
        <f>IF(AND(AD130=1,N(W130)&lt;p_alert),ROUND(W130,4),"")</f>
        <v/>
      </c>
      <c r="AH130" t="str">
        <f>IF(AG130="","",COUNTIF(sj_akey,"&lt;"&amp;AG130)+COUNTIF($AG$6:AG130,AG130))</f>
        <v/>
      </c>
    </row>
    <row r="131">
      <c r="A131" s="51" t="n">
        <v>46302</v>
      </c>
      <c r="B131" s="52" t="inlineStr">
        <is>
          <t>Après-midi</t>
        </is>
      </c>
      <c r="C131" s="52" t="inlineStr">
        <is>
          <t>USIN</t>
        </is>
      </c>
      <c r="D131" s="53" t="inlineStr">
        <is>
          <t>OF-2610-139</t>
        </is>
      </c>
      <c r="E131" s="53" t="inlineStr">
        <is>
          <t>FLA-PL-150</t>
        </is>
      </c>
      <c r="F131" s="54" t="n"/>
      <c r="G131" s="54" t="n">
        <v>69</v>
      </c>
      <c r="H131" s="54" t="n">
        <v>0</v>
      </c>
      <c r="I131" s="54" t="n">
        <v>0</v>
      </c>
      <c r="J131" s="53" t="n"/>
      <c r="K131" s="55">
        <f>IF(COUNTA(A131:I131)=0,"",IF(F131="",IFERROR(INDEX(eq_dur,MATCH(B131,eq_code,0)),""),F131))</f>
        <v>480.0</v>
      </c>
      <c r="L131" s="55">
        <f>IF(ISNUMBER(K131),N(IFERROR(INDEX(eq_pause,MATCH(B131,eq_code,0)),0))+SUMIFS(st_min,st_date,A131,st_eq,B131,st_po,C131,st_type,"Planifié"),"")</f>
        <v>30.0</v>
      </c>
      <c r="M131" s="55">
        <f>IF(ISNUMBER(K131),K131-L131,"")</f>
        <v>450.0</v>
      </c>
      <c r="N131" s="55">
        <f>IF(ISNUMBER(K131),SUMIFS(st_min,st_date,A131,st_eq,B131,st_po,C131,st_type,"Non planifié"),"")</f>
        <v>55.0</v>
      </c>
      <c r="O131" s="55">
        <f>IF(ISNUMBER(K131),M131-N131,"")</f>
        <v>395.0</v>
      </c>
      <c r="P131" s="55">
        <f>IF(COUNTA(A131:I131)=0,"",N(G131)+N(H131)+N(I131))</f>
        <v>69.0</v>
      </c>
      <c r="Q131" s="56">
        <f>IF(COUNTA(A131:I131)=0,"",IF(N(IFERROR(INDEX(art_rate,MATCH(E131,art_ref,0)),0))&gt;0,N(IFERROR(INDEX(art_rate,MATCH(E131,art_ref,0)),0)),N(IFERROR(INDEX(po_rate,MATCH(C131,po_code,0)),0))))</f>
        <v>12.0</v>
      </c>
      <c r="R131" s="55">
        <f>IF(AC131=1,P131*60/Q131,"")</f>
        <v>345.0</v>
      </c>
      <c r="S131" s="55">
        <f>IF(AC131=1,N(G131)*60/Q131,"")</f>
        <v>345.0</v>
      </c>
      <c r="T131" s="57">
        <f>IF(AC131=1,O131/M131,"")</f>
        <v>0.877777777777778</v>
      </c>
      <c r="U131" s="57">
        <f>IF(AC131=1,IF(O131&gt;0,R131/O131,""),"")</f>
        <v>0.873417721518987</v>
      </c>
      <c r="V131" s="57">
        <f>IF(AC131=1,IF(P131&gt;0,N(G131)/P131,""),"")</f>
        <v>1.0</v>
      </c>
      <c r="W131" s="57">
        <f>IF(AC131=1,S131/M131,"")</f>
        <v>0.766666666666667</v>
      </c>
      <c r="X131" s="57">
        <f>IF(AC131=1,S131/K131,"")</f>
        <v>0.71875</v>
      </c>
      <c r="Y131" s="58" t="str">
        <f>IF(W131="","",IF(W131&gt;=p_target,"Bon",IF(W131&gt;=p_alert,"À surveiller","Faible")))</f>
        <v>Bon</v>
      </c>
      <c r="Z131" s="58" t="str">
        <f>IF(W131="","",IF(MIN(IF(T131="",1,T131),IF(U131="",1,U131),IF(V131="",1,V131))&gt;=1,"Aucune",IF(IF(T131="",1,T131)&lt;=MIN(IF(U131="",1,U131),IF(V131="",1,V131)),"Disponibilité",IF(IF(U131="",1,U131)&lt;=IF(V131="",1,V131),"Performance","Qualité"))))</f>
        <v>Performance</v>
      </c>
      <c r="AA131" s="59">
        <f>IF(AC131=1,N(H131)*N(IFERROR(INDEX(art_cost,MATCH(E131,art_ref,0)),0)),"")</f>
        <v>0.0</v>
      </c>
      <c r="AB131" s="58" t="str">
        <f>IF(COUNTA(A131:I131)=0,"",IF(N(A131)&lt;=0,"Date manquante ou invalide",IF(B131="","Équipe manquante",IF(ISNA(MATCH(B131,eq_code,0)),"Équipe inconnue",IF(INDEX(eq_check,MATCH(B131,eq_code,0))&lt;&gt;"OK","Équipe à corriger dans Paramètres",IF(C131="","Poste manquant",IF(ISNA(MATCH(C131,po_code,0)),"Poste inconnu",IF(AND(E131&lt;&gt;"",ISNA(MATCH(E131,art_ref,0))),"Article inconnu",IF(IF(E131="",FALSE,INDEX(art_check,MATCH(E131,art_ref,0))&lt;&gt;"OK"),"Article à corriger (feuille Articles)",IF(COUNTIFS(sj_date,A131,sj_eq,B131,sj_po,C131)&gt;1,"Ligne en double (même jour, équipe et poste)",IF(OR(NOT(ISNUMBER(K131)),N(K131)&lt;=0,N(K131)&gt;1440),"Temps d'ouverture invalide",IF(OR(AND(G131&lt;&gt;"",NOT(ISNUMBER(G131))),N(G131)&lt;0,N(G131)&lt;&gt;INT(N(G131)),AND(H131&lt;&gt;"",NOT(ISNUMBER(H131))),N(H131)&lt;0,N(H131)&lt;&gt;INT(N(H131)),AND(I131&lt;&gt;"",NOT(ISNUMBER(I131))),N(I131)&lt;0,N(I131)&lt;&gt;INT(N(I131))),"Quantité invalide",IF(Q131&lt;=0,"Cadence manquante (poste ou article)",IF(M131&lt;=0,"Arrêts planifiés supérieurs au temps d'ouverture",IF(O131&lt;0,"Arrêts supérieurs au temps requis",IF(AND(P131&gt;0,O131=0),"Pièces déclarées sans temps de marche",IF(AND(P131=0,O131&gt;0),"Aucune pièce déclarée",IF(P131*60/Q131&gt;O131+0.001,"Cadence dépassée : vérifiez la cadence","OK"))))))))))))))))))</f>
        <v>OK</v>
      </c>
      <c r="AC131">
        <f>IF(OR(AB131="OK",AB131="Aucune pièce déclarée",AB131="Cadence dépassée : vérifiez la cadence"),1,0)</f>
        <v>1.0</v>
      </c>
      <c r="AD131">
        <f>IF(AND(AC131=1,A131&gt;=p_from,A131&lt;=p_to),1,0)</f>
        <v>1.0</v>
      </c>
      <c r="AE131">
        <f>IF(AD131=1,IF(COUNTIFS($A$6:A131,A131,$AD$6:AD131,1)=1,1,0),0)</f>
        <v>0.0</v>
      </c>
      <c r="AF131" t="str">
        <f>IF(AE131=1,COUNTIFS(sj_first,1,sj_date,"&lt;"&amp;A131)+1,"")</f>
        <v/>
      </c>
      <c r="AG131" t="str">
        <f>IF(AND(AD131=1,N(W131)&lt;p_alert),ROUND(W131,4),"")</f>
        <v/>
      </c>
      <c r="AH131" t="str">
        <f>IF(AG131="","",COUNTIF(sj_akey,"&lt;"&amp;AG131)+COUNTIF($AG$6:AG131,AG131))</f>
        <v/>
      </c>
    </row>
    <row r="132">
      <c r="A132" s="51" t="n">
        <v>46302</v>
      </c>
      <c r="B132" s="52" t="inlineStr">
        <is>
          <t>Matin</t>
        </is>
      </c>
      <c r="C132" s="52" t="inlineStr">
        <is>
          <t>PRESSE</t>
        </is>
      </c>
      <c r="D132" s="53" t="inlineStr">
        <is>
          <t>OF-2609-134</t>
        </is>
      </c>
      <c r="E132" s="53" t="inlineStr">
        <is>
          <t>RON-M10</t>
        </is>
      </c>
      <c r="F132" s="54" t="n"/>
      <c r="G132" s="54" t="n">
        <v>4049</v>
      </c>
      <c r="H132" s="54" t="n">
        <v>57</v>
      </c>
      <c r="I132" s="54" t="n">
        <v>8</v>
      </c>
      <c r="J132" s="53" t="n"/>
      <c r="K132" s="55">
        <f>IF(COUNTA(A132:I132)=0,"",IF(F132="",IFERROR(INDEX(eq_dur,MATCH(B132,eq_code,0)),""),F132))</f>
        <v>480.0</v>
      </c>
      <c r="L132" s="55">
        <f>IF(ISNUMBER(K132),N(IFERROR(INDEX(eq_pause,MATCH(B132,eq_code,0)),0))+SUMIFS(st_min,st_date,A132,st_eq,B132,st_po,C132,st_type,"Planifié"),"")</f>
        <v>30.0</v>
      </c>
      <c r="M132" s="55">
        <f>IF(ISNUMBER(K132),K132-L132,"")</f>
        <v>450.0</v>
      </c>
      <c r="N132" s="55">
        <f>IF(ISNUMBER(K132),SUMIFS(st_min,st_date,A132,st_eq,B132,st_po,C132,st_type,"Non planifié"),"")</f>
        <v>0.0</v>
      </c>
      <c r="O132" s="55">
        <f>IF(ISNUMBER(K132),M132-N132,"")</f>
        <v>450.0</v>
      </c>
      <c r="P132" s="55">
        <f>IF(COUNTA(A132:I132)=0,"",N(G132)+N(H132)+N(I132))</f>
        <v>4114.0</v>
      </c>
      <c r="Q132" s="56">
        <f>IF(COUNTA(A132:I132)=0,"",IF(N(IFERROR(INDEX(art_rate,MATCH(E132,art_ref,0)),0))&gt;0,N(IFERROR(INDEX(art_rate,MATCH(E132,art_ref,0)),0)),N(IFERROR(INDEX(po_rate,MATCH(C132,po_code,0)),0))))</f>
        <v>600.0</v>
      </c>
      <c r="R132" s="55">
        <f>IF(AC132=1,P132*60/Q132,"")</f>
        <v>411.4</v>
      </c>
      <c r="S132" s="55">
        <f>IF(AC132=1,N(G132)*60/Q132,"")</f>
        <v>404.9</v>
      </c>
      <c r="T132" s="57">
        <f>IF(AC132=1,O132/M132,"")</f>
        <v>1.0</v>
      </c>
      <c r="U132" s="57">
        <f>IF(AC132=1,IF(O132&gt;0,R132/O132,""),"")</f>
        <v>0.914222222222222</v>
      </c>
      <c r="V132" s="57">
        <f>IF(AC132=1,IF(P132&gt;0,N(G132)/P132,""),"")</f>
        <v>0.984200291686923</v>
      </c>
      <c r="W132" s="57">
        <f>IF(AC132=1,S132/M132,"")</f>
        <v>0.899777777777778</v>
      </c>
      <c r="X132" s="57">
        <f>IF(AC132=1,S132/K132,"")</f>
        <v>0.843541666666667</v>
      </c>
      <c r="Y132" s="58" t="str">
        <f>IF(W132="","",IF(W132&gt;=p_target,"Bon",IF(W132&gt;=p_alert,"À surveiller","Faible")))</f>
        <v>Bon</v>
      </c>
      <c r="Z132" s="58" t="str">
        <f>IF(W132="","",IF(MIN(IF(T132="",1,T132),IF(U132="",1,U132),IF(V132="",1,V132))&gt;=1,"Aucune",IF(IF(T132="",1,T132)&lt;=MIN(IF(U132="",1,U132),IF(V132="",1,V132)),"Disponibilité",IF(IF(U132="",1,U132)&lt;=IF(V132="",1,V132),"Performance","Qualité"))))</f>
        <v>Performance</v>
      </c>
      <c r="AA132" s="59">
        <f>IF(AC132=1,N(H132)*N(IFERROR(INDEX(art_cost,MATCH(E132,art_ref,0)),0)),"")</f>
        <v>51.3</v>
      </c>
      <c r="AB132" s="58" t="str">
        <f>IF(COUNTA(A132:I132)=0,"",IF(N(A132)&lt;=0,"Date manquante ou invalide",IF(B132="","Équipe manquante",IF(ISNA(MATCH(B132,eq_code,0)),"Équipe inconnue",IF(INDEX(eq_check,MATCH(B132,eq_code,0))&lt;&gt;"OK","Équipe à corriger dans Paramètres",IF(C132="","Poste manquant",IF(ISNA(MATCH(C132,po_code,0)),"Poste inconnu",IF(AND(E132&lt;&gt;"",ISNA(MATCH(E132,art_ref,0))),"Article inconnu",IF(IF(E132="",FALSE,INDEX(art_check,MATCH(E132,art_ref,0))&lt;&gt;"OK"),"Article à corriger (feuille Articles)",IF(COUNTIFS(sj_date,A132,sj_eq,B132,sj_po,C132)&gt;1,"Ligne en double (même jour, équipe et poste)",IF(OR(NOT(ISNUMBER(K132)),N(K132)&lt;=0,N(K132)&gt;1440),"Temps d'ouverture invalide",IF(OR(AND(G132&lt;&gt;"",NOT(ISNUMBER(G132))),N(G132)&lt;0,N(G132)&lt;&gt;INT(N(G132)),AND(H132&lt;&gt;"",NOT(ISNUMBER(H132))),N(H132)&lt;0,N(H132)&lt;&gt;INT(N(H132)),AND(I132&lt;&gt;"",NOT(ISNUMBER(I132))),N(I132)&lt;0,N(I132)&lt;&gt;INT(N(I132))),"Quantité invalide",IF(Q132&lt;=0,"Cadence manquante (poste ou article)",IF(M132&lt;=0,"Arrêts planifiés supérieurs au temps d'ouverture",IF(O132&lt;0,"Arrêts supérieurs au temps requis",IF(AND(P132&gt;0,O132=0),"Pièces déclarées sans temps de marche",IF(AND(P132=0,O132&gt;0),"Aucune pièce déclarée",IF(P132*60/Q132&gt;O132+0.001,"Cadence dépassée : vérifiez la cadence","OK"))))))))))))))))))</f>
        <v>OK</v>
      </c>
      <c r="AC132">
        <f>IF(OR(AB132="OK",AB132="Aucune pièce déclarée",AB132="Cadence dépassée : vérifiez la cadence"),1,0)</f>
        <v>1.0</v>
      </c>
      <c r="AD132">
        <f>IF(AND(AC132=1,A132&gt;=p_from,A132&lt;=p_to),1,0)</f>
        <v>1.0</v>
      </c>
      <c r="AE132">
        <f>IF(AD132=1,IF(COUNTIFS($A$6:A132,A132,$AD$6:AD132,1)=1,1,0),0)</f>
        <v>0.0</v>
      </c>
      <c r="AF132" t="str">
        <f>IF(AE132=1,COUNTIFS(sj_first,1,sj_date,"&lt;"&amp;A132)+1,"")</f>
        <v/>
      </c>
      <c r="AG132" t="str">
        <f>IF(AND(AD132=1,N(W132)&lt;p_alert),ROUND(W132,4),"")</f>
        <v/>
      </c>
      <c r="AH132" t="str">
        <f>IF(AG132="","",COUNTIF(sj_akey,"&lt;"&amp;AG132)+COUNTIF($AG$6:AG132,AG132))</f>
        <v/>
      </c>
    </row>
    <row r="133">
      <c r="A133" s="51" t="n">
        <v>46302</v>
      </c>
      <c r="B133" s="52" t="inlineStr">
        <is>
          <t>Journée</t>
        </is>
      </c>
      <c r="C133" s="52" t="inlineStr">
        <is>
          <t>PLIE</t>
        </is>
      </c>
      <c r="D133" s="53" t="inlineStr">
        <is>
          <t>OF-2610-150</t>
        </is>
      </c>
      <c r="E133" s="53" t="inlineStr">
        <is>
          <t>GAR-SUP-02</t>
        </is>
      </c>
      <c r="F133" s="54" t="n"/>
      <c r="G133" s="54" t="n">
        <v>623</v>
      </c>
      <c r="H133" s="54" t="n">
        <v>14</v>
      </c>
      <c r="I133" s="54" t="n">
        <v>8</v>
      </c>
      <c r="J133" s="53" t="n"/>
      <c r="K133" s="55">
        <f>IF(COUNTA(A133:I133)=0,"",IF(F133="",IFERROR(INDEX(eq_dur,MATCH(B133,eq_code,0)),""),F133))</f>
        <v>540.0</v>
      </c>
      <c r="L133" s="55">
        <f>IF(ISNUMBER(K133),N(IFERROR(INDEX(eq_pause,MATCH(B133,eq_code,0)),0))+SUMIFS(st_min,st_date,A133,st_eq,B133,st_po,C133,st_type,"Planifié"),"")</f>
        <v>60.0</v>
      </c>
      <c r="M133" s="55">
        <f>IF(ISNUMBER(K133),K133-L133,"")</f>
        <v>480.0</v>
      </c>
      <c r="N133" s="55">
        <f>IF(ISNUMBER(K133),SUMIFS(st_min,st_date,A133,st_eq,B133,st_po,C133,st_type,"Non planifié"),"")</f>
        <v>78.0</v>
      </c>
      <c r="O133" s="55">
        <f>IF(ISNUMBER(K133),M133-N133,"")</f>
        <v>402.0</v>
      </c>
      <c r="P133" s="55">
        <f>IF(COUNTA(A133:I133)=0,"",N(G133)+N(H133)+N(I133))</f>
        <v>645.0</v>
      </c>
      <c r="Q133" s="56">
        <f>IF(COUNTA(A133:I133)=0,"",IF(N(IFERROR(INDEX(art_rate,MATCH(E133,art_ref,0)),0))&gt;0,N(IFERROR(INDEX(art_rate,MATCH(E133,art_ref,0)),0)),N(IFERROR(INDEX(po_rate,MATCH(C133,po_code,0)),0))))</f>
        <v>110.0</v>
      </c>
      <c r="R133" s="55">
        <f>IF(AC133=1,P133*60/Q133,"")</f>
        <v>351.818181818182</v>
      </c>
      <c r="S133" s="55">
        <f>IF(AC133=1,N(G133)*60/Q133,"")</f>
        <v>339.818181818182</v>
      </c>
      <c r="T133" s="57">
        <f>IF(AC133=1,O133/M133,"")</f>
        <v>0.8375</v>
      </c>
      <c r="U133" s="57">
        <f>IF(AC133=1,IF(O133&gt;0,R133/O133,""),"")</f>
        <v>0.87516960651289</v>
      </c>
      <c r="V133" s="57">
        <f>IF(AC133=1,IF(P133&gt;0,N(G133)/P133,""),"")</f>
        <v>0.965891472868217</v>
      </c>
      <c r="W133" s="57">
        <f>IF(AC133=1,S133/M133,"")</f>
        <v>0.707954545454545</v>
      </c>
      <c r="X133" s="57">
        <f>IF(AC133=1,S133/K133,"")</f>
        <v>0.629292929292929</v>
      </c>
      <c r="Y133" s="58" t="str">
        <f>IF(W133="","",IF(W133&gt;=p_target,"Bon",IF(W133&gt;=p_alert,"À surveiller","Faible")))</f>
        <v>À surveiller</v>
      </c>
      <c r="Z133" s="58" t="str">
        <f>IF(W133="","",IF(MIN(IF(T133="",1,T133),IF(U133="",1,U133),IF(V133="",1,V133))&gt;=1,"Aucune",IF(IF(T133="",1,T133)&lt;=MIN(IF(U133="",1,U133),IF(V133="",1,V133)),"Disponibilité",IF(IF(U133="",1,U133)&lt;=IF(V133="",1,V133),"Performance","Qualité"))))</f>
        <v>Disponibilité</v>
      </c>
      <c r="AA133" s="59">
        <f>IF(AC133=1,N(H133)*N(IFERROR(INDEX(art_cost,MATCH(E133,art_ref,0)),0)),"")</f>
        <v>301.0</v>
      </c>
      <c r="AB133" s="58" t="str">
        <f>IF(COUNTA(A133:I133)=0,"",IF(N(A133)&lt;=0,"Date manquante ou invalide",IF(B133="","Équipe manquante",IF(ISNA(MATCH(B133,eq_code,0)),"Équipe inconnue",IF(INDEX(eq_check,MATCH(B133,eq_code,0))&lt;&gt;"OK","Équipe à corriger dans Paramètres",IF(C133="","Poste manquant",IF(ISNA(MATCH(C133,po_code,0)),"Poste inconnu",IF(AND(E133&lt;&gt;"",ISNA(MATCH(E133,art_ref,0))),"Article inconnu",IF(IF(E133="",FALSE,INDEX(art_check,MATCH(E133,art_ref,0))&lt;&gt;"OK"),"Article à corriger (feuille Articles)",IF(COUNTIFS(sj_date,A133,sj_eq,B133,sj_po,C133)&gt;1,"Ligne en double (même jour, équipe et poste)",IF(OR(NOT(ISNUMBER(K133)),N(K133)&lt;=0,N(K133)&gt;1440),"Temps d'ouverture invalide",IF(OR(AND(G133&lt;&gt;"",NOT(ISNUMBER(G133))),N(G133)&lt;0,N(G133)&lt;&gt;INT(N(G133)),AND(H133&lt;&gt;"",NOT(ISNUMBER(H133))),N(H133)&lt;0,N(H133)&lt;&gt;INT(N(H133)),AND(I133&lt;&gt;"",NOT(ISNUMBER(I133))),N(I133)&lt;0,N(I133)&lt;&gt;INT(N(I133))),"Quantité invalide",IF(Q133&lt;=0,"Cadence manquante (poste ou article)",IF(M133&lt;=0,"Arrêts planifiés supérieurs au temps d'ouverture",IF(O133&lt;0,"Arrêts supérieurs au temps requis",IF(AND(P133&gt;0,O133=0),"Pièces déclarées sans temps de marche",IF(AND(P133=0,O133&gt;0),"Aucune pièce déclarée",IF(P133*60/Q133&gt;O133+0.001,"Cadence dépassée : vérifiez la cadence","OK"))))))))))))))))))</f>
        <v>OK</v>
      </c>
      <c r="AC133">
        <f>IF(OR(AB133="OK",AB133="Aucune pièce déclarée",AB133="Cadence dépassée : vérifiez la cadence"),1,0)</f>
        <v>1.0</v>
      </c>
      <c r="AD133">
        <f>IF(AND(AC133=1,A133&gt;=p_from,A133&lt;=p_to),1,0)</f>
        <v>1.0</v>
      </c>
      <c r="AE133">
        <f>IF(AD133=1,IF(COUNTIFS($A$6:A133,A133,$AD$6:AD133,1)=1,1,0),0)</f>
        <v>0.0</v>
      </c>
      <c r="AF133" t="str">
        <f>IF(AE133=1,COUNTIFS(sj_first,1,sj_date,"&lt;"&amp;A133)+1,"")</f>
        <v/>
      </c>
      <c r="AG133" t="str">
        <f>IF(AND(AD133=1,N(W133)&lt;p_alert),ROUND(W133,4),"")</f>
        <v/>
      </c>
      <c r="AH133" t="str">
        <f>IF(AG133="","",COUNTIF(sj_akey,"&lt;"&amp;AG133)+COUNTIF($AG$6:AG133,AG133))</f>
        <v/>
      </c>
    </row>
    <row r="134">
      <c r="A134" s="51" t="n">
        <v>46302</v>
      </c>
      <c r="B134" s="52" t="inlineStr">
        <is>
          <t>Matin</t>
        </is>
      </c>
      <c r="C134" s="52" t="inlineStr">
        <is>
          <t>SOUD</t>
        </is>
      </c>
      <c r="D134" s="53" t="inlineStr">
        <is>
          <t>OF-2610-146</t>
        </is>
      </c>
      <c r="E134" s="53" t="inlineStr">
        <is>
          <t>CHA-REM-01</t>
        </is>
      </c>
      <c r="F134" s="54" t="n"/>
      <c r="G134" s="54" t="n">
        <v>20</v>
      </c>
      <c r="H134" s="54" t="n">
        <v>0</v>
      </c>
      <c r="I134" s="54" t="n">
        <v>0</v>
      </c>
      <c r="J134" s="53" t="n"/>
      <c r="K134" s="55">
        <f>IF(COUNTA(A134:I134)=0,"",IF(F134="",IFERROR(INDEX(eq_dur,MATCH(B134,eq_code,0)),""),F134))</f>
        <v>480.0</v>
      </c>
      <c r="L134" s="55">
        <f>IF(ISNUMBER(K134),N(IFERROR(INDEX(eq_pause,MATCH(B134,eq_code,0)),0))+SUMIFS(st_min,st_date,A134,st_eq,B134,st_po,C134,st_type,"Planifié"),"")</f>
        <v>30.0</v>
      </c>
      <c r="M134" s="55">
        <f>IF(ISNUMBER(K134),K134-L134,"")</f>
        <v>450.0</v>
      </c>
      <c r="N134" s="55">
        <f>IF(ISNUMBER(K134),SUMIFS(st_min,st_date,A134,st_eq,B134,st_po,C134,st_type,"Non planifié"),"")</f>
        <v>109.0</v>
      </c>
      <c r="O134" s="55">
        <f>IF(ISNUMBER(K134),M134-N134,"")</f>
        <v>341.0</v>
      </c>
      <c r="P134" s="55">
        <f>IF(COUNTA(A134:I134)=0,"",N(G134)+N(H134)+N(I134))</f>
        <v>20.0</v>
      </c>
      <c r="Q134" s="56">
        <f>IF(COUNTA(A134:I134)=0,"",IF(N(IFERROR(INDEX(art_rate,MATCH(E134,art_ref,0)),0))&gt;0,N(IFERROR(INDEX(art_rate,MATCH(E134,art_ref,0)),0)),N(IFERROR(INDEX(po_rate,MATCH(C134,po_code,0)),0))))</f>
        <v>4.0</v>
      </c>
      <c r="R134" s="55">
        <f>IF(AC134=1,P134*60/Q134,"")</f>
        <v>300.0</v>
      </c>
      <c r="S134" s="55">
        <f>IF(AC134=1,N(G134)*60/Q134,"")</f>
        <v>300.0</v>
      </c>
      <c r="T134" s="57">
        <f>IF(AC134=1,O134/M134,"")</f>
        <v>0.757777777777778</v>
      </c>
      <c r="U134" s="57">
        <f>IF(AC134=1,IF(O134&gt;0,R134/O134,""),"")</f>
        <v>0.879765395894428</v>
      </c>
      <c r="V134" s="57">
        <f>IF(AC134=1,IF(P134&gt;0,N(G134)/P134,""),"")</f>
        <v>1.0</v>
      </c>
      <c r="W134" s="57">
        <f>IF(AC134=1,S134/M134,"")</f>
        <v>0.666666666666667</v>
      </c>
      <c r="X134" s="57">
        <f>IF(AC134=1,S134/K134,"")</f>
        <v>0.625</v>
      </c>
      <c r="Y134" s="58" t="str">
        <f>IF(W134="","",IF(W134&gt;=p_target,"Bon",IF(W134&gt;=p_alert,"À surveiller","Faible")))</f>
        <v>À surveiller</v>
      </c>
      <c r="Z134" s="58" t="str">
        <f>IF(W134="","",IF(MIN(IF(T134="",1,T134),IF(U134="",1,U134),IF(V134="",1,V134))&gt;=1,"Aucune",IF(IF(T134="",1,T134)&lt;=MIN(IF(U134="",1,U134),IF(V134="",1,V134)),"Disponibilité",IF(IF(U134="",1,U134)&lt;=IF(V134="",1,V134),"Performance","Qualité"))))</f>
        <v>Disponibilité</v>
      </c>
      <c r="AA134" s="59">
        <f>IF(AC134=1,N(H134)*N(IFERROR(INDEX(art_cost,MATCH(E134,art_ref,0)),0)),"")</f>
        <v>0.0</v>
      </c>
      <c r="AB134" s="58" t="str">
        <f>IF(COUNTA(A134:I134)=0,"",IF(N(A134)&lt;=0,"Date manquante ou invalide",IF(B134="","Équipe manquante",IF(ISNA(MATCH(B134,eq_code,0)),"Équipe inconnue",IF(INDEX(eq_check,MATCH(B134,eq_code,0))&lt;&gt;"OK","Équipe à corriger dans Paramètres",IF(C134="","Poste manquant",IF(ISNA(MATCH(C134,po_code,0)),"Poste inconnu",IF(AND(E134&lt;&gt;"",ISNA(MATCH(E134,art_ref,0))),"Article inconnu",IF(IF(E134="",FALSE,INDEX(art_check,MATCH(E134,art_ref,0))&lt;&gt;"OK"),"Article à corriger (feuille Articles)",IF(COUNTIFS(sj_date,A134,sj_eq,B134,sj_po,C134)&gt;1,"Ligne en double (même jour, équipe et poste)",IF(OR(NOT(ISNUMBER(K134)),N(K134)&lt;=0,N(K134)&gt;1440),"Temps d'ouverture invalide",IF(OR(AND(G134&lt;&gt;"",NOT(ISNUMBER(G134))),N(G134)&lt;0,N(G134)&lt;&gt;INT(N(G134)),AND(H134&lt;&gt;"",NOT(ISNUMBER(H134))),N(H134)&lt;0,N(H134)&lt;&gt;INT(N(H134)),AND(I134&lt;&gt;"",NOT(ISNUMBER(I134))),N(I134)&lt;0,N(I134)&lt;&gt;INT(N(I134))),"Quantité invalide",IF(Q134&lt;=0,"Cadence manquante (poste ou article)",IF(M134&lt;=0,"Arrêts planifiés supérieurs au temps d'ouverture",IF(O134&lt;0,"Arrêts supérieurs au temps requis",IF(AND(P134&gt;0,O134=0),"Pièces déclarées sans temps de marche",IF(AND(P134=0,O134&gt;0),"Aucune pièce déclarée",IF(P134*60/Q134&gt;O134+0.001,"Cadence dépassée : vérifiez la cadence","OK"))))))))))))))))))</f>
        <v>OK</v>
      </c>
      <c r="AC134">
        <f>IF(OR(AB134="OK",AB134="Aucune pièce déclarée",AB134="Cadence dépassée : vérifiez la cadence"),1,0)</f>
        <v>1.0</v>
      </c>
      <c r="AD134">
        <f>IF(AND(AC134=1,A134&gt;=p_from,A134&lt;=p_to),1,0)</f>
        <v>1.0</v>
      </c>
      <c r="AE134">
        <f>IF(AD134=1,IF(COUNTIFS($A$6:A134,A134,$AD$6:AD134,1)=1,1,0),0)</f>
        <v>0.0</v>
      </c>
      <c r="AF134" t="str">
        <f>IF(AE134=1,COUNTIFS(sj_first,1,sj_date,"&lt;"&amp;A134)+1,"")</f>
        <v/>
      </c>
      <c r="AG134" t="str">
        <f>IF(AND(AD134=1,N(W134)&lt;p_alert),ROUND(W134,4),"")</f>
        <v/>
      </c>
      <c r="AH134" t="str">
        <f>IF(AG134="","",COUNTIF(sj_akey,"&lt;"&amp;AG134)+COUNTIF($AG$6:AG134,AG134))</f>
        <v/>
      </c>
    </row>
    <row r="135">
      <c r="A135" s="51" t="n">
        <v>46302</v>
      </c>
      <c r="B135" s="52" t="inlineStr">
        <is>
          <t>Après-midi</t>
        </is>
      </c>
      <c r="C135" s="52" t="inlineStr">
        <is>
          <t>SOUD</t>
        </is>
      </c>
      <c r="D135" s="53" t="inlineStr">
        <is>
          <t>OF-2610-151</t>
        </is>
      </c>
      <c r="E135" s="53" t="inlineStr">
        <is>
          <t>CHA-REM-01</t>
        </is>
      </c>
      <c r="F135" s="54" t="n"/>
      <c r="G135" s="54" t="n">
        <v>18</v>
      </c>
      <c r="H135" s="54" t="n">
        <v>0</v>
      </c>
      <c r="I135" s="54" t="n">
        <v>0</v>
      </c>
      <c r="J135" s="53" t="n"/>
      <c r="K135" s="55">
        <f>IF(COUNTA(A135:I135)=0,"",IF(F135="",IFERROR(INDEX(eq_dur,MATCH(B135,eq_code,0)),""),F135))</f>
        <v>480.0</v>
      </c>
      <c r="L135" s="55">
        <f>IF(ISNUMBER(K135),N(IFERROR(INDEX(eq_pause,MATCH(B135,eq_code,0)),0))+SUMIFS(st_min,st_date,A135,st_eq,B135,st_po,C135,st_type,"Planifié"),"")</f>
        <v>30.0</v>
      </c>
      <c r="M135" s="55">
        <f>IF(ISNUMBER(K135),K135-L135,"")</f>
        <v>450.0</v>
      </c>
      <c r="N135" s="55">
        <f>IF(ISNUMBER(K135),SUMIFS(st_min,st_date,A135,st_eq,B135,st_po,C135,st_type,"Non planifié"),"")</f>
        <v>98.0</v>
      </c>
      <c r="O135" s="55">
        <f>IF(ISNUMBER(K135),M135-N135,"")</f>
        <v>352.0</v>
      </c>
      <c r="P135" s="55">
        <f>IF(COUNTA(A135:I135)=0,"",N(G135)+N(H135)+N(I135))</f>
        <v>18.0</v>
      </c>
      <c r="Q135" s="56">
        <f>IF(COUNTA(A135:I135)=0,"",IF(N(IFERROR(INDEX(art_rate,MATCH(E135,art_ref,0)),0))&gt;0,N(IFERROR(INDEX(art_rate,MATCH(E135,art_ref,0)),0)),N(IFERROR(INDEX(po_rate,MATCH(C135,po_code,0)),0))))</f>
        <v>4.0</v>
      </c>
      <c r="R135" s="55">
        <f>IF(AC135=1,P135*60/Q135,"")</f>
        <v>270.0</v>
      </c>
      <c r="S135" s="55">
        <f>IF(AC135=1,N(G135)*60/Q135,"")</f>
        <v>270.0</v>
      </c>
      <c r="T135" s="57">
        <f>IF(AC135=1,O135/M135,"")</f>
        <v>0.782222222222222</v>
      </c>
      <c r="U135" s="57">
        <f>IF(AC135=1,IF(O135&gt;0,R135/O135,""),"")</f>
        <v>0.767045454545455</v>
      </c>
      <c r="V135" s="57">
        <f>IF(AC135=1,IF(P135&gt;0,N(G135)/P135,""),"")</f>
        <v>1.0</v>
      </c>
      <c r="W135" s="57">
        <f>IF(AC135=1,S135/M135,"")</f>
        <v>0.6</v>
      </c>
      <c r="X135" s="57">
        <f>IF(AC135=1,S135/K135,"")</f>
        <v>0.5625</v>
      </c>
      <c r="Y135" s="58" t="str">
        <f>IF(W135="","",IF(W135&gt;=p_target,"Bon",IF(W135&gt;=p_alert,"À surveiller","Faible")))</f>
        <v>À surveiller</v>
      </c>
      <c r="Z135" s="58" t="str">
        <f>IF(W135="","",IF(MIN(IF(T135="",1,T135),IF(U135="",1,U135),IF(V135="",1,V135))&gt;=1,"Aucune",IF(IF(T135="",1,T135)&lt;=MIN(IF(U135="",1,U135),IF(V135="",1,V135)),"Disponibilité",IF(IF(U135="",1,U135)&lt;=IF(V135="",1,V135),"Performance","Qualité"))))</f>
        <v>Performance</v>
      </c>
      <c r="AA135" s="59">
        <f>IF(AC135=1,N(H135)*N(IFERROR(INDEX(art_cost,MATCH(E135,art_ref,0)),0)),"")</f>
        <v>0.0</v>
      </c>
      <c r="AB135" s="58" t="str">
        <f>IF(COUNTA(A135:I135)=0,"",IF(N(A135)&lt;=0,"Date manquante ou invalide",IF(B135="","Équipe manquante",IF(ISNA(MATCH(B135,eq_code,0)),"Équipe inconnue",IF(INDEX(eq_check,MATCH(B135,eq_code,0))&lt;&gt;"OK","Équipe à corriger dans Paramètres",IF(C135="","Poste manquant",IF(ISNA(MATCH(C135,po_code,0)),"Poste inconnu",IF(AND(E135&lt;&gt;"",ISNA(MATCH(E135,art_ref,0))),"Article inconnu",IF(IF(E135="",FALSE,INDEX(art_check,MATCH(E135,art_ref,0))&lt;&gt;"OK"),"Article à corriger (feuille Articles)",IF(COUNTIFS(sj_date,A135,sj_eq,B135,sj_po,C135)&gt;1,"Ligne en double (même jour, équipe et poste)",IF(OR(NOT(ISNUMBER(K135)),N(K135)&lt;=0,N(K135)&gt;1440),"Temps d'ouverture invalide",IF(OR(AND(G135&lt;&gt;"",NOT(ISNUMBER(G135))),N(G135)&lt;0,N(G135)&lt;&gt;INT(N(G135)),AND(H135&lt;&gt;"",NOT(ISNUMBER(H135))),N(H135)&lt;0,N(H135)&lt;&gt;INT(N(H135)),AND(I135&lt;&gt;"",NOT(ISNUMBER(I135))),N(I135)&lt;0,N(I135)&lt;&gt;INT(N(I135))),"Quantité invalide",IF(Q135&lt;=0,"Cadence manquante (poste ou article)",IF(M135&lt;=0,"Arrêts planifiés supérieurs au temps d'ouverture",IF(O135&lt;0,"Arrêts supérieurs au temps requis",IF(AND(P135&gt;0,O135=0),"Pièces déclarées sans temps de marche",IF(AND(P135=0,O135&gt;0),"Aucune pièce déclarée",IF(P135*60/Q135&gt;O135+0.001,"Cadence dépassée : vérifiez la cadence","OK"))))))))))))))))))</f>
        <v>OK</v>
      </c>
      <c r="AC135">
        <f>IF(OR(AB135="OK",AB135="Aucune pièce déclarée",AB135="Cadence dépassée : vérifiez la cadence"),1,0)</f>
        <v>1.0</v>
      </c>
      <c r="AD135">
        <f>IF(AND(AC135=1,A135&gt;=p_from,A135&lt;=p_to),1,0)</f>
        <v>1.0</v>
      </c>
      <c r="AE135">
        <f>IF(AD135=1,IF(COUNTIFS($A$6:A135,A135,$AD$6:AD135,1)=1,1,0),0)</f>
        <v>0.0</v>
      </c>
      <c r="AF135" t="str">
        <f>IF(AE135=1,COUNTIFS(sj_first,1,sj_date,"&lt;"&amp;A135)+1,"")</f>
        <v/>
      </c>
      <c r="AG135" t="str">
        <f>IF(AND(AD135=1,N(W135)&lt;p_alert),ROUND(W135,4),"")</f>
        <v/>
      </c>
      <c r="AH135" t="str">
        <f>IF(AG135="","",COUNTIF(sj_akey,"&lt;"&amp;AG135)+COUNTIF($AG$6:AG135,AG135))</f>
        <v/>
      </c>
    </row>
    <row r="136">
      <c r="A136" s="51" t="n">
        <v>46303</v>
      </c>
      <c r="B136" s="52" t="inlineStr">
        <is>
          <t>Matin</t>
        </is>
      </c>
      <c r="C136" s="52" t="inlineStr">
        <is>
          <t>TOUR1</t>
        </is>
      </c>
      <c r="D136" s="53" t="inlineStr">
        <is>
          <t>OF-2610-147</t>
        </is>
      </c>
      <c r="E136" s="53" t="inlineStr">
        <is>
          <t>AXE-R20</t>
        </is>
      </c>
      <c r="F136" s="54" t="n"/>
      <c r="G136" s="54" t="n">
        <v>197</v>
      </c>
      <c r="H136" s="54" t="n">
        <v>6</v>
      </c>
      <c r="I136" s="54" t="n">
        <v>1</v>
      </c>
      <c r="J136" s="53" t="n"/>
      <c r="K136" s="55">
        <f>IF(COUNTA(A136:I136)=0,"",IF(F136="",IFERROR(INDEX(eq_dur,MATCH(B136,eq_code,0)),""),F136))</f>
        <v>480.0</v>
      </c>
      <c r="L136" s="55">
        <f>IF(ISNUMBER(K136),N(IFERROR(INDEX(eq_pause,MATCH(B136,eq_code,0)),0))+SUMIFS(st_min,st_date,A136,st_eq,B136,st_po,C136,st_type,"Planifié"),"")</f>
        <v>30.0</v>
      </c>
      <c r="M136" s="55">
        <f>IF(ISNUMBER(K136),K136-L136,"")</f>
        <v>450.0</v>
      </c>
      <c r="N136" s="55">
        <f>IF(ISNUMBER(K136),SUMIFS(st_min,st_date,A136,st_eq,B136,st_po,C136,st_type,"Non planifié"),"")</f>
        <v>0.0</v>
      </c>
      <c r="O136" s="55">
        <f>IF(ISNUMBER(K136),M136-N136,"")</f>
        <v>450.0</v>
      </c>
      <c r="P136" s="55">
        <f>IF(COUNTA(A136:I136)=0,"",N(G136)+N(H136)+N(I136))</f>
        <v>204.0</v>
      </c>
      <c r="Q136" s="56">
        <f>IF(COUNTA(A136:I136)=0,"",IF(N(IFERROR(INDEX(art_rate,MATCH(E136,art_ref,0)),0))&gt;0,N(IFERROR(INDEX(art_rate,MATCH(E136,art_ref,0)),0)),N(IFERROR(INDEX(po_rate,MATCH(C136,po_code,0)),0))))</f>
        <v>30.0</v>
      </c>
      <c r="R136" s="55">
        <f>IF(AC136=1,P136*60/Q136,"")</f>
        <v>408.0</v>
      </c>
      <c r="S136" s="55">
        <f>IF(AC136=1,N(G136)*60/Q136,"")</f>
        <v>394.0</v>
      </c>
      <c r="T136" s="57">
        <f>IF(AC136=1,O136/M136,"")</f>
        <v>1.0</v>
      </c>
      <c r="U136" s="57">
        <f>IF(AC136=1,IF(O136&gt;0,R136/O136,""),"")</f>
        <v>0.906666666666667</v>
      </c>
      <c r="V136" s="57">
        <f>IF(AC136=1,IF(P136&gt;0,N(G136)/P136,""),"")</f>
        <v>0.965686274509804</v>
      </c>
      <c r="W136" s="57">
        <f>IF(AC136=1,S136/M136,"")</f>
        <v>0.875555555555556</v>
      </c>
      <c r="X136" s="57">
        <f>IF(AC136=1,S136/K136,"")</f>
        <v>0.820833333333333</v>
      </c>
      <c r="Y136" s="58" t="str">
        <f>IF(W136="","",IF(W136&gt;=p_target,"Bon",IF(W136&gt;=p_alert,"À surveiller","Faible")))</f>
        <v>Bon</v>
      </c>
      <c r="Z136" s="58" t="str">
        <f>IF(W136="","",IF(MIN(IF(T136="",1,T136),IF(U136="",1,U136),IF(V136="",1,V136))&gt;=1,"Aucune",IF(IF(T136="",1,T136)&lt;=MIN(IF(U136="",1,U136),IF(V136="",1,V136)),"Disponibilité",IF(IF(U136="",1,U136)&lt;=IF(V136="",1,V136),"Performance","Qualité"))))</f>
        <v>Performance</v>
      </c>
      <c r="AA136" s="59">
        <f>IF(AC136=1,N(H136)*N(IFERROR(INDEX(art_cost,MATCH(E136,art_ref,0)),0)),"")</f>
        <v>231.0</v>
      </c>
      <c r="AB136" s="58" t="str">
        <f>IF(COUNTA(A136:I136)=0,"",IF(N(A136)&lt;=0,"Date manquante ou invalide",IF(B136="","Équipe manquante",IF(ISNA(MATCH(B136,eq_code,0)),"Équipe inconnue",IF(INDEX(eq_check,MATCH(B136,eq_code,0))&lt;&gt;"OK","Équipe à corriger dans Paramètres",IF(C136="","Poste manquant",IF(ISNA(MATCH(C136,po_code,0)),"Poste inconnu",IF(AND(E136&lt;&gt;"",ISNA(MATCH(E136,art_ref,0))),"Article inconnu",IF(IF(E136="",FALSE,INDEX(art_check,MATCH(E136,art_ref,0))&lt;&gt;"OK"),"Article à corriger (feuille Articles)",IF(COUNTIFS(sj_date,A136,sj_eq,B136,sj_po,C136)&gt;1,"Ligne en double (même jour, équipe et poste)",IF(OR(NOT(ISNUMBER(K136)),N(K136)&lt;=0,N(K136)&gt;1440),"Temps d'ouverture invalide",IF(OR(AND(G136&lt;&gt;"",NOT(ISNUMBER(G136))),N(G136)&lt;0,N(G136)&lt;&gt;INT(N(G136)),AND(H136&lt;&gt;"",NOT(ISNUMBER(H136))),N(H136)&lt;0,N(H136)&lt;&gt;INT(N(H136)),AND(I136&lt;&gt;"",NOT(ISNUMBER(I136))),N(I136)&lt;0,N(I136)&lt;&gt;INT(N(I136))),"Quantité invalide",IF(Q136&lt;=0,"Cadence manquante (poste ou article)",IF(M136&lt;=0,"Arrêts planifiés supérieurs au temps d'ouverture",IF(O136&lt;0,"Arrêts supérieurs au temps requis",IF(AND(P136&gt;0,O136=0),"Pièces déclarées sans temps de marche",IF(AND(P136=0,O136&gt;0),"Aucune pièce déclarée",IF(P136*60/Q136&gt;O136+0.001,"Cadence dépassée : vérifiez la cadence","OK"))))))))))))))))))</f>
        <v>OK</v>
      </c>
      <c r="AC136">
        <f>IF(OR(AB136="OK",AB136="Aucune pièce déclarée",AB136="Cadence dépassée : vérifiez la cadence"),1,0)</f>
        <v>1.0</v>
      </c>
      <c r="AD136">
        <f>IF(AND(AC136=1,A136&gt;=p_from,A136&lt;=p_to),1,0)</f>
        <v>1.0</v>
      </c>
      <c r="AE136">
        <f>IF(AD136=1,IF(COUNTIFS($A$6:A136,A136,$AD$6:AD136,1)=1,1,0),0)</f>
        <v>1.0</v>
      </c>
      <c r="AF136">
        <f>IF(AE136=1,COUNTIFS(sj_first,1,sj_date,"&lt;"&amp;A136)+1,"")</f>
        <v>14.0</v>
      </c>
      <c r="AG136" t="str">
        <f>IF(AND(AD136=1,N(W136)&lt;p_alert),ROUND(W136,4),"")</f>
        <v/>
      </c>
      <c r="AH136" t="str">
        <f>IF(AG136="","",COUNTIF(sj_akey,"&lt;"&amp;AG136)+COUNTIF($AG$6:AG136,AG136))</f>
        <v/>
      </c>
    </row>
    <row r="137">
      <c r="A137" s="51" t="n">
        <v>46303</v>
      </c>
      <c r="B137" s="52" t="inlineStr">
        <is>
          <t>Après-midi</t>
        </is>
      </c>
      <c r="C137" s="52" t="inlineStr">
        <is>
          <t>TOUR1</t>
        </is>
      </c>
      <c r="D137" s="53" t="inlineStr">
        <is>
          <t>OF-2610-142</t>
        </is>
      </c>
      <c r="E137" s="53" t="inlineStr">
        <is>
          <t>AXE-R20</t>
        </is>
      </c>
      <c r="F137" s="54" t="n"/>
      <c r="G137" s="54" t="n">
        <v>206</v>
      </c>
      <c r="H137" s="54" t="n">
        <v>1</v>
      </c>
      <c r="I137" s="54" t="n">
        <v>0</v>
      </c>
      <c r="J137" s="53" t="n"/>
      <c r="K137" s="55">
        <f>IF(COUNTA(A137:I137)=0,"",IF(F137="",IFERROR(INDEX(eq_dur,MATCH(B137,eq_code,0)),""),F137))</f>
        <v>480.0</v>
      </c>
      <c r="L137" s="55">
        <f>IF(ISNUMBER(K137),N(IFERROR(INDEX(eq_pause,MATCH(B137,eq_code,0)),0))+SUMIFS(st_min,st_date,A137,st_eq,B137,st_po,C137,st_type,"Planifié"),"")</f>
        <v>30.0</v>
      </c>
      <c r="M137" s="55">
        <f>IF(ISNUMBER(K137),K137-L137,"")</f>
        <v>450.0</v>
      </c>
      <c r="N137" s="55">
        <f>IF(ISNUMBER(K137),SUMIFS(st_min,st_date,A137,st_eq,B137,st_po,C137,st_type,"Non planifié"),"")</f>
        <v>18.0</v>
      </c>
      <c r="O137" s="55">
        <f>IF(ISNUMBER(K137),M137-N137,"")</f>
        <v>432.0</v>
      </c>
      <c r="P137" s="55">
        <f>IF(COUNTA(A137:I137)=0,"",N(G137)+N(H137)+N(I137))</f>
        <v>207.0</v>
      </c>
      <c r="Q137" s="56">
        <f>IF(COUNTA(A137:I137)=0,"",IF(N(IFERROR(INDEX(art_rate,MATCH(E137,art_ref,0)),0))&gt;0,N(IFERROR(INDEX(art_rate,MATCH(E137,art_ref,0)),0)),N(IFERROR(INDEX(po_rate,MATCH(C137,po_code,0)),0))))</f>
        <v>30.0</v>
      </c>
      <c r="R137" s="55">
        <f>IF(AC137=1,P137*60/Q137,"")</f>
        <v>414.0</v>
      </c>
      <c r="S137" s="55">
        <f>IF(AC137=1,N(G137)*60/Q137,"")</f>
        <v>412.0</v>
      </c>
      <c r="T137" s="57">
        <f>IF(AC137=1,O137/M137,"")</f>
        <v>0.96</v>
      </c>
      <c r="U137" s="57">
        <f>IF(AC137=1,IF(O137&gt;0,R137/O137,""),"")</f>
        <v>0.958333333333333</v>
      </c>
      <c r="V137" s="57">
        <f>IF(AC137=1,IF(P137&gt;0,N(G137)/P137,""),"")</f>
        <v>0.995169082125604</v>
      </c>
      <c r="W137" s="57">
        <f>IF(AC137=1,S137/M137,"")</f>
        <v>0.915555555555556</v>
      </c>
      <c r="X137" s="57">
        <f>IF(AC137=1,S137/K137,"")</f>
        <v>0.858333333333333</v>
      </c>
      <c r="Y137" s="58" t="str">
        <f>IF(W137="","",IF(W137&gt;=p_target,"Bon",IF(W137&gt;=p_alert,"À surveiller","Faible")))</f>
        <v>Bon</v>
      </c>
      <c r="Z137" s="58" t="str">
        <f>IF(W137="","",IF(MIN(IF(T137="",1,T137),IF(U137="",1,U137),IF(V137="",1,V137))&gt;=1,"Aucune",IF(IF(T137="",1,T137)&lt;=MIN(IF(U137="",1,U137),IF(V137="",1,V137)),"Disponibilité",IF(IF(U137="",1,U137)&lt;=IF(V137="",1,V137),"Performance","Qualité"))))</f>
        <v>Performance</v>
      </c>
      <c r="AA137" s="59">
        <f>IF(AC137=1,N(H137)*N(IFERROR(INDEX(art_cost,MATCH(E137,art_ref,0)),0)),"")</f>
        <v>38.5</v>
      </c>
      <c r="AB137" s="58" t="str">
        <f>IF(COUNTA(A137:I137)=0,"",IF(N(A137)&lt;=0,"Date manquante ou invalide",IF(B137="","Équipe manquante",IF(ISNA(MATCH(B137,eq_code,0)),"Équipe inconnue",IF(INDEX(eq_check,MATCH(B137,eq_code,0))&lt;&gt;"OK","Équipe à corriger dans Paramètres",IF(C137="","Poste manquant",IF(ISNA(MATCH(C137,po_code,0)),"Poste inconnu",IF(AND(E137&lt;&gt;"",ISNA(MATCH(E137,art_ref,0))),"Article inconnu",IF(IF(E137="",FALSE,INDEX(art_check,MATCH(E137,art_ref,0))&lt;&gt;"OK"),"Article à corriger (feuille Articles)",IF(COUNTIFS(sj_date,A137,sj_eq,B137,sj_po,C137)&gt;1,"Ligne en double (même jour, équipe et poste)",IF(OR(NOT(ISNUMBER(K137)),N(K137)&lt;=0,N(K137)&gt;1440),"Temps d'ouverture invalide",IF(OR(AND(G137&lt;&gt;"",NOT(ISNUMBER(G137))),N(G137)&lt;0,N(G137)&lt;&gt;INT(N(G137)),AND(H137&lt;&gt;"",NOT(ISNUMBER(H137))),N(H137)&lt;0,N(H137)&lt;&gt;INT(N(H137)),AND(I137&lt;&gt;"",NOT(ISNUMBER(I137))),N(I137)&lt;0,N(I137)&lt;&gt;INT(N(I137))),"Quantité invalide",IF(Q137&lt;=0,"Cadence manquante (poste ou article)",IF(M137&lt;=0,"Arrêts planifiés supérieurs au temps d'ouverture",IF(O137&lt;0,"Arrêts supérieurs au temps requis",IF(AND(P137&gt;0,O137=0),"Pièces déclarées sans temps de marche",IF(AND(P137=0,O137&gt;0),"Aucune pièce déclarée",IF(P137*60/Q137&gt;O137+0.001,"Cadence dépassée : vérifiez la cadence","OK"))))))))))))))))))</f>
        <v>OK</v>
      </c>
      <c r="AC137">
        <f>IF(OR(AB137="OK",AB137="Aucune pièce déclarée",AB137="Cadence dépassée : vérifiez la cadence"),1,0)</f>
        <v>1.0</v>
      </c>
      <c r="AD137">
        <f>IF(AND(AC137=1,A137&gt;=p_from,A137&lt;=p_to),1,0)</f>
        <v>1.0</v>
      </c>
      <c r="AE137">
        <f>IF(AD137=1,IF(COUNTIFS($A$6:A137,A137,$AD$6:AD137,1)=1,1,0),0)</f>
        <v>0.0</v>
      </c>
      <c r="AF137" t="str">
        <f>IF(AE137=1,COUNTIFS(sj_first,1,sj_date,"&lt;"&amp;A137)+1,"")</f>
        <v/>
      </c>
      <c r="AG137" t="str">
        <f>IF(AND(AD137=1,N(W137)&lt;p_alert),ROUND(W137,4),"")</f>
        <v/>
      </c>
      <c r="AH137" t="str">
        <f>IF(AG137="","",COUNTIF(sj_akey,"&lt;"&amp;AG137)+COUNTIF($AG$6:AG137,AG137))</f>
        <v/>
      </c>
    </row>
    <row r="138">
      <c r="A138" s="51" t="n">
        <v>46303</v>
      </c>
      <c r="B138" s="52" t="inlineStr">
        <is>
          <t>Matin</t>
        </is>
      </c>
      <c r="C138" s="52" t="inlineStr">
        <is>
          <t>TOUR2</t>
        </is>
      </c>
      <c r="D138" s="53" t="inlineStr">
        <is>
          <t>OF-2610-148</t>
        </is>
      </c>
      <c r="E138" s="53" t="inlineStr">
        <is>
          <t>ENT-12</t>
        </is>
      </c>
      <c r="F138" s="54" t="n"/>
      <c r="G138" s="54" t="n">
        <v>363</v>
      </c>
      <c r="H138" s="54" t="n">
        <v>3</v>
      </c>
      <c r="I138" s="54" t="n">
        <v>1</v>
      </c>
      <c r="J138" s="53" t="n"/>
      <c r="K138" s="55">
        <f>IF(COUNTA(A138:I138)=0,"",IF(F138="",IFERROR(INDEX(eq_dur,MATCH(B138,eq_code,0)),""),F138))</f>
        <v>480.0</v>
      </c>
      <c r="L138" s="55">
        <f>IF(ISNUMBER(K138),N(IFERROR(INDEX(eq_pause,MATCH(B138,eq_code,0)),0))+SUMIFS(st_min,st_date,A138,st_eq,B138,st_po,C138,st_type,"Planifié"),"")</f>
        <v>30.0</v>
      </c>
      <c r="M138" s="55">
        <f>IF(ISNUMBER(K138),K138-L138,"")</f>
        <v>450.0</v>
      </c>
      <c r="N138" s="55">
        <f>IF(ISNUMBER(K138),SUMIFS(st_min,st_date,A138,st_eq,B138,st_po,C138,st_type,"Non planifié"),"")</f>
        <v>0.0</v>
      </c>
      <c r="O138" s="55">
        <f>IF(ISNUMBER(K138),M138-N138,"")</f>
        <v>450.0</v>
      </c>
      <c r="P138" s="55">
        <f>IF(COUNTA(A138:I138)=0,"",N(G138)+N(H138)+N(I138))</f>
        <v>367.0</v>
      </c>
      <c r="Q138" s="56">
        <f>IF(COUNTA(A138:I138)=0,"",IF(N(IFERROR(INDEX(art_rate,MATCH(E138,art_ref,0)),0))&gt;0,N(IFERROR(INDEX(art_rate,MATCH(E138,art_ref,0)),0)),N(IFERROR(INDEX(po_rate,MATCH(C138,po_code,0)),0))))</f>
        <v>55.0</v>
      </c>
      <c r="R138" s="55">
        <f>IF(AC138=1,P138*60/Q138,"")</f>
        <v>400.363636363636</v>
      </c>
      <c r="S138" s="55">
        <f>IF(AC138=1,N(G138)*60/Q138,"")</f>
        <v>396.0</v>
      </c>
      <c r="T138" s="57">
        <f>IF(AC138=1,O138/M138,"")</f>
        <v>1.0</v>
      </c>
      <c r="U138" s="57">
        <f>IF(AC138=1,IF(O138&gt;0,R138/O138,""),"")</f>
        <v>0.88969696969697</v>
      </c>
      <c r="V138" s="57">
        <f>IF(AC138=1,IF(P138&gt;0,N(G138)/P138,""),"")</f>
        <v>0.989100817438692</v>
      </c>
      <c r="W138" s="57">
        <f>IF(AC138=1,S138/M138,"")</f>
        <v>0.88</v>
      </c>
      <c r="X138" s="57">
        <f>IF(AC138=1,S138/K138,"")</f>
        <v>0.825</v>
      </c>
      <c r="Y138" s="58" t="str">
        <f>IF(W138="","",IF(W138&gt;=p_target,"Bon",IF(W138&gt;=p_alert,"À surveiller","Faible")))</f>
        <v>Bon</v>
      </c>
      <c r="Z138" s="58" t="str">
        <f>IF(W138="","",IF(MIN(IF(T138="",1,T138),IF(U138="",1,U138),IF(V138="",1,V138))&gt;=1,"Aucune",IF(IF(T138="",1,T138)&lt;=MIN(IF(U138="",1,U138),IF(V138="",1,V138)),"Disponibilité",IF(IF(U138="",1,U138)&lt;=IF(V138="",1,V138),"Performance","Qualité"))))</f>
        <v>Performance</v>
      </c>
      <c r="AA138" s="59">
        <f>IF(AC138=1,N(H138)*N(IFERROR(INDEX(art_cost,MATCH(E138,art_ref,0)),0)),"")</f>
        <v>20.4</v>
      </c>
      <c r="AB138" s="58" t="str">
        <f>IF(COUNTA(A138:I138)=0,"",IF(N(A138)&lt;=0,"Date manquante ou invalide",IF(B138="","Équipe manquante",IF(ISNA(MATCH(B138,eq_code,0)),"Équipe inconnue",IF(INDEX(eq_check,MATCH(B138,eq_code,0))&lt;&gt;"OK","Équipe à corriger dans Paramètres",IF(C138="","Poste manquant",IF(ISNA(MATCH(C138,po_code,0)),"Poste inconnu",IF(AND(E138&lt;&gt;"",ISNA(MATCH(E138,art_ref,0))),"Article inconnu",IF(IF(E138="",FALSE,INDEX(art_check,MATCH(E138,art_ref,0))&lt;&gt;"OK"),"Article à corriger (feuille Articles)",IF(COUNTIFS(sj_date,A138,sj_eq,B138,sj_po,C138)&gt;1,"Ligne en double (même jour, équipe et poste)",IF(OR(NOT(ISNUMBER(K138)),N(K138)&lt;=0,N(K138)&gt;1440),"Temps d'ouverture invalide",IF(OR(AND(G138&lt;&gt;"",NOT(ISNUMBER(G138))),N(G138)&lt;0,N(G138)&lt;&gt;INT(N(G138)),AND(H138&lt;&gt;"",NOT(ISNUMBER(H138))),N(H138)&lt;0,N(H138)&lt;&gt;INT(N(H138)),AND(I138&lt;&gt;"",NOT(ISNUMBER(I138))),N(I138)&lt;0,N(I138)&lt;&gt;INT(N(I138))),"Quantité invalide",IF(Q138&lt;=0,"Cadence manquante (poste ou article)",IF(M138&lt;=0,"Arrêts planifiés supérieurs au temps d'ouverture",IF(O138&lt;0,"Arrêts supérieurs au temps requis",IF(AND(P138&gt;0,O138=0),"Pièces déclarées sans temps de marche",IF(AND(P138=0,O138&gt;0),"Aucune pièce déclarée",IF(P138*60/Q138&gt;O138+0.001,"Cadence dépassée : vérifiez la cadence","OK"))))))))))))))))))</f>
        <v>OK</v>
      </c>
      <c r="AC138">
        <f>IF(OR(AB138="OK",AB138="Aucune pièce déclarée",AB138="Cadence dépassée : vérifiez la cadence"),1,0)</f>
        <v>1.0</v>
      </c>
      <c r="AD138">
        <f>IF(AND(AC138=1,A138&gt;=p_from,A138&lt;=p_to),1,0)</f>
        <v>1.0</v>
      </c>
      <c r="AE138">
        <f>IF(AD138=1,IF(COUNTIFS($A$6:A138,A138,$AD$6:AD138,1)=1,1,0),0)</f>
        <v>0.0</v>
      </c>
      <c r="AF138" t="str">
        <f>IF(AE138=1,COUNTIFS(sj_first,1,sj_date,"&lt;"&amp;A138)+1,"")</f>
        <v/>
      </c>
      <c r="AG138" t="str">
        <f>IF(AND(AD138=1,N(W138)&lt;p_alert),ROUND(W138,4),"")</f>
        <v/>
      </c>
      <c r="AH138" t="str">
        <f>IF(AG138="","",COUNTIF(sj_akey,"&lt;"&amp;AG138)+COUNTIF($AG$6:AG138,AG138))</f>
        <v/>
      </c>
    </row>
    <row r="139">
      <c r="A139" s="51" t="n">
        <v>46303</v>
      </c>
      <c r="B139" s="52" t="inlineStr">
        <is>
          <t>Après-midi</t>
        </is>
      </c>
      <c r="C139" s="52" t="inlineStr">
        <is>
          <t>TOUR2</t>
        </is>
      </c>
      <c r="D139" s="53" t="inlineStr">
        <is>
          <t>OF-2610-138</t>
        </is>
      </c>
      <c r="E139" s="53" t="inlineStr">
        <is>
          <t>ENT-12</t>
        </is>
      </c>
      <c r="F139" s="54" t="n"/>
      <c r="G139" s="54" t="n">
        <v>287</v>
      </c>
      <c r="H139" s="54" t="n">
        <v>4</v>
      </c>
      <c r="I139" s="54" t="n">
        <v>0</v>
      </c>
      <c r="J139" s="53" t="n"/>
      <c r="K139" s="55">
        <f>IF(COUNTA(A139:I139)=0,"",IF(F139="",IFERROR(INDEX(eq_dur,MATCH(B139,eq_code,0)),""),F139))</f>
        <v>480.0</v>
      </c>
      <c r="L139" s="55">
        <f>IF(ISNUMBER(K139),N(IFERROR(INDEX(eq_pause,MATCH(B139,eq_code,0)),0))+SUMIFS(st_min,st_date,A139,st_eq,B139,st_po,C139,st_type,"Planifié"),"")</f>
        <v>30.0</v>
      </c>
      <c r="M139" s="55">
        <f>IF(ISNUMBER(K139),K139-L139,"")</f>
        <v>450.0</v>
      </c>
      <c r="N139" s="55">
        <f>IF(ISNUMBER(K139),SUMIFS(st_min,st_date,A139,st_eq,B139,st_po,C139,st_type,"Non planifié"),"")</f>
        <v>84.0</v>
      </c>
      <c r="O139" s="55">
        <f>IF(ISNUMBER(K139),M139-N139,"")</f>
        <v>366.0</v>
      </c>
      <c r="P139" s="55">
        <f>IF(COUNTA(A139:I139)=0,"",N(G139)+N(H139)+N(I139))</f>
        <v>291.0</v>
      </c>
      <c r="Q139" s="56">
        <f>IF(COUNTA(A139:I139)=0,"",IF(N(IFERROR(INDEX(art_rate,MATCH(E139,art_ref,0)),0))&gt;0,N(IFERROR(INDEX(art_rate,MATCH(E139,art_ref,0)),0)),N(IFERROR(INDEX(po_rate,MATCH(C139,po_code,0)),0))))</f>
        <v>55.0</v>
      </c>
      <c r="R139" s="55">
        <f>IF(AC139=1,P139*60/Q139,"")</f>
        <v>317.454545454545</v>
      </c>
      <c r="S139" s="55">
        <f>IF(AC139=1,N(G139)*60/Q139,"")</f>
        <v>313.090909090909</v>
      </c>
      <c r="T139" s="57">
        <f>IF(AC139=1,O139/M139,"")</f>
        <v>0.813333333333333</v>
      </c>
      <c r="U139" s="57">
        <f>IF(AC139=1,IF(O139&gt;0,R139/O139,""),"")</f>
        <v>0.867362146050671</v>
      </c>
      <c r="V139" s="57">
        <f>IF(AC139=1,IF(P139&gt;0,N(G139)/P139,""),"")</f>
        <v>0.986254295532646</v>
      </c>
      <c r="W139" s="57">
        <f>IF(AC139=1,S139/M139,"")</f>
        <v>0.695757575757576</v>
      </c>
      <c r="X139" s="57">
        <f>IF(AC139=1,S139/K139,"")</f>
        <v>0.652272727272727</v>
      </c>
      <c r="Y139" s="58" t="str">
        <f>IF(W139="","",IF(W139&gt;=p_target,"Bon",IF(W139&gt;=p_alert,"À surveiller","Faible")))</f>
        <v>À surveiller</v>
      </c>
      <c r="Z139" s="58" t="str">
        <f>IF(W139="","",IF(MIN(IF(T139="",1,T139),IF(U139="",1,U139),IF(V139="",1,V139))&gt;=1,"Aucune",IF(IF(T139="",1,T139)&lt;=MIN(IF(U139="",1,U139),IF(V139="",1,V139)),"Disponibilité",IF(IF(U139="",1,U139)&lt;=IF(V139="",1,V139),"Performance","Qualité"))))</f>
        <v>Disponibilité</v>
      </c>
      <c r="AA139" s="59">
        <f>IF(AC139=1,N(H139)*N(IFERROR(INDEX(art_cost,MATCH(E139,art_ref,0)),0)),"")</f>
        <v>27.2</v>
      </c>
      <c r="AB139" s="58" t="str">
        <f>IF(COUNTA(A139:I139)=0,"",IF(N(A139)&lt;=0,"Date manquante ou invalide",IF(B139="","Équipe manquante",IF(ISNA(MATCH(B139,eq_code,0)),"Équipe inconnue",IF(INDEX(eq_check,MATCH(B139,eq_code,0))&lt;&gt;"OK","Équipe à corriger dans Paramètres",IF(C139="","Poste manquant",IF(ISNA(MATCH(C139,po_code,0)),"Poste inconnu",IF(AND(E139&lt;&gt;"",ISNA(MATCH(E139,art_ref,0))),"Article inconnu",IF(IF(E139="",FALSE,INDEX(art_check,MATCH(E139,art_ref,0))&lt;&gt;"OK"),"Article à corriger (feuille Articles)",IF(COUNTIFS(sj_date,A139,sj_eq,B139,sj_po,C139)&gt;1,"Ligne en double (même jour, équipe et poste)",IF(OR(NOT(ISNUMBER(K139)),N(K139)&lt;=0,N(K139)&gt;1440),"Temps d'ouverture invalide",IF(OR(AND(G139&lt;&gt;"",NOT(ISNUMBER(G139))),N(G139)&lt;0,N(G139)&lt;&gt;INT(N(G139)),AND(H139&lt;&gt;"",NOT(ISNUMBER(H139))),N(H139)&lt;0,N(H139)&lt;&gt;INT(N(H139)),AND(I139&lt;&gt;"",NOT(ISNUMBER(I139))),N(I139)&lt;0,N(I139)&lt;&gt;INT(N(I139))),"Quantité invalide",IF(Q139&lt;=0,"Cadence manquante (poste ou article)",IF(M139&lt;=0,"Arrêts planifiés supérieurs au temps d'ouverture",IF(O139&lt;0,"Arrêts supérieurs au temps requis",IF(AND(P139&gt;0,O139=0),"Pièces déclarées sans temps de marche",IF(AND(P139=0,O139&gt;0),"Aucune pièce déclarée",IF(P139*60/Q139&gt;O139+0.001,"Cadence dépassée : vérifiez la cadence","OK"))))))))))))))))))</f>
        <v>OK</v>
      </c>
      <c r="AC139">
        <f>IF(OR(AB139="OK",AB139="Aucune pièce déclarée",AB139="Cadence dépassée : vérifiez la cadence"),1,0)</f>
        <v>1.0</v>
      </c>
      <c r="AD139">
        <f>IF(AND(AC139=1,A139&gt;=p_from,A139&lt;=p_to),1,0)</f>
        <v>1.0</v>
      </c>
      <c r="AE139">
        <f>IF(AD139=1,IF(COUNTIFS($A$6:A139,A139,$AD$6:AD139,1)=1,1,0),0)</f>
        <v>0.0</v>
      </c>
      <c r="AF139" t="str">
        <f>IF(AE139=1,COUNTIFS(sj_first,1,sj_date,"&lt;"&amp;A139)+1,"")</f>
        <v/>
      </c>
      <c r="AG139" t="str">
        <f>IF(AND(AD139=1,N(W139)&lt;p_alert),ROUND(W139,4),"")</f>
        <v/>
      </c>
      <c r="AH139" t="str">
        <f>IF(AG139="","",COUNTIF(sj_akey,"&lt;"&amp;AG139)+COUNTIF($AG$6:AG139,AG139))</f>
        <v/>
      </c>
    </row>
    <row r="140">
      <c r="A140" s="51" t="n">
        <v>46303</v>
      </c>
      <c r="B140" s="52" t="inlineStr">
        <is>
          <t>Matin</t>
        </is>
      </c>
      <c r="C140" s="52" t="inlineStr">
        <is>
          <t>USIN</t>
        </is>
      </c>
      <c r="D140" s="53" t="inlineStr">
        <is>
          <t>OF-2610-149</t>
        </is>
      </c>
      <c r="E140" s="53" t="inlineStr">
        <is>
          <t>CAR-BOI-04</t>
        </is>
      </c>
      <c r="F140" s="54" t="n"/>
      <c r="G140" s="54" t="n">
        <v>33</v>
      </c>
      <c r="H140" s="54" t="n">
        <v>0</v>
      </c>
      <c r="I140" s="54" t="n">
        <v>0</v>
      </c>
      <c r="J140" s="53" t="n"/>
      <c r="K140" s="55">
        <f>IF(COUNTA(A140:I140)=0,"",IF(F140="",IFERROR(INDEX(eq_dur,MATCH(B140,eq_code,0)),""),F140))</f>
        <v>480.0</v>
      </c>
      <c r="L140" s="55">
        <f>IF(ISNUMBER(K140),N(IFERROR(INDEX(eq_pause,MATCH(B140,eq_code,0)),0))+SUMIFS(st_min,st_date,A140,st_eq,B140,st_po,C140,st_type,"Planifié"),"")</f>
        <v>30.0</v>
      </c>
      <c r="M140" s="55">
        <f>IF(ISNUMBER(K140),K140-L140,"")</f>
        <v>450.0</v>
      </c>
      <c r="N140" s="55">
        <f>IF(ISNUMBER(K140),SUMIFS(st_min,st_date,A140,st_eq,B140,st_po,C140,st_type,"Non planifié"),"")</f>
        <v>28.0</v>
      </c>
      <c r="O140" s="55">
        <f>IF(ISNUMBER(K140),M140-N140,"")</f>
        <v>422.0</v>
      </c>
      <c r="P140" s="55">
        <f>IF(COUNTA(A140:I140)=0,"",N(G140)+N(H140)+N(I140))</f>
        <v>33.0</v>
      </c>
      <c r="Q140" s="56">
        <f>IF(COUNTA(A140:I140)=0,"",IF(N(IFERROR(INDEX(art_rate,MATCH(E140,art_ref,0)),0))&gt;0,N(IFERROR(INDEX(art_rate,MATCH(E140,art_ref,0)),0)),N(IFERROR(INDEX(po_rate,MATCH(C140,po_code,0)),0))))</f>
        <v>6.0</v>
      </c>
      <c r="R140" s="55">
        <f>IF(AC140=1,P140*60/Q140,"")</f>
        <v>330.0</v>
      </c>
      <c r="S140" s="55">
        <f>IF(AC140=1,N(G140)*60/Q140,"")</f>
        <v>330.0</v>
      </c>
      <c r="T140" s="57">
        <f>IF(AC140=1,O140/M140,"")</f>
        <v>0.937777777777778</v>
      </c>
      <c r="U140" s="57">
        <f>IF(AC140=1,IF(O140&gt;0,R140/O140,""),"")</f>
        <v>0.781990521327014</v>
      </c>
      <c r="V140" s="57">
        <f>IF(AC140=1,IF(P140&gt;0,N(G140)/P140,""),"")</f>
        <v>1.0</v>
      </c>
      <c r="W140" s="57">
        <f>IF(AC140=1,S140/M140,"")</f>
        <v>0.733333333333333</v>
      </c>
      <c r="X140" s="57">
        <f>IF(AC140=1,S140/K140,"")</f>
        <v>0.6875</v>
      </c>
      <c r="Y140" s="58" t="str">
        <f>IF(W140="","",IF(W140&gt;=p_target,"Bon",IF(W140&gt;=p_alert,"À surveiller","Faible")))</f>
        <v>À surveiller</v>
      </c>
      <c r="Z140" s="58" t="str">
        <f>IF(W140="","",IF(MIN(IF(T140="",1,T140),IF(U140="",1,U140),IF(V140="",1,V140))&gt;=1,"Aucune",IF(IF(T140="",1,T140)&lt;=MIN(IF(U140="",1,U140),IF(V140="",1,V140)),"Disponibilité",IF(IF(U140="",1,U140)&lt;=IF(V140="",1,V140),"Performance","Qualité"))))</f>
        <v>Performance</v>
      </c>
      <c r="AA140" s="59">
        <f>IF(AC140=1,N(H140)*N(IFERROR(INDEX(art_cost,MATCH(E140,art_ref,0)),0)),"")</f>
        <v>0.0</v>
      </c>
      <c r="AB140" s="58" t="str">
        <f>IF(COUNTA(A140:I140)=0,"",IF(N(A140)&lt;=0,"Date manquante ou invalide",IF(B140="","Équipe manquante",IF(ISNA(MATCH(B140,eq_code,0)),"Équipe inconnue",IF(INDEX(eq_check,MATCH(B140,eq_code,0))&lt;&gt;"OK","Équipe à corriger dans Paramètres",IF(C140="","Poste manquant",IF(ISNA(MATCH(C140,po_code,0)),"Poste inconnu",IF(AND(E140&lt;&gt;"",ISNA(MATCH(E140,art_ref,0))),"Article inconnu",IF(IF(E140="",FALSE,INDEX(art_check,MATCH(E140,art_ref,0))&lt;&gt;"OK"),"Article à corriger (feuille Articles)",IF(COUNTIFS(sj_date,A140,sj_eq,B140,sj_po,C140)&gt;1,"Ligne en double (même jour, équipe et poste)",IF(OR(NOT(ISNUMBER(K140)),N(K140)&lt;=0,N(K140)&gt;1440),"Temps d'ouverture invalide",IF(OR(AND(G140&lt;&gt;"",NOT(ISNUMBER(G140))),N(G140)&lt;0,N(G140)&lt;&gt;INT(N(G140)),AND(H140&lt;&gt;"",NOT(ISNUMBER(H140))),N(H140)&lt;0,N(H140)&lt;&gt;INT(N(H140)),AND(I140&lt;&gt;"",NOT(ISNUMBER(I140))),N(I140)&lt;0,N(I140)&lt;&gt;INT(N(I140))),"Quantité invalide",IF(Q140&lt;=0,"Cadence manquante (poste ou article)",IF(M140&lt;=0,"Arrêts planifiés supérieurs au temps d'ouverture",IF(O140&lt;0,"Arrêts supérieurs au temps requis",IF(AND(P140&gt;0,O140=0),"Pièces déclarées sans temps de marche",IF(AND(P140=0,O140&gt;0),"Aucune pièce déclarée",IF(P140*60/Q140&gt;O140+0.001,"Cadence dépassée : vérifiez la cadence","OK"))))))))))))))))))</f>
        <v>OK</v>
      </c>
      <c r="AC140">
        <f>IF(OR(AB140="OK",AB140="Aucune pièce déclarée",AB140="Cadence dépassée : vérifiez la cadence"),1,0)</f>
        <v>1.0</v>
      </c>
      <c r="AD140">
        <f>IF(AND(AC140=1,A140&gt;=p_from,A140&lt;=p_to),1,0)</f>
        <v>1.0</v>
      </c>
      <c r="AE140">
        <f>IF(AD140=1,IF(COUNTIFS($A$6:A140,A140,$AD$6:AD140,1)=1,1,0),0)</f>
        <v>0.0</v>
      </c>
      <c r="AF140" t="str">
        <f>IF(AE140=1,COUNTIFS(sj_first,1,sj_date,"&lt;"&amp;A140)+1,"")</f>
        <v/>
      </c>
      <c r="AG140" t="str">
        <f>IF(AND(AD140=1,N(W140)&lt;p_alert),ROUND(W140,4),"")</f>
        <v/>
      </c>
      <c r="AH140" t="str">
        <f>IF(AG140="","",COUNTIF(sj_akey,"&lt;"&amp;AG140)+COUNTIF($AG$6:AG140,AG140))</f>
        <v/>
      </c>
    </row>
    <row r="141">
      <c r="A141" s="51" t="n">
        <v>46303</v>
      </c>
      <c r="B141" s="52" t="inlineStr">
        <is>
          <t>Après-midi</t>
        </is>
      </c>
      <c r="C141" s="52" t="inlineStr">
        <is>
          <t>USIN</t>
        </is>
      </c>
      <c r="D141" s="53" t="inlineStr">
        <is>
          <t>OF-2610-139</t>
        </is>
      </c>
      <c r="E141" s="53" t="inlineStr">
        <is>
          <t>FLA-PL-150</t>
        </is>
      </c>
      <c r="F141" s="54" t="n"/>
      <c r="G141" s="54" t="n">
        <v>63</v>
      </c>
      <c r="H141" s="54" t="n">
        <v>0</v>
      </c>
      <c r="I141" s="54" t="n">
        <v>0</v>
      </c>
      <c r="J141" s="53" t="n"/>
      <c r="K141" s="55">
        <f>IF(COUNTA(A141:I141)=0,"",IF(F141="",IFERROR(INDEX(eq_dur,MATCH(B141,eq_code,0)),""),F141))</f>
        <v>480.0</v>
      </c>
      <c r="L141" s="55">
        <f>IF(ISNUMBER(K141),N(IFERROR(INDEX(eq_pause,MATCH(B141,eq_code,0)),0))+SUMIFS(st_min,st_date,A141,st_eq,B141,st_po,C141,st_type,"Planifié"),"")</f>
        <v>30.0</v>
      </c>
      <c r="M141" s="55">
        <f>IF(ISNUMBER(K141),K141-L141,"")</f>
        <v>450.0</v>
      </c>
      <c r="N141" s="55">
        <f>IF(ISNUMBER(K141),SUMIFS(st_min,st_date,A141,st_eq,B141,st_po,C141,st_type,"Non planifié"),"")</f>
        <v>100.0</v>
      </c>
      <c r="O141" s="55">
        <f>IF(ISNUMBER(K141),M141-N141,"")</f>
        <v>350.0</v>
      </c>
      <c r="P141" s="55">
        <f>IF(COUNTA(A141:I141)=0,"",N(G141)+N(H141)+N(I141))</f>
        <v>63.0</v>
      </c>
      <c r="Q141" s="56">
        <f>IF(COUNTA(A141:I141)=0,"",IF(N(IFERROR(INDEX(art_rate,MATCH(E141,art_ref,0)),0))&gt;0,N(IFERROR(INDEX(art_rate,MATCH(E141,art_ref,0)),0)),N(IFERROR(INDEX(po_rate,MATCH(C141,po_code,0)),0))))</f>
        <v>12.0</v>
      </c>
      <c r="R141" s="55">
        <f>IF(AC141=1,P141*60/Q141,"")</f>
        <v>315.0</v>
      </c>
      <c r="S141" s="55">
        <f>IF(AC141=1,N(G141)*60/Q141,"")</f>
        <v>315.0</v>
      </c>
      <c r="T141" s="57">
        <f>IF(AC141=1,O141/M141,"")</f>
        <v>0.777777777777778</v>
      </c>
      <c r="U141" s="57">
        <f>IF(AC141=1,IF(O141&gt;0,R141/O141,""),"")</f>
        <v>0.9</v>
      </c>
      <c r="V141" s="57">
        <f>IF(AC141=1,IF(P141&gt;0,N(G141)/P141,""),"")</f>
        <v>1.0</v>
      </c>
      <c r="W141" s="57">
        <f>IF(AC141=1,S141/M141,"")</f>
        <v>0.7</v>
      </c>
      <c r="X141" s="57">
        <f>IF(AC141=1,S141/K141,"")</f>
        <v>0.65625</v>
      </c>
      <c r="Y141" s="58" t="str">
        <f>IF(W141="","",IF(W141&gt;=p_target,"Bon",IF(W141&gt;=p_alert,"À surveiller","Faible")))</f>
        <v>À surveiller</v>
      </c>
      <c r="Z141" s="58" t="str">
        <f>IF(W141="","",IF(MIN(IF(T141="",1,T141),IF(U141="",1,U141),IF(V141="",1,V141))&gt;=1,"Aucune",IF(IF(T141="",1,T141)&lt;=MIN(IF(U141="",1,U141),IF(V141="",1,V141)),"Disponibilité",IF(IF(U141="",1,U141)&lt;=IF(V141="",1,V141),"Performance","Qualité"))))</f>
        <v>Disponibilité</v>
      </c>
      <c r="AA141" s="59">
        <f>IF(AC141=1,N(H141)*N(IFERROR(INDEX(art_cost,MATCH(E141,art_ref,0)),0)),"")</f>
        <v>0.0</v>
      </c>
      <c r="AB141" s="58" t="str">
        <f>IF(COUNTA(A141:I141)=0,"",IF(N(A141)&lt;=0,"Date manquante ou invalide",IF(B141="","Équipe manquante",IF(ISNA(MATCH(B141,eq_code,0)),"Équipe inconnue",IF(INDEX(eq_check,MATCH(B141,eq_code,0))&lt;&gt;"OK","Équipe à corriger dans Paramètres",IF(C141="","Poste manquant",IF(ISNA(MATCH(C141,po_code,0)),"Poste inconnu",IF(AND(E141&lt;&gt;"",ISNA(MATCH(E141,art_ref,0))),"Article inconnu",IF(IF(E141="",FALSE,INDEX(art_check,MATCH(E141,art_ref,0))&lt;&gt;"OK"),"Article à corriger (feuille Articles)",IF(COUNTIFS(sj_date,A141,sj_eq,B141,sj_po,C141)&gt;1,"Ligne en double (même jour, équipe et poste)",IF(OR(NOT(ISNUMBER(K141)),N(K141)&lt;=0,N(K141)&gt;1440),"Temps d'ouverture invalide",IF(OR(AND(G141&lt;&gt;"",NOT(ISNUMBER(G141))),N(G141)&lt;0,N(G141)&lt;&gt;INT(N(G141)),AND(H141&lt;&gt;"",NOT(ISNUMBER(H141))),N(H141)&lt;0,N(H141)&lt;&gt;INT(N(H141)),AND(I141&lt;&gt;"",NOT(ISNUMBER(I141))),N(I141)&lt;0,N(I141)&lt;&gt;INT(N(I141))),"Quantité invalide",IF(Q141&lt;=0,"Cadence manquante (poste ou article)",IF(M141&lt;=0,"Arrêts planifiés supérieurs au temps d'ouverture",IF(O141&lt;0,"Arrêts supérieurs au temps requis",IF(AND(P141&gt;0,O141=0),"Pièces déclarées sans temps de marche",IF(AND(P141=0,O141&gt;0),"Aucune pièce déclarée",IF(P141*60/Q141&gt;O141+0.001,"Cadence dépassée : vérifiez la cadence","OK"))))))))))))))))))</f>
        <v>OK</v>
      </c>
      <c r="AC141">
        <f>IF(OR(AB141="OK",AB141="Aucune pièce déclarée",AB141="Cadence dépassée : vérifiez la cadence"),1,0)</f>
        <v>1.0</v>
      </c>
      <c r="AD141">
        <f>IF(AND(AC141=1,A141&gt;=p_from,A141&lt;=p_to),1,0)</f>
        <v>1.0</v>
      </c>
      <c r="AE141">
        <f>IF(AD141=1,IF(COUNTIFS($A$6:A141,A141,$AD$6:AD141,1)=1,1,0),0)</f>
        <v>0.0</v>
      </c>
      <c r="AF141" t="str">
        <f>IF(AE141=1,COUNTIFS(sj_first,1,sj_date,"&lt;"&amp;A141)+1,"")</f>
        <v/>
      </c>
      <c r="AG141" t="str">
        <f>IF(AND(AD141=1,N(W141)&lt;p_alert),ROUND(W141,4),"")</f>
        <v/>
      </c>
      <c r="AH141" t="str">
        <f>IF(AG141="","",COUNTIF(sj_akey,"&lt;"&amp;AG141)+COUNTIF($AG$6:AG141,AG141))</f>
        <v/>
      </c>
    </row>
    <row r="142">
      <c r="A142" s="51" t="n">
        <v>46303</v>
      </c>
      <c r="B142" s="52" t="inlineStr">
        <is>
          <t>Matin</t>
        </is>
      </c>
      <c r="C142" s="52" t="inlineStr">
        <is>
          <t>PRESSE</t>
        </is>
      </c>
      <c r="D142" s="53" t="inlineStr">
        <is>
          <t>OF-2610-152</t>
        </is>
      </c>
      <c r="E142" s="53" t="inlineStr">
        <is>
          <t>PAT-FIX-10</t>
        </is>
      </c>
      <c r="F142" s="54" t="n"/>
      <c r="G142" s="54" t="n">
        <v>2546</v>
      </c>
      <c r="H142" s="54" t="n">
        <v>57</v>
      </c>
      <c r="I142" s="54" t="n">
        <v>31</v>
      </c>
      <c r="J142" s="53" t="n"/>
      <c r="K142" s="55">
        <f>IF(COUNTA(A142:I142)=0,"",IF(F142="",IFERROR(INDEX(eq_dur,MATCH(B142,eq_code,0)),""),F142))</f>
        <v>480.0</v>
      </c>
      <c r="L142" s="55">
        <f>IF(ISNUMBER(K142),N(IFERROR(INDEX(eq_pause,MATCH(B142,eq_code,0)),0))+SUMIFS(st_min,st_date,A142,st_eq,B142,st_po,C142,st_type,"Planifié"),"")</f>
        <v>30.0</v>
      </c>
      <c r="M142" s="55">
        <f>IF(ISNUMBER(K142),K142-L142,"")</f>
        <v>450.0</v>
      </c>
      <c r="N142" s="55">
        <f>IF(ISNUMBER(K142),SUMIFS(st_min,st_date,A142,st_eq,B142,st_po,C142,st_type,"Non planifié"),"")</f>
        <v>51.0</v>
      </c>
      <c r="O142" s="55">
        <f>IF(ISNUMBER(K142),M142-N142,"")</f>
        <v>399.0</v>
      </c>
      <c r="P142" s="55">
        <f>IF(COUNTA(A142:I142)=0,"",N(G142)+N(H142)+N(I142))</f>
        <v>2634.0</v>
      </c>
      <c r="Q142" s="56">
        <f>IF(COUNTA(A142:I142)=0,"",IF(N(IFERROR(INDEX(art_rate,MATCH(E142,art_ref,0)),0))&gt;0,N(IFERROR(INDEX(art_rate,MATCH(E142,art_ref,0)),0)),N(IFERROR(INDEX(po_rate,MATCH(C142,po_code,0)),0))))</f>
        <v>420.0</v>
      </c>
      <c r="R142" s="55">
        <f>IF(AC142=1,P142*60/Q142,"")</f>
        <v>376.285714285714</v>
      </c>
      <c r="S142" s="55">
        <f>IF(AC142=1,N(G142)*60/Q142,"")</f>
        <v>363.714285714286</v>
      </c>
      <c r="T142" s="57">
        <f>IF(AC142=1,O142/M142,"")</f>
        <v>0.886666666666667</v>
      </c>
      <c r="U142" s="57">
        <f>IF(AC142=1,IF(O142&gt;0,R142/O142,""),"")</f>
        <v>0.943071965628357</v>
      </c>
      <c r="V142" s="57">
        <f>IF(AC142=1,IF(P142&gt;0,N(G142)/P142,""),"")</f>
        <v>0.966590736522399</v>
      </c>
      <c r="W142" s="57">
        <f>IF(AC142=1,S142/M142,"")</f>
        <v>0.808253968253968</v>
      </c>
      <c r="X142" s="57">
        <f>IF(AC142=1,S142/K142,"")</f>
        <v>0.757738095238095</v>
      </c>
      <c r="Y142" s="58" t="str">
        <f>IF(W142="","",IF(W142&gt;=p_target,"Bon",IF(W142&gt;=p_alert,"À surveiller","Faible")))</f>
        <v>Bon</v>
      </c>
      <c r="Z142" s="58" t="str">
        <f>IF(W142="","",IF(MIN(IF(T142="",1,T142),IF(U142="",1,U142),IF(V142="",1,V142))&gt;=1,"Aucune",IF(IF(T142="",1,T142)&lt;=MIN(IF(U142="",1,U142),IF(V142="",1,V142)),"Disponibilité",IF(IF(U142="",1,U142)&lt;=IF(V142="",1,V142),"Performance","Qualité"))))</f>
        <v>Disponibilité</v>
      </c>
      <c r="AA142" s="59">
        <f>IF(AC142=1,N(H142)*N(IFERROR(INDEX(art_cost,MATCH(E142,art_ref,0)),0)),"")</f>
        <v>239.4</v>
      </c>
      <c r="AB142" s="58" t="str">
        <f>IF(COUNTA(A142:I142)=0,"",IF(N(A142)&lt;=0,"Date manquante ou invalide",IF(B142="","Équipe manquante",IF(ISNA(MATCH(B142,eq_code,0)),"Équipe inconnue",IF(INDEX(eq_check,MATCH(B142,eq_code,0))&lt;&gt;"OK","Équipe à corriger dans Paramètres",IF(C142="","Poste manquant",IF(ISNA(MATCH(C142,po_code,0)),"Poste inconnu",IF(AND(E142&lt;&gt;"",ISNA(MATCH(E142,art_ref,0))),"Article inconnu",IF(IF(E142="",FALSE,INDEX(art_check,MATCH(E142,art_ref,0))&lt;&gt;"OK"),"Article à corriger (feuille Articles)",IF(COUNTIFS(sj_date,A142,sj_eq,B142,sj_po,C142)&gt;1,"Ligne en double (même jour, équipe et poste)",IF(OR(NOT(ISNUMBER(K142)),N(K142)&lt;=0,N(K142)&gt;1440),"Temps d'ouverture invalide",IF(OR(AND(G142&lt;&gt;"",NOT(ISNUMBER(G142))),N(G142)&lt;0,N(G142)&lt;&gt;INT(N(G142)),AND(H142&lt;&gt;"",NOT(ISNUMBER(H142))),N(H142)&lt;0,N(H142)&lt;&gt;INT(N(H142)),AND(I142&lt;&gt;"",NOT(ISNUMBER(I142))),N(I142)&lt;0,N(I142)&lt;&gt;INT(N(I142))),"Quantité invalide",IF(Q142&lt;=0,"Cadence manquante (poste ou article)",IF(M142&lt;=0,"Arrêts planifiés supérieurs au temps d'ouverture",IF(O142&lt;0,"Arrêts supérieurs au temps requis",IF(AND(P142&gt;0,O142=0),"Pièces déclarées sans temps de marche",IF(AND(P142=0,O142&gt;0),"Aucune pièce déclarée",IF(P142*60/Q142&gt;O142+0.001,"Cadence dépassée : vérifiez la cadence","OK"))))))))))))))))))</f>
        <v>OK</v>
      </c>
      <c r="AC142">
        <f>IF(OR(AB142="OK",AB142="Aucune pièce déclarée",AB142="Cadence dépassée : vérifiez la cadence"),1,0)</f>
        <v>1.0</v>
      </c>
      <c r="AD142">
        <f>IF(AND(AC142=1,A142&gt;=p_from,A142&lt;=p_to),1,0)</f>
        <v>1.0</v>
      </c>
      <c r="AE142">
        <f>IF(AD142=1,IF(COUNTIFS($A$6:A142,A142,$AD$6:AD142,1)=1,1,0),0)</f>
        <v>0.0</v>
      </c>
      <c r="AF142" t="str">
        <f>IF(AE142=1,COUNTIFS(sj_first,1,sj_date,"&lt;"&amp;A142)+1,"")</f>
        <v/>
      </c>
      <c r="AG142" t="str">
        <f>IF(AND(AD142=1,N(W142)&lt;p_alert),ROUND(W142,4),"")</f>
        <v/>
      </c>
      <c r="AH142" t="str">
        <f>IF(AG142="","",COUNTIF(sj_akey,"&lt;"&amp;AG142)+COUNTIF($AG$6:AG142,AG142))</f>
        <v/>
      </c>
    </row>
    <row r="143">
      <c r="A143" s="51" t="n">
        <v>46303</v>
      </c>
      <c r="B143" s="52" t="inlineStr">
        <is>
          <t>Journée</t>
        </is>
      </c>
      <c r="C143" s="52" t="inlineStr">
        <is>
          <t>PLIE</t>
        </is>
      </c>
      <c r="D143" s="53" t="inlineStr">
        <is>
          <t>OF-2610-150</t>
        </is>
      </c>
      <c r="E143" s="53" t="inlineStr">
        <is>
          <t>GAR-SUP-02</t>
        </is>
      </c>
      <c r="F143" s="54" t="n"/>
      <c r="G143" s="54" t="n">
        <v>561</v>
      </c>
      <c r="H143" s="54" t="n">
        <v>19</v>
      </c>
      <c r="I143" s="54" t="n">
        <v>4</v>
      </c>
      <c r="J143" s="53" t="inlineStr">
        <is>
          <t>Tôle livrée à 10 h</t>
        </is>
      </c>
      <c r="K143" s="55">
        <f>IF(COUNTA(A143:I143)=0,"",IF(F143="",IFERROR(INDEX(eq_dur,MATCH(B143,eq_code,0)),""),F143))</f>
        <v>540.0</v>
      </c>
      <c r="L143" s="55">
        <f>IF(ISNUMBER(K143),N(IFERROR(INDEX(eq_pause,MATCH(B143,eq_code,0)),0))+SUMIFS(st_min,st_date,A143,st_eq,B143,st_po,C143,st_type,"Planifié"),"")</f>
        <v>60.0</v>
      </c>
      <c r="M143" s="55">
        <f>IF(ISNUMBER(K143),K143-L143,"")</f>
        <v>480.0</v>
      </c>
      <c r="N143" s="55">
        <f>IF(ISNUMBER(K143),SUMIFS(st_min,st_date,A143,st_eq,B143,st_po,C143,st_type,"Non planifié"),"")</f>
        <v>83.0</v>
      </c>
      <c r="O143" s="55">
        <f>IF(ISNUMBER(K143),M143-N143,"")</f>
        <v>397.0</v>
      </c>
      <c r="P143" s="55">
        <f>IF(COUNTA(A143:I143)=0,"",N(G143)+N(H143)+N(I143))</f>
        <v>584.0</v>
      </c>
      <c r="Q143" s="56">
        <f>IF(COUNTA(A143:I143)=0,"",IF(N(IFERROR(INDEX(art_rate,MATCH(E143,art_ref,0)),0))&gt;0,N(IFERROR(INDEX(art_rate,MATCH(E143,art_ref,0)),0)),N(IFERROR(INDEX(po_rate,MATCH(C143,po_code,0)),0))))</f>
        <v>110.0</v>
      </c>
      <c r="R143" s="55">
        <f>IF(AC143=1,P143*60/Q143,"")</f>
        <v>318.545454545455</v>
      </c>
      <c r="S143" s="55">
        <f>IF(AC143=1,N(G143)*60/Q143,"")</f>
        <v>306.0</v>
      </c>
      <c r="T143" s="57">
        <f>IF(AC143=1,O143/M143,"")</f>
        <v>0.827083333333333</v>
      </c>
      <c r="U143" s="57">
        <f>IF(AC143=1,IF(O143&gt;0,R143/O143,""),"")</f>
        <v>0.802381497595603</v>
      </c>
      <c r="V143" s="57">
        <f>IF(AC143=1,IF(P143&gt;0,N(G143)/P143,""),"")</f>
        <v>0.960616438356164</v>
      </c>
      <c r="W143" s="57">
        <f>IF(AC143=1,S143/M143,"")</f>
        <v>0.6375</v>
      </c>
      <c r="X143" s="57">
        <f>IF(AC143=1,S143/K143,"")</f>
        <v>0.566666666666667</v>
      </c>
      <c r="Y143" s="58" t="str">
        <f>IF(W143="","",IF(W143&gt;=p_target,"Bon",IF(W143&gt;=p_alert,"À surveiller","Faible")))</f>
        <v>À surveiller</v>
      </c>
      <c r="Z143" s="58" t="str">
        <f>IF(W143="","",IF(MIN(IF(T143="",1,T143),IF(U143="",1,U143),IF(V143="",1,V143))&gt;=1,"Aucune",IF(IF(T143="",1,T143)&lt;=MIN(IF(U143="",1,U143),IF(V143="",1,V143)),"Disponibilité",IF(IF(U143="",1,U143)&lt;=IF(V143="",1,V143),"Performance","Qualité"))))</f>
        <v>Performance</v>
      </c>
      <c r="AA143" s="59">
        <f>IF(AC143=1,N(H143)*N(IFERROR(INDEX(art_cost,MATCH(E143,art_ref,0)),0)),"")</f>
        <v>408.5</v>
      </c>
      <c r="AB143" s="58" t="str">
        <f>IF(COUNTA(A143:I143)=0,"",IF(N(A143)&lt;=0,"Date manquante ou invalide",IF(B143="","Équipe manquante",IF(ISNA(MATCH(B143,eq_code,0)),"Équipe inconnue",IF(INDEX(eq_check,MATCH(B143,eq_code,0))&lt;&gt;"OK","Équipe à corriger dans Paramètres",IF(C143="","Poste manquant",IF(ISNA(MATCH(C143,po_code,0)),"Poste inconnu",IF(AND(E143&lt;&gt;"",ISNA(MATCH(E143,art_ref,0))),"Article inconnu",IF(IF(E143="",FALSE,INDEX(art_check,MATCH(E143,art_ref,0))&lt;&gt;"OK"),"Article à corriger (feuille Articles)",IF(COUNTIFS(sj_date,A143,sj_eq,B143,sj_po,C143)&gt;1,"Ligne en double (même jour, équipe et poste)",IF(OR(NOT(ISNUMBER(K143)),N(K143)&lt;=0,N(K143)&gt;1440),"Temps d'ouverture invalide",IF(OR(AND(G143&lt;&gt;"",NOT(ISNUMBER(G143))),N(G143)&lt;0,N(G143)&lt;&gt;INT(N(G143)),AND(H143&lt;&gt;"",NOT(ISNUMBER(H143))),N(H143)&lt;0,N(H143)&lt;&gt;INT(N(H143)),AND(I143&lt;&gt;"",NOT(ISNUMBER(I143))),N(I143)&lt;0,N(I143)&lt;&gt;INT(N(I143))),"Quantité invalide",IF(Q143&lt;=0,"Cadence manquante (poste ou article)",IF(M143&lt;=0,"Arrêts planifiés supérieurs au temps d'ouverture",IF(O143&lt;0,"Arrêts supérieurs au temps requis",IF(AND(P143&gt;0,O143=0),"Pièces déclarées sans temps de marche",IF(AND(P143=0,O143&gt;0),"Aucune pièce déclarée",IF(P143*60/Q143&gt;O143+0.001,"Cadence dépassée : vérifiez la cadence","OK"))))))))))))))))))</f>
        <v>OK</v>
      </c>
      <c r="AC143">
        <f>IF(OR(AB143="OK",AB143="Aucune pièce déclarée",AB143="Cadence dépassée : vérifiez la cadence"),1,0)</f>
        <v>1.0</v>
      </c>
      <c r="AD143">
        <f>IF(AND(AC143=1,A143&gt;=p_from,A143&lt;=p_to),1,0)</f>
        <v>1.0</v>
      </c>
      <c r="AE143">
        <f>IF(AD143=1,IF(COUNTIFS($A$6:A143,A143,$AD$6:AD143,1)=1,1,0),0)</f>
        <v>0.0</v>
      </c>
      <c r="AF143" t="str">
        <f>IF(AE143=1,COUNTIFS(sj_first,1,sj_date,"&lt;"&amp;A143)+1,"")</f>
        <v/>
      </c>
      <c r="AG143" t="str">
        <f>IF(AND(AD143=1,N(W143)&lt;p_alert),ROUND(W143,4),"")</f>
        <v/>
      </c>
      <c r="AH143" t="str">
        <f>IF(AG143="","",COUNTIF(sj_akey,"&lt;"&amp;AG143)+COUNTIF($AG$6:AG143,AG143))</f>
        <v/>
      </c>
    </row>
    <row r="144">
      <c r="A144" s="51" t="n">
        <v>46303</v>
      </c>
      <c r="B144" s="52" t="inlineStr">
        <is>
          <t>Matin</t>
        </is>
      </c>
      <c r="C144" s="52" t="inlineStr">
        <is>
          <t>SOUD</t>
        </is>
      </c>
      <c r="D144" s="53" t="inlineStr">
        <is>
          <t>OF-2610-153</t>
        </is>
      </c>
      <c r="E144" s="53" t="inlineStr">
        <is>
          <t>BRA-SUS-02</t>
        </is>
      </c>
      <c r="F144" s="54" t="n"/>
      <c r="G144" s="54" t="n">
        <v>96</v>
      </c>
      <c r="H144" s="54" t="n">
        <v>0</v>
      </c>
      <c r="I144" s="54" t="n">
        <v>0</v>
      </c>
      <c r="J144" s="53" t="n"/>
      <c r="K144" s="55">
        <f>IF(COUNTA(A144:I144)=0,"",IF(F144="",IFERROR(INDEX(eq_dur,MATCH(B144,eq_code,0)),""),F144))</f>
        <v>480.0</v>
      </c>
      <c r="L144" s="55">
        <f>IF(ISNUMBER(K144),N(IFERROR(INDEX(eq_pause,MATCH(B144,eq_code,0)),0))+SUMIFS(st_min,st_date,A144,st_eq,B144,st_po,C144,st_type,"Planifié"),"")</f>
        <v>30.0</v>
      </c>
      <c r="M144" s="55">
        <f>IF(ISNUMBER(K144),K144-L144,"")</f>
        <v>450.0</v>
      </c>
      <c r="N144" s="55">
        <f>IF(ISNUMBER(K144),SUMIFS(st_min,st_date,A144,st_eq,B144,st_po,C144,st_type,"Non planifié"),"")</f>
        <v>102.0</v>
      </c>
      <c r="O144" s="55">
        <f>IF(ISNUMBER(K144),M144-N144,"")</f>
        <v>348.0</v>
      </c>
      <c r="P144" s="55">
        <f>IF(COUNTA(A144:I144)=0,"",N(G144)+N(H144)+N(I144))</f>
        <v>96.0</v>
      </c>
      <c r="Q144" s="56">
        <f>IF(COUNTA(A144:I144)=0,"",IF(N(IFERROR(INDEX(art_rate,MATCH(E144,art_ref,0)),0))&gt;0,N(IFERROR(INDEX(art_rate,MATCH(E144,art_ref,0)),0)),N(IFERROR(INDEX(po_rate,MATCH(C144,po_code,0)),0))))</f>
        <v>20.0</v>
      </c>
      <c r="R144" s="55">
        <f>IF(AC144=1,P144*60/Q144,"")</f>
        <v>288.0</v>
      </c>
      <c r="S144" s="55">
        <f>IF(AC144=1,N(G144)*60/Q144,"")</f>
        <v>288.0</v>
      </c>
      <c r="T144" s="57">
        <f>IF(AC144=1,O144/M144,"")</f>
        <v>0.773333333333333</v>
      </c>
      <c r="U144" s="57">
        <f>IF(AC144=1,IF(O144&gt;0,R144/O144,""),"")</f>
        <v>0.827586206896552</v>
      </c>
      <c r="V144" s="57">
        <f>IF(AC144=1,IF(P144&gt;0,N(G144)/P144,""),"")</f>
        <v>1.0</v>
      </c>
      <c r="W144" s="57">
        <f>IF(AC144=1,S144/M144,"")</f>
        <v>0.64</v>
      </c>
      <c r="X144" s="57">
        <f>IF(AC144=1,S144/K144,"")</f>
        <v>0.6</v>
      </c>
      <c r="Y144" s="58" t="str">
        <f>IF(W144="","",IF(W144&gt;=p_target,"Bon",IF(W144&gt;=p_alert,"À surveiller","Faible")))</f>
        <v>À surveiller</v>
      </c>
      <c r="Z144" s="58" t="str">
        <f>IF(W144="","",IF(MIN(IF(T144="",1,T144),IF(U144="",1,U144),IF(V144="",1,V144))&gt;=1,"Aucune",IF(IF(T144="",1,T144)&lt;=MIN(IF(U144="",1,U144),IF(V144="",1,V144)),"Disponibilité",IF(IF(U144="",1,U144)&lt;=IF(V144="",1,V144),"Performance","Qualité"))))</f>
        <v>Disponibilité</v>
      </c>
      <c r="AA144" s="59">
        <f>IF(AC144=1,N(H144)*N(IFERROR(INDEX(art_cost,MATCH(E144,art_ref,0)),0)),"")</f>
        <v>0.0</v>
      </c>
      <c r="AB144" s="58" t="str">
        <f>IF(COUNTA(A144:I144)=0,"",IF(N(A144)&lt;=0,"Date manquante ou invalide",IF(B144="","Équipe manquante",IF(ISNA(MATCH(B144,eq_code,0)),"Équipe inconnue",IF(INDEX(eq_check,MATCH(B144,eq_code,0))&lt;&gt;"OK","Équipe à corriger dans Paramètres",IF(C144="","Poste manquant",IF(ISNA(MATCH(C144,po_code,0)),"Poste inconnu",IF(AND(E144&lt;&gt;"",ISNA(MATCH(E144,art_ref,0))),"Article inconnu",IF(IF(E144="",FALSE,INDEX(art_check,MATCH(E144,art_ref,0))&lt;&gt;"OK"),"Article à corriger (feuille Articles)",IF(COUNTIFS(sj_date,A144,sj_eq,B144,sj_po,C144)&gt;1,"Ligne en double (même jour, équipe et poste)",IF(OR(NOT(ISNUMBER(K144)),N(K144)&lt;=0,N(K144)&gt;1440),"Temps d'ouverture invalide",IF(OR(AND(G144&lt;&gt;"",NOT(ISNUMBER(G144))),N(G144)&lt;0,N(G144)&lt;&gt;INT(N(G144)),AND(H144&lt;&gt;"",NOT(ISNUMBER(H144))),N(H144)&lt;0,N(H144)&lt;&gt;INT(N(H144)),AND(I144&lt;&gt;"",NOT(ISNUMBER(I144))),N(I144)&lt;0,N(I144)&lt;&gt;INT(N(I144))),"Quantité invalide",IF(Q144&lt;=0,"Cadence manquante (poste ou article)",IF(M144&lt;=0,"Arrêts planifiés supérieurs au temps d'ouverture",IF(O144&lt;0,"Arrêts supérieurs au temps requis",IF(AND(P144&gt;0,O144=0),"Pièces déclarées sans temps de marche",IF(AND(P144=0,O144&gt;0),"Aucune pièce déclarée",IF(P144*60/Q144&gt;O144+0.001,"Cadence dépassée : vérifiez la cadence","OK"))))))))))))))))))</f>
        <v>OK</v>
      </c>
      <c r="AC144">
        <f>IF(OR(AB144="OK",AB144="Aucune pièce déclarée",AB144="Cadence dépassée : vérifiez la cadence"),1,0)</f>
        <v>1.0</v>
      </c>
      <c r="AD144">
        <f>IF(AND(AC144=1,A144&gt;=p_from,A144&lt;=p_to),1,0)</f>
        <v>1.0</v>
      </c>
      <c r="AE144">
        <f>IF(AD144=1,IF(COUNTIFS($A$6:A144,A144,$AD$6:AD144,1)=1,1,0),0)</f>
        <v>0.0</v>
      </c>
      <c r="AF144" t="str">
        <f>IF(AE144=1,COUNTIFS(sj_first,1,sj_date,"&lt;"&amp;A144)+1,"")</f>
        <v/>
      </c>
      <c r="AG144" t="str">
        <f>IF(AND(AD144=1,N(W144)&lt;p_alert),ROUND(W144,4),"")</f>
        <v/>
      </c>
      <c r="AH144" t="str">
        <f>IF(AG144="","",COUNTIF(sj_akey,"&lt;"&amp;AG144)+COUNTIF($AG$6:AG144,AG144))</f>
        <v/>
      </c>
    </row>
    <row r="145">
      <c r="A145" s="51" t="n">
        <v>46303</v>
      </c>
      <c r="B145" s="52" t="inlineStr">
        <is>
          <t>Après-midi</t>
        </is>
      </c>
      <c r="C145" s="52" t="inlineStr">
        <is>
          <t>SOUD</t>
        </is>
      </c>
      <c r="D145" s="53" t="inlineStr">
        <is>
          <t>OF-2610-151</t>
        </is>
      </c>
      <c r="E145" s="53" t="inlineStr">
        <is>
          <t>CHA-REM-01</t>
        </is>
      </c>
      <c r="F145" s="54" t="n"/>
      <c r="G145" s="54" t="n">
        <v>25</v>
      </c>
      <c r="H145" s="54" t="n">
        <v>0</v>
      </c>
      <c r="I145" s="54" t="n">
        <v>0</v>
      </c>
      <c r="J145" s="53" t="n"/>
      <c r="K145" s="55">
        <f>IF(COUNTA(A145:I145)=0,"",IF(F145="",IFERROR(INDEX(eq_dur,MATCH(B145,eq_code,0)),""),F145))</f>
        <v>480.0</v>
      </c>
      <c r="L145" s="55">
        <f>IF(ISNUMBER(K145),N(IFERROR(INDEX(eq_pause,MATCH(B145,eq_code,0)),0))+SUMIFS(st_min,st_date,A145,st_eq,B145,st_po,C145,st_type,"Planifié"),"")</f>
        <v>30.0</v>
      </c>
      <c r="M145" s="55">
        <f>IF(ISNUMBER(K145),K145-L145,"")</f>
        <v>450.0</v>
      </c>
      <c r="N145" s="55">
        <f>IF(ISNUMBER(K145),SUMIFS(st_min,st_date,A145,st_eq,B145,st_po,C145,st_type,"Non planifié"),"")</f>
        <v>21.0</v>
      </c>
      <c r="O145" s="55">
        <f>IF(ISNUMBER(K145),M145-N145,"")</f>
        <v>429.0</v>
      </c>
      <c r="P145" s="55">
        <f>IF(COUNTA(A145:I145)=0,"",N(G145)+N(H145)+N(I145))</f>
        <v>25.0</v>
      </c>
      <c r="Q145" s="56">
        <f>IF(COUNTA(A145:I145)=0,"",IF(N(IFERROR(INDEX(art_rate,MATCH(E145,art_ref,0)),0))&gt;0,N(IFERROR(INDEX(art_rate,MATCH(E145,art_ref,0)),0)),N(IFERROR(INDEX(po_rate,MATCH(C145,po_code,0)),0))))</f>
        <v>4.0</v>
      </c>
      <c r="R145" s="55">
        <f>IF(AC145=1,P145*60/Q145,"")</f>
        <v>375.0</v>
      </c>
      <c r="S145" s="55">
        <f>IF(AC145=1,N(G145)*60/Q145,"")</f>
        <v>375.0</v>
      </c>
      <c r="T145" s="57">
        <f>IF(AC145=1,O145/M145,"")</f>
        <v>0.953333333333333</v>
      </c>
      <c r="U145" s="57">
        <f>IF(AC145=1,IF(O145&gt;0,R145/O145,""),"")</f>
        <v>0.874125874125874</v>
      </c>
      <c r="V145" s="57">
        <f>IF(AC145=1,IF(P145&gt;0,N(G145)/P145,""),"")</f>
        <v>1.0</v>
      </c>
      <c r="W145" s="57">
        <f>IF(AC145=1,S145/M145,"")</f>
        <v>0.833333333333333</v>
      </c>
      <c r="X145" s="57">
        <f>IF(AC145=1,S145/K145,"")</f>
        <v>0.78125</v>
      </c>
      <c r="Y145" s="58" t="str">
        <f>IF(W145="","",IF(W145&gt;=p_target,"Bon",IF(W145&gt;=p_alert,"À surveiller","Faible")))</f>
        <v>Bon</v>
      </c>
      <c r="Z145" s="58" t="str">
        <f>IF(W145="","",IF(MIN(IF(T145="",1,T145),IF(U145="",1,U145),IF(V145="",1,V145))&gt;=1,"Aucune",IF(IF(T145="",1,T145)&lt;=MIN(IF(U145="",1,U145),IF(V145="",1,V145)),"Disponibilité",IF(IF(U145="",1,U145)&lt;=IF(V145="",1,V145),"Performance","Qualité"))))</f>
        <v>Performance</v>
      </c>
      <c r="AA145" s="59">
        <f>IF(AC145=1,N(H145)*N(IFERROR(INDEX(art_cost,MATCH(E145,art_ref,0)),0)),"")</f>
        <v>0.0</v>
      </c>
      <c r="AB145" s="58" t="str">
        <f>IF(COUNTA(A145:I145)=0,"",IF(N(A145)&lt;=0,"Date manquante ou invalide",IF(B145="","Équipe manquante",IF(ISNA(MATCH(B145,eq_code,0)),"Équipe inconnue",IF(INDEX(eq_check,MATCH(B145,eq_code,0))&lt;&gt;"OK","Équipe à corriger dans Paramètres",IF(C145="","Poste manquant",IF(ISNA(MATCH(C145,po_code,0)),"Poste inconnu",IF(AND(E145&lt;&gt;"",ISNA(MATCH(E145,art_ref,0))),"Article inconnu",IF(IF(E145="",FALSE,INDEX(art_check,MATCH(E145,art_ref,0))&lt;&gt;"OK"),"Article à corriger (feuille Articles)",IF(COUNTIFS(sj_date,A145,sj_eq,B145,sj_po,C145)&gt;1,"Ligne en double (même jour, équipe et poste)",IF(OR(NOT(ISNUMBER(K145)),N(K145)&lt;=0,N(K145)&gt;1440),"Temps d'ouverture invalide",IF(OR(AND(G145&lt;&gt;"",NOT(ISNUMBER(G145))),N(G145)&lt;0,N(G145)&lt;&gt;INT(N(G145)),AND(H145&lt;&gt;"",NOT(ISNUMBER(H145))),N(H145)&lt;0,N(H145)&lt;&gt;INT(N(H145)),AND(I145&lt;&gt;"",NOT(ISNUMBER(I145))),N(I145)&lt;0,N(I145)&lt;&gt;INT(N(I145))),"Quantité invalide",IF(Q145&lt;=0,"Cadence manquante (poste ou article)",IF(M145&lt;=0,"Arrêts planifiés supérieurs au temps d'ouverture",IF(O145&lt;0,"Arrêts supérieurs au temps requis",IF(AND(P145&gt;0,O145=0),"Pièces déclarées sans temps de marche",IF(AND(P145=0,O145&gt;0),"Aucune pièce déclarée",IF(P145*60/Q145&gt;O145+0.001,"Cadence dépassée : vérifiez la cadence","OK"))))))))))))))))))</f>
        <v>OK</v>
      </c>
      <c r="AC145">
        <f>IF(OR(AB145="OK",AB145="Aucune pièce déclarée",AB145="Cadence dépassée : vérifiez la cadence"),1,0)</f>
        <v>1.0</v>
      </c>
      <c r="AD145">
        <f>IF(AND(AC145=1,A145&gt;=p_from,A145&lt;=p_to),1,0)</f>
        <v>1.0</v>
      </c>
      <c r="AE145">
        <f>IF(AD145=1,IF(COUNTIFS($A$6:A145,A145,$AD$6:AD145,1)=1,1,0),0)</f>
        <v>0.0</v>
      </c>
      <c r="AF145" t="str">
        <f>IF(AE145=1,COUNTIFS(sj_first,1,sj_date,"&lt;"&amp;A145)+1,"")</f>
        <v/>
      </c>
      <c r="AG145" t="str">
        <f>IF(AND(AD145=1,N(W145)&lt;p_alert),ROUND(W145,4),"")</f>
        <v/>
      </c>
      <c r="AH145" t="str">
        <f>IF(AG145="","",COUNTIF(sj_akey,"&lt;"&amp;AG145)+COUNTIF($AG$6:AG145,AG145))</f>
        <v/>
      </c>
    </row>
    <row r="146">
      <c r="A146" s="51" t="n">
        <v>46304</v>
      </c>
      <c r="B146" s="52" t="inlineStr">
        <is>
          <t>Matin</t>
        </is>
      </c>
      <c r="C146" s="52" t="inlineStr">
        <is>
          <t>TOUR1</t>
        </is>
      </c>
      <c r="D146" s="53" t="inlineStr">
        <is>
          <t>OF-2610-147</t>
        </is>
      </c>
      <c r="E146" s="53" t="inlineStr">
        <is>
          <t>AXE-R20</t>
        </is>
      </c>
      <c r="F146" s="54" t="n"/>
      <c r="G146" s="54" t="n">
        <v>187</v>
      </c>
      <c r="H146" s="54" t="n">
        <v>6</v>
      </c>
      <c r="I146" s="54" t="n">
        <v>1</v>
      </c>
      <c r="J146" s="53" t="n"/>
      <c r="K146" s="55">
        <f>IF(COUNTA(A146:I146)=0,"",IF(F146="",IFERROR(INDEX(eq_dur,MATCH(B146,eq_code,0)),""),F146))</f>
        <v>480.0</v>
      </c>
      <c r="L146" s="55">
        <f>IF(ISNUMBER(K146),N(IFERROR(INDEX(eq_pause,MATCH(B146,eq_code,0)),0))+SUMIFS(st_min,st_date,A146,st_eq,B146,st_po,C146,st_type,"Planifié"),"")</f>
        <v>30.0</v>
      </c>
      <c r="M146" s="55">
        <f>IF(ISNUMBER(K146),K146-L146,"")</f>
        <v>450.0</v>
      </c>
      <c r="N146" s="55">
        <f>IF(ISNUMBER(K146),SUMIFS(st_min,st_date,A146,st_eq,B146,st_po,C146,st_type,"Non planifié"),"")</f>
        <v>16.0</v>
      </c>
      <c r="O146" s="55">
        <f>IF(ISNUMBER(K146),M146-N146,"")</f>
        <v>434.0</v>
      </c>
      <c r="P146" s="55">
        <f>IF(COUNTA(A146:I146)=0,"",N(G146)+N(H146)+N(I146))</f>
        <v>194.0</v>
      </c>
      <c r="Q146" s="56">
        <f>IF(COUNTA(A146:I146)=0,"",IF(N(IFERROR(INDEX(art_rate,MATCH(E146,art_ref,0)),0))&gt;0,N(IFERROR(INDEX(art_rate,MATCH(E146,art_ref,0)),0)),N(IFERROR(INDEX(po_rate,MATCH(C146,po_code,0)),0))))</f>
        <v>30.0</v>
      </c>
      <c r="R146" s="55">
        <f>IF(AC146=1,P146*60/Q146,"")</f>
        <v>388.0</v>
      </c>
      <c r="S146" s="55">
        <f>IF(AC146=1,N(G146)*60/Q146,"")</f>
        <v>374.0</v>
      </c>
      <c r="T146" s="57">
        <f>IF(AC146=1,O146/M146,"")</f>
        <v>0.964444444444444</v>
      </c>
      <c r="U146" s="57">
        <f>IF(AC146=1,IF(O146&gt;0,R146/O146,""),"")</f>
        <v>0.894009216589862</v>
      </c>
      <c r="V146" s="57">
        <f>IF(AC146=1,IF(P146&gt;0,N(G146)/P146,""),"")</f>
        <v>0.963917525773196</v>
      </c>
      <c r="W146" s="57">
        <f>IF(AC146=1,S146/M146,"")</f>
        <v>0.831111111111111</v>
      </c>
      <c r="X146" s="57">
        <f>IF(AC146=1,S146/K146,"")</f>
        <v>0.779166666666667</v>
      </c>
      <c r="Y146" s="58" t="str">
        <f>IF(W146="","",IF(W146&gt;=p_target,"Bon",IF(W146&gt;=p_alert,"À surveiller","Faible")))</f>
        <v>Bon</v>
      </c>
      <c r="Z146" s="58" t="str">
        <f>IF(W146="","",IF(MIN(IF(T146="",1,T146),IF(U146="",1,U146),IF(V146="",1,V146))&gt;=1,"Aucune",IF(IF(T146="",1,T146)&lt;=MIN(IF(U146="",1,U146),IF(V146="",1,V146)),"Disponibilité",IF(IF(U146="",1,U146)&lt;=IF(V146="",1,V146),"Performance","Qualité"))))</f>
        <v>Performance</v>
      </c>
      <c r="AA146" s="59">
        <f>IF(AC146=1,N(H146)*N(IFERROR(INDEX(art_cost,MATCH(E146,art_ref,0)),0)),"")</f>
        <v>231.0</v>
      </c>
      <c r="AB146" s="58" t="str">
        <f>IF(COUNTA(A146:I146)=0,"",IF(N(A146)&lt;=0,"Date manquante ou invalide",IF(B146="","Équipe manquante",IF(ISNA(MATCH(B146,eq_code,0)),"Équipe inconnue",IF(INDEX(eq_check,MATCH(B146,eq_code,0))&lt;&gt;"OK","Équipe à corriger dans Paramètres",IF(C146="","Poste manquant",IF(ISNA(MATCH(C146,po_code,0)),"Poste inconnu",IF(AND(E146&lt;&gt;"",ISNA(MATCH(E146,art_ref,0))),"Article inconnu",IF(IF(E146="",FALSE,INDEX(art_check,MATCH(E146,art_ref,0))&lt;&gt;"OK"),"Article à corriger (feuille Articles)",IF(COUNTIFS(sj_date,A146,sj_eq,B146,sj_po,C146)&gt;1,"Ligne en double (même jour, équipe et poste)",IF(OR(NOT(ISNUMBER(K146)),N(K146)&lt;=0,N(K146)&gt;1440),"Temps d'ouverture invalide",IF(OR(AND(G146&lt;&gt;"",NOT(ISNUMBER(G146))),N(G146)&lt;0,N(G146)&lt;&gt;INT(N(G146)),AND(H146&lt;&gt;"",NOT(ISNUMBER(H146))),N(H146)&lt;0,N(H146)&lt;&gt;INT(N(H146)),AND(I146&lt;&gt;"",NOT(ISNUMBER(I146))),N(I146)&lt;0,N(I146)&lt;&gt;INT(N(I146))),"Quantité invalide",IF(Q146&lt;=0,"Cadence manquante (poste ou article)",IF(M146&lt;=0,"Arrêts planifiés supérieurs au temps d'ouverture",IF(O146&lt;0,"Arrêts supérieurs au temps requis",IF(AND(P146&gt;0,O146=0),"Pièces déclarées sans temps de marche",IF(AND(P146=0,O146&gt;0),"Aucune pièce déclarée",IF(P146*60/Q146&gt;O146+0.001,"Cadence dépassée : vérifiez la cadence","OK"))))))))))))))))))</f>
        <v>OK</v>
      </c>
      <c r="AC146">
        <f>IF(OR(AB146="OK",AB146="Aucune pièce déclarée",AB146="Cadence dépassée : vérifiez la cadence"),1,0)</f>
        <v>1.0</v>
      </c>
      <c r="AD146">
        <f>IF(AND(AC146=1,A146&gt;=p_from,A146&lt;=p_to),1,0)</f>
        <v>1.0</v>
      </c>
      <c r="AE146">
        <f>IF(AD146=1,IF(COUNTIFS($A$6:A146,A146,$AD$6:AD146,1)=1,1,0),0)</f>
        <v>1.0</v>
      </c>
      <c r="AF146">
        <f>IF(AE146=1,COUNTIFS(sj_first,1,sj_date,"&lt;"&amp;A146)+1,"")</f>
        <v>15.0</v>
      </c>
      <c r="AG146" t="str">
        <f>IF(AND(AD146=1,N(W146)&lt;p_alert),ROUND(W146,4),"")</f>
        <v/>
      </c>
      <c r="AH146" t="str">
        <f>IF(AG146="","",COUNTIF(sj_akey,"&lt;"&amp;AG146)+COUNTIF($AG$6:AG146,AG146))</f>
        <v/>
      </c>
    </row>
    <row r="147">
      <c r="A147" s="51" t="n">
        <v>46304</v>
      </c>
      <c r="B147" s="52" t="inlineStr">
        <is>
          <t>Après-midi</t>
        </is>
      </c>
      <c r="C147" s="52" t="inlineStr">
        <is>
          <t>TOUR1</t>
        </is>
      </c>
      <c r="D147" s="53" t="inlineStr">
        <is>
          <t>OF-2610-142</t>
        </is>
      </c>
      <c r="E147" s="53" t="inlineStr">
        <is>
          <t>AXE-R20</t>
        </is>
      </c>
      <c r="F147" s="54" t="n"/>
      <c r="G147" s="54" t="n">
        <v>208</v>
      </c>
      <c r="H147" s="54" t="n">
        <v>6</v>
      </c>
      <c r="I147" s="54" t="n">
        <v>2</v>
      </c>
      <c r="J147" s="53" t="n"/>
      <c r="K147" s="55">
        <f>IF(COUNTA(A147:I147)=0,"",IF(F147="",IFERROR(INDEX(eq_dur,MATCH(B147,eq_code,0)),""),F147))</f>
        <v>480.0</v>
      </c>
      <c r="L147" s="55">
        <f>IF(ISNUMBER(K147),N(IFERROR(INDEX(eq_pause,MATCH(B147,eq_code,0)),0))+SUMIFS(st_min,st_date,A147,st_eq,B147,st_po,C147,st_type,"Planifié"),"")</f>
        <v>30.0</v>
      </c>
      <c r="M147" s="55">
        <f>IF(ISNUMBER(K147),K147-L147,"")</f>
        <v>450.0</v>
      </c>
      <c r="N147" s="55">
        <f>IF(ISNUMBER(K147),SUMIFS(st_min,st_date,A147,st_eq,B147,st_po,C147,st_type,"Non planifié"),"")</f>
        <v>0.0</v>
      </c>
      <c r="O147" s="55">
        <f>IF(ISNUMBER(K147),M147-N147,"")</f>
        <v>450.0</v>
      </c>
      <c r="P147" s="55">
        <f>IF(COUNTA(A147:I147)=0,"",N(G147)+N(H147)+N(I147))</f>
        <v>216.0</v>
      </c>
      <c r="Q147" s="56">
        <f>IF(COUNTA(A147:I147)=0,"",IF(N(IFERROR(INDEX(art_rate,MATCH(E147,art_ref,0)),0))&gt;0,N(IFERROR(INDEX(art_rate,MATCH(E147,art_ref,0)),0)),N(IFERROR(INDEX(po_rate,MATCH(C147,po_code,0)),0))))</f>
        <v>30.0</v>
      </c>
      <c r="R147" s="55">
        <f>IF(AC147=1,P147*60/Q147,"")</f>
        <v>432.0</v>
      </c>
      <c r="S147" s="55">
        <f>IF(AC147=1,N(G147)*60/Q147,"")</f>
        <v>416.0</v>
      </c>
      <c r="T147" s="57">
        <f>IF(AC147=1,O147/M147,"")</f>
        <v>1.0</v>
      </c>
      <c r="U147" s="57">
        <f>IF(AC147=1,IF(O147&gt;0,R147/O147,""),"")</f>
        <v>0.96</v>
      </c>
      <c r="V147" s="57">
        <f>IF(AC147=1,IF(P147&gt;0,N(G147)/P147,""),"")</f>
        <v>0.962962962962963</v>
      </c>
      <c r="W147" s="57">
        <f>IF(AC147=1,S147/M147,"")</f>
        <v>0.924444444444444</v>
      </c>
      <c r="X147" s="57">
        <f>IF(AC147=1,S147/K147,"")</f>
        <v>0.866666666666667</v>
      </c>
      <c r="Y147" s="58" t="str">
        <f>IF(W147="","",IF(W147&gt;=p_target,"Bon",IF(W147&gt;=p_alert,"À surveiller","Faible")))</f>
        <v>Bon</v>
      </c>
      <c r="Z147" s="58" t="str">
        <f>IF(W147="","",IF(MIN(IF(T147="",1,T147),IF(U147="",1,U147),IF(V147="",1,V147))&gt;=1,"Aucune",IF(IF(T147="",1,T147)&lt;=MIN(IF(U147="",1,U147),IF(V147="",1,V147)),"Disponibilité",IF(IF(U147="",1,U147)&lt;=IF(V147="",1,V147),"Performance","Qualité"))))</f>
        <v>Performance</v>
      </c>
      <c r="AA147" s="59">
        <f>IF(AC147=1,N(H147)*N(IFERROR(INDEX(art_cost,MATCH(E147,art_ref,0)),0)),"")</f>
        <v>231.0</v>
      </c>
      <c r="AB147" s="58" t="str">
        <f>IF(COUNTA(A147:I147)=0,"",IF(N(A147)&lt;=0,"Date manquante ou invalide",IF(B147="","Équipe manquante",IF(ISNA(MATCH(B147,eq_code,0)),"Équipe inconnue",IF(INDEX(eq_check,MATCH(B147,eq_code,0))&lt;&gt;"OK","Équipe à corriger dans Paramètres",IF(C147="","Poste manquant",IF(ISNA(MATCH(C147,po_code,0)),"Poste inconnu",IF(AND(E147&lt;&gt;"",ISNA(MATCH(E147,art_ref,0))),"Article inconnu",IF(IF(E147="",FALSE,INDEX(art_check,MATCH(E147,art_ref,0))&lt;&gt;"OK"),"Article à corriger (feuille Articles)",IF(COUNTIFS(sj_date,A147,sj_eq,B147,sj_po,C147)&gt;1,"Ligne en double (même jour, équipe et poste)",IF(OR(NOT(ISNUMBER(K147)),N(K147)&lt;=0,N(K147)&gt;1440),"Temps d'ouverture invalide",IF(OR(AND(G147&lt;&gt;"",NOT(ISNUMBER(G147))),N(G147)&lt;0,N(G147)&lt;&gt;INT(N(G147)),AND(H147&lt;&gt;"",NOT(ISNUMBER(H147))),N(H147)&lt;0,N(H147)&lt;&gt;INT(N(H147)),AND(I147&lt;&gt;"",NOT(ISNUMBER(I147))),N(I147)&lt;0,N(I147)&lt;&gt;INT(N(I147))),"Quantité invalide",IF(Q147&lt;=0,"Cadence manquante (poste ou article)",IF(M147&lt;=0,"Arrêts planifiés supérieurs au temps d'ouverture",IF(O147&lt;0,"Arrêts supérieurs au temps requis",IF(AND(P147&gt;0,O147=0),"Pièces déclarées sans temps de marche",IF(AND(P147=0,O147&gt;0),"Aucune pièce déclarée",IF(P147*60/Q147&gt;O147+0.001,"Cadence dépassée : vérifiez la cadence","OK"))))))))))))))))))</f>
        <v>OK</v>
      </c>
      <c r="AC147">
        <f>IF(OR(AB147="OK",AB147="Aucune pièce déclarée",AB147="Cadence dépassée : vérifiez la cadence"),1,0)</f>
        <v>1.0</v>
      </c>
      <c r="AD147">
        <f>IF(AND(AC147=1,A147&gt;=p_from,A147&lt;=p_to),1,0)</f>
        <v>1.0</v>
      </c>
      <c r="AE147">
        <f>IF(AD147=1,IF(COUNTIFS($A$6:A147,A147,$AD$6:AD147,1)=1,1,0),0)</f>
        <v>0.0</v>
      </c>
      <c r="AF147" t="str">
        <f>IF(AE147=1,COUNTIFS(sj_first,1,sj_date,"&lt;"&amp;A147)+1,"")</f>
        <v/>
      </c>
      <c r="AG147" t="str">
        <f>IF(AND(AD147=1,N(W147)&lt;p_alert),ROUND(W147,4),"")</f>
        <v/>
      </c>
      <c r="AH147" t="str">
        <f>IF(AG147="","",COUNTIF(sj_akey,"&lt;"&amp;AG147)+COUNTIF($AG$6:AG147,AG147))</f>
        <v/>
      </c>
    </row>
    <row r="148">
      <c r="A148" s="51" t="n">
        <v>46304</v>
      </c>
      <c r="B148" s="52" t="inlineStr">
        <is>
          <t>Matin</t>
        </is>
      </c>
      <c r="C148" s="52" t="inlineStr">
        <is>
          <t>TOUR2</t>
        </is>
      </c>
      <c r="D148" s="53" t="inlineStr">
        <is>
          <t>OF-2610-154</t>
        </is>
      </c>
      <c r="E148" s="53" t="inlineStr">
        <is>
          <t>AXE-R20</t>
        </is>
      </c>
      <c r="F148" s="54" t="n"/>
      <c r="G148" s="54" t="n">
        <v>119</v>
      </c>
      <c r="H148" s="54" t="n">
        <v>3</v>
      </c>
      <c r="I148" s="54" t="n">
        <v>1</v>
      </c>
      <c r="J148" s="53" t="n"/>
      <c r="K148" s="55">
        <f>IF(COUNTA(A148:I148)=0,"",IF(F148="",IFERROR(INDEX(eq_dur,MATCH(B148,eq_code,0)),""),F148))</f>
        <v>480.0</v>
      </c>
      <c r="L148" s="55">
        <f>IF(ISNUMBER(K148),N(IFERROR(INDEX(eq_pause,MATCH(B148,eq_code,0)),0))+SUMIFS(st_min,st_date,A148,st_eq,B148,st_po,C148,st_type,"Planifié"),"")</f>
        <v>30.0</v>
      </c>
      <c r="M148" s="55">
        <f>IF(ISNUMBER(K148),K148-L148,"")</f>
        <v>450.0</v>
      </c>
      <c r="N148" s="55">
        <f>IF(ISNUMBER(K148),SUMIFS(st_min,st_date,A148,st_eq,B148,st_po,C148,st_type,"Non planifié"),"")</f>
        <v>146.0</v>
      </c>
      <c r="O148" s="55">
        <f>IF(ISNUMBER(K148),M148-N148,"")</f>
        <v>304.0</v>
      </c>
      <c r="P148" s="55">
        <f>IF(COUNTA(A148:I148)=0,"",N(G148)+N(H148)+N(I148))</f>
        <v>123.0</v>
      </c>
      <c r="Q148" s="56">
        <f>IF(COUNTA(A148:I148)=0,"",IF(N(IFERROR(INDEX(art_rate,MATCH(E148,art_ref,0)),0))&gt;0,N(IFERROR(INDEX(art_rate,MATCH(E148,art_ref,0)),0)),N(IFERROR(INDEX(po_rate,MATCH(C148,po_code,0)),0))))</f>
        <v>30.0</v>
      </c>
      <c r="R148" s="55">
        <f>IF(AC148=1,P148*60/Q148,"")</f>
        <v>246.0</v>
      </c>
      <c r="S148" s="55">
        <f>IF(AC148=1,N(G148)*60/Q148,"")</f>
        <v>238.0</v>
      </c>
      <c r="T148" s="57">
        <f>IF(AC148=1,O148/M148,"")</f>
        <v>0.675555555555556</v>
      </c>
      <c r="U148" s="57">
        <f>IF(AC148=1,IF(O148&gt;0,R148/O148,""),"")</f>
        <v>0.80921052631579</v>
      </c>
      <c r="V148" s="57">
        <f>IF(AC148=1,IF(P148&gt;0,N(G148)/P148,""),"")</f>
        <v>0.967479674796748</v>
      </c>
      <c r="W148" s="57">
        <f>IF(AC148=1,S148/M148,"")</f>
        <v>0.528888888888889</v>
      </c>
      <c r="X148" s="57">
        <f>IF(AC148=1,S148/K148,"")</f>
        <v>0.495833333333333</v>
      </c>
      <c r="Y148" s="58" t="str">
        <f>IF(W148="","",IF(W148&gt;=p_target,"Bon",IF(W148&gt;=p_alert,"À surveiller","Faible")))</f>
        <v>Faible</v>
      </c>
      <c r="Z148" s="58" t="str">
        <f>IF(W148="","",IF(MIN(IF(T148="",1,T148),IF(U148="",1,U148),IF(V148="",1,V148))&gt;=1,"Aucune",IF(IF(T148="",1,T148)&lt;=MIN(IF(U148="",1,U148),IF(V148="",1,V148)),"Disponibilité",IF(IF(U148="",1,U148)&lt;=IF(V148="",1,V148),"Performance","Qualité"))))</f>
        <v>Disponibilité</v>
      </c>
      <c r="AA148" s="59">
        <f>IF(AC148=1,N(H148)*N(IFERROR(INDEX(art_cost,MATCH(E148,art_ref,0)),0)),"")</f>
        <v>115.5</v>
      </c>
      <c r="AB148" s="58" t="str">
        <f>IF(COUNTA(A148:I148)=0,"",IF(N(A148)&lt;=0,"Date manquante ou invalide",IF(B148="","Équipe manquante",IF(ISNA(MATCH(B148,eq_code,0)),"Équipe inconnue",IF(INDEX(eq_check,MATCH(B148,eq_code,0))&lt;&gt;"OK","Équipe à corriger dans Paramètres",IF(C148="","Poste manquant",IF(ISNA(MATCH(C148,po_code,0)),"Poste inconnu",IF(AND(E148&lt;&gt;"",ISNA(MATCH(E148,art_ref,0))),"Article inconnu",IF(IF(E148="",FALSE,INDEX(art_check,MATCH(E148,art_ref,0))&lt;&gt;"OK"),"Article à corriger (feuille Articles)",IF(COUNTIFS(sj_date,A148,sj_eq,B148,sj_po,C148)&gt;1,"Ligne en double (même jour, équipe et poste)",IF(OR(NOT(ISNUMBER(K148)),N(K148)&lt;=0,N(K148)&gt;1440),"Temps d'ouverture invalide",IF(OR(AND(G148&lt;&gt;"",NOT(ISNUMBER(G148))),N(G148)&lt;0,N(G148)&lt;&gt;INT(N(G148)),AND(H148&lt;&gt;"",NOT(ISNUMBER(H148))),N(H148)&lt;0,N(H148)&lt;&gt;INT(N(H148)),AND(I148&lt;&gt;"",NOT(ISNUMBER(I148))),N(I148)&lt;0,N(I148)&lt;&gt;INT(N(I148))),"Quantité invalide",IF(Q148&lt;=0,"Cadence manquante (poste ou article)",IF(M148&lt;=0,"Arrêts planifiés supérieurs au temps d'ouverture",IF(O148&lt;0,"Arrêts supérieurs au temps requis",IF(AND(P148&gt;0,O148=0),"Pièces déclarées sans temps de marche",IF(AND(P148=0,O148&gt;0),"Aucune pièce déclarée",IF(P148*60/Q148&gt;O148+0.001,"Cadence dépassée : vérifiez la cadence","OK"))))))))))))))))))</f>
        <v>OK</v>
      </c>
      <c r="AC148">
        <f>IF(OR(AB148="OK",AB148="Aucune pièce déclarée",AB148="Cadence dépassée : vérifiez la cadence"),1,0)</f>
        <v>1.0</v>
      </c>
      <c r="AD148">
        <f>IF(AND(AC148=1,A148&gt;=p_from,A148&lt;=p_to),1,0)</f>
        <v>1.0</v>
      </c>
      <c r="AE148">
        <f>IF(AD148=1,IF(COUNTIFS($A$6:A148,A148,$AD$6:AD148,1)=1,1,0),0)</f>
        <v>0.0</v>
      </c>
      <c r="AF148" t="str">
        <f>IF(AE148=1,COUNTIFS(sj_first,1,sj_date,"&lt;"&amp;A148)+1,"")</f>
        <v/>
      </c>
      <c r="AG148">
        <f>IF(AND(AD148=1,N(W148)&lt;p_alert),ROUND(W148,4),"")</f>
        <v>0.5289</v>
      </c>
      <c r="AH148">
        <f>IF(AG148="","",COUNTIF(sj_akey,"&lt;"&amp;AG148)+COUNTIF($AG$6:AG148,AG148))</f>
        <v>28.0</v>
      </c>
    </row>
    <row r="149">
      <c r="A149" s="51" t="n">
        <v>46304</v>
      </c>
      <c r="B149" s="52" t="inlineStr">
        <is>
          <t>Après-midi</t>
        </is>
      </c>
      <c r="C149" s="52" t="inlineStr">
        <is>
          <t>TOUR2</t>
        </is>
      </c>
      <c r="D149" s="53" t="inlineStr">
        <is>
          <t>OF-2610-138</t>
        </is>
      </c>
      <c r="E149" s="53" t="inlineStr">
        <is>
          <t>ENT-12</t>
        </is>
      </c>
      <c r="F149" s="54" t="n"/>
      <c r="G149" s="54" t="n">
        <v>221</v>
      </c>
      <c r="H149" s="54" t="n">
        <v>0</v>
      </c>
      <c r="I149" s="54" t="n">
        <v>0</v>
      </c>
      <c r="J149" s="53" t="n"/>
      <c r="K149" s="55">
        <f>IF(COUNTA(A149:I149)=0,"",IF(F149="",IFERROR(INDEX(eq_dur,MATCH(B149,eq_code,0)),""),F149))</f>
        <v>480.0</v>
      </c>
      <c r="L149" s="55">
        <f>IF(ISNUMBER(K149),N(IFERROR(INDEX(eq_pause,MATCH(B149,eq_code,0)),0))+SUMIFS(st_min,st_date,A149,st_eq,B149,st_po,C149,st_type,"Planifié"),"")</f>
        <v>30.0</v>
      </c>
      <c r="M149" s="55">
        <f>IF(ISNUMBER(K149),K149-L149,"")</f>
        <v>450.0</v>
      </c>
      <c r="N149" s="55">
        <f>IF(ISNUMBER(K149),SUMIFS(st_min,st_date,A149,st_eq,B149,st_po,C149,st_type,"Non planifié"),"")</f>
        <v>195.0</v>
      </c>
      <c r="O149" s="55">
        <f>IF(ISNUMBER(K149),M149-N149,"")</f>
        <v>255.0</v>
      </c>
      <c r="P149" s="55">
        <f>IF(COUNTA(A149:I149)=0,"",N(G149)+N(H149)+N(I149))</f>
        <v>221.0</v>
      </c>
      <c r="Q149" s="56">
        <f>IF(COUNTA(A149:I149)=0,"",IF(N(IFERROR(INDEX(art_rate,MATCH(E149,art_ref,0)),0))&gt;0,N(IFERROR(INDEX(art_rate,MATCH(E149,art_ref,0)),0)),N(IFERROR(INDEX(po_rate,MATCH(C149,po_code,0)),0))))</f>
        <v>55.0</v>
      </c>
      <c r="R149" s="55">
        <f>IF(AC149=1,P149*60/Q149,"")</f>
        <v>241.090909090909</v>
      </c>
      <c r="S149" s="55">
        <f>IF(AC149=1,N(G149)*60/Q149,"")</f>
        <v>241.090909090909</v>
      </c>
      <c r="T149" s="57">
        <f>IF(AC149=1,O149/M149,"")</f>
        <v>0.566666666666667</v>
      </c>
      <c r="U149" s="57">
        <f>IF(AC149=1,IF(O149&gt;0,R149/O149,""),"")</f>
        <v>0.945454545454545</v>
      </c>
      <c r="V149" s="57">
        <f>IF(AC149=1,IF(P149&gt;0,N(G149)/P149,""),"")</f>
        <v>1.0</v>
      </c>
      <c r="W149" s="57">
        <f>IF(AC149=1,S149/M149,"")</f>
        <v>0.535757575757576</v>
      </c>
      <c r="X149" s="57">
        <f>IF(AC149=1,S149/K149,"")</f>
        <v>0.502272727272727</v>
      </c>
      <c r="Y149" s="58" t="str">
        <f>IF(W149="","",IF(W149&gt;=p_target,"Bon",IF(W149&gt;=p_alert,"À surveiller","Faible")))</f>
        <v>Faible</v>
      </c>
      <c r="Z149" s="58" t="str">
        <f>IF(W149="","",IF(MIN(IF(T149="",1,T149),IF(U149="",1,U149),IF(V149="",1,V149))&gt;=1,"Aucune",IF(IF(T149="",1,T149)&lt;=MIN(IF(U149="",1,U149),IF(V149="",1,V149)),"Disponibilité",IF(IF(U149="",1,U149)&lt;=IF(V149="",1,V149),"Performance","Qualité"))))</f>
        <v>Disponibilité</v>
      </c>
      <c r="AA149" s="59">
        <f>IF(AC149=1,N(H149)*N(IFERROR(INDEX(art_cost,MATCH(E149,art_ref,0)),0)),"")</f>
        <v>0.0</v>
      </c>
      <c r="AB149" s="58" t="str">
        <f>IF(COUNTA(A149:I149)=0,"",IF(N(A149)&lt;=0,"Date manquante ou invalide",IF(B149="","Équipe manquante",IF(ISNA(MATCH(B149,eq_code,0)),"Équipe inconnue",IF(INDEX(eq_check,MATCH(B149,eq_code,0))&lt;&gt;"OK","Équipe à corriger dans Paramètres",IF(C149="","Poste manquant",IF(ISNA(MATCH(C149,po_code,0)),"Poste inconnu",IF(AND(E149&lt;&gt;"",ISNA(MATCH(E149,art_ref,0))),"Article inconnu",IF(IF(E149="",FALSE,INDEX(art_check,MATCH(E149,art_ref,0))&lt;&gt;"OK"),"Article à corriger (feuille Articles)",IF(COUNTIFS(sj_date,A149,sj_eq,B149,sj_po,C149)&gt;1,"Ligne en double (même jour, équipe et poste)",IF(OR(NOT(ISNUMBER(K149)),N(K149)&lt;=0,N(K149)&gt;1440),"Temps d'ouverture invalide",IF(OR(AND(G149&lt;&gt;"",NOT(ISNUMBER(G149))),N(G149)&lt;0,N(G149)&lt;&gt;INT(N(G149)),AND(H149&lt;&gt;"",NOT(ISNUMBER(H149))),N(H149)&lt;0,N(H149)&lt;&gt;INT(N(H149)),AND(I149&lt;&gt;"",NOT(ISNUMBER(I149))),N(I149)&lt;0,N(I149)&lt;&gt;INT(N(I149))),"Quantité invalide",IF(Q149&lt;=0,"Cadence manquante (poste ou article)",IF(M149&lt;=0,"Arrêts planifiés supérieurs au temps d'ouverture",IF(O149&lt;0,"Arrêts supérieurs au temps requis",IF(AND(P149&gt;0,O149=0),"Pièces déclarées sans temps de marche",IF(AND(P149=0,O149&gt;0),"Aucune pièce déclarée",IF(P149*60/Q149&gt;O149+0.001,"Cadence dépassée : vérifiez la cadence","OK"))))))))))))))))))</f>
        <v>OK</v>
      </c>
      <c r="AC149">
        <f>IF(OR(AB149="OK",AB149="Aucune pièce déclarée",AB149="Cadence dépassée : vérifiez la cadence"),1,0)</f>
        <v>1.0</v>
      </c>
      <c r="AD149">
        <f>IF(AND(AC149=1,A149&gt;=p_from,A149&lt;=p_to),1,0)</f>
        <v>1.0</v>
      </c>
      <c r="AE149">
        <f>IF(AD149=1,IF(COUNTIFS($A$6:A149,A149,$AD$6:AD149,1)=1,1,0),0)</f>
        <v>0.0</v>
      </c>
      <c r="AF149" t="str">
        <f>IF(AE149=1,COUNTIFS(sj_first,1,sj_date,"&lt;"&amp;A149)+1,"")</f>
        <v/>
      </c>
      <c r="AG149">
        <f>IF(AND(AD149=1,N(W149)&lt;p_alert),ROUND(W149,4),"")</f>
        <v>0.5358</v>
      </c>
      <c r="AH149">
        <f>IF(AG149="","",COUNTIF(sj_akey,"&lt;"&amp;AG149)+COUNTIF($AG$6:AG149,AG149))</f>
        <v>31.0</v>
      </c>
    </row>
    <row r="150">
      <c r="A150" s="51" t="n">
        <v>46304</v>
      </c>
      <c r="B150" s="52" t="inlineStr">
        <is>
          <t>Matin</t>
        </is>
      </c>
      <c r="C150" s="52" t="inlineStr">
        <is>
          <t>USIN</t>
        </is>
      </c>
      <c r="D150" s="53" t="inlineStr">
        <is>
          <t>OF-2610-149</t>
        </is>
      </c>
      <c r="E150" s="53" t="inlineStr">
        <is>
          <t>CAR-BOI-04</t>
        </is>
      </c>
      <c r="F150" s="54" t="n"/>
      <c r="G150" s="54" t="n">
        <v>31</v>
      </c>
      <c r="H150" s="54" t="n">
        <v>1</v>
      </c>
      <c r="I150" s="54" t="n">
        <v>0</v>
      </c>
      <c r="J150" s="53" t="n"/>
      <c r="K150" s="55">
        <f>IF(COUNTA(A150:I150)=0,"",IF(F150="",IFERROR(INDEX(eq_dur,MATCH(B150,eq_code,0)),""),F150))</f>
        <v>480.0</v>
      </c>
      <c r="L150" s="55">
        <f>IF(ISNUMBER(K150),N(IFERROR(INDEX(eq_pause,MATCH(B150,eq_code,0)),0))+SUMIFS(st_min,st_date,A150,st_eq,B150,st_po,C150,st_type,"Planifié"),"")</f>
        <v>30.0</v>
      </c>
      <c r="M150" s="55">
        <f>IF(ISNUMBER(K150),K150-L150,"")</f>
        <v>450.0</v>
      </c>
      <c r="N150" s="55">
        <f>IF(ISNUMBER(K150),SUMIFS(st_min,st_date,A150,st_eq,B150,st_po,C150,st_type,"Non planifié"),"")</f>
        <v>41.0</v>
      </c>
      <c r="O150" s="55">
        <f>IF(ISNUMBER(K150),M150-N150,"")</f>
        <v>409.0</v>
      </c>
      <c r="P150" s="55">
        <f>IF(COUNTA(A150:I150)=0,"",N(G150)+N(H150)+N(I150))</f>
        <v>32.0</v>
      </c>
      <c r="Q150" s="56">
        <f>IF(COUNTA(A150:I150)=0,"",IF(N(IFERROR(INDEX(art_rate,MATCH(E150,art_ref,0)),0))&gt;0,N(IFERROR(INDEX(art_rate,MATCH(E150,art_ref,0)),0)),N(IFERROR(INDEX(po_rate,MATCH(C150,po_code,0)),0))))</f>
        <v>6.0</v>
      </c>
      <c r="R150" s="55">
        <f>IF(AC150=1,P150*60/Q150,"")</f>
        <v>320.0</v>
      </c>
      <c r="S150" s="55">
        <f>IF(AC150=1,N(G150)*60/Q150,"")</f>
        <v>310.0</v>
      </c>
      <c r="T150" s="57">
        <f>IF(AC150=1,O150/M150,"")</f>
        <v>0.908888888888889</v>
      </c>
      <c r="U150" s="57">
        <f>IF(AC150=1,IF(O150&gt;0,R150/O150,""),"")</f>
        <v>0.78239608801956</v>
      </c>
      <c r="V150" s="57">
        <f>IF(AC150=1,IF(P150&gt;0,N(G150)/P150,""),"")</f>
        <v>0.96875</v>
      </c>
      <c r="W150" s="57">
        <f>IF(AC150=1,S150/M150,"")</f>
        <v>0.688888888888889</v>
      </c>
      <c r="X150" s="57">
        <f>IF(AC150=1,S150/K150,"")</f>
        <v>0.645833333333333</v>
      </c>
      <c r="Y150" s="58" t="str">
        <f>IF(W150="","",IF(W150&gt;=p_target,"Bon",IF(W150&gt;=p_alert,"À surveiller","Faible")))</f>
        <v>À surveiller</v>
      </c>
      <c r="Z150" s="58" t="str">
        <f>IF(W150="","",IF(MIN(IF(T150="",1,T150),IF(U150="",1,U150),IF(V150="",1,V150))&gt;=1,"Aucune",IF(IF(T150="",1,T150)&lt;=MIN(IF(U150="",1,U150),IF(V150="",1,V150)),"Disponibilité",IF(IF(U150="",1,U150)&lt;=IF(V150="",1,V150),"Performance","Qualité"))))</f>
        <v>Performance</v>
      </c>
      <c r="AA150" s="59">
        <f>IF(AC150=1,N(H150)*N(IFERROR(INDEX(art_cost,MATCH(E150,art_ref,0)),0)),"")</f>
        <v>610.0</v>
      </c>
      <c r="AB150" s="58" t="str">
        <f>IF(COUNTA(A150:I150)=0,"",IF(N(A150)&lt;=0,"Date manquante ou invalide",IF(B150="","Équipe manquante",IF(ISNA(MATCH(B150,eq_code,0)),"Équipe inconnue",IF(INDEX(eq_check,MATCH(B150,eq_code,0))&lt;&gt;"OK","Équipe à corriger dans Paramètres",IF(C150="","Poste manquant",IF(ISNA(MATCH(C150,po_code,0)),"Poste inconnu",IF(AND(E150&lt;&gt;"",ISNA(MATCH(E150,art_ref,0))),"Article inconnu",IF(IF(E150="",FALSE,INDEX(art_check,MATCH(E150,art_ref,0))&lt;&gt;"OK"),"Article à corriger (feuille Articles)",IF(COUNTIFS(sj_date,A150,sj_eq,B150,sj_po,C150)&gt;1,"Ligne en double (même jour, équipe et poste)",IF(OR(NOT(ISNUMBER(K150)),N(K150)&lt;=0,N(K150)&gt;1440),"Temps d'ouverture invalide",IF(OR(AND(G150&lt;&gt;"",NOT(ISNUMBER(G150))),N(G150)&lt;0,N(G150)&lt;&gt;INT(N(G150)),AND(H150&lt;&gt;"",NOT(ISNUMBER(H150))),N(H150)&lt;0,N(H150)&lt;&gt;INT(N(H150)),AND(I150&lt;&gt;"",NOT(ISNUMBER(I150))),N(I150)&lt;0,N(I150)&lt;&gt;INT(N(I150))),"Quantité invalide",IF(Q150&lt;=0,"Cadence manquante (poste ou article)",IF(M150&lt;=0,"Arrêts planifiés supérieurs au temps d'ouverture",IF(O150&lt;0,"Arrêts supérieurs au temps requis",IF(AND(P150&gt;0,O150=0),"Pièces déclarées sans temps de marche",IF(AND(P150=0,O150&gt;0),"Aucune pièce déclarée",IF(P150*60/Q150&gt;O150+0.001,"Cadence dépassée : vérifiez la cadence","OK"))))))))))))))))))</f>
        <v>OK</v>
      </c>
      <c r="AC150">
        <f>IF(OR(AB150="OK",AB150="Aucune pièce déclarée",AB150="Cadence dépassée : vérifiez la cadence"),1,0)</f>
        <v>1.0</v>
      </c>
      <c r="AD150">
        <f>IF(AND(AC150=1,A150&gt;=p_from,A150&lt;=p_to),1,0)</f>
        <v>1.0</v>
      </c>
      <c r="AE150">
        <f>IF(AD150=1,IF(COUNTIFS($A$6:A150,A150,$AD$6:AD150,1)=1,1,0),0)</f>
        <v>0.0</v>
      </c>
      <c r="AF150" t="str">
        <f>IF(AE150=1,COUNTIFS(sj_first,1,sj_date,"&lt;"&amp;A150)+1,"")</f>
        <v/>
      </c>
      <c r="AG150" t="str">
        <f>IF(AND(AD150=1,N(W150)&lt;p_alert),ROUND(W150,4),"")</f>
        <v/>
      </c>
      <c r="AH150" t="str">
        <f>IF(AG150="","",COUNTIF(sj_akey,"&lt;"&amp;AG150)+COUNTIF($AG$6:AG150,AG150))</f>
        <v/>
      </c>
    </row>
    <row r="151">
      <c r="A151" s="51" t="n">
        <v>46304</v>
      </c>
      <c r="B151" s="52" t="inlineStr">
        <is>
          <t>Après-midi</t>
        </is>
      </c>
      <c r="C151" s="52" t="inlineStr">
        <is>
          <t>USIN</t>
        </is>
      </c>
      <c r="D151" s="53" t="inlineStr">
        <is>
          <t>OF-2610-139</t>
        </is>
      </c>
      <c r="E151" s="53" t="inlineStr">
        <is>
          <t>FLA-PL-150</t>
        </is>
      </c>
      <c r="F151" s="54" t="n"/>
      <c r="G151" s="54" t="n">
        <v>68</v>
      </c>
      <c r="H151" s="54" t="n">
        <v>1</v>
      </c>
      <c r="I151" s="54" t="n">
        <v>0</v>
      </c>
      <c r="J151" s="53" t="n"/>
      <c r="K151" s="55">
        <f>IF(COUNTA(A151:I151)=0,"",IF(F151="",IFERROR(INDEX(eq_dur,MATCH(B151,eq_code,0)),""),F151))</f>
        <v>480.0</v>
      </c>
      <c r="L151" s="55">
        <f>IF(ISNUMBER(K151),N(IFERROR(INDEX(eq_pause,MATCH(B151,eq_code,0)),0))+SUMIFS(st_min,st_date,A151,st_eq,B151,st_po,C151,st_type,"Planifié"),"")</f>
        <v>30.0</v>
      </c>
      <c r="M151" s="55">
        <f>IF(ISNUMBER(K151),K151-L151,"")</f>
        <v>450.0</v>
      </c>
      <c r="N151" s="55">
        <f>IF(ISNUMBER(K151),SUMIFS(st_min,st_date,A151,st_eq,B151,st_po,C151,st_type,"Non planifié"),"")</f>
        <v>59.0</v>
      </c>
      <c r="O151" s="55">
        <f>IF(ISNUMBER(K151),M151-N151,"")</f>
        <v>391.0</v>
      </c>
      <c r="P151" s="55">
        <f>IF(COUNTA(A151:I151)=0,"",N(G151)+N(H151)+N(I151))</f>
        <v>69.0</v>
      </c>
      <c r="Q151" s="56">
        <f>IF(COUNTA(A151:I151)=0,"",IF(N(IFERROR(INDEX(art_rate,MATCH(E151,art_ref,0)),0))&gt;0,N(IFERROR(INDEX(art_rate,MATCH(E151,art_ref,0)),0)),N(IFERROR(INDEX(po_rate,MATCH(C151,po_code,0)),0))))</f>
        <v>12.0</v>
      </c>
      <c r="R151" s="55">
        <f>IF(AC151=1,P151*60/Q151,"")</f>
        <v>345.0</v>
      </c>
      <c r="S151" s="55">
        <f>IF(AC151=1,N(G151)*60/Q151,"")</f>
        <v>340.0</v>
      </c>
      <c r="T151" s="57">
        <f>IF(AC151=1,O151/M151,"")</f>
        <v>0.868888888888889</v>
      </c>
      <c r="U151" s="57">
        <f>IF(AC151=1,IF(O151&gt;0,R151/O151,""),"")</f>
        <v>0.882352941176471</v>
      </c>
      <c r="V151" s="57">
        <f>IF(AC151=1,IF(P151&gt;0,N(G151)/P151,""),"")</f>
        <v>0.985507246376812</v>
      </c>
      <c r="W151" s="57">
        <f>IF(AC151=1,S151/M151,"")</f>
        <v>0.755555555555556</v>
      </c>
      <c r="X151" s="57">
        <f>IF(AC151=1,S151/K151,"")</f>
        <v>0.708333333333333</v>
      </c>
      <c r="Y151" s="58" t="str">
        <f>IF(W151="","",IF(W151&gt;=p_target,"Bon",IF(W151&gt;=p_alert,"À surveiller","Faible")))</f>
        <v>Bon</v>
      </c>
      <c r="Z151" s="58" t="str">
        <f>IF(W151="","",IF(MIN(IF(T151="",1,T151),IF(U151="",1,U151),IF(V151="",1,V151))&gt;=1,"Aucune",IF(IF(T151="",1,T151)&lt;=MIN(IF(U151="",1,U151),IF(V151="",1,V151)),"Disponibilité",IF(IF(U151="",1,U151)&lt;=IF(V151="",1,V151),"Performance","Qualité"))))</f>
        <v>Disponibilité</v>
      </c>
      <c r="AA151" s="59">
        <f>IF(AC151=1,N(H151)*N(IFERROR(INDEX(art_cost,MATCH(E151,art_ref,0)),0)),"")</f>
        <v>145.0</v>
      </c>
      <c r="AB151" s="58" t="str">
        <f>IF(COUNTA(A151:I151)=0,"",IF(N(A151)&lt;=0,"Date manquante ou invalide",IF(B151="","Équipe manquante",IF(ISNA(MATCH(B151,eq_code,0)),"Équipe inconnue",IF(INDEX(eq_check,MATCH(B151,eq_code,0))&lt;&gt;"OK","Équipe à corriger dans Paramètres",IF(C151="","Poste manquant",IF(ISNA(MATCH(C151,po_code,0)),"Poste inconnu",IF(AND(E151&lt;&gt;"",ISNA(MATCH(E151,art_ref,0))),"Article inconnu",IF(IF(E151="",FALSE,INDEX(art_check,MATCH(E151,art_ref,0))&lt;&gt;"OK"),"Article à corriger (feuille Articles)",IF(COUNTIFS(sj_date,A151,sj_eq,B151,sj_po,C151)&gt;1,"Ligne en double (même jour, équipe et poste)",IF(OR(NOT(ISNUMBER(K151)),N(K151)&lt;=0,N(K151)&gt;1440),"Temps d'ouverture invalide",IF(OR(AND(G151&lt;&gt;"",NOT(ISNUMBER(G151))),N(G151)&lt;0,N(G151)&lt;&gt;INT(N(G151)),AND(H151&lt;&gt;"",NOT(ISNUMBER(H151))),N(H151)&lt;0,N(H151)&lt;&gt;INT(N(H151)),AND(I151&lt;&gt;"",NOT(ISNUMBER(I151))),N(I151)&lt;0,N(I151)&lt;&gt;INT(N(I151))),"Quantité invalide",IF(Q151&lt;=0,"Cadence manquante (poste ou article)",IF(M151&lt;=0,"Arrêts planifiés supérieurs au temps d'ouverture",IF(O151&lt;0,"Arrêts supérieurs au temps requis",IF(AND(P151&gt;0,O151=0),"Pièces déclarées sans temps de marche",IF(AND(P151=0,O151&gt;0),"Aucune pièce déclarée",IF(P151*60/Q151&gt;O151+0.001,"Cadence dépassée : vérifiez la cadence","OK"))))))))))))))))))</f>
        <v>OK</v>
      </c>
      <c r="AC151">
        <f>IF(OR(AB151="OK",AB151="Aucune pièce déclarée",AB151="Cadence dépassée : vérifiez la cadence"),1,0)</f>
        <v>1.0</v>
      </c>
      <c r="AD151">
        <f>IF(AND(AC151=1,A151&gt;=p_from,A151&lt;=p_to),1,0)</f>
        <v>1.0</v>
      </c>
      <c r="AE151">
        <f>IF(AD151=1,IF(COUNTIFS($A$6:A151,A151,$AD$6:AD151,1)=1,1,0),0)</f>
        <v>0.0</v>
      </c>
      <c r="AF151" t="str">
        <f>IF(AE151=1,COUNTIFS(sj_first,1,sj_date,"&lt;"&amp;A151)+1,"")</f>
        <v/>
      </c>
      <c r="AG151" t="str">
        <f>IF(AND(AD151=1,N(W151)&lt;p_alert),ROUND(W151,4),"")</f>
        <v/>
      </c>
      <c r="AH151" t="str">
        <f>IF(AG151="","",COUNTIF(sj_akey,"&lt;"&amp;AG151)+COUNTIF($AG$6:AG151,AG151))</f>
        <v/>
      </c>
    </row>
    <row r="152">
      <c r="A152" s="51" t="n">
        <v>46304</v>
      </c>
      <c r="B152" s="52" t="inlineStr">
        <is>
          <t>Matin</t>
        </is>
      </c>
      <c r="C152" s="52" t="inlineStr">
        <is>
          <t>PRESSE</t>
        </is>
      </c>
      <c r="D152" s="53" t="inlineStr">
        <is>
          <t>OF-2610-155</t>
        </is>
      </c>
      <c r="E152" s="53" t="inlineStr">
        <is>
          <t>RON-M10</t>
        </is>
      </c>
      <c r="F152" s="54" t="n"/>
      <c r="G152" s="54" t="n">
        <v>3145</v>
      </c>
      <c r="H152" s="54" t="n">
        <v>48</v>
      </c>
      <c r="I152" s="54" t="n">
        <v>29</v>
      </c>
      <c r="J152" s="53" t="n"/>
      <c r="K152" s="55">
        <f>IF(COUNTA(A152:I152)=0,"",IF(F152="",IFERROR(INDEX(eq_dur,MATCH(B152,eq_code,0)),""),F152))</f>
        <v>480.0</v>
      </c>
      <c r="L152" s="55">
        <f>IF(ISNUMBER(K152),N(IFERROR(INDEX(eq_pause,MATCH(B152,eq_code,0)),0))+SUMIFS(st_min,st_date,A152,st_eq,B152,st_po,C152,st_type,"Planifié"),"")</f>
        <v>30.0</v>
      </c>
      <c r="M152" s="55">
        <f>IF(ISNUMBER(K152),K152-L152,"")</f>
        <v>450.0</v>
      </c>
      <c r="N152" s="55">
        <f>IF(ISNUMBER(K152),SUMIFS(st_min,st_date,A152,st_eq,B152,st_po,C152,st_type,"Non planifié"),"")</f>
        <v>102.0</v>
      </c>
      <c r="O152" s="55">
        <f>IF(ISNUMBER(K152),M152-N152,"")</f>
        <v>348.0</v>
      </c>
      <c r="P152" s="55">
        <f>IF(COUNTA(A152:I152)=0,"",N(G152)+N(H152)+N(I152))</f>
        <v>3222.0</v>
      </c>
      <c r="Q152" s="56">
        <f>IF(COUNTA(A152:I152)=0,"",IF(N(IFERROR(INDEX(art_rate,MATCH(E152,art_ref,0)),0))&gt;0,N(IFERROR(INDEX(art_rate,MATCH(E152,art_ref,0)),0)),N(IFERROR(INDEX(po_rate,MATCH(C152,po_code,0)),0))))</f>
        <v>600.0</v>
      </c>
      <c r="R152" s="55">
        <f>IF(AC152=1,P152*60/Q152,"")</f>
        <v>322.2</v>
      </c>
      <c r="S152" s="55">
        <f>IF(AC152=1,N(G152)*60/Q152,"")</f>
        <v>314.5</v>
      </c>
      <c r="T152" s="57">
        <f>IF(AC152=1,O152/M152,"")</f>
        <v>0.773333333333333</v>
      </c>
      <c r="U152" s="57">
        <f>IF(AC152=1,IF(O152&gt;0,R152/O152,""),"")</f>
        <v>0.925862068965517</v>
      </c>
      <c r="V152" s="57">
        <f>IF(AC152=1,IF(P152&gt;0,N(G152)/P152,""),"")</f>
        <v>0.976101800124147</v>
      </c>
      <c r="W152" s="57">
        <f>IF(AC152=1,S152/M152,"")</f>
        <v>0.698888888888889</v>
      </c>
      <c r="X152" s="57">
        <f>IF(AC152=1,S152/K152,"")</f>
        <v>0.655208333333333</v>
      </c>
      <c r="Y152" s="58" t="str">
        <f>IF(W152="","",IF(W152&gt;=p_target,"Bon",IF(W152&gt;=p_alert,"À surveiller","Faible")))</f>
        <v>À surveiller</v>
      </c>
      <c r="Z152" s="58" t="str">
        <f>IF(W152="","",IF(MIN(IF(T152="",1,T152),IF(U152="",1,U152),IF(V152="",1,V152))&gt;=1,"Aucune",IF(IF(T152="",1,T152)&lt;=MIN(IF(U152="",1,U152),IF(V152="",1,V152)),"Disponibilité",IF(IF(U152="",1,U152)&lt;=IF(V152="",1,V152),"Performance","Qualité"))))</f>
        <v>Disponibilité</v>
      </c>
      <c r="AA152" s="59">
        <f>IF(AC152=1,N(H152)*N(IFERROR(INDEX(art_cost,MATCH(E152,art_ref,0)),0)),"")</f>
        <v>43.2</v>
      </c>
      <c r="AB152" s="58" t="str">
        <f>IF(COUNTA(A152:I152)=0,"",IF(N(A152)&lt;=0,"Date manquante ou invalide",IF(B152="","Équipe manquante",IF(ISNA(MATCH(B152,eq_code,0)),"Équipe inconnue",IF(INDEX(eq_check,MATCH(B152,eq_code,0))&lt;&gt;"OK","Équipe à corriger dans Paramètres",IF(C152="","Poste manquant",IF(ISNA(MATCH(C152,po_code,0)),"Poste inconnu",IF(AND(E152&lt;&gt;"",ISNA(MATCH(E152,art_ref,0))),"Article inconnu",IF(IF(E152="",FALSE,INDEX(art_check,MATCH(E152,art_ref,0))&lt;&gt;"OK"),"Article à corriger (feuille Articles)",IF(COUNTIFS(sj_date,A152,sj_eq,B152,sj_po,C152)&gt;1,"Ligne en double (même jour, équipe et poste)",IF(OR(NOT(ISNUMBER(K152)),N(K152)&lt;=0,N(K152)&gt;1440),"Temps d'ouverture invalide",IF(OR(AND(G152&lt;&gt;"",NOT(ISNUMBER(G152))),N(G152)&lt;0,N(G152)&lt;&gt;INT(N(G152)),AND(H152&lt;&gt;"",NOT(ISNUMBER(H152))),N(H152)&lt;0,N(H152)&lt;&gt;INT(N(H152)),AND(I152&lt;&gt;"",NOT(ISNUMBER(I152))),N(I152)&lt;0,N(I152)&lt;&gt;INT(N(I152))),"Quantité invalide",IF(Q152&lt;=0,"Cadence manquante (poste ou article)",IF(M152&lt;=0,"Arrêts planifiés supérieurs au temps d'ouverture",IF(O152&lt;0,"Arrêts supérieurs au temps requis",IF(AND(P152&gt;0,O152=0),"Pièces déclarées sans temps de marche",IF(AND(P152=0,O152&gt;0),"Aucune pièce déclarée",IF(P152*60/Q152&gt;O152+0.001,"Cadence dépassée : vérifiez la cadence","OK"))))))))))))))))))</f>
        <v>OK</v>
      </c>
      <c r="AC152">
        <f>IF(OR(AB152="OK",AB152="Aucune pièce déclarée",AB152="Cadence dépassée : vérifiez la cadence"),1,0)</f>
        <v>1.0</v>
      </c>
      <c r="AD152">
        <f>IF(AND(AC152=1,A152&gt;=p_from,A152&lt;=p_to),1,0)</f>
        <v>1.0</v>
      </c>
      <c r="AE152">
        <f>IF(AD152=1,IF(COUNTIFS($A$6:A152,A152,$AD$6:AD152,1)=1,1,0),0)</f>
        <v>0.0</v>
      </c>
      <c r="AF152" t="str">
        <f>IF(AE152=1,COUNTIFS(sj_first,1,sj_date,"&lt;"&amp;A152)+1,"")</f>
        <v/>
      </c>
      <c r="AG152" t="str">
        <f>IF(AND(AD152=1,N(W152)&lt;p_alert),ROUND(W152,4),"")</f>
        <v/>
      </c>
      <c r="AH152" t="str">
        <f>IF(AG152="","",COUNTIF(sj_akey,"&lt;"&amp;AG152)+COUNTIF($AG$6:AG152,AG152))</f>
        <v/>
      </c>
    </row>
    <row r="153">
      <c r="A153" s="51" t="n">
        <v>46304</v>
      </c>
      <c r="B153" s="52" t="inlineStr">
        <is>
          <t>Journée</t>
        </is>
      </c>
      <c r="C153" s="52" t="inlineStr">
        <is>
          <t>PLIE</t>
        </is>
      </c>
      <c r="D153" s="53" t="inlineStr">
        <is>
          <t>OF-2610-150</t>
        </is>
      </c>
      <c r="E153" s="53" t="inlineStr">
        <is>
          <t>GAR-SUP-02</t>
        </is>
      </c>
      <c r="F153" s="54" t="n"/>
      <c r="G153" s="54" t="n">
        <v>787</v>
      </c>
      <c r="H153" s="54" t="n">
        <v>14</v>
      </c>
      <c r="I153" s="54" t="n">
        <v>4</v>
      </c>
      <c r="J153" s="53" t="n"/>
      <c r="K153" s="55">
        <f>IF(COUNTA(A153:I153)=0,"",IF(F153="",IFERROR(INDEX(eq_dur,MATCH(B153,eq_code,0)),""),F153))</f>
        <v>540.0</v>
      </c>
      <c r="L153" s="55">
        <f>IF(ISNUMBER(K153),N(IFERROR(INDEX(eq_pause,MATCH(B153,eq_code,0)),0))+SUMIFS(st_min,st_date,A153,st_eq,B153,st_po,C153,st_type,"Planifié"),"")</f>
        <v>60.0</v>
      </c>
      <c r="M153" s="55">
        <f>IF(ISNUMBER(K153),K153-L153,"")</f>
        <v>480.0</v>
      </c>
      <c r="N153" s="55">
        <f>IF(ISNUMBER(K153),SUMIFS(st_min,st_date,A153,st_eq,B153,st_po,C153,st_type,"Non planifié"),"")</f>
        <v>0.0</v>
      </c>
      <c r="O153" s="55">
        <f>IF(ISNUMBER(K153),M153-N153,"")</f>
        <v>480.0</v>
      </c>
      <c r="P153" s="55">
        <f>IF(COUNTA(A153:I153)=0,"",N(G153)+N(H153)+N(I153))</f>
        <v>805.0</v>
      </c>
      <c r="Q153" s="56">
        <f>IF(COUNTA(A153:I153)=0,"",IF(N(IFERROR(INDEX(art_rate,MATCH(E153,art_ref,0)),0))&gt;0,N(IFERROR(INDEX(art_rate,MATCH(E153,art_ref,0)),0)),N(IFERROR(INDEX(po_rate,MATCH(C153,po_code,0)),0))))</f>
        <v>110.0</v>
      </c>
      <c r="R153" s="55">
        <f>IF(AC153=1,P153*60/Q153,"")</f>
        <v>439.090909090909</v>
      </c>
      <c r="S153" s="55">
        <f>IF(AC153=1,N(G153)*60/Q153,"")</f>
        <v>429.272727272727</v>
      </c>
      <c r="T153" s="57">
        <f>IF(AC153=1,O153/M153,"")</f>
        <v>1.0</v>
      </c>
      <c r="U153" s="57">
        <f>IF(AC153=1,IF(O153&gt;0,R153/O153,""),"")</f>
        <v>0.914772727272727</v>
      </c>
      <c r="V153" s="57">
        <f>IF(AC153=1,IF(P153&gt;0,N(G153)/P153,""),"")</f>
        <v>0.977639751552795</v>
      </c>
      <c r="W153" s="57">
        <f>IF(AC153=1,S153/M153,"")</f>
        <v>0.894318181818182</v>
      </c>
      <c r="X153" s="57">
        <f>IF(AC153=1,S153/K153,"")</f>
        <v>0.794949494949495</v>
      </c>
      <c r="Y153" s="58" t="str">
        <f>IF(W153="","",IF(W153&gt;=p_target,"Bon",IF(W153&gt;=p_alert,"À surveiller","Faible")))</f>
        <v>Bon</v>
      </c>
      <c r="Z153" s="58" t="str">
        <f>IF(W153="","",IF(MIN(IF(T153="",1,T153),IF(U153="",1,U153),IF(V153="",1,V153))&gt;=1,"Aucune",IF(IF(T153="",1,T153)&lt;=MIN(IF(U153="",1,U153),IF(V153="",1,V153)),"Disponibilité",IF(IF(U153="",1,U153)&lt;=IF(V153="",1,V153),"Performance","Qualité"))))</f>
        <v>Performance</v>
      </c>
      <c r="AA153" s="59">
        <f>IF(AC153=1,N(H153)*N(IFERROR(INDEX(art_cost,MATCH(E153,art_ref,0)),0)),"")</f>
        <v>301.0</v>
      </c>
      <c r="AB153" s="58" t="str">
        <f>IF(COUNTA(A153:I153)=0,"",IF(N(A153)&lt;=0,"Date manquante ou invalide",IF(B153="","Équipe manquante",IF(ISNA(MATCH(B153,eq_code,0)),"Équipe inconnue",IF(INDEX(eq_check,MATCH(B153,eq_code,0))&lt;&gt;"OK","Équipe à corriger dans Paramètres",IF(C153="","Poste manquant",IF(ISNA(MATCH(C153,po_code,0)),"Poste inconnu",IF(AND(E153&lt;&gt;"",ISNA(MATCH(E153,art_ref,0))),"Article inconnu",IF(IF(E153="",FALSE,INDEX(art_check,MATCH(E153,art_ref,0))&lt;&gt;"OK"),"Article à corriger (feuille Articles)",IF(COUNTIFS(sj_date,A153,sj_eq,B153,sj_po,C153)&gt;1,"Ligne en double (même jour, équipe et poste)",IF(OR(NOT(ISNUMBER(K153)),N(K153)&lt;=0,N(K153)&gt;1440),"Temps d'ouverture invalide",IF(OR(AND(G153&lt;&gt;"",NOT(ISNUMBER(G153))),N(G153)&lt;0,N(G153)&lt;&gt;INT(N(G153)),AND(H153&lt;&gt;"",NOT(ISNUMBER(H153))),N(H153)&lt;0,N(H153)&lt;&gt;INT(N(H153)),AND(I153&lt;&gt;"",NOT(ISNUMBER(I153))),N(I153)&lt;0,N(I153)&lt;&gt;INT(N(I153))),"Quantité invalide",IF(Q153&lt;=0,"Cadence manquante (poste ou article)",IF(M153&lt;=0,"Arrêts planifiés supérieurs au temps d'ouverture",IF(O153&lt;0,"Arrêts supérieurs au temps requis",IF(AND(P153&gt;0,O153=0),"Pièces déclarées sans temps de marche",IF(AND(P153=0,O153&gt;0),"Aucune pièce déclarée",IF(P153*60/Q153&gt;O153+0.001,"Cadence dépassée : vérifiez la cadence","OK"))))))))))))))))))</f>
        <v>OK</v>
      </c>
      <c r="AC153">
        <f>IF(OR(AB153="OK",AB153="Aucune pièce déclarée",AB153="Cadence dépassée : vérifiez la cadence"),1,0)</f>
        <v>1.0</v>
      </c>
      <c r="AD153">
        <f>IF(AND(AC153=1,A153&gt;=p_from,A153&lt;=p_to),1,0)</f>
        <v>1.0</v>
      </c>
      <c r="AE153">
        <f>IF(AD153=1,IF(COUNTIFS($A$6:A153,A153,$AD$6:AD153,1)=1,1,0),0)</f>
        <v>0.0</v>
      </c>
      <c r="AF153" t="str">
        <f>IF(AE153=1,COUNTIFS(sj_first,1,sj_date,"&lt;"&amp;A153)+1,"")</f>
        <v/>
      </c>
      <c r="AG153" t="str">
        <f>IF(AND(AD153=1,N(W153)&lt;p_alert),ROUND(W153,4),"")</f>
        <v/>
      </c>
      <c r="AH153" t="str">
        <f>IF(AG153="","",COUNTIF(sj_akey,"&lt;"&amp;AG153)+COUNTIF($AG$6:AG153,AG153))</f>
        <v/>
      </c>
    </row>
    <row r="154">
      <c r="A154" s="51" t="n">
        <v>46304</v>
      </c>
      <c r="B154" s="52" t="inlineStr">
        <is>
          <t>Matin</t>
        </is>
      </c>
      <c r="C154" s="52" t="inlineStr">
        <is>
          <t>SOUD</t>
        </is>
      </c>
      <c r="D154" s="53" t="inlineStr">
        <is>
          <t>OF-2610-153</t>
        </is>
      </c>
      <c r="E154" s="53" t="inlineStr">
        <is>
          <t>BRA-SUS-02</t>
        </is>
      </c>
      <c r="F154" s="54" t="n"/>
      <c r="G154" s="54" t="n">
        <v>100</v>
      </c>
      <c r="H154" s="54" t="n">
        <v>2</v>
      </c>
      <c r="I154" s="54" t="n">
        <v>1</v>
      </c>
      <c r="J154" s="53" t="n"/>
      <c r="K154" s="55">
        <f>IF(COUNTA(A154:I154)=0,"",IF(F154="",IFERROR(INDEX(eq_dur,MATCH(B154,eq_code,0)),""),F154))</f>
        <v>480.0</v>
      </c>
      <c r="L154" s="55">
        <f>IF(ISNUMBER(K154),N(IFERROR(INDEX(eq_pause,MATCH(B154,eq_code,0)),0))+SUMIFS(st_min,st_date,A154,st_eq,B154,st_po,C154,st_type,"Planifié"),"")</f>
        <v>30.0</v>
      </c>
      <c r="M154" s="55">
        <f>IF(ISNUMBER(K154),K154-L154,"")</f>
        <v>450.0</v>
      </c>
      <c r="N154" s="55">
        <f>IF(ISNUMBER(K154),SUMIFS(st_min,st_date,A154,st_eq,B154,st_po,C154,st_type,"Non planifié"),"")</f>
        <v>58.0</v>
      </c>
      <c r="O154" s="55">
        <f>IF(ISNUMBER(K154),M154-N154,"")</f>
        <v>392.0</v>
      </c>
      <c r="P154" s="55">
        <f>IF(COUNTA(A154:I154)=0,"",N(G154)+N(H154)+N(I154))</f>
        <v>103.0</v>
      </c>
      <c r="Q154" s="56">
        <f>IF(COUNTA(A154:I154)=0,"",IF(N(IFERROR(INDEX(art_rate,MATCH(E154,art_ref,0)),0))&gt;0,N(IFERROR(INDEX(art_rate,MATCH(E154,art_ref,0)),0)),N(IFERROR(INDEX(po_rate,MATCH(C154,po_code,0)),0))))</f>
        <v>20.0</v>
      </c>
      <c r="R154" s="55">
        <f>IF(AC154=1,P154*60/Q154,"")</f>
        <v>309.0</v>
      </c>
      <c r="S154" s="55">
        <f>IF(AC154=1,N(G154)*60/Q154,"")</f>
        <v>300.0</v>
      </c>
      <c r="T154" s="57">
        <f>IF(AC154=1,O154/M154,"")</f>
        <v>0.871111111111111</v>
      </c>
      <c r="U154" s="57">
        <f>IF(AC154=1,IF(O154&gt;0,R154/O154,""),"")</f>
        <v>0.788265306122449</v>
      </c>
      <c r="V154" s="57">
        <f>IF(AC154=1,IF(P154&gt;0,N(G154)/P154,""),"")</f>
        <v>0.970873786407767</v>
      </c>
      <c r="W154" s="57">
        <f>IF(AC154=1,S154/M154,"")</f>
        <v>0.666666666666667</v>
      </c>
      <c r="X154" s="57">
        <f>IF(AC154=1,S154/K154,"")</f>
        <v>0.625</v>
      </c>
      <c r="Y154" s="58" t="str">
        <f>IF(W154="","",IF(W154&gt;=p_target,"Bon",IF(W154&gt;=p_alert,"À surveiller","Faible")))</f>
        <v>À surveiller</v>
      </c>
      <c r="Z154" s="58" t="str">
        <f>IF(W154="","",IF(MIN(IF(T154="",1,T154),IF(U154="",1,U154),IF(V154="",1,V154))&gt;=1,"Aucune",IF(IF(T154="",1,T154)&lt;=MIN(IF(U154="",1,U154),IF(V154="",1,V154)),"Disponibilité",IF(IF(U154="",1,U154)&lt;=IF(V154="",1,V154),"Performance","Qualité"))))</f>
        <v>Performance</v>
      </c>
      <c r="AA154" s="59">
        <f>IF(AC154=1,N(H154)*N(IFERROR(INDEX(art_cost,MATCH(E154,art_ref,0)),0)),"")</f>
        <v>476.0</v>
      </c>
      <c r="AB154" s="58" t="str">
        <f>IF(COUNTA(A154:I154)=0,"",IF(N(A154)&lt;=0,"Date manquante ou invalide",IF(B154="","Équipe manquante",IF(ISNA(MATCH(B154,eq_code,0)),"Équipe inconnue",IF(INDEX(eq_check,MATCH(B154,eq_code,0))&lt;&gt;"OK","Équipe à corriger dans Paramètres",IF(C154="","Poste manquant",IF(ISNA(MATCH(C154,po_code,0)),"Poste inconnu",IF(AND(E154&lt;&gt;"",ISNA(MATCH(E154,art_ref,0))),"Article inconnu",IF(IF(E154="",FALSE,INDEX(art_check,MATCH(E154,art_ref,0))&lt;&gt;"OK"),"Article à corriger (feuille Articles)",IF(COUNTIFS(sj_date,A154,sj_eq,B154,sj_po,C154)&gt;1,"Ligne en double (même jour, équipe et poste)",IF(OR(NOT(ISNUMBER(K154)),N(K154)&lt;=0,N(K154)&gt;1440),"Temps d'ouverture invalide",IF(OR(AND(G154&lt;&gt;"",NOT(ISNUMBER(G154))),N(G154)&lt;0,N(G154)&lt;&gt;INT(N(G154)),AND(H154&lt;&gt;"",NOT(ISNUMBER(H154))),N(H154)&lt;0,N(H154)&lt;&gt;INT(N(H154)),AND(I154&lt;&gt;"",NOT(ISNUMBER(I154))),N(I154)&lt;0,N(I154)&lt;&gt;INT(N(I154))),"Quantité invalide",IF(Q154&lt;=0,"Cadence manquante (poste ou article)",IF(M154&lt;=0,"Arrêts planifiés supérieurs au temps d'ouverture",IF(O154&lt;0,"Arrêts supérieurs au temps requis",IF(AND(P154&gt;0,O154=0),"Pièces déclarées sans temps de marche",IF(AND(P154=0,O154&gt;0),"Aucune pièce déclarée",IF(P154*60/Q154&gt;O154+0.001,"Cadence dépassée : vérifiez la cadence","OK"))))))))))))))))))</f>
        <v>OK</v>
      </c>
      <c r="AC154">
        <f>IF(OR(AB154="OK",AB154="Aucune pièce déclarée",AB154="Cadence dépassée : vérifiez la cadence"),1,0)</f>
        <v>1.0</v>
      </c>
      <c r="AD154">
        <f>IF(AND(AC154=1,A154&gt;=p_from,A154&lt;=p_to),1,0)</f>
        <v>1.0</v>
      </c>
      <c r="AE154">
        <f>IF(AD154=1,IF(COUNTIFS($A$6:A154,A154,$AD$6:AD154,1)=1,1,0),0)</f>
        <v>0.0</v>
      </c>
      <c r="AF154" t="str">
        <f>IF(AE154=1,COUNTIFS(sj_first,1,sj_date,"&lt;"&amp;A154)+1,"")</f>
        <v/>
      </c>
      <c r="AG154" t="str">
        <f>IF(AND(AD154=1,N(W154)&lt;p_alert),ROUND(W154,4),"")</f>
        <v/>
      </c>
      <c r="AH154" t="str">
        <f>IF(AG154="","",COUNTIF(sj_akey,"&lt;"&amp;AG154)+COUNTIF($AG$6:AG154,AG154))</f>
        <v/>
      </c>
    </row>
    <row r="155">
      <c r="A155" s="51" t="n">
        <v>46304</v>
      </c>
      <c r="B155" s="52" t="inlineStr">
        <is>
          <t>Après-midi</t>
        </is>
      </c>
      <c r="C155" s="52" t="inlineStr">
        <is>
          <t>SOUD</t>
        </is>
      </c>
      <c r="D155" s="53" t="inlineStr">
        <is>
          <t>OF-2610-151</t>
        </is>
      </c>
      <c r="E155" s="53" t="inlineStr">
        <is>
          <t>CHA-REM-01</t>
        </is>
      </c>
      <c r="F155" s="54" t="n"/>
      <c r="G155" s="54" t="n">
        <v>21</v>
      </c>
      <c r="H155" s="54" t="n">
        <v>0</v>
      </c>
      <c r="I155" s="54" t="n">
        <v>0</v>
      </c>
      <c r="J155" s="53" t="n"/>
      <c r="K155" s="55">
        <f>IF(COUNTA(A155:I155)=0,"",IF(F155="",IFERROR(INDEX(eq_dur,MATCH(B155,eq_code,0)),""),F155))</f>
        <v>480.0</v>
      </c>
      <c r="L155" s="55">
        <f>IF(ISNUMBER(K155),N(IFERROR(INDEX(eq_pause,MATCH(B155,eq_code,0)),0))+SUMIFS(st_min,st_date,A155,st_eq,B155,st_po,C155,st_type,"Planifié"),"")</f>
        <v>30.0</v>
      </c>
      <c r="M155" s="55">
        <f>IF(ISNUMBER(K155),K155-L155,"")</f>
        <v>450.0</v>
      </c>
      <c r="N155" s="55">
        <f>IF(ISNUMBER(K155),SUMIFS(st_min,st_date,A155,st_eq,B155,st_po,C155,st_type,"Non planifié"),"")</f>
        <v>71.0</v>
      </c>
      <c r="O155" s="55">
        <f>IF(ISNUMBER(K155),M155-N155,"")</f>
        <v>379.0</v>
      </c>
      <c r="P155" s="55">
        <f>IF(COUNTA(A155:I155)=0,"",N(G155)+N(H155)+N(I155))</f>
        <v>21.0</v>
      </c>
      <c r="Q155" s="56">
        <f>IF(COUNTA(A155:I155)=0,"",IF(N(IFERROR(INDEX(art_rate,MATCH(E155,art_ref,0)),0))&gt;0,N(IFERROR(INDEX(art_rate,MATCH(E155,art_ref,0)),0)),N(IFERROR(INDEX(po_rate,MATCH(C155,po_code,0)),0))))</f>
        <v>4.0</v>
      </c>
      <c r="R155" s="55">
        <f>IF(AC155=1,P155*60/Q155,"")</f>
        <v>315.0</v>
      </c>
      <c r="S155" s="55">
        <f>IF(AC155=1,N(G155)*60/Q155,"")</f>
        <v>315.0</v>
      </c>
      <c r="T155" s="57">
        <f>IF(AC155=1,O155/M155,"")</f>
        <v>0.842222222222222</v>
      </c>
      <c r="U155" s="57">
        <f>IF(AC155=1,IF(O155&gt;0,R155/O155,""),"")</f>
        <v>0.831134564643799</v>
      </c>
      <c r="V155" s="57">
        <f>IF(AC155=1,IF(P155&gt;0,N(G155)/P155,""),"")</f>
        <v>1.0</v>
      </c>
      <c r="W155" s="57">
        <f>IF(AC155=1,S155/M155,"")</f>
        <v>0.7</v>
      </c>
      <c r="X155" s="57">
        <f>IF(AC155=1,S155/K155,"")</f>
        <v>0.65625</v>
      </c>
      <c r="Y155" s="58" t="str">
        <f>IF(W155="","",IF(W155&gt;=p_target,"Bon",IF(W155&gt;=p_alert,"À surveiller","Faible")))</f>
        <v>À surveiller</v>
      </c>
      <c r="Z155" s="58" t="str">
        <f>IF(W155="","",IF(MIN(IF(T155="",1,T155),IF(U155="",1,U155),IF(V155="",1,V155))&gt;=1,"Aucune",IF(IF(T155="",1,T155)&lt;=MIN(IF(U155="",1,U155),IF(V155="",1,V155)),"Disponibilité",IF(IF(U155="",1,U155)&lt;=IF(V155="",1,V155),"Performance","Qualité"))))</f>
        <v>Performance</v>
      </c>
      <c r="AA155" s="59">
        <f>IF(AC155=1,N(H155)*N(IFERROR(INDEX(art_cost,MATCH(E155,art_ref,0)),0)),"")</f>
        <v>0.0</v>
      </c>
      <c r="AB155" s="58" t="str">
        <f>IF(COUNTA(A155:I155)=0,"",IF(N(A155)&lt;=0,"Date manquante ou invalide",IF(B155="","Équipe manquante",IF(ISNA(MATCH(B155,eq_code,0)),"Équipe inconnue",IF(INDEX(eq_check,MATCH(B155,eq_code,0))&lt;&gt;"OK","Équipe à corriger dans Paramètres",IF(C155="","Poste manquant",IF(ISNA(MATCH(C155,po_code,0)),"Poste inconnu",IF(AND(E155&lt;&gt;"",ISNA(MATCH(E155,art_ref,0))),"Article inconnu",IF(IF(E155="",FALSE,INDEX(art_check,MATCH(E155,art_ref,0))&lt;&gt;"OK"),"Article à corriger (feuille Articles)",IF(COUNTIFS(sj_date,A155,sj_eq,B155,sj_po,C155)&gt;1,"Ligne en double (même jour, équipe et poste)",IF(OR(NOT(ISNUMBER(K155)),N(K155)&lt;=0,N(K155)&gt;1440),"Temps d'ouverture invalide",IF(OR(AND(G155&lt;&gt;"",NOT(ISNUMBER(G155))),N(G155)&lt;0,N(G155)&lt;&gt;INT(N(G155)),AND(H155&lt;&gt;"",NOT(ISNUMBER(H155))),N(H155)&lt;0,N(H155)&lt;&gt;INT(N(H155)),AND(I155&lt;&gt;"",NOT(ISNUMBER(I155))),N(I155)&lt;0,N(I155)&lt;&gt;INT(N(I155))),"Quantité invalide",IF(Q155&lt;=0,"Cadence manquante (poste ou article)",IF(M155&lt;=0,"Arrêts planifiés supérieurs au temps d'ouverture",IF(O155&lt;0,"Arrêts supérieurs au temps requis",IF(AND(P155&gt;0,O155=0),"Pièces déclarées sans temps de marche",IF(AND(P155=0,O155&gt;0),"Aucune pièce déclarée",IF(P155*60/Q155&gt;O155+0.001,"Cadence dépassée : vérifiez la cadence","OK"))))))))))))))))))</f>
        <v>OK</v>
      </c>
      <c r="AC155">
        <f>IF(OR(AB155="OK",AB155="Aucune pièce déclarée",AB155="Cadence dépassée : vérifiez la cadence"),1,0)</f>
        <v>1.0</v>
      </c>
      <c r="AD155">
        <f>IF(AND(AC155=1,A155&gt;=p_from,A155&lt;=p_to),1,0)</f>
        <v>1.0</v>
      </c>
      <c r="AE155">
        <f>IF(AD155=1,IF(COUNTIFS($A$6:A155,A155,$AD$6:AD155,1)=1,1,0),0)</f>
        <v>0.0</v>
      </c>
      <c r="AF155" t="str">
        <f>IF(AE155=1,COUNTIFS(sj_first,1,sj_date,"&lt;"&amp;A155)+1,"")</f>
        <v/>
      </c>
      <c r="AG155" t="str">
        <f>IF(AND(AD155=1,N(W155)&lt;p_alert),ROUND(W155,4),"")</f>
        <v/>
      </c>
      <c r="AH155" t="str">
        <f>IF(AG155="","",COUNTIF(sj_akey,"&lt;"&amp;AG155)+COUNTIF($AG$6:AG155,AG155))</f>
        <v/>
      </c>
    </row>
    <row r="156">
      <c r="A156" s="51" t="n">
        <v>46307</v>
      </c>
      <c r="B156" s="52" t="inlineStr">
        <is>
          <t>Matin</t>
        </is>
      </c>
      <c r="C156" s="52" t="inlineStr">
        <is>
          <t>TOUR1</t>
        </is>
      </c>
      <c r="D156" s="53" t="inlineStr">
        <is>
          <t>OF-2610-147</t>
        </is>
      </c>
      <c r="E156" s="53" t="inlineStr">
        <is>
          <t>AXE-R20</t>
        </is>
      </c>
      <c r="F156" s="54" t="n"/>
      <c r="G156" s="54" t="n">
        <v>178</v>
      </c>
      <c r="H156" s="54" t="n">
        <v>5</v>
      </c>
      <c r="I156" s="54" t="n">
        <v>1</v>
      </c>
      <c r="J156" s="53" t="n"/>
      <c r="K156" s="55">
        <f>IF(COUNTA(A156:I156)=0,"",IF(F156="",IFERROR(INDEX(eq_dur,MATCH(B156,eq_code,0)),""),F156))</f>
        <v>480.0</v>
      </c>
      <c r="L156" s="55">
        <f>IF(ISNUMBER(K156),N(IFERROR(INDEX(eq_pause,MATCH(B156,eq_code,0)),0))+SUMIFS(st_min,st_date,A156,st_eq,B156,st_po,C156,st_type,"Planifié"),"")</f>
        <v>30.0</v>
      </c>
      <c r="M156" s="55">
        <f>IF(ISNUMBER(K156),K156-L156,"")</f>
        <v>450.0</v>
      </c>
      <c r="N156" s="55">
        <f>IF(ISNUMBER(K156),SUMIFS(st_min,st_date,A156,st_eq,B156,st_po,C156,st_type,"Non planifié"),"")</f>
        <v>46.0</v>
      </c>
      <c r="O156" s="55">
        <f>IF(ISNUMBER(K156),M156-N156,"")</f>
        <v>404.0</v>
      </c>
      <c r="P156" s="55">
        <f>IF(COUNTA(A156:I156)=0,"",N(G156)+N(H156)+N(I156))</f>
        <v>184.0</v>
      </c>
      <c r="Q156" s="56">
        <f>IF(COUNTA(A156:I156)=0,"",IF(N(IFERROR(INDEX(art_rate,MATCH(E156,art_ref,0)),0))&gt;0,N(IFERROR(INDEX(art_rate,MATCH(E156,art_ref,0)),0)),N(IFERROR(INDEX(po_rate,MATCH(C156,po_code,0)),0))))</f>
        <v>30.0</v>
      </c>
      <c r="R156" s="55">
        <f>IF(AC156=1,P156*60/Q156,"")</f>
        <v>368.0</v>
      </c>
      <c r="S156" s="55">
        <f>IF(AC156=1,N(G156)*60/Q156,"")</f>
        <v>356.0</v>
      </c>
      <c r="T156" s="57">
        <f>IF(AC156=1,O156/M156,"")</f>
        <v>0.897777777777778</v>
      </c>
      <c r="U156" s="57">
        <f>IF(AC156=1,IF(O156&gt;0,R156/O156,""),"")</f>
        <v>0.910891089108911</v>
      </c>
      <c r="V156" s="57">
        <f>IF(AC156=1,IF(P156&gt;0,N(G156)/P156,""),"")</f>
        <v>0.967391304347826</v>
      </c>
      <c r="W156" s="57">
        <f>IF(AC156=1,S156/M156,"")</f>
        <v>0.791111111111111</v>
      </c>
      <c r="X156" s="57">
        <f>IF(AC156=1,S156/K156,"")</f>
        <v>0.741666666666667</v>
      </c>
      <c r="Y156" s="58" t="str">
        <f>IF(W156="","",IF(W156&gt;=p_target,"Bon",IF(W156&gt;=p_alert,"À surveiller","Faible")))</f>
        <v>Bon</v>
      </c>
      <c r="Z156" s="58" t="str">
        <f>IF(W156="","",IF(MIN(IF(T156="",1,T156),IF(U156="",1,U156),IF(V156="",1,V156))&gt;=1,"Aucune",IF(IF(T156="",1,T156)&lt;=MIN(IF(U156="",1,U156),IF(V156="",1,V156)),"Disponibilité",IF(IF(U156="",1,U156)&lt;=IF(V156="",1,V156),"Performance","Qualité"))))</f>
        <v>Disponibilité</v>
      </c>
      <c r="AA156" s="59">
        <f>IF(AC156=1,N(H156)*N(IFERROR(INDEX(art_cost,MATCH(E156,art_ref,0)),0)),"")</f>
        <v>192.5</v>
      </c>
      <c r="AB156" s="58" t="str">
        <f>IF(COUNTA(A156:I156)=0,"",IF(N(A156)&lt;=0,"Date manquante ou invalide",IF(B156="","Équipe manquante",IF(ISNA(MATCH(B156,eq_code,0)),"Équipe inconnue",IF(INDEX(eq_check,MATCH(B156,eq_code,0))&lt;&gt;"OK","Équipe à corriger dans Paramètres",IF(C156="","Poste manquant",IF(ISNA(MATCH(C156,po_code,0)),"Poste inconnu",IF(AND(E156&lt;&gt;"",ISNA(MATCH(E156,art_ref,0))),"Article inconnu",IF(IF(E156="",FALSE,INDEX(art_check,MATCH(E156,art_ref,0))&lt;&gt;"OK"),"Article à corriger (feuille Articles)",IF(COUNTIFS(sj_date,A156,sj_eq,B156,sj_po,C156)&gt;1,"Ligne en double (même jour, équipe et poste)",IF(OR(NOT(ISNUMBER(K156)),N(K156)&lt;=0,N(K156)&gt;1440),"Temps d'ouverture invalide",IF(OR(AND(G156&lt;&gt;"",NOT(ISNUMBER(G156))),N(G156)&lt;0,N(G156)&lt;&gt;INT(N(G156)),AND(H156&lt;&gt;"",NOT(ISNUMBER(H156))),N(H156)&lt;0,N(H156)&lt;&gt;INT(N(H156)),AND(I156&lt;&gt;"",NOT(ISNUMBER(I156))),N(I156)&lt;0,N(I156)&lt;&gt;INT(N(I156))),"Quantité invalide",IF(Q156&lt;=0,"Cadence manquante (poste ou article)",IF(M156&lt;=0,"Arrêts planifiés supérieurs au temps d'ouverture",IF(O156&lt;0,"Arrêts supérieurs au temps requis",IF(AND(P156&gt;0,O156=0),"Pièces déclarées sans temps de marche",IF(AND(P156=0,O156&gt;0),"Aucune pièce déclarée",IF(P156*60/Q156&gt;O156+0.001,"Cadence dépassée : vérifiez la cadence","OK"))))))))))))))))))</f>
        <v>OK</v>
      </c>
      <c r="AC156">
        <f>IF(OR(AB156="OK",AB156="Aucune pièce déclarée",AB156="Cadence dépassée : vérifiez la cadence"),1,0)</f>
        <v>1.0</v>
      </c>
      <c r="AD156">
        <f>IF(AND(AC156=1,A156&gt;=p_from,A156&lt;=p_to),1,0)</f>
        <v>1.0</v>
      </c>
      <c r="AE156">
        <f>IF(AD156=1,IF(COUNTIFS($A$6:A156,A156,$AD$6:AD156,1)=1,1,0),0)</f>
        <v>1.0</v>
      </c>
      <c r="AF156">
        <f>IF(AE156=1,COUNTIFS(sj_first,1,sj_date,"&lt;"&amp;A156)+1,"")</f>
        <v>16.0</v>
      </c>
      <c r="AG156" t="str">
        <f>IF(AND(AD156=1,N(W156)&lt;p_alert),ROUND(W156,4),"")</f>
        <v/>
      </c>
      <c r="AH156" t="str">
        <f>IF(AG156="","",COUNTIF(sj_akey,"&lt;"&amp;AG156)+COUNTIF($AG$6:AG156,AG156))</f>
        <v/>
      </c>
    </row>
    <row r="157">
      <c r="A157" s="51" t="n">
        <v>46307</v>
      </c>
      <c r="B157" s="52" t="inlineStr">
        <is>
          <t>Après-midi</t>
        </is>
      </c>
      <c r="C157" s="52" t="inlineStr">
        <is>
          <t>TOUR1</t>
        </is>
      </c>
      <c r="D157" s="53" t="inlineStr">
        <is>
          <t>OF-2610-156</t>
        </is>
      </c>
      <c r="E157" s="53" t="inlineStr">
        <is>
          <t>BAG-BR-32</t>
        </is>
      </c>
      <c r="F157" s="54" t="n"/>
      <c r="G157" s="54" t="n">
        <v>239</v>
      </c>
      <c r="H157" s="54" t="n">
        <v>2</v>
      </c>
      <c r="I157" s="54" t="n">
        <v>0</v>
      </c>
      <c r="J157" s="53" t="n"/>
      <c r="K157" s="55">
        <f>IF(COUNTA(A157:I157)=0,"",IF(F157="",IFERROR(INDEX(eq_dur,MATCH(B157,eq_code,0)),""),F157))</f>
        <v>480.0</v>
      </c>
      <c r="L157" s="55">
        <f>IF(ISNUMBER(K157),N(IFERROR(INDEX(eq_pause,MATCH(B157,eq_code,0)),0))+SUMIFS(st_min,st_date,A157,st_eq,B157,st_po,C157,st_type,"Planifié"),"")</f>
        <v>30.0</v>
      </c>
      <c r="M157" s="55">
        <f>IF(ISNUMBER(K157),K157-L157,"")</f>
        <v>450.0</v>
      </c>
      <c r="N157" s="55">
        <f>IF(ISNUMBER(K157),SUMIFS(st_min,st_date,A157,st_eq,B157,st_po,C157,st_type,"Non planifié"),"")</f>
        <v>49.0</v>
      </c>
      <c r="O157" s="55">
        <f>IF(ISNUMBER(K157),M157-N157,"")</f>
        <v>401.0</v>
      </c>
      <c r="P157" s="55">
        <f>IF(COUNTA(A157:I157)=0,"",N(G157)+N(H157)+N(I157))</f>
        <v>241.0</v>
      </c>
      <c r="Q157" s="56">
        <f>IF(COUNTA(A157:I157)=0,"",IF(N(IFERROR(INDEX(art_rate,MATCH(E157,art_ref,0)),0))&gt;0,N(IFERROR(INDEX(art_rate,MATCH(E157,art_ref,0)),0)),N(IFERROR(INDEX(po_rate,MATCH(C157,po_code,0)),0))))</f>
        <v>40.0</v>
      </c>
      <c r="R157" s="55">
        <f>IF(AC157=1,P157*60/Q157,"")</f>
        <v>361.5</v>
      </c>
      <c r="S157" s="55">
        <f>IF(AC157=1,N(G157)*60/Q157,"")</f>
        <v>358.5</v>
      </c>
      <c r="T157" s="57">
        <f>IF(AC157=1,O157/M157,"")</f>
        <v>0.891111111111111</v>
      </c>
      <c r="U157" s="57">
        <f>IF(AC157=1,IF(O157&gt;0,R157/O157,""),"")</f>
        <v>0.901496259351621</v>
      </c>
      <c r="V157" s="57">
        <f>IF(AC157=1,IF(P157&gt;0,N(G157)/P157,""),"")</f>
        <v>0.991701244813278</v>
      </c>
      <c r="W157" s="57">
        <f>IF(AC157=1,S157/M157,"")</f>
        <v>0.796666666666667</v>
      </c>
      <c r="X157" s="57">
        <f>IF(AC157=1,S157/K157,"")</f>
        <v>0.746875</v>
      </c>
      <c r="Y157" s="58" t="str">
        <f>IF(W157="","",IF(W157&gt;=p_target,"Bon",IF(W157&gt;=p_alert,"À surveiller","Faible")))</f>
        <v>Bon</v>
      </c>
      <c r="Z157" s="58" t="str">
        <f>IF(W157="","",IF(MIN(IF(T157="",1,T157),IF(U157="",1,U157),IF(V157="",1,V157))&gt;=1,"Aucune",IF(IF(T157="",1,T157)&lt;=MIN(IF(U157="",1,U157),IF(V157="",1,V157)),"Disponibilité",IF(IF(U157="",1,U157)&lt;=IF(V157="",1,V157),"Performance","Qualité"))))</f>
        <v>Disponibilité</v>
      </c>
      <c r="AA157" s="59">
        <f>IF(AC157=1,N(H157)*N(IFERROR(INDEX(art_cost,MATCH(E157,art_ref,0)),0)),"")</f>
        <v>104.0</v>
      </c>
      <c r="AB157" s="58" t="str">
        <f>IF(COUNTA(A157:I157)=0,"",IF(N(A157)&lt;=0,"Date manquante ou invalide",IF(B157="","Équipe manquante",IF(ISNA(MATCH(B157,eq_code,0)),"Équipe inconnue",IF(INDEX(eq_check,MATCH(B157,eq_code,0))&lt;&gt;"OK","Équipe à corriger dans Paramètres",IF(C157="","Poste manquant",IF(ISNA(MATCH(C157,po_code,0)),"Poste inconnu",IF(AND(E157&lt;&gt;"",ISNA(MATCH(E157,art_ref,0))),"Article inconnu",IF(IF(E157="",FALSE,INDEX(art_check,MATCH(E157,art_ref,0))&lt;&gt;"OK"),"Article à corriger (feuille Articles)",IF(COUNTIFS(sj_date,A157,sj_eq,B157,sj_po,C157)&gt;1,"Ligne en double (même jour, équipe et poste)",IF(OR(NOT(ISNUMBER(K157)),N(K157)&lt;=0,N(K157)&gt;1440),"Temps d'ouverture invalide",IF(OR(AND(G157&lt;&gt;"",NOT(ISNUMBER(G157))),N(G157)&lt;0,N(G157)&lt;&gt;INT(N(G157)),AND(H157&lt;&gt;"",NOT(ISNUMBER(H157))),N(H157)&lt;0,N(H157)&lt;&gt;INT(N(H157)),AND(I157&lt;&gt;"",NOT(ISNUMBER(I157))),N(I157)&lt;0,N(I157)&lt;&gt;INT(N(I157))),"Quantité invalide",IF(Q157&lt;=0,"Cadence manquante (poste ou article)",IF(M157&lt;=0,"Arrêts planifiés supérieurs au temps d'ouverture",IF(O157&lt;0,"Arrêts supérieurs au temps requis",IF(AND(P157&gt;0,O157=0),"Pièces déclarées sans temps de marche",IF(AND(P157=0,O157&gt;0),"Aucune pièce déclarée",IF(P157*60/Q157&gt;O157+0.001,"Cadence dépassée : vérifiez la cadence","OK"))))))))))))))))))</f>
        <v>OK</v>
      </c>
      <c r="AC157">
        <f>IF(OR(AB157="OK",AB157="Aucune pièce déclarée",AB157="Cadence dépassée : vérifiez la cadence"),1,0)</f>
        <v>1.0</v>
      </c>
      <c r="AD157">
        <f>IF(AND(AC157=1,A157&gt;=p_from,A157&lt;=p_to),1,0)</f>
        <v>1.0</v>
      </c>
      <c r="AE157">
        <f>IF(AD157=1,IF(COUNTIFS($A$6:A157,A157,$AD$6:AD157,1)=1,1,0),0)</f>
        <v>0.0</v>
      </c>
      <c r="AF157" t="str">
        <f>IF(AE157=1,COUNTIFS(sj_first,1,sj_date,"&lt;"&amp;A157)+1,"")</f>
        <v/>
      </c>
      <c r="AG157" t="str">
        <f>IF(AND(AD157=1,N(W157)&lt;p_alert),ROUND(W157,4),"")</f>
        <v/>
      </c>
      <c r="AH157" t="str">
        <f>IF(AG157="","",COUNTIF(sj_akey,"&lt;"&amp;AG157)+COUNTIF($AG$6:AG157,AG157))</f>
        <v/>
      </c>
    </row>
    <row r="158">
      <c r="A158" s="51" t="n">
        <v>46307</v>
      </c>
      <c r="B158" s="52" t="inlineStr">
        <is>
          <t>Matin</t>
        </is>
      </c>
      <c r="C158" s="52" t="inlineStr">
        <is>
          <t>TOUR2</t>
        </is>
      </c>
      <c r="D158" s="53" t="inlineStr">
        <is>
          <t>OF-2610-154</t>
        </is>
      </c>
      <c r="E158" s="53" t="inlineStr">
        <is>
          <t>AXE-R20</t>
        </is>
      </c>
      <c r="F158" s="54" t="n"/>
      <c r="G158" s="54" t="n">
        <v>181</v>
      </c>
      <c r="H158" s="54" t="n">
        <v>4</v>
      </c>
      <c r="I158" s="54" t="n">
        <v>1</v>
      </c>
      <c r="J158" s="53" t="n"/>
      <c r="K158" s="55">
        <f>IF(COUNTA(A158:I158)=0,"",IF(F158="",IFERROR(INDEX(eq_dur,MATCH(B158,eq_code,0)),""),F158))</f>
        <v>480.0</v>
      </c>
      <c r="L158" s="55">
        <f>IF(ISNUMBER(K158),N(IFERROR(INDEX(eq_pause,MATCH(B158,eq_code,0)),0))+SUMIFS(st_min,st_date,A158,st_eq,B158,st_po,C158,st_type,"Planifié"),"")</f>
        <v>30.0</v>
      </c>
      <c r="M158" s="55">
        <f>IF(ISNUMBER(K158),K158-L158,"")</f>
        <v>450.0</v>
      </c>
      <c r="N158" s="55">
        <f>IF(ISNUMBER(K158),SUMIFS(st_min,st_date,A158,st_eq,B158,st_po,C158,st_type,"Non planifié"),"")</f>
        <v>14.0</v>
      </c>
      <c r="O158" s="55">
        <f>IF(ISNUMBER(K158),M158-N158,"")</f>
        <v>436.0</v>
      </c>
      <c r="P158" s="55">
        <f>IF(COUNTA(A158:I158)=0,"",N(G158)+N(H158)+N(I158))</f>
        <v>186.0</v>
      </c>
      <c r="Q158" s="56">
        <f>IF(COUNTA(A158:I158)=0,"",IF(N(IFERROR(INDEX(art_rate,MATCH(E158,art_ref,0)),0))&gt;0,N(IFERROR(INDEX(art_rate,MATCH(E158,art_ref,0)),0)),N(IFERROR(INDEX(po_rate,MATCH(C158,po_code,0)),0))))</f>
        <v>30.0</v>
      </c>
      <c r="R158" s="55">
        <f>IF(AC158=1,P158*60/Q158,"")</f>
        <v>372.0</v>
      </c>
      <c r="S158" s="55">
        <f>IF(AC158=1,N(G158)*60/Q158,"")</f>
        <v>362.0</v>
      </c>
      <c r="T158" s="57">
        <f>IF(AC158=1,O158/M158,"")</f>
        <v>0.968888888888889</v>
      </c>
      <c r="U158" s="57">
        <f>IF(AC158=1,IF(O158&gt;0,R158/O158,""),"")</f>
        <v>0.853211009174312</v>
      </c>
      <c r="V158" s="57">
        <f>IF(AC158=1,IF(P158&gt;0,N(G158)/P158,""),"")</f>
        <v>0.973118279569893</v>
      </c>
      <c r="W158" s="57">
        <f>IF(AC158=1,S158/M158,"")</f>
        <v>0.804444444444444</v>
      </c>
      <c r="X158" s="57">
        <f>IF(AC158=1,S158/K158,"")</f>
        <v>0.754166666666667</v>
      </c>
      <c r="Y158" s="58" t="str">
        <f>IF(W158="","",IF(W158&gt;=p_target,"Bon",IF(W158&gt;=p_alert,"À surveiller","Faible")))</f>
        <v>Bon</v>
      </c>
      <c r="Z158" s="58" t="str">
        <f>IF(W158="","",IF(MIN(IF(T158="",1,T158),IF(U158="",1,U158),IF(V158="",1,V158))&gt;=1,"Aucune",IF(IF(T158="",1,T158)&lt;=MIN(IF(U158="",1,U158),IF(V158="",1,V158)),"Disponibilité",IF(IF(U158="",1,U158)&lt;=IF(V158="",1,V158),"Performance","Qualité"))))</f>
        <v>Performance</v>
      </c>
      <c r="AA158" s="59">
        <f>IF(AC158=1,N(H158)*N(IFERROR(INDEX(art_cost,MATCH(E158,art_ref,0)),0)),"")</f>
        <v>154.0</v>
      </c>
      <c r="AB158" s="58" t="str">
        <f>IF(COUNTA(A158:I158)=0,"",IF(N(A158)&lt;=0,"Date manquante ou invalide",IF(B158="","Équipe manquante",IF(ISNA(MATCH(B158,eq_code,0)),"Équipe inconnue",IF(INDEX(eq_check,MATCH(B158,eq_code,0))&lt;&gt;"OK","Équipe à corriger dans Paramètres",IF(C158="","Poste manquant",IF(ISNA(MATCH(C158,po_code,0)),"Poste inconnu",IF(AND(E158&lt;&gt;"",ISNA(MATCH(E158,art_ref,0))),"Article inconnu",IF(IF(E158="",FALSE,INDEX(art_check,MATCH(E158,art_ref,0))&lt;&gt;"OK"),"Article à corriger (feuille Articles)",IF(COUNTIFS(sj_date,A158,sj_eq,B158,sj_po,C158)&gt;1,"Ligne en double (même jour, équipe et poste)",IF(OR(NOT(ISNUMBER(K158)),N(K158)&lt;=0,N(K158)&gt;1440),"Temps d'ouverture invalide",IF(OR(AND(G158&lt;&gt;"",NOT(ISNUMBER(G158))),N(G158)&lt;0,N(G158)&lt;&gt;INT(N(G158)),AND(H158&lt;&gt;"",NOT(ISNUMBER(H158))),N(H158)&lt;0,N(H158)&lt;&gt;INT(N(H158)),AND(I158&lt;&gt;"",NOT(ISNUMBER(I158))),N(I158)&lt;0,N(I158)&lt;&gt;INT(N(I158))),"Quantité invalide",IF(Q158&lt;=0,"Cadence manquante (poste ou article)",IF(M158&lt;=0,"Arrêts planifiés supérieurs au temps d'ouverture",IF(O158&lt;0,"Arrêts supérieurs au temps requis",IF(AND(P158&gt;0,O158=0),"Pièces déclarées sans temps de marche",IF(AND(P158=0,O158&gt;0),"Aucune pièce déclarée",IF(P158*60/Q158&gt;O158+0.001,"Cadence dépassée : vérifiez la cadence","OK"))))))))))))))))))</f>
        <v>OK</v>
      </c>
      <c r="AC158">
        <f>IF(OR(AB158="OK",AB158="Aucune pièce déclarée",AB158="Cadence dépassée : vérifiez la cadence"),1,0)</f>
        <v>1.0</v>
      </c>
      <c r="AD158">
        <f>IF(AND(AC158=1,A158&gt;=p_from,A158&lt;=p_to),1,0)</f>
        <v>1.0</v>
      </c>
      <c r="AE158">
        <f>IF(AD158=1,IF(COUNTIFS($A$6:A158,A158,$AD$6:AD158,1)=1,1,0),0)</f>
        <v>0.0</v>
      </c>
      <c r="AF158" t="str">
        <f>IF(AE158=1,COUNTIFS(sj_first,1,sj_date,"&lt;"&amp;A158)+1,"")</f>
        <v/>
      </c>
      <c r="AG158" t="str">
        <f>IF(AND(AD158=1,N(W158)&lt;p_alert),ROUND(W158,4),"")</f>
        <v/>
      </c>
      <c r="AH158" t="str">
        <f>IF(AG158="","",COUNTIF(sj_akey,"&lt;"&amp;AG158)+COUNTIF($AG$6:AG158,AG158))</f>
        <v/>
      </c>
    </row>
    <row r="159">
      <c r="A159" s="51" t="n">
        <v>46307</v>
      </c>
      <c r="B159" s="52" t="inlineStr">
        <is>
          <t>Après-midi</t>
        </is>
      </c>
      <c r="C159" s="52" t="inlineStr">
        <is>
          <t>TOUR2</t>
        </is>
      </c>
      <c r="D159" s="53" t="inlineStr">
        <is>
          <t>OF-2610-138</t>
        </is>
      </c>
      <c r="E159" s="53" t="inlineStr">
        <is>
          <t>ENT-12</t>
        </is>
      </c>
      <c r="F159" s="54" t="n"/>
      <c r="G159" s="54" t="n">
        <v>276</v>
      </c>
      <c r="H159" s="54" t="n">
        <v>2</v>
      </c>
      <c r="I159" s="54" t="n">
        <v>0</v>
      </c>
      <c r="J159" s="53" t="n"/>
      <c r="K159" s="55">
        <f>IF(COUNTA(A159:I159)=0,"",IF(F159="",IFERROR(INDEX(eq_dur,MATCH(B159,eq_code,0)),""),F159))</f>
        <v>480.0</v>
      </c>
      <c r="L159" s="55">
        <f>IF(ISNUMBER(K159),N(IFERROR(INDEX(eq_pause,MATCH(B159,eq_code,0)),0))+SUMIFS(st_min,st_date,A159,st_eq,B159,st_po,C159,st_type,"Planifié"),"")</f>
        <v>30.0</v>
      </c>
      <c r="M159" s="55">
        <f>IF(ISNUMBER(K159),K159-L159,"")</f>
        <v>450.0</v>
      </c>
      <c r="N159" s="55">
        <f>IF(ISNUMBER(K159),SUMIFS(st_min,st_date,A159,st_eq,B159,st_po,C159,st_type,"Non planifié"),"")</f>
        <v>91.0</v>
      </c>
      <c r="O159" s="55">
        <f>IF(ISNUMBER(K159),M159-N159,"")</f>
        <v>359.0</v>
      </c>
      <c r="P159" s="55">
        <f>IF(COUNTA(A159:I159)=0,"",N(G159)+N(H159)+N(I159))</f>
        <v>278.0</v>
      </c>
      <c r="Q159" s="56">
        <f>IF(COUNTA(A159:I159)=0,"",IF(N(IFERROR(INDEX(art_rate,MATCH(E159,art_ref,0)),0))&gt;0,N(IFERROR(INDEX(art_rate,MATCH(E159,art_ref,0)),0)),N(IFERROR(INDEX(po_rate,MATCH(C159,po_code,0)),0))))</f>
        <v>55.0</v>
      </c>
      <c r="R159" s="55">
        <f>IF(AC159=1,P159*60/Q159,"")</f>
        <v>303.272727272727</v>
      </c>
      <c r="S159" s="55">
        <f>IF(AC159=1,N(G159)*60/Q159,"")</f>
        <v>301.090909090909</v>
      </c>
      <c r="T159" s="57">
        <f>IF(AC159=1,O159/M159,"")</f>
        <v>0.797777777777778</v>
      </c>
      <c r="U159" s="57">
        <f>IF(AC159=1,IF(O159&gt;0,R159/O159,""),"")</f>
        <v>0.844770828057736</v>
      </c>
      <c r="V159" s="57">
        <f>IF(AC159=1,IF(P159&gt;0,N(G159)/P159,""),"")</f>
        <v>0.992805755395684</v>
      </c>
      <c r="W159" s="57">
        <f>IF(AC159=1,S159/M159,"")</f>
        <v>0.669090909090909</v>
      </c>
      <c r="X159" s="57">
        <f>IF(AC159=1,S159/K159,"")</f>
        <v>0.627272727272727</v>
      </c>
      <c r="Y159" s="58" t="str">
        <f>IF(W159="","",IF(W159&gt;=p_target,"Bon",IF(W159&gt;=p_alert,"À surveiller","Faible")))</f>
        <v>À surveiller</v>
      </c>
      <c r="Z159" s="58" t="str">
        <f>IF(W159="","",IF(MIN(IF(T159="",1,T159),IF(U159="",1,U159),IF(V159="",1,V159))&gt;=1,"Aucune",IF(IF(T159="",1,T159)&lt;=MIN(IF(U159="",1,U159),IF(V159="",1,V159)),"Disponibilité",IF(IF(U159="",1,U159)&lt;=IF(V159="",1,V159),"Performance","Qualité"))))</f>
        <v>Disponibilité</v>
      </c>
      <c r="AA159" s="59">
        <f>IF(AC159=1,N(H159)*N(IFERROR(INDEX(art_cost,MATCH(E159,art_ref,0)),0)),"")</f>
        <v>13.6</v>
      </c>
      <c r="AB159" s="58" t="str">
        <f>IF(COUNTA(A159:I159)=0,"",IF(N(A159)&lt;=0,"Date manquante ou invalide",IF(B159="","Équipe manquante",IF(ISNA(MATCH(B159,eq_code,0)),"Équipe inconnue",IF(INDEX(eq_check,MATCH(B159,eq_code,0))&lt;&gt;"OK","Équipe à corriger dans Paramètres",IF(C159="","Poste manquant",IF(ISNA(MATCH(C159,po_code,0)),"Poste inconnu",IF(AND(E159&lt;&gt;"",ISNA(MATCH(E159,art_ref,0))),"Article inconnu",IF(IF(E159="",FALSE,INDEX(art_check,MATCH(E159,art_ref,0))&lt;&gt;"OK"),"Article à corriger (feuille Articles)",IF(COUNTIFS(sj_date,A159,sj_eq,B159,sj_po,C159)&gt;1,"Ligne en double (même jour, équipe et poste)",IF(OR(NOT(ISNUMBER(K159)),N(K159)&lt;=0,N(K159)&gt;1440),"Temps d'ouverture invalide",IF(OR(AND(G159&lt;&gt;"",NOT(ISNUMBER(G159))),N(G159)&lt;0,N(G159)&lt;&gt;INT(N(G159)),AND(H159&lt;&gt;"",NOT(ISNUMBER(H159))),N(H159)&lt;0,N(H159)&lt;&gt;INT(N(H159)),AND(I159&lt;&gt;"",NOT(ISNUMBER(I159))),N(I159)&lt;0,N(I159)&lt;&gt;INT(N(I159))),"Quantité invalide",IF(Q159&lt;=0,"Cadence manquante (poste ou article)",IF(M159&lt;=0,"Arrêts planifiés supérieurs au temps d'ouverture",IF(O159&lt;0,"Arrêts supérieurs au temps requis",IF(AND(P159&gt;0,O159=0),"Pièces déclarées sans temps de marche",IF(AND(P159=0,O159&gt;0),"Aucune pièce déclarée",IF(P159*60/Q159&gt;O159+0.001,"Cadence dépassée : vérifiez la cadence","OK"))))))))))))))))))</f>
        <v>OK</v>
      </c>
      <c r="AC159">
        <f>IF(OR(AB159="OK",AB159="Aucune pièce déclarée",AB159="Cadence dépassée : vérifiez la cadence"),1,0)</f>
        <v>1.0</v>
      </c>
      <c r="AD159">
        <f>IF(AND(AC159=1,A159&gt;=p_from,A159&lt;=p_to),1,0)</f>
        <v>1.0</v>
      </c>
      <c r="AE159">
        <f>IF(AD159=1,IF(COUNTIFS($A$6:A159,A159,$AD$6:AD159,1)=1,1,0),0)</f>
        <v>0.0</v>
      </c>
      <c r="AF159" t="str">
        <f>IF(AE159=1,COUNTIFS(sj_first,1,sj_date,"&lt;"&amp;A159)+1,"")</f>
        <v/>
      </c>
      <c r="AG159" t="str">
        <f>IF(AND(AD159=1,N(W159)&lt;p_alert),ROUND(W159,4),"")</f>
        <v/>
      </c>
      <c r="AH159" t="str">
        <f>IF(AG159="","",COUNTIF(sj_akey,"&lt;"&amp;AG159)+COUNTIF($AG$6:AG159,AG159))</f>
        <v/>
      </c>
    </row>
    <row r="160">
      <c r="A160" s="51" t="n">
        <v>46307</v>
      </c>
      <c r="B160" s="52" t="inlineStr">
        <is>
          <t>Matin</t>
        </is>
      </c>
      <c r="C160" s="52" t="inlineStr">
        <is>
          <t>USIN</t>
        </is>
      </c>
      <c r="D160" s="53" t="inlineStr">
        <is>
          <t>OF-2610-157</t>
        </is>
      </c>
      <c r="E160" s="53" t="inlineStr">
        <is>
          <t>FLA-PL-150</t>
        </is>
      </c>
      <c r="F160" s="54" t="n"/>
      <c r="G160" s="54" t="n">
        <v>58</v>
      </c>
      <c r="H160" s="54" t="n">
        <v>0</v>
      </c>
      <c r="I160" s="54" t="n">
        <v>0</v>
      </c>
      <c r="J160" s="53" t="n"/>
      <c r="K160" s="55">
        <f>IF(COUNTA(A160:I160)=0,"",IF(F160="",IFERROR(INDEX(eq_dur,MATCH(B160,eq_code,0)),""),F160))</f>
        <v>480.0</v>
      </c>
      <c r="L160" s="55">
        <f>IF(ISNUMBER(K160),N(IFERROR(INDEX(eq_pause,MATCH(B160,eq_code,0)),0))+SUMIFS(st_min,st_date,A160,st_eq,B160,st_po,C160,st_type,"Planifié"),"")</f>
        <v>90.0</v>
      </c>
      <c r="M160" s="55">
        <f>IF(ISNUMBER(K160),K160-L160,"")</f>
        <v>390.0</v>
      </c>
      <c r="N160" s="55">
        <f>IF(ISNUMBER(K160),SUMIFS(st_min,st_date,A160,st_eq,B160,st_po,C160,st_type,"Non planifié"),"")</f>
        <v>80.0</v>
      </c>
      <c r="O160" s="55">
        <f>IF(ISNUMBER(K160),M160-N160,"")</f>
        <v>310.0</v>
      </c>
      <c r="P160" s="55">
        <f>IF(COUNTA(A160:I160)=0,"",N(G160)+N(H160)+N(I160))</f>
        <v>58.0</v>
      </c>
      <c r="Q160" s="56">
        <f>IF(COUNTA(A160:I160)=0,"",IF(N(IFERROR(INDEX(art_rate,MATCH(E160,art_ref,0)),0))&gt;0,N(IFERROR(INDEX(art_rate,MATCH(E160,art_ref,0)),0)),N(IFERROR(INDEX(po_rate,MATCH(C160,po_code,0)),0))))</f>
        <v>12.0</v>
      </c>
      <c r="R160" s="55">
        <f>IF(AC160=1,P160*60/Q160,"")</f>
        <v>290.0</v>
      </c>
      <c r="S160" s="55">
        <f>IF(AC160=1,N(G160)*60/Q160,"")</f>
        <v>290.0</v>
      </c>
      <c r="T160" s="57">
        <f>IF(AC160=1,O160/M160,"")</f>
        <v>0.794871794871795</v>
      </c>
      <c r="U160" s="57">
        <f>IF(AC160=1,IF(O160&gt;0,R160/O160,""),"")</f>
        <v>0.935483870967742</v>
      </c>
      <c r="V160" s="57">
        <f>IF(AC160=1,IF(P160&gt;0,N(G160)/P160,""),"")</f>
        <v>1.0</v>
      </c>
      <c r="W160" s="57">
        <f>IF(AC160=1,S160/M160,"")</f>
        <v>0.743589743589744</v>
      </c>
      <c r="X160" s="57">
        <f>IF(AC160=1,S160/K160,"")</f>
        <v>0.604166666666667</v>
      </c>
      <c r="Y160" s="58" t="str">
        <f>IF(W160="","",IF(W160&gt;=p_target,"Bon",IF(W160&gt;=p_alert,"À surveiller","Faible")))</f>
        <v>À surveiller</v>
      </c>
      <c r="Z160" s="58" t="str">
        <f>IF(W160="","",IF(MIN(IF(T160="",1,T160),IF(U160="",1,U160),IF(V160="",1,V160))&gt;=1,"Aucune",IF(IF(T160="",1,T160)&lt;=MIN(IF(U160="",1,U160),IF(V160="",1,V160)),"Disponibilité",IF(IF(U160="",1,U160)&lt;=IF(V160="",1,V160),"Performance","Qualité"))))</f>
        <v>Disponibilité</v>
      </c>
      <c r="AA160" s="59">
        <f>IF(AC160=1,N(H160)*N(IFERROR(INDEX(art_cost,MATCH(E160,art_ref,0)),0)),"")</f>
        <v>0.0</v>
      </c>
      <c r="AB160" s="58" t="str">
        <f>IF(COUNTA(A160:I160)=0,"",IF(N(A160)&lt;=0,"Date manquante ou invalide",IF(B160="","Équipe manquante",IF(ISNA(MATCH(B160,eq_code,0)),"Équipe inconnue",IF(INDEX(eq_check,MATCH(B160,eq_code,0))&lt;&gt;"OK","Équipe à corriger dans Paramètres",IF(C160="","Poste manquant",IF(ISNA(MATCH(C160,po_code,0)),"Poste inconnu",IF(AND(E160&lt;&gt;"",ISNA(MATCH(E160,art_ref,0))),"Article inconnu",IF(IF(E160="",FALSE,INDEX(art_check,MATCH(E160,art_ref,0))&lt;&gt;"OK"),"Article à corriger (feuille Articles)",IF(COUNTIFS(sj_date,A160,sj_eq,B160,sj_po,C160)&gt;1,"Ligne en double (même jour, équipe et poste)",IF(OR(NOT(ISNUMBER(K160)),N(K160)&lt;=0,N(K160)&gt;1440),"Temps d'ouverture invalide",IF(OR(AND(G160&lt;&gt;"",NOT(ISNUMBER(G160))),N(G160)&lt;0,N(G160)&lt;&gt;INT(N(G160)),AND(H160&lt;&gt;"",NOT(ISNUMBER(H160))),N(H160)&lt;0,N(H160)&lt;&gt;INT(N(H160)),AND(I160&lt;&gt;"",NOT(ISNUMBER(I160))),N(I160)&lt;0,N(I160)&lt;&gt;INT(N(I160))),"Quantité invalide",IF(Q160&lt;=0,"Cadence manquante (poste ou article)",IF(M160&lt;=0,"Arrêts planifiés supérieurs au temps d'ouverture",IF(O160&lt;0,"Arrêts supérieurs au temps requis",IF(AND(P160&gt;0,O160=0),"Pièces déclarées sans temps de marche",IF(AND(P160=0,O160&gt;0),"Aucune pièce déclarée",IF(P160*60/Q160&gt;O160+0.001,"Cadence dépassée : vérifiez la cadence","OK"))))))))))))))))))</f>
        <v>OK</v>
      </c>
      <c r="AC160">
        <f>IF(OR(AB160="OK",AB160="Aucune pièce déclarée",AB160="Cadence dépassée : vérifiez la cadence"),1,0)</f>
        <v>1.0</v>
      </c>
      <c r="AD160">
        <f>IF(AND(AC160=1,A160&gt;=p_from,A160&lt;=p_to),1,0)</f>
        <v>1.0</v>
      </c>
      <c r="AE160">
        <f>IF(AD160=1,IF(COUNTIFS($A$6:A160,A160,$AD$6:AD160,1)=1,1,0),0)</f>
        <v>0.0</v>
      </c>
      <c r="AF160" t="str">
        <f>IF(AE160=1,COUNTIFS(sj_first,1,sj_date,"&lt;"&amp;A160)+1,"")</f>
        <v/>
      </c>
      <c r="AG160" t="str">
        <f>IF(AND(AD160=1,N(W160)&lt;p_alert),ROUND(W160,4),"")</f>
        <v/>
      </c>
      <c r="AH160" t="str">
        <f>IF(AG160="","",COUNTIF(sj_akey,"&lt;"&amp;AG160)+COUNTIF($AG$6:AG160,AG160))</f>
        <v/>
      </c>
    </row>
    <row r="161">
      <c r="A161" s="51" t="n">
        <v>46307</v>
      </c>
      <c r="B161" s="52" t="inlineStr">
        <is>
          <t>Après-midi</t>
        </is>
      </c>
      <c r="C161" s="52" t="inlineStr">
        <is>
          <t>USIN</t>
        </is>
      </c>
      <c r="D161" s="53" t="inlineStr">
        <is>
          <t>OF-2610-139</t>
        </is>
      </c>
      <c r="E161" s="53" t="inlineStr">
        <is>
          <t>FLA-PL-150</t>
        </is>
      </c>
      <c r="F161" s="54" t="n"/>
      <c r="G161" s="54" t="n">
        <v>77</v>
      </c>
      <c r="H161" s="54" t="n">
        <v>0</v>
      </c>
      <c r="I161" s="54" t="n">
        <v>0</v>
      </c>
      <c r="J161" s="53" t="n"/>
      <c r="K161" s="55">
        <f>IF(COUNTA(A161:I161)=0,"",IF(F161="",IFERROR(INDEX(eq_dur,MATCH(B161,eq_code,0)),""),F161))</f>
        <v>480.0</v>
      </c>
      <c r="L161" s="55">
        <f>IF(ISNUMBER(K161),N(IFERROR(INDEX(eq_pause,MATCH(B161,eq_code,0)),0))+SUMIFS(st_min,st_date,A161,st_eq,B161,st_po,C161,st_type,"Planifié"),"")</f>
        <v>30.0</v>
      </c>
      <c r="M161" s="55">
        <f>IF(ISNUMBER(K161),K161-L161,"")</f>
        <v>450.0</v>
      </c>
      <c r="N161" s="55">
        <f>IF(ISNUMBER(K161),SUMIFS(st_min,st_date,A161,st_eq,B161,st_po,C161,st_type,"Non planifié"),"")</f>
        <v>15.0</v>
      </c>
      <c r="O161" s="55">
        <f>IF(ISNUMBER(K161),M161-N161,"")</f>
        <v>435.0</v>
      </c>
      <c r="P161" s="55">
        <f>IF(COUNTA(A161:I161)=0,"",N(G161)+N(H161)+N(I161))</f>
        <v>77.0</v>
      </c>
      <c r="Q161" s="56">
        <f>IF(COUNTA(A161:I161)=0,"",IF(N(IFERROR(INDEX(art_rate,MATCH(E161,art_ref,0)),0))&gt;0,N(IFERROR(INDEX(art_rate,MATCH(E161,art_ref,0)),0)),N(IFERROR(INDEX(po_rate,MATCH(C161,po_code,0)),0))))</f>
        <v>12.0</v>
      </c>
      <c r="R161" s="55">
        <f>IF(AC161=1,P161*60/Q161,"")</f>
        <v>385.0</v>
      </c>
      <c r="S161" s="55">
        <f>IF(AC161=1,N(G161)*60/Q161,"")</f>
        <v>385.0</v>
      </c>
      <c r="T161" s="57">
        <f>IF(AC161=1,O161/M161,"")</f>
        <v>0.966666666666667</v>
      </c>
      <c r="U161" s="57">
        <f>IF(AC161=1,IF(O161&gt;0,R161/O161,""),"")</f>
        <v>0.885057471264368</v>
      </c>
      <c r="V161" s="57">
        <f>IF(AC161=1,IF(P161&gt;0,N(G161)/P161,""),"")</f>
        <v>1.0</v>
      </c>
      <c r="W161" s="57">
        <f>IF(AC161=1,S161/M161,"")</f>
        <v>0.855555555555556</v>
      </c>
      <c r="X161" s="57">
        <f>IF(AC161=1,S161/K161,"")</f>
        <v>0.802083333333333</v>
      </c>
      <c r="Y161" s="58" t="str">
        <f>IF(W161="","",IF(W161&gt;=p_target,"Bon",IF(W161&gt;=p_alert,"À surveiller","Faible")))</f>
        <v>Bon</v>
      </c>
      <c r="Z161" s="58" t="str">
        <f>IF(W161="","",IF(MIN(IF(T161="",1,T161),IF(U161="",1,U161),IF(V161="",1,V161))&gt;=1,"Aucune",IF(IF(T161="",1,T161)&lt;=MIN(IF(U161="",1,U161),IF(V161="",1,V161)),"Disponibilité",IF(IF(U161="",1,U161)&lt;=IF(V161="",1,V161),"Performance","Qualité"))))</f>
        <v>Performance</v>
      </c>
      <c r="AA161" s="59">
        <f>IF(AC161=1,N(H161)*N(IFERROR(INDEX(art_cost,MATCH(E161,art_ref,0)),0)),"")</f>
        <v>0.0</v>
      </c>
      <c r="AB161" s="58" t="str">
        <f>IF(COUNTA(A161:I161)=0,"",IF(N(A161)&lt;=0,"Date manquante ou invalide",IF(B161="","Équipe manquante",IF(ISNA(MATCH(B161,eq_code,0)),"Équipe inconnue",IF(INDEX(eq_check,MATCH(B161,eq_code,0))&lt;&gt;"OK","Équipe à corriger dans Paramètres",IF(C161="","Poste manquant",IF(ISNA(MATCH(C161,po_code,0)),"Poste inconnu",IF(AND(E161&lt;&gt;"",ISNA(MATCH(E161,art_ref,0))),"Article inconnu",IF(IF(E161="",FALSE,INDEX(art_check,MATCH(E161,art_ref,0))&lt;&gt;"OK"),"Article à corriger (feuille Articles)",IF(COUNTIFS(sj_date,A161,sj_eq,B161,sj_po,C161)&gt;1,"Ligne en double (même jour, équipe et poste)",IF(OR(NOT(ISNUMBER(K161)),N(K161)&lt;=0,N(K161)&gt;1440),"Temps d'ouverture invalide",IF(OR(AND(G161&lt;&gt;"",NOT(ISNUMBER(G161))),N(G161)&lt;0,N(G161)&lt;&gt;INT(N(G161)),AND(H161&lt;&gt;"",NOT(ISNUMBER(H161))),N(H161)&lt;0,N(H161)&lt;&gt;INT(N(H161)),AND(I161&lt;&gt;"",NOT(ISNUMBER(I161))),N(I161)&lt;0,N(I161)&lt;&gt;INT(N(I161))),"Quantité invalide",IF(Q161&lt;=0,"Cadence manquante (poste ou article)",IF(M161&lt;=0,"Arrêts planifiés supérieurs au temps d'ouverture",IF(O161&lt;0,"Arrêts supérieurs au temps requis",IF(AND(P161&gt;0,O161=0),"Pièces déclarées sans temps de marche",IF(AND(P161=0,O161&gt;0),"Aucune pièce déclarée",IF(P161*60/Q161&gt;O161+0.001,"Cadence dépassée : vérifiez la cadence","OK"))))))))))))))))))</f>
        <v>OK</v>
      </c>
      <c r="AC161">
        <f>IF(OR(AB161="OK",AB161="Aucune pièce déclarée",AB161="Cadence dépassée : vérifiez la cadence"),1,0)</f>
        <v>1.0</v>
      </c>
      <c r="AD161">
        <f>IF(AND(AC161=1,A161&gt;=p_from,A161&lt;=p_to),1,0)</f>
        <v>1.0</v>
      </c>
      <c r="AE161">
        <f>IF(AD161=1,IF(COUNTIFS($A$6:A161,A161,$AD$6:AD161,1)=1,1,0),0)</f>
        <v>0.0</v>
      </c>
      <c r="AF161" t="str">
        <f>IF(AE161=1,COUNTIFS(sj_first,1,sj_date,"&lt;"&amp;A161)+1,"")</f>
        <v/>
      </c>
      <c r="AG161" t="str">
        <f>IF(AND(AD161=1,N(W161)&lt;p_alert),ROUND(W161,4),"")</f>
        <v/>
      </c>
      <c r="AH161" t="str">
        <f>IF(AG161="","",COUNTIF(sj_akey,"&lt;"&amp;AG161)+COUNTIF($AG$6:AG161,AG161))</f>
        <v/>
      </c>
    </row>
    <row r="162">
      <c r="A162" s="51" t="n">
        <v>46307</v>
      </c>
      <c r="B162" s="52" t="inlineStr">
        <is>
          <t>Matin</t>
        </is>
      </c>
      <c r="C162" s="52" t="inlineStr">
        <is>
          <t>PRESSE</t>
        </is>
      </c>
      <c r="D162" s="53" t="inlineStr">
        <is>
          <t>OF-2610-155</t>
        </is>
      </c>
      <c r="E162" s="53" t="inlineStr">
        <is>
          <t>RON-M10</t>
        </is>
      </c>
      <c r="F162" s="54" t="n"/>
      <c r="G162" s="54" t="n">
        <v>3262</v>
      </c>
      <c r="H162" s="54" t="n">
        <v>28</v>
      </c>
      <c r="I162" s="54" t="n">
        <v>48</v>
      </c>
      <c r="J162" s="53" t="n"/>
      <c r="K162" s="55">
        <f>IF(COUNTA(A162:I162)=0,"",IF(F162="",IFERROR(INDEX(eq_dur,MATCH(B162,eq_code,0)),""),F162))</f>
        <v>480.0</v>
      </c>
      <c r="L162" s="55">
        <f>IF(ISNUMBER(K162),N(IFERROR(INDEX(eq_pause,MATCH(B162,eq_code,0)),0))+SUMIFS(st_min,st_date,A162,st_eq,B162,st_po,C162,st_type,"Planifié"),"")</f>
        <v>90.0</v>
      </c>
      <c r="M162" s="55">
        <f>IF(ISNUMBER(K162),K162-L162,"")</f>
        <v>390.0</v>
      </c>
      <c r="N162" s="55">
        <f>IF(ISNUMBER(K162),SUMIFS(st_min,st_date,A162,st_eq,B162,st_po,C162,st_type,"Non planifié"),"")</f>
        <v>22.0</v>
      </c>
      <c r="O162" s="55">
        <f>IF(ISNUMBER(K162),M162-N162,"")</f>
        <v>368.0</v>
      </c>
      <c r="P162" s="55">
        <f>IF(COUNTA(A162:I162)=0,"",N(G162)+N(H162)+N(I162))</f>
        <v>3338.0</v>
      </c>
      <c r="Q162" s="56">
        <f>IF(COUNTA(A162:I162)=0,"",IF(N(IFERROR(INDEX(art_rate,MATCH(E162,art_ref,0)),0))&gt;0,N(IFERROR(INDEX(art_rate,MATCH(E162,art_ref,0)),0)),N(IFERROR(INDEX(po_rate,MATCH(C162,po_code,0)),0))))</f>
        <v>600.0</v>
      </c>
      <c r="R162" s="55">
        <f>IF(AC162=1,P162*60/Q162,"")</f>
        <v>333.8</v>
      </c>
      <c r="S162" s="55">
        <f>IF(AC162=1,N(G162)*60/Q162,"")</f>
        <v>326.2</v>
      </c>
      <c r="T162" s="57">
        <f>IF(AC162=1,O162/M162,"")</f>
        <v>0.943589743589744</v>
      </c>
      <c r="U162" s="57">
        <f>IF(AC162=1,IF(O162&gt;0,R162/O162,""),"")</f>
        <v>0.907065217391304</v>
      </c>
      <c r="V162" s="57">
        <f>IF(AC162=1,IF(P162&gt;0,N(G162)/P162,""),"")</f>
        <v>0.977231875374476</v>
      </c>
      <c r="W162" s="57">
        <f>IF(AC162=1,S162/M162,"")</f>
        <v>0.836410256410256</v>
      </c>
      <c r="X162" s="57">
        <f>IF(AC162=1,S162/K162,"")</f>
        <v>0.679583333333333</v>
      </c>
      <c r="Y162" s="58" t="str">
        <f>IF(W162="","",IF(W162&gt;=p_target,"Bon",IF(W162&gt;=p_alert,"À surveiller","Faible")))</f>
        <v>Bon</v>
      </c>
      <c r="Z162" s="58" t="str">
        <f>IF(W162="","",IF(MIN(IF(T162="",1,T162),IF(U162="",1,U162),IF(V162="",1,V162))&gt;=1,"Aucune",IF(IF(T162="",1,T162)&lt;=MIN(IF(U162="",1,U162),IF(V162="",1,V162)),"Disponibilité",IF(IF(U162="",1,U162)&lt;=IF(V162="",1,V162),"Performance","Qualité"))))</f>
        <v>Performance</v>
      </c>
      <c r="AA162" s="59">
        <f>IF(AC162=1,N(H162)*N(IFERROR(INDEX(art_cost,MATCH(E162,art_ref,0)),0)),"")</f>
        <v>25.2</v>
      </c>
      <c r="AB162" s="58" t="str">
        <f>IF(COUNTA(A162:I162)=0,"",IF(N(A162)&lt;=0,"Date manquante ou invalide",IF(B162="","Équipe manquante",IF(ISNA(MATCH(B162,eq_code,0)),"Équipe inconnue",IF(INDEX(eq_check,MATCH(B162,eq_code,0))&lt;&gt;"OK","Équipe à corriger dans Paramètres",IF(C162="","Poste manquant",IF(ISNA(MATCH(C162,po_code,0)),"Poste inconnu",IF(AND(E162&lt;&gt;"",ISNA(MATCH(E162,art_ref,0))),"Article inconnu",IF(IF(E162="",FALSE,INDEX(art_check,MATCH(E162,art_ref,0))&lt;&gt;"OK"),"Article à corriger (feuille Articles)",IF(COUNTIFS(sj_date,A162,sj_eq,B162,sj_po,C162)&gt;1,"Ligne en double (même jour, équipe et poste)",IF(OR(NOT(ISNUMBER(K162)),N(K162)&lt;=0,N(K162)&gt;1440),"Temps d'ouverture invalide",IF(OR(AND(G162&lt;&gt;"",NOT(ISNUMBER(G162))),N(G162)&lt;0,N(G162)&lt;&gt;INT(N(G162)),AND(H162&lt;&gt;"",NOT(ISNUMBER(H162))),N(H162)&lt;0,N(H162)&lt;&gt;INT(N(H162)),AND(I162&lt;&gt;"",NOT(ISNUMBER(I162))),N(I162)&lt;0,N(I162)&lt;&gt;INT(N(I162))),"Quantité invalide",IF(Q162&lt;=0,"Cadence manquante (poste ou article)",IF(M162&lt;=0,"Arrêts planifiés supérieurs au temps d'ouverture",IF(O162&lt;0,"Arrêts supérieurs au temps requis",IF(AND(P162&gt;0,O162=0),"Pièces déclarées sans temps de marche",IF(AND(P162=0,O162&gt;0),"Aucune pièce déclarée",IF(P162*60/Q162&gt;O162+0.001,"Cadence dépassée : vérifiez la cadence","OK"))))))))))))))))))</f>
        <v>OK</v>
      </c>
      <c r="AC162">
        <f>IF(OR(AB162="OK",AB162="Aucune pièce déclarée",AB162="Cadence dépassée : vérifiez la cadence"),1,0)</f>
        <v>1.0</v>
      </c>
      <c r="AD162">
        <f>IF(AND(AC162=1,A162&gt;=p_from,A162&lt;=p_to),1,0)</f>
        <v>1.0</v>
      </c>
      <c r="AE162">
        <f>IF(AD162=1,IF(COUNTIFS($A$6:A162,A162,$AD$6:AD162,1)=1,1,0),0)</f>
        <v>0.0</v>
      </c>
      <c r="AF162" t="str">
        <f>IF(AE162=1,COUNTIFS(sj_first,1,sj_date,"&lt;"&amp;A162)+1,"")</f>
        <v/>
      </c>
      <c r="AG162" t="str">
        <f>IF(AND(AD162=1,N(W162)&lt;p_alert),ROUND(W162,4),"")</f>
        <v/>
      </c>
      <c r="AH162" t="str">
        <f>IF(AG162="","",COUNTIF(sj_akey,"&lt;"&amp;AG162)+COUNTIF($AG$6:AG162,AG162))</f>
        <v/>
      </c>
    </row>
    <row r="163">
      <c r="A163" s="51" t="n">
        <v>46307</v>
      </c>
      <c r="B163" s="52" t="inlineStr">
        <is>
          <t>Journée</t>
        </is>
      </c>
      <c r="C163" s="52" t="inlineStr">
        <is>
          <t>PLIE</t>
        </is>
      </c>
      <c r="D163" s="53" t="inlineStr">
        <is>
          <t>OF-2610-158</t>
        </is>
      </c>
      <c r="E163" s="53" t="inlineStr">
        <is>
          <t>SUP-MOT-01</t>
        </is>
      </c>
      <c r="F163" s="54" t="n"/>
      <c r="G163" s="54" t="n">
        <v>414</v>
      </c>
      <c r="H163" s="54" t="n">
        <v>2</v>
      </c>
      <c r="I163" s="54" t="n">
        <v>6</v>
      </c>
      <c r="J163" s="53" t="n"/>
      <c r="K163" s="55">
        <f>IF(COUNTA(A163:I163)=0,"",IF(F163="",IFERROR(INDEX(eq_dur,MATCH(B163,eq_code,0)),""),F163))</f>
        <v>540.0</v>
      </c>
      <c r="L163" s="55">
        <f>IF(ISNUMBER(K163),N(IFERROR(INDEX(eq_pause,MATCH(B163,eq_code,0)),0))+SUMIFS(st_min,st_date,A163,st_eq,B163,st_po,C163,st_type,"Planifié"),"")</f>
        <v>60.0</v>
      </c>
      <c r="M163" s="55">
        <f>IF(ISNUMBER(K163),K163-L163,"")</f>
        <v>480.0</v>
      </c>
      <c r="N163" s="55">
        <f>IF(ISNUMBER(K163),SUMIFS(st_min,st_date,A163,st_eq,B163,st_po,C163,st_type,"Non planifié"),"")</f>
        <v>121.0</v>
      </c>
      <c r="O163" s="55">
        <f>IF(ISNUMBER(K163),M163-N163,"")</f>
        <v>359.0</v>
      </c>
      <c r="P163" s="55">
        <f>IF(COUNTA(A163:I163)=0,"",N(G163)+N(H163)+N(I163))</f>
        <v>422.0</v>
      </c>
      <c r="Q163" s="56">
        <f>IF(COUNTA(A163:I163)=0,"",IF(N(IFERROR(INDEX(art_rate,MATCH(E163,art_ref,0)),0))&gt;0,N(IFERROR(INDEX(art_rate,MATCH(E163,art_ref,0)),0)),N(IFERROR(INDEX(po_rate,MATCH(C163,po_code,0)),0))))</f>
        <v>90.0</v>
      </c>
      <c r="R163" s="55">
        <f>IF(AC163=1,P163*60/Q163,"")</f>
        <v>281.333333333333</v>
      </c>
      <c r="S163" s="55">
        <f>IF(AC163=1,N(G163)*60/Q163,"")</f>
        <v>276.0</v>
      </c>
      <c r="T163" s="57">
        <f>IF(AC163=1,O163/M163,"")</f>
        <v>0.747916666666667</v>
      </c>
      <c r="U163" s="57">
        <f>IF(AC163=1,IF(O163&gt;0,R163/O163,""),"")</f>
        <v>0.783658310120706</v>
      </c>
      <c r="V163" s="57">
        <f>IF(AC163=1,IF(P163&gt;0,N(G163)/P163,""),"")</f>
        <v>0.981042654028436</v>
      </c>
      <c r="W163" s="57">
        <f>IF(AC163=1,S163/M163,"")</f>
        <v>0.575</v>
      </c>
      <c r="X163" s="57">
        <f>IF(AC163=1,S163/K163,"")</f>
        <v>0.511111111111111</v>
      </c>
      <c r="Y163" s="58" t="str">
        <f>IF(W163="","",IF(W163&gt;=p_target,"Bon",IF(W163&gt;=p_alert,"À surveiller","Faible")))</f>
        <v>À surveiller</v>
      </c>
      <c r="Z163" s="58" t="str">
        <f>IF(W163="","",IF(MIN(IF(T163="",1,T163),IF(U163="",1,U163),IF(V163="",1,V163))&gt;=1,"Aucune",IF(IF(T163="",1,T163)&lt;=MIN(IF(U163="",1,U163),IF(V163="",1,V163)),"Disponibilité",IF(IF(U163="",1,U163)&lt;=IF(V163="",1,V163),"Performance","Qualité"))))</f>
        <v>Disponibilité</v>
      </c>
      <c r="AA163" s="59">
        <f>IF(AC163=1,N(H163)*N(IFERROR(INDEX(art_cost,MATCH(E163,art_ref,0)),0)),"")</f>
        <v>128.0</v>
      </c>
      <c r="AB163" s="58" t="str">
        <f>IF(COUNTA(A163:I163)=0,"",IF(N(A163)&lt;=0,"Date manquante ou invalide",IF(B163="","Équipe manquante",IF(ISNA(MATCH(B163,eq_code,0)),"Équipe inconnue",IF(INDEX(eq_check,MATCH(B163,eq_code,0))&lt;&gt;"OK","Équipe à corriger dans Paramètres",IF(C163="","Poste manquant",IF(ISNA(MATCH(C163,po_code,0)),"Poste inconnu",IF(AND(E163&lt;&gt;"",ISNA(MATCH(E163,art_ref,0))),"Article inconnu",IF(IF(E163="",FALSE,INDEX(art_check,MATCH(E163,art_ref,0))&lt;&gt;"OK"),"Article à corriger (feuille Articles)",IF(COUNTIFS(sj_date,A163,sj_eq,B163,sj_po,C163)&gt;1,"Ligne en double (même jour, équipe et poste)",IF(OR(NOT(ISNUMBER(K163)),N(K163)&lt;=0,N(K163)&gt;1440),"Temps d'ouverture invalide",IF(OR(AND(G163&lt;&gt;"",NOT(ISNUMBER(G163))),N(G163)&lt;0,N(G163)&lt;&gt;INT(N(G163)),AND(H163&lt;&gt;"",NOT(ISNUMBER(H163))),N(H163)&lt;0,N(H163)&lt;&gt;INT(N(H163)),AND(I163&lt;&gt;"",NOT(ISNUMBER(I163))),N(I163)&lt;0,N(I163)&lt;&gt;INT(N(I163))),"Quantité invalide",IF(Q163&lt;=0,"Cadence manquante (poste ou article)",IF(M163&lt;=0,"Arrêts planifiés supérieurs au temps d'ouverture",IF(O163&lt;0,"Arrêts supérieurs au temps requis",IF(AND(P163&gt;0,O163=0),"Pièces déclarées sans temps de marche",IF(AND(P163=0,O163&gt;0),"Aucune pièce déclarée",IF(P163*60/Q163&gt;O163+0.001,"Cadence dépassée : vérifiez la cadence","OK"))))))))))))))))))</f>
        <v>OK</v>
      </c>
      <c r="AC163">
        <f>IF(OR(AB163="OK",AB163="Aucune pièce déclarée",AB163="Cadence dépassée : vérifiez la cadence"),1,0)</f>
        <v>1.0</v>
      </c>
      <c r="AD163">
        <f>IF(AND(AC163=1,A163&gt;=p_from,A163&lt;=p_to),1,0)</f>
        <v>1.0</v>
      </c>
      <c r="AE163">
        <f>IF(AD163=1,IF(COUNTIFS($A$6:A163,A163,$AD$6:AD163,1)=1,1,0),0)</f>
        <v>0.0</v>
      </c>
      <c r="AF163" t="str">
        <f>IF(AE163=1,COUNTIFS(sj_first,1,sj_date,"&lt;"&amp;A163)+1,"")</f>
        <v/>
      </c>
      <c r="AG163" t="str">
        <f>IF(AND(AD163=1,N(W163)&lt;p_alert),ROUND(W163,4),"")</f>
        <v/>
      </c>
      <c r="AH163" t="str">
        <f>IF(AG163="","",COUNTIF(sj_akey,"&lt;"&amp;AG163)+COUNTIF($AG$6:AG163,AG163))</f>
        <v/>
      </c>
    </row>
    <row r="164">
      <c r="A164" s="51" t="n">
        <v>46307</v>
      </c>
      <c r="B164" s="52" t="inlineStr">
        <is>
          <t>Matin</t>
        </is>
      </c>
      <c r="C164" s="52" t="inlineStr">
        <is>
          <t>SOUD</t>
        </is>
      </c>
      <c r="D164" s="53" t="inlineStr">
        <is>
          <t>OF-2610-153</t>
        </is>
      </c>
      <c r="E164" s="53" t="inlineStr">
        <is>
          <t>BRA-SUS-02</t>
        </is>
      </c>
      <c r="F164" s="54" t="n"/>
      <c r="G164" s="54" t="n">
        <v>109</v>
      </c>
      <c r="H164" s="54" t="n">
        <v>2</v>
      </c>
      <c r="I164" s="54" t="n">
        <v>1</v>
      </c>
      <c r="J164" s="53" t="n"/>
      <c r="K164" s="55">
        <f>IF(COUNTA(A164:I164)=0,"",IF(F164="",IFERROR(INDEX(eq_dur,MATCH(B164,eq_code,0)),""),F164))</f>
        <v>480.0</v>
      </c>
      <c r="L164" s="55">
        <f>IF(ISNUMBER(K164),N(IFERROR(INDEX(eq_pause,MATCH(B164,eq_code,0)),0))+SUMIFS(st_min,st_date,A164,st_eq,B164,st_po,C164,st_type,"Planifié"),"")</f>
        <v>30.0</v>
      </c>
      <c r="M164" s="55">
        <f>IF(ISNUMBER(K164),K164-L164,"")</f>
        <v>450.0</v>
      </c>
      <c r="N164" s="55">
        <f>IF(ISNUMBER(K164),SUMIFS(st_min,st_date,A164,st_eq,B164,st_po,C164,st_type,"Non planifié"),"")</f>
        <v>0.0</v>
      </c>
      <c r="O164" s="55">
        <f>IF(ISNUMBER(K164),M164-N164,"")</f>
        <v>450.0</v>
      </c>
      <c r="P164" s="55">
        <f>IF(COUNTA(A164:I164)=0,"",N(G164)+N(H164)+N(I164))</f>
        <v>112.0</v>
      </c>
      <c r="Q164" s="56">
        <f>IF(COUNTA(A164:I164)=0,"",IF(N(IFERROR(INDEX(art_rate,MATCH(E164,art_ref,0)),0))&gt;0,N(IFERROR(INDEX(art_rate,MATCH(E164,art_ref,0)),0)),N(IFERROR(INDEX(po_rate,MATCH(C164,po_code,0)),0))))</f>
        <v>20.0</v>
      </c>
      <c r="R164" s="55">
        <f>IF(AC164=1,P164*60/Q164,"")</f>
        <v>336.0</v>
      </c>
      <c r="S164" s="55">
        <f>IF(AC164=1,N(G164)*60/Q164,"")</f>
        <v>327.0</v>
      </c>
      <c r="T164" s="57">
        <f>IF(AC164=1,O164/M164,"")</f>
        <v>1.0</v>
      </c>
      <c r="U164" s="57">
        <f>IF(AC164=1,IF(O164&gt;0,R164/O164,""),"")</f>
        <v>0.746666666666667</v>
      </c>
      <c r="V164" s="57">
        <f>IF(AC164=1,IF(P164&gt;0,N(G164)/P164,""),"")</f>
        <v>0.973214285714286</v>
      </c>
      <c r="W164" s="57">
        <f>IF(AC164=1,S164/M164,"")</f>
        <v>0.726666666666667</v>
      </c>
      <c r="X164" s="57">
        <f>IF(AC164=1,S164/K164,"")</f>
        <v>0.68125</v>
      </c>
      <c r="Y164" s="58" t="str">
        <f>IF(W164="","",IF(W164&gt;=p_target,"Bon",IF(W164&gt;=p_alert,"À surveiller","Faible")))</f>
        <v>À surveiller</v>
      </c>
      <c r="Z164" s="58" t="str">
        <f>IF(W164="","",IF(MIN(IF(T164="",1,T164),IF(U164="",1,U164),IF(V164="",1,V164))&gt;=1,"Aucune",IF(IF(T164="",1,T164)&lt;=MIN(IF(U164="",1,U164),IF(V164="",1,V164)),"Disponibilité",IF(IF(U164="",1,U164)&lt;=IF(V164="",1,V164),"Performance","Qualité"))))</f>
        <v>Performance</v>
      </c>
      <c r="AA164" s="59">
        <f>IF(AC164=1,N(H164)*N(IFERROR(INDEX(art_cost,MATCH(E164,art_ref,0)),0)),"")</f>
        <v>476.0</v>
      </c>
      <c r="AB164" s="58" t="str">
        <f>IF(COUNTA(A164:I164)=0,"",IF(N(A164)&lt;=0,"Date manquante ou invalide",IF(B164="","Équipe manquante",IF(ISNA(MATCH(B164,eq_code,0)),"Équipe inconnue",IF(INDEX(eq_check,MATCH(B164,eq_code,0))&lt;&gt;"OK","Équipe à corriger dans Paramètres",IF(C164="","Poste manquant",IF(ISNA(MATCH(C164,po_code,0)),"Poste inconnu",IF(AND(E164&lt;&gt;"",ISNA(MATCH(E164,art_ref,0))),"Article inconnu",IF(IF(E164="",FALSE,INDEX(art_check,MATCH(E164,art_ref,0))&lt;&gt;"OK"),"Article à corriger (feuille Articles)",IF(COUNTIFS(sj_date,A164,sj_eq,B164,sj_po,C164)&gt;1,"Ligne en double (même jour, équipe et poste)",IF(OR(NOT(ISNUMBER(K164)),N(K164)&lt;=0,N(K164)&gt;1440),"Temps d'ouverture invalide",IF(OR(AND(G164&lt;&gt;"",NOT(ISNUMBER(G164))),N(G164)&lt;0,N(G164)&lt;&gt;INT(N(G164)),AND(H164&lt;&gt;"",NOT(ISNUMBER(H164))),N(H164)&lt;0,N(H164)&lt;&gt;INT(N(H164)),AND(I164&lt;&gt;"",NOT(ISNUMBER(I164))),N(I164)&lt;0,N(I164)&lt;&gt;INT(N(I164))),"Quantité invalide",IF(Q164&lt;=0,"Cadence manquante (poste ou article)",IF(M164&lt;=0,"Arrêts planifiés supérieurs au temps d'ouverture",IF(O164&lt;0,"Arrêts supérieurs au temps requis",IF(AND(P164&gt;0,O164=0),"Pièces déclarées sans temps de marche",IF(AND(P164=0,O164&gt;0),"Aucune pièce déclarée",IF(P164*60/Q164&gt;O164+0.001,"Cadence dépassée : vérifiez la cadence","OK"))))))))))))))))))</f>
        <v>OK</v>
      </c>
      <c r="AC164">
        <f>IF(OR(AB164="OK",AB164="Aucune pièce déclarée",AB164="Cadence dépassée : vérifiez la cadence"),1,0)</f>
        <v>1.0</v>
      </c>
      <c r="AD164">
        <f>IF(AND(AC164=1,A164&gt;=p_from,A164&lt;=p_to),1,0)</f>
        <v>1.0</v>
      </c>
      <c r="AE164">
        <f>IF(AD164=1,IF(COUNTIFS($A$6:A164,A164,$AD$6:AD164,1)=1,1,0),0)</f>
        <v>0.0</v>
      </c>
      <c r="AF164" t="str">
        <f>IF(AE164=1,COUNTIFS(sj_first,1,sj_date,"&lt;"&amp;A164)+1,"")</f>
        <v/>
      </c>
      <c r="AG164" t="str">
        <f>IF(AND(AD164=1,N(W164)&lt;p_alert),ROUND(W164,4),"")</f>
        <v/>
      </c>
      <c r="AH164" t="str">
        <f>IF(AG164="","",COUNTIF(sj_akey,"&lt;"&amp;AG164)+COUNTIF($AG$6:AG164,AG164))</f>
        <v/>
      </c>
    </row>
    <row r="165">
      <c r="A165" s="51" t="n">
        <v>46307</v>
      </c>
      <c r="B165" s="52" t="inlineStr">
        <is>
          <t>Après-midi</t>
        </is>
      </c>
      <c r="C165" s="52" t="inlineStr">
        <is>
          <t>SOUD</t>
        </is>
      </c>
      <c r="D165" s="53" t="inlineStr">
        <is>
          <t>OF-2610-151</t>
        </is>
      </c>
      <c r="E165" s="53" t="inlineStr">
        <is>
          <t>CHA-REM-01</t>
        </is>
      </c>
      <c r="F165" s="54" t="n"/>
      <c r="G165" s="54" t="n">
        <v>23</v>
      </c>
      <c r="H165" s="54" t="n">
        <v>0</v>
      </c>
      <c r="I165" s="54" t="n">
        <v>0</v>
      </c>
      <c r="J165" s="53" t="n"/>
      <c r="K165" s="55">
        <f>IF(COUNTA(A165:I165)=0,"",IF(F165="",IFERROR(INDEX(eq_dur,MATCH(B165,eq_code,0)),""),F165))</f>
        <v>480.0</v>
      </c>
      <c r="L165" s="55">
        <f>IF(ISNUMBER(K165),N(IFERROR(INDEX(eq_pause,MATCH(B165,eq_code,0)),0))+SUMIFS(st_min,st_date,A165,st_eq,B165,st_po,C165,st_type,"Planifié"),"")</f>
        <v>30.0</v>
      </c>
      <c r="M165" s="55">
        <f>IF(ISNUMBER(K165),K165-L165,"")</f>
        <v>450.0</v>
      </c>
      <c r="N165" s="55">
        <f>IF(ISNUMBER(K165),SUMIFS(st_min,st_date,A165,st_eq,B165,st_po,C165,st_type,"Non planifié"),"")</f>
        <v>55.0</v>
      </c>
      <c r="O165" s="55">
        <f>IF(ISNUMBER(K165),M165-N165,"")</f>
        <v>395.0</v>
      </c>
      <c r="P165" s="55">
        <f>IF(COUNTA(A165:I165)=0,"",N(G165)+N(H165)+N(I165))</f>
        <v>23.0</v>
      </c>
      <c r="Q165" s="56">
        <f>IF(COUNTA(A165:I165)=0,"",IF(N(IFERROR(INDEX(art_rate,MATCH(E165,art_ref,0)),0))&gt;0,N(IFERROR(INDEX(art_rate,MATCH(E165,art_ref,0)),0)),N(IFERROR(INDEX(po_rate,MATCH(C165,po_code,0)),0))))</f>
        <v>4.0</v>
      </c>
      <c r="R165" s="55">
        <f>IF(AC165=1,P165*60/Q165,"")</f>
        <v>345.0</v>
      </c>
      <c r="S165" s="55">
        <f>IF(AC165=1,N(G165)*60/Q165,"")</f>
        <v>345.0</v>
      </c>
      <c r="T165" s="57">
        <f>IF(AC165=1,O165/M165,"")</f>
        <v>0.877777777777778</v>
      </c>
      <c r="U165" s="57">
        <f>IF(AC165=1,IF(O165&gt;0,R165/O165,""),"")</f>
        <v>0.873417721518987</v>
      </c>
      <c r="V165" s="57">
        <f>IF(AC165=1,IF(P165&gt;0,N(G165)/P165,""),"")</f>
        <v>1.0</v>
      </c>
      <c r="W165" s="57">
        <f>IF(AC165=1,S165/M165,"")</f>
        <v>0.766666666666667</v>
      </c>
      <c r="X165" s="57">
        <f>IF(AC165=1,S165/K165,"")</f>
        <v>0.71875</v>
      </c>
      <c r="Y165" s="58" t="str">
        <f>IF(W165="","",IF(W165&gt;=p_target,"Bon",IF(W165&gt;=p_alert,"À surveiller","Faible")))</f>
        <v>Bon</v>
      </c>
      <c r="Z165" s="58" t="str">
        <f>IF(W165="","",IF(MIN(IF(T165="",1,T165),IF(U165="",1,U165),IF(V165="",1,V165))&gt;=1,"Aucune",IF(IF(T165="",1,T165)&lt;=MIN(IF(U165="",1,U165),IF(V165="",1,V165)),"Disponibilité",IF(IF(U165="",1,U165)&lt;=IF(V165="",1,V165),"Performance","Qualité"))))</f>
        <v>Performance</v>
      </c>
      <c r="AA165" s="59">
        <f>IF(AC165=1,N(H165)*N(IFERROR(INDEX(art_cost,MATCH(E165,art_ref,0)),0)),"")</f>
        <v>0.0</v>
      </c>
      <c r="AB165" s="58" t="str">
        <f>IF(COUNTA(A165:I165)=0,"",IF(N(A165)&lt;=0,"Date manquante ou invalide",IF(B165="","Équipe manquante",IF(ISNA(MATCH(B165,eq_code,0)),"Équipe inconnue",IF(INDEX(eq_check,MATCH(B165,eq_code,0))&lt;&gt;"OK","Équipe à corriger dans Paramètres",IF(C165="","Poste manquant",IF(ISNA(MATCH(C165,po_code,0)),"Poste inconnu",IF(AND(E165&lt;&gt;"",ISNA(MATCH(E165,art_ref,0))),"Article inconnu",IF(IF(E165="",FALSE,INDEX(art_check,MATCH(E165,art_ref,0))&lt;&gt;"OK"),"Article à corriger (feuille Articles)",IF(COUNTIFS(sj_date,A165,sj_eq,B165,sj_po,C165)&gt;1,"Ligne en double (même jour, équipe et poste)",IF(OR(NOT(ISNUMBER(K165)),N(K165)&lt;=0,N(K165)&gt;1440),"Temps d'ouverture invalide",IF(OR(AND(G165&lt;&gt;"",NOT(ISNUMBER(G165))),N(G165)&lt;0,N(G165)&lt;&gt;INT(N(G165)),AND(H165&lt;&gt;"",NOT(ISNUMBER(H165))),N(H165)&lt;0,N(H165)&lt;&gt;INT(N(H165)),AND(I165&lt;&gt;"",NOT(ISNUMBER(I165))),N(I165)&lt;0,N(I165)&lt;&gt;INT(N(I165))),"Quantité invalide",IF(Q165&lt;=0,"Cadence manquante (poste ou article)",IF(M165&lt;=0,"Arrêts planifiés supérieurs au temps d'ouverture",IF(O165&lt;0,"Arrêts supérieurs au temps requis",IF(AND(P165&gt;0,O165=0),"Pièces déclarées sans temps de marche",IF(AND(P165=0,O165&gt;0),"Aucune pièce déclarée",IF(P165*60/Q165&gt;O165+0.001,"Cadence dépassée : vérifiez la cadence","OK"))))))))))))))))))</f>
        <v>OK</v>
      </c>
      <c r="AC165">
        <f>IF(OR(AB165="OK",AB165="Aucune pièce déclarée",AB165="Cadence dépassée : vérifiez la cadence"),1,0)</f>
        <v>1.0</v>
      </c>
      <c r="AD165">
        <f>IF(AND(AC165=1,A165&gt;=p_from,A165&lt;=p_to),1,0)</f>
        <v>1.0</v>
      </c>
      <c r="AE165">
        <f>IF(AD165=1,IF(COUNTIFS($A$6:A165,A165,$AD$6:AD165,1)=1,1,0),0)</f>
        <v>0.0</v>
      </c>
      <c r="AF165" t="str">
        <f>IF(AE165=1,COUNTIFS(sj_first,1,sj_date,"&lt;"&amp;A165)+1,"")</f>
        <v/>
      </c>
      <c r="AG165" t="str">
        <f>IF(AND(AD165=1,N(W165)&lt;p_alert),ROUND(W165,4),"")</f>
        <v/>
      </c>
      <c r="AH165" t="str">
        <f>IF(AG165="","",COUNTIF(sj_akey,"&lt;"&amp;AG165)+COUNTIF($AG$6:AG165,AG165))</f>
        <v/>
      </c>
    </row>
    <row r="166">
      <c r="A166" s="51" t="n">
        <v>46308</v>
      </c>
      <c r="B166" s="52" t="inlineStr">
        <is>
          <t>Matin</t>
        </is>
      </c>
      <c r="C166" s="52" t="inlineStr">
        <is>
          <t>TOUR1</t>
        </is>
      </c>
      <c r="D166" s="53" t="inlineStr">
        <is>
          <t>OF-2610-147</t>
        </is>
      </c>
      <c r="E166" s="53" t="inlineStr">
        <is>
          <t>AXE-R20</t>
        </is>
      </c>
      <c r="F166" s="54" t="n"/>
      <c r="G166" s="54" t="n">
        <v>189</v>
      </c>
      <c r="H166" s="54" t="n">
        <v>6</v>
      </c>
      <c r="I166" s="54" t="n">
        <v>1</v>
      </c>
      <c r="J166" s="53" t="n"/>
      <c r="K166" s="55">
        <f>IF(COUNTA(A166:I166)=0,"",IF(F166="",IFERROR(INDEX(eq_dur,MATCH(B166,eq_code,0)),""),F166))</f>
        <v>480.0</v>
      </c>
      <c r="L166" s="55">
        <f>IF(ISNUMBER(K166),N(IFERROR(INDEX(eq_pause,MATCH(B166,eq_code,0)),0))+SUMIFS(st_min,st_date,A166,st_eq,B166,st_po,C166,st_type,"Planifié"),"")</f>
        <v>30.0</v>
      </c>
      <c r="M166" s="55">
        <f>IF(ISNUMBER(K166),K166-L166,"")</f>
        <v>450.0</v>
      </c>
      <c r="N166" s="55">
        <f>IF(ISNUMBER(K166),SUMIFS(st_min,st_date,A166,st_eq,B166,st_po,C166,st_type,"Non planifié"),"")</f>
        <v>10.0</v>
      </c>
      <c r="O166" s="55">
        <f>IF(ISNUMBER(K166),M166-N166,"")</f>
        <v>440.0</v>
      </c>
      <c r="P166" s="55">
        <f>IF(COUNTA(A166:I166)=0,"",N(G166)+N(H166)+N(I166))</f>
        <v>196.0</v>
      </c>
      <c r="Q166" s="56">
        <f>IF(COUNTA(A166:I166)=0,"",IF(N(IFERROR(INDEX(art_rate,MATCH(E166,art_ref,0)),0))&gt;0,N(IFERROR(INDEX(art_rate,MATCH(E166,art_ref,0)),0)),N(IFERROR(INDEX(po_rate,MATCH(C166,po_code,0)),0))))</f>
        <v>30.0</v>
      </c>
      <c r="R166" s="55">
        <f>IF(AC166=1,P166*60/Q166,"")</f>
        <v>392.0</v>
      </c>
      <c r="S166" s="55">
        <f>IF(AC166=1,N(G166)*60/Q166,"")</f>
        <v>378.0</v>
      </c>
      <c r="T166" s="57">
        <f>IF(AC166=1,O166/M166,"")</f>
        <v>0.977777777777778</v>
      </c>
      <c r="U166" s="57">
        <f>IF(AC166=1,IF(O166&gt;0,R166/O166,""),"")</f>
        <v>0.890909090909091</v>
      </c>
      <c r="V166" s="57">
        <f>IF(AC166=1,IF(P166&gt;0,N(G166)/P166,""),"")</f>
        <v>0.964285714285714</v>
      </c>
      <c r="W166" s="57">
        <f>IF(AC166=1,S166/M166,"")</f>
        <v>0.84</v>
      </c>
      <c r="X166" s="57">
        <f>IF(AC166=1,S166/K166,"")</f>
        <v>0.7875</v>
      </c>
      <c r="Y166" s="58" t="str">
        <f>IF(W166="","",IF(W166&gt;=p_target,"Bon",IF(W166&gt;=p_alert,"À surveiller","Faible")))</f>
        <v>Bon</v>
      </c>
      <c r="Z166" s="58" t="str">
        <f>IF(W166="","",IF(MIN(IF(T166="",1,T166),IF(U166="",1,U166),IF(V166="",1,V166))&gt;=1,"Aucune",IF(IF(T166="",1,T166)&lt;=MIN(IF(U166="",1,U166),IF(V166="",1,V166)),"Disponibilité",IF(IF(U166="",1,U166)&lt;=IF(V166="",1,V166),"Performance","Qualité"))))</f>
        <v>Performance</v>
      </c>
      <c r="AA166" s="59">
        <f>IF(AC166=1,N(H166)*N(IFERROR(INDEX(art_cost,MATCH(E166,art_ref,0)),0)),"")</f>
        <v>231.0</v>
      </c>
      <c r="AB166" s="58" t="str">
        <f>IF(COUNTA(A166:I166)=0,"",IF(N(A166)&lt;=0,"Date manquante ou invalide",IF(B166="","Équipe manquante",IF(ISNA(MATCH(B166,eq_code,0)),"Équipe inconnue",IF(INDEX(eq_check,MATCH(B166,eq_code,0))&lt;&gt;"OK","Équipe à corriger dans Paramètres",IF(C166="","Poste manquant",IF(ISNA(MATCH(C166,po_code,0)),"Poste inconnu",IF(AND(E166&lt;&gt;"",ISNA(MATCH(E166,art_ref,0))),"Article inconnu",IF(IF(E166="",FALSE,INDEX(art_check,MATCH(E166,art_ref,0))&lt;&gt;"OK"),"Article à corriger (feuille Articles)",IF(COUNTIFS(sj_date,A166,sj_eq,B166,sj_po,C166)&gt;1,"Ligne en double (même jour, équipe et poste)",IF(OR(NOT(ISNUMBER(K166)),N(K166)&lt;=0,N(K166)&gt;1440),"Temps d'ouverture invalide",IF(OR(AND(G166&lt;&gt;"",NOT(ISNUMBER(G166))),N(G166)&lt;0,N(G166)&lt;&gt;INT(N(G166)),AND(H166&lt;&gt;"",NOT(ISNUMBER(H166))),N(H166)&lt;0,N(H166)&lt;&gt;INT(N(H166)),AND(I166&lt;&gt;"",NOT(ISNUMBER(I166))),N(I166)&lt;0,N(I166)&lt;&gt;INT(N(I166))),"Quantité invalide",IF(Q166&lt;=0,"Cadence manquante (poste ou article)",IF(M166&lt;=0,"Arrêts planifiés supérieurs au temps d'ouverture",IF(O166&lt;0,"Arrêts supérieurs au temps requis",IF(AND(P166&gt;0,O166=0),"Pièces déclarées sans temps de marche",IF(AND(P166=0,O166&gt;0),"Aucune pièce déclarée",IF(P166*60/Q166&gt;O166+0.001,"Cadence dépassée : vérifiez la cadence","OK"))))))))))))))))))</f>
        <v>OK</v>
      </c>
      <c r="AC166">
        <f>IF(OR(AB166="OK",AB166="Aucune pièce déclarée",AB166="Cadence dépassée : vérifiez la cadence"),1,0)</f>
        <v>1.0</v>
      </c>
      <c r="AD166">
        <f>IF(AND(AC166=1,A166&gt;=p_from,A166&lt;=p_to),1,0)</f>
        <v>1.0</v>
      </c>
      <c r="AE166">
        <f>IF(AD166=1,IF(COUNTIFS($A$6:A166,A166,$AD$6:AD166,1)=1,1,0),0)</f>
        <v>1.0</v>
      </c>
      <c r="AF166">
        <f>IF(AE166=1,COUNTIFS(sj_first,1,sj_date,"&lt;"&amp;A166)+1,"")</f>
        <v>17.0</v>
      </c>
      <c r="AG166" t="str">
        <f>IF(AND(AD166=1,N(W166)&lt;p_alert),ROUND(W166,4),"")</f>
        <v/>
      </c>
      <c r="AH166" t="str">
        <f>IF(AG166="","",COUNTIF(sj_akey,"&lt;"&amp;AG166)+COUNTIF($AG$6:AG166,AG166))</f>
        <v/>
      </c>
    </row>
    <row r="167">
      <c r="A167" s="51" t="n">
        <v>46308</v>
      </c>
      <c r="B167" s="52" t="inlineStr">
        <is>
          <t>Après-midi</t>
        </is>
      </c>
      <c r="C167" s="52" t="inlineStr">
        <is>
          <t>TOUR1</t>
        </is>
      </c>
      <c r="D167" s="53" t="inlineStr">
        <is>
          <t>OF-2610-159</t>
        </is>
      </c>
      <c r="E167" s="53" t="inlineStr">
        <is>
          <t>AXE-R20</t>
        </is>
      </c>
      <c r="F167" s="54" t="n"/>
      <c r="G167" s="54" t="n">
        <v>188</v>
      </c>
      <c r="H167" s="54" t="n">
        <v>0</v>
      </c>
      <c r="I167" s="54" t="n">
        <v>2</v>
      </c>
      <c r="J167" s="53" t="n"/>
      <c r="K167" s="55">
        <f>IF(COUNTA(A167:I167)=0,"",IF(F167="",IFERROR(INDEX(eq_dur,MATCH(B167,eq_code,0)),""),F167))</f>
        <v>480.0</v>
      </c>
      <c r="L167" s="55">
        <f>IF(ISNUMBER(K167),N(IFERROR(INDEX(eq_pause,MATCH(B167,eq_code,0)),0))+SUMIFS(st_min,st_date,A167,st_eq,B167,st_po,C167,st_type,"Planifié"),"")</f>
        <v>30.0</v>
      </c>
      <c r="M167" s="55">
        <f>IF(ISNUMBER(K167),K167-L167,"")</f>
        <v>450.0</v>
      </c>
      <c r="N167" s="55">
        <f>IF(ISNUMBER(K167),SUMIFS(st_min,st_date,A167,st_eq,B167,st_po,C167,st_type,"Non planifié"),"")</f>
        <v>46.0</v>
      </c>
      <c r="O167" s="55">
        <f>IF(ISNUMBER(K167),M167-N167,"")</f>
        <v>404.0</v>
      </c>
      <c r="P167" s="55">
        <f>IF(COUNTA(A167:I167)=0,"",N(G167)+N(H167)+N(I167))</f>
        <v>190.0</v>
      </c>
      <c r="Q167" s="56">
        <f>IF(COUNTA(A167:I167)=0,"",IF(N(IFERROR(INDEX(art_rate,MATCH(E167,art_ref,0)),0))&gt;0,N(IFERROR(INDEX(art_rate,MATCH(E167,art_ref,0)),0)),N(IFERROR(INDEX(po_rate,MATCH(C167,po_code,0)),0))))</f>
        <v>30.0</v>
      </c>
      <c r="R167" s="55">
        <f>IF(AC167=1,P167*60/Q167,"")</f>
        <v>380.0</v>
      </c>
      <c r="S167" s="55">
        <f>IF(AC167=1,N(G167)*60/Q167,"")</f>
        <v>376.0</v>
      </c>
      <c r="T167" s="57">
        <f>IF(AC167=1,O167/M167,"")</f>
        <v>0.897777777777778</v>
      </c>
      <c r="U167" s="57">
        <f>IF(AC167=1,IF(O167&gt;0,R167/O167,""),"")</f>
        <v>0.940594059405941</v>
      </c>
      <c r="V167" s="57">
        <f>IF(AC167=1,IF(P167&gt;0,N(G167)/P167,""),"")</f>
        <v>0.989473684210526</v>
      </c>
      <c r="W167" s="57">
        <f>IF(AC167=1,S167/M167,"")</f>
        <v>0.835555555555556</v>
      </c>
      <c r="X167" s="57">
        <f>IF(AC167=1,S167/K167,"")</f>
        <v>0.783333333333333</v>
      </c>
      <c r="Y167" s="58" t="str">
        <f>IF(W167="","",IF(W167&gt;=p_target,"Bon",IF(W167&gt;=p_alert,"À surveiller","Faible")))</f>
        <v>Bon</v>
      </c>
      <c r="Z167" s="58" t="str">
        <f>IF(W167="","",IF(MIN(IF(T167="",1,T167),IF(U167="",1,U167),IF(V167="",1,V167))&gt;=1,"Aucune",IF(IF(T167="",1,T167)&lt;=MIN(IF(U167="",1,U167),IF(V167="",1,V167)),"Disponibilité",IF(IF(U167="",1,U167)&lt;=IF(V167="",1,V167),"Performance","Qualité"))))</f>
        <v>Disponibilité</v>
      </c>
      <c r="AA167" s="59">
        <f>IF(AC167=1,N(H167)*N(IFERROR(INDEX(art_cost,MATCH(E167,art_ref,0)),0)),"")</f>
        <v>0.0</v>
      </c>
      <c r="AB167" s="58" t="str">
        <f>IF(COUNTA(A167:I167)=0,"",IF(N(A167)&lt;=0,"Date manquante ou invalide",IF(B167="","Équipe manquante",IF(ISNA(MATCH(B167,eq_code,0)),"Équipe inconnue",IF(INDEX(eq_check,MATCH(B167,eq_code,0))&lt;&gt;"OK","Équipe à corriger dans Paramètres",IF(C167="","Poste manquant",IF(ISNA(MATCH(C167,po_code,0)),"Poste inconnu",IF(AND(E167&lt;&gt;"",ISNA(MATCH(E167,art_ref,0))),"Article inconnu",IF(IF(E167="",FALSE,INDEX(art_check,MATCH(E167,art_ref,0))&lt;&gt;"OK"),"Article à corriger (feuille Articles)",IF(COUNTIFS(sj_date,A167,sj_eq,B167,sj_po,C167)&gt;1,"Ligne en double (même jour, équipe et poste)",IF(OR(NOT(ISNUMBER(K167)),N(K167)&lt;=0,N(K167)&gt;1440),"Temps d'ouverture invalide",IF(OR(AND(G167&lt;&gt;"",NOT(ISNUMBER(G167))),N(G167)&lt;0,N(G167)&lt;&gt;INT(N(G167)),AND(H167&lt;&gt;"",NOT(ISNUMBER(H167))),N(H167)&lt;0,N(H167)&lt;&gt;INT(N(H167)),AND(I167&lt;&gt;"",NOT(ISNUMBER(I167))),N(I167)&lt;0,N(I167)&lt;&gt;INT(N(I167))),"Quantité invalide",IF(Q167&lt;=0,"Cadence manquante (poste ou article)",IF(M167&lt;=0,"Arrêts planifiés supérieurs au temps d'ouverture",IF(O167&lt;0,"Arrêts supérieurs au temps requis",IF(AND(P167&gt;0,O167=0),"Pièces déclarées sans temps de marche",IF(AND(P167=0,O167&gt;0),"Aucune pièce déclarée",IF(P167*60/Q167&gt;O167+0.001,"Cadence dépassée : vérifiez la cadence","OK"))))))))))))))))))</f>
        <v>OK</v>
      </c>
      <c r="AC167">
        <f>IF(OR(AB167="OK",AB167="Aucune pièce déclarée",AB167="Cadence dépassée : vérifiez la cadence"),1,0)</f>
        <v>1.0</v>
      </c>
      <c r="AD167">
        <f>IF(AND(AC167=1,A167&gt;=p_from,A167&lt;=p_to),1,0)</f>
        <v>1.0</v>
      </c>
      <c r="AE167">
        <f>IF(AD167=1,IF(COUNTIFS($A$6:A167,A167,$AD$6:AD167,1)=1,1,0),0)</f>
        <v>0.0</v>
      </c>
      <c r="AF167" t="str">
        <f>IF(AE167=1,COUNTIFS(sj_first,1,sj_date,"&lt;"&amp;A167)+1,"")</f>
        <v/>
      </c>
      <c r="AG167" t="str">
        <f>IF(AND(AD167=1,N(W167)&lt;p_alert),ROUND(W167,4),"")</f>
        <v/>
      </c>
      <c r="AH167" t="str">
        <f>IF(AG167="","",COUNTIF(sj_akey,"&lt;"&amp;AG167)+COUNTIF($AG$6:AG167,AG167))</f>
        <v/>
      </c>
    </row>
    <row r="168">
      <c r="A168" s="51" t="n">
        <v>46308</v>
      </c>
      <c r="B168" s="52" t="inlineStr">
        <is>
          <t>Matin</t>
        </is>
      </c>
      <c r="C168" s="52" t="inlineStr">
        <is>
          <t>TOUR2</t>
        </is>
      </c>
      <c r="D168" s="53" t="inlineStr">
        <is>
          <t>OF-2610-154</t>
        </is>
      </c>
      <c r="E168" s="53" t="inlineStr">
        <is>
          <t>AXE-R20</t>
        </is>
      </c>
      <c r="F168" s="54" t="n"/>
      <c r="G168" s="54" t="n">
        <v>140</v>
      </c>
      <c r="H168" s="54" t="n">
        <v>1</v>
      </c>
      <c r="I168" s="54" t="n">
        <v>1</v>
      </c>
      <c r="J168" s="53" t="n"/>
      <c r="K168" s="55">
        <f>IF(COUNTA(A168:I168)=0,"",IF(F168="",IFERROR(INDEX(eq_dur,MATCH(B168,eq_code,0)),""),F168))</f>
        <v>480.0</v>
      </c>
      <c r="L168" s="55">
        <f>IF(ISNUMBER(K168),N(IFERROR(INDEX(eq_pause,MATCH(B168,eq_code,0)),0))+SUMIFS(st_min,st_date,A168,st_eq,B168,st_po,C168,st_type,"Planifié"),"")</f>
        <v>30.0</v>
      </c>
      <c r="M168" s="55">
        <f>IF(ISNUMBER(K168),K168-L168,"")</f>
        <v>450.0</v>
      </c>
      <c r="N168" s="55">
        <f>IF(ISNUMBER(K168),SUMIFS(st_min,st_date,A168,st_eq,B168,st_po,C168,st_type,"Non planifié"),"")</f>
        <v>92.0</v>
      </c>
      <c r="O168" s="55">
        <f>IF(ISNUMBER(K168),M168-N168,"")</f>
        <v>358.0</v>
      </c>
      <c r="P168" s="55">
        <f>IF(COUNTA(A168:I168)=0,"",N(G168)+N(H168)+N(I168))</f>
        <v>142.0</v>
      </c>
      <c r="Q168" s="56">
        <f>IF(COUNTA(A168:I168)=0,"",IF(N(IFERROR(INDEX(art_rate,MATCH(E168,art_ref,0)),0))&gt;0,N(IFERROR(INDEX(art_rate,MATCH(E168,art_ref,0)),0)),N(IFERROR(INDEX(po_rate,MATCH(C168,po_code,0)),0))))</f>
        <v>30.0</v>
      </c>
      <c r="R168" s="55">
        <f>IF(AC168=1,P168*60/Q168,"")</f>
        <v>284.0</v>
      </c>
      <c r="S168" s="55">
        <f>IF(AC168=1,N(G168)*60/Q168,"")</f>
        <v>280.0</v>
      </c>
      <c r="T168" s="57">
        <f>IF(AC168=1,O168/M168,"")</f>
        <v>0.795555555555556</v>
      </c>
      <c r="U168" s="57">
        <f>IF(AC168=1,IF(O168&gt;0,R168/O168,""),"")</f>
        <v>0.793296089385475</v>
      </c>
      <c r="V168" s="57">
        <f>IF(AC168=1,IF(P168&gt;0,N(G168)/P168,""),"")</f>
        <v>0.985915492957747</v>
      </c>
      <c r="W168" s="57">
        <f>IF(AC168=1,S168/M168,"")</f>
        <v>0.622222222222222</v>
      </c>
      <c r="X168" s="57">
        <f>IF(AC168=1,S168/K168,"")</f>
        <v>0.583333333333333</v>
      </c>
      <c r="Y168" s="58" t="str">
        <f>IF(W168="","",IF(W168&gt;=p_target,"Bon",IF(W168&gt;=p_alert,"À surveiller","Faible")))</f>
        <v>À surveiller</v>
      </c>
      <c r="Z168" s="58" t="str">
        <f>IF(W168="","",IF(MIN(IF(T168="",1,T168),IF(U168="",1,U168),IF(V168="",1,V168))&gt;=1,"Aucune",IF(IF(T168="",1,T168)&lt;=MIN(IF(U168="",1,U168),IF(V168="",1,V168)),"Disponibilité",IF(IF(U168="",1,U168)&lt;=IF(V168="",1,V168),"Performance","Qualité"))))</f>
        <v>Performance</v>
      </c>
      <c r="AA168" s="59">
        <f>IF(AC168=1,N(H168)*N(IFERROR(INDEX(art_cost,MATCH(E168,art_ref,0)),0)),"")</f>
        <v>38.5</v>
      </c>
      <c r="AB168" s="58" t="str">
        <f>IF(COUNTA(A168:I168)=0,"",IF(N(A168)&lt;=0,"Date manquante ou invalide",IF(B168="","Équipe manquante",IF(ISNA(MATCH(B168,eq_code,0)),"Équipe inconnue",IF(INDEX(eq_check,MATCH(B168,eq_code,0))&lt;&gt;"OK","Équipe à corriger dans Paramètres",IF(C168="","Poste manquant",IF(ISNA(MATCH(C168,po_code,0)),"Poste inconnu",IF(AND(E168&lt;&gt;"",ISNA(MATCH(E168,art_ref,0))),"Article inconnu",IF(IF(E168="",FALSE,INDEX(art_check,MATCH(E168,art_ref,0))&lt;&gt;"OK"),"Article à corriger (feuille Articles)",IF(COUNTIFS(sj_date,A168,sj_eq,B168,sj_po,C168)&gt;1,"Ligne en double (même jour, équipe et poste)",IF(OR(NOT(ISNUMBER(K168)),N(K168)&lt;=0,N(K168)&gt;1440),"Temps d'ouverture invalide",IF(OR(AND(G168&lt;&gt;"",NOT(ISNUMBER(G168))),N(G168)&lt;0,N(G168)&lt;&gt;INT(N(G168)),AND(H168&lt;&gt;"",NOT(ISNUMBER(H168))),N(H168)&lt;0,N(H168)&lt;&gt;INT(N(H168)),AND(I168&lt;&gt;"",NOT(ISNUMBER(I168))),N(I168)&lt;0,N(I168)&lt;&gt;INT(N(I168))),"Quantité invalide",IF(Q168&lt;=0,"Cadence manquante (poste ou article)",IF(M168&lt;=0,"Arrêts planifiés supérieurs au temps d'ouverture",IF(O168&lt;0,"Arrêts supérieurs au temps requis",IF(AND(P168&gt;0,O168=0),"Pièces déclarées sans temps de marche",IF(AND(P168=0,O168&gt;0),"Aucune pièce déclarée",IF(P168*60/Q168&gt;O168+0.001,"Cadence dépassée : vérifiez la cadence","OK"))))))))))))))))))</f>
        <v>OK</v>
      </c>
      <c r="AC168">
        <f>IF(OR(AB168="OK",AB168="Aucune pièce déclarée",AB168="Cadence dépassée : vérifiez la cadence"),1,0)</f>
        <v>1.0</v>
      </c>
      <c r="AD168">
        <f>IF(AND(AC168=1,A168&gt;=p_from,A168&lt;=p_to),1,0)</f>
        <v>1.0</v>
      </c>
      <c r="AE168">
        <f>IF(AD168=1,IF(COUNTIFS($A$6:A168,A168,$AD$6:AD168,1)=1,1,0),0)</f>
        <v>0.0</v>
      </c>
      <c r="AF168" t="str">
        <f>IF(AE168=1,COUNTIFS(sj_first,1,sj_date,"&lt;"&amp;A168)+1,"")</f>
        <v/>
      </c>
      <c r="AG168" t="str">
        <f>IF(AND(AD168=1,N(W168)&lt;p_alert),ROUND(W168,4),"")</f>
        <v/>
      </c>
      <c r="AH168" t="str">
        <f>IF(AG168="","",COUNTIF(sj_akey,"&lt;"&amp;AG168)+COUNTIF($AG$6:AG168,AG168))</f>
        <v/>
      </c>
    </row>
    <row r="169">
      <c r="A169" s="51" t="n">
        <v>46308</v>
      </c>
      <c r="B169" s="52" t="inlineStr">
        <is>
          <t>Après-midi</t>
        </is>
      </c>
      <c r="C169" s="52" t="inlineStr">
        <is>
          <t>TOUR2</t>
        </is>
      </c>
      <c r="D169" s="53" t="inlineStr">
        <is>
          <t>OF-2610-138</t>
        </is>
      </c>
      <c r="E169" s="53" t="inlineStr">
        <is>
          <t>ENT-12</t>
        </is>
      </c>
      <c r="F169" s="54" t="n"/>
      <c r="G169" s="54" t="n">
        <v>247</v>
      </c>
      <c r="H169" s="54" t="n">
        <v>2</v>
      </c>
      <c r="I169" s="54" t="n">
        <v>1</v>
      </c>
      <c r="J169" s="53" t="n"/>
      <c r="K169" s="55">
        <f>IF(COUNTA(A169:I169)=0,"",IF(F169="",IFERROR(INDEX(eq_dur,MATCH(B169,eq_code,0)),""),F169))</f>
        <v>480.0</v>
      </c>
      <c r="L169" s="55">
        <f>IF(ISNUMBER(K169),N(IFERROR(INDEX(eq_pause,MATCH(B169,eq_code,0)),0))+SUMIFS(st_min,st_date,A169,st_eq,B169,st_po,C169,st_type,"Planifié"),"")</f>
        <v>30.0</v>
      </c>
      <c r="M169" s="55">
        <f>IF(ISNUMBER(K169),K169-L169,"")</f>
        <v>450.0</v>
      </c>
      <c r="N169" s="55">
        <f>IF(ISNUMBER(K169),SUMIFS(st_min,st_date,A169,st_eq,B169,st_po,C169,st_type,"Non planifié"),"")</f>
        <v>122.0</v>
      </c>
      <c r="O169" s="55">
        <f>IF(ISNUMBER(K169),M169-N169,"")</f>
        <v>328.0</v>
      </c>
      <c r="P169" s="55">
        <f>IF(COUNTA(A169:I169)=0,"",N(G169)+N(H169)+N(I169))</f>
        <v>250.0</v>
      </c>
      <c r="Q169" s="56">
        <f>IF(COUNTA(A169:I169)=0,"",IF(N(IFERROR(INDEX(art_rate,MATCH(E169,art_ref,0)),0))&gt;0,N(IFERROR(INDEX(art_rate,MATCH(E169,art_ref,0)),0)),N(IFERROR(INDEX(po_rate,MATCH(C169,po_code,0)),0))))</f>
        <v>55.0</v>
      </c>
      <c r="R169" s="55">
        <f>IF(AC169=1,P169*60/Q169,"")</f>
        <v>272.727272727273</v>
      </c>
      <c r="S169" s="55">
        <f>IF(AC169=1,N(G169)*60/Q169,"")</f>
        <v>269.454545454545</v>
      </c>
      <c r="T169" s="57">
        <f>IF(AC169=1,O169/M169,"")</f>
        <v>0.728888888888889</v>
      </c>
      <c r="U169" s="57">
        <f>IF(AC169=1,IF(O169&gt;0,R169/O169,""),"")</f>
        <v>0.831485587583149</v>
      </c>
      <c r="V169" s="57">
        <f>IF(AC169=1,IF(P169&gt;0,N(G169)/P169,""),"")</f>
        <v>0.988</v>
      </c>
      <c r="W169" s="57">
        <f>IF(AC169=1,S169/M169,"")</f>
        <v>0.598787878787879</v>
      </c>
      <c r="X169" s="57">
        <f>IF(AC169=1,S169/K169,"")</f>
        <v>0.561363636363636</v>
      </c>
      <c r="Y169" s="58" t="str">
        <f>IF(W169="","",IF(W169&gt;=p_target,"Bon",IF(W169&gt;=p_alert,"À surveiller","Faible")))</f>
        <v>À surveiller</v>
      </c>
      <c r="Z169" s="58" t="str">
        <f>IF(W169="","",IF(MIN(IF(T169="",1,T169),IF(U169="",1,U169),IF(V169="",1,V169))&gt;=1,"Aucune",IF(IF(T169="",1,T169)&lt;=MIN(IF(U169="",1,U169),IF(V169="",1,V169)),"Disponibilité",IF(IF(U169="",1,U169)&lt;=IF(V169="",1,V169),"Performance","Qualité"))))</f>
        <v>Disponibilité</v>
      </c>
      <c r="AA169" s="59">
        <f>IF(AC169=1,N(H169)*N(IFERROR(INDEX(art_cost,MATCH(E169,art_ref,0)),0)),"")</f>
        <v>13.6</v>
      </c>
      <c r="AB169" s="58" t="str">
        <f>IF(COUNTA(A169:I169)=0,"",IF(N(A169)&lt;=0,"Date manquante ou invalide",IF(B169="","Équipe manquante",IF(ISNA(MATCH(B169,eq_code,0)),"Équipe inconnue",IF(INDEX(eq_check,MATCH(B169,eq_code,0))&lt;&gt;"OK","Équipe à corriger dans Paramètres",IF(C169="","Poste manquant",IF(ISNA(MATCH(C169,po_code,0)),"Poste inconnu",IF(AND(E169&lt;&gt;"",ISNA(MATCH(E169,art_ref,0))),"Article inconnu",IF(IF(E169="",FALSE,INDEX(art_check,MATCH(E169,art_ref,0))&lt;&gt;"OK"),"Article à corriger (feuille Articles)",IF(COUNTIFS(sj_date,A169,sj_eq,B169,sj_po,C169)&gt;1,"Ligne en double (même jour, équipe et poste)",IF(OR(NOT(ISNUMBER(K169)),N(K169)&lt;=0,N(K169)&gt;1440),"Temps d'ouverture invalide",IF(OR(AND(G169&lt;&gt;"",NOT(ISNUMBER(G169))),N(G169)&lt;0,N(G169)&lt;&gt;INT(N(G169)),AND(H169&lt;&gt;"",NOT(ISNUMBER(H169))),N(H169)&lt;0,N(H169)&lt;&gt;INT(N(H169)),AND(I169&lt;&gt;"",NOT(ISNUMBER(I169))),N(I169)&lt;0,N(I169)&lt;&gt;INT(N(I169))),"Quantité invalide",IF(Q169&lt;=0,"Cadence manquante (poste ou article)",IF(M169&lt;=0,"Arrêts planifiés supérieurs au temps d'ouverture",IF(O169&lt;0,"Arrêts supérieurs au temps requis",IF(AND(P169&gt;0,O169=0),"Pièces déclarées sans temps de marche",IF(AND(P169=0,O169&gt;0),"Aucune pièce déclarée",IF(P169*60/Q169&gt;O169+0.001,"Cadence dépassée : vérifiez la cadence","OK"))))))))))))))))))</f>
        <v>OK</v>
      </c>
      <c r="AC169">
        <f>IF(OR(AB169="OK",AB169="Aucune pièce déclarée",AB169="Cadence dépassée : vérifiez la cadence"),1,0)</f>
        <v>1.0</v>
      </c>
      <c r="AD169">
        <f>IF(AND(AC169=1,A169&gt;=p_from,A169&lt;=p_to),1,0)</f>
        <v>1.0</v>
      </c>
      <c r="AE169">
        <f>IF(AD169=1,IF(COUNTIFS($A$6:A169,A169,$AD$6:AD169,1)=1,1,0),0)</f>
        <v>0.0</v>
      </c>
      <c r="AF169" t="str">
        <f>IF(AE169=1,COUNTIFS(sj_first,1,sj_date,"&lt;"&amp;A169)+1,"")</f>
        <v/>
      </c>
      <c r="AG169" t="str">
        <f>IF(AND(AD169=1,N(W169)&lt;p_alert),ROUND(W169,4),"")</f>
        <v/>
      </c>
      <c r="AH169" t="str">
        <f>IF(AG169="","",COUNTIF(sj_akey,"&lt;"&amp;AG169)+COUNTIF($AG$6:AG169,AG169))</f>
        <v/>
      </c>
    </row>
    <row r="170">
      <c r="A170" s="51" t="n">
        <v>46308</v>
      </c>
      <c r="B170" s="52" t="inlineStr">
        <is>
          <t>Matin</t>
        </is>
      </c>
      <c r="C170" s="52" t="inlineStr">
        <is>
          <t>USIN</t>
        </is>
      </c>
      <c r="D170" s="53" t="inlineStr">
        <is>
          <t>OF-2610-157</t>
        </is>
      </c>
      <c r="E170" s="53" t="inlineStr">
        <is>
          <t>FLA-PL-150</t>
        </is>
      </c>
      <c r="F170" s="54" t="n"/>
      <c r="G170" s="54" t="n">
        <v>71</v>
      </c>
      <c r="H170" s="54" t="n">
        <v>2</v>
      </c>
      <c r="I170" s="54" t="n">
        <v>0</v>
      </c>
      <c r="J170" s="53" t="n"/>
      <c r="K170" s="55">
        <f>IF(COUNTA(A170:I170)=0,"",IF(F170="",IFERROR(INDEX(eq_dur,MATCH(B170,eq_code,0)),""),F170))</f>
        <v>480.0</v>
      </c>
      <c r="L170" s="55">
        <f>IF(ISNUMBER(K170),N(IFERROR(INDEX(eq_pause,MATCH(B170,eq_code,0)),0))+SUMIFS(st_min,st_date,A170,st_eq,B170,st_po,C170,st_type,"Planifié"),"")</f>
        <v>30.0</v>
      </c>
      <c r="M170" s="55">
        <f>IF(ISNUMBER(K170),K170-L170,"")</f>
        <v>450.0</v>
      </c>
      <c r="N170" s="55">
        <f>IF(ISNUMBER(K170),SUMIFS(st_min,st_date,A170,st_eq,B170,st_po,C170,st_type,"Non planifié"),"")</f>
        <v>0.0</v>
      </c>
      <c r="O170" s="55">
        <f>IF(ISNUMBER(K170),M170-N170,"")</f>
        <v>450.0</v>
      </c>
      <c r="P170" s="55">
        <f>IF(COUNTA(A170:I170)=0,"",N(G170)+N(H170)+N(I170))</f>
        <v>73.0</v>
      </c>
      <c r="Q170" s="56">
        <f>IF(COUNTA(A170:I170)=0,"",IF(N(IFERROR(INDEX(art_rate,MATCH(E170,art_ref,0)),0))&gt;0,N(IFERROR(INDEX(art_rate,MATCH(E170,art_ref,0)),0)),N(IFERROR(INDEX(po_rate,MATCH(C170,po_code,0)),0))))</f>
        <v>12.0</v>
      </c>
      <c r="R170" s="55">
        <f>IF(AC170=1,P170*60/Q170,"")</f>
        <v>365.0</v>
      </c>
      <c r="S170" s="55">
        <f>IF(AC170=1,N(G170)*60/Q170,"")</f>
        <v>355.0</v>
      </c>
      <c r="T170" s="57">
        <f>IF(AC170=1,O170/M170,"")</f>
        <v>1.0</v>
      </c>
      <c r="U170" s="57">
        <f>IF(AC170=1,IF(O170&gt;0,R170/O170,""),"")</f>
        <v>0.811111111111111</v>
      </c>
      <c r="V170" s="57">
        <f>IF(AC170=1,IF(P170&gt;0,N(G170)/P170,""),"")</f>
        <v>0.972602739726027</v>
      </c>
      <c r="W170" s="57">
        <f>IF(AC170=1,S170/M170,"")</f>
        <v>0.788888888888889</v>
      </c>
      <c r="X170" s="57">
        <f>IF(AC170=1,S170/K170,"")</f>
        <v>0.739583333333333</v>
      </c>
      <c r="Y170" s="58" t="str">
        <f>IF(W170="","",IF(W170&gt;=p_target,"Bon",IF(W170&gt;=p_alert,"À surveiller","Faible")))</f>
        <v>Bon</v>
      </c>
      <c r="Z170" s="58" t="str">
        <f>IF(W170="","",IF(MIN(IF(T170="",1,T170),IF(U170="",1,U170),IF(V170="",1,V170))&gt;=1,"Aucune",IF(IF(T170="",1,T170)&lt;=MIN(IF(U170="",1,U170),IF(V170="",1,V170)),"Disponibilité",IF(IF(U170="",1,U170)&lt;=IF(V170="",1,V170),"Performance","Qualité"))))</f>
        <v>Performance</v>
      </c>
      <c r="AA170" s="59">
        <f>IF(AC170=1,N(H170)*N(IFERROR(INDEX(art_cost,MATCH(E170,art_ref,0)),0)),"")</f>
        <v>290.0</v>
      </c>
      <c r="AB170" s="58" t="str">
        <f>IF(COUNTA(A170:I170)=0,"",IF(N(A170)&lt;=0,"Date manquante ou invalide",IF(B170="","Équipe manquante",IF(ISNA(MATCH(B170,eq_code,0)),"Équipe inconnue",IF(INDEX(eq_check,MATCH(B170,eq_code,0))&lt;&gt;"OK","Équipe à corriger dans Paramètres",IF(C170="","Poste manquant",IF(ISNA(MATCH(C170,po_code,0)),"Poste inconnu",IF(AND(E170&lt;&gt;"",ISNA(MATCH(E170,art_ref,0))),"Article inconnu",IF(IF(E170="",FALSE,INDEX(art_check,MATCH(E170,art_ref,0))&lt;&gt;"OK"),"Article à corriger (feuille Articles)",IF(COUNTIFS(sj_date,A170,sj_eq,B170,sj_po,C170)&gt;1,"Ligne en double (même jour, équipe et poste)",IF(OR(NOT(ISNUMBER(K170)),N(K170)&lt;=0,N(K170)&gt;1440),"Temps d'ouverture invalide",IF(OR(AND(G170&lt;&gt;"",NOT(ISNUMBER(G170))),N(G170)&lt;0,N(G170)&lt;&gt;INT(N(G170)),AND(H170&lt;&gt;"",NOT(ISNUMBER(H170))),N(H170)&lt;0,N(H170)&lt;&gt;INT(N(H170)),AND(I170&lt;&gt;"",NOT(ISNUMBER(I170))),N(I170)&lt;0,N(I170)&lt;&gt;INT(N(I170))),"Quantité invalide",IF(Q170&lt;=0,"Cadence manquante (poste ou article)",IF(M170&lt;=0,"Arrêts planifiés supérieurs au temps d'ouverture",IF(O170&lt;0,"Arrêts supérieurs au temps requis",IF(AND(P170&gt;0,O170=0),"Pièces déclarées sans temps de marche",IF(AND(P170=0,O170&gt;0),"Aucune pièce déclarée",IF(P170*60/Q170&gt;O170+0.001,"Cadence dépassée : vérifiez la cadence","OK"))))))))))))))))))</f>
        <v>OK</v>
      </c>
      <c r="AC170">
        <f>IF(OR(AB170="OK",AB170="Aucune pièce déclarée",AB170="Cadence dépassée : vérifiez la cadence"),1,0)</f>
        <v>1.0</v>
      </c>
      <c r="AD170">
        <f>IF(AND(AC170=1,A170&gt;=p_from,A170&lt;=p_to),1,0)</f>
        <v>1.0</v>
      </c>
      <c r="AE170">
        <f>IF(AD170=1,IF(COUNTIFS($A$6:A170,A170,$AD$6:AD170,1)=1,1,0),0)</f>
        <v>0.0</v>
      </c>
      <c r="AF170" t="str">
        <f>IF(AE170=1,COUNTIFS(sj_first,1,sj_date,"&lt;"&amp;A170)+1,"")</f>
        <v/>
      </c>
      <c r="AG170" t="str">
        <f>IF(AND(AD170=1,N(W170)&lt;p_alert),ROUND(W170,4),"")</f>
        <v/>
      </c>
      <c r="AH170" t="str">
        <f>IF(AG170="","",COUNTIF(sj_akey,"&lt;"&amp;AG170)+COUNTIF($AG$6:AG170,AG170))</f>
        <v/>
      </c>
    </row>
    <row r="171">
      <c r="A171" s="51" t="n">
        <v>46308</v>
      </c>
      <c r="B171" s="52" t="inlineStr">
        <is>
          <t>Après-midi</t>
        </is>
      </c>
      <c r="C171" s="52" t="inlineStr">
        <is>
          <t>USIN</t>
        </is>
      </c>
      <c r="D171" s="53" t="inlineStr">
        <is>
          <t>OF-2610-139</t>
        </is>
      </c>
      <c r="E171" s="53" t="inlineStr">
        <is>
          <t>FLA-PL-150</t>
        </is>
      </c>
      <c r="F171" s="54" t="n"/>
      <c r="G171" s="54" t="n">
        <v>69</v>
      </c>
      <c r="H171" s="54" t="n">
        <v>2</v>
      </c>
      <c r="I171" s="54" t="n">
        <v>0</v>
      </c>
      <c r="J171" s="53" t="n"/>
      <c r="K171" s="55">
        <f>IF(COUNTA(A171:I171)=0,"",IF(F171="",IFERROR(INDEX(eq_dur,MATCH(B171,eq_code,0)),""),F171))</f>
        <v>480.0</v>
      </c>
      <c r="L171" s="55">
        <f>IF(ISNUMBER(K171),N(IFERROR(INDEX(eq_pause,MATCH(B171,eq_code,0)),0))+SUMIFS(st_min,st_date,A171,st_eq,B171,st_po,C171,st_type,"Planifié"),"")</f>
        <v>30.0</v>
      </c>
      <c r="M171" s="55">
        <f>IF(ISNUMBER(K171),K171-L171,"")</f>
        <v>450.0</v>
      </c>
      <c r="N171" s="55">
        <f>IF(ISNUMBER(K171),SUMIFS(st_min,st_date,A171,st_eq,B171,st_po,C171,st_type,"Non planifié"),"")</f>
        <v>44.0</v>
      </c>
      <c r="O171" s="55">
        <f>IF(ISNUMBER(K171),M171-N171,"")</f>
        <v>406.0</v>
      </c>
      <c r="P171" s="55">
        <f>IF(COUNTA(A171:I171)=0,"",N(G171)+N(H171)+N(I171))</f>
        <v>71.0</v>
      </c>
      <c r="Q171" s="56">
        <f>IF(COUNTA(A171:I171)=0,"",IF(N(IFERROR(INDEX(art_rate,MATCH(E171,art_ref,0)),0))&gt;0,N(IFERROR(INDEX(art_rate,MATCH(E171,art_ref,0)),0)),N(IFERROR(INDEX(po_rate,MATCH(C171,po_code,0)),0))))</f>
        <v>12.0</v>
      </c>
      <c r="R171" s="55">
        <f>IF(AC171=1,P171*60/Q171,"")</f>
        <v>355.0</v>
      </c>
      <c r="S171" s="55">
        <f>IF(AC171=1,N(G171)*60/Q171,"")</f>
        <v>345.0</v>
      </c>
      <c r="T171" s="57">
        <f>IF(AC171=1,O171/M171,"")</f>
        <v>0.902222222222222</v>
      </c>
      <c r="U171" s="57">
        <f>IF(AC171=1,IF(O171&gt;0,R171/O171,""),"")</f>
        <v>0.874384236453202</v>
      </c>
      <c r="V171" s="57">
        <f>IF(AC171=1,IF(P171&gt;0,N(G171)/P171,""),"")</f>
        <v>0.971830985915493</v>
      </c>
      <c r="W171" s="57">
        <f>IF(AC171=1,S171/M171,"")</f>
        <v>0.766666666666667</v>
      </c>
      <c r="X171" s="57">
        <f>IF(AC171=1,S171/K171,"")</f>
        <v>0.71875</v>
      </c>
      <c r="Y171" s="58" t="str">
        <f>IF(W171="","",IF(W171&gt;=p_target,"Bon",IF(W171&gt;=p_alert,"À surveiller","Faible")))</f>
        <v>Bon</v>
      </c>
      <c r="Z171" s="58" t="str">
        <f>IF(W171="","",IF(MIN(IF(T171="",1,T171),IF(U171="",1,U171),IF(V171="",1,V171))&gt;=1,"Aucune",IF(IF(T171="",1,T171)&lt;=MIN(IF(U171="",1,U171),IF(V171="",1,V171)),"Disponibilité",IF(IF(U171="",1,U171)&lt;=IF(V171="",1,V171),"Performance","Qualité"))))</f>
        <v>Performance</v>
      </c>
      <c r="AA171" s="59">
        <f>IF(AC171=1,N(H171)*N(IFERROR(INDEX(art_cost,MATCH(E171,art_ref,0)),0)),"")</f>
        <v>290.0</v>
      </c>
      <c r="AB171" s="58" t="str">
        <f>IF(COUNTA(A171:I171)=0,"",IF(N(A171)&lt;=0,"Date manquante ou invalide",IF(B171="","Équipe manquante",IF(ISNA(MATCH(B171,eq_code,0)),"Équipe inconnue",IF(INDEX(eq_check,MATCH(B171,eq_code,0))&lt;&gt;"OK","Équipe à corriger dans Paramètres",IF(C171="","Poste manquant",IF(ISNA(MATCH(C171,po_code,0)),"Poste inconnu",IF(AND(E171&lt;&gt;"",ISNA(MATCH(E171,art_ref,0))),"Article inconnu",IF(IF(E171="",FALSE,INDEX(art_check,MATCH(E171,art_ref,0))&lt;&gt;"OK"),"Article à corriger (feuille Articles)",IF(COUNTIFS(sj_date,A171,sj_eq,B171,sj_po,C171)&gt;1,"Ligne en double (même jour, équipe et poste)",IF(OR(NOT(ISNUMBER(K171)),N(K171)&lt;=0,N(K171)&gt;1440),"Temps d'ouverture invalide",IF(OR(AND(G171&lt;&gt;"",NOT(ISNUMBER(G171))),N(G171)&lt;0,N(G171)&lt;&gt;INT(N(G171)),AND(H171&lt;&gt;"",NOT(ISNUMBER(H171))),N(H171)&lt;0,N(H171)&lt;&gt;INT(N(H171)),AND(I171&lt;&gt;"",NOT(ISNUMBER(I171))),N(I171)&lt;0,N(I171)&lt;&gt;INT(N(I171))),"Quantité invalide",IF(Q171&lt;=0,"Cadence manquante (poste ou article)",IF(M171&lt;=0,"Arrêts planifiés supérieurs au temps d'ouverture",IF(O171&lt;0,"Arrêts supérieurs au temps requis",IF(AND(P171&gt;0,O171=0),"Pièces déclarées sans temps de marche",IF(AND(P171=0,O171&gt;0),"Aucune pièce déclarée",IF(P171*60/Q171&gt;O171+0.001,"Cadence dépassée : vérifiez la cadence","OK"))))))))))))))))))</f>
        <v>OK</v>
      </c>
      <c r="AC171">
        <f>IF(OR(AB171="OK",AB171="Aucune pièce déclarée",AB171="Cadence dépassée : vérifiez la cadence"),1,0)</f>
        <v>1.0</v>
      </c>
      <c r="AD171">
        <f>IF(AND(AC171=1,A171&gt;=p_from,A171&lt;=p_to),1,0)</f>
        <v>1.0</v>
      </c>
      <c r="AE171">
        <f>IF(AD171=1,IF(COUNTIFS($A$6:A171,A171,$AD$6:AD171,1)=1,1,0),0)</f>
        <v>0.0</v>
      </c>
      <c r="AF171" t="str">
        <f>IF(AE171=1,COUNTIFS(sj_first,1,sj_date,"&lt;"&amp;A171)+1,"")</f>
        <v/>
      </c>
      <c r="AG171" t="str">
        <f>IF(AND(AD171=1,N(W171)&lt;p_alert),ROUND(W171,4),"")</f>
        <v/>
      </c>
      <c r="AH171" t="str">
        <f>IF(AG171="","",COUNTIF(sj_akey,"&lt;"&amp;AG171)+COUNTIF($AG$6:AG171,AG171))</f>
        <v/>
      </c>
    </row>
    <row r="172">
      <c r="A172" s="51" t="n">
        <v>46308</v>
      </c>
      <c r="B172" s="52" t="inlineStr">
        <is>
          <t>Matin</t>
        </is>
      </c>
      <c r="C172" s="52" t="inlineStr">
        <is>
          <t>PRESSE</t>
        </is>
      </c>
      <c r="D172" s="53" t="inlineStr">
        <is>
          <t>OF-2610-160</t>
        </is>
      </c>
      <c r="E172" s="53" t="inlineStr">
        <is>
          <t>PAT-FIX-10</t>
        </is>
      </c>
      <c r="F172" s="54" t="n"/>
      <c r="G172" s="54" t="n">
        <v>2580</v>
      </c>
      <c r="H172" s="54" t="n">
        <v>89</v>
      </c>
      <c r="I172" s="54" t="n">
        <v>22</v>
      </c>
      <c r="J172" s="53" t="n"/>
      <c r="K172" s="55">
        <f>IF(COUNTA(A172:I172)=0,"",IF(F172="",IFERROR(INDEX(eq_dur,MATCH(B172,eq_code,0)),""),F172))</f>
        <v>480.0</v>
      </c>
      <c r="L172" s="55">
        <f>IF(ISNUMBER(K172),N(IFERROR(INDEX(eq_pause,MATCH(B172,eq_code,0)),0))+SUMIFS(st_min,st_date,A172,st_eq,B172,st_po,C172,st_type,"Planifié"),"")</f>
        <v>30.0</v>
      </c>
      <c r="M172" s="55">
        <f>IF(ISNUMBER(K172),K172-L172,"")</f>
        <v>450.0</v>
      </c>
      <c r="N172" s="55">
        <f>IF(ISNUMBER(K172),SUMIFS(st_min,st_date,A172,st_eq,B172,st_po,C172,st_type,"Non planifié"),"")</f>
        <v>47.0</v>
      </c>
      <c r="O172" s="55">
        <f>IF(ISNUMBER(K172),M172-N172,"")</f>
        <v>403.0</v>
      </c>
      <c r="P172" s="55">
        <f>IF(COUNTA(A172:I172)=0,"",N(G172)+N(H172)+N(I172))</f>
        <v>2691.0</v>
      </c>
      <c r="Q172" s="56">
        <f>IF(COUNTA(A172:I172)=0,"",IF(N(IFERROR(INDEX(art_rate,MATCH(E172,art_ref,0)),0))&gt;0,N(IFERROR(INDEX(art_rate,MATCH(E172,art_ref,0)),0)),N(IFERROR(INDEX(po_rate,MATCH(C172,po_code,0)),0))))</f>
        <v>420.0</v>
      </c>
      <c r="R172" s="55">
        <f>IF(AC172=1,P172*60/Q172,"")</f>
        <v>384.428571428571</v>
      </c>
      <c r="S172" s="55">
        <f>IF(AC172=1,N(G172)*60/Q172,"")</f>
        <v>368.571428571429</v>
      </c>
      <c r="T172" s="57">
        <f>IF(AC172=1,O172/M172,"")</f>
        <v>0.895555555555556</v>
      </c>
      <c r="U172" s="57">
        <f>IF(AC172=1,IF(O172&gt;0,R172/O172,""),"")</f>
        <v>0.953917050691244</v>
      </c>
      <c r="V172" s="57">
        <f>IF(AC172=1,IF(P172&gt;0,N(G172)/P172,""),"")</f>
        <v>0.958751393534002</v>
      </c>
      <c r="W172" s="57">
        <f>IF(AC172=1,S172/M172,"")</f>
        <v>0.819047619047619</v>
      </c>
      <c r="X172" s="57">
        <f>IF(AC172=1,S172/K172,"")</f>
        <v>0.767857142857143</v>
      </c>
      <c r="Y172" s="58" t="str">
        <f>IF(W172="","",IF(W172&gt;=p_target,"Bon",IF(W172&gt;=p_alert,"À surveiller","Faible")))</f>
        <v>Bon</v>
      </c>
      <c r="Z172" s="58" t="str">
        <f>IF(W172="","",IF(MIN(IF(T172="",1,T172),IF(U172="",1,U172),IF(V172="",1,V172))&gt;=1,"Aucune",IF(IF(T172="",1,T172)&lt;=MIN(IF(U172="",1,U172),IF(V172="",1,V172)),"Disponibilité",IF(IF(U172="",1,U172)&lt;=IF(V172="",1,V172),"Performance","Qualité"))))</f>
        <v>Disponibilité</v>
      </c>
      <c r="AA172" s="59">
        <f>IF(AC172=1,N(H172)*N(IFERROR(INDEX(art_cost,MATCH(E172,art_ref,0)),0)),"")</f>
        <v>373.8</v>
      </c>
      <c r="AB172" s="58" t="str">
        <f>IF(COUNTA(A172:I172)=0,"",IF(N(A172)&lt;=0,"Date manquante ou invalide",IF(B172="","Équipe manquante",IF(ISNA(MATCH(B172,eq_code,0)),"Équipe inconnue",IF(INDEX(eq_check,MATCH(B172,eq_code,0))&lt;&gt;"OK","Équipe à corriger dans Paramètres",IF(C172="","Poste manquant",IF(ISNA(MATCH(C172,po_code,0)),"Poste inconnu",IF(AND(E172&lt;&gt;"",ISNA(MATCH(E172,art_ref,0))),"Article inconnu",IF(IF(E172="",FALSE,INDEX(art_check,MATCH(E172,art_ref,0))&lt;&gt;"OK"),"Article à corriger (feuille Articles)",IF(COUNTIFS(sj_date,A172,sj_eq,B172,sj_po,C172)&gt;1,"Ligne en double (même jour, équipe et poste)",IF(OR(NOT(ISNUMBER(K172)),N(K172)&lt;=0,N(K172)&gt;1440),"Temps d'ouverture invalide",IF(OR(AND(G172&lt;&gt;"",NOT(ISNUMBER(G172))),N(G172)&lt;0,N(G172)&lt;&gt;INT(N(G172)),AND(H172&lt;&gt;"",NOT(ISNUMBER(H172))),N(H172)&lt;0,N(H172)&lt;&gt;INT(N(H172)),AND(I172&lt;&gt;"",NOT(ISNUMBER(I172))),N(I172)&lt;0,N(I172)&lt;&gt;INT(N(I172))),"Quantité invalide",IF(Q172&lt;=0,"Cadence manquante (poste ou article)",IF(M172&lt;=0,"Arrêts planifiés supérieurs au temps d'ouverture",IF(O172&lt;0,"Arrêts supérieurs au temps requis",IF(AND(P172&gt;0,O172=0),"Pièces déclarées sans temps de marche",IF(AND(P172=0,O172&gt;0),"Aucune pièce déclarée",IF(P172*60/Q172&gt;O172+0.001,"Cadence dépassée : vérifiez la cadence","OK"))))))))))))))))))</f>
        <v>OK</v>
      </c>
      <c r="AC172">
        <f>IF(OR(AB172="OK",AB172="Aucune pièce déclarée",AB172="Cadence dépassée : vérifiez la cadence"),1,0)</f>
        <v>1.0</v>
      </c>
      <c r="AD172">
        <f>IF(AND(AC172=1,A172&gt;=p_from,A172&lt;=p_to),1,0)</f>
        <v>1.0</v>
      </c>
      <c r="AE172">
        <f>IF(AD172=1,IF(COUNTIFS($A$6:A172,A172,$AD$6:AD172,1)=1,1,0),0)</f>
        <v>0.0</v>
      </c>
      <c r="AF172" t="str">
        <f>IF(AE172=1,COUNTIFS(sj_first,1,sj_date,"&lt;"&amp;A172)+1,"")</f>
        <v/>
      </c>
      <c r="AG172" t="str">
        <f>IF(AND(AD172=1,N(W172)&lt;p_alert),ROUND(W172,4),"")</f>
        <v/>
      </c>
      <c r="AH172" t="str">
        <f>IF(AG172="","",COUNTIF(sj_akey,"&lt;"&amp;AG172)+COUNTIF($AG$6:AG172,AG172))</f>
        <v/>
      </c>
    </row>
    <row r="173">
      <c r="A173" s="51" t="n">
        <v>46308</v>
      </c>
      <c r="B173" s="52" t="inlineStr">
        <is>
          <t>Journée</t>
        </is>
      </c>
      <c r="C173" s="52" t="inlineStr">
        <is>
          <t>PLIE</t>
        </is>
      </c>
      <c r="D173" s="53" t="inlineStr">
        <is>
          <t>OF-2610-158</t>
        </is>
      </c>
      <c r="E173" s="53" t="inlineStr">
        <is>
          <t>SUP-MOT-01</t>
        </is>
      </c>
      <c r="F173" s="54" t="n"/>
      <c r="G173" s="54" t="n">
        <v>512</v>
      </c>
      <c r="H173" s="54" t="n">
        <v>18</v>
      </c>
      <c r="I173" s="54" t="n">
        <v>4</v>
      </c>
      <c r="J173" s="53" t="n"/>
      <c r="K173" s="55">
        <f>IF(COUNTA(A173:I173)=0,"",IF(F173="",IFERROR(INDEX(eq_dur,MATCH(B173,eq_code,0)),""),F173))</f>
        <v>540.0</v>
      </c>
      <c r="L173" s="55">
        <f>IF(ISNUMBER(K173),N(IFERROR(INDEX(eq_pause,MATCH(B173,eq_code,0)),0))+SUMIFS(st_min,st_date,A173,st_eq,B173,st_po,C173,st_type,"Planifié"),"")</f>
        <v>60.0</v>
      </c>
      <c r="M173" s="55">
        <f>IF(ISNUMBER(K173),K173-L173,"")</f>
        <v>480.0</v>
      </c>
      <c r="N173" s="55">
        <f>IF(ISNUMBER(K173),SUMIFS(st_min,st_date,A173,st_eq,B173,st_po,C173,st_type,"Non planifié"),"")</f>
        <v>77.0</v>
      </c>
      <c r="O173" s="55">
        <f>IF(ISNUMBER(K173),M173-N173,"")</f>
        <v>403.0</v>
      </c>
      <c r="P173" s="55">
        <f>IF(COUNTA(A173:I173)=0,"",N(G173)+N(H173)+N(I173))</f>
        <v>534.0</v>
      </c>
      <c r="Q173" s="56">
        <f>IF(COUNTA(A173:I173)=0,"",IF(N(IFERROR(INDEX(art_rate,MATCH(E173,art_ref,0)),0))&gt;0,N(IFERROR(INDEX(art_rate,MATCH(E173,art_ref,0)),0)),N(IFERROR(INDEX(po_rate,MATCH(C173,po_code,0)),0))))</f>
        <v>90.0</v>
      </c>
      <c r="R173" s="55">
        <f>IF(AC173=1,P173*60/Q173,"")</f>
        <v>356.0</v>
      </c>
      <c r="S173" s="55">
        <f>IF(AC173=1,N(G173)*60/Q173,"")</f>
        <v>341.333333333333</v>
      </c>
      <c r="T173" s="57">
        <f>IF(AC173=1,O173/M173,"")</f>
        <v>0.839583333333333</v>
      </c>
      <c r="U173" s="57">
        <f>IF(AC173=1,IF(O173&gt;0,R173/O173,""),"")</f>
        <v>0.883374689826303</v>
      </c>
      <c r="V173" s="57">
        <f>IF(AC173=1,IF(P173&gt;0,N(G173)/P173,""),"")</f>
        <v>0.958801498127341</v>
      </c>
      <c r="W173" s="57">
        <f>IF(AC173=1,S173/M173,"")</f>
        <v>0.711111111111111</v>
      </c>
      <c r="X173" s="57">
        <f>IF(AC173=1,S173/K173,"")</f>
        <v>0.632098765432099</v>
      </c>
      <c r="Y173" s="58" t="str">
        <f>IF(W173="","",IF(W173&gt;=p_target,"Bon",IF(W173&gt;=p_alert,"À surveiller","Faible")))</f>
        <v>À surveiller</v>
      </c>
      <c r="Z173" s="58" t="str">
        <f>IF(W173="","",IF(MIN(IF(T173="",1,T173),IF(U173="",1,U173),IF(V173="",1,V173))&gt;=1,"Aucune",IF(IF(T173="",1,T173)&lt;=MIN(IF(U173="",1,U173),IF(V173="",1,V173)),"Disponibilité",IF(IF(U173="",1,U173)&lt;=IF(V173="",1,V173),"Performance","Qualité"))))</f>
        <v>Disponibilité</v>
      </c>
      <c r="AA173" s="59">
        <f>IF(AC173=1,N(H173)*N(IFERROR(INDEX(art_cost,MATCH(E173,art_ref,0)),0)),"")</f>
        <v>1152.0</v>
      </c>
      <c r="AB173" s="58" t="str">
        <f>IF(COUNTA(A173:I173)=0,"",IF(N(A173)&lt;=0,"Date manquante ou invalide",IF(B173="","Équipe manquante",IF(ISNA(MATCH(B173,eq_code,0)),"Équipe inconnue",IF(INDEX(eq_check,MATCH(B173,eq_code,0))&lt;&gt;"OK","Équipe à corriger dans Paramètres",IF(C173="","Poste manquant",IF(ISNA(MATCH(C173,po_code,0)),"Poste inconnu",IF(AND(E173&lt;&gt;"",ISNA(MATCH(E173,art_ref,0))),"Article inconnu",IF(IF(E173="",FALSE,INDEX(art_check,MATCH(E173,art_ref,0))&lt;&gt;"OK"),"Article à corriger (feuille Articles)",IF(COUNTIFS(sj_date,A173,sj_eq,B173,sj_po,C173)&gt;1,"Ligne en double (même jour, équipe et poste)",IF(OR(NOT(ISNUMBER(K173)),N(K173)&lt;=0,N(K173)&gt;1440),"Temps d'ouverture invalide",IF(OR(AND(G173&lt;&gt;"",NOT(ISNUMBER(G173))),N(G173)&lt;0,N(G173)&lt;&gt;INT(N(G173)),AND(H173&lt;&gt;"",NOT(ISNUMBER(H173))),N(H173)&lt;0,N(H173)&lt;&gt;INT(N(H173)),AND(I173&lt;&gt;"",NOT(ISNUMBER(I173))),N(I173)&lt;0,N(I173)&lt;&gt;INT(N(I173))),"Quantité invalide",IF(Q173&lt;=0,"Cadence manquante (poste ou article)",IF(M173&lt;=0,"Arrêts planifiés supérieurs au temps d'ouverture",IF(O173&lt;0,"Arrêts supérieurs au temps requis",IF(AND(P173&gt;0,O173=0),"Pièces déclarées sans temps de marche",IF(AND(P173=0,O173&gt;0),"Aucune pièce déclarée",IF(P173*60/Q173&gt;O173+0.001,"Cadence dépassée : vérifiez la cadence","OK"))))))))))))))))))</f>
        <v>OK</v>
      </c>
      <c r="AC173">
        <f>IF(OR(AB173="OK",AB173="Aucune pièce déclarée",AB173="Cadence dépassée : vérifiez la cadence"),1,0)</f>
        <v>1.0</v>
      </c>
      <c r="AD173">
        <f>IF(AND(AC173=1,A173&gt;=p_from,A173&lt;=p_to),1,0)</f>
        <v>1.0</v>
      </c>
      <c r="AE173">
        <f>IF(AD173=1,IF(COUNTIFS($A$6:A173,A173,$AD$6:AD173,1)=1,1,0),0)</f>
        <v>0.0</v>
      </c>
      <c r="AF173" t="str">
        <f>IF(AE173=1,COUNTIFS(sj_first,1,sj_date,"&lt;"&amp;A173)+1,"")</f>
        <v/>
      </c>
      <c r="AG173" t="str">
        <f>IF(AND(AD173=1,N(W173)&lt;p_alert),ROUND(W173,4),"")</f>
        <v/>
      </c>
      <c r="AH173" t="str">
        <f>IF(AG173="","",COUNTIF(sj_akey,"&lt;"&amp;AG173)+COUNTIF($AG$6:AG173,AG173))</f>
        <v/>
      </c>
    </row>
    <row r="174">
      <c r="A174" s="51" t="n">
        <v>46308</v>
      </c>
      <c r="B174" s="52" t="inlineStr">
        <is>
          <t>Matin</t>
        </is>
      </c>
      <c r="C174" s="52" t="inlineStr">
        <is>
          <t>SOUD</t>
        </is>
      </c>
      <c r="D174" s="53" t="inlineStr">
        <is>
          <t>OF-2610-153</t>
        </is>
      </c>
      <c r="E174" s="53" t="inlineStr">
        <is>
          <t>BRA-SUS-02</t>
        </is>
      </c>
      <c r="F174" s="54" t="n"/>
      <c r="G174" s="54" t="n">
        <v>96</v>
      </c>
      <c r="H174" s="54" t="n">
        <v>2</v>
      </c>
      <c r="I174" s="54" t="n">
        <v>1</v>
      </c>
      <c r="J174" s="53" t="n"/>
      <c r="K174" s="55">
        <f>IF(COUNTA(A174:I174)=0,"",IF(F174="",IFERROR(INDEX(eq_dur,MATCH(B174,eq_code,0)),""),F174))</f>
        <v>480.0</v>
      </c>
      <c r="L174" s="55">
        <f>IF(ISNUMBER(K174),N(IFERROR(INDEX(eq_pause,MATCH(B174,eq_code,0)),0))+SUMIFS(st_min,st_date,A174,st_eq,B174,st_po,C174,st_type,"Planifié"),"")</f>
        <v>30.0</v>
      </c>
      <c r="M174" s="55">
        <f>IF(ISNUMBER(K174),K174-L174,"")</f>
        <v>450.0</v>
      </c>
      <c r="N174" s="55">
        <f>IF(ISNUMBER(K174),SUMIFS(st_min,st_date,A174,st_eq,B174,st_po,C174,st_type,"Non planifié"),"")</f>
        <v>77.0</v>
      </c>
      <c r="O174" s="55">
        <f>IF(ISNUMBER(K174),M174-N174,"")</f>
        <v>373.0</v>
      </c>
      <c r="P174" s="55">
        <f>IF(COUNTA(A174:I174)=0,"",N(G174)+N(H174)+N(I174))</f>
        <v>99.0</v>
      </c>
      <c r="Q174" s="56">
        <f>IF(COUNTA(A174:I174)=0,"",IF(N(IFERROR(INDEX(art_rate,MATCH(E174,art_ref,0)),0))&gt;0,N(IFERROR(INDEX(art_rate,MATCH(E174,art_ref,0)),0)),N(IFERROR(INDEX(po_rate,MATCH(C174,po_code,0)),0))))</f>
        <v>20.0</v>
      </c>
      <c r="R174" s="55">
        <f>IF(AC174=1,P174*60/Q174,"")</f>
        <v>297.0</v>
      </c>
      <c r="S174" s="55">
        <f>IF(AC174=1,N(G174)*60/Q174,"")</f>
        <v>288.0</v>
      </c>
      <c r="T174" s="57">
        <f>IF(AC174=1,O174/M174,"")</f>
        <v>0.828888888888889</v>
      </c>
      <c r="U174" s="57">
        <f>IF(AC174=1,IF(O174&gt;0,R174/O174,""),"")</f>
        <v>0.796246648793566</v>
      </c>
      <c r="V174" s="57">
        <f>IF(AC174=1,IF(P174&gt;0,N(G174)/P174,""),"")</f>
        <v>0.96969696969697</v>
      </c>
      <c r="W174" s="57">
        <f>IF(AC174=1,S174/M174,"")</f>
        <v>0.64</v>
      </c>
      <c r="X174" s="57">
        <f>IF(AC174=1,S174/K174,"")</f>
        <v>0.6</v>
      </c>
      <c r="Y174" s="58" t="str">
        <f>IF(W174="","",IF(W174&gt;=p_target,"Bon",IF(W174&gt;=p_alert,"À surveiller","Faible")))</f>
        <v>À surveiller</v>
      </c>
      <c r="Z174" s="58" t="str">
        <f>IF(W174="","",IF(MIN(IF(T174="",1,T174),IF(U174="",1,U174),IF(V174="",1,V174))&gt;=1,"Aucune",IF(IF(T174="",1,T174)&lt;=MIN(IF(U174="",1,U174),IF(V174="",1,V174)),"Disponibilité",IF(IF(U174="",1,U174)&lt;=IF(V174="",1,V174),"Performance","Qualité"))))</f>
        <v>Performance</v>
      </c>
      <c r="AA174" s="59">
        <f>IF(AC174=1,N(H174)*N(IFERROR(INDEX(art_cost,MATCH(E174,art_ref,0)),0)),"")</f>
        <v>476.0</v>
      </c>
      <c r="AB174" s="58" t="str">
        <f>IF(COUNTA(A174:I174)=0,"",IF(N(A174)&lt;=0,"Date manquante ou invalide",IF(B174="","Équipe manquante",IF(ISNA(MATCH(B174,eq_code,0)),"Équipe inconnue",IF(INDEX(eq_check,MATCH(B174,eq_code,0))&lt;&gt;"OK","Équipe à corriger dans Paramètres",IF(C174="","Poste manquant",IF(ISNA(MATCH(C174,po_code,0)),"Poste inconnu",IF(AND(E174&lt;&gt;"",ISNA(MATCH(E174,art_ref,0))),"Article inconnu",IF(IF(E174="",FALSE,INDEX(art_check,MATCH(E174,art_ref,0))&lt;&gt;"OK"),"Article à corriger (feuille Articles)",IF(COUNTIFS(sj_date,A174,sj_eq,B174,sj_po,C174)&gt;1,"Ligne en double (même jour, équipe et poste)",IF(OR(NOT(ISNUMBER(K174)),N(K174)&lt;=0,N(K174)&gt;1440),"Temps d'ouverture invalide",IF(OR(AND(G174&lt;&gt;"",NOT(ISNUMBER(G174))),N(G174)&lt;0,N(G174)&lt;&gt;INT(N(G174)),AND(H174&lt;&gt;"",NOT(ISNUMBER(H174))),N(H174)&lt;0,N(H174)&lt;&gt;INT(N(H174)),AND(I174&lt;&gt;"",NOT(ISNUMBER(I174))),N(I174)&lt;0,N(I174)&lt;&gt;INT(N(I174))),"Quantité invalide",IF(Q174&lt;=0,"Cadence manquante (poste ou article)",IF(M174&lt;=0,"Arrêts planifiés supérieurs au temps d'ouverture",IF(O174&lt;0,"Arrêts supérieurs au temps requis",IF(AND(P174&gt;0,O174=0),"Pièces déclarées sans temps de marche",IF(AND(P174=0,O174&gt;0),"Aucune pièce déclarée",IF(P174*60/Q174&gt;O174+0.001,"Cadence dépassée : vérifiez la cadence","OK"))))))))))))))))))</f>
        <v>OK</v>
      </c>
      <c r="AC174">
        <f>IF(OR(AB174="OK",AB174="Aucune pièce déclarée",AB174="Cadence dépassée : vérifiez la cadence"),1,0)</f>
        <v>1.0</v>
      </c>
      <c r="AD174">
        <f>IF(AND(AC174=1,A174&gt;=p_from,A174&lt;=p_to),1,0)</f>
        <v>1.0</v>
      </c>
      <c r="AE174">
        <f>IF(AD174=1,IF(COUNTIFS($A$6:A174,A174,$AD$6:AD174,1)=1,1,0),0)</f>
        <v>0.0</v>
      </c>
      <c r="AF174" t="str">
        <f>IF(AE174=1,COUNTIFS(sj_first,1,sj_date,"&lt;"&amp;A174)+1,"")</f>
        <v/>
      </c>
      <c r="AG174" t="str">
        <f>IF(AND(AD174=1,N(W174)&lt;p_alert),ROUND(W174,4),"")</f>
        <v/>
      </c>
      <c r="AH174" t="str">
        <f>IF(AG174="","",COUNTIF(sj_akey,"&lt;"&amp;AG174)+COUNTIF($AG$6:AG174,AG174))</f>
        <v/>
      </c>
    </row>
    <row r="175">
      <c r="A175" s="51" t="n">
        <v>46308</v>
      </c>
      <c r="B175" s="52" t="inlineStr">
        <is>
          <t>Après-midi</t>
        </is>
      </c>
      <c r="C175" s="52" t="inlineStr">
        <is>
          <t>SOUD</t>
        </is>
      </c>
      <c r="D175" s="53" t="inlineStr">
        <is>
          <t>OF-2610-151</t>
        </is>
      </c>
      <c r="E175" s="53" t="inlineStr">
        <is>
          <t>CHA-REM-01</t>
        </is>
      </c>
      <c r="F175" s="54" t="n"/>
      <c r="G175" s="54" t="n">
        <v>18</v>
      </c>
      <c r="H175" s="54" t="n">
        <v>0</v>
      </c>
      <c r="I175" s="54" t="n">
        <v>0</v>
      </c>
      <c r="J175" s="53" t="n"/>
      <c r="K175" s="55">
        <f>IF(COUNTA(A175:I175)=0,"",IF(F175="",IFERROR(INDEX(eq_dur,MATCH(B175,eq_code,0)),""),F175))</f>
        <v>480.0</v>
      </c>
      <c r="L175" s="55">
        <f>IF(ISNUMBER(K175),N(IFERROR(INDEX(eq_pause,MATCH(B175,eq_code,0)),0))+SUMIFS(st_min,st_date,A175,st_eq,B175,st_po,C175,st_type,"Planifié"),"")</f>
        <v>30.0</v>
      </c>
      <c r="M175" s="55">
        <f>IF(ISNUMBER(K175),K175-L175,"")</f>
        <v>450.0</v>
      </c>
      <c r="N175" s="55">
        <f>IF(ISNUMBER(K175),SUMIFS(st_min,st_date,A175,st_eq,B175,st_po,C175,st_type,"Non planifié"),"")</f>
        <v>148.0</v>
      </c>
      <c r="O175" s="55">
        <f>IF(ISNUMBER(K175),M175-N175,"")</f>
        <v>302.0</v>
      </c>
      <c r="P175" s="55">
        <f>IF(COUNTA(A175:I175)=0,"",N(G175)+N(H175)+N(I175))</f>
        <v>18.0</v>
      </c>
      <c r="Q175" s="56">
        <f>IF(COUNTA(A175:I175)=0,"",IF(N(IFERROR(INDEX(art_rate,MATCH(E175,art_ref,0)),0))&gt;0,N(IFERROR(INDEX(art_rate,MATCH(E175,art_ref,0)),0)),N(IFERROR(INDEX(po_rate,MATCH(C175,po_code,0)),0))))</f>
        <v>4.0</v>
      </c>
      <c r="R175" s="55">
        <f>IF(AC175=1,P175*60/Q175,"")</f>
        <v>270.0</v>
      </c>
      <c r="S175" s="55">
        <f>IF(AC175=1,N(G175)*60/Q175,"")</f>
        <v>270.0</v>
      </c>
      <c r="T175" s="57">
        <f>IF(AC175=1,O175/M175,"")</f>
        <v>0.671111111111111</v>
      </c>
      <c r="U175" s="57">
        <f>IF(AC175=1,IF(O175&gt;0,R175/O175,""),"")</f>
        <v>0.894039735099338</v>
      </c>
      <c r="V175" s="57">
        <f>IF(AC175=1,IF(P175&gt;0,N(G175)/P175,""),"")</f>
        <v>1.0</v>
      </c>
      <c r="W175" s="57">
        <f>IF(AC175=1,S175/M175,"")</f>
        <v>0.6</v>
      </c>
      <c r="X175" s="57">
        <f>IF(AC175=1,S175/K175,"")</f>
        <v>0.5625</v>
      </c>
      <c r="Y175" s="58" t="str">
        <f>IF(W175="","",IF(W175&gt;=p_target,"Bon",IF(W175&gt;=p_alert,"À surveiller","Faible")))</f>
        <v>À surveiller</v>
      </c>
      <c r="Z175" s="58" t="str">
        <f>IF(W175="","",IF(MIN(IF(T175="",1,T175),IF(U175="",1,U175),IF(V175="",1,V175))&gt;=1,"Aucune",IF(IF(T175="",1,T175)&lt;=MIN(IF(U175="",1,U175),IF(V175="",1,V175)),"Disponibilité",IF(IF(U175="",1,U175)&lt;=IF(V175="",1,V175),"Performance","Qualité"))))</f>
        <v>Disponibilité</v>
      </c>
      <c r="AA175" s="59">
        <f>IF(AC175=1,N(H175)*N(IFERROR(INDEX(art_cost,MATCH(E175,art_ref,0)),0)),"")</f>
        <v>0.0</v>
      </c>
      <c r="AB175" s="58" t="str">
        <f>IF(COUNTA(A175:I175)=0,"",IF(N(A175)&lt;=0,"Date manquante ou invalide",IF(B175="","Équipe manquante",IF(ISNA(MATCH(B175,eq_code,0)),"Équipe inconnue",IF(INDEX(eq_check,MATCH(B175,eq_code,0))&lt;&gt;"OK","Équipe à corriger dans Paramètres",IF(C175="","Poste manquant",IF(ISNA(MATCH(C175,po_code,0)),"Poste inconnu",IF(AND(E175&lt;&gt;"",ISNA(MATCH(E175,art_ref,0))),"Article inconnu",IF(IF(E175="",FALSE,INDEX(art_check,MATCH(E175,art_ref,0))&lt;&gt;"OK"),"Article à corriger (feuille Articles)",IF(COUNTIFS(sj_date,A175,sj_eq,B175,sj_po,C175)&gt;1,"Ligne en double (même jour, équipe et poste)",IF(OR(NOT(ISNUMBER(K175)),N(K175)&lt;=0,N(K175)&gt;1440),"Temps d'ouverture invalide",IF(OR(AND(G175&lt;&gt;"",NOT(ISNUMBER(G175))),N(G175)&lt;0,N(G175)&lt;&gt;INT(N(G175)),AND(H175&lt;&gt;"",NOT(ISNUMBER(H175))),N(H175)&lt;0,N(H175)&lt;&gt;INT(N(H175)),AND(I175&lt;&gt;"",NOT(ISNUMBER(I175))),N(I175)&lt;0,N(I175)&lt;&gt;INT(N(I175))),"Quantité invalide",IF(Q175&lt;=0,"Cadence manquante (poste ou article)",IF(M175&lt;=0,"Arrêts planifiés supérieurs au temps d'ouverture",IF(O175&lt;0,"Arrêts supérieurs au temps requis",IF(AND(P175&gt;0,O175=0),"Pièces déclarées sans temps de marche",IF(AND(P175=0,O175&gt;0),"Aucune pièce déclarée",IF(P175*60/Q175&gt;O175+0.001,"Cadence dépassée : vérifiez la cadence","OK"))))))))))))))))))</f>
        <v>OK</v>
      </c>
      <c r="AC175">
        <f>IF(OR(AB175="OK",AB175="Aucune pièce déclarée",AB175="Cadence dépassée : vérifiez la cadence"),1,0)</f>
        <v>1.0</v>
      </c>
      <c r="AD175">
        <f>IF(AND(AC175=1,A175&gt;=p_from,A175&lt;=p_to),1,0)</f>
        <v>1.0</v>
      </c>
      <c r="AE175">
        <f>IF(AD175=1,IF(COUNTIFS($A$6:A175,A175,$AD$6:AD175,1)=1,1,0),0)</f>
        <v>0.0</v>
      </c>
      <c r="AF175" t="str">
        <f>IF(AE175=1,COUNTIFS(sj_first,1,sj_date,"&lt;"&amp;A175)+1,"")</f>
        <v/>
      </c>
      <c r="AG175" t="str">
        <f>IF(AND(AD175=1,N(W175)&lt;p_alert),ROUND(W175,4),"")</f>
        <v/>
      </c>
      <c r="AH175" t="str">
        <f>IF(AG175="","",COUNTIF(sj_akey,"&lt;"&amp;AG175)+COUNTIF($AG$6:AG175,AG175))</f>
        <v/>
      </c>
    </row>
    <row r="176">
      <c r="A176" s="51" t="n">
        <v>46309</v>
      </c>
      <c r="B176" s="52" t="inlineStr">
        <is>
          <t>Matin</t>
        </is>
      </c>
      <c r="C176" s="52" t="inlineStr">
        <is>
          <t>TOUR1</t>
        </is>
      </c>
      <c r="D176" s="53" t="inlineStr">
        <is>
          <t>OF-2610-161</t>
        </is>
      </c>
      <c r="E176" s="53" t="inlineStr">
        <is>
          <t>BAG-BR-32</t>
        </is>
      </c>
      <c r="F176" s="54" t="n"/>
      <c r="G176" s="54" t="n">
        <v>261</v>
      </c>
      <c r="H176" s="54" t="n">
        <v>1</v>
      </c>
      <c r="I176" s="54" t="n">
        <v>2</v>
      </c>
      <c r="J176" s="53" t="n"/>
      <c r="K176" s="55">
        <f>IF(COUNTA(A176:I176)=0,"",IF(F176="",IFERROR(INDEX(eq_dur,MATCH(B176,eq_code,0)),""),F176))</f>
        <v>480.0</v>
      </c>
      <c r="L176" s="55">
        <f>IF(ISNUMBER(K176),N(IFERROR(INDEX(eq_pause,MATCH(B176,eq_code,0)),0))+SUMIFS(st_min,st_date,A176,st_eq,B176,st_po,C176,st_type,"Planifié"),"")</f>
        <v>30.0</v>
      </c>
      <c r="M176" s="55">
        <f>IF(ISNUMBER(K176),K176-L176,"")</f>
        <v>450.0</v>
      </c>
      <c r="N176" s="55">
        <f>IF(ISNUMBER(K176),SUMIFS(st_min,st_date,A176,st_eq,B176,st_po,C176,st_type,"Non planifié"),"")</f>
        <v>40.0</v>
      </c>
      <c r="O176" s="55">
        <f>IF(ISNUMBER(K176),M176-N176,"")</f>
        <v>410.0</v>
      </c>
      <c r="P176" s="55">
        <f>IF(COUNTA(A176:I176)=0,"",N(G176)+N(H176)+N(I176))</f>
        <v>264.0</v>
      </c>
      <c r="Q176" s="56">
        <f>IF(COUNTA(A176:I176)=0,"",IF(N(IFERROR(INDEX(art_rate,MATCH(E176,art_ref,0)),0))&gt;0,N(IFERROR(INDEX(art_rate,MATCH(E176,art_ref,0)),0)),N(IFERROR(INDEX(po_rate,MATCH(C176,po_code,0)),0))))</f>
        <v>40.0</v>
      </c>
      <c r="R176" s="55">
        <f>IF(AC176=1,P176*60/Q176,"")</f>
        <v>396.0</v>
      </c>
      <c r="S176" s="55">
        <f>IF(AC176=1,N(G176)*60/Q176,"")</f>
        <v>391.5</v>
      </c>
      <c r="T176" s="57">
        <f>IF(AC176=1,O176/M176,"")</f>
        <v>0.911111111111111</v>
      </c>
      <c r="U176" s="57">
        <f>IF(AC176=1,IF(O176&gt;0,R176/O176,""),"")</f>
        <v>0.965853658536585</v>
      </c>
      <c r="V176" s="57">
        <f>IF(AC176=1,IF(P176&gt;0,N(G176)/P176,""),"")</f>
        <v>0.988636363636364</v>
      </c>
      <c r="W176" s="57">
        <f>IF(AC176=1,S176/M176,"")</f>
        <v>0.87</v>
      </c>
      <c r="X176" s="57">
        <f>IF(AC176=1,S176/K176,"")</f>
        <v>0.815625</v>
      </c>
      <c r="Y176" s="58" t="str">
        <f>IF(W176="","",IF(W176&gt;=p_target,"Bon",IF(W176&gt;=p_alert,"À surveiller","Faible")))</f>
        <v>Bon</v>
      </c>
      <c r="Z176" s="58" t="str">
        <f>IF(W176="","",IF(MIN(IF(T176="",1,T176),IF(U176="",1,U176),IF(V176="",1,V176))&gt;=1,"Aucune",IF(IF(T176="",1,T176)&lt;=MIN(IF(U176="",1,U176),IF(V176="",1,V176)),"Disponibilité",IF(IF(U176="",1,U176)&lt;=IF(V176="",1,V176),"Performance","Qualité"))))</f>
        <v>Disponibilité</v>
      </c>
      <c r="AA176" s="59">
        <f>IF(AC176=1,N(H176)*N(IFERROR(INDEX(art_cost,MATCH(E176,art_ref,0)),0)),"")</f>
        <v>52.0</v>
      </c>
      <c r="AB176" s="58" t="str">
        <f>IF(COUNTA(A176:I176)=0,"",IF(N(A176)&lt;=0,"Date manquante ou invalide",IF(B176="","Équipe manquante",IF(ISNA(MATCH(B176,eq_code,0)),"Équipe inconnue",IF(INDEX(eq_check,MATCH(B176,eq_code,0))&lt;&gt;"OK","Équipe à corriger dans Paramètres",IF(C176="","Poste manquant",IF(ISNA(MATCH(C176,po_code,0)),"Poste inconnu",IF(AND(E176&lt;&gt;"",ISNA(MATCH(E176,art_ref,0))),"Article inconnu",IF(IF(E176="",FALSE,INDEX(art_check,MATCH(E176,art_ref,0))&lt;&gt;"OK"),"Article à corriger (feuille Articles)",IF(COUNTIFS(sj_date,A176,sj_eq,B176,sj_po,C176)&gt;1,"Ligne en double (même jour, équipe et poste)",IF(OR(NOT(ISNUMBER(K176)),N(K176)&lt;=0,N(K176)&gt;1440),"Temps d'ouverture invalide",IF(OR(AND(G176&lt;&gt;"",NOT(ISNUMBER(G176))),N(G176)&lt;0,N(G176)&lt;&gt;INT(N(G176)),AND(H176&lt;&gt;"",NOT(ISNUMBER(H176))),N(H176)&lt;0,N(H176)&lt;&gt;INT(N(H176)),AND(I176&lt;&gt;"",NOT(ISNUMBER(I176))),N(I176)&lt;0,N(I176)&lt;&gt;INT(N(I176))),"Quantité invalide",IF(Q176&lt;=0,"Cadence manquante (poste ou article)",IF(M176&lt;=0,"Arrêts planifiés supérieurs au temps d'ouverture",IF(O176&lt;0,"Arrêts supérieurs au temps requis",IF(AND(P176&gt;0,O176=0),"Pièces déclarées sans temps de marche",IF(AND(P176=0,O176&gt;0),"Aucune pièce déclarée",IF(P176*60/Q176&gt;O176+0.001,"Cadence dépassée : vérifiez la cadence","OK"))))))))))))))))))</f>
        <v>OK</v>
      </c>
      <c r="AC176">
        <f>IF(OR(AB176="OK",AB176="Aucune pièce déclarée",AB176="Cadence dépassée : vérifiez la cadence"),1,0)</f>
        <v>1.0</v>
      </c>
      <c r="AD176">
        <f>IF(AND(AC176=1,A176&gt;=p_from,A176&lt;=p_to),1,0)</f>
        <v>1.0</v>
      </c>
      <c r="AE176">
        <f>IF(AD176=1,IF(COUNTIFS($A$6:A176,A176,$AD$6:AD176,1)=1,1,0),0)</f>
        <v>1.0</v>
      </c>
      <c r="AF176">
        <f>IF(AE176=1,COUNTIFS(sj_first,1,sj_date,"&lt;"&amp;A176)+1,"")</f>
        <v>18.0</v>
      </c>
      <c r="AG176" t="str">
        <f>IF(AND(AD176=1,N(W176)&lt;p_alert),ROUND(W176,4),"")</f>
        <v/>
      </c>
      <c r="AH176" t="str">
        <f>IF(AG176="","",COUNTIF(sj_akey,"&lt;"&amp;AG176)+COUNTIF($AG$6:AG176,AG176))</f>
        <v/>
      </c>
    </row>
    <row r="177">
      <c r="A177" s="51" t="n">
        <v>46309</v>
      </c>
      <c r="B177" s="52" t="inlineStr">
        <is>
          <t>Après-midi</t>
        </is>
      </c>
      <c r="C177" s="52" t="inlineStr">
        <is>
          <t>TOUR1</t>
        </is>
      </c>
      <c r="D177" s="53" t="inlineStr">
        <is>
          <t>OF-2610-159</t>
        </is>
      </c>
      <c r="E177" s="53" t="inlineStr">
        <is>
          <t>AXE-R20</t>
        </is>
      </c>
      <c r="F177" s="54" t="n"/>
      <c r="G177" s="54" t="n">
        <v>162</v>
      </c>
      <c r="H177" s="54" t="n">
        <v>2</v>
      </c>
      <c r="I177" s="54" t="n">
        <v>1</v>
      </c>
      <c r="J177" s="53" t="n"/>
      <c r="K177" s="55">
        <f>IF(COUNTA(A177:I177)=0,"",IF(F177="",IFERROR(INDEX(eq_dur,MATCH(B177,eq_code,0)),""),F177))</f>
        <v>480.0</v>
      </c>
      <c r="L177" s="55">
        <f>IF(ISNUMBER(K177),N(IFERROR(INDEX(eq_pause,MATCH(B177,eq_code,0)),0))+SUMIFS(st_min,st_date,A177,st_eq,B177,st_po,C177,st_type,"Planifié"),"")</f>
        <v>30.0</v>
      </c>
      <c r="M177" s="55">
        <f>IF(ISNUMBER(K177),K177-L177,"")</f>
        <v>450.0</v>
      </c>
      <c r="N177" s="55">
        <f>IF(ISNUMBER(K177),SUMIFS(st_min,st_date,A177,st_eq,B177,st_po,C177,st_type,"Non planifié"),"")</f>
        <v>103.0</v>
      </c>
      <c r="O177" s="55">
        <f>IF(ISNUMBER(K177),M177-N177,"")</f>
        <v>347.0</v>
      </c>
      <c r="P177" s="55">
        <f>IF(COUNTA(A177:I177)=0,"",N(G177)+N(H177)+N(I177))</f>
        <v>165.0</v>
      </c>
      <c r="Q177" s="56">
        <f>IF(COUNTA(A177:I177)=0,"",IF(N(IFERROR(INDEX(art_rate,MATCH(E177,art_ref,0)),0))&gt;0,N(IFERROR(INDEX(art_rate,MATCH(E177,art_ref,0)),0)),N(IFERROR(INDEX(po_rate,MATCH(C177,po_code,0)),0))))</f>
        <v>30.0</v>
      </c>
      <c r="R177" s="55">
        <f>IF(AC177=1,P177*60/Q177,"")</f>
        <v>330.0</v>
      </c>
      <c r="S177" s="55">
        <f>IF(AC177=1,N(G177)*60/Q177,"")</f>
        <v>324.0</v>
      </c>
      <c r="T177" s="57">
        <f>IF(AC177=1,O177/M177,"")</f>
        <v>0.771111111111111</v>
      </c>
      <c r="U177" s="57">
        <f>IF(AC177=1,IF(O177&gt;0,R177/O177,""),"")</f>
        <v>0.951008645533141</v>
      </c>
      <c r="V177" s="57">
        <f>IF(AC177=1,IF(P177&gt;0,N(G177)/P177,""),"")</f>
        <v>0.981818181818182</v>
      </c>
      <c r="W177" s="57">
        <f>IF(AC177=1,S177/M177,"")</f>
        <v>0.72</v>
      </c>
      <c r="X177" s="57">
        <f>IF(AC177=1,S177/K177,"")</f>
        <v>0.675</v>
      </c>
      <c r="Y177" s="58" t="str">
        <f>IF(W177="","",IF(W177&gt;=p_target,"Bon",IF(W177&gt;=p_alert,"À surveiller","Faible")))</f>
        <v>À surveiller</v>
      </c>
      <c r="Z177" s="58" t="str">
        <f>IF(W177="","",IF(MIN(IF(T177="",1,T177),IF(U177="",1,U177),IF(V177="",1,V177))&gt;=1,"Aucune",IF(IF(T177="",1,T177)&lt;=MIN(IF(U177="",1,U177),IF(V177="",1,V177)),"Disponibilité",IF(IF(U177="",1,U177)&lt;=IF(V177="",1,V177),"Performance","Qualité"))))</f>
        <v>Disponibilité</v>
      </c>
      <c r="AA177" s="59">
        <f>IF(AC177=1,N(H177)*N(IFERROR(INDEX(art_cost,MATCH(E177,art_ref,0)),0)),"")</f>
        <v>77.0</v>
      </c>
      <c r="AB177" s="58" t="str">
        <f>IF(COUNTA(A177:I177)=0,"",IF(N(A177)&lt;=0,"Date manquante ou invalide",IF(B177="","Équipe manquante",IF(ISNA(MATCH(B177,eq_code,0)),"Équipe inconnue",IF(INDEX(eq_check,MATCH(B177,eq_code,0))&lt;&gt;"OK","Équipe à corriger dans Paramètres",IF(C177="","Poste manquant",IF(ISNA(MATCH(C177,po_code,0)),"Poste inconnu",IF(AND(E177&lt;&gt;"",ISNA(MATCH(E177,art_ref,0))),"Article inconnu",IF(IF(E177="",FALSE,INDEX(art_check,MATCH(E177,art_ref,0))&lt;&gt;"OK"),"Article à corriger (feuille Articles)",IF(COUNTIFS(sj_date,A177,sj_eq,B177,sj_po,C177)&gt;1,"Ligne en double (même jour, équipe et poste)",IF(OR(NOT(ISNUMBER(K177)),N(K177)&lt;=0,N(K177)&gt;1440),"Temps d'ouverture invalide",IF(OR(AND(G177&lt;&gt;"",NOT(ISNUMBER(G177))),N(G177)&lt;0,N(G177)&lt;&gt;INT(N(G177)),AND(H177&lt;&gt;"",NOT(ISNUMBER(H177))),N(H177)&lt;0,N(H177)&lt;&gt;INT(N(H177)),AND(I177&lt;&gt;"",NOT(ISNUMBER(I177))),N(I177)&lt;0,N(I177)&lt;&gt;INT(N(I177))),"Quantité invalide",IF(Q177&lt;=0,"Cadence manquante (poste ou article)",IF(M177&lt;=0,"Arrêts planifiés supérieurs au temps d'ouverture",IF(O177&lt;0,"Arrêts supérieurs au temps requis",IF(AND(P177&gt;0,O177=0),"Pièces déclarées sans temps de marche",IF(AND(P177=0,O177&gt;0),"Aucune pièce déclarée",IF(P177*60/Q177&gt;O177+0.001,"Cadence dépassée : vérifiez la cadence","OK"))))))))))))))))))</f>
        <v>OK</v>
      </c>
      <c r="AC177">
        <f>IF(OR(AB177="OK",AB177="Aucune pièce déclarée",AB177="Cadence dépassée : vérifiez la cadence"),1,0)</f>
        <v>1.0</v>
      </c>
      <c r="AD177">
        <f>IF(AND(AC177=1,A177&gt;=p_from,A177&lt;=p_to),1,0)</f>
        <v>1.0</v>
      </c>
      <c r="AE177">
        <f>IF(AD177=1,IF(COUNTIFS($A$6:A177,A177,$AD$6:AD177,1)=1,1,0),0)</f>
        <v>0.0</v>
      </c>
      <c r="AF177" t="str">
        <f>IF(AE177=1,COUNTIFS(sj_first,1,sj_date,"&lt;"&amp;A177)+1,"")</f>
        <v/>
      </c>
      <c r="AG177" t="str">
        <f>IF(AND(AD177=1,N(W177)&lt;p_alert),ROUND(W177,4),"")</f>
        <v/>
      </c>
      <c r="AH177" t="str">
        <f>IF(AG177="","",COUNTIF(sj_akey,"&lt;"&amp;AG177)+COUNTIF($AG$6:AG177,AG177))</f>
        <v/>
      </c>
    </row>
    <row r="178">
      <c r="A178" s="51" t="n">
        <v>46309</v>
      </c>
      <c r="B178" s="52" t="inlineStr">
        <is>
          <t>Matin</t>
        </is>
      </c>
      <c r="C178" s="52" t="inlineStr">
        <is>
          <t>TOUR2</t>
        </is>
      </c>
      <c r="D178" s="53" t="inlineStr">
        <is>
          <t>OF-2610-162</t>
        </is>
      </c>
      <c r="E178" s="53" t="inlineStr">
        <is>
          <t>ENT-12</t>
        </is>
      </c>
      <c r="F178" s="54" t="n"/>
      <c r="G178" s="54" t="n">
        <v>171</v>
      </c>
      <c r="H178" s="54" t="n">
        <v>2</v>
      </c>
      <c r="I178" s="54" t="n">
        <v>1</v>
      </c>
      <c r="J178" s="53" t="n"/>
      <c r="K178" s="55">
        <f>IF(COUNTA(A178:I178)=0,"",IF(F178="",IFERROR(INDEX(eq_dur,MATCH(B178,eq_code,0)),""),F178))</f>
        <v>480.0</v>
      </c>
      <c r="L178" s="55">
        <f>IF(ISNUMBER(K178),N(IFERROR(INDEX(eq_pause,MATCH(B178,eq_code,0)),0))+SUMIFS(st_min,st_date,A178,st_eq,B178,st_po,C178,st_type,"Planifié"),"")</f>
        <v>30.0</v>
      </c>
      <c r="M178" s="55">
        <f>IF(ISNUMBER(K178),K178-L178,"")</f>
        <v>450.0</v>
      </c>
      <c r="N178" s="55">
        <f>IF(ISNUMBER(K178),SUMIFS(st_min,st_date,A178,st_eq,B178,st_po,C178,st_type,"Non planifié"),"")</f>
        <v>208.0</v>
      </c>
      <c r="O178" s="55">
        <f>IF(ISNUMBER(K178),M178-N178,"")</f>
        <v>242.0</v>
      </c>
      <c r="P178" s="55">
        <f>IF(COUNTA(A178:I178)=0,"",N(G178)+N(H178)+N(I178))</f>
        <v>174.0</v>
      </c>
      <c r="Q178" s="56">
        <f>IF(COUNTA(A178:I178)=0,"",IF(N(IFERROR(INDEX(art_rate,MATCH(E178,art_ref,0)),0))&gt;0,N(IFERROR(INDEX(art_rate,MATCH(E178,art_ref,0)),0)),N(IFERROR(INDEX(po_rate,MATCH(C178,po_code,0)),0))))</f>
        <v>55.0</v>
      </c>
      <c r="R178" s="55">
        <f>IF(AC178=1,P178*60/Q178,"")</f>
        <v>189.818181818182</v>
      </c>
      <c r="S178" s="55">
        <f>IF(AC178=1,N(G178)*60/Q178,"")</f>
        <v>186.545454545455</v>
      </c>
      <c r="T178" s="57">
        <f>IF(AC178=1,O178/M178,"")</f>
        <v>0.537777777777778</v>
      </c>
      <c r="U178" s="57">
        <f>IF(AC178=1,IF(O178&gt;0,R178/O178,""),"")</f>
        <v>0.784372652141247</v>
      </c>
      <c r="V178" s="57">
        <f>IF(AC178=1,IF(P178&gt;0,N(G178)/P178,""),"")</f>
        <v>0.982758620689655</v>
      </c>
      <c r="W178" s="57">
        <f>IF(AC178=1,S178/M178,"")</f>
        <v>0.414545454545455</v>
      </c>
      <c r="X178" s="57">
        <f>IF(AC178=1,S178/K178,"")</f>
        <v>0.388636363636364</v>
      </c>
      <c r="Y178" s="58" t="str">
        <f>IF(W178="","",IF(W178&gt;=p_target,"Bon",IF(W178&gt;=p_alert,"À surveiller","Faible")))</f>
        <v>Faible</v>
      </c>
      <c r="Z178" s="58" t="str">
        <f>IF(W178="","",IF(MIN(IF(T178="",1,T178),IF(U178="",1,U178),IF(V178="",1,V178))&gt;=1,"Aucune",IF(IF(T178="",1,T178)&lt;=MIN(IF(U178="",1,U178),IF(V178="",1,V178)),"Disponibilité",IF(IF(U178="",1,U178)&lt;=IF(V178="",1,V178),"Performance","Qualité"))))</f>
        <v>Disponibilité</v>
      </c>
      <c r="AA178" s="59">
        <f>IF(AC178=1,N(H178)*N(IFERROR(INDEX(art_cost,MATCH(E178,art_ref,0)),0)),"")</f>
        <v>13.6</v>
      </c>
      <c r="AB178" s="58" t="str">
        <f>IF(COUNTA(A178:I178)=0,"",IF(N(A178)&lt;=0,"Date manquante ou invalide",IF(B178="","Équipe manquante",IF(ISNA(MATCH(B178,eq_code,0)),"Équipe inconnue",IF(INDEX(eq_check,MATCH(B178,eq_code,0))&lt;&gt;"OK","Équipe à corriger dans Paramètres",IF(C178="","Poste manquant",IF(ISNA(MATCH(C178,po_code,0)),"Poste inconnu",IF(AND(E178&lt;&gt;"",ISNA(MATCH(E178,art_ref,0))),"Article inconnu",IF(IF(E178="",FALSE,INDEX(art_check,MATCH(E178,art_ref,0))&lt;&gt;"OK"),"Article à corriger (feuille Articles)",IF(COUNTIFS(sj_date,A178,sj_eq,B178,sj_po,C178)&gt;1,"Ligne en double (même jour, équipe et poste)",IF(OR(NOT(ISNUMBER(K178)),N(K178)&lt;=0,N(K178)&gt;1440),"Temps d'ouverture invalide",IF(OR(AND(G178&lt;&gt;"",NOT(ISNUMBER(G178))),N(G178)&lt;0,N(G178)&lt;&gt;INT(N(G178)),AND(H178&lt;&gt;"",NOT(ISNUMBER(H178))),N(H178)&lt;0,N(H178)&lt;&gt;INT(N(H178)),AND(I178&lt;&gt;"",NOT(ISNUMBER(I178))),N(I178)&lt;0,N(I178)&lt;&gt;INT(N(I178))),"Quantité invalide",IF(Q178&lt;=0,"Cadence manquante (poste ou article)",IF(M178&lt;=0,"Arrêts planifiés supérieurs au temps d'ouverture",IF(O178&lt;0,"Arrêts supérieurs au temps requis",IF(AND(P178&gt;0,O178=0),"Pièces déclarées sans temps de marche",IF(AND(P178=0,O178&gt;0),"Aucune pièce déclarée",IF(P178*60/Q178&gt;O178+0.001,"Cadence dépassée : vérifiez la cadence","OK"))))))))))))))))))</f>
        <v>OK</v>
      </c>
      <c r="AC178">
        <f>IF(OR(AB178="OK",AB178="Aucune pièce déclarée",AB178="Cadence dépassée : vérifiez la cadence"),1,0)</f>
        <v>1.0</v>
      </c>
      <c r="AD178">
        <f>IF(AND(AC178=1,A178&gt;=p_from,A178&lt;=p_to),1,0)</f>
        <v>1.0</v>
      </c>
      <c r="AE178">
        <f>IF(AD178=1,IF(COUNTIFS($A$6:A178,A178,$AD$6:AD178,1)=1,1,0),0)</f>
        <v>0.0</v>
      </c>
      <c r="AF178" t="str">
        <f>IF(AE178=1,COUNTIFS(sj_first,1,sj_date,"&lt;"&amp;A178)+1,"")</f>
        <v/>
      </c>
      <c r="AG178">
        <f>IF(AND(AD178=1,N(W178)&lt;p_alert),ROUND(W178,4),"")</f>
        <v>0.4145</v>
      </c>
      <c r="AH178">
        <f>IF(AG178="","",COUNTIF(sj_akey,"&lt;"&amp;AG178)+COUNTIF($AG$6:AG178,AG178))</f>
        <v>14.0</v>
      </c>
    </row>
    <row r="179">
      <c r="A179" s="51" t="n">
        <v>46309</v>
      </c>
      <c r="B179" s="52" t="inlineStr">
        <is>
          <t>Après-midi</t>
        </is>
      </c>
      <c r="C179" s="52" t="inlineStr">
        <is>
          <t>TOUR2</t>
        </is>
      </c>
      <c r="D179" s="53" t="inlineStr">
        <is>
          <t>OF-2610-138</t>
        </is>
      </c>
      <c r="E179" s="53" t="inlineStr">
        <is>
          <t>ENT-12</t>
        </is>
      </c>
      <c r="F179" s="54" t="n"/>
      <c r="G179" s="54" t="n">
        <v>280</v>
      </c>
      <c r="H179" s="54" t="n">
        <v>7</v>
      </c>
      <c r="I179" s="54" t="n">
        <v>0</v>
      </c>
      <c r="J179" s="53" t="n"/>
      <c r="K179" s="55">
        <f>IF(COUNTA(A179:I179)=0,"",IF(F179="",IFERROR(INDEX(eq_dur,MATCH(B179,eq_code,0)),""),F179))</f>
        <v>480.0</v>
      </c>
      <c r="L179" s="55">
        <f>IF(ISNUMBER(K179),N(IFERROR(INDEX(eq_pause,MATCH(B179,eq_code,0)),0))+SUMIFS(st_min,st_date,A179,st_eq,B179,st_po,C179,st_type,"Planifié"),"")</f>
        <v>30.0</v>
      </c>
      <c r="M179" s="55">
        <f>IF(ISNUMBER(K179),K179-L179,"")</f>
        <v>450.0</v>
      </c>
      <c r="N179" s="55">
        <f>IF(ISNUMBER(K179),SUMIFS(st_min,st_date,A179,st_eq,B179,st_po,C179,st_type,"Non planifié"),"")</f>
        <v>118.0</v>
      </c>
      <c r="O179" s="55">
        <f>IF(ISNUMBER(K179),M179-N179,"")</f>
        <v>332.0</v>
      </c>
      <c r="P179" s="55">
        <f>IF(COUNTA(A179:I179)=0,"",N(G179)+N(H179)+N(I179))</f>
        <v>287.0</v>
      </c>
      <c r="Q179" s="56">
        <f>IF(COUNTA(A179:I179)=0,"",IF(N(IFERROR(INDEX(art_rate,MATCH(E179,art_ref,0)),0))&gt;0,N(IFERROR(INDEX(art_rate,MATCH(E179,art_ref,0)),0)),N(IFERROR(INDEX(po_rate,MATCH(C179,po_code,0)),0))))</f>
        <v>55.0</v>
      </c>
      <c r="R179" s="55">
        <f>IF(AC179=1,P179*60/Q179,"")</f>
        <v>313.090909090909</v>
      </c>
      <c r="S179" s="55">
        <f>IF(AC179=1,N(G179)*60/Q179,"")</f>
        <v>305.454545454545</v>
      </c>
      <c r="T179" s="57">
        <f>IF(AC179=1,O179/M179,"")</f>
        <v>0.737777777777778</v>
      </c>
      <c r="U179" s="57">
        <f>IF(AC179=1,IF(O179&gt;0,R179/O179,""),"")</f>
        <v>0.943044906900329</v>
      </c>
      <c r="V179" s="57">
        <f>IF(AC179=1,IF(P179&gt;0,N(G179)/P179,""),"")</f>
        <v>0.975609756097561</v>
      </c>
      <c r="W179" s="57">
        <f>IF(AC179=1,S179/M179,"")</f>
        <v>0.678787878787879</v>
      </c>
      <c r="X179" s="57">
        <f>IF(AC179=1,S179/K179,"")</f>
        <v>0.636363636363636</v>
      </c>
      <c r="Y179" s="58" t="str">
        <f>IF(W179="","",IF(W179&gt;=p_target,"Bon",IF(W179&gt;=p_alert,"À surveiller","Faible")))</f>
        <v>À surveiller</v>
      </c>
      <c r="Z179" s="58" t="str">
        <f>IF(W179="","",IF(MIN(IF(T179="",1,T179),IF(U179="",1,U179),IF(V179="",1,V179))&gt;=1,"Aucune",IF(IF(T179="",1,T179)&lt;=MIN(IF(U179="",1,U179),IF(V179="",1,V179)),"Disponibilité",IF(IF(U179="",1,U179)&lt;=IF(V179="",1,V179),"Performance","Qualité"))))</f>
        <v>Disponibilité</v>
      </c>
      <c r="AA179" s="59">
        <f>IF(AC179=1,N(H179)*N(IFERROR(INDEX(art_cost,MATCH(E179,art_ref,0)),0)),"")</f>
        <v>47.6</v>
      </c>
      <c r="AB179" s="58" t="str">
        <f>IF(COUNTA(A179:I179)=0,"",IF(N(A179)&lt;=0,"Date manquante ou invalide",IF(B179="","Équipe manquante",IF(ISNA(MATCH(B179,eq_code,0)),"Équipe inconnue",IF(INDEX(eq_check,MATCH(B179,eq_code,0))&lt;&gt;"OK","Équipe à corriger dans Paramètres",IF(C179="","Poste manquant",IF(ISNA(MATCH(C179,po_code,0)),"Poste inconnu",IF(AND(E179&lt;&gt;"",ISNA(MATCH(E179,art_ref,0))),"Article inconnu",IF(IF(E179="",FALSE,INDEX(art_check,MATCH(E179,art_ref,0))&lt;&gt;"OK"),"Article à corriger (feuille Articles)",IF(COUNTIFS(sj_date,A179,sj_eq,B179,sj_po,C179)&gt;1,"Ligne en double (même jour, équipe et poste)",IF(OR(NOT(ISNUMBER(K179)),N(K179)&lt;=0,N(K179)&gt;1440),"Temps d'ouverture invalide",IF(OR(AND(G179&lt;&gt;"",NOT(ISNUMBER(G179))),N(G179)&lt;0,N(G179)&lt;&gt;INT(N(G179)),AND(H179&lt;&gt;"",NOT(ISNUMBER(H179))),N(H179)&lt;0,N(H179)&lt;&gt;INT(N(H179)),AND(I179&lt;&gt;"",NOT(ISNUMBER(I179))),N(I179)&lt;0,N(I179)&lt;&gt;INT(N(I179))),"Quantité invalide",IF(Q179&lt;=0,"Cadence manquante (poste ou article)",IF(M179&lt;=0,"Arrêts planifiés supérieurs au temps d'ouverture",IF(O179&lt;0,"Arrêts supérieurs au temps requis",IF(AND(P179&gt;0,O179=0),"Pièces déclarées sans temps de marche",IF(AND(P179=0,O179&gt;0),"Aucune pièce déclarée",IF(P179*60/Q179&gt;O179+0.001,"Cadence dépassée : vérifiez la cadence","OK"))))))))))))))))))</f>
        <v>OK</v>
      </c>
      <c r="AC179">
        <f>IF(OR(AB179="OK",AB179="Aucune pièce déclarée",AB179="Cadence dépassée : vérifiez la cadence"),1,0)</f>
        <v>1.0</v>
      </c>
      <c r="AD179">
        <f>IF(AND(AC179=1,A179&gt;=p_from,A179&lt;=p_to),1,0)</f>
        <v>1.0</v>
      </c>
      <c r="AE179">
        <f>IF(AD179=1,IF(COUNTIFS($A$6:A179,A179,$AD$6:AD179,1)=1,1,0),0)</f>
        <v>0.0</v>
      </c>
      <c r="AF179" t="str">
        <f>IF(AE179=1,COUNTIFS(sj_first,1,sj_date,"&lt;"&amp;A179)+1,"")</f>
        <v/>
      </c>
      <c r="AG179" t="str">
        <f>IF(AND(AD179=1,N(W179)&lt;p_alert),ROUND(W179,4),"")</f>
        <v/>
      </c>
      <c r="AH179" t="str">
        <f>IF(AG179="","",COUNTIF(sj_akey,"&lt;"&amp;AG179)+COUNTIF($AG$6:AG179,AG179))</f>
        <v/>
      </c>
    </row>
    <row r="180">
      <c r="A180" s="51" t="n">
        <v>46309</v>
      </c>
      <c r="B180" s="52" t="inlineStr">
        <is>
          <t>Matin</t>
        </is>
      </c>
      <c r="C180" s="52" t="inlineStr">
        <is>
          <t>USIN</t>
        </is>
      </c>
      <c r="D180" s="53" t="inlineStr">
        <is>
          <t>OF-2610-157</t>
        </is>
      </c>
      <c r="E180" s="53" t="inlineStr">
        <is>
          <t>FLA-PL-150</t>
        </is>
      </c>
      <c r="F180" s="54" t="n"/>
      <c r="G180" s="54" t="n">
        <v>76</v>
      </c>
      <c r="H180" s="54" t="n">
        <v>1</v>
      </c>
      <c r="I180" s="54" t="n">
        <v>0</v>
      </c>
      <c r="J180" s="53" t="n"/>
      <c r="K180" s="55">
        <f>IF(COUNTA(A180:I180)=0,"",IF(F180="",IFERROR(INDEX(eq_dur,MATCH(B180,eq_code,0)),""),F180))</f>
        <v>480.0</v>
      </c>
      <c r="L180" s="55">
        <f>IF(ISNUMBER(K180),N(IFERROR(INDEX(eq_pause,MATCH(B180,eq_code,0)),0))+SUMIFS(st_min,st_date,A180,st_eq,B180,st_po,C180,st_type,"Planifié"),"")</f>
        <v>30.0</v>
      </c>
      <c r="M180" s="55">
        <f>IF(ISNUMBER(K180),K180-L180,"")</f>
        <v>450.0</v>
      </c>
      <c r="N180" s="55">
        <f>IF(ISNUMBER(K180),SUMIFS(st_min,st_date,A180,st_eq,B180,st_po,C180,st_type,"Non planifié"),"")</f>
        <v>32.0</v>
      </c>
      <c r="O180" s="55">
        <f>IF(ISNUMBER(K180),M180-N180,"")</f>
        <v>418.0</v>
      </c>
      <c r="P180" s="55">
        <f>IF(COUNTA(A180:I180)=0,"",N(G180)+N(H180)+N(I180))</f>
        <v>77.0</v>
      </c>
      <c r="Q180" s="56">
        <f>IF(COUNTA(A180:I180)=0,"",IF(N(IFERROR(INDEX(art_rate,MATCH(E180,art_ref,0)),0))&gt;0,N(IFERROR(INDEX(art_rate,MATCH(E180,art_ref,0)),0)),N(IFERROR(INDEX(po_rate,MATCH(C180,po_code,0)),0))))</f>
        <v>12.0</v>
      </c>
      <c r="R180" s="55">
        <f>IF(AC180=1,P180*60/Q180,"")</f>
        <v>385.0</v>
      </c>
      <c r="S180" s="55">
        <f>IF(AC180=1,N(G180)*60/Q180,"")</f>
        <v>380.0</v>
      </c>
      <c r="T180" s="57">
        <f>IF(AC180=1,O180/M180,"")</f>
        <v>0.928888888888889</v>
      </c>
      <c r="U180" s="57">
        <f>IF(AC180=1,IF(O180&gt;0,R180/O180,""),"")</f>
        <v>0.921052631578947</v>
      </c>
      <c r="V180" s="57">
        <f>IF(AC180=1,IF(P180&gt;0,N(G180)/P180,""),"")</f>
        <v>0.987012987012987</v>
      </c>
      <c r="W180" s="57">
        <f>IF(AC180=1,S180/M180,"")</f>
        <v>0.844444444444444</v>
      </c>
      <c r="X180" s="57">
        <f>IF(AC180=1,S180/K180,"")</f>
        <v>0.791666666666667</v>
      </c>
      <c r="Y180" s="58" t="str">
        <f>IF(W180="","",IF(W180&gt;=p_target,"Bon",IF(W180&gt;=p_alert,"À surveiller","Faible")))</f>
        <v>Bon</v>
      </c>
      <c r="Z180" s="58" t="str">
        <f>IF(W180="","",IF(MIN(IF(T180="",1,T180),IF(U180="",1,U180),IF(V180="",1,V180))&gt;=1,"Aucune",IF(IF(T180="",1,T180)&lt;=MIN(IF(U180="",1,U180),IF(V180="",1,V180)),"Disponibilité",IF(IF(U180="",1,U180)&lt;=IF(V180="",1,V180),"Performance","Qualité"))))</f>
        <v>Performance</v>
      </c>
      <c r="AA180" s="59">
        <f>IF(AC180=1,N(H180)*N(IFERROR(INDEX(art_cost,MATCH(E180,art_ref,0)),0)),"")</f>
        <v>145.0</v>
      </c>
      <c r="AB180" s="58" t="str">
        <f>IF(COUNTA(A180:I180)=0,"",IF(N(A180)&lt;=0,"Date manquante ou invalide",IF(B180="","Équipe manquante",IF(ISNA(MATCH(B180,eq_code,0)),"Équipe inconnue",IF(INDEX(eq_check,MATCH(B180,eq_code,0))&lt;&gt;"OK","Équipe à corriger dans Paramètres",IF(C180="","Poste manquant",IF(ISNA(MATCH(C180,po_code,0)),"Poste inconnu",IF(AND(E180&lt;&gt;"",ISNA(MATCH(E180,art_ref,0))),"Article inconnu",IF(IF(E180="",FALSE,INDEX(art_check,MATCH(E180,art_ref,0))&lt;&gt;"OK"),"Article à corriger (feuille Articles)",IF(COUNTIFS(sj_date,A180,sj_eq,B180,sj_po,C180)&gt;1,"Ligne en double (même jour, équipe et poste)",IF(OR(NOT(ISNUMBER(K180)),N(K180)&lt;=0,N(K180)&gt;1440),"Temps d'ouverture invalide",IF(OR(AND(G180&lt;&gt;"",NOT(ISNUMBER(G180))),N(G180)&lt;0,N(G180)&lt;&gt;INT(N(G180)),AND(H180&lt;&gt;"",NOT(ISNUMBER(H180))),N(H180)&lt;0,N(H180)&lt;&gt;INT(N(H180)),AND(I180&lt;&gt;"",NOT(ISNUMBER(I180))),N(I180)&lt;0,N(I180)&lt;&gt;INT(N(I180))),"Quantité invalide",IF(Q180&lt;=0,"Cadence manquante (poste ou article)",IF(M180&lt;=0,"Arrêts planifiés supérieurs au temps d'ouverture",IF(O180&lt;0,"Arrêts supérieurs au temps requis",IF(AND(P180&gt;0,O180=0),"Pièces déclarées sans temps de marche",IF(AND(P180=0,O180&gt;0),"Aucune pièce déclarée",IF(P180*60/Q180&gt;O180+0.001,"Cadence dépassée : vérifiez la cadence","OK"))))))))))))))))))</f>
        <v>OK</v>
      </c>
      <c r="AC180">
        <f>IF(OR(AB180="OK",AB180="Aucune pièce déclarée",AB180="Cadence dépassée : vérifiez la cadence"),1,0)</f>
        <v>1.0</v>
      </c>
      <c r="AD180">
        <f>IF(AND(AC180=1,A180&gt;=p_from,A180&lt;=p_to),1,0)</f>
        <v>1.0</v>
      </c>
      <c r="AE180">
        <f>IF(AD180=1,IF(COUNTIFS($A$6:A180,A180,$AD$6:AD180,1)=1,1,0),0)</f>
        <v>0.0</v>
      </c>
      <c r="AF180" t="str">
        <f>IF(AE180=1,COUNTIFS(sj_first,1,sj_date,"&lt;"&amp;A180)+1,"")</f>
        <v/>
      </c>
      <c r="AG180" t="str">
        <f>IF(AND(AD180=1,N(W180)&lt;p_alert),ROUND(W180,4),"")</f>
        <v/>
      </c>
      <c r="AH180" t="str">
        <f>IF(AG180="","",COUNTIF(sj_akey,"&lt;"&amp;AG180)+COUNTIF($AG$6:AG180,AG180))</f>
        <v/>
      </c>
    </row>
    <row r="181">
      <c r="A181" s="51" t="n">
        <v>46309</v>
      </c>
      <c r="B181" s="52" t="inlineStr">
        <is>
          <t>Après-midi</t>
        </is>
      </c>
      <c r="C181" s="52" t="inlineStr">
        <is>
          <t>USIN</t>
        </is>
      </c>
      <c r="D181" s="53" t="inlineStr">
        <is>
          <t>OF-2610-139</t>
        </is>
      </c>
      <c r="E181" s="53" t="inlineStr">
        <is>
          <t>FLA-PL-150</t>
        </is>
      </c>
      <c r="F181" s="54" t="n"/>
      <c r="G181" s="54" t="n">
        <v>82</v>
      </c>
      <c r="H181" s="54" t="n">
        <v>0</v>
      </c>
      <c r="I181" s="54" t="n">
        <v>0</v>
      </c>
      <c r="J181" s="53" t="n"/>
      <c r="K181" s="55">
        <f>IF(COUNTA(A181:I181)=0,"",IF(F181="",IFERROR(INDEX(eq_dur,MATCH(B181,eq_code,0)),""),F181))</f>
        <v>480.0</v>
      </c>
      <c r="L181" s="55">
        <f>IF(ISNUMBER(K181),N(IFERROR(INDEX(eq_pause,MATCH(B181,eq_code,0)),0))+SUMIFS(st_min,st_date,A181,st_eq,B181,st_po,C181,st_type,"Planifié"),"")</f>
        <v>30.0</v>
      </c>
      <c r="M181" s="55">
        <f>IF(ISNUMBER(K181),K181-L181,"")</f>
        <v>450.0</v>
      </c>
      <c r="N181" s="55">
        <f>IF(ISNUMBER(K181),SUMIFS(st_min,st_date,A181,st_eq,B181,st_po,C181,st_type,"Non planifié"),"")</f>
        <v>0.0</v>
      </c>
      <c r="O181" s="55">
        <f>IF(ISNUMBER(K181),M181-N181,"")</f>
        <v>450.0</v>
      </c>
      <c r="P181" s="55">
        <f>IF(COUNTA(A181:I181)=0,"",N(G181)+N(H181)+N(I181))</f>
        <v>82.0</v>
      </c>
      <c r="Q181" s="56">
        <f>IF(COUNTA(A181:I181)=0,"",IF(N(IFERROR(INDEX(art_rate,MATCH(E181,art_ref,0)),0))&gt;0,N(IFERROR(INDEX(art_rate,MATCH(E181,art_ref,0)),0)),N(IFERROR(INDEX(po_rate,MATCH(C181,po_code,0)),0))))</f>
        <v>12.0</v>
      </c>
      <c r="R181" s="55">
        <f>IF(AC181=1,P181*60/Q181,"")</f>
        <v>410.0</v>
      </c>
      <c r="S181" s="55">
        <f>IF(AC181=1,N(G181)*60/Q181,"")</f>
        <v>410.0</v>
      </c>
      <c r="T181" s="57">
        <f>IF(AC181=1,O181/M181,"")</f>
        <v>1.0</v>
      </c>
      <c r="U181" s="57">
        <f>IF(AC181=1,IF(O181&gt;0,R181/O181,""),"")</f>
        <v>0.911111111111111</v>
      </c>
      <c r="V181" s="57">
        <f>IF(AC181=1,IF(P181&gt;0,N(G181)/P181,""),"")</f>
        <v>1.0</v>
      </c>
      <c r="W181" s="57">
        <f>IF(AC181=1,S181/M181,"")</f>
        <v>0.911111111111111</v>
      </c>
      <c r="X181" s="57">
        <f>IF(AC181=1,S181/K181,"")</f>
        <v>0.854166666666667</v>
      </c>
      <c r="Y181" s="58" t="str">
        <f>IF(W181="","",IF(W181&gt;=p_target,"Bon",IF(W181&gt;=p_alert,"À surveiller","Faible")))</f>
        <v>Bon</v>
      </c>
      <c r="Z181" s="58" t="str">
        <f>IF(W181="","",IF(MIN(IF(T181="",1,T181),IF(U181="",1,U181),IF(V181="",1,V181))&gt;=1,"Aucune",IF(IF(T181="",1,T181)&lt;=MIN(IF(U181="",1,U181),IF(V181="",1,V181)),"Disponibilité",IF(IF(U181="",1,U181)&lt;=IF(V181="",1,V181),"Performance","Qualité"))))</f>
        <v>Performance</v>
      </c>
      <c r="AA181" s="59">
        <f>IF(AC181=1,N(H181)*N(IFERROR(INDEX(art_cost,MATCH(E181,art_ref,0)),0)),"")</f>
        <v>0.0</v>
      </c>
      <c r="AB181" s="58" t="str">
        <f>IF(COUNTA(A181:I181)=0,"",IF(N(A181)&lt;=0,"Date manquante ou invalide",IF(B181="","Équipe manquante",IF(ISNA(MATCH(B181,eq_code,0)),"Équipe inconnue",IF(INDEX(eq_check,MATCH(B181,eq_code,0))&lt;&gt;"OK","Équipe à corriger dans Paramètres",IF(C181="","Poste manquant",IF(ISNA(MATCH(C181,po_code,0)),"Poste inconnu",IF(AND(E181&lt;&gt;"",ISNA(MATCH(E181,art_ref,0))),"Article inconnu",IF(IF(E181="",FALSE,INDEX(art_check,MATCH(E181,art_ref,0))&lt;&gt;"OK"),"Article à corriger (feuille Articles)",IF(COUNTIFS(sj_date,A181,sj_eq,B181,sj_po,C181)&gt;1,"Ligne en double (même jour, équipe et poste)",IF(OR(NOT(ISNUMBER(K181)),N(K181)&lt;=0,N(K181)&gt;1440),"Temps d'ouverture invalide",IF(OR(AND(G181&lt;&gt;"",NOT(ISNUMBER(G181))),N(G181)&lt;0,N(G181)&lt;&gt;INT(N(G181)),AND(H181&lt;&gt;"",NOT(ISNUMBER(H181))),N(H181)&lt;0,N(H181)&lt;&gt;INT(N(H181)),AND(I181&lt;&gt;"",NOT(ISNUMBER(I181))),N(I181)&lt;0,N(I181)&lt;&gt;INT(N(I181))),"Quantité invalide",IF(Q181&lt;=0,"Cadence manquante (poste ou article)",IF(M181&lt;=0,"Arrêts planifiés supérieurs au temps d'ouverture",IF(O181&lt;0,"Arrêts supérieurs au temps requis",IF(AND(P181&gt;0,O181=0),"Pièces déclarées sans temps de marche",IF(AND(P181=0,O181&gt;0),"Aucune pièce déclarée",IF(P181*60/Q181&gt;O181+0.001,"Cadence dépassée : vérifiez la cadence","OK"))))))))))))))))))</f>
        <v>OK</v>
      </c>
      <c r="AC181">
        <f>IF(OR(AB181="OK",AB181="Aucune pièce déclarée",AB181="Cadence dépassée : vérifiez la cadence"),1,0)</f>
        <v>1.0</v>
      </c>
      <c r="AD181">
        <f>IF(AND(AC181=1,A181&gt;=p_from,A181&lt;=p_to),1,0)</f>
        <v>1.0</v>
      </c>
      <c r="AE181">
        <f>IF(AD181=1,IF(COUNTIFS($A$6:A181,A181,$AD$6:AD181,1)=1,1,0),0)</f>
        <v>0.0</v>
      </c>
      <c r="AF181" t="str">
        <f>IF(AE181=1,COUNTIFS(sj_first,1,sj_date,"&lt;"&amp;A181)+1,"")</f>
        <v/>
      </c>
      <c r="AG181" t="str">
        <f>IF(AND(AD181=1,N(W181)&lt;p_alert),ROUND(W181,4),"")</f>
        <v/>
      </c>
      <c r="AH181" t="str">
        <f>IF(AG181="","",COUNTIF(sj_akey,"&lt;"&amp;AG181)+COUNTIF($AG$6:AG181,AG181))</f>
        <v/>
      </c>
    </row>
    <row r="182">
      <c r="A182" s="51" t="n">
        <v>46309</v>
      </c>
      <c r="B182" s="52" t="inlineStr">
        <is>
          <t>Matin</t>
        </is>
      </c>
      <c r="C182" s="52" t="inlineStr">
        <is>
          <t>PRESSE</t>
        </is>
      </c>
      <c r="D182" s="53" t="inlineStr">
        <is>
          <t>OF-2610-163</t>
        </is>
      </c>
      <c r="E182" s="53" t="inlineStr">
        <is>
          <t>RON-M10</t>
        </is>
      </c>
      <c r="F182" s="54" t="n"/>
      <c r="G182" s="54" t="n">
        <v>3589</v>
      </c>
      <c r="H182" s="54" t="n">
        <v>93</v>
      </c>
      <c r="I182" s="54" t="n">
        <v>18</v>
      </c>
      <c r="J182" s="53" t="n"/>
      <c r="K182" s="55">
        <f>IF(COUNTA(A182:I182)=0,"",IF(F182="",IFERROR(INDEX(eq_dur,MATCH(B182,eq_code,0)),""),F182))</f>
        <v>480.0</v>
      </c>
      <c r="L182" s="55">
        <f>IF(ISNUMBER(K182),N(IFERROR(INDEX(eq_pause,MATCH(B182,eq_code,0)),0))+SUMIFS(st_min,st_date,A182,st_eq,B182,st_po,C182,st_type,"Planifié"),"")</f>
        <v>30.0</v>
      </c>
      <c r="M182" s="55">
        <f>IF(ISNUMBER(K182),K182-L182,"")</f>
        <v>450.0</v>
      </c>
      <c r="N182" s="55">
        <f>IF(ISNUMBER(K182),SUMIFS(st_min,st_date,A182,st_eq,B182,st_po,C182,st_type,"Non planifié"),"")</f>
        <v>47.0</v>
      </c>
      <c r="O182" s="55">
        <f>IF(ISNUMBER(K182),M182-N182,"")</f>
        <v>403.0</v>
      </c>
      <c r="P182" s="55">
        <f>IF(COUNTA(A182:I182)=0,"",N(G182)+N(H182)+N(I182))</f>
        <v>3700.0</v>
      </c>
      <c r="Q182" s="56">
        <f>IF(COUNTA(A182:I182)=0,"",IF(N(IFERROR(INDEX(art_rate,MATCH(E182,art_ref,0)),0))&gt;0,N(IFERROR(INDEX(art_rate,MATCH(E182,art_ref,0)),0)),N(IFERROR(INDEX(po_rate,MATCH(C182,po_code,0)),0))))</f>
        <v>600.0</v>
      </c>
      <c r="R182" s="55">
        <f>IF(AC182=1,P182*60/Q182,"")</f>
        <v>370.0</v>
      </c>
      <c r="S182" s="55">
        <f>IF(AC182=1,N(G182)*60/Q182,"")</f>
        <v>358.9</v>
      </c>
      <c r="T182" s="57">
        <f>IF(AC182=1,O182/M182,"")</f>
        <v>0.895555555555556</v>
      </c>
      <c r="U182" s="57">
        <f>IF(AC182=1,IF(O182&gt;0,R182/O182,""),"")</f>
        <v>0.918114143920596</v>
      </c>
      <c r="V182" s="57">
        <f>IF(AC182=1,IF(P182&gt;0,N(G182)/P182,""),"")</f>
        <v>0.97</v>
      </c>
      <c r="W182" s="57">
        <f>IF(AC182=1,S182/M182,"")</f>
        <v>0.797555555555556</v>
      </c>
      <c r="X182" s="57">
        <f>IF(AC182=1,S182/K182,"")</f>
        <v>0.747708333333333</v>
      </c>
      <c r="Y182" s="58" t="str">
        <f>IF(W182="","",IF(W182&gt;=p_target,"Bon",IF(W182&gt;=p_alert,"À surveiller","Faible")))</f>
        <v>Bon</v>
      </c>
      <c r="Z182" s="58" t="str">
        <f>IF(W182="","",IF(MIN(IF(T182="",1,T182),IF(U182="",1,U182),IF(V182="",1,V182))&gt;=1,"Aucune",IF(IF(T182="",1,T182)&lt;=MIN(IF(U182="",1,U182),IF(V182="",1,V182)),"Disponibilité",IF(IF(U182="",1,U182)&lt;=IF(V182="",1,V182),"Performance","Qualité"))))</f>
        <v>Disponibilité</v>
      </c>
      <c r="AA182" s="59">
        <f>IF(AC182=1,N(H182)*N(IFERROR(INDEX(art_cost,MATCH(E182,art_ref,0)),0)),"")</f>
        <v>83.7</v>
      </c>
      <c r="AB182" s="58" t="str">
        <f>IF(COUNTA(A182:I182)=0,"",IF(N(A182)&lt;=0,"Date manquante ou invalide",IF(B182="","Équipe manquante",IF(ISNA(MATCH(B182,eq_code,0)),"Équipe inconnue",IF(INDEX(eq_check,MATCH(B182,eq_code,0))&lt;&gt;"OK","Équipe à corriger dans Paramètres",IF(C182="","Poste manquant",IF(ISNA(MATCH(C182,po_code,0)),"Poste inconnu",IF(AND(E182&lt;&gt;"",ISNA(MATCH(E182,art_ref,0))),"Article inconnu",IF(IF(E182="",FALSE,INDEX(art_check,MATCH(E182,art_ref,0))&lt;&gt;"OK"),"Article à corriger (feuille Articles)",IF(COUNTIFS(sj_date,A182,sj_eq,B182,sj_po,C182)&gt;1,"Ligne en double (même jour, équipe et poste)",IF(OR(NOT(ISNUMBER(K182)),N(K182)&lt;=0,N(K182)&gt;1440),"Temps d'ouverture invalide",IF(OR(AND(G182&lt;&gt;"",NOT(ISNUMBER(G182))),N(G182)&lt;0,N(G182)&lt;&gt;INT(N(G182)),AND(H182&lt;&gt;"",NOT(ISNUMBER(H182))),N(H182)&lt;0,N(H182)&lt;&gt;INT(N(H182)),AND(I182&lt;&gt;"",NOT(ISNUMBER(I182))),N(I182)&lt;0,N(I182)&lt;&gt;INT(N(I182))),"Quantité invalide",IF(Q182&lt;=0,"Cadence manquante (poste ou article)",IF(M182&lt;=0,"Arrêts planifiés supérieurs au temps d'ouverture",IF(O182&lt;0,"Arrêts supérieurs au temps requis",IF(AND(P182&gt;0,O182=0),"Pièces déclarées sans temps de marche",IF(AND(P182=0,O182&gt;0),"Aucune pièce déclarée",IF(P182*60/Q182&gt;O182+0.001,"Cadence dépassée : vérifiez la cadence","OK"))))))))))))))))))</f>
        <v>OK</v>
      </c>
      <c r="AC182">
        <f>IF(OR(AB182="OK",AB182="Aucune pièce déclarée",AB182="Cadence dépassée : vérifiez la cadence"),1,0)</f>
        <v>1.0</v>
      </c>
      <c r="AD182">
        <f>IF(AND(AC182=1,A182&gt;=p_from,A182&lt;=p_to),1,0)</f>
        <v>1.0</v>
      </c>
      <c r="AE182">
        <f>IF(AD182=1,IF(COUNTIFS($A$6:A182,A182,$AD$6:AD182,1)=1,1,0),0)</f>
        <v>0.0</v>
      </c>
      <c r="AF182" t="str">
        <f>IF(AE182=1,COUNTIFS(sj_first,1,sj_date,"&lt;"&amp;A182)+1,"")</f>
        <v/>
      </c>
      <c r="AG182" t="str">
        <f>IF(AND(AD182=1,N(W182)&lt;p_alert),ROUND(W182,4),"")</f>
        <v/>
      </c>
      <c r="AH182" t="str">
        <f>IF(AG182="","",COUNTIF(sj_akey,"&lt;"&amp;AG182)+COUNTIF($AG$6:AG182,AG182))</f>
        <v/>
      </c>
    </row>
    <row r="183">
      <c r="A183" s="51" t="n">
        <v>46309</v>
      </c>
      <c r="B183" s="52" t="inlineStr">
        <is>
          <t>Journée</t>
        </is>
      </c>
      <c r="C183" s="52" t="inlineStr">
        <is>
          <t>PLIE</t>
        </is>
      </c>
      <c r="D183" s="53" t="inlineStr">
        <is>
          <t>OF-2610-158</t>
        </is>
      </c>
      <c r="E183" s="53" t="inlineStr">
        <is>
          <t>SUP-MOT-01</t>
        </is>
      </c>
      <c r="F183" s="54" t="n"/>
      <c r="G183" s="54" t="n">
        <v>481</v>
      </c>
      <c r="H183" s="54" t="n">
        <v>4</v>
      </c>
      <c r="I183" s="54" t="n">
        <v>0</v>
      </c>
      <c r="J183" s="53" t="n"/>
      <c r="K183" s="55">
        <f>IF(COUNTA(A183:I183)=0,"",IF(F183="",IFERROR(INDEX(eq_dur,MATCH(B183,eq_code,0)),""),F183))</f>
        <v>540.0</v>
      </c>
      <c r="L183" s="55">
        <f>IF(ISNUMBER(K183),N(IFERROR(INDEX(eq_pause,MATCH(B183,eq_code,0)),0))+SUMIFS(st_min,st_date,A183,st_eq,B183,st_po,C183,st_type,"Planifié"),"")</f>
        <v>60.0</v>
      </c>
      <c r="M183" s="55">
        <f>IF(ISNUMBER(K183),K183-L183,"")</f>
        <v>480.0</v>
      </c>
      <c r="N183" s="55">
        <f>IF(ISNUMBER(K183),SUMIFS(st_min,st_date,A183,st_eq,B183,st_po,C183,st_type,"Non planifié"),"")</f>
        <v>53.0</v>
      </c>
      <c r="O183" s="55">
        <f>IF(ISNUMBER(K183),M183-N183,"")</f>
        <v>427.0</v>
      </c>
      <c r="P183" s="55">
        <f>IF(COUNTA(A183:I183)=0,"",N(G183)+N(H183)+N(I183))</f>
        <v>485.0</v>
      </c>
      <c r="Q183" s="56">
        <f>IF(COUNTA(A183:I183)=0,"",IF(N(IFERROR(INDEX(art_rate,MATCH(E183,art_ref,0)),0))&gt;0,N(IFERROR(INDEX(art_rate,MATCH(E183,art_ref,0)),0)),N(IFERROR(INDEX(po_rate,MATCH(C183,po_code,0)),0))))</f>
        <v>90.0</v>
      </c>
      <c r="R183" s="55">
        <f>IF(AC183=1,P183*60/Q183,"")</f>
        <v>323.333333333333</v>
      </c>
      <c r="S183" s="55">
        <f>IF(AC183=1,N(G183)*60/Q183,"")</f>
        <v>320.666666666667</v>
      </c>
      <c r="T183" s="57">
        <f>IF(AC183=1,O183/M183,"")</f>
        <v>0.889583333333333</v>
      </c>
      <c r="U183" s="57">
        <f>IF(AC183=1,IF(O183&gt;0,R183/O183,""),"")</f>
        <v>0.757220921155347</v>
      </c>
      <c r="V183" s="57">
        <f>IF(AC183=1,IF(P183&gt;0,N(G183)/P183,""),"")</f>
        <v>0.991752577319588</v>
      </c>
      <c r="W183" s="57">
        <f>IF(AC183=1,S183/M183,"")</f>
        <v>0.668055555555556</v>
      </c>
      <c r="X183" s="57">
        <f>IF(AC183=1,S183/K183,"")</f>
        <v>0.593827160493827</v>
      </c>
      <c r="Y183" s="58" t="str">
        <f>IF(W183="","",IF(W183&gt;=p_target,"Bon",IF(W183&gt;=p_alert,"À surveiller","Faible")))</f>
        <v>À surveiller</v>
      </c>
      <c r="Z183" s="58" t="str">
        <f>IF(W183="","",IF(MIN(IF(T183="",1,T183),IF(U183="",1,U183),IF(V183="",1,V183))&gt;=1,"Aucune",IF(IF(T183="",1,T183)&lt;=MIN(IF(U183="",1,U183),IF(V183="",1,V183)),"Disponibilité",IF(IF(U183="",1,U183)&lt;=IF(V183="",1,V183),"Performance","Qualité"))))</f>
        <v>Performance</v>
      </c>
      <c r="AA183" s="59">
        <f>IF(AC183=1,N(H183)*N(IFERROR(INDEX(art_cost,MATCH(E183,art_ref,0)),0)),"")</f>
        <v>256.0</v>
      </c>
      <c r="AB183" s="58" t="str">
        <f>IF(COUNTA(A183:I183)=0,"",IF(N(A183)&lt;=0,"Date manquante ou invalide",IF(B183="","Équipe manquante",IF(ISNA(MATCH(B183,eq_code,0)),"Équipe inconnue",IF(INDEX(eq_check,MATCH(B183,eq_code,0))&lt;&gt;"OK","Équipe à corriger dans Paramètres",IF(C183="","Poste manquant",IF(ISNA(MATCH(C183,po_code,0)),"Poste inconnu",IF(AND(E183&lt;&gt;"",ISNA(MATCH(E183,art_ref,0))),"Article inconnu",IF(IF(E183="",FALSE,INDEX(art_check,MATCH(E183,art_ref,0))&lt;&gt;"OK"),"Article à corriger (feuille Articles)",IF(COUNTIFS(sj_date,A183,sj_eq,B183,sj_po,C183)&gt;1,"Ligne en double (même jour, équipe et poste)",IF(OR(NOT(ISNUMBER(K183)),N(K183)&lt;=0,N(K183)&gt;1440),"Temps d'ouverture invalide",IF(OR(AND(G183&lt;&gt;"",NOT(ISNUMBER(G183))),N(G183)&lt;0,N(G183)&lt;&gt;INT(N(G183)),AND(H183&lt;&gt;"",NOT(ISNUMBER(H183))),N(H183)&lt;0,N(H183)&lt;&gt;INT(N(H183)),AND(I183&lt;&gt;"",NOT(ISNUMBER(I183))),N(I183)&lt;0,N(I183)&lt;&gt;INT(N(I183))),"Quantité invalide",IF(Q183&lt;=0,"Cadence manquante (poste ou article)",IF(M183&lt;=0,"Arrêts planifiés supérieurs au temps d'ouverture",IF(O183&lt;0,"Arrêts supérieurs au temps requis",IF(AND(P183&gt;0,O183=0),"Pièces déclarées sans temps de marche",IF(AND(P183=0,O183&gt;0),"Aucune pièce déclarée",IF(P183*60/Q183&gt;O183+0.001,"Cadence dépassée : vérifiez la cadence","OK"))))))))))))))))))</f>
        <v>OK</v>
      </c>
      <c r="AC183">
        <f>IF(OR(AB183="OK",AB183="Aucune pièce déclarée",AB183="Cadence dépassée : vérifiez la cadence"),1,0)</f>
        <v>1.0</v>
      </c>
      <c r="AD183">
        <f>IF(AND(AC183=1,A183&gt;=p_from,A183&lt;=p_to),1,0)</f>
        <v>1.0</v>
      </c>
      <c r="AE183">
        <f>IF(AD183=1,IF(COUNTIFS($A$6:A183,A183,$AD$6:AD183,1)=1,1,0),0)</f>
        <v>0.0</v>
      </c>
      <c r="AF183" t="str">
        <f>IF(AE183=1,COUNTIFS(sj_first,1,sj_date,"&lt;"&amp;A183)+1,"")</f>
        <v/>
      </c>
      <c r="AG183" t="str">
        <f>IF(AND(AD183=1,N(W183)&lt;p_alert),ROUND(W183,4),"")</f>
        <v/>
      </c>
      <c r="AH183" t="str">
        <f>IF(AG183="","",COUNTIF(sj_akey,"&lt;"&amp;AG183)+COUNTIF($AG$6:AG183,AG183))</f>
        <v/>
      </c>
    </row>
    <row r="184">
      <c r="A184" s="51" t="n">
        <v>46309</v>
      </c>
      <c r="B184" s="52" t="inlineStr">
        <is>
          <t>Matin</t>
        </is>
      </c>
      <c r="C184" s="52" t="inlineStr">
        <is>
          <t>SOUD</t>
        </is>
      </c>
      <c r="D184" s="53" t="inlineStr">
        <is>
          <t>OF-2610-153</t>
        </is>
      </c>
      <c r="E184" s="53" t="inlineStr">
        <is>
          <t>BRA-SUS-02</t>
        </is>
      </c>
      <c r="F184" s="54" t="n"/>
      <c r="G184" s="54" t="n">
        <v>101</v>
      </c>
      <c r="H184" s="54" t="n">
        <v>2</v>
      </c>
      <c r="I184" s="54" t="n">
        <v>1</v>
      </c>
      <c r="J184" s="53" t="n"/>
      <c r="K184" s="55">
        <f>IF(COUNTA(A184:I184)=0,"",IF(F184="",IFERROR(INDEX(eq_dur,MATCH(B184,eq_code,0)),""),F184))</f>
        <v>480.0</v>
      </c>
      <c r="L184" s="55">
        <f>IF(ISNUMBER(K184),N(IFERROR(INDEX(eq_pause,MATCH(B184,eq_code,0)),0))+SUMIFS(st_min,st_date,A184,st_eq,B184,st_po,C184,st_type,"Planifié"),"")</f>
        <v>30.0</v>
      </c>
      <c r="M184" s="55">
        <f>IF(ISNUMBER(K184),K184-L184,"")</f>
        <v>450.0</v>
      </c>
      <c r="N184" s="55">
        <f>IF(ISNUMBER(K184),SUMIFS(st_min,st_date,A184,st_eq,B184,st_po,C184,st_type,"Non planifié"),"")</f>
        <v>48.0</v>
      </c>
      <c r="O184" s="55">
        <f>IF(ISNUMBER(K184),M184-N184,"")</f>
        <v>402.0</v>
      </c>
      <c r="P184" s="55">
        <f>IF(COUNTA(A184:I184)=0,"",N(G184)+N(H184)+N(I184))</f>
        <v>104.0</v>
      </c>
      <c r="Q184" s="56">
        <f>IF(COUNTA(A184:I184)=0,"",IF(N(IFERROR(INDEX(art_rate,MATCH(E184,art_ref,0)),0))&gt;0,N(IFERROR(INDEX(art_rate,MATCH(E184,art_ref,0)),0)),N(IFERROR(INDEX(po_rate,MATCH(C184,po_code,0)),0))))</f>
        <v>20.0</v>
      </c>
      <c r="R184" s="55">
        <f>IF(AC184=1,P184*60/Q184,"")</f>
        <v>312.0</v>
      </c>
      <c r="S184" s="55">
        <f>IF(AC184=1,N(G184)*60/Q184,"")</f>
        <v>303.0</v>
      </c>
      <c r="T184" s="57">
        <f>IF(AC184=1,O184/M184,"")</f>
        <v>0.893333333333333</v>
      </c>
      <c r="U184" s="57">
        <f>IF(AC184=1,IF(O184&gt;0,R184/O184,""),"")</f>
        <v>0.776119402985075</v>
      </c>
      <c r="V184" s="57">
        <f>IF(AC184=1,IF(P184&gt;0,N(G184)/P184,""),"")</f>
        <v>0.971153846153846</v>
      </c>
      <c r="W184" s="57">
        <f>IF(AC184=1,S184/M184,"")</f>
        <v>0.673333333333333</v>
      </c>
      <c r="X184" s="57">
        <f>IF(AC184=1,S184/K184,"")</f>
        <v>0.63125</v>
      </c>
      <c r="Y184" s="58" t="str">
        <f>IF(W184="","",IF(W184&gt;=p_target,"Bon",IF(W184&gt;=p_alert,"À surveiller","Faible")))</f>
        <v>À surveiller</v>
      </c>
      <c r="Z184" s="58" t="str">
        <f>IF(W184="","",IF(MIN(IF(T184="",1,T184),IF(U184="",1,U184),IF(V184="",1,V184))&gt;=1,"Aucune",IF(IF(T184="",1,T184)&lt;=MIN(IF(U184="",1,U184),IF(V184="",1,V184)),"Disponibilité",IF(IF(U184="",1,U184)&lt;=IF(V184="",1,V184),"Performance","Qualité"))))</f>
        <v>Performance</v>
      </c>
      <c r="AA184" s="59">
        <f>IF(AC184=1,N(H184)*N(IFERROR(INDEX(art_cost,MATCH(E184,art_ref,0)),0)),"")</f>
        <v>476.0</v>
      </c>
      <c r="AB184" s="58" t="str">
        <f>IF(COUNTA(A184:I184)=0,"",IF(N(A184)&lt;=0,"Date manquante ou invalide",IF(B184="","Équipe manquante",IF(ISNA(MATCH(B184,eq_code,0)),"Équipe inconnue",IF(INDEX(eq_check,MATCH(B184,eq_code,0))&lt;&gt;"OK","Équipe à corriger dans Paramètres",IF(C184="","Poste manquant",IF(ISNA(MATCH(C184,po_code,0)),"Poste inconnu",IF(AND(E184&lt;&gt;"",ISNA(MATCH(E184,art_ref,0))),"Article inconnu",IF(IF(E184="",FALSE,INDEX(art_check,MATCH(E184,art_ref,0))&lt;&gt;"OK"),"Article à corriger (feuille Articles)",IF(COUNTIFS(sj_date,A184,sj_eq,B184,sj_po,C184)&gt;1,"Ligne en double (même jour, équipe et poste)",IF(OR(NOT(ISNUMBER(K184)),N(K184)&lt;=0,N(K184)&gt;1440),"Temps d'ouverture invalide",IF(OR(AND(G184&lt;&gt;"",NOT(ISNUMBER(G184))),N(G184)&lt;0,N(G184)&lt;&gt;INT(N(G184)),AND(H184&lt;&gt;"",NOT(ISNUMBER(H184))),N(H184)&lt;0,N(H184)&lt;&gt;INT(N(H184)),AND(I184&lt;&gt;"",NOT(ISNUMBER(I184))),N(I184)&lt;0,N(I184)&lt;&gt;INT(N(I184))),"Quantité invalide",IF(Q184&lt;=0,"Cadence manquante (poste ou article)",IF(M184&lt;=0,"Arrêts planifiés supérieurs au temps d'ouverture",IF(O184&lt;0,"Arrêts supérieurs au temps requis",IF(AND(P184&gt;0,O184=0),"Pièces déclarées sans temps de marche",IF(AND(P184=0,O184&gt;0),"Aucune pièce déclarée",IF(P184*60/Q184&gt;O184+0.001,"Cadence dépassée : vérifiez la cadence","OK"))))))))))))))))))</f>
        <v>OK</v>
      </c>
      <c r="AC184">
        <f>IF(OR(AB184="OK",AB184="Aucune pièce déclarée",AB184="Cadence dépassée : vérifiez la cadence"),1,0)</f>
        <v>1.0</v>
      </c>
      <c r="AD184">
        <f>IF(AND(AC184=1,A184&gt;=p_from,A184&lt;=p_to),1,0)</f>
        <v>1.0</v>
      </c>
      <c r="AE184">
        <f>IF(AD184=1,IF(COUNTIFS($A$6:A184,A184,$AD$6:AD184,1)=1,1,0),0)</f>
        <v>0.0</v>
      </c>
      <c r="AF184" t="str">
        <f>IF(AE184=1,COUNTIFS(sj_first,1,sj_date,"&lt;"&amp;A184)+1,"")</f>
        <v/>
      </c>
      <c r="AG184" t="str">
        <f>IF(AND(AD184=1,N(W184)&lt;p_alert),ROUND(W184,4),"")</f>
        <v/>
      </c>
      <c r="AH184" t="str">
        <f>IF(AG184="","",COUNTIF(sj_akey,"&lt;"&amp;AG184)+COUNTIF($AG$6:AG184,AG184))</f>
        <v/>
      </c>
    </row>
    <row r="185">
      <c r="A185" s="51" t="n">
        <v>46309</v>
      </c>
      <c r="B185" s="52" t="inlineStr">
        <is>
          <t>Après-midi</t>
        </is>
      </c>
      <c r="C185" s="52" t="inlineStr">
        <is>
          <t>SOUD</t>
        </is>
      </c>
      <c r="D185" s="53" t="inlineStr">
        <is>
          <t>OF-2610-151</t>
        </is>
      </c>
      <c r="E185" s="53" t="inlineStr">
        <is>
          <t>CHA-REM-01</t>
        </is>
      </c>
      <c r="F185" s="54" t="n"/>
      <c r="G185" s="54" t="n">
        <v>0</v>
      </c>
      <c r="H185" s="54" t="n">
        <v>0</v>
      </c>
      <c r="I185" s="54" t="n">
        <v>0</v>
      </c>
      <c r="J185" s="53" t="inlineStr">
        <is>
          <t>Robot en panne toute l'équipe</t>
        </is>
      </c>
      <c r="K185" s="55">
        <f>IF(COUNTA(A185:I185)=0,"",IF(F185="",IFERROR(INDEX(eq_dur,MATCH(B185,eq_code,0)),""),F185))</f>
        <v>480.0</v>
      </c>
      <c r="L185" s="55">
        <f>IF(ISNUMBER(K185),N(IFERROR(INDEX(eq_pause,MATCH(B185,eq_code,0)),0))+SUMIFS(st_min,st_date,A185,st_eq,B185,st_po,C185,st_type,"Planifié"),"")</f>
        <v>30.0</v>
      </c>
      <c r="M185" s="55">
        <f>IF(ISNUMBER(K185),K185-L185,"")</f>
        <v>450.0</v>
      </c>
      <c r="N185" s="55">
        <f>IF(ISNUMBER(K185),SUMIFS(st_min,st_date,A185,st_eq,B185,st_po,C185,st_type,"Non planifié"),"")</f>
        <v>450.0</v>
      </c>
      <c r="O185" s="55">
        <f>IF(ISNUMBER(K185),M185-N185,"")</f>
        <v>0.0</v>
      </c>
      <c r="P185" s="55">
        <f>IF(COUNTA(A185:I185)=0,"",N(G185)+N(H185)+N(I185))</f>
        <v>0.0</v>
      </c>
      <c r="Q185" s="56">
        <f>IF(COUNTA(A185:I185)=0,"",IF(N(IFERROR(INDEX(art_rate,MATCH(E185,art_ref,0)),0))&gt;0,N(IFERROR(INDEX(art_rate,MATCH(E185,art_ref,0)),0)),N(IFERROR(INDEX(po_rate,MATCH(C185,po_code,0)),0))))</f>
        <v>4.0</v>
      </c>
      <c r="R185" s="55">
        <f>IF(AC185=1,P185*60/Q185,"")</f>
        <v>0.0</v>
      </c>
      <c r="S185" s="55">
        <f>IF(AC185=1,N(G185)*60/Q185,"")</f>
        <v>0.0</v>
      </c>
      <c r="T185" s="57">
        <f>IF(AC185=1,O185/M185,"")</f>
        <v>0.0</v>
      </c>
      <c r="U185" s="57" t="str">
        <f>IF(AC185=1,IF(O185&gt;0,R185/O185,""),"")</f>
        <v/>
      </c>
      <c r="V185" s="57" t="str">
        <f>IF(AC185=1,IF(P185&gt;0,N(G185)/P185,""),"")</f>
        <v/>
      </c>
      <c r="W185" s="57">
        <f>IF(AC185=1,S185/M185,"")</f>
        <v>0.0</v>
      </c>
      <c r="X185" s="57">
        <f>IF(AC185=1,S185/K185,"")</f>
        <v>0.0</v>
      </c>
      <c r="Y185" s="58" t="str">
        <f>IF(W185="","",IF(W185&gt;=p_target,"Bon",IF(W185&gt;=p_alert,"À surveiller","Faible")))</f>
        <v>Faible</v>
      </c>
      <c r="Z185" s="58" t="str">
        <f>IF(W185="","",IF(MIN(IF(T185="",1,T185),IF(U185="",1,U185),IF(V185="",1,V185))&gt;=1,"Aucune",IF(IF(T185="",1,T185)&lt;=MIN(IF(U185="",1,U185),IF(V185="",1,V185)),"Disponibilité",IF(IF(U185="",1,U185)&lt;=IF(V185="",1,V185),"Performance","Qualité"))))</f>
        <v>Disponibilité</v>
      </c>
      <c r="AA185" s="59">
        <f>IF(AC185=1,N(H185)*N(IFERROR(INDEX(art_cost,MATCH(E185,art_ref,0)),0)),"")</f>
        <v>0.0</v>
      </c>
      <c r="AB185" s="58" t="str">
        <f>IF(COUNTA(A185:I185)=0,"",IF(N(A185)&lt;=0,"Date manquante ou invalide",IF(B185="","Équipe manquante",IF(ISNA(MATCH(B185,eq_code,0)),"Équipe inconnue",IF(INDEX(eq_check,MATCH(B185,eq_code,0))&lt;&gt;"OK","Équipe à corriger dans Paramètres",IF(C185="","Poste manquant",IF(ISNA(MATCH(C185,po_code,0)),"Poste inconnu",IF(AND(E185&lt;&gt;"",ISNA(MATCH(E185,art_ref,0))),"Article inconnu",IF(IF(E185="",FALSE,INDEX(art_check,MATCH(E185,art_ref,0))&lt;&gt;"OK"),"Article à corriger (feuille Articles)",IF(COUNTIFS(sj_date,A185,sj_eq,B185,sj_po,C185)&gt;1,"Ligne en double (même jour, équipe et poste)",IF(OR(NOT(ISNUMBER(K185)),N(K185)&lt;=0,N(K185)&gt;1440),"Temps d'ouverture invalide",IF(OR(AND(G185&lt;&gt;"",NOT(ISNUMBER(G185))),N(G185)&lt;0,N(G185)&lt;&gt;INT(N(G185)),AND(H185&lt;&gt;"",NOT(ISNUMBER(H185))),N(H185)&lt;0,N(H185)&lt;&gt;INT(N(H185)),AND(I185&lt;&gt;"",NOT(ISNUMBER(I185))),N(I185)&lt;0,N(I185)&lt;&gt;INT(N(I185))),"Quantité invalide",IF(Q185&lt;=0,"Cadence manquante (poste ou article)",IF(M185&lt;=0,"Arrêts planifiés supérieurs au temps d'ouverture",IF(O185&lt;0,"Arrêts supérieurs au temps requis",IF(AND(P185&gt;0,O185=0),"Pièces déclarées sans temps de marche",IF(AND(P185=0,O185&gt;0),"Aucune pièce déclarée",IF(P185*60/Q185&gt;O185+0.001,"Cadence dépassée : vérifiez la cadence","OK"))))))))))))))))))</f>
        <v>OK</v>
      </c>
      <c r="AC185">
        <f>IF(OR(AB185="OK",AB185="Aucune pièce déclarée",AB185="Cadence dépassée : vérifiez la cadence"),1,0)</f>
        <v>1.0</v>
      </c>
      <c r="AD185">
        <f>IF(AND(AC185=1,A185&gt;=p_from,A185&lt;=p_to),1,0)</f>
        <v>1.0</v>
      </c>
      <c r="AE185">
        <f>IF(AD185=1,IF(COUNTIFS($A$6:A185,A185,$AD$6:AD185,1)=1,1,0),0)</f>
        <v>0.0</v>
      </c>
      <c r="AF185" t="str">
        <f>IF(AE185=1,COUNTIFS(sj_first,1,sj_date,"&lt;"&amp;A185)+1,"")</f>
        <v/>
      </c>
      <c r="AG185">
        <f>IF(AND(AD185=1,N(W185)&lt;p_alert),ROUND(W185,4),"")</f>
        <v>0.0</v>
      </c>
      <c r="AH185">
        <f>IF(AG185="","",COUNTIF(sj_akey,"&lt;"&amp;AG185)+COUNTIF($AG$6:AG185,AG185))</f>
        <v>1.0</v>
      </c>
    </row>
    <row r="186">
      <c r="A186" s="51" t="n">
        <v>46310</v>
      </c>
      <c r="B186" s="52" t="inlineStr">
        <is>
          <t>Matin</t>
        </is>
      </c>
      <c r="C186" s="52" t="inlineStr">
        <is>
          <t>TOUR1</t>
        </is>
      </c>
      <c r="D186" s="53" t="inlineStr">
        <is>
          <t>OF-2610-161</t>
        </is>
      </c>
      <c r="E186" s="53" t="inlineStr">
        <is>
          <t>BAG-BR-32</t>
        </is>
      </c>
      <c r="F186" s="54" t="n"/>
      <c r="G186" s="54" t="n">
        <v>237</v>
      </c>
      <c r="H186" s="54" t="n">
        <v>7</v>
      </c>
      <c r="I186" s="54" t="n">
        <v>2</v>
      </c>
      <c r="J186" s="53" t="n"/>
      <c r="K186" s="55">
        <f>IF(COUNTA(A186:I186)=0,"",IF(F186="",IFERROR(INDEX(eq_dur,MATCH(B186,eq_code,0)),""),F186))</f>
        <v>480.0</v>
      </c>
      <c r="L186" s="55">
        <f>IF(ISNUMBER(K186),N(IFERROR(INDEX(eq_pause,MATCH(B186,eq_code,0)),0))+SUMIFS(st_min,st_date,A186,st_eq,B186,st_po,C186,st_type,"Planifié"),"")</f>
        <v>30.0</v>
      </c>
      <c r="M186" s="55">
        <f>IF(ISNUMBER(K186),K186-L186,"")</f>
        <v>450.0</v>
      </c>
      <c r="N186" s="55">
        <f>IF(ISNUMBER(K186),SUMIFS(st_min,st_date,A186,st_eq,B186,st_po,C186,st_type,"Non planifié"),"")</f>
        <v>70.0</v>
      </c>
      <c r="O186" s="55">
        <f>IF(ISNUMBER(K186),M186-N186,"")</f>
        <v>380.0</v>
      </c>
      <c r="P186" s="55">
        <f>IF(COUNTA(A186:I186)=0,"",N(G186)+N(H186)+N(I186))</f>
        <v>246.0</v>
      </c>
      <c r="Q186" s="56">
        <f>IF(COUNTA(A186:I186)=0,"",IF(N(IFERROR(INDEX(art_rate,MATCH(E186,art_ref,0)),0))&gt;0,N(IFERROR(INDEX(art_rate,MATCH(E186,art_ref,0)),0)),N(IFERROR(INDEX(po_rate,MATCH(C186,po_code,0)),0))))</f>
        <v>40.0</v>
      </c>
      <c r="R186" s="55">
        <f>IF(AC186=1,P186*60/Q186,"")</f>
        <v>369.0</v>
      </c>
      <c r="S186" s="55">
        <f>IF(AC186=1,N(G186)*60/Q186,"")</f>
        <v>355.5</v>
      </c>
      <c r="T186" s="57">
        <f>IF(AC186=1,O186/M186,"")</f>
        <v>0.844444444444444</v>
      </c>
      <c r="U186" s="57">
        <f>IF(AC186=1,IF(O186&gt;0,R186/O186,""),"")</f>
        <v>0.971052631578947</v>
      </c>
      <c r="V186" s="57">
        <f>IF(AC186=1,IF(P186&gt;0,N(G186)/P186,""),"")</f>
        <v>0.963414634146341</v>
      </c>
      <c r="W186" s="57">
        <f>IF(AC186=1,S186/M186,"")</f>
        <v>0.79</v>
      </c>
      <c r="X186" s="57">
        <f>IF(AC186=1,S186/K186,"")</f>
        <v>0.740625</v>
      </c>
      <c r="Y186" s="58" t="str">
        <f>IF(W186="","",IF(W186&gt;=p_target,"Bon",IF(W186&gt;=p_alert,"À surveiller","Faible")))</f>
        <v>Bon</v>
      </c>
      <c r="Z186" s="58" t="str">
        <f>IF(W186="","",IF(MIN(IF(T186="",1,T186),IF(U186="",1,U186),IF(V186="",1,V186))&gt;=1,"Aucune",IF(IF(T186="",1,T186)&lt;=MIN(IF(U186="",1,U186),IF(V186="",1,V186)),"Disponibilité",IF(IF(U186="",1,U186)&lt;=IF(V186="",1,V186),"Performance","Qualité"))))</f>
        <v>Disponibilité</v>
      </c>
      <c r="AA186" s="59">
        <f>IF(AC186=1,N(H186)*N(IFERROR(INDEX(art_cost,MATCH(E186,art_ref,0)),0)),"")</f>
        <v>364.0</v>
      </c>
      <c r="AB186" s="58" t="str">
        <f>IF(COUNTA(A186:I186)=0,"",IF(N(A186)&lt;=0,"Date manquante ou invalide",IF(B186="","Équipe manquante",IF(ISNA(MATCH(B186,eq_code,0)),"Équipe inconnue",IF(INDEX(eq_check,MATCH(B186,eq_code,0))&lt;&gt;"OK","Équipe à corriger dans Paramètres",IF(C186="","Poste manquant",IF(ISNA(MATCH(C186,po_code,0)),"Poste inconnu",IF(AND(E186&lt;&gt;"",ISNA(MATCH(E186,art_ref,0))),"Article inconnu",IF(IF(E186="",FALSE,INDEX(art_check,MATCH(E186,art_ref,0))&lt;&gt;"OK"),"Article à corriger (feuille Articles)",IF(COUNTIFS(sj_date,A186,sj_eq,B186,sj_po,C186)&gt;1,"Ligne en double (même jour, équipe et poste)",IF(OR(NOT(ISNUMBER(K186)),N(K186)&lt;=0,N(K186)&gt;1440),"Temps d'ouverture invalide",IF(OR(AND(G186&lt;&gt;"",NOT(ISNUMBER(G186))),N(G186)&lt;0,N(G186)&lt;&gt;INT(N(G186)),AND(H186&lt;&gt;"",NOT(ISNUMBER(H186))),N(H186)&lt;0,N(H186)&lt;&gt;INT(N(H186)),AND(I186&lt;&gt;"",NOT(ISNUMBER(I186))),N(I186)&lt;0,N(I186)&lt;&gt;INT(N(I186))),"Quantité invalide",IF(Q186&lt;=0,"Cadence manquante (poste ou article)",IF(M186&lt;=0,"Arrêts planifiés supérieurs au temps d'ouverture",IF(O186&lt;0,"Arrêts supérieurs au temps requis",IF(AND(P186&gt;0,O186=0),"Pièces déclarées sans temps de marche",IF(AND(P186=0,O186&gt;0),"Aucune pièce déclarée",IF(P186*60/Q186&gt;O186+0.001,"Cadence dépassée : vérifiez la cadence","OK"))))))))))))))))))</f>
        <v>OK</v>
      </c>
      <c r="AC186">
        <f>IF(OR(AB186="OK",AB186="Aucune pièce déclarée",AB186="Cadence dépassée : vérifiez la cadence"),1,0)</f>
        <v>1.0</v>
      </c>
      <c r="AD186">
        <f>IF(AND(AC186=1,A186&gt;=p_from,A186&lt;=p_to),1,0)</f>
        <v>1.0</v>
      </c>
      <c r="AE186">
        <f>IF(AD186=1,IF(COUNTIFS($A$6:A186,A186,$AD$6:AD186,1)=1,1,0),0)</f>
        <v>1.0</v>
      </c>
      <c r="AF186">
        <f>IF(AE186=1,COUNTIFS(sj_first,1,sj_date,"&lt;"&amp;A186)+1,"")</f>
        <v>19.0</v>
      </c>
      <c r="AG186" t="str">
        <f>IF(AND(AD186=1,N(W186)&lt;p_alert),ROUND(W186,4),"")</f>
        <v/>
      </c>
      <c r="AH186" t="str">
        <f>IF(AG186="","",COUNTIF(sj_akey,"&lt;"&amp;AG186)+COUNTIF($AG$6:AG186,AG186))</f>
        <v/>
      </c>
    </row>
    <row r="187">
      <c r="A187" s="51" t="n">
        <v>46310</v>
      </c>
      <c r="B187" s="52" t="inlineStr">
        <is>
          <t>Après-midi</t>
        </is>
      </c>
      <c r="C187" s="52" t="inlineStr">
        <is>
          <t>TOUR1</t>
        </is>
      </c>
      <c r="D187" s="53" t="inlineStr">
        <is>
          <t>OF-2610-159</t>
        </is>
      </c>
      <c r="E187" s="53" t="inlineStr">
        <is>
          <t>AXE-R20</t>
        </is>
      </c>
      <c r="F187" s="54" t="n"/>
      <c r="G187" s="54" t="n">
        <v>165</v>
      </c>
      <c r="H187" s="54" t="n">
        <v>5</v>
      </c>
      <c r="I187" s="54" t="n">
        <v>0</v>
      </c>
      <c r="J187" s="53" t="n"/>
      <c r="K187" s="55">
        <f>IF(COUNTA(A187:I187)=0,"",IF(F187="",IFERROR(INDEX(eq_dur,MATCH(B187,eq_code,0)),""),F187))</f>
        <v>480.0</v>
      </c>
      <c r="L187" s="55">
        <f>IF(ISNUMBER(K187),N(IFERROR(INDEX(eq_pause,MATCH(B187,eq_code,0)),0))+SUMIFS(st_min,st_date,A187,st_eq,B187,st_po,C187,st_type,"Planifié"),"")</f>
        <v>30.0</v>
      </c>
      <c r="M187" s="55">
        <f>IF(ISNUMBER(K187),K187-L187,"")</f>
        <v>450.0</v>
      </c>
      <c r="N187" s="55">
        <f>IF(ISNUMBER(K187),SUMIFS(st_min,st_date,A187,st_eq,B187,st_po,C187,st_type,"Non planifié"),"")</f>
        <v>69.0</v>
      </c>
      <c r="O187" s="55">
        <f>IF(ISNUMBER(K187),M187-N187,"")</f>
        <v>381.0</v>
      </c>
      <c r="P187" s="55">
        <f>IF(COUNTA(A187:I187)=0,"",N(G187)+N(H187)+N(I187))</f>
        <v>170.0</v>
      </c>
      <c r="Q187" s="56">
        <f>IF(COUNTA(A187:I187)=0,"",IF(N(IFERROR(INDEX(art_rate,MATCH(E187,art_ref,0)),0))&gt;0,N(IFERROR(INDEX(art_rate,MATCH(E187,art_ref,0)),0)),N(IFERROR(INDEX(po_rate,MATCH(C187,po_code,0)),0))))</f>
        <v>30.0</v>
      </c>
      <c r="R187" s="55">
        <f>IF(AC187=1,P187*60/Q187,"")</f>
        <v>340.0</v>
      </c>
      <c r="S187" s="55">
        <f>IF(AC187=1,N(G187)*60/Q187,"")</f>
        <v>330.0</v>
      </c>
      <c r="T187" s="57">
        <f>IF(AC187=1,O187/M187,"")</f>
        <v>0.846666666666667</v>
      </c>
      <c r="U187" s="57">
        <f>IF(AC187=1,IF(O187&gt;0,R187/O187,""),"")</f>
        <v>0.89238845144357</v>
      </c>
      <c r="V187" s="57">
        <f>IF(AC187=1,IF(P187&gt;0,N(G187)/P187,""),"")</f>
        <v>0.970588235294118</v>
      </c>
      <c r="W187" s="57">
        <f>IF(AC187=1,S187/M187,"")</f>
        <v>0.733333333333333</v>
      </c>
      <c r="X187" s="57">
        <f>IF(AC187=1,S187/K187,"")</f>
        <v>0.6875</v>
      </c>
      <c r="Y187" s="58" t="str">
        <f>IF(W187="","",IF(W187&gt;=p_target,"Bon",IF(W187&gt;=p_alert,"À surveiller","Faible")))</f>
        <v>À surveiller</v>
      </c>
      <c r="Z187" s="58" t="str">
        <f>IF(W187="","",IF(MIN(IF(T187="",1,T187),IF(U187="",1,U187),IF(V187="",1,V187))&gt;=1,"Aucune",IF(IF(T187="",1,T187)&lt;=MIN(IF(U187="",1,U187),IF(V187="",1,V187)),"Disponibilité",IF(IF(U187="",1,U187)&lt;=IF(V187="",1,V187),"Performance","Qualité"))))</f>
        <v>Disponibilité</v>
      </c>
      <c r="AA187" s="59">
        <f>IF(AC187=1,N(H187)*N(IFERROR(INDEX(art_cost,MATCH(E187,art_ref,0)),0)),"")</f>
        <v>192.5</v>
      </c>
      <c r="AB187" s="58" t="str">
        <f>IF(COUNTA(A187:I187)=0,"",IF(N(A187)&lt;=0,"Date manquante ou invalide",IF(B187="","Équipe manquante",IF(ISNA(MATCH(B187,eq_code,0)),"Équipe inconnue",IF(INDEX(eq_check,MATCH(B187,eq_code,0))&lt;&gt;"OK","Équipe à corriger dans Paramètres",IF(C187="","Poste manquant",IF(ISNA(MATCH(C187,po_code,0)),"Poste inconnu",IF(AND(E187&lt;&gt;"",ISNA(MATCH(E187,art_ref,0))),"Article inconnu",IF(IF(E187="",FALSE,INDEX(art_check,MATCH(E187,art_ref,0))&lt;&gt;"OK"),"Article à corriger (feuille Articles)",IF(COUNTIFS(sj_date,A187,sj_eq,B187,sj_po,C187)&gt;1,"Ligne en double (même jour, équipe et poste)",IF(OR(NOT(ISNUMBER(K187)),N(K187)&lt;=0,N(K187)&gt;1440),"Temps d'ouverture invalide",IF(OR(AND(G187&lt;&gt;"",NOT(ISNUMBER(G187))),N(G187)&lt;0,N(G187)&lt;&gt;INT(N(G187)),AND(H187&lt;&gt;"",NOT(ISNUMBER(H187))),N(H187)&lt;0,N(H187)&lt;&gt;INT(N(H187)),AND(I187&lt;&gt;"",NOT(ISNUMBER(I187))),N(I187)&lt;0,N(I187)&lt;&gt;INT(N(I187))),"Quantité invalide",IF(Q187&lt;=0,"Cadence manquante (poste ou article)",IF(M187&lt;=0,"Arrêts planifiés supérieurs au temps d'ouverture",IF(O187&lt;0,"Arrêts supérieurs au temps requis",IF(AND(P187&gt;0,O187=0),"Pièces déclarées sans temps de marche",IF(AND(P187=0,O187&gt;0),"Aucune pièce déclarée",IF(P187*60/Q187&gt;O187+0.001,"Cadence dépassée : vérifiez la cadence","OK"))))))))))))))))))</f>
        <v>OK</v>
      </c>
      <c r="AC187">
        <f>IF(OR(AB187="OK",AB187="Aucune pièce déclarée",AB187="Cadence dépassée : vérifiez la cadence"),1,0)</f>
        <v>1.0</v>
      </c>
      <c r="AD187">
        <f>IF(AND(AC187=1,A187&gt;=p_from,A187&lt;=p_to),1,0)</f>
        <v>1.0</v>
      </c>
      <c r="AE187">
        <f>IF(AD187=1,IF(COUNTIFS($A$6:A187,A187,$AD$6:AD187,1)=1,1,0),0)</f>
        <v>0.0</v>
      </c>
      <c r="AF187" t="str">
        <f>IF(AE187=1,COUNTIFS(sj_first,1,sj_date,"&lt;"&amp;A187)+1,"")</f>
        <v/>
      </c>
      <c r="AG187" t="str">
        <f>IF(AND(AD187=1,N(W187)&lt;p_alert),ROUND(W187,4),"")</f>
        <v/>
      </c>
      <c r="AH187" t="str">
        <f>IF(AG187="","",COUNTIF(sj_akey,"&lt;"&amp;AG187)+COUNTIF($AG$6:AG187,AG187))</f>
        <v/>
      </c>
    </row>
    <row r="188">
      <c r="A188" s="51" t="n">
        <v>46310</v>
      </c>
      <c r="B188" s="52" t="inlineStr">
        <is>
          <t>Matin</t>
        </is>
      </c>
      <c r="C188" s="52" t="inlineStr">
        <is>
          <t>TOUR2</t>
        </is>
      </c>
      <c r="D188" s="53" t="inlineStr">
        <is>
          <t>OF-2610-164</t>
        </is>
      </c>
      <c r="E188" s="53" t="inlineStr">
        <is>
          <t>AXE-R20</t>
        </is>
      </c>
      <c r="F188" s="54" t="n"/>
      <c r="G188" s="54" t="n">
        <v>90</v>
      </c>
      <c r="H188" s="54" t="n">
        <v>1</v>
      </c>
      <c r="I188" s="54" t="n">
        <v>0</v>
      </c>
      <c r="J188" s="53" t="n"/>
      <c r="K188" s="55">
        <f>IF(COUNTA(A188:I188)=0,"",IF(F188="",IFERROR(INDEX(eq_dur,MATCH(B188,eq_code,0)),""),F188))</f>
        <v>480.0</v>
      </c>
      <c r="L188" s="55">
        <f>IF(ISNUMBER(K188),N(IFERROR(INDEX(eq_pause,MATCH(B188,eq_code,0)),0))+SUMIFS(st_min,st_date,A188,st_eq,B188,st_po,C188,st_type,"Planifié"),"")</f>
        <v>30.0</v>
      </c>
      <c r="M188" s="55">
        <f>IF(ISNUMBER(K188),K188-L188,"")</f>
        <v>450.0</v>
      </c>
      <c r="N188" s="55">
        <f>IF(ISNUMBER(K188),SUMIFS(st_min,st_date,A188,st_eq,B188,st_po,C188,st_type,"Non planifié"),"")</f>
        <v>252.0</v>
      </c>
      <c r="O188" s="55">
        <f>IF(ISNUMBER(K188),M188-N188,"")</f>
        <v>198.0</v>
      </c>
      <c r="P188" s="55">
        <f>IF(COUNTA(A188:I188)=0,"",N(G188)+N(H188)+N(I188))</f>
        <v>91.0</v>
      </c>
      <c r="Q188" s="56">
        <f>IF(COUNTA(A188:I188)=0,"",IF(N(IFERROR(INDEX(art_rate,MATCH(E188,art_ref,0)),0))&gt;0,N(IFERROR(INDEX(art_rate,MATCH(E188,art_ref,0)),0)),N(IFERROR(INDEX(po_rate,MATCH(C188,po_code,0)),0))))</f>
        <v>30.0</v>
      </c>
      <c r="R188" s="55">
        <f>IF(AC188=1,P188*60/Q188,"")</f>
        <v>182.0</v>
      </c>
      <c r="S188" s="55">
        <f>IF(AC188=1,N(G188)*60/Q188,"")</f>
        <v>180.0</v>
      </c>
      <c r="T188" s="57">
        <f>IF(AC188=1,O188/M188,"")</f>
        <v>0.44</v>
      </c>
      <c r="U188" s="57">
        <f>IF(AC188=1,IF(O188&gt;0,R188/O188,""),"")</f>
        <v>0.919191919191919</v>
      </c>
      <c r="V188" s="57">
        <f>IF(AC188=1,IF(P188&gt;0,N(G188)/P188,""),"")</f>
        <v>0.989010989010989</v>
      </c>
      <c r="W188" s="57">
        <f>IF(AC188=1,S188/M188,"")</f>
        <v>0.4</v>
      </c>
      <c r="X188" s="57">
        <f>IF(AC188=1,S188/K188,"")</f>
        <v>0.375</v>
      </c>
      <c r="Y188" s="58" t="str">
        <f>IF(W188="","",IF(W188&gt;=p_target,"Bon",IF(W188&gt;=p_alert,"À surveiller","Faible")))</f>
        <v>Faible</v>
      </c>
      <c r="Z188" s="58" t="str">
        <f>IF(W188="","",IF(MIN(IF(T188="",1,T188),IF(U188="",1,U188),IF(V188="",1,V188))&gt;=1,"Aucune",IF(IF(T188="",1,T188)&lt;=MIN(IF(U188="",1,U188),IF(V188="",1,V188)),"Disponibilité",IF(IF(U188="",1,U188)&lt;=IF(V188="",1,V188),"Performance","Qualité"))))</f>
        <v>Disponibilité</v>
      </c>
      <c r="AA188" s="59">
        <f>IF(AC188=1,N(H188)*N(IFERROR(INDEX(art_cost,MATCH(E188,art_ref,0)),0)),"")</f>
        <v>38.5</v>
      </c>
      <c r="AB188" s="58" t="str">
        <f>IF(COUNTA(A188:I188)=0,"",IF(N(A188)&lt;=0,"Date manquante ou invalide",IF(B188="","Équipe manquante",IF(ISNA(MATCH(B188,eq_code,0)),"Équipe inconnue",IF(INDEX(eq_check,MATCH(B188,eq_code,0))&lt;&gt;"OK","Équipe à corriger dans Paramètres",IF(C188="","Poste manquant",IF(ISNA(MATCH(C188,po_code,0)),"Poste inconnu",IF(AND(E188&lt;&gt;"",ISNA(MATCH(E188,art_ref,0))),"Article inconnu",IF(IF(E188="",FALSE,INDEX(art_check,MATCH(E188,art_ref,0))&lt;&gt;"OK"),"Article à corriger (feuille Articles)",IF(COUNTIFS(sj_date,A188,sj_eq,B188,sj_po,C188)&gt;1,"Ligne en double (même jour, équipe et poste)",IF(OR(NOT(ISNUMBER(K188)),N(K188)&lt;=0,N(K188)&gt;1440),"Temps d'ouverture invalide",IF(OR(AND(G188&lt;&gt;"",NOT(ISNUMBER(G188))),N(G188)&lt;0,N(G188)&lt;&gt;INT(N(G188)),AND(H188&lt;&gt;"",NOT(ISNUMBER(H188))),N(H188)&lt;0,N(H188)&lt;&gt;INT(N(H188)),AND(I188&lt;&gt;"",NOT(ISNUMBER(I188))),N(I188)&lt;0,N(I188)&lt;&gt;INT(N(I188))),"Quantité invalide",IF(Q188&lt;=0,"Cadence manquante (poste ou article)",IF(M188&lt;=0,"Arrêts planifiés supérieurs au temps d'ouverture",IF(O188&lt;0,"Arrêts supérieurs au temps requis",IF(AND(P188&gt;0,O188=0),"Pièces déclarées sans temps de marche",IF(AND(P188=0,O188&gt;0),"Aucune pièce déclarée",IF(P188*60/Q188&gt;O188+0.001,"Cadence dépassée : vérifiez la cadence","OK"))))))))))))))))))</f>
        <v>OK</v>
      </c>
      <c r="AC188">
        <f>IF(OR(AB188="OK",AB188="Aucune pièce déclarée",AB188="Cadence dépassée : vérifiez la cadence"),1,0)</f>
        <v>1.0</v>
      </c>
      <c r="AD188">
        <f>IF(AND(AC188=1,A188&gt;=p_from,A188&lt;=p_to),1,0)</f>
        <v>1.0</v>
      </c>
      <c r="AE188">
        <f>IF(AD188=1,IF(COUNTIFS($A$6:A188,A188,$AD$6:AD188,1)=1,1,0),0)</f>
        <v>0.0</v>
      </c>
      <c r="AF188" t="str">
        <f>IF(AE188=1,COUNTIFS(sj_first,1,sj_date,"&lt;"&amp;A188)+1,"")</f>
        <v/>
      </c>
      <c r="AG188">
        <f>IF(AND(AD188=1,N(W188)&lt;p_alert),ROUND(W188,4),"")</f>
        <v>0.4</v>
      </c>
      <c r="AH188">
        <f>IF(AG188="","",COUNTIF(sj_akey,"&lt;"&amp;AG188)+COUNTIF($AG$6:AG188,AG188))</f>
        <v>13.0</v>
      </c>
    </row>
    <row r="189">
      <c r="A189" s="51" t="n">
        <v>46310</v>
      </c>
      <c r="B189" s="52" t="inlineStr">
        <is>
          <t>Après-midi</t>
        </is>
      </c>
      <c r="C189" s="52" t="inlineStr">
        <is>
          <t>TOUR2</t>
        </is>
      </c>
      <c r="D189" s="53" t="inlineStr">
        <is>
          <t>OF-2610-138</t>
        </is>
      </c>
      <c r="E189" s="53" t="inlineStr">
        <is>
          <t>ENT-12</t>
        </is>
      </c>
      <c r="F189" s="54" t="n"/>
      <c r="G189" s="54" t="n">
        <v>330</v>
      </c>
      <c r="H189" s="54" t="n">
        <v>8</v>
      </c>
      <c r="I189" s="54" t="n">
        <v>3</v>
      </c>
      <c r="J189" s="53" t="n"/>
      <c r="K189" s="55">
        <f>IF(COUNTA(A189:I189)=0,"",IF(F189="",IFERROR(INDEX(eq_dur,MATCH(B189,eq_code,0)),""),F189))</f>
        <v>480.0</v>
      </c>
      <c r="L189" s="55">
        <f>IF(ISNUMBER(K189),N(IFERROR(INDEX(eq_pause,MATCH(B189,eq_code,0)),0))+SUMIFS(st_min,st_date,A189,st_eq,B189,st_po,C189,st_type,"Planifié"),"")</f>
        <v>30.0</v>
      </c>
      <c r="M189" s="55">
        <f>IF(ISNUMBER(K189),K189-L189,"")</f>
        <v>450.0</v>
      </c>
      <c r="N189" s="55">
        <f>IF(ISNUMBER(K189),SUMIFS(st_min,st_date,A189,st_eq,B189,st_po,C189,st_type,"Non planifié"),"")</f>
        <v>0.0</v>
      </c>
      <c r="O189" s="55">
        <f>IF(ISNUMBER(K189),M189-N189,"")</f>
        <v>450.0</v>
      </c>
      <c r="P189" s="55">
        <f>IF(COUNTA(A189:I189)=0,"",N(G189)+N(H189)+N(I189))</f>
        <v>341.0</v>
      </c>
      <c r="Q189" s="56">
        <f>IF(COUNTA(A189:I189)=0,"",IF(N(IFERROR(INDEX(art_rate,MATCH(E189,art_ref,0)),0))&gt;0,N(IFERROR(INDEX(art_rate,MATCH(E189,art_ref,0)),0)),N(IFERROR(INDEX(po_rate,MATCH(C189,po_code,0)),0))))</f>
        <v>55.0</v>
      </c>
      <c r="R189" s="55">
        <f>IF(AC189=1,P189*60/Q189,"")</f>
        <v>372.0</v>
      </c>
      <c r="S189" s="55">
        <f>IF(AC189=1,N(G189)*60/Q189,"")</f>
        <v>360.0</v>
      </c>
      <c r="T189" s="57">
        <f>IF(AC189=1,O189/M189,"")</f>
        <v>1.0</v>
      </c>
      <c r="U189" s="57">
        <f>IF(AC189=1,IF(O189&gt;0,R189/O189,""),"")</f>
        <v>0.826666666666667</v>
      </c>
      <c r="V189" s="57">
        <f>IF(AC189=1,IF(P189&gt;0,N(G189)/P189,""),"")</f>
        <v>0.967741935483871</v>
      </c>
      <c r="W189" s="57">
        <f>IF(AC189=1,S189/M189,"")</f>
        <v>0.8</v>
      </c>
      <c r="X189" s="57">
        <f>IF(AC189=1,S189/K189,"")</f>
        <v>0.75</v>
      </c>
      <c r="Y189" s="58" t="str">
        <f>IF(W189="","",IF(W189&gt;=p_target,"Bon",IF(W189&gt;=p_alert,"À surveiller","Faible")))</f>
        <v>Bon</v>
      </c>
      <c r="Z189" s="58" t="str">
        <f>IF(W189="","",IF(MIN(IF(T189="",1,T189),IF(U189="",1,U189),IF(V189="",1,V189))&gt;=1,"Aucune",IF(IF(T189="",1,T189)&lt;=MIN(IF(U189="",1,U189),IF(V189="",1,V189)),"Disponibilité",IF(IF(U189="",1,U189)&lt;=IF(V189="",1,V189),"Performance","Qualité"))))</f>
        <v>Performance</v>
      </c>
      <c r="AA189" s="59">
        <f>IF(AC189=1,N(H189)*N(IFERROR(INDEX(art_cost,MATCH(E189,art_ref,0)),0)),"")</f>
        <v>54.4</v>
      </c>
      <c r="AB189" s="58" t="str">
        <f>IF(COUNTA(A189:I189)=0,"",IF(N(A189)&lt;=0,"Date manquante ou invalide",IF(B189="","Équipe manquante",IF(ISNA(MATCH(B189,eq_code,0)),"Équipe inconnue",IF(INDEX(eq_check,MATCH(B189,eq_code,0))&lt;&gt;"OK","Équipe à corriger dans Paramètres",IF(C189="","Poste manquant",IF(ISNA(MATCH(C189,po_code,0)),"Poste inconnu",IF(AND(E189&lt;&gt;"",ISNA(MATCH(E189,art_ref,0))),"Article inconnu",IF(IF(E189="",FALSE,INDEX(art_check,MATCH(E189,art_ref,0))&lt;&gt;"OK"),"Article à corriger (feuille Articles)",IF(COUNTIFS(sj_date,A189,sj_eq,B189,sj_po,C189)&gt;1,"Ligne en double (même jour, équipe et poste)",IF(OR(NOT(ISNUMBER(K189)),N(K189)&lt;=0,N(K189)&gt;1440),"Temps d'ouverture invalide",IF(OR(AND(G189&lt;&gt;"",NOT(ISNUMBER(G189))),N(G189)&lt;0,N(G189)&lt;&gt;INT(N(G189)),AND(H189&lt;&gt;"",NOT(ISNUMBER(H189))),N(H189)&lt;0,N(H189)&lt;&gt;INT(N(H189)),AND(I189&lt;&gt;"",NOT(ISNUMBER(I189))),N(I189)&lt;0,N(I189)&lt;&gt;INT(N(I189))),"Quantité invalide",IF(Q189&lt;=0,"Cadence manquante (poste ou article)",IF(M189&lt;=0,"Arrêts planifiés supérieurs au temps d'ouverture",IF(O189&lt;0,"Arrêts supérieurs au temps requis",IF(AND(P189&gt;0,O189=0),"Pièces déclarées sans temps de marche",IF(AND(P189=0,O189&gt;0),"Aucune pièce déclarée",IF(P189*60/Q189&gt;O189+0.001,"Cadence dépassée : vérifiez la cadence","OK"))))))))))))))))))</f>
        <v>OK</v>
      </c>
      <c r="AC189">
        <f>IF(OR(AB189="OK",AB189="Aucune pièce déclarée",AB189="Cadence dépassée : vérifiez la cadence"),1,0)</f>
        <v>1.0</v>
      </c>
      <c r="AD189">
        <f>IF(AND(AC189=1,A189&gt;=p_from,A189&lt;=p_to),1,0)</f>
        <v>1.0</v>
      </c>
      <c r="AE189">
        <f>IF(AD189=1,IF(COUNTIFS($A$6:A189,A189,$AD$6:AD189,1)=1,1,0),0)</f>
        <v>0.0</v>
      </c>
      <c r="AF189" t="str">
        <f>IF(AE189=1,COUNTIFS(sj_first,1,sj_date,"&lt;"&amp;A189)+1,"")</f>
        <v/>
      </c>
      <c r="AG189" t="str">
        <f>IF(AND(AD189=1,N(W189)&lt;p_alert),ROUND(W189,4),"")</f>
        <v/>
      </c>
      <c r="AH189" t="str">
        <f>IF(AG189="","",COUNTIF(sj_akey,"&lt;"&amp;AG189)+COUNTIF($AG$6:AG189,AG189))</f>
        <v/>
      </c>
    </row>
    <row r="190">
      <c r="A190" s="51" t="n">
        <v>46310</v>
      </c>
      <c r="B190" s="52" t="inlineStr">
        <is>
          <t>Matin</t>
        </is>
      </c>
      <c r="C190" s="52" t="inlineStr">
        <is>
          <t>USIN</t>
        </is>
      </c>
      <c r="D190" s="53" t="inlineStr">
        <is>
          <t>OF-2610-157</t>
        </is>
      </c>
      <c r="E190" s="53" t="inlineStr">
        <is>
          <t>FLA-PL-150</t>
        </is>
      </c>
      <c r="F190" s="54" t="n"/>
      <c r="G190" s="54" t="n">
        <v>77</v>
      </c>
      <c r="H190" s="54" t="n">
        <v>1</v>
      </c>
      <c r="I190" s="54" t="n">
        <v>0</v>
      </c>
      <c r="J190" s="53" t="n"/>
      <c r="K190" s="55">
        <f>IF(COUNTA(A190:I190)=0,"",IF(F190="",IFERROR(INDEX(eq_dur,MATCH(B190,eq_code,0)),""),F190))</f>
        <v>480.0</v>
      </c>
      <c r="L190" s="55">
        <f>IF(ISNUMBER(K190),N(IFERROR(INDEX(eq_pause,MATCH(B190,eq_code,0)),0))+SUMIFS(st_min,st_date,A190,st_eq,B190,st_po,C190,st_type,"Planifié"),"")</f>
        <v>30.0</v>
      </c>
      <c r="M190" s="55">
        <f>IF(ISNUMBER(K190),K190-L190,"")</f>
        <v>450.0</v>
      </c>
      <c r="N190" s="55">
        <f>IF(ISNUMBER(K190),SUMIFS(st_min,st_date,A190,st_eq,B190,st_po,C190,st_type,"Non planifié"),"")</f>
        <v>32.0</v>
      </c>
      <c r="O190" s="55">
        <f>IF(ISNUMBER(K190),M190-N190,"")</f>
        <v>418.0</v>
      </c>
      <c r="P190" s="55">
        <f>IF(COUNTA(A190:I190)=0,"",N(G190)+N(H190)+N(I190))</f>
        <v>78.0</v>
      </c>
      <c r="Q190" s="56">
        <f>IF(COUNTA(A190:I190)=0,"",IF(N(IFERROR(INDEX(art_rate,MATCH(E190,art_ref,0)),0))&gt;0,N(IFERROR(INDEX(art_rate,MATCH(E190,art_ref,0)),0)),N(IFERROR(INDEX(po_rate,MATCH(C190,po_code,0)),0))))</f>
        <v>12.0</v>
      </c>
      <c r="R190" s="55">
        <f>IF(AC190=1,P190*60/Q190,"")</f>
        <v>390.0</v>
      </c>
      <c r="S190" s="55">
        <f>IF(AC190=1,N(G190)*60/Q190,"")</f>
        <v>385.0</v>
      </c>
      <c r="T190" s="57">
        <f>IF(AC190=1,O190/M190,"")</f>
        <v>0.928888888888889</v>
      </c>
      <c r="U190" s="57">
        <f>IF(AC190=1,IF(O190&gt;0,R190/O190,""),"")</f>
        <v>0.933014354066986</v>
      </c>
      <c r="V190" s="57">
        <f>IF(AC190=1,IF(P190&gt;0,N(G190)/P190,""),"")</f>
        <v>0.987179487179487</v>
      </c>
      <c r="W190" s="57">
        <f>IF(AC190=1,S190/M190,"")</f>
        <v>0.855555555555556</v>
      </c>
      <c r="X190" s="57">
        <f>IF(AC190=1,S190/K190,"")</f>
        <v>0.802083333333333</v>
      </c>
      <c r="Y190" s="58" t="str">
        <f>IF(W190="","",IF(W190&gt;=p_target,"Bon",IF(W190&gt;=p_alert,"À surveiller","Faible")))</f>
        <v>Bon</v>
      </c>
      <c r="Z190" s="58" t="str">
        <f>IF(W190="","",IF(MIN(IF(T190="",1,T190),IF(U190="",1,U190),IF(V190="",1,V190))&gt;=1,"Aucune",IF(IF(T190="",1,T190)&lt;=MIN(IF(U190="",1,U190),IF(V190="",1,V190)),"Disponibilité",IF(IF(U190="",1,U190)&lt;=IF(V190="",1,V190),"Performance","Qualité"))))</f>
        <v>Disponibilité</v>
      </c>
      <c r="AA190" s="59">
        <f>IF(AC190=1,N(H190)*N(IFERROR(INDEX(art_cost,MATCH(E190,art_ref,0)),0)),"")</f>
        <v>145.0</v>
      </c>
      <c r="AB190" s="58" t="str">
        <f>IF(COUNTA(A190:I190)=0,"",IF(N(A190)&lt;=0,"Date manquante ou invalide",IF(B190="","Équipe manquante",IF(ISNA(MATCH(B190,eq_code,0)),"Équipe inconnue",IF(INDEX(eq_check,MATCH(B190,eq_code,0))&lt;&gt;"OK","Équipe à corriger dans Paramètres",IF(C190="","Poste manquant",IF(ISNA(MATCH(C190,po_code,0)),"Poste inconnu",IF(AND(E190&lt;&gt;"",ISNA(MATCH(E190,art_ref,0))),"Article inconnu",IF(IF(E190="",FALSE,INDEX(art_check,MATCH(E190,art_ref,0))&lt;&gt;"OK"),"Article à corriger (feuille Articles)",IF(COUNTIFS(sj_date,A190,sj_eq,B190,sj_po,C190)&gt;1,"Ligne en double (même jour, équipe et poste)",IF(OR(NOT(ISNUMBER(K190)),N(K190)&lt;=0,N(K190)&gt;1440),"Temps d'ouverture invalide",IF(OR(AND(G190&lt;&gt;"",NOT(ISNUMBER(G190))),N(G190)&lt;0,N(G190)&lt;&gt;INT(N(G190)),AND(H190&lt;&gt;"",NOT(ISNUMBER(H190))),N(H190)&lt;0,N(H190)&lt;&gt;INT(N(H190)),AND(I190&lt;&gt;"",NOT(ISNUMBER(I190))),N(I190)&lt;0,N(I190)&lt;&gt;INT(N(I190))),"Quantité invalide",IF(Q190&lt;=0,"Cadence manquante (poste ou article)",IF(M190&lt;=0,"Arrêts planifiés supérieurs au temps d'ouverture",IF(O190&lt;0,"Arrêts supérieurs au temps requis",IF(AND(P190&gt;0,O190=0),"Pièces déclarées sans temps de marche",IF(AND(P190=0,O190&gt;0),"Aucune pièce déclarée",IF(P190*60/Q190&gt;O190+0.001,"Cadence dépassée : vérifiez la cadence","OK"))))))))))))))))))</f>
        <v>OK</v>
      </c>
      <c r="AC190">
        <f>IF(OR(AB190="OK",AB190="Aucune pièce déclarée",AB190="Cadence dépassée : vérifiez la cadence"),1,0)</f>
        <v>1.0</v>
      </c>
      <c r="AD190">
        <f>IF(AND(AC190=1,A190&gt;=p_from,A190&lt;=p_to),1,0)</f>
        <v>1.0</v>
      </c>
      <c r="AE190">
        <f>IF(AD190=1,IF(COUNTIFS($A$6:A190,A190,$AD$6:AD190,1)=1,1,0),0)</f>
        <v>0.0</v>
      </c>
      <c r="AF190" t="str">
        <f>IF(AE190=1,COUNTIFS(sj_first,1,sj_date,"&lt;"&amp;A190)+1,"")</f>
        <v/>
      </c>
      <c r="AG190" t="str">
        <f>IF(AND(AD190=1,N(W190)&lt;p_alert),ROUND(W190,4),"")</f>
        <v/>
      </c>
      <c r="AH190" t="str">
        <f>IF(AG190="","",COUNTIF(sj_akey,"&lt;"&amp;AG190)+COUNTIF($AG$6:AG190,AG190))</f>
        <v/>
      </c>
    </row>
    <row r="191">
      <c r="A191" s="51" t="n">
        <v>46310</v>
      </c>
      <c r="B191" s="52" t="inlineStr">
        <is>
          <t>Après-midi</t>
        </is>
      </c>
      <c r="C191" s="52" t="inlineStr">
        <is>
          <t>USIN</t>
        </is>
      </c>
      <c r="D191" s="53" t="inlineStr">
        <is>
          <t>OF-2610-139</t>
        </is>
      </c>
      <c r="E191" s="53" t="inlineStr">
        <is>
          <t>FLA-PL-150</t>
        </is>
      </c>
      <c r="F191" s="54" t="n"/>
      <c r="G191" s="54" t="n">
        <v>83</v>
      </c>
      <c r="H191" s="54" t="n">
        <v>0</v>
      </c>
      <c r="I191" s="54" t="n">
        <v>0</v>
      </c>
      <c r="J191" s="53" t="n"/>
      <c r="K191" s="55">
        <f>IF(COUNTA(A191:I191)=0,"",IF(F191="",IFERROR(INDEX(eq_dur,MATCH(B191,eq_code,0)),""),F191))</f>
        <v>480.0</v>
      </c>
      <c r="L191" s="55">
        <f>IF(ISNUMBER(K191),N(IFERROR(INDEX(eq_pause,MATCH(B191,eq_code,0)),0))+SUMIFS(st_min,st_date,A191,st_eq,B191,st_po,C191,st_type,"Planifié"),"")</f>
        <v>30.0</v>
      </c>
      <c r="M191" s="55">
        <f>IF(ISNUMBER(K191),K191-L191,"")</f>
        <v>450.0</v>
      </c>
      <c r="N191" s="55">
        <f>IF(ISNUMBER(K191),SUMIFS(st_min,st_date,A191,st_eq,B191,st_po,C191,st_type,"Non planifié"),"")</f>
        <v>0.0</v>
      </c>
      <c r="O191" s="55">
        <f>IF(ISNUMBER(K191),M191-N191,"")</f>
        <v>450.0</v>
      </c>
      <c r="P191" s="55">
        <f>IF(COUNTA(A191:I191)=0,"",N(G191)+N(H191)+N(I191))</f>
        <v>83.0</v>
      </c>
      <c r="Q191" s="56">
        <f>IF(COUNTA(A191:I191)=0,"",IF(N(IFERROR(INDEX(art_rate,MATCH(E191,art_ref,0)),0))&gt;0,N(IFERROR(INDEX(art_rate,MATCH(E191,art_ref,0)),0)),N(IFERROR(INDEX(po_rate,MATCH(C191,po_code,0)),0))))</f>
        <v>12.0</v>
      </c>
      <c r="R191" s="55">
        <f>IF(AC191=1,P191*60/Q191,"")</f>
        <v>415.0</v>
      </c>
      <c r="S191" s="55">
        <f>IF(AC191=1,N(G191)*60/Q191,"")</f>
        <v>415.0</v>
      </c>
      <c r="T191" s="57">
        <f>IF(AC191=1,O191/M191,"")</f>
        <v>1.0</v>
      </c>
      <c r="U191" s="57">
        <f>IF(AC191=1,IF(O191&gt;0,R191/O191,""),"")</f>
        <v>0.922222222222222</v>
      </c>
      <c r="V191" s="57">
        <f>IF(AC191=1,IF(P191&gt;0,N(G191)/P191,""),"")</f>
        <v>1.0</v>
      </c>
      <c r="W191" s="57">
        <f>IF(AC191=1,S191/M191,"")</f>
        <v>0.922222222222222</v>
      </c>
      <c r="X191" s="57">
        <f>IF(AC191=1,S191/K191,"")</f>
        <v>0.864583333333333</v>
      </c>
      <c r="Y191" s="58" t="str">
        <f>IF(W191="","",IF(W191&gt;=p_target,"Bon",IF(W191&gt;=p_alert,"À surveiller","Faible")))</f>
        <v>Bon</v>
      </c>
      <c r="Z191" s="58" t="str">
        <f>IF(W191="","",IF(MIN(IF(T191="",1,T191),IF(U191="",1,U191),IF(V191="",1,V191))&gt;=1,"Aucune",IF(IF(T191="",1,T191)&lt;=MIN(IF(U191="",1,U191),IF(V191="",1,V191)),"Disponibilité",IF(IF(U191="",1,U191)&lt;=IF(V191="",1,V191),"Performance","Qualité"))))</f>
        <v>Performance</v>
      </c>
      <c r="AA191" s="59">
        <f>IF(AC191=1,N(H191)*N(IFERROR(INDEX(art_cost,MATCH(E191,art_ref,0)),0)),"")</f>
        <v>0.0</v>
      </c>
      <c r="AB191" s="58" t="str">
        <f>IF(COUNTA(A191:I191)=0,"",IF(N(A191)&lt;=0,"Date manquante ou invalide",IF(B191="","Équipe manquante",IF(ISNA(MATCH(B191,eq_code,0)),"Équipe inconnue",IF(INDEX(eq_check,MATCH(B191,eq_code,0))&lt;&gt;"OK","Équipe à corriger dans Paramètres",IF(C191="","Poste manquant",IF(ISNA(MATCH(C191,po_code,0)),"Poste inconnu",IF(AND(E191&lt;&gt;"",ISNA(MATCH(E191,art_ref,0))),"Article inconnu",IF(IF(E191="",FALSE,INDEX(art_check,MATCH(E191,art_ref,0))&lt;&gt;"OK"),"Article à corriger (feuille Articles)",IF(COUNTIFS(sj_date,A191,sj_eq,B191,sj_po,C191)&gt;1,"Ligne en double (même jour, équipe et poste)",IF(OR(NOT(ISNUMBER(K191)),N(K191)&lt;=0,N(K191)&gt;1440),"Temps d'ouverture invalide",IF(OR(AND(G191&lt;&gt;"",NOT(ISNUMBER(G191))),N(G191)&lt;0,N(G191)&lt;&gt;INT(N(G191)),AND(H191&lt;&gt;"",NOT(ISNUMBER(H191))),N(H191)&lt;0,N(H191)&lt;&gt;INT(N(H191)),AND(I191&lt;&gt;"",NOT(ISNUMBER(I191))),N(I191)&lt;0,N(I191)&lt;&gt;INT(N(I191))),"Quantité invalide",IF(Q191&lt;=0,"Cadence manquante (poste ou article)",IF(M191&lt;=0,"Arrêts planifiés supérieurs au temps d'ouverture",IF(O191&lt;0,"Arrêts supérieurs au temps requis",IF(AND(P191&gt;0,O191=0),"Pièces déclarées sans temps de marche",IF(AND(P191=0,O191&gt;0),"Aucune pièce déclarée",IF(P191*60/Q191&gt;O191+0.001,"Cadence dépassée : vérifiez la cadence","OK"))))))))))))))))))</f>
        <v>OK</v>
      </c>
      <c r="AC191">
        <f>IF(OR(AB191="OK",AB191="Aucune pièce déclarée",AB191="Cadence dépassée : vérifiez la cadence"),1,0)</f>
        <v>1.0</v>
      </c>
      <c r="AD191">
        <f>IF(AND(AC191=1,A191&gt;=p_from,A191&lt;=p_to),1,0)</f>
        <v>1.0</v>
      </c>
      <c r="AE191">
        <f>IF(AD191=1,IF(COUNTIFS($A$6:A191,A191,$AD$6:AD191,1)=1,1,0),0)</f>
        <v>0.0</v>
      </c>
      <c r="AF191" t="str">
        <f>IF(AE191=1,COUNTIFS(sj_first,1,sj_date,"&lt;"&amp;A191)+1,"")</f>
        <v/>
      </c>
      <c r="AG191" t="str">
        <f>IF(AND(AD191=1,N(W191)&lt;p_alert),ROUND(W191,4),"")</f>
        <v/>
      </c>
      <c r="AH191" t="str">
        <f>IF(AG191="","",COUNTIF(sj_akey,"&lt;"&amp;AG191)+COUNTIF($AG$6:AG191,AG191))</f>
        <v/>
      </c>
    </row>
    <row r="192">
      <c r="A192" s="51" t="n">
        <v>46310</v>
      </c>
      <c r="B192" s="52" t="inlineStr">
        <is>
          <t>Matin</t>
        </is>
      </c>
      <c r="C192" s="52" t="inlineStr">
        <is>
          <t>PRESSE</t>
        </is>
      </c>
      <c r="D192" s="53" t="inlineStr">
        <is>
          <t>OF-2610-165</t>
        </is>
      </c>
      <c r="E192" s="53" t="inlineStr">
        <is>
          <t>PAT-FIX-10</t>
        </is>
      </c>
      <c r="F192" s="54" t="n"/>
      <c r="G192" s="54" t="n">
        <v>2335</v>
      </c>
      <c r="H192" s="54" t="n">
        <v>45</v>
      </c>
      <c r="I192" s="54" t="n">
        <v>22</v>
      </c>
      <c r="J192" s="53" t="n"/>
      <c r="K192" s="55">
        <f>IF(COUNTA(A192:I192)=0,"",IF(F192="",IFERROR(INDEX(eq_dur,MATCH(B192,eq_code,0)),""),F192))</f>
        <v>480.0</v>
      </c>
      <c r="L192" s="55">
        <f>IF(ISNUMBER(K192),N(IFERROR(INDEX(eq_pause,MATCH(B192,eq_code,0)),0))+SUMIFS(st_min,st_date,A192,st_eq,B192,st_po,C192,st_type,"Planifié"),"")</f>
        <v>30.0</v>
      </c>
      <c r="M192" s="55">
        <f>IF(ISNUMBER(K192),K192-L192,"")</f>
        <v>450.0</v>
      </c>
      <c r="N192" s="55">
        <f>IF(ISNUMBER(K192),SUMIFS(st_min,st_date,A192,st_eq,B192,st_po,C192,st_type,"Non planifié"),"")</f>
        <v>65.0</v>
      </c>
      <c r="O192" s="55">
        <f>IF(ISNUMBER(K192),M192-N192,"")</f>
        <v>385.0</v>
      </c>
      <c r="P192" s="55">
        <f>IF(COUNTA(A192:I192)=0,"",N(G192)+N(H192)+N(I192))</f>
        <v>2402.0</v>
      </c>
      <c r="Q192" s="56">
        <f>IF(COUNTA(A192:I192)=0,"",IF(N(IFERROR(INDEX(art_rate,MATCH(E192,art_ref,0)),0))&gt;0,N(IFERROR(INDEX(art_rate,MATCH(E192,art_ref,0)),0)),N(IFERROR(INDEX(po_rate,MATCH(C192,po_code,0)),0))))</f>
        <v>420.0</v>
      </c>
      <c r="R192" s="55">
        <f>IF(AC192=1,P192*60/Q192,"")</f>
        <v>343.142857142857</v>
      </c>
      <c r="S192" s="55">
        <f>IF(AC192=1,N(G192)*60/Q192,"")</f>
        <v>333.571428571429</v>
      </c>
      <c r="T192" s="57">
        <f>IF(AC192=1,O192/M192,"")</f>
        <v>0.855555555555556</v>
      </c>
      <c r="U192" s="57">
        <f>IF(AC192=1,IF(O192&gt;0,R192/O192,""),"")</f>
        <v>0.891280148423006</v>
      </c>
      <c r="V192" s="57">
        <f>IF(AC192=1,IF(P192&gt;0,N(G192)/P192,""),"")</f>
        <v>0.97210657785179</v>
      </c>
      <c r="W192" s="57">
        <f>IF(AC192=1,S192/M192,"")</f>
        <v>0.741269841269841</v>
      </c>
      <c r="X192" s="57">
        <f>IF(AC192=1,S192/K192,"")</f>
        <v>0.694940476190476</v>
      </c>
      <c r="Y192" s="58" t="str">
        <f>IF(W192="","",IF(W192&gt;=p_target,"Bon",IF(W192&gt;=p_alert,"À surveiller","Faible")))</f>
        <v>À surveiller</v>
      </c>
      <c r="Z192" s="58" t="str">
        <f>IF(W192="","",IF(MIN(IF(T192="",1,T192),IF(U192="",1,U192),IF(V192="",1,V192))&gt;=1,"Aucune",IF(IF(T192="",1,T192)&lt;=MIN(IF(U192="",1,U192),IF(V192="",1,V192)),"Disponibilité",IF(IF(U192="",1,U192)&lt;=IF(V192="",1,V192),"Performance","Qualité"))))</f>
        <v>Disponibilité</v>
      </c>
      <c r="AA192" s="59">
        <f>IF(AC192=1,N(H192)*N(IFERROR(INDEX(art_cost,MATCH(E192,art_ref,0)),0)),"")</f>
        <v>189.0</v>
      </c>
      <c r="AB192" s="58" t="str">
        <f>IF(COUNTA(A192:I192)=0,"",IF(N(A192)&lt;=0,"Date manquante ou invalide",IF(B192="","Équipe manquante",IF(ISNA(MATCH(B192,eq_code,0)),"Équipe inconnue",IF(INDEX(eq_check,MATCH(B192,eq_code,0))&lt;&gt;"OK","Équipe à corriger dans Paramètres",IF(C192="","Poste manquant",IF(ISNA(MATCH(C192,po_code,0)),"Poste inconnu",IF(AND(E192&lt;&gt;"",ISNA(MATCH(E192,art_ref,0))),"Article inconnu",IF(IF(E192="",FALSE,INDEX(art_check,MATCH(E192,art_ref,0))&lt;&gt;"OK"),"Article à corriger (feuille Articles)",IF(COUNTIFS(sj_date,A192,sj_eq,B192,sj_po,C192)&gt;1,"Ligne en double (même jour, équipe et poste)",IF(OR(NOT(ISNUMBER(K192)),N(K192)&lt;=0,N(K192)&gt;1440),"Temps d'ouverture invalide",IF(OR(AND(G192&lt;&gt;"",NOT(ISNUMBER(G192))),N(G192)&lt;0,N(G192)&lt;&gt;INT(N(G192)),AND(H192&lt;&gt;"",NOT(ISNUMBER(H192))),N(H192)&lt;0,N(H192)&lt;&gt;INT(N(H192)),AND(I192&lt;&gt;"",NOT(ISNUMBER(I192))),N(I192)&lt;0,N(I192)&lt;&gt;INT(N(I192))),"Quantité invalide",IF(Q192&lt;=0,"Cadence manquante (poste ou article)",IF(M192&lt;=0,"Arrêts planifiés supérieurs au temps d'ouverture",IF(O192&lt;0,"Arrêts supérieurs au temps requis",IF(AND(P192&gt;0,O192=0),"Pièces déclarées sans temps de marche",IF(AND(P192=0,O192&gt;0),"Aucune pièce déclarée",IF(P192*60/Q192&gt;O192+0.001,"Cadence dépassée : vérifiez la cadence","OK"))))))))))))))))))</f>
        <v>OK</v>
      </c>
      <c r="AC192">
        <f>IF(OR(AB192="OK",AB192="Aucune pièce déclarée",AB192="Cadence dépassée : vérifiez la cadence"),1,0)</f>
        <v>1.0</v>
      </c>
      <c r="AD192">
        <f>IF(AND(AC192=1,A192&gt;=p_from,A192&lt;=p_to),1,0)</f>
        <v>1.0</v>
      </c>
      <c r="AE192">
        <f>IF(AD192=1,IF(COUNTIFS($A$6:A192,A192,$AD$6:AD192,1)=1,1,0),0)</f>
        <v>0.0</v>
      </c>
      <c r="AF192" t="str">
        <f>IF(AE192=1,COUNTIFS(sj_first,1,sj_date,"&lt;"&amp;A192)+1,"")</f>
        <v/>
      </c>
      <c r="AG192" t="str">
        <f>IF(AND(AD192=1,N(W192)&lt;p_alert),ROUND(W192,4),"")</f>
        <v/>
      </c>
      <c r="AH192" t="str">
        <f>IF(AG192="","",COUNTIF(sj_akey,"&lt;"&amp;AG192)+COUNTIF($AG$6:AG192,AG192))</f>
        <v/>
      </c>
    </row>
    <row r="193">
      <c r="A193" s="51" t="n">
        <v>46310</v>
      </c>
      <c r="B193" s="52" t="inlineStr">
        <is>
          <t>Journée</t>
        </is>
      </c>
      <c r="C193" s="52" t="inlineStr">
        <is>
          <t>PLIE</t>
        </is>
      </c>
      <c r="D193" s="53" t="inlineStr">
        <is>
          <t>OF-2610-166</t>
        </is>
      </c>
      <c r="E193" s="53" t="inlineStr">
        <is>
          <t>GAR-SUP-02</t>
        </is>
      </c>
      <c r="F193" s="54" t="n"/>
      <c r="G193" s="54" t="n">
        <v>687</v>
      </c>
      <c r="H193" s="54" t="n">
        <v>21</v>
      </c>
      <c r="I193" s="54" t="n">
        <v>0</v>
      </c>
      <c r="J193" s="53" t="n"/>
      <c r="K193" s="55">
        <f>IF(COUNTA(A193:I193)=0,"",IF(F193="",IFERROR(INDEX(eq_dur,MATCH(B193,eq_code,0)),""),F193))</f>
        <v>540.0</v>
      </c>
      <c r="L193" s="55">
        <f>IF(ISNUMBER(K193),N(IFERROR(INDEX(eq_pause,MATCH(B193,eq_code,0)),0))+SUMIFS(st_min,st_date,A193,st_eq,B193,st_po,C193,st_type,"Planifié"),"")</f>
        <v>60.0</v>
      </c>
      <c r="M193" s="55">
        <f>IF(ISNUMBER(K193),K193-L193,"")</f>
        <v>480.0</v>
      </c>
      <c r="N193" s="55">
        <f>IF(ISNUMBER(K193),SUMIFS(st_min,st_date,A193,st_eq,B193,st_po,C193,st_type,"Non planifié"),"")</f>
        <v>35.0</v>
      </c>
      <c r="O193" s="55">
        <f>IF(ISNUMBER(K193),M193-N193,"")</f>
        <v>445.0</v>
      </c>
      <c r="P193" s="55">
        <f>IF(COUNTA(A193:I193)=0,"",N(G193)+N(H193)+N(I193))</f>
        <v>708.0</v>
      </c>
      <c r="Q193" s="56">
        <f>IF(COUNTA(A193:I193)=0,"",IF(N(IFERROR(INDEX(art_rate,MATCH(E193,art_ref,0)),0))&gt;0,N(IFERROR(INDEX(art_rate,MATCH(E193,art_ref,0)),0)),N(IFERROR(INDEX(po_rate,MATCH(C193,po_code,0)),0))))</f>
        <v>110.0</v>
      </c>
      <c r="R193" s="55">
        <f>IF(AC193=1,P193*60/Q193,"")</f>
        <v>386.181818181818</v>
      </c>
      <c r="S193" s="55">
        <f>IF(AC193=1,N(G193)*60/Q193,"")</f>
        <v>374.727272727273</v>
      </c>
      <c r="T193" s="57">
        <f>IF(AC193=1,O193/M193,"")</f>
        <v>0.927083333333333</v>
      </c>
      <c r="U193" s="57">
        <f>IF(AC193=1,IF(O193&gt;0,R193/O193,""),"")</f>
        <v>0.86782431052094</v>
      </c>
      <c r="V193" s="57">
        <f>IF(AC193=1,IF(P193&gt;0,N(G193)/P193,""),"")</f>
        <v>0.970338983050847</v>
      </c>
      <c r="W193" s="57">
        <f>IF(AC193=1,S193/M193,"")</f>
        <v>0.780681818181818</v>
      </c>
      <c r="X193" s="57">
        <f>IF(AC193=1,S193/K193,"")</f>
        <v>0.693939393939394</v>
      </c>
      <c r="Y193" s="58" t="str">
        <f>IF(W193="","",IF(W193&gt;=p_target,"Bon",IF(W193&gt;=p_alert,"À surveiller","Faible")))</f>
        <v>Bon</v>
      </c>
      <c r="Z193" s="58" t="str">
        <f>IF(W193="","",IF(MIN(IF(T193="",1,T193),IF(U193="",1,U193),IF(V193="",1,V193))&gt;=1,"Aucune",IF(IF(T193="",1,T193)&lt;=MIN(IF(U193="",1,U193),IF(V193="",1,V193)),"Disponibilité",IF(IF(U193="",1,U193)&lt;=IF(V193="",1,V193),"Performance","Qualité"))))</f>
        <v>Performance</v>
      </c>
      <c r="AA193" s="59">
        <f>IF(AC193=1,N(H193)*N(IFERROR(INDEX(art_cost,MATCH(E193,art_ref,0)),0)),"")</f>
        <v>451.5</v>
      </c>
      <c r="AB193" s="58" t="str">
        <f>IF(COUNTA(A193:I193)=0,"",IF(N(A193)&lt;=0,"Date manquante ou invalide",IF(B193="","Équipe manquante",IF(ISNA(MATCH(B193,eq_code,0)),"Équipe inconnue",IF(INDEX(eq_check,MATCH(B193,eq_code,0))&lt;&gt;"OK","Équipe à corriger dans Paramètres",IF(C193="","Poste manquant",IF(ISNA(MATCH(C193,po_code,0)),"Poste inconnu",IF(AND(E193&lt;&gt;"",ISNA(MATCH(E193,art_ref,0))),"Article inconnu",IF(IF(E193="",FALSE,INDEX(art_check,MATCH(E193,art_ref,0))&lt;&gt;"OK"),"Article à corriger (feuille Articles)",IF(COUNTIFS(sj_date,A193,sj_eq,B193,sj_po,C193)&gt;1,"Ligne en double (même jour, équipe et poste)",IF(OR(NOT(ISNUMBER(K193)),N(K193)&lt;=0,N(K193)&gt;1440),"Temps d'ouverture invalide",IF(OR(AND(G193&lt;&gt;"",NOT(ISNUMBER(G193))),N(G193)&lt;0,N(G193)&lt;&gt;INT(N(G193)),AND(H193&lt;&gt;"",NOT(ISNUMBER(H193))),N(H193)&lt;0,N(H193)&lt;&gt;INT(N(H193)),AND(I193&lt;&gt;"",NOT(ISNUMBER(I193))),N(I193)&lt;0,N(I193)&lt;&gt;INT(N(I193))),"Quantité invalide",IF(Q193&lt;=0,"Cadence manquante (poste ou article)",IF(M193&lt;=0,"Arrêts planifiés supérieurs au temps d'ouverture",IF(O193&lt;0,"Arrêts supérieurs au temps requis",IF(AND(P193&gt;0,O193=0),"Pièces déclarées sans temps de marche",IF(AND(P193=0,O193&gt;0),"Aucune pièce déclarée",IF(P193*60/Q193&gt;O193+0.001,"Cadence dépassée : vérifiez la cadence","OK"))))))))))))))))))</f>
        <v>OK</v>
      </c>
      <c r="AC193">
        <f>IF(OR(AB193="OK",AB193="Aucune pièce déclarée",AB193="Cadence dépassée : vérifiez la cadence"),1,0)</f>
        <v>1.0</v>
      </c>
      <c r="AD193">
        <f>IF(AND(AC193=1,A193&gt;=p_from,A193&lt;=p_to),1,0)</f>
        <v>1.0</v>
      </c>
      <c r="AE193">
        <f>IF(AD193=1,IF(COUNTIFS($A$6:A193,A193,$AD$6:AD193,1)=1,1,0),0)</f>
        <v>0.0</v>
      </c>
      <c r="AF193" t="str">
        <f>IF(AE193=1,COUNTIFS(sj_first,1,sj_date,"&lt;"&amp;A193)+1,"")</f>
        <v/>
      </c>
      <c r="AG193" t="str">
        <f>IF(AND(AD193=1,N(W193)&lt;p_alert),ROUND(W193,4),"")</f>
        <v/>
      </c>
      <c r="AH193" t="str">
        <f>IF(AG193="","",COUNTIF(sj_akey,"&lt;"&amp;AG193)+COUNTIF($AG$6:AG193,AG193))</f>
        <v/>
      </c>
    </row>
    <row r="194">
      <c r="A194" s="51" t="n">
        <v>46310</v>
      </c>
      <c r="B194" s="52" t="inlineStr">
        <is>
          <t>Matin</t>
        </is>
      </c>
      <c r="C194" s="52" t="inlineStr">
        <is>
          <t>SOUD</t>
        </is>
      </c>
      <c r="D194" s="53" t="inlineStr">
        <is>
          <t>OF-2610-153</t>
        </is>
      </c>
      <c r="E194" s="53" t="inlineStr">
        <is>
          <t>BRA-SUS-02</t>
        </is>
      </c>
      <c r="F194" s="54" t="n"/>
      <c r="G194" s="54" t="n">
        <v>59</v>
      </c>
      <c r="H194" s="54" t="n">
        <v>0</v>
      </c>
      <c r="I194" s="54" t="n">
        <v>0</v>
      </c>
      <c r="J194" s="53" t="n"/>
      <c r="K194" s="55">
        <f>IF(COUNTA(A194:I194)=0,"",IF(F194="",IFERROR(INDEX(eq_dur,MATCH(B194,eq_code,0)),""),F194))</f>
        <v>480.0</v>
      </c>
      <c r="L194" s="55">
        <f>IF(ISNUMBER(K194),N(IFERROR(INDEX(eq_pause,MATCH(B194,eq_code,0)),0))+SUMIFS(st_min,st_date,A194,st_eq,B194,st_po,C194,st_type,"Planifié"),"")</f>
        <v>30.0</v>
      </c>
      <c r="M194" s="55">
        <f>IF(ISNUMBER(K194),K194-L194,"")</f>
        <v>450.0</v>
      </c>
      <c r="N194" s="55">
        <f>IF(ISNUMBER(K194),SUMIFS(st_min,st_date,A194,st_eq,B194,st_po,C194,st_type,"Non planifié"),"")</f>
        <v>211.0</v>
      </c>
      <c r="O194" s="55">
        <f>IF(ISNUMBER(K194),M194-N194,"")</f>
        <v>239.0</v>
      </c>
      <c r="P194" s="55">
        <f>IF(COUNTA(A194:I194)=0,"",N(G194)+N(H194)+N(I194))</f>
        <v>59.0</v>
      </c>
      <c r="Q194" s="56">
        <f>IF(COUNTA(A194:I194)=0,"",IF(N(IFERROR(INDEX(art_rate,MATCH(E194,art_ref,0)),0))&gt;0,N(IFERROR(INDEX(art_rate,MATCH(E194,art_ref,0)),0)),N(IFERROR(INDEX(po_rate,MATCH(C194,po_code,0)),0))))</f>
        <v>20.0</v>
      </c>
      <c r="R194" s="55">
        <f>IF(AC194=1,P194*60/Q194,"")</f>
        <v>177.0</v>
      </c>
      <c r="S194" s="55">
        <f>IF(AC194=1,N(G194)*60/Q194,"")</f>
        <v>177.0</v>
      </c>
      <c r="T194" s="57">
        <f>IF(AC194=1,O194/M194,"")</f>
        <v>0.531111111111111</v>
      </c>
      <c r="U194" s="57">
        <f>IF(AC194=1,IF(O194&gt;0,R194/O194,""),"")</f>
        <v>0.740585774058577</v>
      </c>
      <c r="V194" s="57">
        <f>IF(AC194=1,IF(P194&gt;0,N(G194)/P194,""),"")</f>
        <v>1.0</v>
      </c>
      <c r="W194" s="57">
        <f>IF(AC194=1,S194/M194,"")</f>
        <v>0.393333333333333</v>
      </c>
      <c r="X194" s="57">
        <f>IF(AC194=1,S194/K194,"")</f>
        <v>0.36875</v>
      </c>
      <c r="Y194" s="58" t="str">
        <f>IF(W194="","",IF(W194&gt;=p_target,"Bon",IF(W194&gt;=p_alert,"À surveiller","Faible")))</f>
        <v>Faible</v>
      </c>
      <c r="Z194" s="58" t="str">
        <f>IF(W194="","",IF(MIN(IF(T194="",1,T194),IF(U194="",1,U194),IF(V194="",1,V194))&gt;=1,"Aucune",IF(IF(T194="",1,T194)&lt;=MIN(IF(U194="",1,U194),IF(V194="",1,V194)),"Disponibilité",IF(IF(U194="",1,U194)&lt;=IF(V194="",1,V194),"Performance","Qualité"))))</f>
        <v>Disponibilité</v>
      </c>
      <c r="AA194" s="59">
        <f>IF(AC194=1,N(H194)*N(IFERROR(INDEX(art_cost,MATCH(E194,art_ref,0)),0)),"")</f>
        <v>0.0</v>
      </c>
      <c r="AB194" s="58" t="str">
        <f>IF(COUNTA(A194:I194)=0,"",IF(N(A194)&lt;=0,"Date manquante ou invalide",IF(B194="","Équipe manquante",IF(ISNA(MATCH(B194,eq_code,0)),"Équipe inconnue",IF(INDEX(eq_check,MATCH(B194,eq_code,0))&lt;&gt;"OK","Équipe à corriger dans Paramètres",IF(C194="","Poste manquant",IF(ISNA(MATCH(C194,po_code,0)),"Poste inconnu",IF(AND(E194&lt;&gt;"",ISNA(MATCH(E194,art_ref,0))),"Article inconnu",IF(IF(E194="",FALSE,INDEX(art_check,MATCH(E194,art_ref,0))&lt;&gt;"OK"),"Article à corriger (feuille Articles)",IF(COUNTIFS(sj_date,A194,sj_eq,B194,sj_po,C194)&gt;1,"Ligne en double (même jour, équipe et poste)",IF(OR(NOT(ISNUMBER(K194)),N(K194)&lt;=0,N(K194)&gt;1440),"Temps d'ouverture invalide",IF(OR(AND(G194&lt;&gt;"",NOT(ISNUMBER(G194))),N(G194)&lt;0,N(G194)&lt;&gt;INT(N(G194)),AND(H194&lt;&gt;"",NOT(ISNUMBER(H194))),N(H194)&lt;0,N(H194)&lt;&gt;INT(N(H194)),AND(I194&lt;&gt;"",NOT(ISNUMBER(I194))),N(I194)&lt;0,N(I194)&lt;&gt;INT(N(I194))),"Quantité invalide",IF(Q194&lt;=0,"Cadence manquante (poste ou article)",IF(M194&lt;=0,"Arrêts planifiés supérieurs au temps d'ouverture",IF(O194&lt;0,"Arrêts supérieurs au temps requis",IF(AND(P194&gt;0,O194=0),"Pièces déclarées sans temps de marche",IF(AND(P194=0,O194&gt;0),"Aucune pièce déclarée",IF(P194*60/Q194&gt;O194+0.001,"Cadence dépassée : vérifiez la cadence","OK"))))))))))))))))))</f>
        <v>OK</v>
      </c>
      <c r="AC194">
        <f>IF(OR(AB194="OK",AB194="Aucune pièce déclarée",AB194="Cadence dépassée : vérifiez la cadence"),1,0)</f>
        <v>1.0</v>
      </c>
      <c r="AD194">
        <f>IF(AND(AC194=1,A194&gt;=p_from,A194&lt;=p_to),1,0)</f>
        <v>1.0</v>
      </c>
      <c r="AE194">
        <f>IF(AD194=1,IF(COUNTIFS($A$6:A194,A194,$AD$6:AD194,1)=1,1,0),0)</f>
        <v>0.0</v>
      </c>
      <c r="AF194" t="str">
        <f>IF(AE194=1,COUNTIFS(sj_first,1,sj_date,"&lt;"&amp;A194)+1,"")</f>
        <v/>
      </c>
      <c r="AG194">
        <f>IF(AND(AD194=1,N(W194)&lt;p_alert),ROUND(W194,4),"")</f>
        <v>0.3933</v>
      </c>
      <c r="AH194">
        <f>IF(AG194="","",COUNTIF(sj_akey,"&lt;"&amp;AG194)+COUNTIF($AG$6:AG194,AG194))</f>
        <v>11.0</v>
      </c>
    </row>
    <row r="195">
      <c r="A195" s="51" t="n">
        <v>46310</v>
      </c>
      <c r="B195" s="52" t="inlineStr">
        <is>
          <t>Après-midi</t>
        </is>
      </c>
      <c r="C195" s="52" t="inlineStr">
        <is>
          <t>SOUD</t>
        </is>
      </c>
      <c r="D195" s="53" t="inlineStr">
        <is>
          <t>OF-2610-167</t>
        </is>
      </c>
      <c r="E195" s="53" t="inlineStr">
        <is>
          <t>BRA-SUS-02</t>
        </is>
      </c>
      <c r="F195" s="54" t="n"/>
      <c r="G195" s="54" t="n">
        <v>105</v>
      </c>
      <c r="H195" s="54" t="n">
        <v>0</v>
      </c>
      <c r="I195" s="54" t="n">
        <v>0</v>
      </c>
      <c r="J195" s="53" t="n"/>
      <c r="K195" s="55">
        <f>IF(COUNTA(A195:I195)=0,"",IF(F195="",IFERROR(INDEX(eq_dur,MATCH(B195,eq_code,0)),""),F195))</f>
        <v>480.0</v>
      </c>
      <c r="L195" s="55">
        <f>IF(ISNUMBER(K195),N(IFERROR(INDEX(eq_pause,MATCH(B195,eq_code,0)),0))+SUMIFS(st_min,st_date,A195,st_eq,B195,st_po,C195,st_type,"Planifié"),"")</f>
        <v>30.0</v>
      </c>
      <c r="M195" s="55">
        <f>IF(ISNUMBER(K195),K195-L195,"")</f>
        <v>450.0</v>
      </c>
      <c r="N195" s="55">
        <f>IF(ISNUMBER(K195),SUMIFS(st_min,st_date,A195,st_eq,B195,st_po,C195,st_type,"Non planifié"),"")</f>
        <v>36.0</v>
      </c>
      <c r="O195" s="55">
        <f>IF(ISNUMBER(K195),M195-N195,"")</f>
        <v>414.0</v>
      </c>
      <c r="P195" s="55">
        <f>IF(COUNTA(A195:I195)=0,"",N(G195)+N(H195)+N(I195))</f>
        <v>105.0</v>
      </c>
      <c r="Q195" s="56">
        <f>IF(COUNTA(A195:I195)=0,"",IF(N(IFERROR(INDEX(art_rate,MATCH(E195,art_ref,0)),0))&gt;0,N(IFERROR(INDEX(art_rate,MATCH(E195,art_ref,0)),0)),N(IFERROR(INDEX(po_rate,MATCH(C195,po_code,0)),0))))</f>
        <v>20.0</v>
      </c>
      <c r="R195" s="55">
        <f>IF(AC195=1,P195*60/Q195,"")</f>
        <v>315.0</v>
      </c>
      <c r="S195" s="55">
        <f>IF(AC195=1,N(G195)*60/Q195,"")</f>
        <v>315.0</v>
      </c>
      <c r="T195" s="57">
        <f>IF(AC195=1,O195/M195,"")</f>
        <v>0.92</v>
      </c>
      <c r="U195" s="57">
        <f>IF(AC195=1,IF(O195&gt;0,R195/O195,""),"")</f>
        <v>0.760869565217391</v>
      </c>
      <c r="V195" s="57">
        <f>IF(AC195=1,IF(P195&gt;0,N(G195)/P195,""),"")</f>
        <v>1.0</v>
      </c>
      <c r="W195" s="57">
        <f>IF(AC195=1,S195/M195,"")</f>
        <v>0.7</v>
      </c>
      <c r="X195" s="57">
        <f>IF(AC195=1,S195/K195,"")</f>
        <v>0.65625</v>
      </c>
      <c r="Y195" s="58" t="str">
        <f>IF(W195="","",IF(W195&gt;=p_target,"Bon",IF(W195&gt;=p_alert,"À surveiller","Faible")))</f>
        <v>À surveiller</v>
      </c>
      <c r="Z195" s="58" t="str">
        <f>IF(W195="","",IF(MIN(IF(T195="",1,T195),IF(U195="",1,U195),IF(V195="",1,V195))&gt;=1,"Aucune",IF(IF(T195="",1,T195)&lt;=MIN(IF(U195="",1,U195),IF(V195="",1,V195)),"Disponibilité",IF(IF(U195="",1,U195)&lt;=IF(V195="",1,V195),"Performance","Qualité"))))</f>
        <v>Performance</v>
      </c>
      <c r="AA195" s="59">
        <f>IF(AC195=1,N(H195)*N(IFERROR(INDEX(art_cost,MATCH(E195,art_ref,0)),0)),"")</f>
        <v>0.0</v>
      </c>
      <c r="AB195" s="58" t="str">
        <f>IF(COUNTA(A195:I195)=0,"",IF(N(A195)&lt;=0,"Date manquante ou invalide",IF(B195="","Équipe manquante",IF(ISNA(MATCH(B195,eq_code,0)),"Équipe inconnue",IF(INDEX(eq_check,MATCH(B195,eq_code,0))&lt;&gt;"OK","Équipe à corriger dans Paramètres",IF(C195="","Poste manquant",IF(ISNA(MATCH(C195,po_code,0)),"Poste inconnu",IF(AND(E195&lt;&gt;"",ISNA(MATCH(E195,art_ref,0))),"Article inconnu",IF(IF(E195="",FALSE,INDEX(art_check,MATCH(E195,art_ref,0))&lt;&gt;"OK"),"Article à corriger (feuille Articles)",IF(COUNTIFS(sj_date,A195,sj_eq,B195,sj_po,C195)&gt;1,"Ligne en double (même jour, équipe et poste)",IF(OR(NOT(ISNUMBER(K195)),N(K195)&lt;=0,N(K195)&gt;1440),"Temps d'ouverture invalide",IF(OR(AND(G195&lt;&gt;"",NOT(ISNUMBER(G195))),N(G195)&lt;0,N(G195)&lt;&gt;INT(N(G195)),AND(H195&lt;&gt;"",NOT(ISNUMBER(H195))),N(H195)&lt;0,N(H195)&lt;&gt;INT(N(H195)),AND(I195&lt;&gt;"",NOT(ISNUMBER(I195))),N(I195)&lt;0,N(I195)&lt;&gt;INT(N(I195))),"Quantité invalide",IF(Q195&lt;=0,"Cadence manquante (poste ou article)",IF(M195&lt;=0,"Arrêts planifiés supérieurs au temps d'ouverture",IF(O195&lt;0,"Arrêts supérieurs au temps requis",IF(AND(P195&gt;0,O195=0),"Pièces déclarées sans temps de marche",IF(AND(P195=0,O195&gt;0),"Aucune pièce déclarée",IF(P195*60/Q195&gt;O195+0.001,"Cadence dépassée : vérifiez la cadence","OK"))))))))))))))))))</f>
        <v>OK</v>
      </c>
      <c r="AC195">
        <f>IF(OR(AB195="OK",AB195="Aucune pièce déclarée",AB195="Cadence dépassée : vérifiez la cadence"),1,0)</f>
        <v>1.0</v>
      </c>
      <c r="AD195">
        <f>IF(AND(AC195=1,A195&gt;=p_from,A195&lt;=p_to),1,0)</f>
        <v>1.0</v>
      </c>
      <c r="AE195">
        <f>IF(AD195=1,IF(COUNTIFS($A$6:A195,A195,$AD$6:AD195,1)=1,1,0),0)</f>
        <v>0.0</v>
      </c>
      <c r="AF195" t="str">
        <f>IF(AE195=1,COUNTIFS(sj_first,1,sj_date,"&lt;"&amp;A195)+1,"")</f>
        <v/>
      </c>
      <c r="AG195" t="str">
        <f>IF(AND(AD195=1,N(W195)&lt;p_alert),ROUND(W195,4),"")</f>
        <v/>
      </c>
      <c r="AH195" t="str">
        <f>IF(AG195="","",COUNTIF(sj_akey,"&lt;"&amp;AG195)+COUNTIF($AG$6:AG195,AG195))</f>
        <v/>
      </c>
    </row>
    <row r="196">
      <c r="A196" s="51" t="n">
        <v>46311</v>
      </c>
      <c r="B196" s="52" t="inlineStr">
        <is>
          <t>Matin</t>
        </is>
      </c>
      <c r="C196" s="52" t="inlineStr">
        <is>
          <t>TOUR1</t>
        </is>
      </c>
      <c r="D196" s="53" t="inlineStr">
        <is>
          <t>OF-2610-161</t>
        </is>
      </c>
      <c r="E196" s="53" t="inlineStr">
        <is>
          <t>BAG-BR-32</t>
        </is>
      </c>
      <c r="F196" s="54" t="n"/>
      <c r="G196" s="54" t="n">
        <v>234</v>
      </c>
      <c r="H196" s="54" t="n">
        <v>8</v>
      </c>
      <c r="I196" s="54" t="n">
        <v>3</v>
      </c>
      <c r="J196" s="53" t="n"/>
      <c r="K196" s="55">
        <f>IF(COUNTA(A196:I196)=0,"",IF(F196="",IFERROR(INDEX(eq_dur,MATCH(B196,eq_code,0)),""),F196))</f>
        <v>480.0</v>
      </c>
      <c r="L196" s="55">
        <f>IF(ISNUMBER(K196),N(IFERROR(INDEX(eq_pause,MATCH(B196,eq_code,0)),0))+SUMIFS(st_min,st_date,A196,st_eq,B196,st_po,C196,st_type,"Planifié"),"")</f>
        <v>30.0</v>
      </c>
      <c r="M196" s="55">
        <f>IF(ISNUMBER(K196),K196-L196,"")</f>
        <v>450.0</v>
      </c>
      <c r="N196" s="55">
        <f>IF(ISNUMBER(K196),SUMIFS(st_min,st_date,A196,st_eq,B196,st_po,C196,st_type,"Non planifié"),"")</f>
        <v>28.0</v>
      </c>
      <c r="O196" s="55">
        <f>IF(ISNUMBER(K196),M196-N196,"")</f>
        <v>422.0</v>
      </c>
      <c r="P196" s="55">
        <f>IF(COUNTA(A196:I196)=0,"",N(G196)+N(H196)+N(I196))</f>
        <v>245.0</v>
      </c>
      <c r="Q196" s="56">
        <f>IF(COUNTA(A196:I196)=0,"",IF(N(IFERROR(INDEX(art_rate,MATCH(E196,art_ref,0)),0))&gt;0,N(IFERROR(INDEX(art_rate,MATCH(E196,art_ref,0)),0)),N(IFERROR(INDEX(po_rate,MATCH(C196,po_code,0)),0))))</f>
        <v>40.0</v>
      </c>
      <c r="R196" s="55">
        <f>IF(AC196=1,P196*60/Q196,"")</f>
        <v>367.5</v>
      </c>
      <c r="S196" s="55">
        <f>IF(AC196=1,N(G196)*60/Q196,"")</f>
        <v>351.0</v>
      </c>
      <c r="T196" s="57">
        <f>IF(AC196=1,O196/M196,"")</f>
        <v>0.937777777777778</v>
      </c>
      <c r="U196" s="57">
        <f>IF(AC196=1,IF(O196&gt;0,R196/O196,""),"")</f>
        <v>0.87085308056872</v>
      </c>
      <c r="V196" s="57">
        <f>IF(AC196=1,IF(P196&gt;0,N(G196)/P196,""),"")</f>
        <v>0.955102040816327</v>
      </c>
      <c r="W196" s="57">
        <f>IF(AC196=1,S196/M196,"")</f>
        <v>0.78</v>
      </c>
      <c r="X196" s="57">
        <f>IF(AC196=1,S196/K196,"")</f>
        <v>0.73125</v>
      </c>
      <c r="Y196" s="58" t="str">
        <f>IF(W196="","",IF(W196&gt;=p_target,"Bon",IF(W196&gt;=p_alert,"À surveiller","Faible")))</f>
        <v>Bon</v>
      </c>
      <c r="Z196" s="58" t="str">
        <f>IF(W196="","",IF(MIN(IF(T196="",1,T196),IF(U196="",1,U196),IF(V196="",1,V196))&gt;=1,"Aucune",IF(IF(T196="",1,T196)&lt;=MIN(IF(U196="",1,U196),IF(V196="",1,V196)),"Disponibilité",IF(IF(U196="",1,U196)&lt;=IF(V196="",1,V196),"Performance","Qualité"))))</f>
        <v>Performance</v>
      </c>
      <c r="AA196" s="59">
        <f>IF(AC196=1,N(H196)*N(IFERROR(INDEX(art_cost,MATCH(E196,art_ref,0)),0)),"")</f>
        <v>416.0</v>
      </c>
      <c r="AB196" s="58" t="str">
        <f>IF(COUNTA(A196:I196)=0,"",IF(N(A196)&lt;=0,"Date manquante ou invalide",IF(B196="","Équipe manquante",IF(ISNA(MATCH(B196,eq_code,0)),"Équipe inconnue",IF(INDEX(eq_check,MATCH(B196,eq_code,0))&lt;&gt;"OK","Équipe à corriger dans Paramètres",IF(C196="","Poste manquant",IF(ISNA(MATCH(C196,po_code,0)),"Poste inconnu",IF(AND(E196&lt;&gt;"",ISNA(MATCH(E196,art_ref,0))),"Article inconnu",IF(IF(E196="",FALSE,INDEX(art_check,MATCH(E196,art_ref,0))&lt;&gt;"OK"),"Article à corriger (feuille Articles)",IF(COUNTIFS(sj_date,A196,sj_eq,B196,sj_po,C196)&gt;1,"Ligne en double (même jour, équipe et poste)",IF(OR(NOT(ISNUMBER(K196)),N(K196)&lt;=0,N(K196)&gt;1440),"Temps d'ouverture invalide",IF(OR(AND(G196&lt;&gt;"",NOT(ISNUMBER(G196))),N(G196)&lt;0,N(G196)&lt;&gt;INT(N(G196)),AND(H196&lt;&gt;"",NOT(ISNUMBER(H196))),N(H196)&lt;0,N(H196)&lt;&gt;INT(N(H196)),AND(I196&lt;&gt;"",NOT(ISNUMBER(I196))),N(I196)&lt;0,N(I196)&lt;&gt;INT(N(I196))),"Quantité invalide",IF(Q196&lt;=0,"Cadence manquante (poste ou article)",IF(M196&lt;=0,"Arrêts planifiés supérieurs au temps d'ouverture",IF(O196&lt;0,"Arrêts supérieurs au temps requis",IF(AND(P196&gt;0,O196=0),"Pièces déclarées sans temps de marche",IF(AND(P196=0,O196&gt;0),"Aucune pièce déclarée",IF(P196*60/Q196&gt;O196+0.001,"Cadence dépassée : vérifiez la cadence","OK"))))))))))))))))))</f>
        <v>OK</v>
      </c>
      <c r="AC196">
        <f>IF(OR(AB196="OK",AB196="Aucune pièce déclarée",AB196="Cadence dépassée : vérifiez la cadence"),1,0)</f>
        <v>1.0</v>
      </c>
      <c r="AD196">
        <f>IF(AND(AC196=1,A196&gt;=p_from,A196&lt;=p_to),1,0)</f>
        <v>1.0</v>
      </c>
      <c r="AE196">
        <f>IF(AD196=1,IF(COUNTIFS($A$6:A196,A196,$AD$6:AD196,1)=1,1,0),0)</f>
        <v>1.0</v>
      </c>
      <c r="AF196">
        <f>IF(AE196=1,COUNTIFS(sj_first,1,sj_date,"&lt;"&amp;A196)+1,"")</f>
        <v>20.0</v>
      </c>
      <c r="AG196" t="str">
        <f>IF(AND(AD196=1,N(W196)&lt;p_alert),ROUND(W196,4),"")</f>
        <v/>
      </c>
      <c r="AH196" t="str">
        <f>IF(AG196="","",COUNTIF(sj_akey,"&lt;"&amp;AG196)+COUNTIF($AG$6:AG196,AG196))</f>
        <v/>
      </c>
    </row>
    <row r="197">
      <c r="A197" s="51" t="n">
        <v>46311</v>
      </c>
      <c r="B197" s="52" t="inlineStr">
        <is>
          <t>Après-midi</t>
        </is>
      </c>
      <c r="C197" s="52" t="inlineStr">
        <is>
          <t>TOUR1</t>
        </is>
      </c>
      <c r="D197" s="53" t="inlineStr">
        <is>
          <t>OF-2610-168</t>
        </is>
      </c>
      <c r="E197" s="53" t="inlineStr">
        <is>
          <t>BAG-BR-32</t>
        </is>
      </c>
      <c r="F197" s="54" t="n"/>
      <c r="G197" s="54" t="n">
        <v>224</v>
      </c>
      <c r="H197" s="54" t="n">
        <v>2</v>
      </c>
      <c r="I197" s="54" t="n">
        <v>0</v>
      </c>
      <c r="J197" s="53" t="n"/>
      <c r="K197" s="55">
        <f>IF(COUNTA(A197:I197)=0,"",IF(F197="",IFERROR(INDEX(eq_dur,MATCH(B197,eq_code,0)),""),F197))</f>
        <v>480.0</v>
      </c>
      <c r="L197" s="55">
        <f>IF(ISNUMBER(K197),N(IFERROR(INDEX(eq_pause,MATCH(B197,eq_code,0)),0))+SUMIFS(st_min,st_date,A197,st_eq,B197,st_po,C197,st_type,"Planifié"),"")</f>
        <v>30.0</v>
      </c>
      <c r="M197" s="55">
        <f>IF(ISNUMBER(K197),K197-L197,"")</f>
        <v>450.0</v>
      </c>
      <c r="N197" s="55">
        <f>IF(ISNUMBER(K197),SUMIFS(st_min,st_date,A197,st_eq,B197,st_po,C197,st_type,"Non planifié"),"")</f>
        <v>59.0</v>
      </c>
      <c r="O197" s="55">
        <f>IF(ISNUMBER(K197),M197-N197,"")</f>
        <v>391.0</v>
      </c>
      <c r="P197" s="55">
        <f>IF(COUNTA(A197:I197)=0,"",N(G197)+N(H197)+N(I197))</f>
        <v>226.0</v>
      </c>
      <c r="Q197" s="56">
        <f>IF(COUNTA(A197:I197)=0,"",IF(N(IFERROR(INDEX(art_rate,MATCH(E197,art_ref,0)),0))&gt;0,N(IFERROR(INDEX(art_rate,MATCH(E197,art_ref,0)),0)),N(IFERROR(INDEX(po_rate,MATCH(C197,po_code,0)),0))))</f>
        <v>40.0</v>
      </c>
      <c r="R197" s="55">
        <f>IF(AC197=1,P197*60/Q197,"")</f>
        <v>339.0</v>
      </c>
      <c r="S197" s="55">
        <f>IF(AC197=1,N(G197)*60/Q197,"")</f>
        <v>336.0</v>
      </c>
      <c r="T197" s="57">
        <f>IF(AC197=1,O197/M197,"")</f>
        <v>0.868888888888889</v>
      </c>
      <c r="U197" s="57">
        <f>IF(AC197=1,IF(O197&gt;0,R197/O197,""),"")</f>
        <v>0.867007672634271</v>
      </c>
      <c r="V197" s="57">
        <f>IF(AC197=1,IF(P197&gt;0,N(G197)/P197,""),"")</f>
        <v>0.991150442477876</v>
      </c>
      <c r="W197" s="57">
        <f>IF(AC197=1,S197/M197,"")</f>
        <v>0.746666666666667</v>
      </c>
      <c r="X197" s="57">
        <f>IF(AC197=1,S197/K197,"")</f>
        <v>0.7</v>
      </c>
      <c r="Y197" s="58" t="str">
        <f>IF(W197="","",IF(W197&gt;=p_target,"Bon",IF(W197&gt;=p_alert,"À surveiller","Faible")))</f>
        <v>À surveiller</v>
      </c>
      <c r="Z197" s="58" t="str">
        <f>IF(W197="","",IF(MIN(IF(T197="",1,T197),IF(U197="",1,U197),IF(V197="",1,V197))&gt;=1,"Aucune",IF(IF(T197="",1,T197)&lt;=MIN(IF(U197="",1,U197),IF(V197="",1,V197)),"Disponibilité",IF(IF(U197="",1,U197)&lt;=IF(V197="",1,V197),"Performance","Qualité"))))</f>
        <v>Performance</v>
      </c>
      <c r="AA197" s="59">
        <f>IF(AC197=1,N(H197)*N(IFERROR(INDEX(art_cost,MATCH(E197,art_ref,0)),0)),"")</f>
        <v>104.0</v>
      </c>
      <c r="AB197" s="58" t="str">
        <f>IF(COUNTA(A197:I197)=0,"",IF(N(A197)&lt;=0,"Date manquante ou invalide",IF(B197="","Équipe manquante",IF(ISNA(MATCH(B197,eq_code,0)),"Équipe inconnue",IF(INDEX(eq_check,MATCH(B197,eq_code,0))&lt;&gt;"OK","Équipe à corriger dans Paramètres",IF(C197="","Poste manquant",IF(ISNA(MATCH(C197,po_code,0)),"Poste inconnu",IF(AND(E197&lt;&gt;"",ISNA(MATCH(E197,art_ref,0))),"Article inconnu",IF(IF(E197="",FALSE,INDEX(art_check,MATCH(E197,art_ref,0))&lt;&gt;"OK"),"Article à corriger (feuille Articles)",IF(COUNTIFS(sj_date,A197,sj_eq,B197,sj_po,C197)&gt;1,"Ligne en double (même jour, équipe et poste)",IF(OR(NOT(ISNUMBER(K197)),N(K197)&lt;=0,N(K197)&gt;1440),"Temps d'ouverture invalide",IF(OR(AND(G197&lt;&gt;"",NOT(ISNUMBER(G197))),N(G197)&lt;0,N(G197)&lt;&gt;INT(N(G197)),AND(H197&lt;&gt;"",NOT(ISNUMBER(H197))),N(H197)&lt;0,N(H197)&lt;&gt;INT(N(H197)),AND(I197&lt;&gt;"",NOT(ISNUMBER(I197))),N(I197)&lt;0,N(I197)&lt;&gt;INT(N(I197))),"Quantité invalide",IF(Q197&lt;=0,"Cadence manquante (poste ou article)",IF(M197&lt;=0,"Arrêts planifiés supérieurs au temps d'ouverture",IF(O197&lt;0,"Arrêts supérieurs au temps requis",IF(AND(P197&gt;0,O197=0),"Pièces déclarées sans temps de marche",IF(AND(P197=0,O197&gt;0),"Aucune pièce déclarée",IF(P197*60/Q197&gt;O197+0.001,"Cadence dépassée : vérifiez la cadence","OK"))))))))))))))))))</f>
        <v>OK</v>
      </c>
      <c r="AC197">
        <f>IF(OR(AB197="OK",AB197="Aucune pièce déclarée",AB197="Cadence dépassée : vérifiez la cadence"),1,0)</f>
        <v>1.0</v>
      </c>
      <c r="AD197">
        <f>IF(AND(AC197=1,A197&gt;=p_from,A197&lt;=p_to),1,0)</f>
        <v>1.0</v>
      </c>
      <c r="AE197">
        <f>IF(AD197=1,IF(COUNTIFS($A$6:A197,A197,$AD$6:AD197,1)=1,1,0),0)</f>
        <v>0.0</v>
      </c>
      <c r="AF197" t="str">
        <f>IF(AE197=1,COUNTIFS(sj_first,1,sj_date,"&lt;"&amp;A197)+1,"")</f>
        <v/>
      </c>
      <c r="AG197" t="str">
        <f>IF(AND(AD197=1,N(W197)&lt;p_alert),ROUND(W197,4),"")</f>
        <v/>
      </c>
      <c r="AH197" t="str">
        <f>IF(AG197="","",COUNTIF(sj_akey,"&lt;"&amp;AG197)+COUNTIF($AG$6:AG197,AG197))</f>
        <v/>
      </c>
    </row>
    <row r="198">
      <c r="A198" s="51" t="n">
        <v>46311</v>
      </c>
      <c r="B198" s="52" t="inlineStr">
        <is>
          <t>Matin</t>
        </is>
      </c>
      <c r="C198" s="52" t="inlineStr">
        <is>
          <t>TOUR2</t>
        </is>
      </c>
      <c r="D198" s="53" t="inlineStr">
        <is>
          <t>OF-2610-164</t>
        </is>
      </c>
      <c r="E198" s="53" t="inlineStr">
        <is>
          <t>AXE-R20</t>
        </is>
      </c>
      <c r="F198" s="54" t="n"/>
      <c r="G198" s="54" t="n">
        <v>116</v>
      </c>
      <c r="H198" s="54" t="n">
        <v>2</v>
      </c>
      <c r="I198" s="54" t="n">
        <v>0</v>
      </c>
      <c r="J198" s="53" t="n"/>
      <c r="K198" s="55">
        <f>IF(COUNTA(A198:I198)=0,"",IF(F198="",IFERROR(INDEX(eq_dur,MATCH(B198,eq_code,0)),""),F198))</f>
        <v>480.0</v>
      </c>
      <c r="L198" s="55">
        <f>IF(ISNUMBER(K198),N(IFERROR(INDEX(eq_pause,MATCH(B198,eq_code,0)),0))+SUMIFS(st_min,st_date,A198,st_eq,B198,st_po,C198,st_type,"Planifié"),"")</f>
        <v>30.0</v>
      </c>
      <c r="M198" s="55">
        <f>IF(ISNUMBER(K198),K198-L198,"")</f>
        <v>450.0</v>
      </c>
      <c r="N198" s="55">
        <f>IF(ISNUMBER(K198),SUMIFS(st_min,st_date,A198,st_eq,B198,st_po,C198,st_type,"Non planifié"),"")</f>
        <v>155.0</v>
      </c>
      <c r="O198" s="55">
        <f>IF(ISNUMBER(K198),M198-N198,"")</f>
        <v>295.0</v>
      </c>
      <c r="P198" s="55">
        <f>IF(COUNTA(A198:I198)=0,"",N(G198)+N(H198)+N(I198))</f>
        <v>118.0</v>
      </c>
      <c r="Q198" s="56">
        <f>IF(COUNTA(A198:I198)=0,"",IF(N(IFERROR(INDEX(art_rate,MATCH(E198,art_ref,0)),0))&gt;0,N(IFERROR(INDEX(art_rate,MATCH(E198,art_ref,0)),0)),N(IFERROR(INDEX(po_rate,MATCH(C198,po_code,0)),0))))</f>
        <v>30.0</v>
      </c>
      <c r="R198" s="55">
        <f>IF(AC198=1,P198*60/Q198,"")</f>
        <v>236.0</v>
      </c>
      <c r="S198" s="55">
        <f>IF(AC198=1,N(G198)*60/Q198,"")</f>
        <v>232.0</v>
      </c>
      <c r="T198" s="57">
        <f>IF(AC198=1,O198/M198,"")</f>
        <v>0.655555555555556</v>
      </c>
      <c r="U198" s="57">
        <f>IF(AC198=1,IF(O198&gt;0,R198/O198,""),"")</f>
        <v>0.8</v>
      </c>
      <c r="V198" s="57">
        <f>IF(AC198=1,IF(P198&gt;0,N(G198)/P198,""),"")</f>
        <v>0.983050847457627</v>
      </c>
      <c r="W198" s="57">
        <f>IF(AC198=1,S198/M198,"")</f>
        <v>0.515555555555556</v>
      </c>
      <c r="X198" s="57">
        <f>IF(AC198=1,S198/K198,"")</f>
        <v>0.483333333333333</v>
      </c>
      <c r="Y198" s="58" t="str">
        <f>IF(W198="","",IF(W198&gt;=p_target,"Bon",IF(W198&gt;=p_alert,"À surveiller","Faible")))</f>
        <v>Faible</v>
      </c>
      <c r="Z198" s="58" t="str">
        <f>IF(W198="","",IF(MIN(IF(T198="",1,T198),IF(U198="",1,U198),IF(V198="",1,V198))&gt;=1,"Aucune",IF(IF(T198="",1,T198)&lt;=MIN(IF(U198="",1,U198),IF(V198="",1,V198)),"Disponibilité",IF(IF(U198="",1,U198)&lt;=IF(V198="",1,V198),"Performance","Qualité"))))</f>
        <v>Disponibilité</v>
      </c>
      <c r="AA198" s="59">
        <f>IF(AC198=1,N(H198)*N(IFERROR(INDEX(art_cost,MATCH(E198,art_ref,0)),0)),"")</f>
        <v>77.0</v>
      </c>
      <c r="AB198" s="58" t="str">
        <f>IF(COUNTA(A198:I198)=0,"",IF(N(A198)&lt;=0,"Date manquante ou invalide",IF(B198="","Équipe manquante",IF(ISNA(MATCH(B198,eq_code,0)),"Équipe inconnue",IF(INDEX(eq_check,MATCH(B198,eq_code,0))&lt;&gt;"OK","Équipe à corriger dans Paramètres",IF(C198="","Poste manquant",IF(ISNA(MATCH(C198,po_code,0)),"Poste inconnu",IF(AND(E198&lt;&gt;"",ISNA(MATCH(E198,art_ref,0))),"Article inconnu",IF(IF(E198="",FALSE,INDEX(art_check,MATCH(E198,art_ref,0))&lt;&gt;"OK"),"Article à corriger (feuille Articles)",IF(COUNTIFS(sj_date,A198,sj_eq,B198,sj_po,C198)&gt;1,"Ligne en double (même jour, équipe et poste)",IF(OR(NOT(ISNUMBER(K198)),N(K198)&lt;=0,N(K198)&gt;1440),"Temps d'ouverture invalide",IF(OR(AND(G198&lt;&gt;"",NOT(ISNUMBER(G198))),N(G198)&lt;0,N(G198)&lt;&gt;INT(N(G198)),AND(H198&lt;&gt;"",NOT(ISNUMBER(H198))),N(H198)&lt;0,N(H198)&lt;&gt;INT(N(H198)),AND(I198&lt;&gt;"",NOT(ISNUMBER(I198))),N(I198)&lt;0,N(I198)&lt;&gt;INT(N(I198))),"Quantité invalide",IF(Q198&lt;=0,"Cadence manquante (poste ou article)",IF(M198&lt;=0,"Arrêts planifiés supérieurs au temps d'ouverture",IF(O198&lt;0,"Arrêts supérieurs au temps requis",IF(AND(P198&gt;0,O198=0),"Pièces déclarées sans temps de marche",IF(AND(P198=0,O198&gt;0),"Aucune pièce déclarée",IF(P198*60/Q198&gt;O198+0.001,"Cadence dépassée : vérifiez la cadence","OK"))))))))))))))))))</f>
        <v>OK</v>
      </c>
      <c r="AC198">
        <f>IF(OR(AB198="OK",AB198="Aucune pièce déclarée",AB198="Cadence dépassée : vérifiez la cadence"),1,0)</f>
        <v>1.0</v>
      </c>
      <c r="AD198">
        <f>IF(AND(AC198=1,A198&gt;=p_from,A198&lt;=p_to),1,0)</f>
        <v>1.0</v>
      </c>
      <c r="AE198">
        <f>IF(AD198=1,IF(COUNTIFS($A$6:A198,A198,$AD$6:AD198,1)=1,1,0),0)</f>
        <v>0.0</v>
      </c>
      <c r="AF198" t="str">
        <f>IF(AE198=1,COUNTIFS(sj_first,1,sj_date,"&lt;"&amp;A198)+1,"")</f>
        <v/>
      </c>
      <c r="AG198">
        <f>IF(AND(AD198=1,N(W198)&lt;p_alert),ROUND(W198,4),"")</f>
        <v>0.5156</v>
      </c>
      <c r="AH198">
        <f>IF(AG198="","",COUNTIF(sj_akey,"&lt;"&amp;AG198)+COUNTIF($AG$6:AG198,AG198))</f>
        <v>23.0</v>
      </c>
    </row>
    <row r="199">
      <c r="A199" s="51" t="n">
        <v>46311</v>
      </c>
      <c r="B199" s="52" t="inlineStr">
        <is>
          <t>Après-midi</t>
        </is>
      </c>
      <c r="C199" s="52" t="inlineStr">
        <is>
          <t>TOUR2</t>
        </is>
      </c>
      <c r="D199" s="53" t="inlineStr">
        <is>
          <t>OF-2610-138</t>
        </is>
      </c>
      <c r="E199" s="53" t="inlineStr">
        <is>
          <t>ENT-12</t>
        </is>
      </c>
      <c r="F199" s="54" t="n"/>
      <c r="G199" s="54" t="n">
        <v>328</v>
      </c>
      <c r="H199" s="54" t="n">
        <v>4</v>
      </c>
      <c r="I199" s="54" t="n">
        <v>3</v>
      </c>
      <c r="J199" s="53" t="n"/>
      <c r="K199" s="55">
        <f>IF(COUNTA(A199:I199)=0,"",IF(F199="",IFERROR(INDEX(eq_dur,MATCH(B199,eq_code,0)),""),F199))</f>
        <v>480.0</v>
      </c>
      <c r="L199" s="55">
        <f>IF(ISNUMBER(K199),N(IFERROR(INDEX(eq_pause,MATCH(B199,eq_code,0)),0))+SUMIFS(st_min,st_date,A199,st_eq,B199,st_po,C199,st_type,"Planifié"),"")</f>
        <v>30.0</v>
      </c>
      <c r="M199" s="55">
        <f>IF(ISNUMBER(K199),K199-L199,"")</f>
        <v>450.0</v>
      </c>
      <c r="N199" s="55">
        <f>IF(ISNUMBER(K199),SUMIFS(st_min,st_date,A199,st_eq,B199,st_po,C199,st_type,"Non planifié"),"")</f>
        <v>0.0</v>
      </c>
      <c r="O199" s="55">
        <f>IF(ISNUMBER(K199),M199-N199,"")</f>
        <v>450.0</v>
      </c>
      <c r="P199" s="55">
        <f>IF(COUNTA(A199:I199)=0,"",N(G199)+N(H199)+N(I199))</f>
        <v>335.0</v>
      </c>
      <c r="Q199" s="56">
        <f>IF(COUNTA(A199:I199)=0,"",IF(N(IFERROR(INDEX(art_rate,MATCH(E199,art_ref,0)),0))&gt;0,N(IFERROR(INDEX(art_rate,MATCH(E199,art_ref,0)),0)),N(IFERROR(INDEX(po_rate,MATCH(C199,po_code,0)),0))))</f>
        <v>55.0</v>
      </c>
      <c r="R199" s="55">
        <f>IF(AC199=1,P199*60/Q199,"")</f>
        <v>365.454545454545</v>
      </c>
      <c r="S199" s="55">
        <f>IF(AC199=1,N(G199)*60/Q199,"")</f>
        <v>357.818181818182</v>
      </c>
      <c r="T199" s="57">
        <f>IF(AC199=1,O199/M199,"")</f>
        <v>1.0</v>
      </c>
      <c r="U199" s="57">
        <f>IF(AC199=1,IF(O199&gt;0,R199/O199,""),"")</f>
        <v>0.812121212121212</v>
      </c>
      <c r="V199" s="57">
        <f>IF(AC199=1,IF(P199&gt;0,N(G199)/P199,""),"")</f>
        <v>0.97910447761194</v>
      </c>
      <c r="W199" s="57">
        <f>IF(AC199=1,S199/M199,"")</f>
        <v>0.795151515151515</v>
      </c>
      <c r="X199" s="57">
        <f>IF(AC199=1,S199/K199,"")</f>
        <v>0.745454545454546</v>
      </c>
      <c r="Y199" s="58" t="str">
        <f>IF(W199="","",IF(W199&gt;=p_target,"Bon",IF(W199&gt;=p_alert,"À surveiller","Faible")))</f>
        <v>Bon</v>
      </c>
      <c r="Z199" s="58" t="str">
        <f>IF(W199="","",IF(MIN(IF(T199="",1,T199),IF(U199="",1,U199),IF(V199="",1,V199))&gt;=1,"Aucune",IF(IF(T199="",1,T199)&lt;=MIN(IF(U199="",1,U199),IF(V199="",1,V199)),"Disponibilité",IF(IF(U199="",1,U199)&lt;=IF(V199="",1,V199),"Performance","Qualité"))))</f>
        <v>Performance</v>
      </c>
      <c r="AA199" s="59">
        <f>IF(AC199=1,N(H199)*N(IFERROR(INDEX(art_cost,MATCH(E199,art_ref,0)),0)),"")</f>
        <v>27.2</v>
      </c>
      <c r="AB199" s="58" t="str">
        <f>IF(COUNTA(A199:I199)=0,"",IF(N(A199)&lt;=0,"Date manquante ou invalide",IF(B199="","Équipe manquante",IF(ISNA(MATCH(B199,eq_code,0)),"Équipe inconnue",IF(INDEX(eq_check,MATCH(B199,eq_code,0))&lt;&gt;"OK","Équipe à corriger dans Paramètres",IF(C199="","Poste manquant",IF(ISNA(MATCH(C199,po_code,0)),"Poste inconnu",IF(AND(E199&lt;&gt;"",ISNA(MATCH(E199,art_ref,0))),"Article inconnu",IF(IF(E199="",FALSE,INDEX(art_check,MATCH(E199,art_ref,0))&lt;&gt;"OK"),"Article à corriger (feuille Articles)",IF(COUNTIFS(sj_date,A199,sj_eq,B199,sj_po,C199)&gt;1,"Ligne en double (même jour, équipe et poste)",IF(OR(NOT(ISNUMBER(K199)),N(K199)&lt;=0,N(K199)&gt;1440),"Temps d'ouverture invalide",IF(OR(AND(G199&lt;&gt;"",NOT(ISNUMBER(G199))),N(G199)&lt;0,N(G199)&lt;&gt;INT(N(G199)),AND(H199&lt;&gt;"",NOT(ISNUMBER(H199))),N(H199)&lt;0,N(H199)&lt;&gt;INT(N(H199)),AND(I199&lt;&gt;"",NOT(ISNUMBER(I199))),N(I199)&lt;0,N(I199)&lt;&gt;INT(N(I199))),"Quantité invalide",IF(Q199&lt;=0,"Cadence manquante (poste ou article)",IF(M199&lt;=0,"Arrêts planifiés supérieurs au temps d'ouverture",IF(O199&lt;0,"Arrêts supérieurs au temps requis",IF(AND(P199&gt;0,O199=0),"Pièces déclarées sans temps de marche",IF(AND(P199=0,O199&gt;0),"Aucune pièce déclarée",IF(P199*60/Q199&gt;O199+0.001,"Cadence dépassée : vérifiez la cadence","OK"))))))))))))))))))</f>
        <v>OK</v>
      </c>
      <c r="AC199">
        <f>IF(OR(AB199="OK",AB199="Aucune pièce déclarée",AB199="Cadence dépassée : vérifiez la cadence"),1,0)</f>
        <v>1.0</v>
      </c>
      <c r="AD199">
        <f>IF(AND(AC199=1,A199&gt;=p_from,A199&lt;=p_to),1,0)</f>
        <v>1.0</v>
      </c>
      <c r="AE199">
        <f>IF(AD199=1,IF(COUNTIFS($A$6:A199,A199,$AD$6:AD199,1)=1,1,0),0)</f>
        <v>0.0</v>
      </c>
      <c r="AF199" t="str">
        <f>IF(AE199=1,COUNTIFS(sj_first,1,sj_date,"&lt;"&amp;A199)+1,"")</f>
        <v/>
      </c>
      <c r="AG199" t="str">
        <f>IF(AND(AD199=1,N(W199)&lt;p_alert),ROUND(W199,4),"")</f>
        <v/>
      </c>
      <c r="AH199" t="str">
        <f>IF(AG199="","",COUNTIF(sj_akey,"&lt;"&amp;AG199)+COUNTIF($AG$6:AG199,AG199))</f>
        <v/>
      </c>
    </row>
    <row r="200">
      <c r="A200" s="51" t="n">
        <v>46311</v>
      </c>
      <c r="B200" s="52" t="inlineStr">
        <is>
          <t>Matin</t>
        </is>
      </c>
      <c r="C200" s="52" t="inlineStr">
        <is>
          <t>USIN</t>
        </is>
      </c>
      <c r="D200" s="53" t="inlineStr">
        <is>
          <t>OF-2610-157</t>
        </is>
      </c>
      <c r="E200" s="53" t="inlineStr">
        <is>
          <t>FLA-PL-150</t>
        </is>
      </c>
      <c r="F200" s="54" t="n"/>
      <c r="G200" s="54" t="n">
        <v>71</v>
      </c>
      <c r="H200" s="54" t="n">
        <v>2</v>
      </c>
      <c r="I200" s="54" t="n">
        <v>0</v>
      </c>
      <c r="J200" s="53" t="n"/>
      <c r="K200" s="55">
        <f>IF(COUNTA(A200:I200)=0,"",IF(F200="",IFERROR(INDEX(eq_dur,MATCH(B200,eq_code,0)),""),F200))</f>
        <v>480.0</v>
      </c>
      <c r="L200" s="55">
        <f>IF(ISNUMBER(K200),N(IFERROR(INDEX(eq_pause,MATCH(B200,eq_code,0)),0))+SUMIFS(st_min,st_date,A200,st_eq,B200,st_po,C200,st_type,"Planifié"),"")</f>
        <v>30.0</v>
      </c>
      <c r="M200" s="55">
        <f>IF(ISNUMBER(K200),K200-L200,"")</f>
        <v>450.0</v>
      </c>
      <c r="N200" s="55">
        <f>IF(ISNUMBER(K200),SUMIFS(st_min,st_date,A200,st_eq,B200,st_po,C200,st_type,"Non planifié"),"")</f>
        <v>14.0</v>
      </c>
      <c r="O200" s="55">
        <f>IF(ISNUMBER(K200),M200-N200,"")</f>
        <v>436.0</v>
      </c>
      <c r="P200" s="55">
        <f>IF(COUNTA(A200:I200)=0,"",N(G200)+N(H200)+N(I200))</f>
        <v>73.0</v>
      </c>
      <c r="Q200" s="56">
        <f>IF(COUNTA(A200:I200)=0,"",IF(N(IFERROR(INDEX(art_rate,MATCH(E200,art_ref,0)),0))&gt;0,N(IFERROR(INDEX(art_rate,MATCH(E200,art_ref,0)),0)),N(IFERROR(INDEX(po_rate,MATCH(C200,po_code,0)),0))))</f>
        <v>12.0</v>
      </c>
      <c r="R200" s="55">
        <f>IF(AC200=1,P200*60/Q200,"")</f>
        <v>365.0</v>
      </c>
      <c r="S200" s="55">
        <f>IF(AC200=1,N(G200)*60/Q200,"")</f>
        <v>355.0</v>
      </c>
      <c r="T200" s="57">
        <f>IF(AC200=1,O200/M200,"")</f>
        <v>0.968888888888889</v>
      </c>
      <c r="U200" s="57">
        <f>IF(AC200=1,IF(O200&gt;0,R200/O200,""),"")</f>
        <v>0.837155963302752</v>
      </c>
      <c r="V200" s="57">
        <f>IF(AC200=1,IF(P200&gt;0,N(G200)/P200,""),"")</f>
        <v>0.972602739726027</v>
      </c>
      <c r="W200" s="57">
        <f>IF(AC200=1,S200/M200,"")</f>
        <v>0.788888888888889</v>
      </c>
      <c r="X200" s="57">
        <f>IF(AC200=1,S200/K200,"")</f>
        <v>0.739583333333333</v>
      </c>
      <c r="Y200" s="58" t="str">
        <f>IF(W200="","",IF(W200&gt;=p_target,"Bon",IF(W200&gt;=p_alert,"À surveiller","Faible")))</f>
        <v>Bon</v>
      </c>
      <c r="Z200" s="58" t="str">
        <f>IF(W200="","",IF(MIN(IF(T200="",1,T200),IF(U200="",1,U200),IF(V200="",1,V200))&gt;=1,"Aucune",IF(IF(T200="",1,T200)&lt;=MIN(IF(U200="",1,U200),IF(V200="",1,V200)),"Disponibilité",IF(IF(U200="",1,U200)&lt;=IF(V200="",1,V200),"Performance","Qualité"))))</f>
        <v>Performance</v>
      </c>
      <c r="AA200" s="59">
        <f>IF(AC200=1,N(H200)*N(IFERROR(INDEX(art_cost,MATCH(E200,art_ref,0)),0)),"")</f>
        <v>290.0</v>
      </c>
      <c r="AB200" s="58" t="str">
        <f>IF(COUNTA(A200:I200)=0,"",IF(N(A200)&lt;=0,"Date manquante ou invalide",IF(B200="","Équipe manquante",IF(ISNA(MATCH(B200,eq_code,0)),"Équipe inconnue",IF(INDEX(eq_check,MATCH(B200,eq_code,0))&lt;&gt;"OK","Équipe à corriger dans Paramètres",IF(C200="","Poste manquant",IF(ISNA(MATCH(C200,po_code,0)),"Poste inconnu",IF(AND(E200&lt;&gt;"",ISNA(MATCH(E200,art_ref,0))),"Article inconnu",IF(IF(E200="",FALSE,INDEX(art_check,MATCH(E200,art_ref,0))&lt;&gt;"OK"),"Article à corriger (feuille Articles)",IF(COUNTIFS(sj_date,A200,sj_eq,B200,sj_po,C200)&gt;1,"Ligne en double (même jour, équipe et poste)",IF(OR(NOT(ISNUMBER(K200)),N(K200)&lt;=0,N(K200)&gt;1440),"Temps d'ouverture invalide",IF(OR(AND(G200&lt;&gt;"",NOT(ISNUMBER(G200))),N(G200)&lt;0,N(G200)&lt;&gt;INT(N(G200)),AND(H200&lt;&gt;"",NOT(ISNUMBER(H200))),N(H200)&lt;0,N(H200)&lt;&gt;INT(N(H200)),AND(I200&lt;&gt;"",NOT(ISNUMBER(I200))),N(I200)&lt;0,N(I200)&lt;&gt;INT(N(I200))),"Quantité invalide",IF(Q200&lt;=0,"Cadence manquante (poste ou article)",IF(M200&lt;=0,"Arrêts planifiés supérieurs au temps d'ouverture",IF(O200&lt;0,"Arrêts supérieurs au temps requis",IF(AND(P200&gt;0,O200=0),"Pièces déclarées sans temps de marche",IF(AND(P200=0,O200&gt;0),"Aucune pièce déclarée",IF(P200*60/Q200&gt;O200+0.001,"Cadence dépassée : vérifiez la cadence","OK"))))))))))))))))))</f>
        <v>OK</v>
      </c>
      <c r="AC200">
        <f>IF(OR(AB200="OK",AB200="Aucune pièce déclarée",AB200="Cadence dépassée : vérifiez la cadence"),1,0)</f>
        <v>1.0</v>
      </c>
      <c r="AD200">
        <f>IF(AND(AC200=1,A200&gt;=p_from,A200&lt;=p_to),1,0)</f>
        <v>1.0</v>
      </c>
      <c r="AE200">
        <f>IF(AD200=1,IF(COUNTIFS($A$6:A200,A200,$AD$6:AD200,1)=1,1,0),0)</f>
        <v>0.0</v>
      </c>
      <c r="AF200" t="str">
        <f>IF(AE200=1,COUNTIFS(sj_first,1,sj_date,"&lt;"&amp;A200)+1,"")</f>
        <v/>
      </c>
      <c r="AG200" t="str">
        <f>IF(AND(AD200=1,N(W200)&lt;p_alert),ROUND(W200,4),"")</f>
        <v/>
      </c>
      <c r="AH200" t="str">
        <f>IF(AG200="","",COUNTIF(sj_akey,"&lt;"&amp;AG200)+COUNTIF($AG$6:AG200,AG200))</f>
        <v/>
      </c>
    </row>
    <row r="201">
      <c r="A201" s="51" t="n">
        <v>46311</v>
      </c>
      <c r="B201" s="52" t="inlineStr">
        <is>
          <t>Après-midi</t>
        </is>
      </c>
      <c r="C201" s="52" t="inlineStr">
        <is>
          <t>USIN</t>
        </is>
      </c>
      <c r="D201" s="53" t="inlineStr">
        <is>
          <t>OF-2610-139</t>
        </is>
      </c>
      <c r="E201" s="53" t="inlineStr">
        <is>
          <t>FLA-PL-150</t>
        </is>
      </c>
      <c r="F201" s="54" t="n"/>
      <c r="G201" s="54" t="n">
        <v>68</v>
      </c>
      <c r="H201" s="54" t="n">
        <v>0</v>
      </c>
      <c r="I201" s="54" t="n">
        <v>0</v>
      </c>
      <c r="J201" s="53" t="n"/>
      <c r="K201" s="55">
        <f>IF(COUNTA(A201:I201)=0,"",IF(F201="",IFERROR(INDEX(eq_dur,MATCH(B201,eq_code,0)),""),F201))</f>
        <v>480.0</v>
      </c>
      <c r="L201" s="55">
        <f>IF(ISNUMBER(K201),N(IFERROR(INDEX(eq_pause,MATCH(B201,eq_code,0)),0))+SUMIFS(st_min,st_date,A201,st_eq,B201,st_po,C201,st_type,"Planifié"),"")</f>
        <v>30.0</v>
      </c>
      <c r="M201" s="55">
        <f>IF(ISNUMBER(K201),K201-L201,"")</f>
        <v>450.0</v>
      </c>
      <c r="N201" s="55">
        <f>IF(ISNUMBER(K201),SUMIFS(st_min,st_date,A201,st_eq,B201,st_po,C201,st_type,"Non planifié"),"")</f>
        <v>79.0</v>
      </c>
      <c r="O201" s="55">
        <f>IF(ISNUMBER(K201),M201-N201,"")</f>
        <v>371.0</v>
      </c>
      <c r="P201" s="55">
        <f>IF(COUNTA(A201:I201)=0,"",N(G201)+N(H201)+N(I201))</f>
        <v>68.0</v>
      </c>
      <c r="Q201" s="56">
        <f>IF(COUNTA(A201:I201)=0,"",IF(N(IFERROR(INDEX(art_rate,MATCH(E201,art_ref,0)),0))&gt;0,N(IFERROR(INDEX(art_rate,MATCH(E201,art_ref,0)),0)),N(IFERROR(INDEX(po_rate,MATCH(C201,po_code,0)),0))))</f>
        <v>12.0</v>
      </c>
      <c r="R201" s="55">
        <f>IF(AC201=1,P201*60/Q201,"")</f>
        <v>340.0</v>
      </c>
      <c r="S201" s="55">
        <f>IF(AC201=1,N(G201)*60/Q201,"")</f>
        <v>340.0</v>
      </c>
      <c r="T201" s="57">
        <f>IF(AC201=1,O201/M201,"")</f>
        <v>0.824444444444444</v>
      </c>
      <c r="U201" s="57">
        <f>IF(AC201=1,IF(O201&gt;0,R201/O201,""),"")</f>
        <v>0.91644204851752</v>
      </c>
      <c r="V201" s="57">
        <f>IF(AC201=1,IF(P201&gt;0,N(G201)/P201,""),"")</f>
        <v>1.0</v>
      </c>
      <c r="W201" s="57">
        <f>IF(AC201=1,S201/M201,"")</f>
        <v>0.755555555555556</v>
      </c>
      <c r="X201" s="57">
        <f>IF(AC201=1,S201/K201,"")</f>
        <v>0.708333333333333</v>
      </c>
      <c r="Y201" s="58" t="str">
        <f>IF(W201="","",IF(W201&gt;=p_target,"Bon",IF(W201&gt;=p_alert,"À surveiller","Faible")))</f>
        <v>Bon</v>
      </c>
      <c r="Z201" s="58" t="str">
        <f>IF(W201="","",IF(MIN(IF(T201="",1,T201),IF(U201="",1,U201),IF(V201="",1,V201))&gt;=1,"Aucune",IF(IF(T201="",1,T201)&lt;=MIN(IF(U201="",1,U201),IF(V201="",1,V201)),"Disponibilité",IF(IF(U201="",1,U201)&lt;=IF(V201="",1,V201),"Performance","Qualité"))))</f>
        <v>Disponibilité</v>
      </c>
      <c r="AA201" s="59">
        <f>IF(AC201=1,N(H201)*N(IFERROR(INDEX(art_cost,MATCH(E201,art_ref,0)),0)),"")</f>
        <v>0.0</v>
      </c>
      <c r="AB201" s="58" t="str">
        <f>IF(COUNTA(A201:I201)=0,"",IF(N(A201)&lt;=0,"Date manquante ou invalide",IF(B201="","Équipe manquante",IF(ISNA(MATCH(B201,eq_code,0)),"Équipe inconnue",IF(INDEX(eq_check,MATCH(B201,eq_code,0))&lt;&gt;"OK","Équipe à corriger dans Paramètres",IF(C201="","Poste manquant",IF(ISNA(MATCH(C201,po_code,0)),"Poste inconnu",IF(AND(E201&lt;&gt;"",ISNA(MATCH(E201,art_ref,0))),"Article inconnu",IF(IF(E201="",FALSE,INDEX(art_check,MATCH(E201,art_ref,0))&lt;&gt;"OK"),"Article à corriger (feuille Articles)",IF(COUNTIFS(sj_date,A201,sj_eq,B201,sj_po,C201)&gt;1,"Ligne en double (même jour, équipe et poste)",IF(OR(NOT(ISNUMBER(K201)),N(K201)&lt;=0,N(K201)&gt;1440),"Temps d'ouverture invalide",IF(OR(AND(G201&lt;&gt;"",NOT(ISNUMBER(G201))),N(G201)&lt;0,N(G201)&lt;&gt;INT(N(G201)),AND(H201&lt;&gt;"",NOT(ISNUMBER(H201))),N(H201)&lt;0,N(H201)&lt;&gt;INT(N(H201)),AND(I201&lt;&gt;"",NOT(ISNUMBER(I201))),N(I201)&lt;0,N(I201)&lt;&gt;INT(N(I201))),"Quantité invalide",IF(Q201&lt;=0,"Cadence manquante (poste ou article)",IF(M201&lt;=0,"Arrêts planifiés supérieurs au temps d'ouverture",IF(O201&lt;0,"Arrêts supérieurs au temps requis",IF(AND(P201&gt;0,O201=0),"Pièces déclarées sans temps de marche",IF(AND(P201=0,O201&gt;0),"Aucune pièce déclarée",IF(P201*60/Q201&gt;O201+0.001,"Cadence dépassée : vérifiez la cadence","OK"))))))))))))))))))</f>
        <v>OK</v>
      </c>
      <c r="AC201">
        <f>IF(OR(AB201="OK",AB201="Aucune pièce déclarée",AB201="Cadence dépassée : vérifiez la cadence"),1,0)</f>
        <v>1.0</v>
      </c>
      <c r="AD201">
        <f>IF(AND(AC201=1,A201&gt;=p_from,A201&lt;=p_to),1,0)</f>
        <v>1.0</v>
      </c>
      <c r="AE201">
        <f>IF(AD201=1,IF(COUNTIFS($A$6:A201,A201,$AD$6:AD201,1)=1,1,0),0)</f>
        <v>0.0</v>
      </c>
      <c r="AF201" t="str">
        <f>IF(AE201=1,COUNTIFS(sj_first,1,sj_date,"&lt;"&amp;A201)+1,"")</f>
        <v/>
      </c>
      <c r="AG201" t="str">
        <f>IF(AND(AD201=1,N(W201)&lt;p_alert),ROUND(W201,4),"")</f>
        <v/>
      </c>
      <c r="AH201" t="str">
        <f>IF(AG201="","",COUNTIF(sj_akey,"&lt;"&amp;AG201)+COUNTIF($AG$6:AG201,AG201))</f>
        <v/>
      </c>
    </row>
    <row r="202">
      <c r="A202" s="51" t="n">
        <v>46311</v>
      </c>
      <c r="B202" s="52" t="inlineStr">
        <is>
          <t>Matin</t>
        </is>
      </c>
      <c r="C202" s="52" t="inlineStr">
        <is>
          <t>PRESSE</t>
        </is>
      </c>
      <c r="D202" s="53" t="inlineStr">
        <is>
          <t>OF-2610-165</t>
        </is>
      </c>
      <c r="E202" s="53" t="inlineStr">
        <is>
          <t>PAT-FIX-10</t>
        </is>
      </c>
      <c r="F202" s="54" t="n"/>
      <c r="G202" s="54" t="n">
        <v>2895</v>
      </c>
      <c r="H202" s="54" t="n">
        <v>28</v>
      </c>
      <c r="I202" s="54" t="n">
        <v>13</v>
      </c>
      <c r="J202" s="53" t="n"/>
      <c r="K202" s="55">
        <f>IF(COUNTA(A202:I202)=0,"",IF(F202="",IFERROR(INDEX(eq_dur,MATCH(B202,eq_code,0)),""),F202))</f>
        <v>480.0</v>
      </c>
      <c r="L202" s="55">
        <f>IF(ISNUMBER(K202),N(IFERROR(INDEX(eq_pause,MATCH(B202,eq_code,0)),0))+SUMIFS(st_min,st_date,A202,st_eq,B202,st_po,C202,st_type,"Planifié"),"")</f>
        <v>30.0</v>
      </c>
      <c r="M202" s="55">
        <f>IF(ISNUMBER(K202),K202-L202,"")</f>
        <v>450.0</v>
      </c>
      <c r="N202" s="55">
        <f>IF(ISNUMBER(K202),SUMIFS(st_min,st_date,A202,st_eq,B202,st_po,C202,st_type,"Non planifié"),"")</f>
        <v>0.0</v>
      </c>
      <c r="O202" s="55">
        <f>IF(ISNUMBER(K202),M202-N202,"")</f>
        <v>450.0</v>
      </c>
      <c r="P202" s="55">
        <f>IF(COUNTA(A202:I202)=0,"",N(G202)+N(H202)+N(I202))</f>
        <v>2936.0</v>
      </c>
      <c r="Q202" s="56">
        <f>IF(COUNTA(A202:I202)=0,"",IF(N(IFERROR(INDEX(art_rate,MATCH(E202,art_ref,0)),0))&gt;0,N(IFERROR(INDEX(art_rate,MATCH(E202,art_ref,0)),0)),N(IFERROR(INDEX(po_rate,MATCH(C202,po_code,0)),0))))</f>
        <v>420.0</v>
      </c>
      <c r="R202" s="55">
        <f>IF(AC202=1,P202*60/Q202,"")</f>
        <v>419.428571428571</v>
      </c>
      <c r="S202" s="55">
        <f>IF(AC202=1,N(G202)*60/Q202,"")</f>
        <v>413.571428571429</v>
      </c>
      <c r="T202" s="57">
        <f>IF(AC202=1,O202/M202,"")</f>
        <v>1.0</v>
      </c>
      <c r="U202" s="57">
        <f>IF(AC202=1,IF(O202&gt;0,R202/O202,""),"")</f>
        <v>0.932063492063492</v>
      </c>
      <c r="V202" s="57">
        <f>IF(AC202=1,IF(P202&gt;0,N(G202)/P202,""),"")</f>
        <v>0.986035422343324</v>
      </c>
      <c r="W202" s="57">
        <f>IF(AC202=1,S202/M202,"")</f>
        <v>0.919047619047619</v>
      </c>
      <c r="X202" s="57">
        <f>IF(AC202=1,S202/K202,"")</f>
        <v>0.861607142857143</v>
      </c>
      <c r="Y202" s="58" t="str">
        <f>IF(W202="","",IF(W202&gt;=p_target,"Bon",IF(W202&gt;=p_alert,"À surveiller","Faible")))</f>
        <v>Bon</v>
      </c>
      <c r="Z202" s="58" t="str">
        <f>IF(W202="","",IF(MIN(IF(T202="",1,T202),IF(U202="",1,U202),IF(V202="",1,V202))&gt;=1,"Aucune",IF(IF(T202="",1,T202)&lt;=MIN(IF(U202="",1,U202),IF(V202="",1,V202)),"Disponibilité",IF(IF(U202="",1,U202)&lt;=IF(V202="",1,V202),"Performance","Qualité"))))</f>
        <v>Performance</v>
      </c>
      <c r="AA202" s="59">
        <f>IF(AC202=1,N(H202)*N(IFERROR(INDEX(art_cost,MATCH(E202,art_ref,0)),0)),"")</f>
        <v>117.6</v>
      </c>
      <c r="AB202" s="58" t="str">
        <f>IF(COUNTA(A202:I202)=0,"",IF(N(A202)&lt;=0,"Date manquante ou invalide",IF(B202="","Équipe manquante",IF(ISNA(MATCH(B202,eq_code,0)),"Équipe inconnue",IF(INDEX(eq_check,MATCH(B202,eq_code,0))&lt;&gt;"OK","Équipe à corriger dans Paramètres",IF(C202="","Poste manquant",IF(ISNA(MATCH(C202,po_code,0)),"Poste inconnu",IF(AND(E202&lt;&gt;"",ISNA(MATCH(E202,art_ref,0))),"Article inconnu",IF(IF(E202="",FALSE,INDEX(art_check,MATCH(E202,art_ref,0))&lt;&gt;"OK"),"Article à corriger (feuille Articles)",IF(COUNTIFS(sj_date,A202,sj_eq,B202,sj_po,C202)&gt;1,"Ligne en double (même jour, équipe et poste)",IF(OR(NOT(ISNUMBER(K202)),N(K202)&lt;=0,N(K202)&gt;1440),"Temps d'ouverture invalide",IF(OR(AND(G202&lt;&gt;"",NOT(ISNUMBER(G202))),N(G202)&lt;0,N(G202)&lt;&gt;INT(N(G202)),AND(H202&lt;&gt;"",NOT(ISNUMBER(H202))),N(H202)&lt;0,N(H202)&lt;&gt;INT(N(H202)),AND(I202&lt;&gt;"",NOT(ISNUMBER(I202))),N(I202)&lt;0,N(I202)&lt;&gt;INT(N(I202))),"Quantité invalide",IF(Q202&lt;=0,"Cadence manquante (poste ou article)",IF(M202&lt;=0,"Arrêts planifiés supérieurs au temps d'ouverture",IF(O202&lt;0,"Arrêts supérieurs au temps requis",IF(AND(P202&gt;0,O202=0),"Pièces déclarées sans temps de marche",IF(AND(P202=0,O202&gt;0),"Aucune pièce déclarée",IF(P202*60/Q202&gt;O202+0.001,"Cadence dépassée : vérifiez la cadence","OK"))))))))))))))))))</f>
        <v>OK</v>
      </c>
      <c r="AC202">
        <f>IF(OR(AB202="OK",AB202="Aucune pièce déclarée",AB202="Cadence dépassée : vérifiez la cadence"),1,0)</f>
        <v>1.0</v>
      </c>
      <c r="AD202">
        <f>IF(AND(AC202=1,A202&gt;=p_from,A202&lt;=p_to),1,0)</f>
        <v>1.0</v>
      </c>
      <c r="AE202">
        <f>IF(AD202=1,IF(COUNTIFS($A$6:A202,A202,$AD$6:AD202,1)=1,1,0),0)</f>
        <v>0.0</v>
      </c>
      <c r="AF202" t="str">
        <f>IF(AE202=1,COUNTIFS(sj_first,1,sj_date,"&lt;"&amp;A202)+1,"")</f>
        <v/>
      </c>
      <c r="AG202" t="str">
        <f>IF(AND(AD202=1,N(W202)&lt;p_alert),ROUND(W202,4),"")</f>
        <v/>
      </c>
      <c r="AH202" t="str">
        <f>IF(AG202="","",COUNTIF(sj_akey,"&lt;"&amp;AG202)+COUNTIF($AG$6:AG202,AG202))</f>
        <v/>
      </c>
    </row>
    <row r="203">
      <c r="A203" s="51" t="n">
        <v>46311</v>
      </c>
      <c r="B203" s="52" t="inlineStr">
        <is>
          <t>Journée</t>
        </is>
      </c>
      <c r="C203" s="52" t="inlineStr">
        <is>
          <t>PLIE</t>
        </is>
      </c>
      <c r="D203" s="53" t="inlineStr">
        <is>
          <t>OF-2610-166</t>
        </is>
      </c>
      <c r="E203" s="53" t="inlineStr">
        <is>
          <t>GAR-SUP-02</t>
        </is>
      </c>
      <c r="F203" s="54" t="n"/>
      <c r="G203" s="54" t="n">
        <v>762</v>
      </c>
      <c r="H203" s="54" t="n">
        <v>0</v>
      </c>
      <c r="I203" s="54" t="n">
        <v>7</v>
      </c>
      <c r="J203" s="53" t="n"/>
      <c r="K203" s="55">
        <f>IF(COUNTA(A203:I203)=0,"",IF(F203="",IFERROR(INDEX(eq_dur,MATCH(B203,eq_code,0)),""),F203))</f>
        <v>540.0</v>
      </c>
      <c r="L203" s="55">
        <f>IF(ISNUMBER(K203),N(IFERROR(INDEX(eq_pause,MATCH(B203,eq_code,0)),0))+SUMIFS(st_min,st_date,A203,st_eq,B203,st_po,C203,st_type,"Planifié"),"")</f>
        <v>60.0</v>
      </c>
      <c r="M203" s="55">
        <f>IF(ISNUMBER(K203),K203-L203,"")</f>
        <v>480.0</v>
      </c>
      <c r="N203" s="55">
        <f>IF(ISNUMBER(K203),SUMIFS(st_min,st_date,A203,st_eq,B203,st_po,C203,st_type,"Non planifié"),"")</f>
        <v>21.0</v>
      </c>
      <c r="O203" s="55">
        <f>IF(ISNUMBER(K203),M203-N203,"")</f>
        <v>459.0</v>
      </c>
      <c r="P203" s="55">
        <f>IF(COUNTA(A203:I203)=0,"",N(G203)+N(H203)+N(I203))</f>
        <v>769.0</v>
      </c>
      <c r="Q203" s="56">
        <f>IF(COUNTA(A203:I203)=0,"",IF(N(IFERROR(INDEX(art_rate,MATCH(E203,art_ref,0)),0))&gt;0,N(IFERROR(INDEX(art_rate,MATCH(E203,art_ref,0)),0)),N(IFERROR(INDEX(po_rate,MATCH(C203,po_code,0)),0))))</f>
        <v>110.0</v>
      </c>
      <c r="R203" s="55">
        <f>IF(AC203=1,P203*60/Q203,"")</f>
        <v>419.454545454545</v>
      </c>
      <c r="S203" s="55">
        <f>IF(AC203=1,N(G203)*60/Q203,"")</f>
        <v>415.636363636364</v>
      </c>
      <c r="T203" s="57">
        <f>IF(AC203=1,O203/M203,"")</f>
        <v>0.95625</v>
      </c>
      <c r="U203" s="57">
        <f>IF(AC203=1,IF(O203&gt;0,R203/O203,""),"")</f>
        <v>0.913844325609032</v>
      </c>
      <c r="V203" s="57">
        <f>IF(AC203=1,IF(P203&gt;0,N(G203)/P203,""),"")</f>
        <v>0.990897269180754</v>
      </c>
      <c r="W203" s="57">
        <f>IF(AC203=1,S203/M203,"")</f>
        <v>0.865909090909091</v>
      </c>
      <c r="X203" s="57">
        <f>IF(AC203=1,S203/K203,"")</f>
        <v>0.76969696969697</v>
      </c>
      <c r="Y203" s="58" t="str">
        <f>IF(W203="","",IF(W203&gt;=p_target,"Bon",IF(W203&gt;=p_alert,"À surveiller","Faible")))</f>
        <v>Bon</v>
      </c>
      <c r="Z203" s="58" t="str">
        <f>IF(W203="","",IF(MIN(IF(T203="",1,T203),IF(U203="",1,U203),IF(V203="",1,V203))&gt;=1,"Aucune",IF(IF(T203="",1,T203)&lt;=MIN(IF(U203="",1,U203),IF(V203="",1,V203)),"Disponibilité",IF(IF(U203="",1,U203)&lt;=IF(V203="",1,V203),"Performance","Qualité"))))</f>
        <v>Performance</v>
      </c>
      <c r="AA203" s="59">
        <f>IF(AC203=1,N(H203)*N(IFERROR(INDEX(art_cost,MATCH(E203,art_ref,0)),0)),"")</f>
        <v>0.0</v>
      </c>
      <c r="AB203" s="58" t="str">
        <f>IF(COUNTA(A203:I203)=0,"",IF(N(A203)&lt;=0,"Date manquante ou invalide",IF(B203="","Équipe manquante",IF(ISNA(MATCH(B203,eq_code,0)),"Équipe inconnue",IF(INDEX(eq_check,MATCH(B203,eq_code,0))&lt;&gt;"OK","Équipe à corriger dans Paramètres",IF(C203="","Poste manquant",IF(ISNA(MATCH(C203,po_code,0)),"Poste inconnu",IF(AND(E203&lt;&gt;"",ISNA(MATCH(E203,art_ref,0))),"Article inconnu",IF(IF(E203="",FALSE,INDEX(art_check,MATCH(E203,art_ref,0))&lt;&gt;"OK"),"Article à corriger (feuille Articles)",IF(COUNTIFS(sj_date,A203,sj_eq,B203,sj_po,C203)&gt;1,"Ligne en double (même jour, équipe et poste)",IF(OR(NOT(ISNUMBER(K203)),N(K203)&lt;=0,N(K203)&gt;1440),"Temps d'ouverture invalide",IF(OR(AND(G203&lt;&gt;"",NOT(ISNUMBER(G203))),N(G203)&lt;0,N(G203)&lt;&gt;INT(N(G203)),AND(H203&lt;&gt;"",NOT(ISNUMBER(H203))),N(H203)&lt;0,N(H203)&lt;&gt;INT(N(H203)),AND(I203&lt;&gt;"",NOT(ISNUMBER(I203))),N(I203)&lt;0,N(I203)&lt;&gt;INT(N(I203))),"Quantité invalide",IF(Q203&lt;=0,"Cadence manquante (poste ou article)",IF(M203&lt;=0,"Arrêts planifiés supérieurs au temps d'ouverture",IF(O203&lt;0,"Arrêts supérieurs au temps requis",IF(AND(P203&gt;0,O203=0),"Pièces déclarées sans temps de marche",IF(AND(P203=0,O203&gt;0),"Aucune pièce déclarée",IF(P203*60/Q203&gt;O203+0.001,"Cadence dépassée : vérifiez la cadence","OK"))))))))))))))))))</f>
        <v>OK</v>
      </c>
      <c r="AC203">
        <f>IF(OR(AB203="OK",AB203="Aucune pièce déclarée",AB203="Cadence dépassée : vérifiez la cadence"),1,0)</f>
        <v>1.0</v>
      </c>
      <c r="AD203">
        <f>IF(AND(AC203=1,A203&gt;=p_from,A203&lt;=p_to),1,0)</f>
        <v>1.0</v>
      </c>
      <c r="AE203">
        <f>IF(AD203=1,IF(COUNTIFS($A$6:A203,A203,$AD$6:AD203,1)=1,1,0),0)</f>
        <v>0.0</v>
      </c>
      <c r="AF203" t="str">
        <f>IF(AE203=1,COUNTIFS(sj_first,1,sj_date,"&lt;"&amp;A203)+1,"")</f>
        <v/>
      </c>
      <c r="AG203" t="str">
        <f>IF(AND(AD203=1,N(W203)&lt;p_alert),ROUND(W203,4),"")</f>
        <v/>
      </c>
      <c r="AH203" t="str">
        <f>IF(AG203="","",COUNTIF(sj_akey,"&lt;"&amp;AG203)+COUNTIF($AG$6:AG203,AG203))</f>
        <v/>
      </c>
    </row>
    <row r="204">
      <c r="A204" s="51" t="n">
        <v>46311</v>
      </c>
      <c r="B204" s="52" t="inlineStr">
        <is>
          <t>Matin</t>
        </is>
      </c>
      <c r="C204" s="52" t="inlineStr">
        <is>
          <t>SOUD</t>
        </is>
      </c>
      <c r="D204" s="53" t="inlineStr">
        <is>
          <t>OF-2610-153</t>
        </is>
      </c>
      <c r="E204" s="53" t="inlineStr">
        <is>
          <t>BRA-SUS-02</t>
        </is>
      </c>
      <c r="F204" s="54" t="n"/>
      <c r="G204" s="54" t="n">
        <v>113</v>
      </c>
      <c r="H204" s="54" t="n">
        <v>1</v>
      </c>
      <c r="I204" s="54" t="n">
        <v>0</v>
      </c>
      <c r="J204" s="53" t="n"/>
      <c r="K204" s="55">
        <f>IF(COUNTA(A204:I204)=0,"",IF(F204="",IFERROR(INDEX(eq_dur,MATCH(B204,eq_code,0)),""),F204))</f>
        <v>480.0</v>
      </c>
      <c r="L204" s="55">
        <f>IF(ISNUMBER(K204),N(IFERROR(INDEX(eq_pause,MATCH(B204,eq_code,0)),0))+SUMIFS(st_min,st_date,A204,st_eq,B204,st_po,C204,st_type,"Planifié"),"")</f>
        <v>30.0</v>
      </c>
      <c r="M204" s="55">
        <f>IF(ISNUMBER(K204),K204-L204,"")</f>
        <v>450.0</v>
      </c>
      <c r="N204" s="55">
        <f>IF(ISNUMBER(K204),SUMIFS(st_min,st_date,A204,st_eq,B204,st_po,C204,st_type,"Non planifié"),"")</f>
        <v>72.0</v>
      </c>
      <c r="O204" s="55">
        <f>IF(ISNUMBER(K204),M204-N204,"")</f>
        <v>378.0</v>
      </c>
      <c r="P204" s="55">
        <f>IF(COUNTA(A204:I204)=0,"",N(G204)+N(H204)+N(I204))</f>
        <v>114.0</v>
      </c>
      <c r="Q204" s="56">
        <f>IF(COUNTA(A204:I204)=0,"",IF(N(IFERROR(INDEX(art_rate,MATCH(E204,art_ref,0)),0))&gt;0,N(IFERROR(INDEX(art_rate,MATCH(E204,art_ref,0)),0)),N(IFERROR(INDEX(po_rate,MATCH(C204,po_code,0)),0))))</f>
        <v>20.0</v>
      </c>
      <c r="R204" s="55">
        <f>IF(AC204=1,P204*60/Q204,"")</f>
        <v>342.0</v>
      </c>
      <c r="S204" s="55">
        <f>IF(AC204=1,N(G204)*60/Q204,"")</f>
        <v>339.0</v>
      </c>
      <c r="T204" s="57">
        <f>IF(AC204=1,O204/M204,"")</f>
        <v>0.84</v>
      </c>
      <c r="U204" s="57">
        <f>IF(AC204=1,IF(O204&gt;0,R204/O204,""),"")</f>
        <v>0.904761904761905</v>
      </c>
      <c r="V204" s="57">
        <f>IF(AC204=1,IF(P204&gt;0,N(G204)/P204,""),"")</f>
        <v>0.991228070175439</v>
      </c>
      <c r="W204" s="57">
        <f>IF(AC204=1,S204/M204,"")</f>
        <v>0.753333333333333</v>
      </c>
      <c r="X204" s="57">
        <f>IF(AC204=1,S204/K204,"")</f>
        <v>0.70625</v>
      </c>
      <c r="Y204" s="58" t="str">
        <f>IF(W204="","",IF(W204&gt;=p_target,"Bon",IF(W204&gt;=p_alert,"À surveiller","Faible")))</f>
        <v>Bon</v>
      </c>
      <c r="Z204" s="58" t="str">
        <f>IF(W204="","",IF(MIN(IF(T204="",1,T204),IF(U204="",1,U204),IF(V204="",1,V204))&gt;=1,"Aucune",IF(IF(T204="",1,T204)&lt;=MIN(IF(U204="",1,U204),IF(V204="",1,V204)),"Disponibilité",IF(IF(U204="",1,U204)&lt;=IF(V204="",1,V204),"Performance","Qualité"))))</f>
        <v>Disponibilité</v>
      </c>
      <c r="AA204" s="59">
        <f>IF(AC204=1,N(H204)*N(IFERROR(INDEX(art_cost,MATCH(E204,art_ref,0)),0)),"")</f>
        <v>238.0</v>
      </c>
      <c r="AB204" s="58" t="str">
        <f>IF(COUNTA(A204:I204)=0,"",IF(N(A204)&lt;=0,"Date manquante ou invalide",IF(B204="","Équipe manquante",IF(ISNA(MATCH(B204,eq_code,0)),"Équipe inconnue",IF(INDEX(eq_check,MATCH(B204,eq_code,0))&lt;&gt;"OK","Équipe à corriger dans Paramètres",IF(C204="","Poste manquant",IF(ISNA(MATCH(C204,po_code,0)),"Poste inconnu",IF(AND(E204&lt;&gt;"",ISNA(MATCH(E204,art_ref,0))),"Article inconnu",IF(IF(E204="",FALSE,INDEX(art_check,MATCH(E204,art_ref,0))&lt;&gt;"OK"),"Article à corriger (feuille Articles)",IF(COUNTIFS(sj_date,A204,sj_eq,B204,sj_po,C204)&gt;1,"Ligne en double (même jour, équipe et poste)",IF(OR(NOT(ISNUMBER(K204)),N(K204)&lt;=0,N(K204)&gt;1440),"Temps d'ouverture invalide",IF(OR(AND(G204&lt;&gt;"",NOT(ISNUMBER(G204))),N(G204)&lt;0,N(G204)&lt;&gt;INT(N(G204)),AND(H204&lt;&gt;"",NOT(ISNUMBER(H204))),N(H204)&lt;0,N(H204)&lt;&gt;INT(N(H204)),AND(I204&lt;&gt;"",NOT(ISNUMBER(I204))),N(I204)&lt;0,N(I204)&lt;&gt;INT(N(I204))),"Quantité invalide",IF(Q204&lt;=0,"Cadence manquante (poste ou article)",IF(M204&lt;=0,"Arrêts planifiés supérieurs au temps d'ouverture",IF(O204&lt;0,"Arrêts supérieurs au temps requis",IF(AND(P204&gt;0,O204=0),"Pièces déclarées sans temps de marche",IF(AND(P204=0,O204&gt;0),"Aucune pièce déclarée",IF(P204*60/Q204&gt;O204+0.001,"Cadence dépassée : vérifiez la cadence","OK"))))))))))))))))))</f>
        <v>OK</v>
      </c>
      <c r="AC204">
        <f>IF(OR(AB204="OK",AB204="Aucune pièce déclarée",AB204="Cadence dépassée : vérifiez la cadence"),1,0)</f>
        <v>1.0</v>
      </c>
      <c r="AD204">
        <f>IF(AND(AC204=1,A204&gt;=p_from,A204&lt;=p_to),1,0)</f>
        <v>1.0</v>
      </c>
      <c r="AE204">
        <f>IF(AD204=1,IF(COUNTIFS($A$6:A204,A204,$AD$6:AD204,1)=1,1,0),0)</f>
        <v>0.0</v>
      </c>
      <c r="AF204" t="str">
        <f>IF(AE204=1,COUNTIFS(sj_first,1,sj_date,"&lt;"&amp;A204)+1,"")</f>
        <v/>
      </c>
      <c r="AG204" t="str">
        <f>IF(AND(AD204=1,N(W204)&lt;p_alert),ROUND(W204,4),"")</f>
        <v/>
      </c>
      <c r="AH204" t="str">
        <f>IF(AG204="","",COUNTIF(sj_akey,"&lt;"&amp;AG204)+COUNTIF($AG$6:AG204,AG204))</f>
        <v/>
      </c>
    </row>
    <row r="205">
      <c r="A205" s="51" t="n">
        <v>46311</v>
      </c>
      <c r="B205" s="52" t="inlineStr">
        <is>
          <t>Après-midi</t>
        </is>
      </c>
      <c r="C205" s="52" t="inlineStr">
        <is>
          <t>SOUD</t>
        </is>
      </c>
      <c r="D205" s="53" t="inlineStr">
        <is>
          <t>OF-2610-169</t>
        </is>
      </c>
      <c r="E205" s="53" t="inlineStr">
        <is>
          <t>CHA-REM-01</t>
        </is>
      </c>
      <c r="F205" s="54" t="n"/>
      <c r="G205" s="54" t="n">
        <v>19</v>
      </c>
      <c r="H205" s="54" t="n">
        <v>0</v>
      </c>
      <c r="I205" s="54" t="n">
        <v>0</v>
      </c>
      <c r="J205" s="53" t="n"/>
      <c r="K205" s="55">
        <f>IF(COUNTA(A205:I205)=0,"",IF(F205="",IFERROR(INDEX(eq_dur,MATCH(B205,eq_code,0)),""),F205))</f>
        <v>480.0</v>
      </c>
      <c r="L205" s="55">
        <f>IF(ISNUMBER(K205),N(IFERROR(INDEX(eq_pause,MATCH(B205,eq_code,0)),0))+SUMIFS(st_min,st_date,A205,st_eq,B205,st_po,C205,st_type,"Planifié"),"")</f>
        <v>30.0</v>
      </c>
      <c r="M205" s="55">
        <f>IF(ISNUMBER(K205),K205-L205,"")</f>
        <v>450.0</v>
      </c>
      <c r="N205" s="55">
        <f>IF(ISNUMBER(K205),SUMIFS(st_min,st_date,A205,st_eq,B205,st_po,C205,st_type,"Non planifié"),"")</f>
        <v>126.0</v>
      </c>
      <c r="O205" s="55">
        <f>IF(ISNUMBER(K205),M205-N205,"")</f>
        <v>324.0</v>
      </c>
      <c r="P205" s="55">
        <f>IF(COUNTA(A205:I205)=0,"",N(G205)+N(H205)+N(I205))</f>
        <v>19.0</v>
      </c>
      <c r="Q205" s="56">
        <f>IF(COUNTA(A205:I205)=0,"",IF(N(IFERROR(INDEX(art_rate,MATCH(E205,art_ref,0)),0))&gt;0,N(IFERROR(INDEX(art_rate,MATCH(E205,art_ref,0)),0)),N(IFERROR(INDEX(po_rate,MATCH(C205,po_code,0)),0))))</f>
        <v>4.0</v>
      </c>
      <c r="R205" s="55">
        <f>IF(AC205=1,P205*60/Q205,"")</f>
        <v>285.0</v>
      </c>
      <c r="S205" s="55">
        <f>IF(AC205=1,N(G205)*60/Q205,"")</f>
        <v>285.0</v>
      </c>
      <c r="T205" s="57">
        <f>IF(AC205=1,O205/M205,"")</f>
        <v>0.72</v>
      </c>
      <c r="U205" s="57">
        <f>IF(AC205=1,IF(O205&gt;0,R205/O205,""),"")</f>
        <v>0.87962962962963</v>
      </c>
      <c r="V205" s="57">
        <f>IF(AC205=1,IF(P205&gt;0,N(G205)/P205,""),"")</f>
        <v>1.0</v>
      </c>
      <c r="W205" s="57">
        <f>IF(AC205=1,S205/M205,"")</f>
        <v>0.633333333333333</v>
      </c>
      <c r="X205" s="57">
        <f>IF(AC205=1,S205/K205,"")</f>
        <v>0.59375</v>
      </c>
      <c r="Y205" s="58" t="str">
        <f>IF(W205="","",IF(W205&gt;=p_target,"Bon",IF(W205&gt;=p_alert,"À surveiller","Faible")))</f>
        <v>À surveiller</v>
      </c>
      <c r="Z205" s="58" t="str">
        <f>IF(W205="","",IF(MIN(IF(T205="",1,T205),IF(U205="",1,U205),IF(V205="",1,V205))&gt;=1,"Aucune",IF(IF(T205="",1,T205)&lt;=MIN(IF(U205="",1,U205),IF(V205="",1,V205)),"Disponibilité",IF(IF(U205="",1,U205)&lt;=IF(V205="",1,V205),"Performance","Qualité"))))</f>
        <v>Disponibilité</v>
      </c>
      <c r="AA205" s="59">
        <f>IF(AC205=1,N(H205)*N(IFERROR(INDEX(art_cost,MATCH(E205,art_ref,0)),0)),"")</f>
        <v>0.0</v>
      </c>
      <c r="AB205" s="58" t="str">
        <f>IF(COUNTA(A205:I205)=0,"",IF(N(A205)&lt;=0,"Date manquante ou invalide",IF(B205="","Équipe manquante",IF(ISNA(MATCH(B205,eq_code,0)),"Équipe inconnue",IF(INDEX(eq_check,MATCH(B205,eq_code,0))&lt;&gt;"OK","Équipe à corriger dans Paramètres",IF(C205="","Poste manquant",IF(ISNA(MATCH(C205,po_code,0)),"Poste inconnu",IF(AND(E205&lt;&gt;"",ISNA(MATCH(E205,art_ref,0))),"Article inconnu",IF(IF(E205="",FALSE,INDEX(art_check,MATCH(E205,art_ref,0))&lt;&gt;"OK"),"Article à corriger (feuille Articles)",IF(COUNTIFS(sj_date,A205,sj_eq,B205,sj_po,C205)&gt;1,"Ligne en double (même jour, équipe et poste)",IF(OR(NOT(ISNUMBER(K205)),N(K205)&lt;=0,N(K205)&gt;1440),"Temps d'ouverture invalide",IF(OR(AND(G205&lt;&gt;"",NOT(ISNUMBER(G205))),N(G205)&lt;0,N(G205)&lt;&gt;INT(N(G205)),AND(H205&lt;&gt;"",NOT(ISNUMBER(H205))),N(H205)&lt;0,N(H205)&lt;&gt;INT(N(H205)),AND(I205&lt;&gt;"",NOT(ISNUMBER(I205))),N(I205)&lt;0,N(I205)&lt;&gt;INT(N(I205))),"Quantité invalide",IF(Q205&lt;=0,"Cadence manquante (poste ou article)",IF(M205&lt;=0,"Arrêts planifiés supérieurs au temps d'ouverture",IF(O205&lt;0,"Arrêts supérieurs au temps requis",IF(AND(P205&gt;0,O205=0),"Pièces déclarées sans temps de marche",IF(AND(P205=0,O205&gt;0),"Aucune pièce déclarée",IF(P205*60/Q205&gt;O205+0.001,"Cadence dépassée : vérifiez la cadence","OK"))))))))))))))))))</f>
        <v>OK</v>
      </c>
      <c r="AC205">
        <f>IF(OR(AB205="OK",AB205="Aucune pièce déclarée",AB205="Cadence dépassée : vérifiez la cadence"),1,0)</f>
        <v>1.0</v>
      </c>
      <c r="AD205">
        <f>IF(AND(AC205=1,A205&gt;=p_from,A205&lt;=p_to),1,0)</f>
        <v>1.0</v>
      </c>
      <c r="AE205">
        <f>IF(AD205=1,IF(COUNTIFS($A$6:A205,A205,$AD$6:AD205,1)=1,1,0),0)</f>
        <v>0.0</v>
      </c>
      <c r="AF205" t="str">
        <f>IF(AE205=1,COUNTIFS(sj_first,1,sj_date,"&lt;"&amp;A205)+1,"")</f>
        <v/>
      </c>
      <c r="AG205" t="str">
        <f>IF(AND(AD205=1,N(W205)&lt;p_alert),ROUND(W205,4),"")</f>
        <v/>
      </c>
      <c r="AH205" t="str">
        <f>IF(AG205="","",COUNTIF(sj_akey,"&lt;"&amp;AG205)+COUNTIF($AG$6:AG205,AG205))</f>
        <v/>
      </c>
    </row>
    <row r="206">
      <c r="A206" s="51" t="n">
        <v>46314</v>
      </c>
      <c r="B206" s="52" t="inlineStr">
        <is>
          <t>Matin</t>
        </is>
      </c>
      <c r="C206" s="52" t="inlineStr">
        <is>
          <t>TOUR1</t>
        </is>
      </c>
      <c r="D206" s="53" t="inlineStr">
        <is>
          <t>OF-2610-161</t>
        </is>
      </c>
      <c r="E206" s="53" t="inlineStr">
        <is>
          <t>BAG-BR-32</t>
        </is>
      </c>
      <c r="F206" s="54" t="n"/>
      <c r="G206" s="54" t="n">
        <v>273</v>
      </c>
      <c r="H206" s="54" t="n">
        <v>0</v>
      </c>
      <c r="I206" s="54" t="n">
        <v>3</v>
      </c>
      <c r="J206" s="53" t="n"/>
      <c r="K206" s="55">
        <f>IF(COUNTA(A206:I206)=0,"",IF(F206="",IFERROR(INDEX(eq_dur,MATCH(B206,eq_code,0)),""),F206))</f>
        <v>480.0</v>
      </c>
      <c r="L206" s="55">
        <f>IF(ISNUMBER(K206),N(IFERROR(INDEX(eq_pause,MATCH(B206,eq_code,0)),0))+SUMIFS(st_min,st_date,A206,st_eq,B206,st_po,C206,st_type,"Planifié"),"")</f>
        <v>30.0</v>
      </c>
      <c r="M206" s="55">
        <f>IF(ISNUMBER(K206),K206-L206,"")</f>
        <v>450.0</v>
      </c>
      <c r="N206" s="55">
        <f>IF(ISNUMBER(K206),SUMIFS(st_min,st_date,A206,st_eq,B206,st_po,C206,st_type,"Non planifié"),"")</f>
        <v>14.0</v>
      </c>
      <c r="O206" s="55">
        <f>IF(ISNUMBER(K206),M206-N206,"")</f>
        <v>436.0</v>
      </c>
      <c r="P206" s="55">
        <f>IF(COUNTA(A206:I206)=0,"",N(G206)+N(H206)+N(I206))</f>
        <v>276.0</v>
      </c>
      <c r="Q206" s="56">
        <f>IF(COUNTA(A206:I206)=0,"",IF(N(IFERROR(INDEX(art_rate,MATCH(E206,art_ref,0)),0))&gt;0,N(IFERROR(INDEX(art_rate,MATCH(E206,art_ref,0)),0)),N(IFERROR(INDEX(po_rate,MATCH(C206,po_code,0)),0))))</f>
        <v>40.0</v>
      </c>
      <c r="R206" s="55">
        <f>IF(AC206=1,P206*60/Q206,"")</f>
        <v>414.0</v>
      </c>
      <c r="S206" s="55">
        <f>IF(AC206=1,N(G206)*60/Q206,"")</f>
        <v>409.5</v>
      </c>
      <c r="T206" s="57">
        <f>IF(AC206=1,O206/M206,"")</f>
        <v>0.968888888888889</v>
      </c>
      <c r="U206" s="57">
        <f>IF(AC206=1,IF(O206&gt;0,R206/O206,""),"")</f>
        <v>0.94954128440367</v>
      </c>
      <c r="V206" s="57">
        <f>IF(AC206=1,IF(P206&gt;0,N(G206)/P206,""),"")</f>
        <v>0.989130434782609</v>
      </c>
      <c r="W206" s="57">
        <f>IF(AC206=1,S206/M206,"")</f>
        <v>0.91</v>
      </c>
      <c r="X206" s="57">
        <f>IF(AC206=1,S206/K206,"")</f>
        <v>0.853125</v>
      </c>
      <c r="Y206" s="58" t="str">
        <f>IF(W206="","",IF(W206&gt;=p_target,"Bon",IF(W206&gt;=p_alert,"À surveiller","Faible")))</f>
        <v>Bon</v>
      </c>
      <c r="Z206" s="58" t="str">
        <f>IF(W206="","",IF(MIN(IF(T206="",1,T206),IF(U206="",1,U206),IF(V206="",1,V206))&gt;=1,"Aucune",IF(IF(T206="",1,T206)&lt;=MIN(IF(U206="",1,U206),IF(V206="",1,V206)),"Disponibilité",IF(IF(U206="",1,U206)&lt;=IF(V206="",1,V206),"Performance","Qualité"))))</f>
        <v>Performance</v>
      </c>
      <c r="AA206" s="59">
        <f>IF(AC206=1,N(H206)*N(IFERROR(INDEX(art_cost,MATCH(E206,art_ref,0)),0)),"")</f>
        <v>0.0</v>
      </c>
      <c r="AB206" s="58" t="str">
        <f>IF(COUNTA(A206:I206)=0,"",IF(N(A206)&lt;=0,"Date manquante ou invalide",IF(B206="","Équipe manquante",IF(ISNA(MATCH(B206,eq_code,0)),"Équipe inconnue",IF(INDEX(eq_check,MATCH(B206,eq_code,0))&lt;&gt;"OK","Équipe à corriger dans Paramètres",IF(C206="","Poste manquant",IF(ISNA(MATCH(C206,po_code,0)),"Poste inconnu",IF(AND(E206&lt;&gt;"",ISNA(MATCH(E206,art_ref,0))),"Article inconnu",IF(IF(E206="",FALSE,INDEX(art_check,MATCH(E206,art_ref,0))&lt;&gt;"OK"),"Article à corriger (feuille Articles)",IF(COUNTIFS(sj_date,A206,sj_eq,B206,sj_po,C206)&gt;1,"Ligne en double (même jour, équipe et poste)",IF(OR(NOT(ISNUMBER(K206)),N(K206)&lt;=0,N(K206)&gt;1440),"Temps d'ouverture invalide",IF(OR(AND(G206&lt;&gt;"",NOT(ISNUMBER(G206))),N(G206)&lt;0,N(G206)&lt;&gt;INT(N(G206)),AND(H206&lt;&gt;"",NOT(ISNUMBER(H206))),N(H206)&lt;0,N(H206)&lt;&gt;INT(N(H206)),AND(I206&lt;&gt;"",NOT(ISNUMBER(I206))),N(I206)&lt;0,N(I206)&lt;&gt;INT(N(I206))),"Quantité invalide",IF(Q206&lt;=0,"Cadence manquante (poste ou article)",IF(M206&lt;=0,"Arrêts planifiés supérieurs au temps d'ouverture",IF(O206&lt;0,"Arrêts supérieurs au temps requis",IF(AND(P206&gt;0,O206=0),"Pièces déclarées sans temps de marche",IF(AND(P206=0,O206&gt;0),"Aucune pièce déclarée",IF(P206*60/Q206&gt;O206+0.001,"Cadence dépassée : vérifiez la cadence","OK"))))))))))))))))))</f>
        <v>OK</v>
      </c>
      <c r="AC206">
        <f>IF(OR(AB206="OK",AB206="Aucune pièce déclarée",AB206="Cadence dépassée : vérifiez la cadence"),1,0)</f>
        <v>1.0</v>
      </c>
      <c r="AD206">
        <f>IF(AND(AC206=1,A206&gt;=p_from,A206&lt;=p_to),1,0)</f>
        <v>1.0</v>
      </c>
      <c r="AE206">
        <f>IF(AD206=1,IF(COUNTIFS($A$6:A206,A206,$AD$6:AD206,1)=1,1,0),0)</f>
        <v>1.0</v>
      </c>
      <c r="AF206">
        <f>IF(AE206=1,COUNTIFS(sj_first,1,sj_date,"&lt;"&amp;A206)+1,"")</f>
        <v>21.0</v>
      </c>
      <c r="AG206" t="str">
        <f>IF(AND(AD206=1,N(W206)&lt;p_alert),ROUND(W206,4),"")</f>
        <v/>
      </c>
      <c r="AH206" t="str">
        <f>IF(AG206="","",COUNTIF(sj_akey,"&lt;"&amp;AG206)+COUNTIF($AG$6:AG206,AG206))</f>
        <v/>
      </c>
    </row>
    <row r="207">
      <c r="A207" s="51" t="n">
        <v>46314</v>
      </c>
      <c r="B207" s="52" t="inlineStr">
        <is>
          <t>Après-midi</t>
        </is>
      </c>
      <c r="C207" s="52" t="inlineStr">
        <is>
          <t>TOUR1</t>
        </is>
      </c>
      <c r="D207" s="53" t="inlineStr">
        <is>
          <t>OF-2610-170</t>
        </is>
      </c>
      <c r="E207" s="53" t="inlineStr">
        <is>
          <t>AXE-R20</t>
        </is>
      </c>
      <c r="F207" s="54" t="n"/>
      <c r="G207" s="54" t="n">
        <v>170</v>
      </c>
      <c r="H207" s="54" t="n">
        <v>3</v>
      </c>
      <c r="I207" s="54" t="n">
        <v>1</v>
      </c>
      <c r="J207" s="53" t="n"/>
      <c r="K207" s="55">
        <f>IF(COUNTA(A207:I207)=0,"",IF(F207="",IFERROR(INDEX(eq_dur,MATCH(B207,eq_code,0)),""),F207))</f>
        <v>480.0</v>
      </c>
      <c r="L207" s="55">
        <f>IF(ISNUMBER(K207),N(IFERROR(INDEX(eq_pause,MATCH(B207,eq_code,0)),0))+SUMIFS(st_min,st_date,A207,st_eq,B207,st_po,C207,st_type,"Planifié"),"")</f>
        <v>30.0</v>
      </c>
      <c r="M207" s="55">
        <f>IF(ISNUMBER(K207),K207-L207,"")</f>
        <v>450.0</v>
      </c>
      <c r="N207" s="55">
        <f>IF(ISNUMBER(K207),SUMIFS(st_min,st_date,A207,st_eq,B207,st_po,C207,st_type,"Non planifié"),"")</f>
        <v>62.0</v>
      </c>
      <c r="O207" s="55">
        <f>IF(ISNUMBER(K207),M207-N207,"")</f>
        <v>388.0</v>
      </c>
      <c r="P207" s="55">
        <f>IF(COUNTA(A207:I207)=0,"",N(G207)+N(H207)+N(I207))</f>
        <v>174.0</v>
      </c>
      <c r="Q207" s="56">
        <f>IF(COUNTA(A207:I207)=0,"",IF(N(IFERROR(INDEX(art_rate,MATCH(E207,art_ref,0)),0))&gt;0,N(IFERROR(INDEX(art_rate,MATCH(E207,art_ref,0)),0)),N(IFERROR(INDEX(po_rate,MATCH(C207,po_code,0)),0))))</f>
        <v>30.0</v>
      </c>
      <c r="R207" s="55">
        <f>IF(AC207=1,P207*60/Q207,"")</f>
        <v>348.0</v>
      </c>
      <c r="S207" s="55">
        <f>IF(AC207=1,N(G207)*60/Q207,"")</f>
        <v>340.0</v>
      </c>
      <c r="T207" s="57">
        <f>IF(AC207=1,O207/M207,"")</f>
        <v>0.862222222222222</v>
      </c>
      <c r="U207" s="57">
        <f>IF(AC207=1,IF(O207&gt;0,R207/O207,""),"")</f>
        <v>0.896907216494845</v>
      </c>
      <c r="V207" s="57">
        <f>IF(AC207=1,IF(P207&gt;0,N(G207)/P207,""),"")</f>
        <v>0.977011494252874</v>
      </c>
      <c r="W207" s="57">
        <f>IF(AC207=1,S207/M207,"")</f>
        <v>0.755555555555556</v>
      </c>
      <c r="X207" s="57">
        <f>IF(AC207=1,S207/K207,"")</f>
        <v>0.708333333333333</v>
      </c>
      <c r="Y207" s="58" t="str">
        <f>IF(W207="","",IF(W207&gt;=p_target,"Bon",IF(W207&gt;=p_alert,"À surveiller","Faible")))</f>
        <v>Bon</v>
      </c>
      <c r="Z207" s="58" t="str">
        <f>IF(W207="","",IF(MIN(IF(T207="",1,T207),IF(U207="",1,U207),IF(V207="",1,V207))&gt;=1,"Aucune",IF(IF(T207="",1,T207)&lt;=MIN(IF(U207="",1,U207),IF(V207="",1,V207)),"Disponibilité",IF(IF(U207="",1,U207)&lt;=IF(V207="",1,V207),"Performance","Qualité"))))</f>
        <v>Disponibilité</v>
      </c>
      <c r="AA207" s="59">
        <f>IF(AC207=1,N(H207)*N(IFERROR(INDEX(art_cost,MATCH(E207,art_ref,0)),0)),"")</f>
        <v>115.5</v>
      </c>
      <c r="AB207" s="58" t="str">
        <f>IF(COUNTA(A207:I207)=0,"",IF(N(A207)&lt;=0,"Date manquante ou invalide",IF(B207="","Équipe manquante",IF(ISNA(MATCH(B207,eq_code,0)),"Équipe inconnue",IF(INDEX(eq_check,MATCH(B207,eq_code,0))&lt;&gt;"OK","Équipe à corriger dans Paramètres",IF(C207="","Poste manquant",IF(ISNA(MATCH(C207,po_code,0)),"Poste inconnu",IF(AND(E207&lt;&gt;"",ISNA(MATCH(E207,art_ref,0))),"Article inconnu",IF(IF(E207="",FALSE,INDEX(art_check,MATCH(E207,art_ref,0))&lt;&gt;"OK"),"Article à corriger (feuille Articles)",IF(COUNTIFS(sj_date,A207,sj_eq,B207,sj_po,C207)&gt;1,"Ligne en double (même jour, équipe et poste)",IF(OR(NOT(ISNUMBER(K207)),N(K207)&lt;=0,N(K207)&gt;1440),"Temps d'ouverture invalide",IF(OR(AND(G207&lt;&gt;"",NOT(ISNUMBER(G207))),N(G207)&lt;0,N(G207)&lt;&gt;INT(N(G207)),AND(H207&lt;&gt;"",NOT(ISNUMBER(H207))),N(H207)&lt;0,N(H207)&lt;&gt;INT(N(H207)),AND(I207&lt;&gt;"",NOT(ISNUMBER(I207))),N(I207)&lt;0,N(I207)&lt;&gt;INT(N(I207))),"Quantité invalide",IF(Q207&lt;=0,"Cadence manquante (poste ou article)",IF(M207&lt;=0,"Arrêts planifiés supérieurs au temps d'ouverture",IF(O207&lt;0,"Arrêts supérieurs au temps requis",IF(AND(P207&gt;0,O207=0),"Pièces déclarées sans temps de marche",IF(AND(P207=0,O207&gt;0),"Aucune pièce déclarée",IF(P207*60/Q207&gt;O207+0.001,"Cadence dépassée : vérifiez la cadence","OK"))))))))))))))))))</f>
        <v>OK</v>
      </c>
      <c r="AC207">
        <f>IF(OR(AB207="OK",AB207="Aucune pièce déclarée",AB207="Cadence dépassée : vérifiez la cadence"),1,0)</f>
        <v>1.0</v>
      </c>
      <c r="AD207">
        <f>IF(AND(AC207=1,A207&gt;=p_from,A207&lt;=p_to),1,0)</f>
        <v>1.0</v>
      </c>
      <c r="AE207">
        <f>IF(AD207=1,IF(COUNTIFS($A$6:A207,A207,$AD$6:AD207,1)=1,1,0),0)</f>
        <v>0.0</v>
      </c>
      <c r="AF207" t="str">
        <f>IF(AE207=1,COUNTIFS(sj_first,1,sj_date,"&lt;"&amp;A207)+1,"")</f>
        <v/>
      </c>
      <c r="AG207" t="str">
        <f>IF(AND(AD207=1,N(W207)&lt;p_alert),ROUND(W207,4),"")</f>
        <v/>
      </c>
      <c r="AH207" t="str">
        <f>IF(AG207="","",COUNTIF(sj_akey,"&lt;"&amp;AG207)+COUNTIF($AG$6:AG207,AG207))</f>
        <v/>
      </c>
    </row>
    <row r="208">
      <c r="A208" s="51" t="n">
        <v>46314</v>
      </c>
      <c r="B208" s="52" t="inlineStr">
        <is>
          <t>Matin</t>
        </is>
      </c>
      <c r="C208" s="52" t="inlineStr">
        <is>
          <t>TOUR2</t>
        </is>
      </c>
      <c r="D208" s="53" t="inlineStr">
        <is>
          <t>OF-2610-164</t>
        </is>
      </c>
      <c r="E208" s="53" t="inlineStr">
        <is>
          <t>AXE-R20</t>
        </is>
      </c>
      <c r="F208" s="54" t="n"/>
      <c r="G208" s="54" t="n">
        <v>179</v>
      </c>
      <c r="H208" s="54" t="n">
        <v>2</v>
      </c>
      <c r="I208" s="54" t="n">
        <v>1</v>
      </c>
      <c r="J208" s="53" t="n"/>
      <c r="K208" s="55">
        <f>IF(COUNTA(A208:I208)=0,"",IF(F208="",IFERROR(INDEX(eq_dur,MATCH(B208,eq_code,0)),""),F208))</f>
        <v>480.0</v>
      </c>
      <c r="L208" s="55">
        <f>IF(ISNUMBER(K208),N(IFERROR(INDEX(eq_pause,MATCH(B208,eq_code,0)),0))+SUMIFS(st_min,st_date,A208,st_eq,B208,st_po,C208,st_type,"Planifié"),"")</f>
        <v>30.0</v>
      </c>
      <c r="M208" s="55">
        <f>IF(ISNUMBER(K208),K208-L208,"")</f>
        <v>450.0</v>
      </c>
      <c r="N208" s="55">
        <f>IF(ISNUMBER(K208),SUMIFS(st_min,st_date,A208,st_eq,B208,st_po,C208,st_type,"Non planifié"),"")</f>
        <v>28.0</v>
      </c>
      <c r="O208" s="55">
        <f>IF(ISNUMBER(K208),M208-N208,"")</f>
        <v>422.0</v>
      </c>
      <c r="P208" s="55">
        <f>IF(COUNTA(A208:I208)=0,"",N(G208)+N(H208)+N(I208))</f>
        <v>182.0</v>
      </c>
      <c r="Q208" s="56">
        <f>IF(COUNTA(A208:I208)=0,"",IF(N(IFERROR(INDEX(art_rate,MATCH(E208,art_ref,0)),0))&gt;0,N(IFERROR(INDEX(art_rate,MATCH(E208,art_ref,0)),0)),N(IFERROR(INDEX(po_rate,MATCH(C208,po_code,0)),0))))</f>
        <v>30.0</v>
      </c>
      <c r="R208" s="55">
        <f>IF(AC208=1,P208*60/Q208,"")</f>
        <v>364.0</v>
      </c>
      <c r="S208" s="55">
        <f>IF(AC208=1,N(G208)*60/Q208,"")</f>
        <v>358.0</v>
      </c>
      <c r="T208" s="57">
        <f>IF(AC208=1,O208/M208,"")</f>
        <v>0.937777777777778</v>
      </c>
      <c r="U208" s="57">
        <f>IF(AC208=1,IF(O208&gt;0,R208/O208,""),"")</f>
        <v>0.862559241706161</v>
      </c>
      <c r="V208" s="57">
        <f>IF(AC208=1,IF(P208&gt;0,N(G208)/P208,""),"")</f>
        <v>0.983516483516484</v>
      </c>
      <c r="W208" s="57">
        <f>IF(AC208=1,S208/M208,"")</f>
        <v>0.795555555555556</v>
      </c>
      <c r="X208" s="57">
        <f>IF(AC208=1,S208/K208,"")</f>
        <v>0.745833333333333</v>
      </c>
      <c r="Y208" s="58" t="str">
        <f>IF(W208="","",IF(W208&gt;=p_target,"Bon",IF(W208&gt;=p_alert,"À surveiller","Faible")))</f>
        <v>Bon</v>
      </c>
      <c r="Z208" s="58" t="str">
        <f>IF(W208="","",IF(MIN(IF(T208="",1,T208),IF(U208="",1,U208),IF(V208="",1,V208))&gt;=1,"Aucune",IF(IF(T208="",1,T208)&lt;=MIN(IF(U208="",1,U208),IF(V208="",1,V208)),"Disponibilité",IF(IF(U208="",1,U208)&lt;=IF(V208="",1,V208),"Performance","Qualité"))))</f>
        <v>Performance</v>
      </c>
      <c r="AA208" s="59">
        <f>IF(AC208=1,N(H208)*N(IFERROR(INDEX(art_cost,MATCH(E208,art_ref,0)),0)),"")</f>
        <v>77.0</v>
      </c>
      <c r="AB208" s="58" t="str">
        <f>IF(COUNTA(A208:I208)=0,"",IF(N(A208)&lt;=0,"Date manquante ou invalide",IF(B208="","Équipe manquante",IF(ISNA(MATCH(B208,eq_code,0)),"Équipe inconnue",IF(INDEX(eq_check,MATCH(B208,eq_code,0))&lt;&gt;"OK","Équipe à corriger dans Paramètres",IF(C208="","Poste manquant",IF(ISNA(MATCH(C208,po_code,0)),"Poste inconnu",IF(AND(E208&lt;&gt;"",ISNA(MATCH(E208,art_ref,0))),"Article inconnu",IF(IF(E208="",FALSE,INDEX(art_check,MATCH(E208,art_ref,0))&lt;&gt;"OK"),"Article à corriger (feuille Articles)",IF(COUNTIFS(sj_date,A208,sj_eq,B208,sj_po,C208)&gt;1,"Ligne en double (même jour, équipe et poste)",IF(OR(NOT(ISNUMBER(K208)),N(K208)&lt;=0,N(K208)&gt;1440),"Temps d'ouverture invalide",IF(OR(AND(G208&lt;&gt;"",NOT(ISNUMBER(G208))),N(G208)&lt;0,N(G208)&lt;&gt;INT(N(G208)),AND(H208&lt;&gt;"",NOT(ISNUMBER(H208))),N(H208)&lt;0,N(H208)&lt;&gt;INT(N(H208)),AND(I208&lt;&gt;"",NOT(ISNUMBER(I208))),N(I208)&lt;0,N(I208)&lt;&gt;INT(N(I208))),"Quantité invalide",IF(Q208&lt;=0,"Cadence manquante (poste ou article)",IF(M208&lt;=0,"Arrêts planifiés supérieurs au temps d'ouverture",IF(O208&lt;0,"Arrêts supérieurs au temps requis",IF(AND(P208&gt;0,O208=0),"Pièces déclarées sans temps de marche",IF(AND(P208=0,O208&gt;0),"Aucune pièce déclarée",IF(P208*60/Q208&gt;O208+0.001,"Cadence dépassée : vérifiez la cadence","OK"))))))))))))))))))</f>
        <v>OK</v>
      </c>
      <c r="AC208">
        <f>IF(OR(AB208="OK",AB208="Aucune pièce déclarée",AB208="Cadence dépassée : vérifiez la cadence"),1,0)</f>
        <v>1.0</v>
      </c>
      <c r="AD208">
        <f>IF(AND(AC208=1,A208&gt;=p_from,A208&lt;=p_to),1,0)</f>
        <v>1.0</v>
      </c>
      <c r="AE208">
        <f>IF(AD208=1,IF(COUNTIFS($A$6:A208,A208,$AD$6:AD208,1)=1,1,0),0)</f>
        <v>0.0</v>
      </c>
      <c r="AF208" t="str">
        <f>IF(AE208=1,COUNTIFS(sj_first,1,sj_date,"&lt;"&amp;A208)+1,"")</f>
        <v/>
      </c>
      <c r="AG208" t="str">
        <f>IF(AND(AD208=1,N(W208)&lt;p_alert),ROUND(W208,4),"")</f>
        <v/>
      </c>
      <c r="AH208" t="str">
        <f>IF(AG208="","",COUNTIF(sj_akey,"&lt;"&amp;AG208)+COUNTIF($AG$6:AG208,AG208))</f>
        <v/>
      </c>
    </row>
    <row r="209">
      <c r="A209" s="51" t="n">
        <v>46314</v>
      </c>
      <c r="B209" s="52" t="inlineStr">
        <is>
          <t>Après-midi</t>
        </is>
      </c>
      <c r="C209" s="52" t="inlineStr">
        <is>
          <t>TOUR2</t>
        </is>
      </c>
      <c r="D209" s="53" t="inlineStr">
        <is>
          <t>OF-2610-171</t>
        </is>
      </c>
      <c r="E209" s="53" t="inlineStr">
        <is>
          <t>AXE-R20</t>
        </is>
      </c>
      <c r="F209" s="54" t="n"/>
      <c r="G209" s="54" t="n">
        <v>150</v>
      </c>
      <c r="H209" s="54" t="n">
        <v>4</v>
      </c>
      <c r="I209" s="54" t="n">
        <v>1</v>
      </c>
      <c r="J209" s="53" t="n"/>
      <c r="K209" s="55">
        <f>IF(COUNTA(A209:I209)=0,"",IF(F209="",IFERROR(INDEX(eq_dur,MATCH(B209,eq_code,0)),""),F209))</f>
        <v>480.0</v>
      </c>
      <c r="L209" s="55">
        <f>IF(ISNUMBER(K209),N(IFERROR(INDEX(eq_pause,MATCH(B209,eq_code,0)),0))+SUMIFS(st_min,st_date,A209,st_eq,B209,st_po,C209,st_type,"Planifié"),"")</f>
        <v>30.0</v>
      </c>
      <c r="M209" s="55">
        <f>IF(ISNUMBER(K209),K209-L209,"")</f>
        <v>450.0</v>
      </c>
      <c r="N209" s="55">
        <f>IF(ISNUMBER(K209),SUMIFS(st_min,st_date,A209,st_eq,B209,st_po,C209,st_type,"Non planifié"),"")</f>
        <v>78.0</v>
      </c>
      <c r="O209" s="55">
        <f>IF(ISNUMBER(K209),M209-N209,"")</f>
        <v>372.0</v>
      </c>
      <c r="P209" s="55">
        <f>IF(COUNTA(A209:I209)=0,"",N(G209)+N(H209)+N(I209))</f>
        <v>155.0</v>
      </c>
      <c r="Q209" s="56">
        <f>IF(COUNTA(A209:I209)=0,"",IF(N(IFERROR(INDEX(art_rate,MATCH(E209,art_ref,0)),0))&gt;0,N(IFERROR(INDEX(art_rate,MATCH(E209,art_ref,0)),0)),N(IFERROR(INDEX(po_rate,MATCH(C209,po_code,0)),0))))</f>
        <v>30.0</v>
      </c>
      <c r="R209" s="55">
        <f>IF(AC209=1,P209*60/Q209,"")</f>
        <v>310.0</v>
      </c>
      <c r="S209" s="55">
        <f>IF(AC209=1,N(G209)*60/Q209,"")</f>
        <v>300.0</v>
      </c>
      <c r="T209" s="57">
        <f>IF(AC209=1,O209/M209,"")</f>
        <v>0.826666666666667</v>
      </c>
      <c r="U209" s="57">
        <f>IF(AC209=1,IF(O209&gt;0,R209/O209,""),"")</f>
        <v>0.833333333333333</v>
      </c>
      <c r="V209" s="57">
        <f>IF(AC209=1,IF(P209&gt;0,N(G209)/P209,""),"")</f>
        <v>0.967741935483871</v>
      </c>
      <c r="W209" s="57">
        <f>IF(AC209=1,S209/M209,"")</f>
        <v>0.666666666666667</v>
      </c>
      <c r="X209" s="57">
        <f>IF(AC209=1,S209/K209,"")</f>
        <v>0.625</v>
      </c>
      <c r="Y209" s="58" t="str">
        <f>IF(W209="","",IF(W209&gt;=p_target,"Bon",IF(W209&gt;=p_alert,"À surveiller","Faible")))</f>
        <v>À surveiller</v>
      </c>
      <c r="Z209" s="58" t="str">
        <f>IF(W209="","",IF(MIN(IF(T209="",1,T209),IF(U209="",1,U209),IF(V209="",1,V209))&gt;=1,"Aucune",IF(IF(T209="",1,T209)&lt;=MIN(IF(U209="",1,U209),IF(V209="",1,V209)),"Disponibilité",IF(IF(U209="",1,U209)&lt;=IF(V209="",1,V209),"Performance","Qualité"))))</f>
        <v>Disponibilité</v>
      </c>
      <c r="AA209" s="59">
        <f>IF(AC209=1,N(H209)*N(IFERROR(INDEX(art_cost,MATCH(E209,art_ref,0)),0)),"")</f>
        <v>154.0</v>
      </c>
      <c r="AB209" s="58" t="str">
        <f>IF(COUNTA(A209:I209)=0,"",IF(N(A209)&lt;=0,"Date manquante ou invalide",IF(B209="","Équipe manquante",IF(ISNA(MATCH(B209,eq_code,0)),"Équipe inconnue",IF(INDEX(eq_check,MATCH(B209,eq_code,0))&lt;&gt;"OK","Équipe à corriger dans Paramètres",IF(C209="","Poste manquant",IF(ISNA(MATCH(C209,po_code,0)),"Poste inconnu",IF(AND(E209&lt;&gt;"",ISNA(MATCH(E209,art_ref,0))),"Article inconnu",IF(IF(E209="",FALSE,INDEX(art_check,MATCH(E209,art_ref,0))&lt;&gt;"OK"),"Article à corriger (feuille Articles)",IF(COUNTIFS(sj_date,A209,sj_eq,B209,sj_po,C209)&gt;1,"Ligne en double (même jour, équipe et poste)",IF(OR(NOT(ISNUMBER(K209)),N(K209)&lt;=0,N(K209)&gt;1440),"Temps d'ouverture invalide",IF(OR(AND(G209&lt;&gt;"",NOT(ISNUMBER(G209))),N(G209)&lt;0,N(G209)&lt;&gt;INT(N(G209)),AND(H209&lt;&gt;"",NOT(ISNUMBER(H209))),N(H209)&lt;0,N(H209)&lt;&gt;INT(N(H209)),AND(I209&lt;&gt;"",NOT(ISNUMBER(I209))),N(I209)&lt;0,N(I209)&lt;&gt;INT(N(I209))),"Quantité invalide",IF(Q209&lt;=0,"Cadence manquante (poste ou article)",IF(M209&lt;=0,"Arrêts planifiés supérieurs au temps d'ouverture",IF(O209&lt;0,"Arrêts supérieurs au temps requis",IF(AND(P209&gt;0,O209=0),"Pièces déclarées sans temps de marche",IF(AND(P209=0,O209&gt;0),"Aucune pièce déclarée",IF(P209*60/Q209&gt;O209+0.001,"Cadence dépassée : vérifiez la cadence","OK"))))))))))))))))))</f>
        <v>OK</v>
      </c>
      <c r="AC209">
        <f>IF(OR(AB209="OK",AB209="Aucune pièce déclarée",AB209="Cadence dépassée : vérifiez la cadence"),1,0)</f>
        <v>1.0</v>
      </c>
      <c r="AD209">
        <f>IF(AND(AC209=1,A209&gt;=p_from,A209&lt;=p_to),1,0)</f>
        <v>1.0</v>
      </c>
      <c r="AE209">
        <f>IF(AD209=1,IF(COUNTIFS($A$6:A209,A209,$AD$6:AD209,1)=1,1,0),0)</f>
        <v>0.0</v>
      </c>
      <c r="AF209" t="str">
        <f>IF(AE209=1,COUNTIFS(sj_first,1,sj_date,"&lt;"&amp;A209)+1,"")</f>
        <v/>
      </c>
      <c r="AG209" t="str">
        <f>IF(AND(AD209=1,N(W209)&lt;p_alert),ROUND(W209,4),"")</f>
        <v/>
      </c>
      <c r="AH209" t="str">
        <f>IF(AG209="","",COUNTIF(sj_akey,"&lt;"&amp;AG209)+COUNTIF($AG$6:AG209,AG209))</f>
        <v/>
      </c>
    </row>
    <row r="210">
      <c r="A210" s="51" t="n">
        <v>46314</v>
      </c>
      <c r="B210" s="52" t="inlineStr">
        <is>
          <t>Matin</t>
        </is>
      </c>
      <c r="C210" s="52" t="inlineStr">
        <is>
          <t>USIN</t>
        </is>
      </c>
      <c r="D210" s="53" t="inlineStr">
        <is>
          <t>OF-2610-157</t>
        </is>
      </c>
      <c r="E210" s="53" t="inlineStr">
        <is>
          <t>FLA-PL-150</t>
        </is>
      </c>
      <c r="F210" s="54" t="n"/>
      <c r="G210" s="54" t="n">
        <v>47</v>
      </c>
      <c r="H210" s="54" t="n">
        <v>1</v>
      </c>
      <c r="I210" s="54" t="n">
        <v>0</v>
      </c>
      <c r="J210" s="53" t="n"/>
      <c r="K210" s="55">
        <f>IF(COUNTA(A210:I210)=0,"",IF(F210="",IFERROR(INDEX(eq_dur,MATCH(B210,eq_code,0)),""),F210))</f>
        <v>480.0</v>
      </c>
      <c r="L210" s="55">
        <f>IF(ISNUMBER(K210),N(IFERROR(INDEX(eq_pause,MATCH(B210,eq_code,0)),0))+SUMIFS(st_min,st_date,A210,st_eq,B210,st_po,C210,st_type,"Planifié"),"")</f>
        <v>90.0</v>
      </c>
      <c r="M210" s="55">
        <f>IF(ISNUMBER(K210),K210-L210,"")</f>
        <v>390.0</v>
      </c>
      <c r="N210" s="55">
        <f>IF(ISNUMBER(K210),SUMIFS(st_min,st_date,A210,st_eq,B210,st_po,C210,st_type,"Non planifié"),"")</f>
        <v>112.0</v>
      </c>
      <c r="O210" s="55">
        <f>IF(ISNUMBER(K210),M210-N210,"")</f>
        <v>278.0</v>
      </c>
      <c r="P210" s="55">
        <f>IF(COUNTA(A210:I210)=0,"",N(G210)+N(H210)+N(I210))</f>
        <v>48.0</v>
      </c>
      <c r="Q210" s="56">
        <f>IF(COUNTA(A210:I210)=0,"",IF(N(IFERROR(INDEX(art_rate,MATCH(E210,art_ref,0)),0))&gt;0,N(IFERROR(INDEX(art_rate,MATCH(E210,art_ref,0)),0)),N(IFERROR(INDEX(po_rate,MATCH(C210,po_code,0)),0))))</f>
        <v>12.0</v>
      </c>
      <c r="R210" s="55">
        <f>IF(AC210=1,P210*60/Q210,"")</f>
        <v>240.0</v>
      </c>
      <c r="S210" s="55">
        <f>IF(AC210=1,N(G210)*60/Q210,"")</f>
        <v>235.0</v>
      </c>
      <c r="T210" s="57">
        <f>IF(AC210=1,O210/M210,"")</f>
        <v>0.712820512820513</v>
      </c>
      <c r="U210" s="57">
        <f>IF(AC210=1,IF(O210&gt;0,R210/O210,""),"")</f>
        <v>0.863309352517986</v>
      </c>
      <c r="V210" s="57">
        <f>IF(AC210=1,IF(P210&gt;0,N(G210)/P210,""),"")</f>
        <v>0.979166666666667</v>
      </c>
      <c r="W210" s="57">
        <f>IF(AC210=1,S210/M210,"")</f>
        <v>0.602564102564103</v>
      </c>
      <c r="X210" s="57">
        <f>IF(AC210=1,S210/K210,"")</f>
        <v>0.489583333333333</v>
      </c>
      <c r="Y210" s="58" t="str">
        <f>IF(W210="","",IF(W210&gt;=p_target,"Bon",IF(W210&gt;=p_alert,"À surveiller","Faible")))</f>
        <v>À surveiller</v>
      </c>
      <c r="Z210" s="58" t="str">
        <f>IF(W210="","",IF(MIN(IF(T210="",1,T210),IF(U210="",1,U210),IF(V210="",1,V210))&gt;=1,"Aucune",IF(IF(T210="",1,T210)&lt;=MIN(IF(U210="",1,U210),IF(V210="",1,V210)),"Disponibilité",IF(IF(U210="",1,U210)&lt;=IF(V210="",1,V210),"Performance","Qualité"))))</f>
        <v>Disponibilité</v>
      </c>
      <c r="AA210" s="59">
        <f>IF(AC210=1,N(H210)*N(IFERROR(INDEX(art_cost,MATCH(E210,art_ref,0)),0)),"")</f>
        <v>145.0</v>
      </c>
      <c r="AB210" s="58" t="str">
        <f>IF(COUNTA(A210:I210)=0,"",IF(N(A210)&lt;=0,"Date manquante ou invalide",IF(B210="","Équipe manquante",IF(ISNA(MATCH(B210,eq_code,0)),"Équipe inconnue",IF(INDEX(eq_check,MATCH(B210,eq_code,0))&lt;&gt;"OK","Équipe à corriger dans Paramètres",IF(C210="","Poste manquant",IF(ISNA(MATCH(C210,po_code,0)),"Poste inconnu",IF(AND(E210&lt;&gt;"",ISNA(MATCH(E210,art_ref,0))),"Article inconnu",IF(IF(E210="",FALSE,INDEX(art_check,MATCH(E210,art_ref,0))&lt;&gt;"OK"),"Article à corriger (feuille Articles)",IF(COUNTIFS(sj_date,A210,sj_eq,B210,sj_po,C210)&gt;1,"Ligne en double (même jour, équipe et poste)",IF(OR(NOT(ISNUMBER(K210)),N(K210)&lt;=0,N(K210)&gt;1440),"Temps d'ouverture invalide",IF(OR(AND(G210&lt;&gt;"",NOT(ISNUMBER(G210))),N(G210)&lt;0,N(G210)&lt;&gt;INT(N(G210)),AND(H210&lt;&gt;"",NOT(ISNUMBER(H210))),N(H210)&lt;0,N(H210)&lt;&gt;INT(N(H210)),AND(I210&lt;&gt;"",NOT(ISNUMBER(I210))),N(I210)&lt;0,N(I210)&lt;&gt;INT(N(I210))),"Quantité invalide",IF(Q210&lt;=0,"Cadence manquante (poste ou article)",IF(M210&lt;=0,"Arrêts planifiés supérieurs au temps d'ouverture",IF(O210&lt;0,"Arrêts supérieurs au temps requis",IF(AND(P210&gt;0,O210=0),"Pièces déclarées sans temps de marche",IF(AND(P210=0,O210&gt;0),"Aucune pièce déclarée",IF(P210*60/Q210&gt;O210+0.001,"Cadence dépassée : vérifiez la cadence","OK"))))))))))))))))))</f>
        <v>OK</v>
      </c>
      <c r="AC210">
        <f>IF(OR(AB210="OK",AB210="Aucune pièce déclarée",AB210="Cadence dépassée : vérifiez la cadence"),1,0)</f>
        <v>1.0</v>
      </c>
      <c r="AD210">
        <f>IF(AND(AC210=1,A210&gt;=p_from,A210&lt;=p_to),1,0)</f>
        <v>1.0</v>
      </c>
      <c r="AE210">
        <f>IF(AD210=1,IF(COUNTIFS($A$6:A210,A210,$AD$6:AD210,1)=1,1,0),0)</f>
        <v>0.0</v>
      </c>
      <c r="AF210" t="str">
        <f>IF(AE210=1,COUNTIFS(sj_first,1,sj_date,"&lt;"&amp;A210)+1,"")</f>
        <v/>
      </c>
      <c r="AG210" t="str">
        <f>IF(AND(AD210=1,N(W210)&lt;p_alert),ROUND(W210,4),"")</f>
        <v/>
      </c>
      <c r="AH210" t="str">
        <f>IF(AG210="","",COUNTIF(sj_akey,"&lt;"&amp;AG210)+COUNTIF($AG$6:AG210,AG210))</f>
        <v/>
      </c>
    </row>
    <row r="211">
      <c r="A211" s="51" t="n">
        <v>46314</v>
      </c>
      <c r="B211" s="52" t="inlineStr">
        <is>
          <t>Après-midi</t>
        </is>
      </c>
      <c r="C211" s="52" t="inlineStr">
        <is>
          <t>USIN</t>
        </is>
      </c>
      <c r="D211" s="53" t="inlineStr">
        <is>
          <t>OF-2610-139</t>
        </is>
      </c>
      <c r="E211" s="53" t="inlineStr">
        <is>
          <t>FLA-PL-150</t>
        </is>
      </c>
      <c r="F211" s="54" t="n"/>
      <c r="G211" s="54" t="n">
        <v>65</v>
      </c>
      <c r="H211" s="54" t="n">
        <v>0</v>
      </c>
      <c r="I211" s="54" t="n">
        <v>0</v>
      </c>
      <c r="J211" s="53" t="n"/>
      <c r="K211" s="55">
        <f>IF(COUNTA(A211:I211)=0,"",IF(F211="",IFERROR(INDEX(eq_dur,MATCH(B211,eq_code,0)),""),F211))</f>
        <v>480.0</v>
      </c>
      <c r="L211" s="55">
        <f>IF(ISNUMBER(K211),N(IFERROR(INDEX(eq_pause,MATCH(B211,eq_code,0)),0))+SUMIFS(st_min,st_date,A211,st_eq,B211,st_po,C211,st_type,"Planifié"),"")</f>
        <v>30.0</v>
      </c>
      <c r="M211" s="55">
        <f>IF(ISNUMBER(K211),K211-L211,"")</f>
        <v>450.0</v>
      </c>
      <c r="N211" s="55">
        <f>IF(ISNUMBER(K211),SUMIFS(st_min,st_date,A211,st_eq,B211,st_po,C211,st_type,"Non planifié"),"")</f>
        <v>43.0</v>
      </c>
      <c r="O211" s="55">
        <f>IF(ISNUMBER(K211),M211-N211,"")</f>
        <v>407.0</v>
      </c>
      <c r="P211" s="55">
        <f>IF(COUNTA(A211:I211)=0,"",N(G211)+N(H211)+N(I211))</f>
        <v>65.0</v>
      </c>
      <c r="Q211" s="56">
        <f>IF(COUNTA(A211:I211)=0,"",IF(N(IFERROR(INDEX(art_rate,MATCH(E211,art_ref,0)),0))&gt;0,N(IFERROR(INDEX(art_rate,MATCH(E211,art_ref,0)),0)),N(IFERROR(INDEX(po_rate,MATCH(C211,po_code,0)),0))))</f>
        <v>12.0</v>
      </c>
      <c r="R211" s="55">
        <f>IF(AC211=1,P211*60/Q211,"")</f>
        <v>325.0</v>
      </c>
      <c r="S211" s="55">
        <f>IF(AC211=1,N(G211)*60/Q211,"")</f>
        <v>325.0</v>
      </c>
      <c r="T211" s="57">
        <f>IF(AC211=1,O211/M211,"")</f>
        <v>0.904444444444445</v>
      </c>
      <c r="U211" s="57">
        <f>IF(AC211=1,IF(O211&gt;0,R211/O211,""),"")</f>
        <v>0.798525798525799</v>
      </c>
      <c r="V211" s="57">
        <f>IF(AC211=1,IF(P211&gt;0,N(G211)/P211,""),"")</f>
        <v>1.0</v>
      </c>
      <c r="W211" s="57">
        <f>IF(AC211=1,S211/M211,"")</f>
        <v>0.722222222222222</v>
      </c>
      <c r="X211" s="57">
        <f>IF(AC211=1,S211/K211,"")</f>
        <v>0.677083333333333</v>
      </c>
      <c r="Y211" s="58" t="str">
        <f>IF(W211="","",IF(W211&gt;=p_target,"Bon",IF(W211&gt;=p_alert,"À surveiller","Faible")))</f>
        <v>À surveiller</v>
      </c>
      <c r="Z211" s="58" t="str">
        <f>IF(W211="","",IF(MIN(IF(T211="",1,T211),IF(U211="",1,U211),IF(V211="",1,V211))&gt;=1,"Aucune",IF(IF(T211="",1,T211)&lt;=MIN(IF(U211="",1,U211),IF(V211="",1,V211)),"Disponibilité",IF(IF(U211="",1,U211)&lt;=IF(V211="",1,V211),"Performance","Qualité"))))</f>
        <v>Performance</v>
      </c>
      <c r="AA211" s="59">
        <f>IF(AC211=1,N(H211)*N(IFERROR(INDEX(art_cost,MATCH(E211,art_ref,0)),0)),"")</f>
        <v>0.0</v>
      </c>
      <c r="AB211" s="58" t="str">
        <f>IF(COUNTA(A211:I211)=0,"",IF(N(A211)&lt;=0,"Date manquante ou invalide",IF(B211="","Équipe manquante",IF(ISNA(MATCH(B211,eq_code,0)),"Équipe inconnue",IF(INDEX(eq_check,MATCH(B211,eq_code,0))&lt;&gt;"OK","Équipe à corriger dans Paramètres",IF(C211="","Poste manquant",IF(ISNA(MATCH(C211,po_code,0)),"Poste inconnu",IF(AND(E211&lt;&gt;"",ISNA(MATCH(E211,art_ref,0))),"Article inconnu",IF(IF(E211="",FALSE,INDEX(art_check,MATCH(E211,art_ref,0))&lt;&gt;"OK"),"Article à corriger (feuille Articles)",IF(COUNTIFS(sj_date,A211,sj_eq,B211,sj_po,C211)&gt;1,"Ligne en double (même jour, équipe et poste)",IF(OR(NOT(ISNUMBER(K211)),N(K211)&lt;=0,N(K211)&gt;1440),"Temps d'ouverture invalide",IF(OR(AND(G211&lt;&gt;"",NOT(ISNUMBER(G211))),N(G211)&lt;0,N(G211)&lt;&gt;INT(N(G211)),AND(H211&lt;&gt;"",NOT(ISNUMBER(H211))),N(H211)&lt;0,N(H211)&lt;&gt;INT(N(H211)),AND(I211&lt;&gt;"",NOT(ISNUMBER(I211))),N(I211)&lt;0,N(I211)&lt;&gt;INT(N(I211))),"Quantité invalide",IF(Q211&lt;=0,"Cadence manquante (poste ou article)",IF(M211&lt;=0,"Arrêts planifiés supérieurs au temps d'ouverture",IF(O211&lt;0,"Arrêts supérieurs au temps requis",IF(AND(P211&gt;0,O211=0),"Pièces déclarées sans temps de marche",IF(AND(P211=0,O211&gt;0),"Aucune pièce déclarée",IF(P211*60/Q211&gt;O211+0.001,"Cadence dépassée : vérifiez la cadence","OK"))))))))))))))))))</f>
        <v>OK</v>
      </c>
      <c r="AC211">
        <f>IF(OR(AB211="OK",AB211="Aucune pièce déclarée",AB211="Cadence dépassée : vérifiez la cadence"),1,0)</f>
        <v>1.0</v>
      </c>
      <c r="AD211">
        <f>IF(AND(AC211=1,A211&gt;=p_from,A211&lt;=p_to),1,0)</f>
        <v>1.0</v>
      </c>
      <c r="AE211">
        <f>IF(AD211=1,IF(COUNTIFS($A$6:A211,A211,$AD$6:AD211,1)=1,1,0),0)</f>
        <v>0.0</v>
      </c>
      <c r="AF211" t="str">
        <f>IF(AE211=1,COUNTIFS(sj_first,1,sj_date,"&lt;"&amp;A211)+1,"")</f>
        <v/>
      </c>
      <c r="AG211" t="str">
        <f>IF(AND(AD211=1,N(W211)&lt;p_alert),ROUND(W211,4),"")</f>
        <v/>
      </c>
      <c r="AH211" t="str">
        <f>IF(AG211="","",COUNTIF(sj_akey,"&lt;"&amp;AG211)+COUNTIF($AG$6:AG211,AG211))</f>
        <v/>
      </c>
    </row>
    <row r="212">
      <c r="A212" s="51" t="n">
        <v>46314</v>
      </c>
      <c r="B212" s="52" t="inlineStr">
        <is>
          <t>Matin</t>
        </is>
      </c>
      <c r="C212" s="52" t="inlineStr">
        <is>
          <t>PRESSE</t>
        </is>
      </c>
      <c r="D212" s="53" t="inlineStr">
        <is>
          <t>OF-2610-172</t>
        </is>
      </c>
      <c r="E212" s="53" t="inlineStr">
        <is>
          <t>RON-M10</t>
        </is>
      </c>
      <c r="F212" s="54" t="n"/>
      <c r="G212" s="54" t="n">
        <v>2823</v>
      </c>
      <c r="H212" s="54" t="n">
        <v>42</v>
      </c>
      <c r="I212" s="54" t="n">
        <v>19</v>
      </c>
      <c r="J212" s="53" t="n"/>
      <c r="K212" s="55">
        <f>IF(COUNTA(A212:I212)=0,"",IF(F212="",IFERROR(INDEX(eq_dur,MATCH(B212,eq_code,0)),""),F212))</f>
        <v>480.0</v>
      </c>
      <c r="L212" s="55">
        <f>IF(ISNUMBER(K212),N(IFERROR(INDEX(eq_pause,MATCH(B212,eq_code,0)),0))+SUMIFS(st_min,st_date,A212,st_eq,B212,st_po,C212,st_type,"Planifié"),"")</f>
        <v>90.0</v>
      </c>
      <c r="M212" s="55">
        <f>IF(ISNUMBER(K212),K212-L212,"")</f>
        <v>390.0</v>
      </c>
      <c r="N212" s="55">
        <f>IF(ISNUMBER(K212),SUMIFS(st_min,st_date,A212,st_eq,B212,st_po,C212,st_type,"Non planifié"),"")</f>
        <v>70.0</v>
      </c>
      <c r="O212" s="55">
        <f>IF(ISNUMBER(K212),M212-N212,"")</f>
        <v>320.0</v>
      </c>
      <c r="P212" s="55">
        <f>IF(COUNTA(A212:I212)=0,"",N(G212)+N(H212)+N(I212))</f>
        <v>2884.0</v>
      </c>
      <c r="Q212" s="56">
        <f>IF(COUNTA(A212:I212)=0,"",IF(N(IFERROR(INDEX(art_rate,MATCH(E212,art_ref,0)),0))&gt;0,N(IFERROR(INDEX(art_rate,MATCH(E212,art_ref,0)),0)),N(IFERROR(INDEX(po_rate,MATCH(C212,po_code,0)),0))))</f>
        <v>600.0</v>
      </c>
      <c r="R212" s="55">
        <f>IF(AC212=1,P212*60/Q212,"")</f>
        <v>288.4</v>
      </c>
      <c r="S212" s="55">
        <f>IF(AC212=1,N(G212)*60/Q212,"")</f>
        <v>282.3</v>
      </c>
      <c r="T212" s="57">
        <f>IF(AC212=1,O212/M212,"")</f>
        <v>0.820512820512821</v>
      </c>
      <c r="U212" s="57">
        <f>IF(AC212=1,IF(O212&gt;0,R212/O212,""),"")</f>
        <v>0.90125</v>
      </c>
      <c r="V212" s="57">
        <f>IF(AC212=1,IF(P212&gt;0,N(G212)/P212,""),"")</f>
        <v>0.978848821081831</v>
      </c>
      <c r="W212" s="57">
        <f>IF(AC212=1,S212/M212,"")</f>
        <v>0.723846153846154</v>
      </c>
      <c r="X212" s="57">
        <f>IF(AC212=1,S212/K212,"")</f>
        <v>0.588125</v>
      </c>
      <c r="Y212" s="58" t="str">
        <f>IF(W212="","",IF(W212&gt;=p_target,"Bon",IF(W212&gt;=p_alert,"À surveiller","Faible")))</f>
        <v>À surveiller</v>
      </c>
      <c r="Z212" s="58" t="str">
        <f>IF(W212="","",IF(MIN(IF(T212="",1,T212),IF(U212="",1,U212),IF(V212="",1,V212))&gt;=1,"Aucune",IF(IF(T212="",1,T212)&lt;=MIN(IF(U212="",1,U212),IF(V212="",1,V212)),"Disponibilité",IF(IF(U212="",1,U212)&lt;=IF(V212="",1,V212),"Performance","Qualité"))))</f>
        <v>Disponibilité</v>
      </c>
      <c r="AA212" s="59">
        <f>IF(AC212=1,N(H212)*N(IFERROR(INDEX(art_cost,MATCH(E212,art_ref,0)),0)),"")</f>
        <v>37.8</v>
      </c>
      <c r="AB212" s="58" t="str">
        <f>IF(COUNTA(A212:I212)=0,"",IF(N(A212)&lt;=0,"Date manquante ou invalide",IF(B212="","Équipe manquante",IF(ISNA(MATCH(B212,eq_code,0)),"Équipe inconnue",IF(INDEX(eq_check,MATCH(B212,eq_code,0))&lt;&gt;"OK","Équipe à corriger dans Paramètres",IF(C212="","Poste manquant",IF(ISNA(MATCH(C212,po_code,0)),"Poste inconnu",IF(AND(E212&lt;&gt;"",ISNA(MATCH(E212,art_ref,0))),"Article inconnu",IF(IF(E212="",FALSE,INDEX(art_check,MATCH(E212,art_ref,0))&lt;&gt;"OK"),"Article à corriger (feuille Articles)",IF(COUNTIFS(sj_date,A212,sj_eq,B212,sj_po,C212)&gt;1,"Ligne en double (même jour, équipe et poste)",IF(OR(NOT(ISNUMBER(K212)),N(K212)&lt;=0,N(K212)&gt;1440),"Temps d'ouverture invalide",IF(OR(AND(G212&lt;&gt;"",NOT(ISNUMBER(G212))),N(G212)&lt;0,N(G212)&lt;&gt;INT(N(G212)),AND(H212&lt;&gt;"",NOT(ISNUMBER(H212))),N(H212)&lt;0,N(H212)&lt;&gt;INT(N(H212)),AND(I212&lt;&gt;"",NOT(ISNUMBER(I212))),N(I212)&lt;0,N(I212)&lt;&gt;INT(N(I212))),"Quantité invalide",IF(Q212&lt;=0,"Cadence manquante (poste ou article)",IF(M212&lt;=0,"Arrêts planifiés supérieurs au temps d'ouverture",IF(O212&lt;0,"Arrêts supérieurs au temps requis",IF(AND(P212&gt;0,O212=0),"Pièces déclarées sans temps de marche",IF(AND(P212=0,O212&gt;0),"Aucune pièce déclarée",IF(P212*60/Q212&gt;O212+0.001,"Cadence dépassée : vérifiez la cadence","OK"))))))))))))))))))</f>
        <v>OK</v>
      </c>
      <c r="AC212">
        <f>IF(OR(AB212="OK",AB212="Aucune pièce déclarée",AB212="Cadence dépassée : vérifiez la cadence"),1,0)</f>
        <v>1.0</v>
      </c>
      <c r="AD212">
        <f>IF(AND(AC212=1,A212&gt;=p_from,A212&lt;=p_to),1,0)</f>
        <v>1.0</v>
      </c>
      <c r="AE212">
        <f>IF(AD212=1,IF(COUNTIFS($A$6:A212,A212,$AD$6:AD212,1)=1,1,0),0)</f>
        <v>0.0</v>
      </c>
      <c r="AF212" t="str">
        <f>IF(AE212=1,COUNTIFS(sj_first,1,sj_date,"&lt;"&amp;A212)+1,"")</f>
        <v/>
      </c>
      <c r="AG212" t="str">
        <f>IF(AND(AD212=1,N(W212)&lt;p_alert),ROUND(W212,4),"")</f>
        <v/>
      </c>
      <c r="AH212" t="str">
        <f>IF(AG212="","",COUNTIF(sj_akey,"&lt;"&amp;AG212)+COUNTIF($AG$6:AG212,AG212))</f>
        <v/>
      </c>
    </row>
    <row r="213">
      <c r="A213" s="51" t="n">
        <v>46314</v>
      </c>
      <c r="B213" s="52" t="inlineStr">
        <is>
          <t>Journée</t>
        </is>
      </c>
      <c r="C213" s="52" t="inlineStr">
        <is>
          <t>PLIE</t>
        </is>
      </c>
      <c r="D213" s="53" t="inlineStr">
        <is>
          <t>OF-2610-173</t>
        </is>
      </c>
      <c r="E213" s="53" t="inlineStr">
        <is>
          <t>SUP-MOT-01</t>
        </is>
      </c>
      <c r="F213" s="54" t="n"/>
      <c r="G213" s="54" t="n">
        <v>439</v>
      </c>
      <c r="H213" s="54" t="n">
        <v>2</v>
      </c>
      <c r="I213" s="54" t="n">
        <v>6</v>
      </c>
      <c r="J213" s="53" t="n"/>
      <c r="K213" s="55">
        <f>IF(COUNTA(A213:I213)=0,"",IF(F213="",IFERROR(INDEX(eq_dur,MATCH(B213,eq_code,0)),""),F213))</f>
        <v>540.0</v>
      </c>
      <c r="L213" s="55">
        <f>IF(ISNUMBER(K213),N(IFERROR(INDEX(eq_pause,MATCH(B213,eq_code,0)),0))+SUMIFS(st_min,st_date,A213,st_eq,B213,st_po,C213,st_type,"Planifié"),"")</f>
        <v>60.0</v>
      </c>
      <c r="M213" s="55">
        <f>IF(ISNUMBER(K213),K213-L213,"")</f>
        <v>480.0</v>
      </c>
      <c r="N213" s="55">
        <f>IF(ISNUMBER(K213),SUMIFS(st_min,st_date,A213,st_eq,B213,st_po,C213,st_type,"Non planifié"),"")</f>
        <v>116.0</v>
      </c>
      <c r="O213" s="55">
        <f>IF(ISNUMBER(K213),M213-N213,"")</f>
        <v>364.0</v>
      </c>
      <c r="P213" s="55">
        <f>IF(COUNTA(A213:I213)=0,"",N(G213)+N(H213)+N(I213))</f>
        <v>447.0</v>
      </c>
      <c r="Q213" s="56">
        <f>IF(COUNTA(A213:I213)=0,"",IF(N(IFERROR(INDEX(art_rate,MATCH(E213,art_ref,0)),0))&gt;0,N(IFERROR(INDEX(art_rate,MATCH(E213,art_ref,0)),0)),N(IFERROR(INDEX(po_rate,MATCH(C213,po_code,0)),0))))</f>
        <v>90.0</v>
      </c>
      <c r="R213" s="55">
        <f>IF(AC213=1,P213*60/Q213,"")</f>
        <v>298.0</v>
      </c>
      <c r="S213" s="55">
        <f>IF(AC213=1,N(G213)*60/Q213,"")</f>
        <v>292.666666666667</v>
      </c>
      <c r="T213" s="57">
        <f>IF(AC213=1,O213/M213,"")</f>
        <v>0.758333333333333</v>
      </c>
      <c r="U213" s="57">
        <f>IF(AC213=1,IF(O213&gt;0,R213/O213,""),"")</f>
        <v>0.818681318681319</v>
      </c>
      <c r="V213" s="57">
        <f>IF(AC213=1,IF(P213&gt;0,N(G213)/P213,""),"")</f>
        <v>0.982102908277405</v>
      </c>
      <c r="W213" s="57">
        <f>IF(AC213=1,S213/M213,"")</f>
        <v>0.609722222222222</v>
      </c>
      <c r="X213" s="57">
        <f>IF(AC213=1,S213/K213,"")</f>
        <v>0.541975308641975</v>
      </c>
      <c r="Y213" s="58" t="str">
        <f>IF(W213="","",IF(W213&gt;=p_target,"Bon",IF(W213&gt;=p_alert,"À surveiller","Faible")))</f>
        <v>À surveiller</v>
      </c>
      <c r="Z213" s="58" t="str">
        <f>IF(W213="","",IF(MIN(IF(T213="",1,T213),IF(U213="",1,U213),IF(V213="",1,V213))&gt;=1,"Aucune",IF(IF(T213="",1,T213)&lt;=MIN(IF(U213="",1,U213),IF(V213="",1,V213)),"Disponibilité",IF(IF(U213="",1,U213)&lt;=IF(V213="",1,V213),"Performance","Qualité"))))</f>
        <v>Disponibilité</v>
      </c>
      <c r="AA213" s="59">
        <f>IF(AC213=1,N(H213)*N(IFERROR(INDEX(art_cost,MATCH(E213,art_ref,0)),0)),"")</f>
        <v>128.0</v>
      </c>
      <c r="AB213" s="58" t="str">
        <f>IF(COUNTA(A213:I213)=0,"",IF(N(A213)&lt;=0,"Date manquante ou invalide",IF(B213="","Équipe manquante",IF(ISNA(MATCH(B213,eq_code,0)),"Équipe inconnue",IF(INDEX(eq_check,MATCH(B213,eq_code,0))&lt;&gt;"OK","Équipe à corriger dans Paramètres",IF(C213="","Poste manquant",IF(ISNA(MATCH(C213,po_code,0)),"Poste inconnu",IF(AND(E213&lt;&gt;"",ISNA(MATCH(E213,art_ref,0))),"Article inconnu",IF(IF(E213="",FALSE,INDEX(art_check,MATCH(E213,art_ref,0))&lt;&gt;"OK"),"Article à corriger (feuille Articles)",IF(COUNTIFS(sj_date,A213,sj_eq,B213,sj_po,C213)&gt;1,"Ligne en double (même jour, équipe et poste)",IF(OR(NOT(ISNUMBER(K213)),N(K213)&lt;=0,N(K213)&gt;1440),"Temps d'ouverture invalide",IF(OR(AND(G213&lt;&gt;"",NOT(ISNUMBER(G213))),N(G213)&lt;0,N(G213)&lt;&gt;INT(N(G213)),AND(H213&lt;&gt;"",NOT(ISNUMBER(H213))),N(H213)&lt;0,N(H213)&lt;&gt;INT(N(H213)),AND(I213&lt;&gt;"",NOT(ISNUMBER(I213))),N(I213)&lt;0,N(I213)&lt;&gt;INT(N(I213))),"Quantité invalide",IF(Q213&lt;=0,"Cadence manquante (poste ou article)",IF(M213&lt;=0,"Arrêts planifiés supérieurs au temps d'ouverture",IF(O213&lt;0,"Arrêts supérieurs au temps requis",IF(AND(P213&gt;0,O213=0),"Pièces déclarées sans temps de marche",IF(AND(P213=0,O213&gt;0),"Aucune pièce déclarée",IF(P213*60/Q213&gt;O213+0.001,"Cadence dépassée : vérifiez la cadence","OK"))))))))))))))))))</f>
        <v>OK</v>
      </c>
      <c r="AC213">
        <f>IF(OR(AB213="OK",AB213="Aucune pièce déclarée",AB213="Cadence dépassée : vérifiez la cadence"),1,0)</f>
        <v>1.0</v>
      </c>
      <c r="AD213">
        <f>IF(AND(AC213=1,A213&gt;=p_from,A213&lt;=p_to),1,0)</f>
        <v>1.0</v>
      </c>
      <c r="AE213">
        <f>IF(AD213=1,IF(COUNTIFS($A$6:A213,A213,$AD$6:AD213,1)=1,1,0),0)</f>
        <v>0.0</v>
      </c>
      <c r="AF213" t="str">
        <f>IF(AE213=1,COUNTIFS(sj_first,1,sj_date,"&lt;"&amp;A213)+1,"")</f>
        <v/>
      </c>
      <c r="AG213" t="str">
        <f>IF(AND(AD213=1,N(W213)&lt;p_alert),ROUND(W213,4),"")</f>
        <v/>
      </c>
      <c r="AH213" t="str">
        <f>IF(AG213="","",COUNTIF(sj_akey,"&lt;"&amp;AG213)+COUNTIF($AG$6:AG213,AG213))</f>
        <v/>
      </c>
    </row>
    <row r="214">
      <c r="A214" s="51" t="n">
        <v>46314</v>
      </c>
      <c r="B214" s="52" t="inlineStr">
        <is>
          <t>Matin</t>
        </is>
      </c>
      <c r="C214" s="52" t="inlineStr">
        <is>
          <t>SOUD</t>
        </is>
      </c>
      <c r="D214" s="53" t="inlineStr">
        <is>
          <t>OF-2610-153</t>
        </is>
      </c>
      <c r="E214" s="53" t="inlineStr">
        <is>
          <t>BRA-SUS-02</t>
        </is>
      </c>
      <c r="F214" s="54" t="n"/>
      <c r="G214" s="54" t="n">
        <v>99</v>
      </c>
      <c r="H214" s="54" t="n">
        <v>2</v>
      </c>
      <c r="I214" s="54" t="n">
        <v>1</v>
      </c>
      <c r="J214" s="53" t="n"/>
      <c r="K214" s="55">
        <f>IF(COUNTA(A214:I214)=0,"",IF(F214="",IFERROR(INDEX(eq_dur,MATCH(B214,eq_code,0)),""),F214))</f>
        <v>480.0</v>
      </c>
      <c r="L214" s="55">
        <f>IF(ISNUMBER(K214),N(IFERROR(INDEX(eq_pause,MATCH(B214,eq_code,0)),0))+SUMIFS(st_min,st_date,A214,st_eq,B214,st_po,C214,st_type,"Planifié"),"")</f>
        <v>30.0</v>
      </c>
      <c r="M214" s="55">
        <f>IF(ISNUMBER(K214),K214-L214,"")</f>
        <v>450.0</v>
      </c>
      <c r="N214" s="55">
        <f>IF(ISNUMBER(K214),SUMIFS(st_min,st_date,A214,st_eq,B214,st_po,C214,st_type,"Non planifié"),"")</f>
        <v>30.0</v>
      </c>
      <c r="O214" s="55">
        <f>IF(ISNUMBER(K214),M214-N214,"")</f>
        <v>420.0</v>
      </c>
      <c r="P214" s="55">
        <f>IF(COUNTA(A214:I214)=0,"",N(G214)+N(H214)+N(I214))</f>
        <v>102.0</v>
      </c>
      <c r="Q214" s="56">
        <f>IF(COUNTA(A214:I214)=0,"",IF(N(IFERROR(INDEX(art_rate,MATCH(E214,art_ref,0)),0))&gt;0,N(IFERROR(INDEX(art_rate,MATCH(E214,art_ref,0)),0)),N(IFERROR(INDEX(po_rate,MATCH(C214,po_code,0)),0))))</f>
        <v>20.0</v>
      </c>
      <c r="R214" s="55">
        <f>IF(AC214=1,P214*60/Q214,"")</f>
        <v>306.0</v>
      </c>
      <c r="S214" s="55">
        <f>IF(AC214=1,N(G214)*60/Q214,"")</f>
        <v>297.0</v>
      </c>
      <c r="T214" s="57">
        <f>IF(AC214=1,O214/M214,"")</f>
        <v>0.933333333333333</v>
      </c>
      <c r="U214" s="57">
        <f>IF(AC214=1,IF(O214&gt;0,R214/O214,""),"")</f>
        <v>0.728571428571429</v>
      </c>
      <c r="V214" s="57">
        <f>IF(AC214=1,IF(P214&gt;0,N(G214)/P214,""),"")</f>
        <v>0.970588235294118</v>
      </c>
      <c r="W214" s="57">
        <f>IF(AC214=1,S214/M214,"")</f>
        <v>0.66</v>
      </c>
      <c r="X214" s="57">
        <f>IF(AC214=1,S214/K214,"")</f>
        <v>0.61875</v>
      </c>
      <c r="Y214" s="58" t="str">
        <f>IF(W214="","",IF(W214&gt;=p_target,"Bon",IF(W214&gt;=p_alert,"À surveiller","Faible")))</f>
        <v>À surveiller</v>
      </c>
      <c r="Z214" s="58" t="str">
        <f>IF(W214="","",IF(MIN(IF(T214="",1,T214),IF(U214="",1,U214),IF(V214="",1,V214))&gt;=1,"Aucune",IF(IF(T214="",1,T214)&lt;=MIN(IF(U214="",1,U214),IF(V214="",1,V214)),"Disponibilité",IF(IF(U214="",1,U214)&lt;=IF(V214="",1,V214),"Performance","Qualité"))))</f>
        <v>Performance</v>
      </c>
      <c r="AA214" s="59">
        <f>IF(AC214=1,N(H214)*N(IFERROR(INDEX(art_cost,MATCH(E214,art_ref,0)),0)),"")</f>
        <v>476.0</v>
      </c>
      <c r="AB214" s="58" t="str">
        <f>IF(COUNTA(A214:I214)=0,"",IF(N(A214)&lt;=0,"Date manquante ou invalide",IF(B214="","Équipe manquante",IF(ISNA(MATCH(B214,eq_code,0)),"Équipe inconnue",IF(INDEX(eq_check,MATCH(B214,eq_code,0))&lt;&gt;"OK","Équipe à corriger dans Paramètres",IF(C214="","Poste manquant",IF(ISNA(MATCH(C214,po_code,0)),"Poste inconnu",IF(AND(E214&lt;&gt;"",ISNA(MATCH(E214,art_ref,0))),"Article inconnu",IF(IF(E214="",FALSE,INDEX(art_check,MATCH(E214,art_ref,0))&lt;&gt;"OK"),"Article à corriger (feuille Articles)",IF(COUNTIFS(sj_date,A214,sj_eq,B214,sj_po,C214)&gt;1,"Ligne en double (même jour, équipe et poste)",IF(OR(NOT(ISNUMBER(K214)),N(K214)&lt;=0,N(K214)&gt;1440),"Temps d'ouverture invalide",IF(OR(AND(G214&lt;&gt;"",NOT(ISNUMBER(G214))),N(G214)&lt;0,N(G214)&lt;&gt;INT(N(G214)),AND(H214&lt;&gt;"",NOT(ISNUMBER(H214))),N(H214)&lt;0,N(H214)&lt;&gt;INT(N(H214)),AND(I214&lt;&gt;"",NOT(ISNUMBER(I214))),N(I214)&lt;0,N(I214)&lt;&gt;INT(N(I214))),"Quantité invalide",IF(Q214&lt;=0,"Cadence manquante (poste ou article)",IF(M214&lt;=0,"Arrêts planifiés supérieurs au temps d'ouverture",IF(O214&lt;0,"Arrêts supérieurs au temps requis",IF(AND(P214&gt;0,O214=0),"Pièces déclarées sans temps de marche",IF(AND(P214=0,O214&gt;0),"Aucune pièce déclarée",IF(P214*60/Q214&gt;O214+0.001,"Cadence dépassée : vérifiez la cadence","OK"))))))))))))))))))</f>
        <v>OK</v>
      </c>
      <c r="AC214">
        <f>IF(OR(AB214="OK",AB214="Aucune pièce déclarée",AB214="Cadence dépassée : vérifiez la cadence"),1,0)</f>
        <v>1.0</v>
      </c>
      <c r="AD214">
        <f>IF(AND(AC214=1,A214&gt;=p_from,A214&lt;=p_to),1,0)</f>
        <v>1.0</v>
      </c>
      <c r="AE214">
        <f>IF(AD214=1,IF(COUNTIFS($A$6:A214,A214,$AD$6:AD214,1)=1,1,0),0)</f>
        <v>0.0</v>
      </c>
      <c r="AF214" t="str">
        <f>IF(AE214=1,COUNTIFS(sj_first,1,sj_date,"&lt;"&amp;A214)+1,"")</f>
        <v/>
      </c>
      <c r="AG214" t="str">
        <f>IF(AND(AD214=1,N(W214)&lt;p_alert),ROUND(W214,4),"")</f>
        <v/>
      </c>
      <c r="AH214" t="str">
        <f>IF(AG214="","",COUNTIF(sj_akey,"&lt;"&amp;AG214)+COUNTIF($AG$6:AG214,AG214))</f>
        <v/>
      </c>
    </row>
    <row r="215">
      <c r="A215" s="51" t="n">
        <v>46314</v>
      </c>
      <c r="B215" s="52" t="inlineStr">
        <is>
          <t>Après-midi</t>
        </is>
      </c>
      <c r="C215" s="52" t="inlineStr">
        <is>
          <t>SOUD</t>
        </is>
      </c>
      <c r="D215" s="53" t="inlineStr">
        <is>
          <t>OF-2610-169</t>
        </is>
      </c>
      <c r="E215" s="53" t="inlineStr">
        <is>
          <t>CHA-REM-01</t>
        </is>
      </c>
      <c r="F215" s="54" t="n"/>
      <c r="G215" s="54" t="n">
        <v>18</v>
      </c>
      <c r="H215" s="54" t="n">
        <v>0</v>
      </c>
      <c r="I215" s="54" t="n">
        <v>0</v>
      </c>
      <c r="J215" s="53" t="n"/>
      <c r="K215" s="55">
        <f>IF(COUNTA(A215:I215)=0,"",IF(F215="",IFERROR(INDEX(eq_dur,MATCH(B215,eq_code,0)),""),F215))</f>
        <v>480.0</v>
      </c>
      <c r="L215" s="55">
        <f>IF(ISNUMBER(K215),N(IFERROR(INDEX(eq_pause,MATCH(B215,eq_code,0)),0))+SUMIFS(st_min,st_date,A215,st_eq,B215,st_po,C215,st_type,"Planifié"),"")</f>
        <v>30.0</v>
      </c>
      <c r="M215" s="55">
        <f>IF(ISNUMBER(K215),K215-L215,"")</f>
        <v>450.0</v>
      </c>
      <c r="N215" s="55">
        <f>IF(ISNUMBER(K215),SUMIFS(st_min,st_date,A215,st_eq,B215,st_po,C215,st_type,"Non planifié"),"")</f>
        <v>88.0</v>
      </c>
      <c r="O215" s="55">
        <f>IF(ISNUMBER(K215),M215-N215,"")</f>
        <v>362.0</v>
      </c>
      <c r="P215" s="55">
        <f>IF(COUNTA(A215:I215)=0,"",N(G215)+N(H215)+N(I215))</f>
        <v>18.0</v>
      </c>
      <c r="Q215" s="56">
        <f>IF(COUNTA(A215:I215)=0,"",IF(N(IFERROR(INDEX(art_rate,MATCH(E215,art_ref,0)),0))&gt;0,N(IFERROR(INDEX(art_rate,MATCH(E215,art_ref,0)),0)),N(IFERROR(INDEX(po_rate,MATCH(C215,po_code,0)),0))))</f>
        <v>4.0</v>
      </c>
      <c r="R215" s="55">
        <f>IF(AC215=1,P215*60/Q215,"")</f>
        <v>270.0</v>
      </c>
      <c r="S215" s="55">
        <f>IF(AC215=1,N(G215)*60/Q215,"")</f>
        <v>270.0</v>
      </c>
      <c r="T215" s="57">
        <f>IF(AC215=1,O215/M215,"")</f>
        <v>0.804444444444444</v>
      </c>
      <c r="U215" s="57">
        <f>IF(AC215=1,IF(O215&gt;0,R215/O215,""),"")</f>
        <v>0.74585635359116</v>
      </c>
      <c r="V215" s="57">
        <f>IF(AC215=1,IF(P215&gt;0,N(G215)/P215,""),"")</f>
        <v>1.0</v>
      </c>
      <c r="W215" s="57">
        <f>IF(AC215=1,S215/M215,"")</f>
        <v>0.6</v>
      </c>
      <c r="X215" s="57">
        <f>IF(AC215=1,S215/K215,"")</f>
        <v>0.5625</v>
      </c>
      <c r="Y215" s="58" t="str">
        <f>IF(W215="","",IF(W215&gt;=p_target,"Bon",IF(W215&gt;=p_alert,"À surveiller","Faible")))</f>
        <v>À surveiller</v>
      </c>
      <c r="Z215" s="58" t="str">
        <f>IF(W215="","",IF(MIN(IF(T215="",1,T215),IF(U215="",1,U215),IF(V215="",1,V215))&gt;=1,"Aucune",IF(IF(T215="",1,T215)&lt;=MIN(IF(U215="",1,U215),IF(V215="",1,V215)),"Disponibilité",IF(IF(U215="",1,U215)&lt;=IF(V215="",1,V215),"Performance","Qualité"))))</f>
        <v>Performance</v>
      </c>
      <c r="AA215" s="59">
        <f>IF(AC215=1,N(H215)*N(IFERROR(INDEX(art_cost,MATCH(E215,art_ref,0)),0)),"")</f>
        <v>0.0</v>
      </c>
      <c r="AB215" s="58" t="str">
        <f>IF(COUNTA(A215:I215)=0,"",IF(N(A215)&lt;=0,"Date manquante ou invalide",IF(B215="","Équipe manquante",IF(ISNA(MATCH(B215,eq_code,0)),"Équipe inconnue",IF(INDEX(eq_check,MATCH(B215,eq_code,0))&lt;&gt;"OK","Équipe à corriger dans Paramètres",IF(C215="","Poste manquant",IF(ISNA(MATCH(C215,po_code,0)),"Poste inconnu",IF(AND(E215&lt;&gt;"",ISNA(MATCH(E215,art_ref,0))),"Article inconnu",IF(IF(E215="",FALSE,INDEX(art_check,MATCH(E215,art_ref,0))&lt;&gt;"OK"),"Article à corriger (feuille Articles)",IF(COUNTIFS(sj_date,A215,sj_eq,B215,sj_po,C215)&gt;1,"Ligne en double (même jour, équipe et poste)",IF(OR(NOT(ISNUMBER(K215)),N(K215)&lt;=0,N(K215)&gt;1440),"Temps d'ouverture invalide",IF(OR(AND(G215&lt;&gt;"",NOT(ISNUMBER(G215))),N(G215)&lt;0,N(G215)&lt;&gt;INT(N(G215)),AND(H215&lt;&gt;"",NOT(ISNUMBER(H215))),N(H215)&lt;0,N(H215)&lt;&gt;INT(N(H215)),AND(I215&lt;&gt;"",NOT(ISNUMBER(I215))),N(I215)&lt;0,N(I215)&lt;&gt;INT(N(I215))),"Quantité invalide",IF(Q215&lt;=0,"Cadence manquante (poste ou article)",IF(M215&lt;=0,"Arrêts planifiés supérieurs au temps d'ouverture",IF(O215&lt;0,"Arrêts supérieurs au temps requis",IF(AND(P215&gt;0,O215=0),"Pièces déclarées sans temps de marche",IF(AND(P215=0,O215&gt;0),"Aucune pièce déclarée",IF(P215*60/Q215&gt;O215+0.001,"Cadence dépassée : vérifiez la cadence","OK"))))))))))))))))))</f>
        <v>OK</v>
      </c>
      <c r="AC215">
        <f>IF(OR(AB215="OK",AB215="Aucune pièce déclarée",AB215="Cadence dépassée : vérifiez la cadence"),1,0)</f>
        <v>1.0</v>
      </c>
      <c r="AD215">
        <f>IF(AND(AC215=1,A215&gt;=p_from,A215&lt;=p_to),1,0)</f>
        <v>1.0</v>
      </c>
      <c r="AE215">
        <f>IF(AD215=1,IF(COUNTIFS($A$6:A215,A215,$AD$6:AD215,1)=1,1,0),0)</f>
        <v>0.0</v>
      </c>
      <c r="AF215" t="str">
        <f>IF(AE215=1,COUNTIFS(sj_first,1,sj_date,"&lt;"&amp;A215)+1,"")</f>
        <v/>
      </c>
      <c r="AG215" t="str">
        <f>IF(AND(AD215=1,N(W215)&lt;p_alert),ROUND(W215,4),"")</f>
        <v/>
      </c>
      <c r="AH215" t="str">
        <f>IF(AG215="","",COUNTIF(sj_akey,"&lt;"&amp;AG215)+COUNTIF($AG$6:AG215,AG215))</f>
        <v/>
      </c>
    </row>
    <row r="216">
      <c r="A216" s="51" t="n">
        <v>46315</v>
      </c>
      <c r="B216" s="52" t="inlineStr">
        <is>
          <t>Matin</t>
        </is>
      </c>
      <c r="C216" s="52" t="inlineStr">
        <is>
          <t>TOUR1</t>
        </is>
      </c>
      <c r="D216" s="53" t="inlineStr">
        <is>
          <t>OF-2610-161</t>
        </is>
      </c>
      <c r="E216" s="53" t="inlineStr">
        <is>
          <t>BAG-BR-32</t>
        </is>
      </c>
      <c r="F216" s="54" t="n"/>
      <c r="G216" s="54" t="n">
        <v>279</v>
      </c>
      <c r="H216" s="54" t="n">
        <v>6</v>
      </c>
      <c r="I216" s="54" t="n">
        <v>3</v>
      </c>
      <c r="J216" s="53" t="n"/>
      <c r="K216" s="55">
        <f>IF(COUNTA(A216:I216)=0,"",IF(F216="",IFERROR(INDEX(eq_dur,MATCH(B216,eq_code,0)),""),F216))</f>
        <v>480.0</v>
      </c>
      <c r="L216" s="55">
        <f>IF(ISNUMBER(K216),N(IFERROR(INDEX(eq_pause,MATCH(B216,eq_code,0)),0))+SUMIFS(st_min,st_date,A216,st_eq,B216,st_po,C216,st_type,"Planifié"),"")</f>
        <v>30.0</v>
      </c>
      <c r="M216" s="55">
        <f>IF(ISNUMBER(K216),K216-L216,"")</f>
        <v>450.0</v>
      </c>
      <c r="N216" s="55">
        <f>IF(ISNUMBER(K216),SUMIFS(st_min,st_date,A216,st_eq,B216,st_po,C216,st_type,"Non planifié"),"")</f>
        <v>0.0</v>
      </c>
      <c r="O216" s="55">
        <f>IF(ISNUMBER(K216),M216-N216,"")</f>
        <v>450.0</v>
      </c>
      <c r="P216" s="55">
        <f>IF(COUNTA(A216:I216)=0,"",N(G216)+N(H216)+N(I216))</f>
        <v>288.0</v>
      </c>
      <c r="Q216" s="56">
        <f>IF(COUNTA(A216:I216)=0,"",IF(N(IFERROR(INDEX(art_rate,MATCH(E216,art_ref,0)),0))&gt;0,N(IFERROR(INDEX(art_rate,MATCH(E216,art_ref,0)),0)),N(IFERROR(INDEX(po_rate,MATCH(C216,po_code,0)),0))))</f>
        <v>40.0</v>
      </c>
      <c r="R216" s="55">
        <f>IF(AC216=1,P216*60/Q216,"")</f>
        <v>432.0</v>
      </c>
      <c r="S216" s="55">
        <f>IF(AC216=1,N(G216)*60/Q216,"")</f>
        <v>418.5</v>
      </c>
      <c r="T216" s="57">
        <f>IF(AC216=1,O216/M216,"")</f>
        <v>1.0</v>
      </c>
      <c r="U216" s="57">
        <f>IF(AC216=1,IF(O216&gt;0,R216/O216,""),"")</f>
        <v>0.96</v>
      </c>
      <c r="V216" s="57">
        <f>IF(AC216=1,IF(P216&gt;0,N(G216)/P216,""),"")</f>
        <v>0.96875</v>
      </c>
      <c r="W216" s="57">
        <f>IF(AC216=1,S216/M216,"")</f>
        <v>0.93</v>
      </c>
      <c r="X216" s="57">
        <f>IF(AC216=1,S216/K216,"")</f>
        <v>0.871875</v>
      </c>
      <c r="Y216" s="58" t="str">
        <f>IF(W216="","",IF(W216&gt;=p_target,"Bon",IF(W216&gt;=p_alert,"À surveiller","Faible")))</f>
        <v>Bon</v>
      </c>
      <c r="Z216" s="58" t="str">
        <f>IF(W216="","",IF(MIN(IF(T216="",1,T216),IF(U216="",1,U216),IF(V216="",1,V216))&gt;=1,"Aucune",IF(IF(T216="",1,T216)&lt;=MIN(IF(U216="",1,U216),IF(V216="",1,V216)),"Disponibilité",IF(IF(U216="",1,U216)&lt;=IF(V216="",1,V216),"Performance","Qualité"))))</f>
        <v>Performance</v>
      </c>
      <c r="AA216" s="59">
        <f>IF(AC216=1,N(H216)*N(IFERROR(INDEX(art_cost,MATCH(E216,art_ref,0)),0)),"")</f>
        <v>312.0</v>
      </c>
      <c r="AB216" s="58" t="str">
        <f>IF(COUNTA(A216:I216)=0,"",IF(N(A216)&lt;=0,"Date manquante ou invalide",IF(B216="","Équipe manquante",IF(ISNA(MATCH(B216,eq_code,0)),"Équipe inconnue",IF(INDEX(eq_check,MATCH(B216,eq_code,0))&lt;&gt;"OK","Équipe à corriger dans Paramètres",IF(C216="","Poste manquant",IF(ISNA(MATCH(C216,po_code,0)),"Poste inconnu",IF(AND(E216&lt;&gt;"",ISNA(MATCH(E216,art_ref,0))),"Article inconnu",IF(IF(E216="",FALSE,INDEX(art_check,MATCH(E216,art_ref,0))&lt;&gt;"OK"),"Article à corriger (feuille Articles)",IF(COUNTIFS(sj_date,A216,sj_eq,B216,sj_po,C216)&gt;1,"Ligne en double (même jour, équipe et poste)",IF(OR(NOT(ISNUMBER(K216)),N(K216)&lt;=0,N(K216)&gt;1440),"Temps d'ouverture invalide",IF(OR(AND(G216&lt;&gt;"",NOT(ISNUMBER(G216))),N(G216)&lt;0,N(G216)&lt;&gt;INT(N(G216)),AND(H216&lt;&gt;"",NOT(ISNUMBER(H216))),N(H216)&lt;0,N(H216)&lt;&gt;INT(N(H216)),AND(I216&lt;&gt;"",NOT(ISNUMBER(I216))),N(I216)&lt;0,N(I216)&lt;&gt;INT(N(I216))),"Quantité invalide",IF(Q216&lt;=0,"Cadence manquante (poste ou article)",IF(M216&lt;=0,"Arrêts planifiés supérieurs au temps d'ouverture",IF(O216&lt;0,"Arrêts supérieurs au temps requis",IF(AND(P216&gt;0,O216=0),"Pièces déclarées sans temps de marche",IF(AND(P216=0,O216&gt;0),"Aucune pièce déclarée",IF(P216*60/Q216&gt;O216+0.001,"Cadence dépassée : vérifiez la cadence","OK"))))))))))))))))))</f>
        <v>OK</v>
      </c>
      <c r="AC216">
        <f>IF(OR(AB216="OK",AB216="Aucune pièce déclarée",AB216="Cadence dépassée : vérifiez la cadence"),1,0)</f>
        <v>1.0</v>
      </c>
      <c r="AD216">
        <f>IF(AND(AC216=1,A216&gt;=p_from,A216&lt;=p_to),1,0)</f>
        <v>1.0</v>
      </c>
      <c r="AE216">
        <f>IF(AD216=1,IF(COUNTIFS($A$6:A216,A216,$AD$6:AD216,1)=1,1,0),0)</f>
        <v>1.0</v>
      </c>
      <c r="AF216">
        <f>IF(AE216=1,COUNTIFS(sj_first,1,sj_date,"&lt;"&amp;A216)+1,"")</f>
        <v>22.0</v>
      </c>
      <c r="AG216" t="str">
        <f>IF(AND(AD216=1,N(W216)&lt;p_alert),ROUND(W216,4),"")</f>
        <v/>
      </c>
      <c r="AH216" t="str">
        <f>IF(AG216="","",COUNTIF(sj_akey,"&lt;"&amp;AG216)+COUNTIF($AG$6:AG216,AG216))</f>
        <v/>
      </c>
    </row>
    <row r="217">
      <c r="A217" s="51" t="n">
        <v>46315</v>
      </c>
      <c r="B217" s="52" t="inlineStr">
        <is>
          <t>Après-midi</t>
        </is>
      </c>
      <c r="C217" s="52" t="inlineStr">
        <is>
          <t>TOUR1</t>
        </is>
      </c>
      <c r="D217" s="53" t="inlineStr">
        <is>
          <t>OF-2610-174</t>
        </is>
      </c>
      <c r="E217" s="53" t="inlineStr">
        <is>
          <t>BAG-BR-32</t>
        </is>
      </c>
      <c r="F217" s="54" t="n"/>
      <c r="G217" s="54" t="n">
        <v>225</v>
      </c>
      <c r="H217" s="54" t="n">
        <v>4</v>
      </c>
      <c r="I217" s="54" t="n">
        <v>0</v>
      </c>
      <c r="J217" s="53" t="n"/>
      <c r="K217" s="55">
        <f>IF(COUNTA(A217:I217)=0,"",IF(F217="",IFERROR(INDEX(eq_dur,MATCH(B217,eq_code,0)),""),F217))</f>
        <v>480.0</v>
      </c>
      <c r="L217" s="55">
        <f>IF(ISNUMBER(K217),N(IFERROR(INDEX(eq_pause,MATCH(B217,eq_code,0)),0))+SUMIFS(st_min,st_date,A217,st_eq,B217,st_po,C217,st_type,"Planifié"),"")</f>
        <v>30.0</v>
      </c>
      <c r="M217" s="55">
        <f>IF(ISNUMBER(K217),K217-L217,"")</f>
        <v>450.0</v>
      </c>
      <c r="N217" s="55">
        <f>IF(ISNUMBER(K217),SUMIFS(st_min,st_date,A217,st_eq,B217,st_po,C217,st_type,"Non planifié"),"")</f>
        <v>54.0</v>
      </c>
      <c r="O217" s="55">
        <f>IF(ISNUMBER(K217),M217-N217,"")</f>
        <v>396.0</v>
      </c>
      <c r="P217" s="55">
        <f>IF(COUNTA(A217:I217)=0,"",N(G217)+N(H217)+N(I217))</f>
        <v>229.0</v>
      </c>
      <c r="Q217" s="56">
        <f>IF(COUNTA(A217:I217)=0,"",IF(N(IFERROR(INDEX(art_rate,MATCH(E217,art_ref,0)),0))&gt;0,N(IFERROR(INDEX(art_rate,MATCH(E217,art_ref,0)),0)),N(IFERROR(INDEX(po_rate,MATCH(C217,po_code,0)),0))))</f>
        <v>40.0</v>
      </c>
      <c r="R217" s="55">
        <f>IF(AC217=1,P217*60/Q217,"")</f>
        <v>343.5</v>
      </c>
      <c r="S217" s="55">
        <f>IF(AC217=1,N(G217)*60/Q217,"")</f>
        <v>337.5</v>
      </c>
      <c r="T217" s="57">
        <f>IF(AC217=1,O217/M217,"")</f>
        <v>0.88</v>
      </c>
      <c r="U217" s="57">
        <f>IF(AC217=1,IF(O217&gt;0,R217/O217,""),"")</f>
        <v>0.867424242424242</v>
      </c>
      <c r="V217" s="57">
        <f>IF(AC217=1,IF(P217&gt;0,N(G217)/P217,""),"")</f>
        <v>0.982532751091703</v>
      </c>
      <c r="W217" s="57">
        <f>IF(AC217=1,S217/M217,"")</f>
        <v>0.75</v>
      </c>
      <c r="X217" s="57">
        <f>IF(AC217=1,S217/K217,"")</f>
        <v>0.703125</v>
      </c>
      <c r="Y217" s="58" t="str">
        <f>IF(W217="","",IF(W217&gt;=p_target,"Bon",IF(W217&gt;=p_alert,"À surveiller","Faible")))</f>
        <v>Bon</v>
      </c>
      <c r="Z217" s="58" t="str">
        <f>IF(W217="","",IF(MIN(IF(T217="",1,T217),IF(U217="",1,U217),IF(V217="",1,V217))&gt;=1,"Aucune",IF(IF(T217="",1,T217)&lt;=MIN(IF(U217="",1,U217),IF(V217="",1,V217)),"Disponibilité",IF(IF(U217="",1,U217)&lt;=IF(V217="",1,V217),"Performance","Qualité"))))</f>
        <v>Performance</v>
      </c>
      <c r="AA217" s="59">
        <f>IF(AC217=1,N(H217)*N(IFERROR(INDEX(art_cost,MATCH(E217,art_ref,0)),0)),"")</f>
        <v>208.0</v>
      </c>
      <c r="AB217" s="58" t="str">
        <f>IF(COUNTA(A217:I217)=0,"",IF(N(A217)&lt;=0,"Date manquante ou invalide",IF(B217="","Équipe manquante",IF(ISNA(MATCH(B217,eq_code,0)),"Équipe inconnue",IF(INDEX(eq_check,MATCH(B217,eq_code,0))&lt;&gt;"OK","Équipe à corriger dans Paramètres",IF(C217="","Poste manquant",IF(ISNA(MATCH(C217,po_code,0)),"Poste inconnu",IF(AND(E217&lt;&gt;"",ISNA(MATCH(E217,art_ref,0))),"Article inconnu",IF(IF(E217="",FALSE,INDEX(art_check,MATCH(E217,art_ref,0))&lt;&gt;"OK"),"Article à corriger (feuille Articles)",IF(COUNTIFS(sj_date,A217,sj_eq,B217,sj_po,C217)&gt;1,"Ligne en double (même jour, équipe et poste)",IF(OR(NOT(ISNUMBER(K217)),N(K217)&lt;=0,N(K217)&gt;1440),"Temps d'ouverture invalide",IF(OR(AND(G217&lt;&gt;"",NOT(ISNUMBER(G217))),N(G217)&lt;0,N(G217)&lt;&gt;INT(N(G217)),AND(H217&lt;&gt;"",NOT(ISNUMBER(H217))),N(H217)&lt;0,N(H217)&lt;&gt;INT(N(H217)),AND(I217&lt;&gt;"",NOT(ISNUMBER(I217))),N(I217)&lt;0,N(I217)&lt;&gt;INT(N(I217))),"Quantité invalide",IF(Q217&lt;=0,"Cadence manquante (poste ou article)",IF(M217&lt;=0,"Arrêts planifiés supérieurs au temps d'ouverture",IF(O217&lt;0,"Arrêts supérieurs au temps requis",IF(AND(P217&gt;0,O217=0),"Pièces déclarées sans temps de marche",IF(AND(P217=0,O217&gt;0),"Aucune pièce déclarée",IF(P217*60/Q217&gt;O217+0.001,"Cadence dépassée : vérifiez la cadence","OK"))))))))))))))))))</f>
        <v>OK</v>
      </c>
      <c r="AC217">
        <f>IF(OR(AB217="OK",AB217="Aucune pièce déclarée",AB217="Cadence dépassée : vérifiez la cadence"),1,0)</f>
        <v>1.0</v>
      </c>
      <c r="AD217">
        <f>IF(AND(AC217=1,A217&gt;=p_from,A217&lt;=p_to),1,0)</f>
        <v>1.0</v>
      </c>
      <c r="AE217">
        <f>IF(AD217=1,IF(COUNTIFS($A$6:A217,A217,$AD$6:AD217,1)=1,1,0),0)</f>
        <v>0.0</v>
      </c>
      <c r="AF217" t="str">
        <f>IF(AE217=1,COUNTIFS(sj_first,1,sj_date,"&lt;"&amp;A217)+1,"")</f>
        <v/>
      </c>
      <c r="AG217" t="str">
        <f>IF(AND(AD217=1,N(W217)&lt;p_alert),ROUND(W217,4),"")</f>
        <v/>
      </c>
      <c r="AH217" t="str">
        <f>IF(AG217="","",COUNTIF(sj_akey,"&lt;"&amp;AG217)+COUNTIF($AG$6:AG217,AG217))</f>
        <v/>
      </c>
    </row>
    <row r="218">
      <c r="A218" s="51" t="n">
        <v>46315</v>
      </c>
      <c r="B218" s="52" t="inlineStr">
        <is>
          <t>Matin</t>
        </is>
      </c>
      <c r="C218" s="52" t="inlineStr">
        <is>
          <t>TOUR2</t>
        </is>
      </c>
      <c r="D218" s="53" t="inlineStr">
        <is>
          <t>OF-2610-164</t>
        </is>
      </c>
      <c r="E218" s="53" t="inlineStr">
        <is>
          <t>AXE-R20</t>
        </is>
      </c>
      <c r="F218" s="54" t="n"/>
      <c r="G218" s="54" t="n">
        <v>169</v>
      </c>
      <c r="H218" s="54" t="n">
        <v>5</v>
      </c>
      <c r="I218" s="54" t="n">
        <v>2</v>
      </c>
      <c r="J218" s="53" t="n"/>
      <c r="K218" s="55">
        <f>IF(COUNTA(A218:I218)=0,"",IF(F218="",IFERROR(INDEX(eq_dur,MATCH(B218,eq_code,0)),""),F218))</f>
        <v>480.0</v>
      </c>
      <c r="L218" s="55">
        <f>IF(ISNUMBER(K218),N(IFERROR(INDEX(eq_pause,MATCH(B218,eq_code,0)),0))+SUMIFS(st_min,st_date,A218,st_eq,B218,st_po,C218,st_type,"Planifié"),"")</f>
        <v>30.0</v>
      </c>
      <c r="M218" s="55">
        <f>IF(ISNUMBER(K218),K218-L218,"")</f>
        <v>450.0</v>
      </c>
      <c r="N218" s="55">
        <f>IF(ISNUMBER(K218),SUMIFS(st_min,st_date,A218,st_eq,B218,st_po,C218,st_type,"Non planifié"),"")</f>
        <v>76.0</v>
      </c>
      <c r="O218" s="55">
        <f>IF(ISNUMBER(K218),M218-N218,"")</f>
        <v>374.0</v>
      </c>
      <c r="P218" s="55">
        <f>IF(COUNTA(A218:I218)=0,"",N(G218)+N(H218)+N(I218))</f>
        <v>176.0</v>
      </c>
      <c r="Q218" s="56">
        <f>IF(COUNTA(A218:I218)=0,"",IF(N(IFERROR(INDEX(art_rate,MATCH(E218,art_ref,0)),0))&gt;0,N(IFERROR(INDEX(art_rate,MATCH(E218,art_ref,0)),0)),N(IFERROR(INDEX(po_rate,MATCH(C218,po_code,0)),0))))</f>
        <v>30.0</v>
      </c>
      <c r="R218" s="55">
        <f>IF(AC218=1,P218*60/Q218,"")</f>
        <v>352.0</v>
      </c>
      <c r="S218" s="55">
        <f>IF(AC218=1,N(G218)*60/Q218,"")</f>
        <v>338.0</v>
      </c>
      <c r="T218" s="57">
        <f>IF(AC218=1,O218/M218,"")</f>
        <v>0.831111111111111</v>
      </c>
      <c r="U218" s="57">
        <f>IF(AC218=1,IF(O218&gt;0,R218/O218,""),"")</f>
        <v>0.941176470588235</v>
      </c>
      <c r="V218" s="57">
        <f>IF(AC218=1,IF(P218&gt;0,N(G218)/P218,""),"")</f>
        <v>0.960227272727273</v>
      </c>
      <c r="W218" s="57">
        <f>IF(AC218=1,S218/M218,"")</f>
        <v>0.751111111111111</v>
      </c>
      <c r="X218" s="57">
        <f>IF(AC218=1,S218/K218,"")</f>
        <v>0.704166666666667</v>
      </c>
      <c r="Y218" s="58" t="str">
        <f>IF(W218="","",IF(W218&gt;=p_target,"Bon",IF(W218&gt;=p_alert,"À surveiller","Faible")))</f>
        <v>Bon</v>
      </c>
      <c r="Z218" s="58" t="str">
        <f>IF(W218="","",IF(MIN(IF(T218="",1,T218),IF(U218="",1,U218),IF(V218="",1,V218))&gt;=1,"Aucune",IF(IF(T218="",1,T218)&lt;=MIN(IF(U218="",1,U218),IF(V218="",1,V218)),"Disponibilité",IF(IF(U218="",1,U218)&lt;=IF(V218="",1,V218),"Performance","Qualité"))))</f>
        <v>Disponibilité</v>
      </c>
      <c r="AA218" s="59">
        <f>IF(AC218=1,N(H218)*N(IFERROR(INDEX(art_cost,MATCH(E218,art_ref,0)),0)),"")</f>
        <v>192.5</v>
      </c>
      <c r="AB218" s="58" t="str">
        <f>IF(COUNTA(A218:I218)=0,"",IF(N(A218)&lt;=0,"Date manquante ou invalide",IF(B218="","Équipe manquante",IF(ISNA(MATCH(B218,eq_code,0)),"Équipe inconnue",IF(INDEX(eq_check,MATCH(B218,eq_code,0))&lt;&gt;"OK","Équipe à corriger dans Paramètres",IF(C218="","Poste manquant",IF(ISNA(MATCH(C218,po_code,0)),"Poste inconnu",IF(AND(E218&lt;&gt;"",ISNA(MATCH(E218,art_ref,0))),"Article inconnu",IF(IF(E218="",FALSE,INDEX(art_check,MATCH(E218,art_ref,0))&lt;&gt;"OK"),"Article à corriger (feuille Articles)",IF(COUNTIFS(sj_date,A218,sj_eq,B218,sj_po,C218)&gt;1,"Ligne en double (même jour, équipe et poste)",IF(OR(NOT(ISNUMBER(K218)),N(K218)&lt;=0,N(K218)&gt;1440),"Temps d'ouverture invalide",IF(OR(AND(G218&lt;&gt;"",NOT(ISNUMBER(G218))),N(G218)&lt;0,N(G218)&lt;&gt;INT(N(G218)),AND(H218&lt;&gt;"",NOT(ISNUMBER(H218))),N(H218)&lt;0,N(H218)&lt;&gt;INT(N(H218)),AND(I218&lt;&gt;"",NOT(ISNUMBER(I218))),N(I218)&lt;0,N(I218)&lt;&gt;INT(N(I218))),"Quantité invalide",IF(Q218&lt;=0,"Cadence manquante (poste ou article)",IF(M218&lt;=0,"Arrêts planifiés supérieurs au temps d'ouverture",IF(O218&lt;0,"Arrêts supérieurs au temps requis",IF(AND(P218&gt;0,O218=0),"Pièces déclarées sans temps de marche",IF(AND(P218=0,O218&gt;0),"Aucune pièce déclarée",IF(P218*60/Q218&gt;O218+0.001,"Cadence dépassée : vérifiez la cadence","OK"))))))))))))))))))</f>
        <v>OK</v>
      </c>
      <c r="AC218">
        <f>IF(OR(AB218="OK",AB218="Aucune pièce déclarée",AB218="Cadence dépassée : vérifiez la cadence"),1,0)</f>
        <v>1.0</v>
      </c>
      <c r="AD218">
        <f>IF(AND(AC218=1,A218&gt;=p_from,A218&lt;=p_to),1,0)</f>
        <v>1.0</v>
      </c>
      <c r="AE218">
        <f>IF(AD218=1,IF(COUNTIFS($A$6:A218,A218,$AD$6:AD218,1)=1,1,0),0)</f>
        <v>0.0</v>
      </c>
      <c r="AF218" t="str">
        <f>IF(AE218=1,COUNTIFS(sj_first,1,sj_date,"&lt;"&amp;A218)+1,"")</f>
        <v/>
      </c>
      <c r="AG218" t="str">
        <f>IF(AND(AD218=1,N(W218)&lt;p_alert),ROUND(W218,4),"")</f>
        <v/>
      </c>
      <c r="AH218" t="str">
        <f>IF(AG218="","",COUNTIF(sj_akey,"&lt;"&amp;AG218)+COUNTIF($AG$6:AG218,AG218))</f>
        <v/>
      </c>
    </row>
    <row r="219">
      <c r="A219" s="51" t="n">
        <v>46315</v>
      </c>
      <c r="B219" s="52" t="inlineStr">
        <is>
          <t>Après-midi</t>
        </is>
      </c>
      <c r="C219" s="52" t="inlineStr">
        <is>
          <t>TOUR2</t>
        </is>
      </c>
      <c r="D219" s="53" t="inlineStr">
        <is>
          <t>OF-2610-175</t>
        </is>
      </c>
      <c r="E219" s="53" t="inlineStr">
        <is>
          <t>ENT-12</t>
        </is>
      </c>
      <c r="F219" s="54" t="n"/>
      <c r="G219" s="54" t="n">
        <v>315</v>
      </c>
      <c r="H219" s="54" t="n">
        <v>1</v>
      </c>
      <c r="I219" s="54" t="n">
        <v>1</v>
      </c>
      <c r="J219" s="53" t="n"/>
      <c r="K219" s="55">
        <f>IF(COUNTA(A219:I219)=0,"",IF(F219="",IFERROR(INDEX(eq_dur,MATCH(B219,eq_code,0)),""),F219))</f>
        <v>480.0</v>
      </c>
      <c r="L219" s="55">
        <f>IF(ISNUMBER(K219),N(IFERROR(INDEX(eq_pause,MATCH(B219,eq_code,0)),0))+SUMIFS(st_min,st_date,A219,st_eq,B219,st_po,C219,st_type,"Planifié"),"")</f>
        <v>30.0</v>
      </c>
      <c r="M219" s="55">
        <f>IF(ISNUMBER(K219),K219-L219,"")</f>
        <v>450.0</v>
      </c>
      <c r="N219" s="55">
        <f>IF(ISNUMBER(K219),SUMIFS(st_min,st_date,A219,st_eq,B219,st_po,C219,st_type,"Non planifié"),"")</f>
        <v>70.0</v>
      </c>
      <c r="O219" s="55">
        <f>IF(ISNUMBER(K219),M219-N219,"")</f>
        <v>380.0</v>
      </c>
      <c r="P219" s="55">
        <f>IF(COUNTA(A219:I219)=0,"",N(G219)+N(H219)+N(I219))</f>
        <v>317.0</v>
      </c>
      <c r="Q219" s="56">
        <f>IF(COUNTA(A219:I219)=0,"",IF(N(IFERROR(INDEX(art_rate,MATCH(E219,art_ref,0)),0))&gt;0,N(IFERROR(INDEX(art_rate,MATCH(E219,art_ref,0)),0)),N(IFERROR(INDEX(po_rate,MATCH(C219,po_code,0)),0))))</f>
        <v>55.0</v>
      </c>
      <c r="R219" s="55">
        <f>IF(AC219=1,P219*60/Q219,"")</f>
        <v>345.818181818182</v>
      </c>
      <c r="S219" s="55">
        <f>IF(AC219=1,N(G219)*60/Q219,"")</f>
        <v>343.636363636364</v>
      </c>
      <c r="T219" s="57">
        <f>IF(AC219=1,O219/M219,"")</f>
        <v>0.844444444444444</v>
      </c>
      <c r="U219" s="57">
        <f>IF(AC219=1,IF(O219&gt;0,R219/O219,""),"")</f>
        <v>0.910047846889952</v>
      </c>
      <c r="V219" s="57">
        <f>IF(AC219=1,IF(P219&gt;0,N(G219)/P219,""),"")</f>
        <v>0.993690851735016</v>
      </c>
      <c r="W219" s="57">
        <f>IF(AC219=1,S219/M219,"")</f>
        <v>0.763636363636364</v>
      </c>
      <c r="X219" s="57">
        <f>IF(AC219=1,S219/K219,"")</f>
        <v>0.715909090909091</v>
      </c>
      <c r="Y219" s="58" t="str">
        <f>IF(W219="","",IF(W219&gt;=p_target,"Bon",IF(W219&gt;=p_alert,"À surveiller","Faible")))</f>
        <v>Bon</v>
      </c>
      <c r="Z219" s="58" t="str">
        <f>IF(W219="","",IF(MIN(IF(T219="",1,T219),IF(U219="",1,U219),IF(V219="",1,V219))&gt;=1,"Aucune",IF(IF(T219="",1,T219)&lt;=MIN(IF(U219="",1,U219),IF(V219="",1,V219)),"Disponibilité",IF(IF(U219="",1,U219)&lt;=IF(V219="",1,V219),"Performance","Qualité"))))</f>
        <v>Disponibilité</v>
      </c>
      <c r="AA219" s="59">
        <f>IF(AC219=1,N(H219)*N(IFERROR(INDEX(art_cost,MATCH(E219,art_ref,0)),0)),"")</f>
        <v>6.8</v>
      </c>
      <c r="AB219" s="58" t="str">
        <f>IF(COUNTA(A219:I219)=0,"",IF(N(A219)&lt;=0,"Date manquante ou invalide",IF(B219="","Équipe manquante",IF(ISNA(MATCH(B219,eq_code,0)),"Équipe inconnue",IF(INDEX(eq_check,MATCH(B219,eq_code,0))&lt;&gt;"OK","Équipe à corriger dans Paramètres",IF(C219="","Poste manquant",IF(ISNA(MATCH(C219,po_code,0)),"Poste inconnu",IF(AND(E219&lt;&gt;"",ISNA(MATCH(E219,art_ref,0))),"Article inconnu",IF(IF(E219="",FALSE,INDEX(art_check,MATCH(E219,art_ref,0))&lt;&gt;"OK"),"Article à corriger (feuille Articles)",IF(COUNTIFS(sj_date,A219,sj_eq,B219,sj_po,C219)&gt;1,"Ligne en double (même jour, équipe et poste)",IF(OR(NOT(ISNUMBER(K219)),N(K219)&lt;=0,N(K219)&gt;1440),"Temps d'ouverture invalide",IF(OR(AND(G219&lt;&gt;"",NOT(ISNUMBER(G219))),N(G219)&lt;0,N(G219)&lt;&gt;INT(N(G219)),AND(H219&lt;&gt;"",NOT(ISNUMBER(H219))),N(H219)&lt;0,N(H219)&lt;&gt;INT(N(H219)),AND(I219&lt;&gt;"",NOT(ISNUMBER(I219))),N(I219)&lt;0,N(I219)&lt;&gt;INT(N(I219))),"Quantité invalide",IF(Q219&lt;=0,"Cadence manquante (poste ou article)",IF(M219&lt;=0,"Arrêts planifiés supérieurs au temps d'ouverture",IF(O219&lt;0,"Arrêts supérieurs au temps requis",IF(AND(P219&gt;0,O219=0),"Pièces déclarées sans temps de marche",IF(AND(P219=0,O219&gt;0),"Aucune pièce déclarée",IF(P219*60/Q219&gt;O219+0.001,"Cadence dépassée : vérifiez la cadence","OK"))))))))))))))))))</f>
        <v>OK</v>
      </c>
      <c r="AC219">
        <f>IF(OR(AB219="OK",AB219="Aucune pièce déclarée",AB219="Cadence dépassée : vérifiez la cadence"),1,0)</f>
        <v>1.0</v>
      </c>
      <c r="AD219">
        <f>IF(AND(AC219=1,A219&gt;=p_from,A219&lt;=p_to),1,0)</f>
        <v>1.0</v>
      </c>
      <c r="AE219">
        <f>IF(AD219=1,IF(COUNTIFS($A$6:A219,A219,$AD$6:AD219,1)=1,1,0),0)</f>
        <v>0.0</v>
      </c>
      <c r="AF219" t="str">
        <f>IF(AE219=1,COUNTIFS(sj_first,1,sj_date,"&lt;"&amp;A219)+1,"")</f>
        <v/>
      </c>
      <c r="AG219" t="str">
        <f>IF(AND(AD219=1,N(W219)&lt;p_alert),ROUND(W219,4),"")</f>
        <v/>
      </c>
      <c r="AH219" t="str">
        <f>IF(AG219="","",COUNTIF(sj_akey,"&lt;"&amp;AG219)+COUNTIF($AG$6:AG219,AG219))</f>
        <v/>
      </c>
    </row>
    <row r="220">
      <c r="A220" s="51" t="n">
        <v>46315</v>
      </c>
      <c r="B220" s="52" t="inlineStr">
        <is>
          <t>Matin</t>
        </is>
      </c>
      <c r="C220" s="52" t="inlineStr">
        <is>
          <t>USIN</t>
        </is>
      </c>
      <c r="D220" s="53" t="inlineStr">
        <is>
          <t>OF-2610-157</t>
        </is>
      </c>
      <c r="E220" s="53" t="inlineStr">
        <is>
          <t>FLA-PL-150</t>
        </is>
      </c>
      <c r="F220" s="54" t="n"/>
      <c r="G220" s="54" t="n">
        <v>77</v>
      </c>
      <c r="H220" s="54" t="n">
        <v>0</v>
      </c>
      <c r="I220" s="54" t="n">
        <v>0</v>
      </c>
      <c r="J220" s="53" t="n"/>
      <c r="K220" s="55">
        <f>IF(COUNTA(A220:I220)=0,"",IF(F220="",IFERROR(INDEX(eq_dur,MATCH(B220,eq_code,0)),""),F220))</f>
        <v>480.0</v>
      </c>
      <c r="L220" s="55">
        <f>IF(ISNUMBER(K220),N(IFERROR(INDEX(eq_pause,MATCH(B220,eq_code,0)),0))+SUMIFS(st_min,st_date,A220,st_eq,B220,st_po,C220,st_type,"Planifié"),"")</f>
        <v>30.0</v>
      </c>
      <c r="M220" s="55">
        <f>IF(ISNUMBER(K220),K220-L220,"")</f>
        <v>450.0</v>
      </c>
      <c r="N220" s="55">
        <f>IF(ISNUMBER(K220),SUMIFS(st_min,st_date,A220,st_eq,B220,st_po,C220,st_type,"Non planifié"),"")</f>
        <v>0.0</v>
      </c>
      <c r="O220" s="55">
        <f>IF(ISNUMBER(K220),M220-N220,"")</f>
        <v>450.0</v>
      </c>
      <c r="P220" s="55">
        <f>IF(COUNTA(A220:I220)=0,"",N(G220)+N(H220)+N(I220))</f>
        <v>77.0</v>
      </c>
      <c r="Q220" s="56">
        <f>IF(COUNTA(A220:I220)=0,"",IF(N(IFERROR(INDEX(art_rate,MATCH(E220,art_ref,0)),0))&gt;0,N(IFERROR(INDEX(art_rate,MATCH(E220,art_ref,0)),0)),N(IFERROR(INDEX(po_rate,MATCH(C220,po_code,0)),0))))</f>
        <v>12.0</v>
      </c>
      <c r="R220" s="55">
        <f>IF(AC220=1,P220*60/Q220,"")</f>
        <v>385.0</v>
      </c>
      <c r="S220" s="55">
        <f>IF(AC220=1,N(G220)*60/Q220,"")</f>
        <v>385.0</v>
      </c>
      <c r="T220" s="57">
        <f>IF(AC220=1,O220/M220,"")</f>
        <v>1.0</v>
      </c>
      <c r="U220" s="57">
        <f>IF(AC220=1,IF(O220&gt;0,R220/O220,""),"")</f>
        <v>0.855555555555556</v>
      </c>
      <c r="V220" s="57">
        <f>IF(AC220=1,IF(P220&gt;0,N(G220)/P220,""),"")</f>
        <v>1.0</v>
      </c>
      <c r="W220" s="57">
        <f>IF(AC220=1,S220/M220,"")</f>
        <v>0.855555555555556</v>
      </c>
      <c r="X220" s="57">
        <f>IF(AC220=1,S220/K220,"")</f>
        <v>0.802083333333333</v>
      </c>
      <c r="Y220" s="58" t="str">
        <f>IF(W220="","",IF(W220&gt;=p_target,"Bon",IF(W220&gt;=p_alert,"À surveiller","Faible")))</f>
        <v>Bon</v>
      </c>
      <c r="Z220" s="58" t="str">
        <f>IF(W220="","",IF(MIN(IF(T220="",1,T220),IF(U220="",1,U220),IF(V220="",1,V220))&gt;=1,"Aucune",IF(IF(T220="",1,T220)&lt;=MIN(IF(U220="",1,U220),IF(V220="",1,V220)),"Disponibilité",IF(IF(U220="",1,U220)&lt;=IF(V220="",1,V220),"Performance","Qualité"))))</f>
        <v>Performance</v>
      </c>
      <c r="AA220" s="59">
        <f>IF(AC220=1,N(H220)*N(IFERROR(INDEX(art_cost,MATCH(E220,art_ref,0)),0)),"")</f>
        <v>0.0</v>
      </c>
      <c r="AB220" s="58" t="str">
        <f>IF(COUNTA(A220:I220)=0,"",IF(N(A220)&lt;=0,"Date manquante ou invalide",IF(B220="","Équipe manquante",IF(ISNA(MATCH(B220,eq_code,0)),"Équipe inconnue",IF(INDEX(eq_check,MATCH(B220,eq_code,0))&lt;&gt;"OK","Équipe à corriger dans Paramètres",IF(C220="","Poste manquant",IF(ISNA(MATCH(C220,po_code,0)),"Poste inconnu",IF(AND(E220&lt;&gt;"",ISNA(MATCH(E220,art_ref,0))),"Article inconnu",IF(IF(E220="",FALSE,INDEX(art_check,MATCH(E220,art_ref,0))&lt;&gt;"OK"),"Article à corriger (feuille Articles)",IF(COUNTIFS(sj_date,A220,sj_eq,B220,sj_po,C220)&gt;1,"Ligne en double (même jour, équipe et poste)",IF(OR(NOT(ISNUMBER(K220)),N(K220)&lt;=0,N(K220)&gt;1440),"Temps d'ouverture invalide",IF(OR(AND(G220&lt;&gt;"",NOT(ISNUMBER(G220))),N(G220)&lt;0,N(G220)&lt;&gt;INT(N(G220)),AND(H220&lt;&gt;"",NOT(ISNUMBER(H220))),N(H220)&lt;0,N(H220)&lt;&gt;INT(N(H220)),AND(I220&lt;&gt;"",NOT(ISNUMBER(I220))),N(I220)&lt;0,N(I220)&lt;&gt;INT(N(I220))),"Quantité invalide",IF(Q220&lt;=0,"Cadence manquante (poste ou article)",IF(M220&lt;=0,"Arrêts planifiés supérieurs au temps d'ouverture",IF(O220&lt;0,"Arrêts supérieurs au temps requis",IF(AND(P220&gt;0,O220=0),"Pièces déclarées sans temps de marche",IF(AND(P220=0,O220&gt;0),"Aucune pièce déclarée",IF(P220*60/Q220&gt;O220+0.001,"Cadence dépassée : vérifiez la cadence","OK"))))))))))))))))))</f>
        <v>OK</v>
      </c>
      <c r="AC220">
        <f>IF(OR(AB220="OK",AB220="Aucune pièce déclarée",AB220="Cadence dépassée : vérifiez la cadence"),1,0)</f>
        <v>1.0</v>
      </c>
      <c r="AD220">
        <f>IF(AND(AC220=1,A220&gt;=p_from,A220&lt;=p_to),1,0)</f>
        <v>1.0</v>
      </c>
      <c r="AE220">
        <f>IF(AD220=1,IF(COUNTIFS($A$6:A220,A220,$AD$6:AD220,1)=1,1,0),0)</f>
        <v>0.0</v>
      </c>
      <c r="AF220" t="str">
        <f>IF(AE220=1,COUNTIFS(sj_first,1,sj_date,"&lt;"&amp;A220)+1,"")</f>
        <v/>
      </c>
      <c r="AG220" t="str">
        <f>IF(AND(AD220=1,N(W220)&lt;p_alert),ROUND(W220,4),"")</f>
        <v/>
      </c>
      <c r="AH220" t="str">
        <f>IF(AG220="","",COUNTIF(sj_akey,"&lt;"&amp;AG220)+COUNTIF($AG$6:AG220,AG220))</f>
        <v/>
      </c>
    </row>
    <row r="221">
      <c r="A221" s="51" t="n">
        <v>46315</v>
      </c>
      <c r="B221" s="52" t="inlineStr">
        <is>
          <t>Après-midi</t>
        </is>
      </c>
      <c r="C221" s="52" t="inlineStr">
        <is>
          <t>USIN</t>
        </is>
      </c>
      <c r="D221" s="53" t="inlineStr">
        <is>
          <t>OF-2610-139</t>
        </is>
      </c>
      <c r="E221" s="53" t="inlineStr">
        <is>
          <t>FLA-PL-150</t>
        </is>
      </c>
      <c r="F221" s="54" t="n"/>
      <c r="G221" s="54" t="n">
        <v>81</v>
      </c>
      <c r="H221" s="54" t="n">
        <v>0</v>
      </c>
      <c r="I221" s="54" t="n">
        <v>0</v>
      </c>
      <c r="J221" s="53" t="n"/>
      <c r="K221" s="55">
        <f>IF(COUNTA(A221:I221)=0,"",IF(F221="",IFERROR(INDEX(eq_dur,MATCH(B221,eq_code,0)),""),F221))</f>
        <v>480.0</v>
      </c>
      <c r="L221" s="55">
        <f>IF(ISNUMBER(K221),N(IFERROR(INDEX(eq_pause,MATCH(B221,eq_code,0)),0))+SUMIFS(st_min,st_date,A221,st_eq,B221,st_po,C221,st_type,"Planifié"),"")</f>
        <v>30.0</v>
      </c>
      <c r="M221" s="55">
        <f>IF(ISNUMBER(K221),K221-L221,"")</f>
        <v>450.0</v>
      </c>
      <c r="N221" s="55">
        <f>IF(ISNUMBER(K221),SUMIFS(st_min,st_date,A221,st_eq,B221,st_po,C221,st_type,"Non planifié"),"")</f>
        <v>15.0</v>
      </c>
      <c r="O221" s="55">
        <f>IF(ISNUMBER(K221),M221-N221,"")</f>
        <v>435.0</v>
      </c>
      <c r="P221" s="55">
        <f>IF(COUNTA(A221:I221)=0,"",N(G221)+N(H221)+N(I221))</f>
        <v>81.0</v>
      </c>
      <c r="Q221" s="56">
        <f>IF(COUNTA(A221:I221)=0,"",IF(N(IFERROR(INDEX(art_rate,MATCH(E221,art_ref,0)),0))&gt;0,N(IFERROR(INDEX(art_rate,MATCH(E221,art_ref,0)),0)),N(IFERROR(INDEX(po_rate,MATCH(C221,po_code,0)),0))))</f>
        <v>12.0</v>
      </c>
      <c r="R221" s="55">
        <f>IF(AC221=1,P221*60/Q221,"")</f>
        <v>405.0</v>
      </c>
      <c r="S221" s="55">
        <f>IF(AC221=1,N(G221)*60/Q221,"")</f>
        <v>405.0</v>
      </c>
      <c r="T221" s="57">
        <f>IF(AC221=1,O221/M221,"")</f>
        <v>0.966666666666667</v>
      </c>
      <c r="U221" s="57">
        <f>IF(AC221=1,IF(O221&gt;0,R221/O221,""),"")</f>
        <v>0.931034482758621</v>
      </c>
      <c r="V221" s="57">
        <f>IF(AC221=1,IF(P221&gt;0,N(G221)/P221,""),"")</f>
        <v>1.0</v>
      </c>
      <c r="W221" s="57">
        <f>IF(AC221=1,S221/M221,"")</f>
        <v>0.9</v>
      </c>
      <c r="X221" s="57">
        <f>IF(AC221=1,S221/K221,"")</f>
        <v>0.84375</v>
      </c>
      <c r="Y221" s="58" t="str">
        <f>IF(W221="","",IF(W221&gt;=p_target,"Bon",IF(W221&gt;=p_alert,"À surveiller","Faible")))</f>
        <v>Bon</v>
      </c>
      <c r="Z221" s="58" t="str">
        <f>IF(W221="","",IF(MIN(IF(T221="",1,T221),IF(U221="",1,U221),IF(V221="",1,V221))&gt;=1,"Aucune",IF(IF(T221="",1,T221)&lt;=MIN(IF(U221="",1,U221),IF(V221="",1,V221)),"Disponibilité",IF(IF(U221="",1,U221)&lt;=IF(V221="",1,V221),"Performance","Qualité"))))</f>
        <v>Performance</v>
      </c>
      <c r="AA221" s="59">
        <f>IF(AC221=1,N(H221)*N(IFERROR(INDEX(art_cost,MATCH(E221,art_ref,0)),0)),"")</f>
        <v>0.0</v>
      </c>
      <c r="AB221" s="58" t="str">
        <f>IF(COUNTA(A221:I221)=0,"",IF(N(A221)&lt;=0,"Date manquante ou invalide",IF(B221="","Équipe manquante",IF(ISNA(MATCH(B221,eq_code,0)),"Équipe inconnue",IF(INDEX(eq_check,MATCH(B221,eq_code,0))&lt;&gt;"OK","Équipe à corriger dans Paramètres",IF(C221="","Poste manquant",IF(ISNA(MATCH(C221,po_code,0)),"Poste inconnu",IF(AND(E221&lt;&gt;"",ISNA(MATCH(E221,art_ref,0))),"Article inconnu",IF(IF(E221="",FALSE,INDEX(art_check,MATCH(E221,art_ref,0))&lt;&gt;"OK"),"Article à corriger (feuille Articles)",IF(COUNTIFS(sj_date,A221,sj_eq,B221,sj_po,C221)&gt;1,"Ligne en double (même jour, équipe et poste)",IF(OR(NOT(ISNUMBER(K221)),N(K221)&lt;=0,N(K221)&gt;1440),"Temps d'ouverture invalide",IF(OR(AND(G221&lt;&gt;"",NOT(ISNUMBER(G221))),N(G221)&lt;0,N(G221)&lt;&gt;INT(N(G221)),AND(H221&lt;&gt;"",NOT(ISNUMBER(H221))),N(H221)&lt;0,N(H221)&lt;&gt;INT(N(H221)),AND(I221&lt;&gt;"",NOT(ISNUMBER(I221))),N(I221)&lt;0,N(I221)&lt;&gt;INT(N(I221))),"Quantité invalide",IF(Q221&lt;=0,"Cadence manquante (poste ou article)",IF(M221&lt;=0,"Arrêts planifiés supérieurs au temps d'ouverture",IF(O221&lt;0,"Arrêts supérieurs au temps requis",IF(AND(P221&gt;0,O221=0),"Pièces déclarées sans temps de marche",IF(AND(P221=0,O221&gt;0),"Aucune pièce déclarée",IF(P221*60/Q221&gt;O221+0.001,"Cadence dépassée : vérifiez la cadence","OK"))))))))))))))))))</f>
        <v>OK</v>
      </c>
      <c r="AC221">
        <f>IF(OR(AB221="OK",AB221="Aucune pièce déclarée",AB221="Cadence dépassée : vérifiez la cadence"),1,0)</f>
        <v>1.0</v>
      </c>
      <c r="AD221">
        <f>IF(AND(AC221=1,A221&gt;=p_from,A221&lt;=p_to),1,0)</f>
        <v>1.0</v>
      </c>
      <c r="AE221">
        <f>IF(AD221=1,IF(COUNTIFS($A$6:A221,A221,$AD$6:AD221,1)=1,1,0),0)</f>
        <v>0.0</v>
      </c>
      <c r="AF221" t="str">
        <f>IF(AE221=1,COUNTIFS(sj_first,1,sj_date,"&lt;"&amp;A221)+1,"")</f>
        <v/>
      </c>
      <c r="AG221" t="str">
        <f>IF(AND(AD221=1,N(W221)&lt;p_alert),ROUND(W221,4),"")</f>
        <v/>
      </c>
      <c r="AH221" t="str">
        <f>IF(AG221="","",COUNTIF(sj_akey,"&lt;"&amp;AG221)+COUNTIF($AG$6:AG221,AG221))</f>
        <v/>
      </c>
    </row>
    <row r="222">
      <c r="A222" s="51" t="n">
        <v>46315</v>
      </c>
      <c r="B222" s="52" t="inlineStr">
        <is>
          <t>Matin</t>
        </is>
      </c>
      <c r="C222" s="52" t="inlineStr">
        <is>
          <t>PRESSE</t>
        </is>
      </c>
      <c r="D222" s="53" t="inlineStr">
        <is>
          <t>OF-2610-172</t>
        </is>
      </c>
      <c r="E222" s="53" t="inlineStr">
        <is>
          <t>RON-M10</t>
        </is>
      </c>
      <c r="F222" s="54" t="n"/>
      <c r="G222" s="54" t="n">
        <v>3901</v>
      </c>
      <c r="H222" s="54" t="n">
        <v>31</v>
      </c>
      <c r="I222" s="54" t="n">
        <v>15</v>
      </c>
      <c r="J222" s="53" t="n"/>
      <c r="K222" s="55">
        <f>IF(COUNTA(A222:I222)=0,"",IF(F222="",IFERROR(INDEX(eq_dur,MATCH(B222,eq_code,0)),""),F222))</f>
        <v>480.0</v>
      </c>
      <c r="L222" s="55">
        <f>IF(ISNUMBER(K222),N(IFERROR(INDEX(eq_pause,MATCH(B222,eq_code,0)),0))+SUMIFS(st_min,st_date,A222,st_eq,B222,st_po,C222,st_type,"Planifié"),"")</f>
        <v>30.0</v>
      </c>
      <c r="M222" s="55">
        <f>IF(ISNUMBER(K222),K222-L222,"")</f>
        <v>450.0</v>
      </c>
      <c r="N222" s="55">
        <f>IF(ISNUMBER(K222),SUMIFS(st_min,st_date,A222,st_eq,B222,st_po,C222,st_type,"Non planifié"),"")</f>
        <v>19.0</v>
      </c>
      <c r="O222" s="55">
        <f>IF(ISNUMBER(K222),M222-N222,"")</f>
        <v>431.0</v>
      </c>
      <c r="P222" s="55">
        <f>IF(COUNTA(A222:I222)=0,"",N(G222)+N(H222)+N(I222))</f>
        <v>3947.0</v>
      </c>
      <c r="Q222" s="56">
        <f>IF(COUNTA(A222:I222)=0,"",IF(N(IFERROR(INDEX(art_rate,MATCH(E222,art_ref,0)),0))&gt;0,N(IFERROR(INDEX(art_rate,MATCH(E222,art_ref,0)),0)),N(IFERROR(INDEX(po_rate,MATCH(C222,po_code,0)),0))))</f>
        <v>600.0</v>
      </c>
      <c r="R222" s="55">
        <f>IF(AC222=1,P222*60/Q222,"")</f>
        <v>394.7</v>
      </c>
      <c r="S222" s="55">
        <f>IF(AC222=1,N(G222)*60/Q222,"")</f>
        <v>390.1</v>
      </c>
      <c r="T222" s="57">
        <f>IF(AC222=1,O222/M222,"")</f>
        <v>0.957777777777778</v>
      </c>
      <c r="U222" s="57">
        <f>IF(AC222=1,IF(O222&gt;0,R222/O222,""),"")</f>
        <v>0.915777262180974</v>
      </c>
      <c r="V222" s="57">
        <f>IF(AC222=1,IF(P222&gt;0,N(G222)/P222,""),"")</f>
        <v>0.988345578920699</v>
      </c>
      <c r="W222" s="57">
        <f>IF(AC222=1,S222/M222,"")</f>
        <v>0.866888888888889</v>
      </c>
      <c r="X222" s="57">
        <f>IF(AC222=1,S222/K222,"")</f>
        <v>0.812708333333333</v>
      </c>
      <c r="Y222" s="58" t="str">
        <f>IF(W222="","",IF(W222&gt;=p_target,"Bon",IF(W222&gt;=p_alert,"À surveiller","Faible")))</f>
        <v>Bon</v>
      </c>
      <c r="Z222" s="58" t="str">
        <f>IF(W222="","",IF(MIN(IF(T222="",1,T222),IF(U222="",1,U222),IF(V222="",1,V222))&gt;=1,"Aucune",IF(IF(T222="",1,T222)&lt;=MIN(IF(U222="",1,U222),IF(V222="",1,V222)),"Disponibilité",IF(IF(U222="",1,U222)&lt;=IF(V222="",1,V222),"Performance","Qualité"))))</f>
        <v>Performance</v>
      </c>
      <c r="AA222" s="59">
        <f>IF(AC222=1,N(H222)*N(IFERROR(INDEX(art_cost,MATCH(E222,art_ref,0)),0)),"")</f>
        <v>27.9</v>
      </c>
      <c r="AB222" s="58" t="str">
        <f>IF(COUNTA(A222:I222)=0,"",IF(N(A222)&lt;=0,"Date manquante ou invalide",IF(B222="","Équipe manquante",IF(ISNA(MATCH(B222,eq_code,0)),"Équipe inconnue",IF(INDEX(eq_check,MATCH(B222,eq_code,0))&lt;&gt;"OK","Équipe à corriger dans Paramètres",IF(C222="","Poste manquant",IF(ISNA(MATCH(C222,po_code,0)),"Poste inconnu",IF(AND(E222&lt;&gt;"",ISNA(MATCH(E222,art_ref,0))),"Article inconnu",IF(IF(E222="",FALSE,INDEX(art_check,MATCH(E222,art_ref,0))&lt;&gt;"OK"),"Article à corriger (feuille Articles)",IF(COUNTIFS(sj_date,A222,sj_eq,B222,sj_po,C222)&gt;1,"Ligne en double (même jour, équipe et poste)",IF(OR(NOT(ISNUMBER(K222)),N(K222)&lt;=0,N(K222)&gt;1440),"Temps d'ouverture invalide",IF(OR(AND(G222&lt;&gt;"",NOT(ISNUMBER(G222))),N(G222)&lt;0,N(G222)&lt;&gt;INT(N(G222)),AND(H222&lt;&gt;"",NOT(ISNUMBER(H222))),N(H222)&lt;0,N(H222)&lt;&gt;INT(N(H222)),AND(I222&lt;&gt;"",NOT(ISNUMBER(I222))),N(I222)&lt;0,N(I222)&lt;&gt;INT(N(I222))),"Quantité invalide",IF(Q222&lt;=0,"Cadence manquante (poste ou article)",IF(M222&lt;=0,"Arrêts planifiés supérieurs au temps d'ouverture",IF(O222&lt;0,"Arrêts supérieurs au temps requis",IF(AND(P222&gt;0,O222=0),"Pièces déclarées sans temps de marche",IF(AND(P222=0,O222&gt;0),"Aucune pièce déclarée",IF(P222*60/Q222&gt;O222+0.001,"Cadence dépassée : vérifiez la cadence","OK"))))))))))))))))))</f>
        <v>OK</v>
      </c>
      <c r="AC222">
        <f>IF(OR(AB222="OK",AB222="Aucune pièce déclarée",AB222="Cadence dépassée : vérifiez la cadence"),1,0)</f>
        <v>1.0</v>
      </c>
      <c r="AD222">
        <f>IF(AND(AC222=1,A222&gt;=p_from,A222&lt;=p_to),1,0)</f>
        <v>1.0</v>
      </c>
      <c r="AE222">
        <f>IF(AD222=1,IF(COUNTIFS($A$6:A222,A222,$AD$6:AD222,1)=1,1,0),0)</f>
        <v>0.0</v>
      </c>
      <c r="AF222" t="str">
        <f>IF(AE222=1,COUNTIFS(sj_first,1,sj_date,"&lt;"&amp;A222)+1,"")</f>
        <v/>
      </c>
      <c r="AG222" t="str">
        <f>IF(AND(AD222=1,N(W222)&lt;p_alert),ROUND(W222,4),"")</f>
        <v/>
      </c>
      <c r="AH222" t="str">
        <f>IF(AG222="","",COUNTIF(sj_akey,"&lt;"&amp;AG222)+COUNTIF($AG$6:AG222,AG222))</f>
        <v/>
      </c>
    </row>
    <row r="223">
      <c r="A223" s="51" t="n">
        <v>46315</v>
      </c>
      <c r="B223" s="52" t="inlineStr">
        <is>
          <t>Journée</t>
        </is>
      </c>
      <c r="C223" s="52" t="inlineStr">
        <is>
          <t>PLIE</t>
        </is>
      </c>
      <c r="D223" s="53" t="inlineStr">
        <is>
          <t>OF-2610-173</t>
        </is>
      </c>
      <c r="E223" s="53" t="inlineStr">
        <is>
          <t>SUP-MOT-01</t>
        </is>
      </c>
      <c r="F223" s="54" t="n"/>
      <c r="G223" s="54" t="n">
        <v>635</v>
      </c>
      <c r="H223" s="54" t="n">
        <v>1</v>
      </c>
      <c r="I223" s="54" t="n">
        <v>5</v>
      </c>
      <c r="J223" s="53" t="n"/>
      <c r="K223" s="55">
        <f>IF(COUNTA(A223:I223)=0,"",IF(F223="",IFERROR(INDEX(eq_dur,MATCH(B223,eq_code,0)),""),F223))</f>
        <v>540.0</v>
      </c>
      <c r="L223" s="55">
        <f>IF(ISNUMBER(K223),N(IFERROR(INDEX(eq_pause,MATCH(B223,eq_code,0)),0))+SUMIFS(st_min,st_date,A223,st_eq,B223,st_po,C223,st_type,"Planifié"),"")</f>
        <v>60.0</v>
      </c>
      <c r="M223" s="55">
        <f>IF(ISNUMBER(K223),K223-L223,"")</f>
        <v>480.0</v>
      </c>
      <c r="N223" s="55">
        <f>IF(ISNUMBER(K223),SUMIFS(st_min,st_date,A223,st_eq,B223,st_po,C223,st_type,"Non planifié"),"")</f>
        <v>0.0</v>
      </c>
      <c r="O223" s="55">
        <f>IF(ISNUMBER(K223),M223-N223,"")</f>
        <v>480.0</v>
      </c>
      <c r="P223" s="55">
        <f>IF(COUNTA(A223:I223)=0,"",N(G223)+N(H223)+N(I223))</f>
        <v>641.0</v>
      </c>
      <c r="Q223" s="56">
        <f>IF(COUNTA(A223:I223)=0,"",IF(N(IFERROR(INDEX(art_rate,MATCH(E223,art_ref,0)),0))&gt;0,N(IFERROR(INDEX(art_rate,MATCH(E223,art_ref,0)),0)),N(IFERROR(INDEX(po_rate,MATCH(C223,po_code,0)),0))))</f>
        <v>90.0</v>
      </c>
      <c r="R223" s="55">
        <f>IF(AC223=1,P223*60/Q223,"")</f>
        <v>427.333333333333</v>
      </c>
      <c r="S223" s="55">
        <f>IF(AC223=1,N(G223)*60/Q223,"")</f>
        <v>423.333333333333</v>
      </c>
      <c r="T223" s="57">
        <f>IF(AC223=1,O223/M223,"")</f>
        <v>1.0</v>
      </c>
      <c r="U223" s="57">
        <f>IF(AC223=1,IF(O223&gt;0,R223/O223,""),"")</f>
        <v>0.890277777777778</v>
      </c>
      <c r="V223" s="57">
        <f>IF(AC223=1,IF(P223&gt;0,N(G223)/P223,""),"")</f>
        <v>0.990639625585023</v>
      </c>
      <c r="W223" s="57">
        <f>IF(AC223=1,S223/M223,"")</f>
        <v>0.881944444444444</v>
      </c>
      <c r="X223" s="57">
        <f>IF(AC223=1,S223/K223,"")</f>
        <v>0.783950617283951</v>
      </c>
      <c r="Y223" s="58" t="str">
        <f>IF(W223="","",IF(W223&gt;=p_target,"Bon",IF(W223&gt;=p_alert,"À surveiller","Faible")))</f>
        <v>Bon</v>
      </c>
      <c r="Z223" s="58" t="str">
        <f>IF(W223="","",IF(MIN(IF(T223="",1,T223),IF(U223="",1,U223),IF(V223="",1,V223))&gt;=1,"Aucune",IF(IF(T223="",1,T223)&lt;=MIN(IF(U223="",1,U223),IF(V223="",1,V223)),"Disponibilité",IF(IF(U223="",1,U223)&lt;=IF(V223="",1,V223),"Performance","Qualité"))))</f>
        <v>Performance</v>
      </c>
      <c r="AA223" s="59">
        <f>IF(AC223=1,N(H223)*N(IFERROR(INDEX(art_cost,MATCH(E223,art_ref,0)),0)),"")</f>
        <v>64.0</v>
      </c>
      <c r="AB223" s="58" t="str">
        <f>IF(COUNTA(A223:I223)=0,"",IF(N(A223)&lt;=0,"Date manquante ou invalide",IF(B223="","Équipe manquante",IF(ISNA(MATCH(B223,eq_code,0)),"Équipe inconnue",IF(INDEX(eq_check,MATCH(B223,eq_code,0))&lt;&gt;"OK","Équipe à corriger dans Paramètres",IF(C223="","Poste manquant",IF(ISNA(MATCH(C223,po_code,0)),"Poste inconnu",IF(AND(E223&lt;&gt;"",ISNA(MATCH(E223,art_ref,0))),"Article inconnu",IF(IF(E223="",FALSE,INDEX(art_check,MATCH(E223,art_ref,0))&lt;&gt;"OK"),"Article à corriger (feuille Articles)",IF(COUNTIFS(sj_date,A223,sj_eq,B223,sj_po,C223)&gt;1,"Ligne en double (même jour, équipe et poste)",IF(OR(NOT(ISNUMBER(K223)),N(K223)&lt;=0,N(K223)&gt;1440),"Temps d'ouverture invalide",IF(OR(AND(G223&lt;&gt;"",NOT(ISNUMBER(G223))),N(G223)&lt;0,N(G223)&lt;&gt;INT(N(G223)),AND(H223&lt;&gt;"",NOT(ISNUMBER(H223))),N(H223)&lt;0,N(H223)&lt;&gt;INT(N(H223)),AND(I223&lt;&gt;"",NOT(ISNUMBER(I223))),N(I223)&lt;0,N(I223)&lt;&gt;INT(N(I223))),"Quantité invalide",IF(Q223&lt;=0,"Cadence manquante (poste ou article)",IF(M223&lt;=0,"Arrêts planifiés supérieurs au temps d'ouverture",IF(O223&lt;0,"Arrêts supérieurs au temps requis",IF(AND(P223&gt;0,O223=0),"Pièces déclarées sans temps de marche",IF(AND(P223=0,O223&gt;0),"Aucune pièce déclarée",IF(P223*60/Q223&gt;O223+0.001,"Cadence dépassée : vérifiez la cadence","OK"))))))))))))))))))</f>
        <v>OK</v>
      </c>
      <c r="AC223">
        <f>IF(OR(AB223="OK",AB223="Aucune pièce déclarée",AB223="Cadence dépassée : vérifiez la cadence"),1,0)</f>
        <v>1.0</v>
      </c>
      <c r="AD223">
        <f>IF(AND(AC223=1,A223&gt;=p_from,A223&lt;=p_to),1,0)</f>
        <v>1.0</v>
      </c>
      <c r="AE223">
        <f>IF(AD223=1,IF(COUNTIFS($A$6:A223,A223,$AD$6:AD223,1)=1,1,0),0)</f>
        <v>0.0</v>
      </c>
      <c r="AF223" t="str">
        <f>IF(AE223=1,COUNTIFS(sj_first,1,sj_date,"&lt;"&amp;A223)+1,"")</f>
        <v/>
      </c>
      <c r="AG223" t="str">
        <f>IF(AND(AD223=1,N(W223)&lt;p_alert),ROUND(W223,4),"")</f>
        <v/>
      </c>
      <c r="AH223" t="str">
        <f>IF(AG223="","",COUNTIF(sj_akey,"&lt;"&amp;AG223)+COUNTIF($AG$6:AG223,AG223))</f>
        <v/>
      </c>
    </row>
    <row r="224">
      <c r="A224" s="51" t="n">
        <v>46315</v>
      </c>
      <c r="B224" s="52" t="inlineStr">
        <is>
          <t>Matin</t>
        </is>
      </c>
      <c r="C224" s="52" t="inlineStr">
        <is>
          <t>SOUD</t>
        </is>
      </c>
      <c r="D224" s="53" t="inlineStr">
        <is>
          <t>OF-2610-176</t>
        </is>
      </c>
      <c r="E224" s="53" t="inlineStr">
        <is>
          <t>CHA-REM-01</t>
        </is>
      </c>
      <c r="F224" s="54" t="n"/>
      <c r="G224" s="54" t="n">
        <v>11</v>
      </c>
      <c r="H224" s="54" t="n">
        <v>0</v>
      </c>
      <c r="I224" s="54" t="n">
        <v>0</v>
      </c>
      <c r="J224" s="53" t="n"/>
      <c r="K224" s="55">
        <f>IF(COUNTA(A224:I224)=0,"",IF(F224="",IFERROR(INDEX(eq_dur,MATCH(B224,eq_code,0)),""),F224))</f>
        <v>480.0</v>
      </c>
      <c r="L224" s="55">
        <f>IF(ISNUMBER(K224),N(IFERROR(INDEX(eq_pause,MATCH(B224,eq_code,0)),0))+SUMIFS(st_min,st_date,A224,st_eq,B224,st_po,C224,st_type,"Planifié"),"")</f>
        <v>30.0</v>
      </c>
      <c r="M224" s="55">
        <f>IF(ISNUMBER(K224),K224-L224,"")</f>
        <v>450.0</v>
      </c>
      <c r="N224" s="55">
        <f>IF(ISNUMBER(K224),SUMIFS(st_min,st_date,A224,st_eq,B224,st_po,C224,st_type,"Non planifié"),"")</f>
        <v>205.0</v>
      </c>
      <c r="O224" s="55">
        <f>IF(ISNUMBER(K224),M224-N224,"")</f>
        <v>245.0</v>
      </c>
      <c r="P224" s="55">
        <f>IF(COUNTA(A224:I224)=0,"",N(G224)+N(H224)+N(I224))</f>
        <v>11.0</v>
      </c>
      <c r="Q224" s="56">
        <f>IF(COUNTA(A224:I224)=0,"",IF(N(IFERROR(INDEX(art_rate,MATCH(E224,art_ref,0)),0))&gt;0,N(IFERROR(INDEX(art_rate,MATCH(E224,art_ref,0)),0)),N(IFERROR(INDEX(po_rate,MATCH(C224,po_code,0)),0))))</f>
        <v>4.0</v>
      </c>
      <c r="R224" s="55">
        <f>IF(AC224=1,P224*60/Q224,"")</f>
        <v>165.0</v>
      </c>
      <c r="S224" s="55">
        <f>IF(AC224=1,N(G224)*60/Q224,"")</f>
        <v>165.0</v>
      </c>
      <c r="T224" s="57">
        <f>IF(AC224=1,O224/M224,"")</f>
        <v>0.544444444444444</v>
      </c>
      <c r="U224" s="57">
        <f>IF(AC224=1,IF(O224&gt;0,R224/O224,""),"")</f>
        <v>0.673469387755102</v>
      </c>
      <c r="V224" s="57">
        <f>IF(AC224=1,IF(P224&gt;0,N(G224)/P224,""),"")</f>
        <v>1.0</v>
      </c>
      <c r="W224" s="57">
        <f>IF(AC224=1,S224/M224,"")</f>
        <v>0.366666666666667</v>
      </c>
      <c r="X224" s="57">
        <f>IF(AC224=1,S224/K224,"")</f>
        <v>0.34375</v>
      </c>
      <c r="Y224" s="58" t="str">
        <f>IF(W224="","",IF(W224&gt;=p_target,"Bon",IF(W224&gt;=p_alert,"À surveiller","Faible")))</f>
        <v>Faible</v>
      </c>
      <c r="Z224" s="58" t="str">
        <f>IF(W224="","",IF(MIN(IF(T224="",1,T224),IF(U224="",1,U224),IF(V224="",1,V224))&gt;=1,"Aucune",IF(IF(T224="",1,T224)&lt;=MIN(IF(U224="",1,U224),IF(V224="",1,V224)),"Disponibilité",IF(IF(U224="",1,U224)&lt;=IF(V224="",1,V224),"Performance","Qualité"))))</f>
        <v>Disponibilité</v>
      </c>
      <c r="AA224" s="59">
        <f>IF(AC224=1,N(H224)*N(IFERROR(INDEX(art_cost,MATCH(E224,art_ref,0)),0)),"")</f>
        <v>0.0</v>
      </c>
      <c r="AB224" s="58" t="str">
        <f>IF(COUNTA(A224:I224)=0,"",IF(N(A224)&lt;=0,"Date manquante ou invalide",IF(B224="","Équipe manquante",IF(ISNA(MATCH(B224,eq_code,0)),"Équipe inconnue",IF(INDEX(eq_check,MATCH(B224,eq_code,0))&lt;&gt;"OK","Équipe à corriger dans Paramètres",IF(C224="","Poste manquant",IF(ISNA(MATCH(C224,po_code,0)),"Poste inconnu",IF(AND(E224&lt;&gt;"",ISNA(MATCH(E224,art_ref,0))),"Article inconnu",IF(IF(E224="",FALSE,INDEX(art_check,MATCH(E224,art_ref,0))&lt;&gt;"OK"),"Article à corriger (feuille Articles)",IF(COUNTIFS(sj_date,A224,sj_eq,B224,sj_po,C224)&gt;1,"Ligne en double (même jour, équipe et poste)",IF(OR(NOT(ISNUMBER(K224)),N(K224)&lt;=0,N(K224)&gt;1440),"Temps d'ouverture invalide",IF(OR(AND(G224&lt;&gt;"",NOT(ISNUMBER(G224))),N(G224)&lt;0,N(G224)&lt;&gt;INT(N(G224)),AND(H224&lt;&gt;"",NOT(ISNUMBER(H224))),N(H224)&lt;0,N(H224)&lt;&gt;INT(N(H224)),AND(I224&lt;&gt;"",NOT(ISNUMBER(I224))),N(I224)&lt;0,N(I224)&lt;&gt;INT(N(I224))),"Quantité invalide",IF(Q224&lt;=0,"Cadence manquante (poste ou article)",IF(M224&lt;=0,"Arrêts planifiés supérieurs au temps d'ouverture",IF(O224&lt;0,"Arrêts supérieurs au temps requis",IF(AND(P224&gt;0,O224=0),"Pièces déclarées sans temps de marche",IF(AND(P224=0,O224&gt;0),"Aucune pièce déclarée",IF(P224*60/Q224&gt;O224+0.001,"Cadence dépassée : vérifiez la cadence","OK"))))))))))))))))))</f>
        <v>OK</v>
      </c>
      <c r="AC224">
        <f>IF(OR(AB224="OK",AB224="Aucune pièce déclarée",AB224="Cadence dépassée : vérifiez la cadence"),1,0)</f>
        <v>1.0</v>
      </c>
      <c r="AD224">
        <f>IF(AND(AC224=1,A224&gt;=p_from,A224&lt;=p_to),1,0)</f>
        <v>1.0</v>
      </c>
      <c r="AE224">
        <f>IF(AD224=1,IF(COUNTIFS($A$6:A224,A224,$AD$6:AD224,1)=1,1,0),0)</f>
        <v>0.0</v>
      </c>
      <c r="AF224" t="str">
        <f>IF(AE224=1,COUNTIFS(sj_first,1,sj_date,"&lt;"&amp;A224)+1,"")</f>
        <v/>
      </c>
      <c r="AG224">
        <f>IF(AND(AD224=1,N(W224)&lt;p_alert),ROUND(W224,4),"")</f>
        <v>0.3667</v>
      </c>
      <c r="AH224">
        <f>IF(AG224="","",COUNTIF(sj_akey,"&lt;"&amp;AG224)+COUNTIF($AG$6:AG224,AG224))</f>
        <v>8.0</v>
      </c>
    </row>
    <row r="225">
      <c r="A225" s="51" t="n">
        <v>46315</v>
      </c>
      <c r="B225" s="52" t="inlineStr">
        <is>
          <t>Après-midi</t>
        </is>
      </c>
      <c r="C225" s="52" t="inlineStr">
        <is>
          <t>SOUD</t>
        </is>
      </c>
      <c r="D225" s="53" t="inlineStr">
        <is>
          <t>OF-2610-169</t>
        </is>
      </c>
      <c r="E225" s="53" t="inlineStr">
        <is>
          <t>CHA-REM-01</t>
        </is>
      </c>
      <c r="F225" s="54" t="n"/>
      <c r="G225" s="54" t="n">
        <v>17</v>
      </c>
      <c r="H225" s="54" t="n">
        <v>0</v>
      </c>
      <c r="I225" s="54" t="n">
        <v>0</v>
      </c>
      <c r="J225" s="53" t="n"/>
      <c r="K225" s="55">
        <f>IF(COUNTA(A225:I225)=0,"",IF(F225="",IFERROR(INDEX(eq_dur,MATCH(B225,eq_code,0)),""),F225))</f>
        <v>480.0</v>
      </c>
      <c r="L225" s="55">
        <f>IF(ISNUMBER(K225),N(IFERROR(INDEX(eq_pause,MATCH(B225,eq_code,0)),0))+SUMIFS(st_min,st_date,A225,st_eq,B225,st_po,C225,st_type,"Planifié"),"")</f>
        <v>30.0</v>
      </c>
      <c r="M225" s="55">
        <f>IF(ISNUMBER(K225),K225-L225,"")</f>
        <v>450.0</v>
      </c>
      <c r="N225" s="55">
        <f>IF(ISNUMBER(K225),SUMIFS(st_min,st_date,A225,st_eq,B225,st_po,C225,st_type,"Non planifié"),"")</f>
        <v>84.0</v>
      </c>
      <c r="O225" s="55">
        <f>IF(ISNUMBER(K225),M225-N225,"")</f>
        <v>366.0</v>
      </c>
      <c r="P225" s="55">
        <f>IF(COUNTA(A225:I225)=0,"",N(G225)+N(H225)+N(I225))</f>
        <v>17.0</v>
      </c>
      <c r="Q225" s="56">
        <f>IF(COUNTA(A225:I225)=0,"",IF(N(IFERROR(INDEX(art_rate,MATCH(E225,art_ref,0)),0))&gt;0,N(IFERROR(INDEX(art_rate,MATCH(E225,art_ref,0)),0)),N(IFERROR(INDEX(po_rate,MATCH(C225,po_code,0)),0))))</f>
        <v>4.0</v>
      </c>
      <c r="R225" s="55">
        <f>IF(AC225=1,P225*60/Q225,"")</f>
        <v>255.0</v>
      </c>
      <c r="S225" s="55">
        <f>IF(AC225=1,N(G225)*60/Q225,"")</f>
        <v>255.0</v>
      </c>
      <c r="T225" s="57">
        <f>IF(AC225=1,O225/M225,"")</f>
        <v>0.813333333333333</v>
      </c>
      <c r="U225" s="57">
        <f>IF(AC225=1,IF(O225&gt;0,R225/O225,""),"")</f>
        <v>0.69672131147541</v>
      </c>
      <c r="V225" s="57">
        <f>IF(AC225=1,IF(P225&gt;0,N(G225)/P225,""),"")</f>
        <v>1.0</v>
      </c>
      <c r="W225" s="57">
        <f>IF(AC225=1,S225/M225,"")</f>
        <v>0.566666666666667</v>
      </c>
      <c r="X225" s="57">
        <f>IF(AC225=1,S225/K225,"")</f>
        <v>0.53125</v>
      </c>
      <c r="Y225" s="58" t="str">
        <f>IF(W225="","",IF(W225&gt;=p_target,"Bon",IF(W225&gt;=p_alert,"À surveiller","Faible")))</f>
        <v>À surveiller</v>
      </c>
      <c r="Z225" s="58" t="str">
        <f>IF(W225="","",IF(MIN(IF(T225="",1,T225),IF(U225="",1,U225),IF(V225="",1,V225))&gt;=1,"Aucune",IF(IF(T225="",1,T225)&lt;=MIN(IF(U225="",1,U225),IF(V225="",1,V225)),"Disponibilité",IF(IF(U225="",1,U225)&lt;=IF(V225="",1,V225),"Performance","Qualité"))))</f>
        <v>Performance</v>
      </c>
      <c r="AA225" s="59">
        <f>IF(AC225=1,N(H225)*N(IFERROR(INDEX(art_cost,MATCH(E225,art_ref,0)),0)),"")</f>
        <v>0.0</v>
      </c>
      <c r="AB225" s="58" t="str">
        <f>IF(COUNTA(A225:I225)=0,"",IF(N(A225)&lt;=0,"Date manquante ou invalide",IF(B225="","Équipe manquante",IF(ISNA(MATCH(B225,eq_code,0)),"Équipe inconnue",IF(INDEX(eq_check,MATCH(B225,eq_code,0))&lt;&gt;"OK","Équipe à corriger dans Paramètres",IF(C225="","Poste manquant",IF(ISNA(MATCH(C225,po_code,0)),"Poste inconnu",IF(AND(E225&lt;&gt;"",ISNA(MATCH(E225,art_ref,0))),"Article inconnu",IF(IF(E225="",FALSE,INDEX(art_check,MATCH(E225,art_ref,0))&lt;&gt;"OK"),"Article à corriger (feuille Articles)",IF(COUNTIFS(sj_date,A225,sj_eq,B225,sj_po,C225)&gt;1,"Ligne en double (même jour, équipe et poste)",IF(OR(NOT(ISNUMBER(K225)),N(K225)&lt;=0,N(K225)&gt;1440),"Temps d'ouverture invalide",IF(OR(AND(G225&lt;&gt;"",NOT(ISNUMBER(G225))),N(G225)&lt;0,N(G225)&lt;&gt;INT(N(G225)),AND(H225&lt;&gt;"",NOT(ISNUMBER(H225))),N(H225)&lt;0,N(H225)&lt;&gt;INT(N(H225)),AND(I225&lt;&gt;"",NOT(ISNUMBER(I225))),N(I225)&lt;0,N(I225)&lt;&gt;INT(N(I225))),"Quantité invalide",IF(Q225&lt;=0,"Cadence manquante (poste ou article)",IF(M225&lt;=0,"Arrêts planifiés supérieurs au temps d'ouverture",IF(O225&lt;0,"Arrêts supérieurs au temps requis",IF(AND(P225&gt;0,O225=0),"Pièces déclarées sans temps de marche",IF(AND(P225=0,O225&gt;0),"Aucune pièce déclarée",IF(P225*60/Q225&gt;O225+0.001,"Cadence dépassée : vérifiez la cadence","OK"))))))))))))))))))</f>
        <v>OK</v>
      </c>
      <c r="AC225">
        <f>IF(OR(AB225="OK",AB225="Aucune pièce déclarée",AB225="Cadence dépassée : vérifiez la cadence"),1,0)</f>
        <v>1.0</v>
      </c>
      <c r="AD225">
        <f>IF(AND(AC225=1,A225&gt;=p_from,A225&lt;=p_to),1,0)</f>
        <v>1.0</v>
      </c>
      <c r="AE225">
        <f>IF(AD225=1,IF(COUNTIFS($A$6:A225,A225,$AD$6:AD225,1)=1,1,0),0)</f>
        <v>0.0</v>
      </c>
      <c r="AF225" t="str">
        <f>IF(AE225=1,COUNTIFS(sj_first,1,sj_date,"&lt;"&amp;A225)+1,"")</f>
        <v/>
      </c>
      <c r="AG225" t="str">
        <f>IF(AND(AD225=1,N(W225)&lt;p_alert),ROUND(W225,4),"")</f>
        <v/>
      </c>
      <c r="AH225" t="str">
        <f>IF(AG225="","",COUNTIF(sj_akey,"&lt;"&amp;AG225)+COUNTIF($AG$6:AG225,AG225))</f>
        <v/>
      </c>
    </row>
    <row r="226">
      <c r="A226" s="51" t="n">
        <v>46316</v>
      </c>
      <c r="B226" s="52" t="inlineStr">
        <is>
          <t>Matin</t>
        </is>
      </c>
      <c r="C226" s="52" t="inlineStr">
        <is>
          <t>TOUR1</t>
        </is>
      </c>
      <c r="D226" s="53" t="inlineStr">
        <is>
          <t>OF-2610-161</t>
        </is>
      </c>
      <c r="E226" s="53" t="inlineStr">
        <is>
          <t>BAG-BR-32</t>
        </is>
      </c>
      <c r="F226" s="54" t="n"/>
      <c r="G226" s="54" t="n">
        <v>286</v>
      </c>
      <c r="H226" s="54" t="n">
        <v>3</v>
      </c>
      <c r="I226" s="54" t="n">
        <v>3</v>
      </c>
      <c r="J226" s="53" t="n"/>
      <c r="K226" s="55">
        <f>IF(COUNTA(A226:I226)=0,"",IF(F226="",IFERROR(INDEX(eq_dur,MATCH(B226,eq_code,0)),""),F226))</f>
        <v>480.0</v>
      </c>
      <c r="L226" s="55">
        <f>IF(ISNUMBER(K226),N(IFERROR(INDEX(eq_pause,MATCH(B226,eq_code,0)),0))+SUMIFS(st_min,st_date,A226,st_eq,B226,st_po,C226,st_type,"Planifié"),"")</f>
        <v>30.0</v>
      </c>
      <c r="M226" s="55">
        <f>IF(ISNUMBER(K226),K226-L226,"")</f>
        <v>450.0</v>
      </c>
      <c r="N226" s="55">
        <f>IF(ISNUMBER(K226),SUMIFS(st_min,st_date,A226,st_eq,B226,st_po,C226,st_type,"Non planifié"),"")</f>
        <v>0.0</v>
      </c>
      <c r="O226" s="55">
        <f>IF(ISNUMBER(K226),M226-N226,"")</f>
        <v>450.0</v>
      </c>
      <c r="P226" s="55">
        <f>IF(COUNTA(A226:I226)=0,"",N(G226)+N(H226)+N(I226))</f>
        <v>292.0</v>
      </c>
      <c r="Q226" s="56">
        <f>IF(COUNTA(A226:I226)=0,"",IF(N(IFERROR(INDEX(art_rate,MATCH(E226,art_ref,0)),0))&gt;0,N(IFERROR(INDEX(art_rate,MATCH(E226,art_ref,0)),0)),N(IFERROR(INDEX(po_rate,MATCH(C226,po_code,0)),0))))</f>
        <v>40.0</v>
      </c>
      <c r="R226" s="55">
        <f>IF(AC226=1,P226*60/Q226,"")</f>
        <v>438.0</v>
      </c>
      <c r="S226" s="55">
        <f>IF(AC226=1,N(G226)*60/Q226,"")</f>
        <v>429.0</v>
      </c>
      <c r="T226" s="57">
        <f>IF(AC226=1,O226/M226,"")</f>
        <v>1.0</v>
      </c>
      <c r="U226" s="57">
        <f>IF(AC226=1,IF(O226&gt;0,R226/O226,""),"")</f>
        <v>0.973333333333333</v>
      </c>
      <c r="V226" s="57">
        <f>IF(AC226=1,IF(P226&gt;0,N(G226)/P226,""),"")</f>
        <v>0.979452054794521</v>
      </c>
      <c r="W226" s="57">
        <f>IF(AC226=1,S226/M226,"")</f>
        <v>0.953333333333333</v>
      </c>
      <c r="X226" s="57">
        <f>IF(AC226=1,S226/K226,"")</f>
        <v>0.89375</v>
      </c>
      <c r="Y226" s="58" t="str">
        <f>IF(W226="","",IF(W226&gt;=p_target,"Bon",IF(W226&gt;=p_alert,"À surveiller","Faible")))</f>
        <v>Bon</v>
      </c>
      <c r="Z226" s="58" t="str">
        <f>IF(W226="","",IF(MIN(IF(T226="",1,T226),IF(U226="",1,U226),IF(V226="",1,V226))&gt;=1,"Aucune",IF(IF(T226="",1,T226)&lt;=MIN(IF(U226="",1,U226),IF(V226="",1,V226)),"Disponibilité",IF(IF(U226="",1,U226)&lt;=IF(V226="",1,V226),"Performance","Qualité"))))</f>
        <v>Performance</v>
      </c>
      <c r="AA226" s="59">
        <f>IF(AC226=1,N(H226)*N(IFERROR(INDEX(art_cost,MATCH(E226,art_ref,0)),0)),"")</f>
        <v>156.0</v>
      </c>
      <c r="AB226" s="58" t="str">
        <f>IF(COUNTA(A226:I226)=0,"",IF(N(A226)&lt;=0,"Date manquante ou invalide",IF(B226="","Équipe manquante",IF(ISNA(MATCH(B226,eq_code,0)),"Équipe inconnue",IF(INDEX(eq_check,MATCH(B226,eq_code,0))&lt;&gt;"OK","Équipe à corriger dans Paramètres",IF(C226="","Poste manquant",IF(ISNA(MATCH(C226,po_code,0)),"Poste inconnu",IF(AND(E226&lt;&gt;"",ISNA(MATCH(E226,art_ref,0))),"Article inconnu",IF(IF(E226="",FALSE,INDEX(art_check,MATCH(E226,art_ref,0))&lt;&gt;"OK"),"Article à corriger (feuille Articles)",IF(COUNTIFS(sj_date,A226,sj_eq,B226,sj_po,C226)&gt;1,"Ligne en double (même jour, équipe et poste)",IF(OR(NOT(ISNUMBER(K226)),N(K226)&lt;=0,N(K226)&gt;1440),"Temps d'ouverture invalide",IF(OR(AND(G226&lt;&gt;"",NOT(ISNUMBER(G226))),N(G226)&lt;0,N(G226)&lt;&gt;INT(N(G226)),AND(H226&lt;&gt;"",NOT(ISNUMBER(H226))),N(H226)&lt;0,N(H226)&lt;&gt;INT(N(H226)),AND(I226&lt;&gt;"",NOT(ISNUMBER(I226))),N(I226)&lt;0,N(I226)&lt;&gt;INT(N(I226))),"Quantité invalide",IF(Q226&lt;=0,"Cadence manquante (poste ou article)",IF(M226&lt;=0,"Arrêts planifiés supérieurs au temps d'ouverture",IF(O226&lt;0,"Arrêts supérieurs au temps requis",IF(AND(P226&gt;0,O226=0),"Pièces déclarées sans temps de marche",IF(AND(P226=0,O226&gt;0),"Aucune pièce déclarée",IF(P226*60/Q226&gt;O226+0.001,"Cadence dépassée : vérifiez la cadence","OK"))))))))))))))))))</f>
        <v>OK</v>
      </c>
      <c r="AC226">
        <f>IF(OR(AB226="OK",AB226="Aucune pièce déclarée",AB226="Cadence dépassée : vérifiez la cadence"),1,0)</f>
        <v>1.0</v>
      </c>
      <c r="AD226">
        <f>IF(AND(AC226=1,A226&gt;=p_from,A226&lt;=p_to),1,0)</f>
        <v>1.0</v>
      </c>
      <c r="AE226">
        <f>IF(AD226=1,IF(COUNTIFS($A$6:A226,A226,$AD$6:AD226,1)=1,1,0),0)</f>
        <v>1.0</v>
      </c>
      <c r="AF226">
        <f>IF(AE226=1,COUNTIFS(sj_first,1,sj_date,"&lt;"&amp;A226)+1,"")</f>
        <v>23.0</v>
      </c>
      <c r="AG226" t="str">
        <f>IF(AND(AD226=1,N(W226)&lt;p_alert),ROUND(W226,4),"")</f>
        <v/>
      </c>
      <c r="AH226" t="str">
        <f>IF(AG226="","",COUNTIF(sj_akey,"&lt;"&amp;AG226)+COUNTIF($AG$6:AG226,AG226))</f>
        <v/>
      </c>
    </row>
    <row r="227">
      <c r="A227" s="51" t="n">
        <v>46316</v>
      </c>
      <c r="B227" s="52" t="inlineStr">
        <is>
          <t>Après-midi</t>
        </is>
      </c>
      <c r="C227" s="52" t="inlineStr">
        <is>
          <t>TOUR1</t>
        </is>
      </c>
      <c r="D227" s="53" t="inlineStr">
        <is>
          <t>OF-2610-174</t>
        </is>
      </c>
      <c r="E227" s="53" t="inlineStr">
        <is>
          <t>BAG-BR-32</t>
        </is>
      </c>
      <c r="F227" s="54" t="n"/>
      <c r="G227" s="54" t="n">
        <v>278</v>
      </c>
      <c r="H227" s="54" t="n">
        <v>3</v>
      </c>
      <c r="I227" s="54" t="n">
        <v>3</v>
      </c>
      <c r="J227" s="53" t="n"/>
      <c r="K227" s="55">
        <f>IF(COUNTA(A227:I227)=0,"",IF(F227="",IFERROR(INDEX(eq_dur,MATCH(B227,eq_code,0)),""),F227))</f>
        <v>480.0</v>
      </c>
      <c r="L227" s="55">
        <f>IF(ISNUMBER(K227),N(IFERROR(INDEX(eq_pause,MATCH(B227,eq_code,0)),0))+SUMIFS(st_min,st_date,A227,st_eq,B227,st_po,C227,st_type,"Planifié"),"")</f>
        <v>30.0</v>
      </c>
      <c r="M227" s="55">
        <f>IF(ISNUMBER(K227),K227-L227,"")</f>
        <v>450.0</v>
      </c>
      <c r="N227" s="55">
        <f>IF(ISNUMBER(K227),SUMIFS(st_min,st_date,A227,st_eq,B227,st_po,C227,st_type,"Non planifié"),"")</f>
        <v>0.0</v>
      </c>
      <c r="O227" s="55">
        <f>IF(ISNUMBER(K227),M227-N227,"")</f>
        <v>450.0</v>
      </c>
      <c r="P227" s="55">
        <f>IF(COUNTA(A227:I227)=0,"",N(G227)+N(H227)+N(I227))</f>
        <v>284.0</v>
      </c>
      <c r="Q227" s="56">
        <f>IF(COUNTA(A227:I227)=0,"",IF(N(IFERROR(INDEX(art_rate,MATCH(E227,art_ref,0)),0))&gt;0,N(IFERROR(INDEX(art_rate,MATCH(E227,art_ref,0)),0)),N(IFERROR(INDEX(po_rate,MATCH(C227,po_code,0)),0))))</f>
        <v>40.0</v>
      </c>
      <c r="R227" s="55">
        <f>IF(AC227=1,P227*60/Q227,"")</f>
        <v>426.0</v>
      </c>
      <c r="S227" s="55">
        <f>IF(AC227=1,N(G227)*60/Q227,"")</f>
        <v>417.0</v>
      </c>
      <c r="T227" s="57">
        <f>IF(AC227=1,O227/M227,"")</f>
        <v>1.0</v>
      </c>
      <c r="U227" s="57">
        <f>IF(AC227=1,IF(O227&gt;0,R227/O227,""),"")</f>
        <v>0.946666666666667</v>
      </c>
      <c r="V227" s="57">
        <f>IF(AC227=1,IF(P227&gt;0,N(G227)/P227,""),"")</f>
        <v>0.97887323943662</v>
      </c>
      <c r="W227" s="57">
        <f>IF(AC227=1,S227/M227,"")</f>
        <v>0.926666666666667</v>
      </c>
      <c r="X227" s="57">
        <f>IF(AC227=1,S227/K227,"")</f>
        <v>0.86875</v>
      </c>
      <c r="Y227" s="58" t="str">
        <f>IF(W227="","",IF(W227&gt;=p_target,"Bon",IF(W227&gt;=p_alert,"À surveiller","Faible")))</f>
        <v>Bon</v>
      </c>
      <c r="Z227" s="58" t="str">
        <f>IF(W227="","",IF(MIN(IF(T227="",1,T227),IF(U227="",1,U227),IF(V227="",1,V227))&gt;=1,"Aucune",IF(IF(T227="",1,T227)&lt;=MIN(IF(U227="",1,U227),IF(V227="",1,V227)),"Disponibilité",IF(IF(U227="",1,U227)&lt;=IF(V227="",1,V227),"Performance","Qualité"))))</f>
        <v>Performance</v>
      </c>
      <c r="AA227" s="59">
        <f>IF(AC227=1,N(H227)*N(IFERROR(INDEX(art_cost,MATCH(E227,art_ref,0)),0)),"")</f>
        <v>156.0</v>
      </c>
      <c r="AB227" s="58" t="str">
        <f>IF(COUNTA(A227:I227)=0,"",IF(N(A227)&lt;=0,"Date manquante ou invalide",IF(B227="","Équipe manquante",IF(ISNA(MATCH(B227,eq_code,0)),"Équipe inconnue",IF(INDEX(eq_check,MATCH(B227,eq_code,0))&lt;&gt;"OK","Équipe à corriger dans Paramètres",IF(C227="","Poste manquant",IF(ISNA(MATCH(C227,po_code,0)),"Poste inconnu",IF(AND(E227&lt;&gt;"",ISNA(MATCH(E227,art_ref,0))),"Article inconnu",IF(IF(E227="",FALSE,INDEX(art_check,MATCH(E227,art_ref,0))&lt;&gt;"OK"),"Article à corriger (feuille Articles)",IF(COUNTIFS(sj_date,A227,sj_eq,B227,sj_po,C227)&gt;1,"Ligne en double (même jour, équipe et poste)",IF(OR(NOT(ISNUMBER(K227)),N(K227)&lt;=0,N(K227)&gt;1440),"Temps d'ouverture invalide",IF(OR(AND(G227&lt;&gt;"",NOT(ISNUMBER(G227))),N(G227)&lt;0,N(G227)&lt;&gt;INT(N(G227)),AND(H227&lt;&gt;"",NOT(ISNUMBER(H227))),N(H227)&lt;0,N(H227)&lt;&gt;INT(N(H227)),AND(I227&lt;&gt;"",NOT(ISNUMBER(I227))),N(I227)&lt;0,N(I227)&lt;&gt;INT(N(I227))),"Quantité invalide",IF(Q227&lt;=0,"Cadence manquante (poste ou article)",IF(M227&lt;=0,"Arrêts planifiés supérieurs au temps d'ouverture",IF(O227&lt;0,"Arrêts supérieurs au temps requis",IF(AND(P227&gt;0,O227=0),"Pièces déclarées sans temps de marche",IF(AND(P227=0,O227&gt;0),"Aucune pièce déclarée",IF(P227*60/Q227&gt;O227+0.001,"Cadence dépassée : vérifiez la cadence","OK"))))))))))))))))))</f>
        <v>OK</v>
      </c>
      <c r="AC227">
        <f>IF(OR(AB227="OK",AB227="Aucune pièce déclarée",AB227="Cadence dépassée : vérifiez la cadence"),1,0)</f>
        <v>1.0</v>
      </c>
      <c r="AD227">
        <f>IF(AND(AC227=1,A227&gt;=p_from,A227&lt;=p_to),1,0)</f>
        <v>1.0</v>
      </c>
      <c r="AE227">
        <f>IF(AD227=1,IF(COUNTIFS($A$6:A227,A227,$AD$6:AD227,1)=1,1,0),0)</f>
        <v>0.0</v>
      </c>
      <c r="AF227" t="str">
        <f>IF(AE227=1,COUNTIFS(sj_first,1,sj_date,"&lt;"&amp;A227)+1,"")</f>
        <v/>
      </c>
      <c r="AG227" t="str">
        <f>IF(AND(AD227=1,N(W227)&lt;p_alert),ROUND(W227,4),"")</f>
        <v/>
      </c>
      <c r="AH227" t="str">
        <f>IF(AG227="","",COUNTIF(sj_akey,"&lt;"&amp;AG227)+COUNTIF($AG$6:AG227,AG227))</f>
        <v/>
      </c>
    </row>
    <row r="228">
      <c r="A228" s="51" t="n">
        <v>46316</v>
      </c>
      <c r="B228" s="52" t="inlineStr">
        <is>
          <t>Matin</t>
        </is>
      </c>
      <c r="C228" s="52" t="inlineStr">
        <is>
          <t>TOUR2</t>
        </is>
      </c>
      <c r="D228" s="53" t="inlineStr">
        <is>
          <t>OF-2610-164</t>
        </is>
      </c>
      <c r="E228" s="53" t="inlineStr">
        <is>
          <t>AXE-R20</t>
        </is>
      </c>
      <c r="F228" s="54" t="n"/>
      <c r="G228" s="54" t="n">
        <v>177</v>
      </c>
      <c r="H228" s="54" t="n">
        <v>6</v>
      </c>
      <c r="I228" s="54" t="n">
        <v>2</v>
      </c>
      <c r="J228" s="53" t="n"/>
      <c r="K228" s="55">
        <f>IF(COUNTA(A228:I228)=0,"",IF(F228="",IFERROR(INDEX(eq_dur,MATCH(B228,eq_code,0)),""),F228))</f>
        <v>480.0</v>
      </c>
      <c r="L228" s="55">
        <f>IF(ISNUMBER(K228),N(IFERROR(INDEX(eq_pause,MATCH(B228,eq_code,0)),0))+SUMIFS(st_min,st_date,A228,st_eq,B228,st_po,C228,st_type,"Planifié"),"")</f>
        <v>30.0</v>
      </c>
      <c r="M228" s="55">
        <f>IF(ISNUMBER(K228),K228-L228,"")</f>
        <v>450.0</v>
      </c>
      <c r="N228" s="55">
        <f>IF(ISNUMBER(K228),SUMIFS(st_min,st_date,A228,st_eq,B228,st_po,C228,st_type,"Non planifié"),"")</f>
        <v>15.0</v>
      </c>
      <c r="O228" s="55">
        <f>IF(ISNUMBER(K228),M228-N228,"")</f>
        <v>435.0</v>
      </c>
      <c r="P228" s="55">
        <f>IF(COUNTA(A228:I228)=0,"",N(G228)+N(H228)+N(I228))</f>
        <v>185.0</v>
      </c>
      <c r="Q228" s="56">
        <f>IF(COUNTA(A228:I228)=0,"",IF(N(IFERROR(INDEX(art_rate,MATCH(E228,art_ref,0)),0))&gt;0,N(IFERROR(INDEX(art_rate,MATCH(E228,art_ref,0)),0)),N(IFERROR(INDEX(po_rate,MATCH(C228,po_code,0)),0))))</f>
        <v>30.0</v>
      </c>
      <c r="R228" s="55">
        <f>IF(AC228=1,P228*60/Q228,"")</f>
        <v>370.0</v>
      </c>
      <c r="S228" s="55">
        <f>IF(AC228=1,N(G228)*60/Q228,"")</f>
        <v>354.0</v>
      </c>
      <c r="T228" s="57">
        <f>IF(AC228=1,O228/M228,"")</f>
        <v>0.966666666666667</v>
      </c>
      <c r="U228" s="57">
        <f>IF(AC228=1,IF(O228&gt;0,R228/O228,""),"")</f>
        <v>0.850574712643678</v>
      </c>
      <c r="V228" s="57">
        <f>IF(AC228=1,IF(P228&gt;0,N(G228)/P228,""),"")</f>
        <v>0.956756756756757</v>
      </c>
      <c r="W228" s="57">
        <f>IF(AC228=1,S228/M228,"")</f>
        <v>0.786666666666667</v>
      </c>
      <c r="X228" s="57">
        <f>IF(AC228=1,S228/K228,"")</f>
        <v>0.7375</v>
      </c>
      <c r="Y228" s="58" t="str">
        <f>IF(W228="","",IF(W228&gt;=p_target,"Bon",IF(W228&gt;=p_alert,"À surveiller","Faible")))</f>
        <v>Bon</v>
      </c>
      <c r="Z228" s="58" t="str">
        <f>IF(W228="","",IF(MIN(IF(T228="",1,T228),IF(U228="",1,U228),IF(V228="",1,V228))&gt;=1,"Aucune",IF(IF(T228="",1,T228)&lt;=MIN(IF(U228="",1,U228),IF(V228="",1,V228)),"Disponibilité",IF(IF(U228="",1,U228)&lt;=IF(V228="",1,V228),"Performance","Qualité"))))</f>
        <v>Performance</v>
      </c>
      <c r="AA228" s="59">
        <f>IF(AC228=1,N(H228)*N(IFERROR(INDEX(art_cost,MATCH(E228,art_ref,0)),0)),"")</f>
        <v>231.0</v>
      </c>
      <c r="AB228" s="58" t="str">
        <f>IF(COUNTA(A228:I228)=0,"",IF(N(A228)&lt;=0,"Date manquante ou invalide",IF(B228="","Équipe manquante",IF(ISNA(MATCH(B228,eq_code,0)),"Équipe inconnue",IF(INDEX(eq_check,MATCH(B228,eq_code,0))&lt;&gt;"OK","Équipe à corriger dans Paramètres",IF(C228="","Poste manquant",IF(ISNA(MATCH(C228,po_code,0)),"Poste inconnu",IF(AND(E228&lt;&gt;"",ISNA(MATCH(E228,art_ref,0))),"Article inconnu",IF(IF(E228="",FALSE,INDEX(art_check,MATCH(E228,art_ref,0))&lt;&gt;"OK"),"Article à corriger (feuille Articles)",IF(COUNTIFS(sj_date,A228,sj_eq,B228,sj_po,C228)&gt;1,"Ligne en double (même jour, équipe et poste)",IF(OR(NOT(ISNUMBER(K228)),N(K228)&lt;=0,N(K228)&gt;1440),"Temps d'ouverture invalide",IF(OR(AND(G228&lt;&gt;"",NOT(ISNUMBER(G228))),N(G228)&lt;0,N(G228)&lt;&gt;INT(N(G228)),AND(H228&lt;&gt;"",NOT(ISNUMBER(H228))),N(H228)&lt;0,N(H228)&lt;&gt;INT(N(H228)),AND(I228&lt;&gt;"",NOT(ISNUMBER(I228))),N(I228)&lt;0,N(I228)&lt;&gt;INT(N(I228))),"Quantité invalide",IF(Q228&lt;=0,"Cadence manquante (poste ou article)",IF(M228&lt;=0,"Arrêts planifiés supérieurs au temps d'ouverture",IF(O228&lt;0,"Arrêts supérieurs au temps requis",IF(AND(P228&gt;0,O228=0),"Pièces déclarées sans temps de marche",IF(AND(P228=0,O228&gt;0),"Aucune pièce déclarée",IF(P228*60/Q228&gt;O228+0.001,"Cadence dépassée : vérifiez la cadence","OK"))))))))))))))))))</f>
        <v>OK</v>
      </c>
      <c r="AC228">
        <f>IF(OR(AB228="OK",AB228="Aucune pièce déclarée",AB228="Cadence dépassée : vérifiez la cadence"),1,0)</f>
        <v>1.0</v>
      </c>
      <c r="AD228">
        <f>IF(AND(AC228=1,A228&gt;=p_from,A228&lt;=p_to),1,0)</f>
        <v>1.0</v>
      </c>
      <c r="AE228">
        <f>IF(AD228=1,IF(COUNTIFS($A$6:A228,A228,$AD$6:AD228,1)=1,1,0),0)</f>
        <v>0.0</v>
      </c>
      <c r="AF228" t="str">
        <f>IF(AE228=1,COUNTIFS(sj_first,1,sj_date,"&lt;"&amp;A228)+1,"")</f>
        <v/>
      </c>
      <c r="AG228" t="str">
        <f>IF(AND(AD228=1,N(W228)&lt;p_alert),ROUND(W228,4),"")</f>
        <v/>
      </c>
      <c r="AH228" t="str">
        <f>IF(AG228="","",COUNTIF(sj_akey,"&lt;"&amp;AG228)+COUNTIF($AG$6:AG228,AG228))</f>
        <v/>
      </c>
    </row>
    <row r="229">
      <c r="A229" s="51" t="n">
        <v>46316</v>
      </c>
      <c r="B229" s="52" t="inlineStr">
        <is>
          <t>Après-midi</t>
        </is>
      </c>
      <c r="C229" s="52" t="inlineStr">
        <is>
          <t>TOUR2</t>
        </is>
      </c>
      <c r="D229" s="53" t="inlineStr">
        <is>
          <t>OF-2610-175</t>
        </is>
      </c>
      <c r="E229" s="53" t="inlineStr">
        <is>
          <t>ENT-12</t>
        </is>
      </c>
      <c r="F229" s="54" t="n"/>
      <c r="G229" s="54" t="n">
        <v>289</v>
      </c>
      <c r="H229" s="54" t="n">
        <v>8</v>
      </c>
      <c r="I229" s="54" t="n">
        <v>3</v>
      </c>
      <c r="J229" s="53" t="n"/>
      <c r="K229" s="55">
        <f>IF(COUNTA(A229:I229)=0,"",IF(F229="",IFERROR(INDEX(eq_dur,MATCH(B229,eq_code,0)),""),F229))</f>
        <v>480.0</v>
      </c>
      <c r="L229" s="55">
        <f>IF(ISNUMBER(K229),N(IFERROR(INDEX(eq_pause,MATCH(B229,eq_code,0)),0))+SUMIFS(st_min,st_date,A229,st_eq,B229,st_po,C229,st_type,"Planifié"),"")</f>
        <v>30.0</v>
      </c>
      <c r="M229" s="55">
        <f>IF(ISNUMBER(K229),K229-L229,"")</f>
        <v>450.0</v>
      </c>
      <c r="N229" s="55">
        <f>IF(ISNUMBER(K229),SUMIFS(st_min,st_date,A229,st_eq,B229,st_po,C229,st_type,"Non planifié"),"")</f>
        <v>90.0</v>
      </c>
      <c r="O229" s="55">
        <f>IF(ISNUMBER(K229),M229-N229,"")</f>
        <v>360.0</v>
      </c>
      <c r="P229" s="55">
        <f>IF(COUNTA(A229:I229)=0,"",N(G229)+N(H229)+N(I229))</f>
        <v>300.0</v>
      </c>
      <c r="Q229" s="56">
        <f>IF(COUNTA(A229:I229)=0,"",IF(N(IFERROR(INDEX(art_rate,MATCH(E229,art_ref,0)),0))&gt;0,N(IFERROR(INDEX(art_rate,MATCH(E229,art_ref,0)),0)),N(IFERROR(INDEX(po_rate,MATCH(C229,po_code,0)),0))))</f>
        <v>55.0</v>
      </c>
      <c r="R229" s="55">
        <f>IF(AC229=1,P229*60/Q229,"")</f>
        <v>327.272727272727</v>
      </c>
      <c r="S229" s="55">
        <f>IF(AC229=1,N(G229)*60/Q229,"")</f>
        <v>315.272727272727</v>
      </c>
      <c r="T229" s="57">
        <f>IF(AC229=1,O229/M229,"")</f>
        <v>0.8</v>
      </c>
      <c r="U229" s="57">
        <f>IF(AC229=1,IF(O229&gt;0,R229/O229,""),"")</f>
        <v>0.909090909090909</v>
      </c>
      <c r="V229" s="57">
        <f>IF(AC229=1,IF(P229&gt;0,N(G229)/P229,""),"")</f>
        <v>0.963333333333333</v>
      </c>
      <c r="W229" s="57">
        <f>IF(AC229=1,S229/M229,"")</f>
        <v>0.700606060606061</v>
      </c>
      <c r="X229" s="57">
        <f>IF(AC229=1,S229/K229,"")</f>
        <v>0.656818181818182</v>
      </c>
      <c r="Y229" s="58" t="str">
        <f>IF(W229="","",IF(W229&gt;=p_target,"Bon",IF(W229&gt;=p_alert,"À surveiller","Faible")))</f>
        <v>À surveiller</v>
      </c>
      <c r="Z229" s="58" t="str">
        <f>IF(W229="","",IF(MIN(IF(T229="",1,T229),IF(U229="",1,U229),IF(V229="",1,V229))&gt;=1,"Aucune",IF(IF(T229="",1,T229)&lt;=MIN(IF(U229="",1,U229),IF(V229="",1,V229)),"Disponibilité",IF(IF(U229="",1,U229)&lt;=IF(V229="",1,V229),"Performance","Qualité"))))</f>
        <v>Disponibilité</v>
      </c>
      <c r="AA229" s="59">
        <f>IF(AC229=1,N(H229)*N(IFERROR(INDEX(art_cost,MATCH(E229,art_ref,0)),0)),"")</f>
        <v>54.4</v>
      </c>
      <c r="AB229" s="58" t="str">
        <f>IF(COUNTA(A229:I229)=0,"",IF(N(A229)&lt;=0,"Date manquante ou invalide",IF(B229="","Équipe manquante",IF(ISNA(MATCH(B229,eq_code,0)),"Équipe inconnue",IF(INDEX(eq_check,MATCH(B229,eq_code,0))&lt;&gt;"OK","Équipe à corriger dans Paramètres",IF(C229="","Poste manquant",IF(ISNA(MATCH(C229,po_code,0)),"Poste inconnu",IF(AND(E229&lt;&gt;"",ISNA(MATCH(E229,art_ref,0))),"Article inconnu",IF(IF(E229="",FALSE,INDEX(art_check,MATCH(E229,art_ref,0))&lt;&gt;"OK"),"Article à corriger (feuille Articles)",IF(COUNTIFS(sj_date,A229,sj_eq,B229,sj_po,C229)&gt;1,"Ligne en double (même jour, équipe et poste)",IF(OR(NOT(ISNUMBER(K229)),N(K229)&lt;=0,N(K229)&gt;1440),"Temps d'ouverture invalide",IF(OR(AND(G229&lt;&gt;"",NOT(ISNUMBER(G229))),N(G229)&lt;0,N(G229)&lt;&gt;INT(N(G229)),AND(H229&lt;&gt;"",NOT(ISNUMBER(H229))),N(H229)&lt;0,N(H229)&lt;&gt;INT(N(H229)),AND(I229&lt;&gt;"",NOT(ISNUMBER(I229))),N(I229)&lt;0,N(I229)&lt;&gt;INT(N(I229))),"Quantité invalide",IF(Q229&lt;=0,"Cadence manquante (poste ou article)",IF(M229&lt;=0,"Arrêts planifiés supérieurs au temps d'ouverture",IF(O229&lt;0,"Arrêts supérieurs au temps requis",IF(AND(P229&gt;0,O229=0),"Pièces déclarées sans temps de marche",IF(AND(P229=0,O229&gt;0),"Aucune pièce déclarée",IF(P229*60/Q229&gt;O229+0.001,"Cadence dépassée : vérifiez la cadence","OK"))))))))))))))))))</f>
        <v>OK</v>
      </c>
      <c r="AC229">
        <f>IF(OR(AB229="OK",AB229="Aucune pièce déclarée",AB229="Cadence dépassée : vérifiez la cadence"),1,0)</f>
        <v>1.0</v>
      </c>
      <c r="AD229">
        <f>IF(AND(AC229=1,A229&gt;=p_from,A229&lt;=p_to),1,0)</f>
        <v>1.0</v>
      </c>
      <c r="AE229">
        <f>IF(AD229=1,IF(COUNTIFS($A$6:A229,A229,$AD$6:AD229,1)=1,1,0),0)</f>
        <v>0.0</v>
      </c>
      <c r="AF229" t="str">
        <f>IF(AE229=1,COUNTIFS(sj_first,1,sj_date,"&lt;"&amp;A229)+1,"")</f>
        <v/>
      </c>
      <c r="AG229" t="str">
        <f>IF(AND(AD229=1,N(W229)&lt;p_alert),ROUND(W229,4),"")</f>
        <v/>
      </c>
      <c r="AH229" t="str">
        <f>IF(AG229="","",COUNTIF(sj_akey,"&lt;"&amp;AG229)+COUNTIF($AG$6:AG229,AG229))</f>
        <v/>
      </c>
    </row>
    <row r="230">
      <c r="A230" s="51" t="n">
        <v>46316</v>
      </c>
      <c r="B230" s="52" t="inlineStr">
        <is>
          <t>Matin</t>
        </is>
      </c>
      <c r="C230" s="52" t="inlineStr">
        <is>
          <t>USIN</t>
        </is>
      </c>
      <c r="D230" s="53" t="inlineStr">
        <is>
          <t>OF-2610-177</t>
        </is>
      </c>
      <c r="E230" s="53" t="inlineStr">
        <is>
          <t>CAR-BOI-04</t>
        </is>
      </c>
      <c r="F230" s="54" t="n"/>
      <c r="G230" s="54" t="n">
        <v>28</v>
      </c>
      <c r="H230" s="54" t="n">
        <v>0</v>
      </c>
      <c r="I230" s="54" t="n">
        <v>0</v>
      </c>
      <c r="J230" s="53" t="n"/>
      <c r="K230" s="55">
        <f>IF(COUNTA(A230:I230)=0,"",IF(F230="",IFERROR(INDEX(eq_dur,MATCH(B230,eq_code,0)),""),F230))</f>
        <v>480.0</v>
      </c>
      <c r="L230" s="55">
        <f>IF(ISNUMBER(K230),N(IFERROR(INDEX(eq_pause,MATCH(B230,eq_code,0)),0))+SUMIFS(st_min,st_date,A230,st_eq,B230,st_po,C230,st_type,"Planifié"),"")</f>
        <v>30.0</v>
      </c>
      <c r="M230" s="55">
        <f>IF(ISNUMBER(K230),K230-L230,"")</f>
        <v>450.0</v>
      </c>
      <c r="N230" s="55">
        <f>IF(ISNUMBER(K230),SUMIFS(st_min,st_date,A230,st_eq,B230,st_po,C230,st_type,"Non planifié"),"")</f>
        <v>125.0</v>
      </c>
      <c r="O230" s="55">
        <f>IF(ISNUMBER(K230),M230-N230,"")</f>
        <v>325.0</v>
      </c>
      <c r="P230" s="55">
        <f>IF(COUNTA(A230:I230)=0,"",N(G230)+N(H230)+N(I230))</f>
        <v>28.0</v>
      </c>
      <c r="Q230" s="56">
        <f>IF(COUNTA(A230:I230)=0,"",IF(N(IFERROR(INDEX(art_rate,MATCH(E230,art_ref,0)),0))&gt;0,N(IFERROR(INDEX(art_rate,MATCH(E230,art_ref,0)),0)),N(IFERROR(INDEX(po_rate,MATCH(C230,po_code,0)),0))))</f>
        <v>6.0</v>
      </c>
      <c r="R230" s="55">
        <f>IF(AC230=1,P230*60/Q230,"")</f>
        <v>280.0</v>
      </c>
      <c r="S230" s="55">
        <f>IF(AC230=1,N(G230)*60/Q230,"")</f>
        <v>280.0</v>
      </c>
      <c r="T230" s="57">
        <f>IF(AC230=1,O230/M230,"")</f>
        <v>0.722222222222222</v>
      </c>
      <c r="U230" s="57">
        <f>IF(AC230=1,IF(O230&gt;0,R230/O230,""),"")</f>
        <v>0.861538461538462</v>
      </c>
      <c r="V230" s="57">
        <f>IF(AC230=1,IF(P230&gt;0,N(G230)/P230,""),"")</f>
        <v>1.0</v>
      </c>
      <c r="W230" s="57">
        <f>IF(AC230=1,S230/M230,"")</f>
        <v>0.622222222222222</v>
      </c>
      <c r="X230" s="57">
        <f>IF(AC230=1,S230/K230,"")</f>
        <v>0.583333333333333</v>
      </c>
      <c r="Y230" s="58" t="str">
        <f>IF(W230="","",IF(W230&gt;=p_target,"Bon",IF(W230&gt;=p_alert,"À surveiller","Faible")))</f>
        <v>À surveiller</v>
      </c>
      <c r="Z230" s="58" t="str">
        <f>IF(W230="","",IF(MIN(IF(T230="",1,T230),IF(U230="",1,U230),IF(V230="",1,V230))&gt;=1,"Aucune",IF(IF(T230="",1,T230)&lt;=MIN(IF(U230="",1,U230),IF(V230="",1,V230)),"Disponibilité",IF(IF(U230="",1,U230)&lt;=IF(V230="",1,V230),"Performance","Qualité"))))</f>
        <v>Disponibilité</v>
      </c>
      <c r="AA230" s="59">
        <f>IF(AC230=1,N(H230)*N(IFERROR(INDEX(art_cost,MATCH(E230,art_ref,0)),0)),"")</f>
        <v>0.0</v>
      </c>
      <c r="AB230" s="58" t="str">
        <f>IF(COUNTA(A230:I230)=0,"",IF(N(A230)&lt;=0,"Date manquante ou invalide",IF(B230="","Équipe manquante",IF(ISNA(MATCH(B230,eq_code,0)),"Équipe inconnue",IF(INDEX(eq_check,MATCH(B230,eq_code,0))&lt;&gt;"OK","Équipe à corriger dans Paramètres",IF(C230="","Poste manquant",IF(ISNA(MATCH(C230,po_code,0)),"Poste inconnu",IF(AND(E230&lt;&gt;"",ISNA(MATCH(E230,art_ref,0))),"Article inconnu",IF(IF(E230="",FALSE,INDEX(art_check,MATCH(E230,art_ref,0))&lt;&gt;"OK"),"Article à corriger (feuille Articles)",IF(COUNTIFS(sj_date,A230,sj_eq,B230,sj_po,C230)&gt;1,"Ligne en double (même jour, équipe et poste)",IF(OR(NOT(ISNUMBER(K230)),N(K230)&lt;=0,N(K230)&gt;1440),"Temps d'ouverture invalide",IF(OR(AND(G230&lt;&gt;"",NOT(ISNUMBER(G230))),N(G230)&lt;0,N(G230)&lt;&gt;INT(N(G230)),AND(H230&lt;&gt;"",NOT(ISNUMBER(H230))),N(H230)&lt;0,N(H230)&lt;&gt;INT(N(H230)),AND(I230&lt;&gt;"",NOT(ISNUMBER(I230))),N(I230)&lt;0,N(I230)&lt;&gt;INT(N(I230))),"Quantité invalide",IF(Q230&lt;=0,"Cadence manquante (poste ou article)",IF(M230&lt;=0,"Arrêts planifiés supérieurs au temps d'ouverture",IF(O230&lt;0,"Arrêts supérieurs au temps requis",IF(AND(P230&gt;0,O230=0),"Pièces déclarées sans temps de marche",IF(AND(P230=0,O230&gt;0),"Aucune pièce déclarée",IF(P230*60/Q230&gt;O230+0.001,"Cadence dépassée : vérifiez la cadence","OK"))))))))))))))))))</f>
        <v>OK</v>
      </c>
      <c r="AC230">
        <f>IF(OR(AB230="OK",AB230="Aucune pièce déclarée",AB230="Cadence dépassée : vérifiez la cadence"),1,0)</f>
        <v>1.0</v>
      </c>
      <c r="AD230">
        <f>IF(AND(AC230=1,A230&gt;=p_from,A230&lt;=p_to),1,0)</f>
        <v>1.0</v>
      </c>
      <c r="AE230">
        <f>IF(AD230=1,IF(COUNTIFS($A$6:A230,A230,$AD$6:AD230,1)=1,1,0),0)</f>
        <v>0.0</v>
      </c>
      <c r="AF230" t="str">
        <f>IF(AE230=1,COUNTIFS(sj_first,1,sj_date,"&lt;"&amp;A230)+1,"")</f>
        <v/>
      </c>
      <c r="AG230" t="str">
        <f>IF(AND(AD230=1,N(W230)&lt;p_alert),ROUND(W230,4),"")</f>
        <v/>
      </c>
      <c r="AH230" t="str">
        <f>IF(AG230="","",COUNTIF(sj_akey,"&lt;"&amp;AG230)+COUNTIF($AG$6:AG230,AG230))</f>
        <v/>
      </c>
    </row>
    <row r="231">
      <c r="A231" s="51" t="n">
        <v>46316</v>
      </c>
      <c r="B231" s="52" t="inlineStr">
        <is>
          <t>Après-midi</t>
        </is>
      </c>
      <c r="C231" s="52" t="inlineStr">
        <is>
          <t>USIN</t>
        </is>
      </c>
      <c r="D231" s="53" t="inlineStr">
        <is>
          <t>OF-2610-178</t>
        </is>
      </c>
      <c r="E231" s="53" t="inlineStr">
        <is>
          <t>CAR-BOI-04</t>
        </is>
      </c>
      <c r="F231" s="54" t="n"/>
      <c r="G231" s="54" t="n">
        <v>33</v>
      </c>
      <c r="H231" s="54" t="n">
        <v>0</v>
      </c>
      <c r="I231" s="54" t="n">
        <v>0</v>
      </c>
      <c r="J231" s="53" t="n"/>
      <c r="K231" s="55">
        <f>IF(COUNTA(A231:I231)=0,"",IF(F231="",IFERROR(INDEX(eq_dur,MATCH(B231,eq_code,0)),""),F231))</f>
        <v>480.0</v>
      </c>
      <c r="L231" s="55">
        <f>IF(ISNUMBER(K231),N(IFERROR(INDEX(eq_pause,MATCH(B231,eq_code,0)),0))+SUMIFS(st_min,st_date,A231,st_eq,B231,st_po,C231,st_type,"Planifié"),"")</f>
        <v>30.0</v>
      </c>
      <c r="M231" s="55">
        <f>IF(ISNUMBER(K231),K231-L231,"")</f>
        <v>450.0</v>
      </c>
      <c r="N231" s="55">
        <f>IF(ISNUMBER(K231),SUMIFS(st_min,st_date,A231,st_eq,B231,st_po,C231,st_type,"Non planifié"),"")</f>
        <v>61.0</v>
      </c>
      <c r="O231" s="55">
        <f>IF(ISNUMBER(K231),M231-N231,"")</f>
        <v>389.0</v>
      </c>
      <c r="P231" s="55">
        <f>IF(COUNTA(A231:I231)=0,"",N(G231)+N(H231)+N(I231))</f>
        <v>33.0</v>
      </c>
      <c r="Q231" s="56">
        <f>IF(COUNTA(A231:I231)=0,"",IF(N(IFERROR(INDEX(art_rate,MATCH(E231,art_ref,0)),0))&gt;0,N(IFERROR(INDEX(art_rate,MATCH(E231,art_ref,0)),0)),N(IFERROR(INDEX(po_rate,MATCH(C231,po_code,0)),0))))</f>
        <v>6.0</v>
      </c>
      <c r="R231" s="55">
        <f>IF(AC231=1,P231*60/Q231,"")</f>
        <v>330.0</v>
      </c>
      <c r="S231" s="55">
        <f>IF(AC231=1,N(G231)*60/Q231,"")</f>
        <v>330.0</v>
      </c>
      <c r="T231" s="57">
        <f>IF(AC231=1,O231/M231,"")</f>
        <v>0.864444444444445</v>
      </c>
      <c r="U231" s="57">
        <f>IF(AC231=1,IF(O231&gt;0,R231/O231,""),"")</f>
        <v>0.848329048843188</v>
      </c>
      <c r="V231" s="57">
        <f>IF(AC231=1,IF(P231&gt;0,N(G231)/P231,""),"")</f>
        <v>1.0</v>
      </c>
      <c r="W231" s="57">
        <f>IF(AC231=1,S231/M231,"")</f>
        <v>0.733333333333333</v>
      </c>
      <c r="X231" s="57">
        <f>IF(AC231=1,S231/K231,"")</f>
        <v>0.6875</v>
      </c>
      <c r="Y231" s="58" t="str">
        <f>IF(W231="","",IF(W231&gt;=p_target,"Bon",IF(W231&gt;=p_alert,"À surveiller","Faible")))</f>
        <v>À surveiller</v>
      </c>
      <c r="Z231" s="58" t="str">
        <f>IF(W231="","",IF(MIN(IF(T231="",1,T231),IF(U231="",1,U231),IF(V231="",1,V231))&gt;=1,"Aucune",IF(IF(T231="",1,T231)&lt;=MIN(IF(U231="",1,U231),IF(V231="",1,V231)),"Disponibilité",IF(IF(U231="",1,U231)&lt;=IF(V231="",1,V231),"Performance","Qualité"))))</f>
        <v>Performance</v>
      </c>
      <c r="AA231" s="59">
        <f>IF(AC231=1,N(H231)*N(IFERROR(INDEX(art_cost,MATCH(E231,art_ref,0)),0)),"")</f>
        <v>0.0</v>
      </c>
      <c r="AB231" s="58" t="str">
        <f>IF(COUNTA(A231:I231)=0,"",IF(N(A231)&lt;=0,"Date manquante ou invalide",IF(B231="","Équipe manquante",IF(ISNA(MATCH(B231,eq_code,0)),"Équipe inconnue",IF(INDEX(eq_check,MATCH(B231,eq_code,0))&lt;&gt;"OK","Équipe à corriger dans Paramètres",IF(C231="","Poste manquant",IF(ISNA(MATCH(C231,po_code,0)),"Poste inconnu",IF(AND(E231&lt;&gt;"",ISNA(MATCH(E231,art_ref,0))),"Article inconnu",IF(IF(E231="",FALSE,INDEX(art_check,MATCH(E231,art_ref,0))&lt;&gt;"OK"),"Article à corriger (feuille Articles)",IF(COUNTIFS(sj_date,A231,sj_eq,B231,sj_po,C231)&gt;1,"Ligne en double (même jour, équipe et poste)",IF(OR(NOT(ISNUMBER(K231)),N(K231)&lt;=0,N(K231)&gt;1440),"Temps d'ouverture invalide",IF(OR(AND(G231&lt;&gt;"",NOT(ISNUMBER(G231))),N(G231)&lt;0,N(G231)&lt;&gt;INT(N(G231)),AND(H231&lt;&gt;"",NOT(ISNUMBER(H231))),N(H231)&lt;0,N(H231)&lt;&gt;INT(N(H231)),AND(I231&lt;&gt;"",NOT(ISNUMBER(I231))),N(I231)&lt;0,N(I231)&lt;&gt;INT(N(I231))),"Quantité invalide",IF(Q231&lt;=0,"Cadence manquante (poste ou article)",IF(M231&lt;=0,"Arrêts planifiés supérieurs au temps d'ouverture",IF(O231&lt;0,"Arrêts supérieurs au temps requis",IF(AND(P231&gt;0,O231=0),"Pièces déclarées sans temps de marche",IF(AND(P231=0,O231&gt;0),"Aucune pièce déclarée",IF(P231*60/Q231&gt;O231+0.001,"Cadence dépassée : vérifiez la cadence","OK"))))))))))))))))))</f>
        <v>OK</v>
      </c>
      <c r="AC231">
        <f>IF(OR(AB231="OK",AB231="Aucune pièce déclarée",AB231="Cadence dépassée : vérifiez la cadence"),1,0)</f>
        <v>1.0</v>
      </c>
      <c r="AD231">
        <f>IF(AND(AC231=1,A231&gt;=p_from,A231&lt;=p_to),1,0)</f>
        <v>1.0</v>
      </c>
      <c r="AE231">
        <f>IF(AD231=1,IF(COUNTIFS($A$6:A231,A231,$AD$6:AD231,1)=1,1,0),0)</f>
        <v>0.0</v>
      </c>
      <c r="AF231" t="str">
        <f>IF(AE231=1,COUNTIFS(sj_first,1,sj_date,"&lt;"&amp;A231)+1,"")</f>
        <v/>
      </c>
      <c r="AG231" t="str">
        <f>IF(AND(AD231=1,N(W231)&lt;p_alert),ROUND(W231,4),"")</f>
        <v/>
      </c>
      <c r="AH231" t="str">
        <f>IF(AG231="","",COUNTIF(sj_akey,"&lt;"&amp;AG231)+COUNTIF($AG$6:AG231,AG231))</f>
        <v/>
      </c>
    </row>
    <row r="232">
      <c r="A232" s="51" t="n">
        <v>46316</v>
      </c>
      <c r="B232" s="52" t="inlineStr">
        <is>
          <t>Matin</t>
        </is>
      </c>
      <c r="C232" s="52" t="inlineStr">
        <is>
          <t>PRESSE</t>
        </is>
      </c>
      <c r="D232" s="53" t="inlineStr">
        <is>
          <t>OF-2610-179</t>
        </is>
      </c>
      <c r="E232" s="53" t="inlineStr">
        <is>
          <t>PAT-FIX-10</t>
        </is>
      </c>
      <c r="F232" s="54" t="n"/>
      <c r="G232" s="54" t="n">
        <v>2569</v>
      </c>
      <c r="H232" s="54" t="n">
        <v>27</v>
      </c>
      <c r="I232" s="54" t="n">
        <v>27</v>
      </c>
      <c r="J232" s="53" t="n"/>
      <c r="K232" s="55">
        <f>IF(COUNTA(A232:I232)=0,"",IF(F232="",IFERROR(INDEX(eq_dur,MATCH(B232,eq_code,0)),""),F232))</f>
        <v>480.0</v>
      </c>
      <c r="L232" s="55">
        <f>IF(ISNUMBER(K232),N(IFERROR(INDEX(eq_pause,MATCH(B232,eq_code,0)),0))+SUMIFS(st_min,st_date,A232,st_eq,B232,st_po,C232,st_type,"Planifié"),"")</f>
        <v>30.0</v>
      </c>
      <c r="M232" s="55">
        <f>IF(ISNUMBER(K232),K232-L232,"")</f>
        <v>450.0</v>
      </c>
      <c r="N232" s="55">
        <f>IF(ISNUMBER(K232),SUMIFS(st_min,st_date,A232,st_eq,B232,st_po,C232,st_type,"Non planifié"),"")</f>
        <v>49.0</v>
      </c>
      <c r="O232" s="55">
        <f>IF(ISNUMBER(K232),M232-N232,"")</f>
        <v>401.0</v>
      </c>
      <c r="P232" s="55">
        <f>IF(COUNTA(A232:I232)=0,"",N(G232)+N(H232)+N(I232))</f>
        <v>2623.0</v>
      </c>
      <c r="Q232" s="56">
        <f>IF(COUNTA(A232:I232)=0,"",IF(N(IFERROR(INDEX(art_rate,MATCH(E232,art_ref,0)),0))&gt;0,N(IFERROR(INDEX(art_rate,MATCH(E232,art_ref,0)),0)),N(IFERROR(INDEX(po_rate,MATCH(C232,po_code,0)),0))))</f>
        <v>420.0</v>
      </c>
      <c r="R232" s="55">
        <f>IF(AC232=1,P232*60/Q232,"")</f>
        <v>374.714285714286</v>
      </c>
      <c r="S232" s="55">
        <f>IF(AC232=1,N(G232)*60/Q232,"")</f>
        <v>367.0</v>
      </c>
      <c r="T232" s="57">
        <f>IF(AC232=1,O232/M232,"")</f>
        <v>0.891111111111111</v>
      </c>
      <c r="U232" s="57">
        <f>IF(AC232=1,IF(O232&gt;0,R232/O232,""),"")</f>
        <v>0.93444959030994</v>
      </c>
      <c r="V232" s="57">
        <f>IF(AC232=1,IF(P232&gt;0,N(G232)/P232,""),"")</f>
        <v>0.979412886008387</v>
      </c>
      <c r="W232" s="57">
        <f>IF(AC232=1,S232/M232,"")</f>
        <v>0.815555555555556</v>
      </c>
      <c r="X232" s="57">
        <f>IF(AC232=1,S232/K232,"")</f>
        <v>0.764583333333333</v>
      </c>
      <c r="Y232" s="58" t="str">
        <f>IF(W232="","",IF(W232&gt;=p_target,"Bon",IF(W232&gt;=p_alert,"À surveiller","Faible")))</f>
        <v>Bon</v>
      </c>
      <c r="Z232" s="58" t="str">
        <f>IF(W232="","",IF(MIN(IF(T232="",1,T232),IF(U232="",1,U232),IF(V232="",1,V232))&gt;=1,"Aucune",IF(IF(T232="",1,T232)&lt;=MIN(IF(U232="",1,U232),IF(V232="",1,V232)),"Disponibilité",IF(IF(U232="",1,U232)&lt;=IF(V232="",1,V232),"Performance","Qualité"))))</f>
        <v>Disponibilité</v>
      </c>
      <c r="AA232" s="59">
        <f>IF(AC232=1,N(H232)*N(IFERROR(INDEX(art_cost,MATCH(E232,art_ref,0)),0)),"")</f>
        <v>113.4</v>
      </c>
      <c r="AB232" s="58" t="str">
        <f>IF(COUNTA(A232:I232)=0,"",IF(N(A232)&lt;=0,"Date manquante ou invalide",IF(B232="","Équipe manquante",IF(ISNA(MATCH(B232,eq_code,0)),"Équipe inconnue",IF(INDEX(eq_check,MATCH(B232,eq_code,0))&lt;&gt;"OK","Équipe à corriger dans Paramètres",IF(C232="","Poste manquant",IF(ISNA(MATCH(C232,po_code,0)),"Poste inconnu",IF(AND(E232&lt;&gt;"",ISNA(MATCH(E232,art_ref,0))),"Article inconnu",IF(IF(E232="",FALSE,INDEX(art_check,MATCH(E232,art_ref,0))&lt;&gt;"OK"),"Article à corriger (feuille Articles)",IF(COUNTIFS(sj_date,A232,sj_eq,B232,sj_po,C232)&gt;1,"Ligne en double (même jour, équipe et poste)",IF(OR(NOT(ISNUMBER(K232)),N(K232)&lt;=0,N(K232)&gt;1440),"Temps d'ouverture invalide",IF(OR(AND(G232&lt;&gt;"",NOT(ISNUMBER(G232))),N(G232)&lt;0,N(G232)&lt;&gt;INT(N(G232)),AND(H232&lt;&gt;"",NOT(ISNUMBER(H232))),N(H232)&lt;0,N(H232)&lt;&gt;INT(N(H232)),AND(I232&lt;&gt;"",NOT(ISNUMBER(I232))),N(I232)&lt;0,N(I232)&lt;&gt;INT(N(I232))),"Quantité invalide",IF(Q232&lt;=0,"Cadence manquante (poste ou article)",IF(M232&lt;=0,"Arrêts planifiés supérieurs au temps d'ouverture",IF(O232&lt;0,"Arrêts supérieurs au temps requis",IF(AND(P232&gt;0,O232=0),"Pièces déclarées sans temps de marche",IF(AND(P232=0,O232&gt;0),"Aucune pièce déclarée",IF(P232*60/Q232&gt;O232+0.001,"Cadence dépassée : vérifiez la cadence","OK"))))))))))))))))))</f>
        <v>OK</v>
      </c>
      <c r="AC232">
        <f>IF(OR(AB232="OK",AB232="Aucune pièce déclarée",AB232="Cadence dépassée : vérifiez la cadence"),1,0)</f>
        <v>1.0</v>
      </c>
      <c r="AD232">
        <f>IF(AND(AC232=1,A232&gt;=p_from,A232&lt;=p_to),1,0)</f>
        <v>1.0</v>
      </c>
      <c r="AE232">
        <f>IF(AD232=1,IF(COUNTIFS($A$6:A232,A232,$AD$6:AD232,1)=1,1,0),0)</f>
        <v>0.0</v>
      </c>
      <c r="AF232" t="str">
        <f>IF(AE232=1,COUNTIFS(sj_first,1,sj_date,"&lt;"&amp;A232)+1,"")</f>
        <v/>
      </c>
      <c r="AG232" t="str">
        <f>IF(AND(AD232=1,N(W232)&lt;p_alert),ROUND(W232,4),"")</f>
        <v/>
      </c>
      <c r="AH232" t="str">
        <f>IF(AG232="","",COUNTIF(sj_akey,"&lt;"&amp;AG232)+COUNTIF($AG$6:AG232,AG232))</f>
        <v/>
      </c>
    </row>
    <row r="233">
      <c r="A233" s="51" t="n">
        <v>46316</v>
      </c>
      <c r="B233" s="52" t="inlineStr">
        <is>
          <t>Journée</t>
        </is>
      </c>
      <c r="C233" s="52" t="inlineStr">
        <is>
          <t>PLIE</t>
        </is>
      </c>
      <c r="D233" s="53" t="inlineStr">
        <is>
          <t>OF-2610-180</t>
        </is>
      </c>
      <c r="E233" s="53" t="inlineStr">
        <is>
          <t>GAR-SUP-02</t>
        </is>
      </c>
      <c r="F233" s="54" t="n"/>
      <c r="G233" s="54" t="n">
        <v>473</v>
      </c>
      <c r="H233" s="54" t="n">
        <v>10</v>
      </c>
      <c r="I233" s="54" t="n">
        <v>6</v>
      </c>
      <c r="J233" s="53" t="n"/>
      <c r="K233" s="55">
        <f>IF(COUNTA(A233:I233)=0,"",IF(F233="",IFERROR(INDEX(eq_dur,MATCH(B233,eq_code,0)),""),F233))</f>
        <v>540.0</v>
      </c>
      <c r="L233" s="55">
        <f>IF(ISNUMBER(K233),N(IFERROR(INDEX(eq_pause,MATCH(B233,eq_code,0)),0))+SUMIFS(st_min,st_date,A233,st_eq,B233,st_po,C233,st_type,"Planifié"),"")</f>
        <v>60.0</v>
      </c>
      <c r="M233" s="55">
        <f>IF(ISNUMBER(K233),K233-L233,"")</f>
        <v>480.0</v>
      </c>
      <c r="N233" s="55">
        <f>IF(ISNUMBER(K233),SUMIFS(st_min,st_date,A233,st_eq,B233,st_po,C233,st_type,"Non planifié"),"")</f>
        <v>136.0</v>
      </c>
      <c r="O233" s="55">
        <f>IF(ISNUMBER(K233),M233-N233,"")</f>
        <v>344.0</v>
      </c>
      <c r="P233" s="55">
        <f>IF(COUNTA(A233:I233)=0,"",N(G233)+N(H233)+N(I233))</f>
        <v>489.0</v>
      </c>
      <c r="Q233" s="56">
        <f>IF(COUNTA(A233:I233)=0,"",IF(N(IFERROR(INDEX(art_rate,MATCH(E233,art_ref,0)),0))&gt;0,N(IFERROR(INDEX(art_rate,MATCH(E233,art_ref,0)),0)),N(IFERROR(INDEX(po_rate,MATCH(C233,po_code,0)),0))))</f>
        <v>110.0</v>
      </c>
      <c r="R233" s="55">
        <f>IF(AC233=1,P233*60/Q233,"")</f>
        <v>266.727272727273</v>
      </c>
      <c r="S233" s="55">
        <f>IF(AC233=1,N(G233)*60/Q233,"")</f>
        <v>258.0</v>
      </c>
      <c r="T233" s="57">
        <f>IF(AC233=1,O233/M233,"")</f>
        <v>0.716666666666667</v>
      </c>
      <c r="U233" s="57">
        <f>IF(AC233=1,IF(O233&gt;0,R233/O233,""),"")</f>
        <v>0.775369978858351</v>
      </c>
      <c r="V233" s="57">
        <f>IF(AC233=1,IF(P233&gt;0,N(G233)/P233,""),"")</f>
        <v>0.967280163599182</v>
      </c>
      <c r="W233" s="57">
        <f>IF(AC233=1,S233/M233,"")</f>
        <v>0.5375</v>
      </c>
      <c r="X233" s="57">
        <f>IF(AC233=1,S233/K233,"")</f>
        <v>0.477777777777778</v>
      </c>
      <c r="Y233" s="58" t="str">
        <f>IF(W233="","",IF(W233&gt;=p_target,"Bon",IF(W233&gt;=p_alert,"À surveiller","Faible")))</f>
        <v>Faible</v>
      </c>
      <c r="Z233" s="58" t="str">
        <f>IF(W233="","",IF(MIN(IF(T233="",1,T233),IF(U233="",1,U233),IF(V233="",1,V233))&gt;=1,"Aucune",IF(IF(T233="",1,T233)&lt;=MIN(IF(U233="",1,U233),IF(V233="",1,V233)),"Disponibilité",IF(IF(U233="",1,U233)&lt;=IF(V233="",1,V233),"Performance","Qualité"))))</f>
        <v>Disponibilité</v>
      </c>
      <c r="AA233" s="59">
        <f>IF(AC233=1,N(H233)*N(IFERROR(INDEX(art_cost,MATCH(E233,art_ref,0)),0)),"")</f>
        <v>215.0</v>
      </c>
      <c r="AB233" s="58" t="str">
        <f>IF(COUNTA(A233:I233)=0,"",IF(N(A233)&lt;=0,"Date manquante ou invalide",IF(B233="","Équipe manquante",IF(ISNA(MATCH(B233,eq_code,0)),"Équipe inconnue",IF(INDEX(eq_check,MATCH(B233,eq_code,0))&lt;&gt;"OK","Équipe à corriger dans Paramètres",IF(C233="","Poste manquant",IF(ISNA(MATCH(C233,po_code,0)),"Poste inconnu",IF(AND(E233&lt;&gt;"",ISNA(MATCH(E233,art_ref,0))),"Article inconnu",IF(IF(E233="",FALSE,INDEX(art_check,MATCH(E233,art_ref,0))&lt;&gt;"OK"),"Article à corriger (feuille Articles)",IF(COUNTIFS(sj_date,A233,sj_eq,B233,sj_po,C233)&gt;1,"Ligne en double (même jour, équipe et poste)",IF(OR(NOT(ISNUMBER(K233)),N(K233)&lt;=0,N(K233)&gt;1440),"Temps d'ouverture invalide",IF(OR(AND(G233&lt;&gt;"",NOT(ISNUMBER(G233))),N(G233)&lt;0,N(G233)&lt;&gt;INT(N(G233)),AND(H233&lt;&gt;"",NOT(ISNUMBER(H233))),N(H233)&lt;0,N(H233)&lt;&gt;INT(N(H233)),AND(I233&lt;&gt;"",NOT(ISNUMBER(I233))),N(I233)&lt;0,N(I233)&lt;&gt;INT(N(I233))),"Quantité invalide",IF(Q233&lt;=0,"Cadence manquante (poste ou article)",IF(M233&lt;=0,"Arrêts planifiés supérieurs au temps d'ouverture",IF(O233&lt;0,"Arrêts supérieurs au temps requis",IF(AND(P233&gt;0,O233=0),"Pièces déclarées sans temps de marche",IF(AND(P233=0,O233&gt;0),"Aucune pièce déclarée",IF(P233*60/Q233&gt;O233+0.001,"Cadence dépassée : vérifiez la cadence","OK"))))))))))))))))))</f>
        <v>OK</v>
      </c>
      <c r="AC233">
        <f>IF(OR(AB233="OK",AB233="Aucune pièce déclarée",AB233="Cadence dépassée : vérifiez la cadence"),1,0)</f>
        <v>1.0</v>
      </c>
      <c r="AD233">
        <f>IF(AND(AC233=1,A233&gt;=p_from,A233&lt;=p_to),1,0)</f>
        <v>1.0</v>
      </c>
      <c r="AE233">
        <f>IF(AD233=1,IF(COUNTIFS($A$6:A233,A233,$AD$6:AD233,1)=1,1,0),0)</f>
        <v>0.0</v>
      </c>
      <c r="AF233" t="str">
        <f>IF(AE233=1,COUNTIFS(sj_first,1,sj_date,"&lt;"&amp;A233)+1,"")</f>
        <v/>
      </c>
      <c r="AG233">
        <f>IF(AND(AD233=1,N(W233)&lt;p_alert),ROUND(W233,4),"")</f>
        <v>0.5375</v>
      </c>
      <c r="AH233">
        <f>IF(AG233="","",COUNTIF(sj_akey,"&lt;"&amp;AG233)+COUNTIF($AG$6:AG233,AG233))</f>
        <v>32.0</v>
      </c>
    </row>
    <row r="234">
      <c r="A234" s="51" t="n">
        <v>46316</v>
      </c>
      <c r="B234" s="52" t="inlineStr">
        <is>
          <t>Matin</t>
        </is>
      </c>
      <c r="C234" s="52" t="inlineStr">
        <is>
          <t>SOUD</t>
        </is>
      </c>
      <c r="D234" s="53" t="inlineStr">
        <is>
          <t>OF-2610-181</t>
        </is>
      </c>
      <c r="E234" s="53" t="inlineStr">
        <is>
          <t>BRA-SUS-02</t>
        </is>
      </c>
      <c r="F234" s="54" t="n"/>
      <c r="G234" s="54" t="n">
        <v>87</v>
      </c>
      <c r="H234" s="54" t="n">
        <v>2</v>
      </c>
      <c r="I234" s="54" t="n">
        <v>0</v>
      </c>
      <c r="J234" s="53" t="n"/>
      <c r="K234" s="55">
        <f>IF(COUNTA(A234:I234)=0,"",IF(F234="",IFERROR(INDEX(eq_dur,MATCH(B234,eq_code,0)),""),F234))</f>
        <v>480.0</v>
      </c>
      <c r="L234" s="55">
        <f>IF(ISNUMBER(K234),N(IFERROR(INDEX(eq_pause,MATCH(B234,eq_code,0)),0))+SUMIFS(st_min,st_date,A234,st_eq,B234,st_po,C234,st_type,"Planifié"),"")</f>
        <v>30.0</v>
      </c>
      <c r="M234" s="55">
        <f>IF(ISNUMBER(K234),K234-L234,"")</f>
        <v>450.0</v>
      </c>
      <c r="N234" s="55">
        <f>IF(ISNUMBER(K234),SUMIFS(st_min,st_date,A234,st_eq,B234,st_po,C234,st_type,"Non planifié"),"")</f>
        <v>125.0</v>
      </c>
      <c r="O234" s="55">
        <f>IF(ISNUMBER(K234),M234-N234,"")</f>
        <v>325.0</v>
      </c>
      <c r="P234" s="55">
        <f>IF(COUNTA(A234:I234)=0,"",N(G234)+N(H234)+N(I234))</f>
        <v>89.0</v>
      </c>
      <c r="Q234" s="56">
        <f>IF(COUNTA(A234:I234)=0,"",IF(N(IFERROR(INDEX(art_rate,MATCH(E234,art_ref,0)),0))&gt;0,N(IFERROR(INDEX(art_rate,MATCH(E234,art_ref,0)),0)),N(IFERROR(INDEX(po_rate,MATCH(C234,po_code,0)),0))))</f>
        <v>20.0</v>
      </c>
      <c r="R234" s="55">
        <f>IF(AC234=1,P234*60/Q234,"")</f>
        <v>267.0</v>
      </c>
      <c r="S234" s="55">
        <f>IF(AC234=1,N(G234)*60/Q234,"")</f>
        <v>261.0</v>
      </c>
      <c r="T234" s="57">
        <f>IF(AC234=1,O234/M234,"")</f>
        <v>0.722222222222222</v>
      </c>
      <c r="U234" s="57">
        <f>IF(AC234=1,IF(O234&gt;0,R234/O234,""),"")</f>
        <v>0.821538461538462</v>
      </c>
      <c r="V234" s="57">
        <f>IF(AC234=1,IF(P234&gt;0,N(G234)/P234,""),"")</f>
        <v>0.97752808988764</v>
      </c>
      <c r="W234" s="57">
        <f>IF(AC234=1,S234/M234,"")</f>
        <v>0.58</v>
      </c>
      <c r="X234" s="57">
        <f>IF(AC234=1,S234/K234,"")</f>
        <v>0.54375</v>
      </c>
      <c r="Y234" s="58" t="str">
        <f>IF(W234="","",IF(W234&gt;=p_target,"Bon",IF(W234&gt;=p_alert,"À surveiller","Faible")))</f>
        <v>À surveiller</v>
      </c>
      <c r="Z234" s="58" t="str">
        <f>IF(W234="","",IF(MIN(IF(T234="",1,T234),IF(U234="",1,U234),IF(V234="",1,V234))&gt;=1,"Aucune",IF(IF(T234="",1,T234)&lt;=MIN(IF(U234="",1,U234),IF(V234="",1,V234)),"Disponibilité",IF(IF(U234="",1,U234)&lt;=IF(V234="",1,V234),"Performance","Qualité"))))</f>
        <v>Disponibilité</v>
      </c>
      <c r="AA234" s="59">
        <f>IF(AC234=1,N(H234)*N(IFERROR(INDEX(art_cost,MATCH(E234,art_ref,0)),0)),"")</f>
        <v>476.0</v>
      </c>
      <c r="AB234" s="58" t="str">
        <f>IF(COUNTA(A234:I234)=0,"",IF(N(A234)&lt;=0,"Date manquante ou invalide",IF(B234="","Équipe manquante",IF(ISNA(MATCH(B234,eq_code,0)),"Équipe inconnue",IF(INDEX(eq_check,MATCH(B234,eq_code,0))&lt;&gt;"OK","Équipe à corriger dans Paramètres",IF(C234="","Poste manquant",IF(ISNA(MATCH(C234,po_code,0)),"Poste inconnu",IF(AND(E234&lt;&gt;"",ISNA(MATCH(E234,art_ref,0))),"Article inconnu",IF(IF(E234="",FALSE,INDEX(art_check,MATCH(E234,art_ref,0))&lt;&gt;"OK"),"Article à corriger (feuille Articles)",IF(COUNTIFS(sj_date,A234,sj_eq,B234,sj_po,C234)&gt;1,"Ligne en double (même jour, équipe et poste)",IF(OR(NOT(ISNUMBER(K234)),N(K234)&lt;=0,N(K234)&gt;1440),"Temps d'ouverture invalide",IF(OR(AND(G234&lt;&gt;"",NOT(ISNUMBER(G234))),N(G234)&lt;0,N(G234)&lt;&gt;INT(N(G234)),AND(H234&lt;&gt;"",NOT(ISNUMBER(H234))),N(H234)&lt;0,N(H234)&lt;&gt;INT(N(H234)),AND(I234&lt;&gt;"",NOT(ISNUMBER(I234))),N(I234)&lt;0,N(I234)&lt;&gt;INT(N(I234))),"Quantité invalide",IF(Q234&lt;=0,"Cadence manquante (poste ou article)",IF(M234&lt;=0,"Arrêts planifiés supérieurs au temps d'ouverture",IF(O234&lt;0,"Arrêts supérieurs au temps requis",IF(AND(P234&gt;0,O234=0),"Pièces déclarées sans temps de marche",IF(AND(P234=0,O234&gt;0),"Aucune pièce déclarée",IF(P234*60/Q234&gt;O234+0.001,"Cadence dépassée : vérifiez la cadence","OK"))))))))))))))))))</f>
        <v>OK</v>
      </c>
      <c r="AC234">
        <f>IF(OR(AB234="OK",AB234="Aucune pièce déclarée",AB234="Cadence dépassée : vérifiez la cadence"),1,0)</f>
        <v>1.0</v>
      </c>
      <c r="AD234">
        <f>IF(AND(AC234=1,A234&gt;=p_from,A234&lt;=p_to),1,0)</f>
        <v>1.0</v>
      </c>
      <c r="AE234">
        <f>IF(AD234=1,IF(COUNTIFS($A$6:A234,A234,$AD$6:AD234,1)=1,1,0),0)</f>
        <v>0.0</v>
      </c>
      <c r="AF234" t="str">
        <f>IF(AE234=1,COUNTIFS(sj_first,1,sj_date,"&lt;"&amp;A234)+1,"")</f>
        <v/>
      </c>
      <c r="AG234" t="str">
        <f>IF(AND(AD234=1,N(W234)&lt;p_alert),ROUND(W234,4),"")</f>
        <v/>
      </c>
      <c r="AH234" t="str">
        <f>IF(AG234="","",COUNTIF(sj_akey,"&lt;"&amp;AG234)+COUNTIF($AG$6:AG234,AG234))</f>
        <v/>
      </c>
    </row>
    <row r="235">
      <c r="A235" s="51" t="n">
        <v>46316</v>
      </c>
      <c r="B235" s="52" t="inlineStr">
        <is>
          <t>Après-midi</t>
        </is>
      </c>
      <c r="C235" s="52" t="inlineStr">
        <is>
          <t>SOUD</t>
        </is>
      </c>
      <c r="D235" s="53" t="inlineStr">
        <is>
          <t>OF-2610-169</t>
        </is>
      </c>
      <c r="E235" s="53" t="inlineStr">
        <is>
          <t>CHA-REM-01</t>
        </is>
      </c>
      <c r="F235" s="54" t="n"/>
      <c r="G235" s="54" t="n">
        <v>27</v>
      </c>
      <c r="H235" s="54" t="n">
        <v>0</v>
      </c>
      <c r="I235" s="54" t="n">
        <v>0</v>
      </c>
      <c r="J235" s="53" t="n"/>
      <c r="K235" s="55">
        <f>IF(COUNTA(A235:I235)=0,"",IF(F235="",IFERROR(INDEX(eq_dur,MATCH(B235,eq_code,0)),""),F235))</f>
        <v>480.0</v>
      </c>
      <c r="L235" s="55">
        <f>IF(ISNUMBER(K235),N(IFERROR(INDEX(eq_pause,MATCH(B235,eq_code,0)),0))+SUMIFS(st_min,st_date,A235,st_eq,B235,st_po,C235,st_type,"Planifié"),"")</f>
        <v>30.0</v>
      </c>
      <c r="M235" s="55">
        <f>IF(ISNUMBER(K235),K235-L235,"")</f>
        <v>450.0</v>
      </c>
      <c r="N235" s="55">
        <f>IF(ISNUMBER(K235),SUMIFS(st_min,st_date,A235,st_eq,B235,st_po,C235,st_type,"Non planifié"),"")</f>
        <v>0.0</v>
      </c>
      <c r="O235" s="55">
        <f>IF(ISNUMBER(K235),M235-N235,"")</f>
        <v>450.0</v>
      </c>
      <c r="P235" s="55">
        <f>IF(COUNTA(A235:I235)=0,"",N(G235)+N(H235)+N(I235))</f>
        <v>27.0</v>
      </c>
      <c r="Q235" s="56">
        <f>IF(COUNTA(A235:I235)=0,"",IF(N(IFERROR(INDEX(art_rate,MATCH(E235,art_ref,0)),0))&gt;0,N(IFERROR(INDEX(art_rate,MATCH(E235,art_ref,0)),0)),N(IFERROR(INDEX(po_rate,MATCH(C235,po_code,0)),0))))</f>
        <v>4.0</v>
      </c>
      <c r="R235" s="55">
        <f>IF(AC235=1,P235*60/Q235,"")</f>
        <v>405.0</v>
      </c>
      <c r="S235" s="55">
        <f>IF(AC235=1,N(G235)*60/Q235,"")</f>
        <v>405.0</v>
      </c>
      <c r="T235" s="57">
        <f>IF(AC235=1,O235/M235,"")</f>
        <v>1.0</v>
      </c>
      <c r="U235" s="57">
        <f>IF(AC235=1,IF(O235&gt;0,R235/O235,""),"")</f>
        <v>0.9</v>
      </c>
      <c r="V235" s="57">
        <f>IF(AC235=1,IF(P235&gt;0,N(G235)/P235,""),"")</f>
        <v>1.0</v>
      </c>
      <c r="W235" s="57">
        <f>IF(AC235=1,S235/M235,"")</f>
        <v>0.9</v>
      </c>
      <c r="X235" s="57">
        <f>IF(AC235=1,S235/K235,"")</f>
        <v>0.84375</v>
      </c>
      <c r="Y235" s="58" t="str">
        <f>IF(W235="","",IF(W235&gt;=p_target,"Bon",IF(W235&gt;=p_alert,"À surveiller","Faible")))</f>
        <v>Bon</v>
      </c>
      <c r="Z235" s="58" t="str">
        <f>IF(W235="","",IF(MIN(IF(T235="",1,T235),IF(U235="",1,U235),IF(V235="",1,V235))&gt;=1,"Aucune",IF(IF(T235="",1,T235)&lt;=MIN(IF(U235="",1,U235),IF(V235="",1,V235)),"Disponibilité",IF(IF(U235="",1,U235)&lt;=IF(V235="",1,V235),"Performance","Qualité"))))</f>
        <v>Performance</v>
      </c>
      <c r="AA235" s="59">
        <f>IF(AC235=1,N(H235)*N(IFERROR(INDEX(art_cost,MATCH(E235,art_ref,0)),0)),"")</f>
        <v>0.0</v>
      </c>
      <c r="AB235" s="58" t="str">
        <f>IF(COUNTA(A235:I235)=0,"",IF(N(A235)&lt;=0,"Date manquante ou invalide",IF(B235="","Équipe manquante",IF(ISNA(MATCH(B235,eq_code,0)),"Équipe inconnue",IF(INDEX(eq_check,MATCH(B235,eq_code,0))&lt;&gt;"OK","Équipe à corriger dans Paramètres",IF(C235="","Poste manquant",IF(ISNA(MATCH(C235,po_code,0)),"Poste inconnu",IF(AND(E235&lt;&gt;"",ISNA(MATCH(E235,art_ref,0))),"Article inconnu",IF(IF(E235="",FALSE,INDEX(art_check,MATCH(E235,art_ref,0))&lt;&gt;"OK"),"Article à corriger (feuille Articles)",IF(COUNTIFS(sj_date,A235,sj_eq,B235,sj_po,C235)&gt;1,"Ligne en double (même jour, équipe et poste)",IF(OR(NOT(ISNUMBER(K235)),N(K235)&lt;=0,N(K235)&gt;1440),"Temps d'ouverture invalide",IF(OR(AND(G235&lt;&gt;"",NOT(ISNUMBER(G235))),N(G235)&lt;0,N(G235)&lt;&gt;INT(N(G235)),AND(H235&lt;&gt;"",NOT(ISNUMBER(H235))),N(H235)&lt;0,N(H235)&lt;&gt;INT(N(H235)),AND(I235&lt;&gt;"",NOT(ISNUMBER(I235))),N(I235)&lt;0,N(I235)&lt;&gt;INT(N(I235))),"Quantité invalide",IF(Q235&lt;=0,"Cadence manquante (poste ou article)",IF(M235&lt;=0,"Arrêts planifiés supérieurs au temps d'ouverture",IF(O235&lt;0,"Arrêts supérieurs au temps requis",IF(AND(P235&gt;0,O235=0),"Pièces déclarées sans temps de marche",IF(AND(P235=0,O235&gt;0),"Aucune pièce déclarée",IF(P235*60/Q235&gt;O235+0.001,"Cadence dépassée : vérifiez la cadence","OK"))))))))))))))))))</f>
        <v>OK</v>
      </c>
      <c r="AC235">
        <f>IF(OR(AB235="OK",AB235="Aucune pièce déclarée",AB235="Cadence dépassée : vérifiez la cadence"),1,0)</f>
        <v>1.0</v>
      </c>
      <c r="AD235">
        <f>IF(AND(AC235=1,A235&gt;=p_from,A235&lt;=p_to),1,0)</f>
        <v>1.0</v>
      </c>
      <c r="AE235">
        <f>IF(AD235=1,IF(COUNTIFS($A$6:A235,A235,$AD$6:AD235,1)=1,1,0),0)</f>
        <v>0.0</v>
      </c>
      <c r="AF235" t="str">
        <f>IF(AE235=1,COUNTIFS(sj_first,1,sj_date,"&lt;"&amp;A235)+1,"")</f>
        <v/>
      </c>
      <c r="AG235" t="str">
        <f>IF(AND(AD235=1,N(W235)&lt;p_alert),ROUND(W235,4),"")</f>
        <v/>
      </c>
      <c r="AH235" t="str">
        <f>IF(AG235="","",COUNTIF(sj_akey,"&lt;"&amp;AG235)+COUNTIF($AG$6:AG235,AG235))</f>
        <v/>
      </c>
    </row>
    <row r="236">
      <c r="A236" s="51" t="n">
        <v>46317</v>
      </c>
      <c r="B236" s="52" t="inlineStr">
        <is>
          <t>Matin</t>
        </is>
      </c>
      <c r="C236" s="52" t="inlineStr">
        <is>
          <t>TOUR1</t>
        </is>
      </c>
      <c r="D236" s="53" t="inlineStr">
        <is>
          <t>OF-2610-161</t>
        </is>
      </c>
      <c r="E236" s="53" t="inlineStr">
        <is>
          <t>BAG-BR-32</t>
        </is>
      </c>
      <c r="F236" s="54" t="n"/>
      <c r="G236" s="54" t="n">
        <v>247</v>
      </c>
      <c r="H236" s="54" t="n">
        <v>2</v>
      </c>
      <c r="I236" s="54" t="n">
        <v>3</v>
      </c>
      <c r="J236" s="53" t="n"/>
      <c r="K236" s="55">
        <f>IF(COUNTA(A236:I236)=0,"",IF(F236="",IFERROR(INDEX(eq_dur,MATCH(B236,eq_code,0)),""),F236))</f>
        <v>480.0</v>
      </c>
      <c r="L236" s="55">
        <f>IF(ISNUMBER(K236),N(IFERROR(INDEX(eq_pause,MATCH(B236,eq_code,0)),0))+SUMIFS(st_min,st_date,A236,st_eq,B236,st_po,C236,st_type,"Planifié"),"")</f>
        <v>30.0</v>
      </c>
      <c r="M236" s="55">
        <f>IF(ISNUMBER(K236),K236-L236,"")</f>
        <v>450.0</v>
      </c>
      <c r="N236" s="55">
        <f>IF(ISNUMBER(K236),SUMIFS(st_min,st_date,A236,st_eq,B236,st_po,C236,st_type,"Non planifié"),"")</f>
        <v>21.0</v>
      </c>
      <c r="O236" s="55">
        <f>IF(ISNUMBER(K236),M236-N236,"")</f>
        <v>429.0</v>
      </c>
      <c r="P236" s="55">
        <f>IF(COUNTA(A236:I236)=0,"",N(G236)+N(H236)+N(I236))</f>
        <v>252.0</v>
      </c>
      <c r="Q236" s="56">
        <f>IF(COUNTA(A236:I236)=0,"",IF(N(IFERROR(INDEX(art_rate,MATCH(E236,art_ref,0)),0))&gt;0,N(IFERROR(INDEX(art_rate,MATCH(E236,art_ref,0)),0)),N(IFERROR(INDEX(po_rate,MATCH(C236,po_code,0)),0))))</f>
        <v>40.0</v>
      </c>
      <c r="R236" s="55">
        <f>IF(AC236=1,P236*60/Q236,"")</f>
        <v>378.0</v>
      </c>
      <c r="S236" s="55">
        <f>IF(AC236=1,N(G236)*60/Q236,"")</f>
        <v>370.5</v>
      </c>
      <c r="T236" s="57">
        <f>IF(AC236=1,O236/M236,"")</f>
        <v>0.953333333333333</v>
      </c>
      <c r="U236" s="57">
        <f>IF(AC236=1,IF(O236&gt;0,R236/O236,""),"")</f>
        <v>0.881118881118881</v>
      </c>
      <c r="V236" s="57">
        <f>IF(AC236=1,IF(P236&gt;0,N(G236)/P236,""),"")</f>
        <v>0.98015873015873</v>
      </c>
      <c r="W236" s="57">
        <f>IF(AC236=1,S236/M236,"")</f>
        <v>0.823333333333333</v>
      </c>
      <c r="X236" s="57">
        <f>IF(AC236=1,S236/K236,"")</f>
        <v>0.771875</v>
      </c>
      <c r="Y236" s="58" t="str">
        <f>IF(W236="","",IF(W236&gt;=p_target,"Bon",IF(W236&gt;=p_alert,"À surveiller","Faible")))</f>
        <v>Bon</v>
      </c>
      <c r="Z236" s="58" t="str">
        <f>IF(W236="","",IF(MIN(IF(T236="",1,T236),IF(U236="",1,U236),IF(V236="",1,V236))&gt;=1,"Aucune",IF(IF(T236="",1,T236)&lt;=MIN(IF(U236="",1,U236),IF(V236="",1,V236)),"Disponibilité",IF(IF(U236="",1,U236)&lt;=IF(V236="",1,V236),"Performance","Qualité"))))</f>
        <v>Performance</v>
      </c>
      <c r="AA236" s="59">
        <f>IF(AC236=1,N(H236)*N(IFERROR(INDEX(art_cost,MATCH(E236,art_ref,0)),0)),"")</f>
        <v>104.0</v>
      </c>
      <c r="AB236" s="58" t="str">
        <f>IF(COUNTA(A236:I236)=0,"",IF(N(A236)&lt;=0,"Date manquante ou invalide",IF(B236="","Équipe manquante",IF(ISNA(MATCH(B236,eq_code,0)),"Équipe inconnue",IF(INDEX(eq_check,MATCH(B236,eq_code,0))&lt;&gt;"OK","Équipe à corriger dans Paramètres",IF(C236="","Poste manquant",IF(ISNA(MATCH(C236,po_code,0)),"Poste inconnu",IF(AND(E236&lt;&gt;"",ISNA(MATCH(E236,art_ref,0))),"Article inconnu",IF(IF(E236="",FALSE,INDEX(art_check,MATCH(E236,art_ref,0))&lt;&gt;"OK"),"Article à corriger (feuille Articles)",IF(COUNTIFS(sj_date,A236,sj_eq,B236,sj_po,C236)&gt;1,"Ligne en double (même jour, équipe et poste)",IF(OR(NOT(ISNUMBER(K236)),N(K236)&lt;=0,N(K236)&gt;1440),"Temps d'ouverture invalide",IF(OR(AND(G236&lt;&gt;"",NOT(ISNUMBER(G236))),N(G236)&lt;0,N(G236)&lt;&gt;INT(N(G236)),AND(H236&lt;&gt;"",NOT(ISNUMBER(H236))),N(H236)&lt;0,N(H236)&lt;&gt;INT(N(H236)),AND(I236&lt;&gt;"",NOT(ISNUMBER(I236))),N(I236)&lt;0,N(I236)&lt;&gt;INT(N(I236))),"Quantité invalide",IF(Q236&lt;=0,"Cadence manquante (poste ou article)",IF(M236&lt;=0,"Arrêts planifiés supérieurs au temps d'ouverture",IF(O236&lt;0,"Arrêts supérieurs au temps requis",IF(AND(P236&gt;0,O236=0),"Pièces déclarées sans temps de marche",IF(AND(P236=0,O236&gt;0),"Aucune pièce déclarée",IF(P236*60/Q236&gt;O236+0.001,"Cadence dépassée : vérifiez la cadence","OK"))))))))))))))))))</f>
        <v>OK</v>
      </c>
      <c r="AC236">
        <f>IF(OR(AB236="OK",AB236="Aucune pièce déclarée",AB236="Cadence dépassée : vérifiez la cadence"),1,0)</f>
        <v>1.0</v>
      </c>
      <c r="AD236">
        <f>IF(AND(AC236=1,A236&gt;=p_from,A236&lt;=p_to),1,0)</f>
        <v>1.0</v>
      </c>
      <c r="AE236">
        <f>IF(AD236=1,IF(COUNTIFS($A$6:A236,A236,$AD$6:AD236,1)=1,1,0),0)</f>
        <v>1.0</v>
      </c>
      <c r="AF236">
        <f>IF(AE236=1,COUNTIFS(sj_first,1,sj_date,"&lt;"&amp;A236)+1,"")</f>
        <v>24.0</v>
      </c>
      <c r="AG236" t="str">
        <f>IF(AND(AD236=1,N(W236)&lt;p_alert),ROUND(W236,4),"")</f>
        <v/>
      </c>
      <c r="AH236" t="str">
        <f>IF(AG236="","",COUNTIF(sj_akey,"&lt;"&amp;AG236)+COUNTIF($AG$6:AG236,AG236))</f>
        <v/>
      </c>
    </row>
    <row r="237">
      <c r="A237" s="51" t="n">
        <v>46317</v>
      </c>
      <c r="B237" s="52" t="inlineStr">
        <is>
          <t>Après-midi</t>
        </is>
      </c>
      <c r="C237" s="52" t="inlineStr">
        <is>
          <t>TOUR1</t>
        </is>
      </c>
      <c r="D237" s="53" t="inlineStr">
        <is>
          <t>OF-2610-182</t>
        </is>
      </c>
      <c r="E237" s="53" t="inlineStr">
        <is>
          <t>AXE-R20</t>
        </is>
      </c>
      <c r="F237" s="54" t="n"/>
      <c r="G237" s="54" t="n">
        <v>182</v>
      </c>
      <c r="H237" s="54" t="n">
        <v>4</v>
      </c>
      <c r="I237" s="54" t="n">
        <v>2</v>
      </c>
      <c r="J237" s="53" t="n"/>
      <c r="K237" s="55">
        <f>IF(COUNTA(A237:I237)=0,"",IF(F237="",IFERROR(INDEX(eq_dur,MATCH(B237,eq_code,0)),""),F237))</f>
        <v>480.0</v>
      </c>
      <c r="L237" s="55">
        <f>IF(ISNUMBER(K237),N(IFERROR(INDEX(eq_pause,MATCH(B237,eq_code,0)),0))+SUMIFS(st_min,st_date,A237,st_eq,B237,st_po,C237,st_type,"Planifié"),"")</f>
        <v>30.0</v>
      </c>
      <c r="M237" s="55">
        <f>IF(ISNUMBER(K237),K237-L237,"")</f>
        <v>450.0</v>
      </c>
      <c r="N237" s="55">
        <f>IF(ISNUMBER(K237),SUMIFS(st_min,st_date,A237,st_eq,B237,st_po,C237,st_type,"Non planifié"),"")</f>
        <v>29.0</v>
      </c>
      <c r="O237" s="55">
        <f>IF(ISNUMBER(K237),M237-N237,"")</f>
        <v>421.0</v>
      </c>
      <c r="P237" s="55">
        <f>IF(COUNTA(A237:I237)=0,"",N(G237)+N(H237)+N(I237))</f>
        <v>188.0</v>
      </c>
      <c r="Q237" s="56">
        <f>IF(COUNTA(A237:I237)=0,"",IF(N(IFERROR(INDEX(art_rate,MATCH(E237,art_ref,0)),0))&gt;0,N(IFERROR(INDEX(art_rate,MATCH(E237,art_ref,0)),0)),N(IFERROR(INDEX(po_rate,MATCH(C237,po_code,0)),0))))</f>
        <v>30.0</v>
      </c>
      <c r="R237" s="55">
        <f>IF(AC237=1,P237*60/Q237,"")</f>
        <v>376.0</v>
      </c>
      <c r="S237" s="55">
        <f>IF(AC237=1,N(G237)*60/Q237,"")</f>
        <v>364.0</v>
      </c>
      <c r="T237" s="57">
        <f>IF(AC237=1,O237/M237,"")</f>
        <v>0.935555555555556</v>
      </c>
      <c r="U237" s="57">
        <f>IF(AC237=1,IF(O237&gt;0,R237/O237,""),"")</f>
        <v>0.893111638954869</v>
      </c>
      <c r="V237" s="57">
        <f>IF(AC237=1,IF(P237&gt;0,N(G237)/P237,""),"")</f>
        <v>0.968085106382979</v>
      </c>
      <c r="W237" s="57">
        <f>IF(AC237=1,S237/M237,"")</f>
        <v>0.808888888888889</v>
      </c>
      <c r="X237" s="57">
        <f>IF(AC237=1,S237/K237,"")</f>
        <v>0.758333333333333</v>
      </c>
      <c r="Y237" s="58" t="str">
        <f>IF(W237="","",IF(W237&gt;=p_target,"Bon",IF(W237&gt;=p_alert,"À surveiller","Faible")))</f>
        <v>Bon</v>
      </c>
      <c r="Z237" s="58" t="str">
        <f>IF(W237="","",IF(MIN(IF(T237="",1,T237),IF(U237="",1,U237),IF(V237="",1,V237))&gt;=1,"Aucune",IF(IF(T237="",1,T237)&lt;=MIN(IF(U237="",1,U237),IF(V237="",1,V237)),"Disponibilité",IF(IF(U237="",1,U237)&lt;=IF(V237="",1,V237),"Performance","Qualité"))))</f>
        <v>Performance</v>
      </c>
      <c r="AA237" s="59">
        <f>IF(AC237=1,N(H237)*N(IFERROR(INDEX(art_cost,MATCH(E237,art_ref,0)),0)),"")</f>
        <v>154.0</v>
      </c>
      <c r="AB237" s="58" t="str">
        <f>IF(COUNTA(A237:I237)=0,"",IF(N(A237)&lt;=0,"Date manquante ou invalide",IF(B237="","Équipe manquante",IF(ISNA(MATCH(B237,eq_code,0)),"Équipe inconnue",IF(INDEX(eq_check,MATCH(B237,eq_code,0))&lt;&gt;"OK","Équipe à corriger dans Paramètres",IF(C237="","Poste manquant",IF(ISNA(MATCH(C237,po_code,0)),"Poste inconnu",IF(AND(E237&lt;&gt;"",ISNA(MATCH(E237,art_ref,0))),"Article inconnu",IF(IF(E237="",FALSE,INDEX(art_check,MATCH(E237,art_ref,0))&lt;&gt;"OK"),"Article à corriger (feuille Articles)",IF(COUNTIFS(sj_date,A237,sj_eq,B237,sj_po,C237)&gt;1,"Ligne en double (même jour, équipe et poste)",IF(OR(NOT(ISNUMBER(K237)),N(K237)&lt;=0,N(K237)&gt;1440),"Temps d'ouverture invalide",IF(OR(AND(G237&lt;&gt;"",NOT(ISNUMBER(G237))),N(G237)&lt;0,N(G237)&lt;&gt;INT(N(G237)),AND(H237&lt;&gt;"",NOT(ISNUMBER(H237))),N(H237)&lt;0,N(H237)&lt;&gt;INT(N(H237)),AND(I237&lt;&gt;"",NOT(ISNUMBER(I237))),N(I237)&lt;0,N(I237)&lt;&gt;INT(N(I237))),"Quantité invalide",IF(Q237&lt;=0,"Cadence manquante (poste ou article)",IF(M237&lt;=0,"Arrêts planifiés supérieurs au temps d'ouverture",IF(O237&lt;0,"Arrêts supérieurs au temps requis",IF(AND(P237&gt;0,O237=0),"Pièces déclarées sans temps de marche",IF(AND(P237=0,O237&gt;0),"Aucune pièce déclarée",IF(P237*60/Q237&gt;O237+0.001,"Cadence dépassée : vérifiez la cadence","OK"))))))))))))))))))</f>
        <v>OK</v>
      </c>
      <c r="AC237">
        <f>IF(OR(AB237="OK",AB237="Aucune pièce déclarée",AB237="Cadence dépassée : vérifiez la cadence"),1,0)</f>
        <v>1.0</v>
      </c>
      <c r="AD237">
        <f>IF(AND(AC237=1,A237&gt;=p_from,A237&lt;=p_to),1,0)</f>
        <v>1.0</v>
      </c>
      <c r="AE237">
        <f>IF(AD237=1,IF(COUNTIFS($A$6:A237,A237,$AD$6:AD237,1)=1,1,0),0)</f>
        <v>0.0</v>
      </c>
      <c r="AF237" t="str">
        <f>IF(AE237=1,COUNTIFS(sj_first,1,sj_date,"&lt;"&amp;A237)+1,"")</f>
        <v/>
      </c>
      <c r="AG237" t="str">
        <f>IF(AND(AD237=1,N(W237)&lt;p_alert),ROUND(W237,4),"")</f>
        <v/>
      </c>
      <c r="AH237" t="str">
        <f>IF(AG237="","",COUNTIF(sj_akey,"&lt;"&amp;AG237)+COUNTIF($AG$6:AG237,AG237))</f>
        <v/>
      </c>
    </row>
    <row r="238">
      <c r="A238" s="51" t="n">
        <v>46317</v>
      </c>
      <c r="B238" s="52" t="inlineStr">
        <is>
          <t>Matin</t>
        </is>
      </c>
      <c r="C238" s="52" t="inlineStr">
        <is>
          <t>TOUR2</t>
        </is>
      </c>
      <c r="D238" s="53" t="inlineStr">
        <is>
          <t>OF-2610-164</t>
        </is>
      </c>
      <c r="E238" s="53" t="inlineStr">
        <is>
          <t>AXE-R20</t>
        </is>
      </c>
      <c r="F238" s="54" t="n"/>
      <c r="G238" s="54" t="n">
        <v>187</v>
      </c>
      <c r="H238" s="54" t="n">
        <v>5</v>
      </c>
      <c r="I238" s="54" t="n">
        <v>2</v>
      </c>
      <c r="J238" s="53" t="n"/>
      <c r="K238" s="55">
        <f>IF(COUNTA(A238:I238)=0,"",IF(F238="",IFERROR(INDEX(eq_dur,MATCH(B238,eq_code,0)),""),F238))</f>
        <v>480.0</v>
      </c>
      <c r="L238" s="55">
        <f>IF(ISNUMBER(K238),N(IFERROR(INDEX(eq_pause,MATCH(B238,eq_code,0)),0))+SUMIFS(st_min,st_date,A238,st_eq,B238,st_po,C238,st_type,"Planifié"),"")</f>
        <v>30.0</v>
      </c>
      <c r="M238" s="55">
        <f>IF(ISNUMBER(K238),K238-L238,"")</f>
        <v>450.0</v>
      </c>
      <c r="N238" s="55">
        <f>IF(ISNUMBER(K238),SUMIFS(st_min,st_date,A238,st_eq,B238,st_po,C238,st_type,"Non planifié"),"")</f>
        <v>0.0</v>
      </c>
      <c r="O238" s="55">
        <f>IF(ISNUMBER(K238),M238-N238,"")</f>
        <v>450.0</v>
      </c>
      <c r="P238" s="55">
        <f>IF(COUNTA(A238:I238)=0,"",N(G238)+N(H238)+N(I238))</f>
        <v>194.0</v>
      </c>
      <c r="Q238" s="56">
        <f>IF(COUNTA(A238:I238)=0,"",IF(N(IFERROR(INDEX(art_rate,MATCH(E238,art_ref,0)),0))&gt;0,N(IFERROR(INDEX(art_rate,MATCH(E238,art_ref,0)),0)),N(IFERROR(INDEX(po_rate,MATCH(C238,po_code,0)),0))))</f>
        <v>30.0</v>
      </c>
      <c r="R238" s="55">
        <f>IF(AC238=1,P238*60/Q238,"")</f>
        <v>388.0</v>
      </c>
      <c r="S238" s="55">
        <f>IF(AC238=1,N(G238)*60/Q238,"")</f>
        <v>374.0</v>
      </c>
      <c r="T238" s="57">
        <f>IF(AC238=1,O238/M238,"")</f>
        <v>1.0</v>
      </c>
      <c r="U238" s="57">
        <f>IF(AC238=1,IF(O238&gt;0,R238/O238,""),"")</f>
        <v>0.862222222222222</v>
      </c>
      <c r="V238" s="57">
        <f>IF(AC238=1,IF(P238&gt;0,N(G238)/P238,""),"")</f>
        <v>0.963917525773196</v>
      </c>
      <c r="W238" s="57">
        <f>IF(AC238=1,S238/M238,"")</f>
        <v>0.831111111111111</v>
      </c>
      <c r="X238" s="57">
        <f>IF(AC238=1,S238/K238,"")</f>
        <v>0.779166666666667</v>
      </c>
      <c r="Y238" s="58" t="str">
        <f>IF(W238="","",IF(W238&gt;=p_target,"Bon",IF(W238&gt;=p_alert,"À surveiller","Faible")))</f>
        <v>Bon</v>
      </c>
      <c r="Z238" s="58" t="str">
        <f>IF(W238="","",IF(MIN(IF(T238="",1,T238),IF(U238="",1,U238),IF(V238="",1,V238))&gt;=1,"Aucune",IF(IF(T238="",1,T238)&lt;=MIN(IF(U238="",1,U238),IF(V238="",1,V238)),"Disponibilité",IF(IF(U238="",1,U238)&lt;=IF(V238="",1,V238),"Performance","Qualité"))))</f>
        <v>Performance</v>
      </c>
      <c r="AA238" s="59">
        <f>IF(AC238=1,N(H238)*N(IFERROR(INDEX(art_cost,MATCH(E238,art_ref,0)),0)),"")</f>
        <v>192.5</v>
      </c>
      <c r="AB238" s="58" t="str">
        <f>IF(COUNTA(A238:I238)=0,"",IF(N(A238)&lt;=0,"Date manquante ou invalide",IF(B238="","Équipe manquante",IF(ISNA(MATCH(B238,eq_code,0)),"Équipe inconnue",IF(INDEX(eq_check,MATCH(B238,eq_code,0))&lt;&gt;"OK","Équipe à corriger dans Paramètres",IF(C238="","Poste manquant",IF(ISNA(MATCH(C238,po_code,0)),"Poste inconnu",IF(AND(E238&lt;&gt;"",ISNA(MATCH(E238,art_ref,0))),"Article inconnu",IF(IF(E238="",FALSE,INDEX(art_check,MATCH(E238,art_ref,0))&lt;&gt;"OK"),"Article à corriger (feuille Articles)",IF(COUNTIFS(sj_date,A238,sj_eq,B238,sj_po,C238)&gt;1,"Ligne en double (même jour, équipe et poste)",IF(OR(NOT(ISNUMBER(K238)),N(K238)&lt;=0,N(K238)&gt;1440),"Temps d'ouverture invalide",IF(OR(AND(G238&lt;&gt;"",NOT(ISNUMBER(G238))),N(G238)&lt;0,N(G238)&lt;&gt;INT(N(G238)),AND(H238&lt;&gt;"",NOT(ISNUMBER(H238))),N(H238)&lt;0,N(H238)&lt;&gt;INT(N(H238)),AND(I238&lt;&gt;"",NOT(ISNUMBER(I238))),N(I238)&lt;0,N(I238)&lt;&gt;INT(N(I238))),"Quantité invalide",IF(Q238&lt;=0,"Cadence manquante (poste ou article)",IF(M238&lt;=0,"Arrêts planifiés supérieurs au temps d'ouverture",IF(O238&lt;0,"Arrêts supérieurs au temps requis",IF(AND(P238&gt;0,O238=0),"Pièces déclarées sans temps de marche",IF(AND(P238=0,O238&gt;0),"Aucune pièce déclarée",IF(P238*60/Q238&gt;O238+0.001,"Cadence dépassée : vérifiez la cadence","OK"))))))))))))))))))</f>
        <v>OK</v>
      </c>
      <c r="AC238">
        <f>IF(OR(AB238="OK",AB238="Aucune pièce déclarée",AB238="Cadence dépassée : vérifiez la cadence"),1,0)</f>
        <v>1.0</v>
      </c>
      <c r="AD238">
        <f>IF(AND(AC238=1,A238&gt;=p_from,A238&lt;=p_to),1,0)</f>
        <v>1.0</v>
      </c>
      <c r="AE238">
        <f>IF(AD238=1,IF(COUNTIFS($A$6:A238,A238,$AD$6:AD238,1)=1,1,0),0)</f>
        <v>0.0</v>
      </c>
      <c r="AF238" t="str">
        <f>IF(AE238=1,COUNTIFS(sj_first,1,sj_date,"&lt;"&amp;A238)+1,"")</f>
        <v/>
      </c>
      <c r="AG238" t="str">
        <f>IF(AND(AD238=1,N(W238)&lt;p_alert),ROUND(W238,4),"")</f>
        <v/>
      </c>
      <c r="AH238" t="str">
        <f>IF(AG238="","",COUNTIF(sj_akey,"&lt;"&amp;AG238)+COUNTIF($AG$6:AG238,AG238))</f>
        <v/>
      </c>
    </row>
    <row r="239">
      <c r="A239" s="51" t="n">
        <v>46317</v>
      </c>
      <c r="B239" s="52" t="inlineStr">
        <is>
          <t>Après-midi</t>
        </is>
      </c>
      <c r="C239" s="52" t="inlineStr">
        <is>
          <t>TOUR2</t>
        </is>
      </c>
      <c r="D239" s="53" t="inlineStr">
        <is>
          <t>OF-2610-175</t>
        </is>
      </c>
      <c r="E239" s="53" t="inlineStr">
        <is>
          <t>ENT-12</t>
        </is>
      </c>
      <c r="F239" s="54" t="n"/>
      <c r="G239" s="54" t="n">
        <v>336</v>
      </c>
      <c r="H239" s="54" t="n">
        <v>10</v>
      </c>
      <c r="I239" s="54" t="n">
        <v>2</v>
      </c>
      <c r="J239" s="53" t="n"/>
      <c r="K239" s="55">
        <f>IF(COUNTA(A239:I239)=0,"",IF(F239="",IFERROR(INDEX(eq_dur,MATCH(B239,eq_code,0)),""),F239))</f>
        <v>480.0</v>
      </c>
      <c r="L239" s="55">
        <f>IF(ISNUMBER(K239),N(IFERROR(INDEX(eq_pause,MATCH(B239,eq_code,0)),0))+SUMIFS(st_min,st_date,A239,st_eq,B239,st_po,C239,st_type,"Planifié"),"")</f>
        <v>30.0</v>
      </c>
      <c r="M239" s="55">
        <f>IF(ISNUMBER(K239),K239-L239,"")</f>
        <v>450.0</v>
      </c>
      <c r="N239" s="55">
        <f>IF(ISNUMBER(K239),SUMIFS(st_min,st_date,A239,st_eq,B239,st_po,C239,st_type,"Non planifié"),"")</f>
        <v>0.0</v>
      </c>
      <c r="O239" s="55">
        <f>IF(ISNUMBER(K239),M239-N239,"")</f>
        <v>450.0</v>
      </c>
      <c r="P239" s="55">
        <f>IF(COUNTA(A239:I239)=0,"",N(G239)+N(H239)+N(I239))</f>
        <v>348.0</v>
      </c>
      <c r="Q239" s="56">
        <f>IF(COUNTA(A239:I239)=0,"",IF(N(IFERROR(INDEX(art_rate,MATCH(E239,art_ref,0)),0))&gt;0,N(IFERROR(INDEX(art_rate,MATCH(E239,art_ref,0)),0)),N(IFERROR(INDEX(po_rate,MATCH(C239,po_code,0)),0))))</f>
        <v>55.0</v>
      </c>
      <c r="R239" s="55">
        <f>IF(AC239=1,P239*60/Q239,"")</f>
        <v>379.636363636364</v>
      </c>
      <c r="S239" s="55">
        <f>IF(AC239=1,N(G239)*60/Q239,"")</f>
        <v>366.545454545455</v>
      </c>
      <c r="T239" s="57">
        <f>IF(AC239=1,O239/M239,"")</f>
        <v>1.0</v>
      </c>
      <c r="U239" s="57">
        <f>IF(AC239=1,IF(O239&gt;0,R239/O239,""),"")</f>
        <v>0.843636363636364</v>
      </c>
      <c r="V239" s="57">
        <f>IF(AC239=1,IF(P239&gt;0,N(G239)/P239,""),"")</f>
        <v>0.96551724137931</v>
      </c>
      <c r="W239" s="57">
        <f>IF(AC239=1,S239/M239,"")</f>
        <v>0.814545454545455</v>
      </c>
      <c r="X239" s="57">
        <f>IF(AC239=1,S239/K239,"")</f>
        <v>0.763636363636364</v>
      </c>
      <c r="Y239" s="58" t="str">
        <f>IF(W239="","",IF(W239&gt;=p_target,"Bon",IF(W239&gt;=p_alert,"À surveiller","Faible")))</f>
        <v>Bon</v>
      </c>
      <c r="Z239" s="58" t="str">
        <f>IF(W239="","",IF(MIN(IF(T239="",1,T239),IF(U239="",1,U239),IF(V239="",1,V239))&gt;=1,"Aucune",IF(IF(T239="",1,T239)&lt;=MIN(IF(U239="",1,U239),IF(V239="",1,V239)),"Disponibilité",IF(IF(U239="",1,U239)&lt;=IF(V239="",1,V239),"Performance","Qualité"))))</f>
        <v>Performance</v>
      </c>
      <c r="AA239" s="59">
        <f>IF(AC239=1,N(H239)*N(IFERROR(INDEX(art_cost,MATCH(E239,art_ref,0)),0)),"")</f>
        <v>68.0</v>
      </c>
      <c r="AB239" s="58" t="str">
        <f>IF(COUNTA(A239:I239)=0,"",IF(N(A239)&lt;=0,"Date manquante ou invalide",IF(B239="","Équipe manquante",IF(ISNA(MATCH(B239,eq_code,0)),"Équipe inconnue",IF(INDEX(eq_check,MATCH(B239,eq_code,0))&lt;&gt;"OK","Équipe à corriger dans Paramètres",IF(C239="","Poste manquant",IF(ISNA(MATCH(C239,po_code,0)),"Poste inconnu",IF(AND(E239&lt;&gt;"",ISNA(MATCH(E239,art_ref,0))),"Article inconnu",IF(IF(E239="",FALSE,INDEX(art_check,MATCH(E239,art_ref,0))&lt;&gt;"OK"),"Article à corriger (feuille Articles)",IF(COUNTIFS(sj_date,A239,sj_eq,B239,sj_po,C239)&gt;1,"Ligne en double (même jour, équipe et poste)",IF(OR(NOT(ISNUMBER(K239)),N(K239)&lt;=0,N(K239)&gt;1440),"Temps d'ouverture invalide",IF(OR(AND(G239&lt;&gt;"",NOT(ISNUMBER(G239))),N(G239)&lt;0,N(G239)&lt;&gt;INT(N(G239)),AND(H239&lt;&gt;"",NOT(ISNUMBER(H239))),N(H239)&lt;0,N(H239)&lt;&gt;INT(N(H239)),AND(I239&lt;&gt;"",NOT(ISNUMBER(I239))),N(I239)&lt;0,N(I239)&lt;&gt;INT(N(I239))),"Quantité invalide",IF(Q239&lt;=0,"Cadence manquante (poste ou article)",IF(M239&lt;=0,"Arrêts planifiés supérieurs au temps d'ouverture",IF(O239&lt;0,"Arrêts supérieurs au temps requis",IF(AND(P239&gt;0,O239=0),"Pièces déclarées sans temps de marche",IF(AND(P239=0,O239&gt;0),"Aucune pièce déclarée",IF(P239*60/Q239&gt;O239+0.001,"Cadence dépassée : vérifiez la cadence","OK"))))))))))))))))))</f>
        <v>OK</v>
      </c>
      <c r="AC239">
        <f>IF(OR(AB239="OK",AB239="Aucune pièce déclarée",AB239="Cadence dépassée : vérifiez la cadence"),1,0)</f>
        <v>1.0</v>
      </c>
      <c r="AD239">
        <f>IF(AND(AC239=1,A239&gt;=p_from,A239&lt;=p_to),1,0)</f>
        <v>1.0</v>
      </c>
      <c r="AE239">
        <f>IF(AD239=1,IF(COUNTIFS($A$6:A239,A239,$AD$6:AD239,1)=1,1,0),0)</f>
        <v>0.0</v>
      </c>
      <c r="AF239" t="str">
        <f>IF(AE239=1,COUNTIFS(sj_first,1,sj_date,"&lt;"&amp;A239)+1,"")</f>
        <v/>
      </c>
      <c r="AG239" t="str">
        <f>IF(AND(AD239=1,N(W239)&lt;p_alert),ROUND(W239,4),"")</f>
        <v/>
      </c>
      <c r="AH239" t="str">
        <f>IF(AG239="","",COUNTIF(sj_akey,"&lt;"&amp;AG239)+COUNTIF($AG$6:AG239,AG239))</f>
        <v/>
      </c>
    </row>
    <row r="240">
      <c r="A240" s="51" t="n">
        <v>46317</v>
      </c>
      <c r="B240" s="52" t="inlineStr">
        <is>
          <t>Matin</t>
        </is>
      </c>
      <c r="C240" s="52" t="inlineStr">
        <is>
          <t>USIN</t>
        </is>
      </c>
      <c r="D240" s="53" t="inlineStr">
        <is>
          <t>OF-2610-177</t>
        </is>
      </c>
      <c r="E240" s="53" t="inlineStr">
        <is>
          <t>CAR-BOI-04</t>
        </is>
      </c>
      <c r="F240" s="54" t="n"/>
      <c r="G240" s="54" t="n">
        <v>23</v>
      </c>
      <c r="H240" s="54" t="n">
        <v>9</v>
      </c>
      <c r="I240" s="54" t="n">
        <v>0</v>
      </c>
      <c r="J240" s="53" t="inlineStr">
        <is>
          <t>Lot matière hors tolérance</t>
        </is>
      </c>
      <c r="K240" s="55">
        <f>IF(COUNTA(A240:I240)=0,"",IF(F240="",IFERROR(INDEX(eq_dur,MATCH(B240,eq_code,0)),""),F240))</f>
        <v>480.0</v>
      </c>
      <c r="L240" s="55">
        <f>IF(ISNUMBER(K240),N(IFERROR(INDEX(eq_pause,MATCH(B240,eq_code,0)),0))+SUMIFS(st_min,st_date,A240,st_eq,B240,st_po,C240,st_type,"Planifié"),"")</f>
        <v>30.0</v>
      </c>
      <c r="M240" s="55">
        <f>IF(ISNUMBER(K240),K240-L240,"")</f>
        <v>450.0</v>
      </c>
      <c r="N240" s="55">
        <f>IF(ISNUMBER(K240),SUMIFS(st_min,st_date,A240,st_eq,B240,st_po,C240,st_type,"Non planifié"),"")</f>
        <v>70.0</v>
      </c>
      <c r="O240" s="55">
        <f>IF(ISNUMBER(K240),M240-N240,"")</f>
        <v>380.0</v>
      </c>
      <c r="P240" s="55">
        <f>IF(COUNTA(A240:I240)=0,"",N(G240)+N(H240)+N(I240))</f>
        <v>32.0</v>
      </c>
      <c r="Q240" s="56">
        <f>IF(COUNTA(A240:I240)=0,"",IF(N(IFERROR(INDEX(art_rate,MATCH(E240,art_ref,0)),0))&gt;0,N(IFERROR(INDEX(art_rate,MATCH(E240,art_ref,0)),0)),N(IFERROR(INDEX(po_rate,MATCH(C240,po_code,0)),0))))</f>
        <v>6.0</v>
      </c>
      <c r="R240" s="55">
        <f>IF(AC240=1,P240*60/Q240,"")</f>
        <v>320.0</v>
      </c>
      <c r="S240" s="55">
        <f>IF(AC240=1,N(G240)*60/Q240,"")</f>
        <v>230.0</v>
      </c>
      <c r="T240" s="57">
        <f>IF(AC240=1,O240/M240,"")</f>
        <v>0.844444444444444</v>
      </c>
      <c r="U240" s="57">
        <f>IF(AC240=1,IF(O240&gt;0,R240/O240,""),"")</f>
        <v>0.842105263157895</v>
      </c>
      <c r="V240" s="57">
        <f>IF(AC240=1,IF(P240&gt;0,N(G240)/P240,""),"")</f>
        <v>0.71875</v>
      </c>
      <c r="W240" s="57">
        <f>IF(AC240=1,S240/M240,"")</f>
        <v>0.511111111111111</v>
      </c>
      <c r="X240" s="57">
        <f>IF(AC240=1,S240/K240,"")</f>
        <v>0.479166666666667</v>
      </c>
      <c r="Y240" s="58" t="str">
        <f>IF(W240="","",IF(W240&gt;=p_target,"Bon",IF(W240&gt;=p_alert,"À surveiller","Faible")))</f>
        <v>Faible</v>
      </c>
      <c r="Z240" s="58" t="str">
        <f>IF(W240="","",IF(MIN(IF(T240="",1,T240),IF(U240="",1,U240),IF(V240="",1,V240))&gt;=1,"Aucune",IF(IF(T240="",1,T240)&lt;=MIN(IF(U240="",1,U240),IF(V240="",1,V240)),"Disponibilité",IF(IF(U240="",1,U240)&lt;=IF(V240="",1,V240),"Performance","Qualité"))))</f>
        <v>Qualité</v>
      </c>
      <c r="AA240" s="59">
        <f>IF(AC240=1,N(H240)*N(IFERROR(INDEX(art_cost,MATCH(E240,art_ref,0)),0)),"")</f>
        <v>5490.0</v>
      </c>
      <c r="AB240" s="58" t="str">
        <f>IF(COUNTA(A240:I240)=0,"",IF(N(A240)&lt;=0,"Date manquante ou invalide",IF(B240="","Équipe manquante",IF(ISNA(MATCH(B240,eq_code,0)),"Équipe inconnue",IF(INDEX(eq_check,MATCH(B240,eq_code,0))&lt;&gt;"OK","Équipe à corriger dans Paramètres",IF(C240="","Poste manquant",IF(ISNA(MATCH(C240,po_code,0)),"Poste inconnu",IF(AND(E240&lt;&gt;"",ISNA(MATCH(E240,art_ref,0))),"Article inconnu",IF(IF(E240="",FALSE,INDEX(art_check,MATCH(E240,art_ref,0))&lt;&gt;"OK"),"Article à corriger (feuille Articles)",IF(COUNTIFS(sj_date,A240,sj_eq,B240,sj_po,C240)&gt;1,"Ligne en double (même jour, équipe et poste)",IF(OR(NOT(ISNUMBER(K240)),N(K240)&lt;=0,N(K240)&gt;1440),"Temps d'ouverture invalide",IF(OR(AND(G240&lt;&gt;"",NOT(ISNUMBER(G240))),N(G240)&lt;0,N(G240)&lt;&gt;INT(N(G240)),AND(H240&lt;&gt;"",NOT(ISNUMBER(H240))),N(H240)&lt;0,N(H240)&lt;&gt;INT(N(H240)),AND(I240&lt;&gt;"",NOT(ISNUMBER(I240))),N(I240)&lt;0,N(I240)&lt;&gt;INT(N(I240))),"Quantité invalide",IF(Q240&lt;=0,"Cadence manquante (poste ou article)",IF(M240&lt;=0,"Arrêts planifiés supérieurs au temps d'ouverture",IF(O240&lt;0,"Arrêts supérieurs au temps requis",IF(AND(P240&gt;0,O240=0),"Pièces déclarées sans temps de marche",IF(AND(P240=0,O240&gt;0),"Aucune pièce déclarée",IF(P240*60/Q240&gt;O240+0.001,"Cadence dépassée : vérifiez la cadence","OK"))))))))))))))))))</f>
        <v>OK</v>
      </c>
      <c r="AC240">
        <f>IF(OR(AB240="OK",AB240="Aucune pièce déclarée",AB240="Cadence dépassée : vérifiez la cadence"),1,0)</f>
        <v>1.0</v>
      </c>
      <c r="AD240">
        <f>IF(AND(AC240=1,A240&gt;=p_from,A240&lt;=p_to),1,0)</f>
        <v>1.0</v>
      </c>
      <c r="AE240">
        <f>IF(AD240=1,IF(COUNTIFS($A$6:A240,A240,$AD$6:AD240,1)=1,1,0),0)</f>
        <v>0.0</v>
      </c>
      <c r="AF240" t="str">
        <f>IF(AE240=1,COUNTIFS(sj_first,1,sj_date,"&lt;"&amp;A240)+1,"")</f>
        <v/>
      </c>
      <c r="AG240">
        <f>IF(AND(AD240=1,N(W240)&lt;p_alert),ROUND(W240,4),"")</f>
        <v>0.5111</v>
      </c>
      <c r="AH240">
        <f>IF(AG240="","",COUNTIF(sj_akey,"&lt;"&amp;AG240)+COUNTIF($AG$6:AG240,AG240))</f>
        <v>22.0</v>
      </c>
    </row>
    <row r="241">
      <c r="A241" s="51" t="n">
        <v>46317</v>
      </c>
      <c r="B241" s="52" t="inlineStr">
        <is>
          <t>Après-midi</t>
        </is>
      </c>
      <c r="C241" s="52" t="inlineStr">
        <is>
          <t>USIN</t>
        </is>
      </c>
      <c r="D241" s="53" t="inlineStr">
        <is>
          <t>OF-2610-178</t>
        </is>
      </c>
      <c r="E241" s="53" t="inlineStr">
        <is>
          <t>CAR-BOI-04</t>
        </is>
      </c>
      <c r="F241" s="54" t="n"/>
      <c r="G241" s="54" t="n">
        <v>42</v>
      </c>
      <c r="H241" s="54" t="n">
        <v>0</v>
      </c>
      <c r="I241" s="54" t="n">
        <v>0</v>
      </c>
      <c r="J241" s="53" t="n"/>
      <c r="K241" s="55">
        <f>IF(COUNTA(A241:I241)=0,"",IF(F241="",IFERROR(INDEX(eq_dur,MATCH(B241,eq_code,0)),""),F241))</f>
        <v>480.0</v>
      </c>
      <c r="L241" s="55">
        <f>IF(ISNUMBER(K241),N(IFERROR(INDEX(eq_pause,MATCH(B241,eq_code,0)),0))+SUMIFS(st_min,st_date,A241,st_eq,B241,st_po,C241,st_type,"Planifié"),"")</f>
        <v>30.0</v>
      </c>
      <c r="M241" s="55">
        <f>IF(ISNUMBER(K241),K241-L241,"")</f>
        <v>450.0</v>
      </c>
      <c r="N241" s="55">
        <f>IF(ISNUMBER(K241),SUMIFS(st_min,st_date,A241,st_eq,B241,st_po,C241,st_type,"Non planifié"),"")</f>
        <v>0.0</v>
      </c>
      <c r="O241" s="55">
        <f>IF(ISNUMBER(K241),M241-N241,"")</f>
        <v>450.0</v>
      </c>
      <c r="P241" s="55">
        <f>IF(COUNTA(A241:I241)=0,"",N(G241)+N(H241)+N(I241))</f>
        <v>42.0</v>
      </c>
      <c r="Q241" s="56">
        <f>IF(COUNTA(A241:I241)=0,"",IF(N(IFERROR(INDEX(art_rate,MATCH(E241,art_ref,0)),0))&gt;0,N(IFERROR(INDEX(art_rate,MATCH(E241,art_ref,0)),0)),N(IFERROR(INDEX(po_rate,MATCH(C241,po_code,0)),0))))</f>
        <v>6.0</v>
      </c>
      <c r="R241" s="55">
        <f>IF(AC241=1,P241*60/Q241,"")</f>
        <v>420.0</v>
      </c>
      <c r="S241" s="55">
        <f>IF(AC241=1,N(G241)*60/Q241,"")</f>
        <v>420.0</v>
      </c>
      <c r="T241" s="57">
        <f>IF(AC241=1,O241/M241,"")</f>
        <v>1.0</v>
      </c>
      <c r="U241" s="57">
        <f>IF(AC241=1,IF(O241&gt;0,R241/O241,""),"")</f>
        <v>0.933333333333333</v>
      </c>
      <c r="V241" s="57">
        <f>IF(AC241=1,IF(P241&gt;0,N(G241)/P241,""),"")</f>
        <v>1.0</v>
      </c>
      <c r="W241" s="57">
        <f>IF(AC241=1,S241/M241,"")</f>
        <v>0.933333333333333</v>
      </c>
      <c r="X241" s="57">
        <f>IF(AC241=1,S241/K241,"")</f>
        <v>0.875</v>
      </c>
      <c r="Y241" s="58" t="str">
        <f>IF(W241="","",IF(W241&gt;=p_target,"Bon",IF(W241&gt;=p_alert,"À surveiller","Faible")))</f>
        <v>Bon</v>
      </c>
      <c r="Z241" s="58" t="str">
        <f>IF(W241="","",IF(MIN(IF(T241="",1,T241),IF(U241="",1,U241),IF(V241="",1,V241))&gt;=1,"Aucune",IF(IF(T241="",1,T241)&lt;=MIN(IF(U241="",1,U241),IF(V241="",1,V241)),"Disponibilité",IF(IF(U241="",1,U241)&lt;=IF(V241="",1,V241),"Performance","Qualité"))))</f>
        <v>Performance</v>
      </c>
      <c r="AA241" s="59">
        <f>IF(AC241=1,N(H241)*N(IFERROR(INDEX(art_cost,MATCH(E241,art_ref,0)),0)),"")</f>
        <v>0.0</v>
      </c>
      <c r="AB241" s="58" t="str">
        <f>IF(COUNTA(A241:I241)=0,"",IF(N(A241)&lt;=0,"Date manquante ou invalide",IF(B241="","Équipe manquante",IF(ISNA(MATCH(B241,eq_code,0)),"Équipe inconnue",IF(INDEX(eq_check,MATCH(B241,eq_code,0))&lt;&gt;"OK","Équipe à corriger dans Paramètres",IF(C241="","Poste manquant",IF(ISNA(MATCH(C241,po_code,0)),"Poste inconnu",IF(AND(E241&lt;&gt;"",ISNA(MATCH(E241,art_ref,0))),"Article inconnu",IF(IF(E241="",FALSE,INDEX(art_check,MATCH(E241,art_ref,0))&lt;&gt;"OK"),"Article à corriger (feuille Articles)",IF(COUNTIFS(sj_date,A241,sj_eq,B241,sj_po,C241)&gt;1,"Ligne en double (même jour, équipe et poste)",IF(OR(NOT(ISNUMBER(K241)),N(K241)&lt;=0,N(K241)&gt;1440),"Temps d'ouverture invalide",IF(OR(AND(G241&lt;&gt;"",NOT(ISNUMBER(G241))),N(G241)&lt;0,N(G241)&lt;&gt;INT(N(G241)),AND(H241&lt;&gt;"",NOT(ISNUMBER(H241))),N(H241)&lt;0,N(H241)&lt;&gt;INT(N(H241)),AND(I241&lt;&gt;"",NOT(ISNUMBER(I241))),N(I241)&lt;0,N(I241)&lt;&gt;INT(N(I241))),"Quantité invalide",IF(Q241&lt;=0,"Cadence manquante (poste ou article)",IF(M241&lt;=0,"Arrêts planifiés supérieurs au temps d'ouverture",IF(O241&lt;0,"Arrêts supérieurs au temps requis",IF(AND(P241&gt;0,O241=0),"Pièces déclarées sans temps de marche",IF(AND(P241=0,O241&gt;0),"Aucune pièce déclarée",IF(P241*60/Q241&gt;O241+0.001,"Cadence dépassée : vérifiez la cadence","OK"))))))))))))))))))</f>
        <v>OK</v>
      </c>
      <c r="AC241">
        <f>IF(OR(AB241="OK",AB241="Aucune pièce déclarée",AB241="Cadence dépassée : vérifiez la cadence"),1,0)</f>
        <v>1.0</v>
      </c>
      <c r="AD241">
        <f>IF(AND(AC241=1,A241&gt;=p_from,A241&lt;=p_to),1,0)</f>
        <v>1.0</v>
      </c>
      <c r="AE241">
        <f>IF(AD241=1,IF(COUNTIFS($A$6:A241,A241,$AD$6:AD241,1)=1,1,0),0)</f>
        <v>0.0</v>
      </c>
      <c r="AF241" t="str">
        <f>IF(AE241=1,COUNTIFS(sj_first,1,sj_date,"&lt;"&amp;A241)+1,"")</f>
        <v/>
      </c>
      <c r="AG241" t="str">
        <f>IF(AND(AD241=1,N(W241)&lt;p_alert),ROUND(W241,4),"")</f>
        <v/>
      </c>
      <c r="AH241" t="str">
        <f>IF(AG241="","",COUNTIF(sj_akey,"&lt;"&amp;AG241)+COUNTIF($AG$6:AG241,AG241))</f>
        <v/>
      </c>
    </row>
    <row r="242">
      <c r="A242" s="51" t="n">
        <v>46317</v>
      </c>
      <c r="B242" s="52" t="inlineStr">
        <is>
          <t>Matin</t>
        </is>
      </c>
      <c r="C242" s="52" t="inlineStr">
        <is>
          <t>PRESSE</t>
        </is>
      </c>
      <c r="D242" s="53" t="inlineStr">
        <is>
          <t>OF-2610-183</t>
        </is>
      </c>
      <c r="E242" s="53" t="inlineStr">
        <is>
          <t>RON-M10</t>
        </is>
      </c>
      <c r="F242" s="54" t="n"/>
      <c r="G242" s="54" t="n">
        <v>3659</v>
      </c>
      <c r="H242" s="54" t="n">
        <v>114</v>
      </c>
      <c r="I242" s="54" t="n">
        <v>11</v>
      </c>
      <c r="J242" s="53" t="n"/>
      <c r="K242" s="55">
        <f>IF(COUNTA(A242:I242)=0,"",IF(F242="",IFERROR(INDEX(eq_dur,MATCH(B242,eq_code,0)),""),F242))</f>
        <v>480.0</v>
      </c>
      <c r="L242" s="55">
        <f>IF(ISNUMBER(K242),N(IFERROR(INDEX(eq_pause,MATCH(B242,eq_code,0)),0))+SUMIFS(st_min,st_date,A242,st_eq,B242,st_po,C242,st_type,"Planifié"),"")</f>
        <v>30.0</v>
      </c>
      <c r="M242" s="55">
        <f>IF(ISNUMBER(K242),K242-L242,"")</f>
        <v>450.0</v>
      </c>
      <c r="N242" s="55">
        <f>IF(ISNUMBER(K242),SUMIFS(st_min,st_date,A242,st_eq,B242,st_po,C242,st_type,"Non planifié"),"")</f>
        <v>58.0</v>
      </c>
      <c r="O242" s="55">
        <f>IF(ISNUMBER(K242),M242-N242,"")</f>
        <v>392.0</v>
      </c>
      <c r="P242" s="55">
        <f>IF(COUNTA(A242:I242)=0,"",N(G242)+N(H242)+N(I242))</f>
        <v>3784.0</v>
      </c>
      <c r="Q242" s="56">
        <f>IF(COUNTA(A242:I242)=0,"",IF(N(IFERROR(INDEX(art_rate,MATCH(E242,art_ref,0)),0))&gt;0,N(IFERROR(INDEX(art_rate,MATCH(E242,art_ref,0)),0)),N(IFERROR(INDEX(po_rate,MATCH(C242,po_code,0)),0))))</f>
        <v>600.0</v>
      </c>
      <c r="R242" s="55">
        <f>IF(AC242=1,P242*60/Q242,"")</f>
        <v>378.4</v>
      </c>
      <c r="S242" s="55">
        <f>IF(AC242=1,N(G242)*60/Q242,"")</f>
        <v>365.9</v>
      </c>
      <c r="T242" s="57">
        <f>IF(AC242=1,O242/M242,"")</f>
        <v>0.871111111111111</v>
      </c>
      <c r="U242" s="57">
        <f>IF(AC242=1,IF(O242&gt;0,R242/O242,""),"")</f>
        <v>0.96530612244898</v>
      </c>
      <c r="V242" s="57">
        <f>IF(AC242=1,IF(P242&gt;0,N(G242)/P242,""),"")</f>
        <v>0.966966173361522</v>
      </c>
      <c r="W242" s="57">
        <f>IF(AC242=1,S242/M242,"")</f>
        <v>0.813111111111111</v>
      </c>
      <c r="X242" s="57">
        <f>IF(AC242=1,S242/K242,"")</f>
        <v>0.762291666666667</v>
      </c>
      <c r="Y242" s="58" t="str">
        <f>IF(W242="","",IF(W242&gt;=p_target,"Bon",IF(W242&gt;=p_alert,"À surveiller","Faible")))</f>
        <v>Bon</v>
      </c>
      <c r="Z242" s="58" t="str">
        <f>IF(W242="","",IF(MIN(IF(T242="",1,T242),IF(U242="",1,U242),IF(V242="",1,V242))&gt;=1,"Aucune",IF(IF(T242="",1,T242)&lt;=MIN(IF(U242="",1,U242),IF(V242="",1,V242)),"Disponibilité",IF(IF(U242="",1,U242)&lt;=IF(V242="",1,V242),"Performance","Qualité"))))</f>
        <v>Disponibilité</v>
      </c>
      <c r="AA242" s="59">
        <f>IF(AC242=1,N(H242)*N(IFERROR(INDEX(art_cost,MATCH(E242,art_ref,0)),0)),"")</f>
        <v>102.6</v>
      </c>
      <c r="AB242" s="58" t="str">
        <f>IF(COUNTA(A242:I242)=0,"",IF(N(A242)&lt;=0,"Date manquante ou invalide",IF(B242="","Équipe manquante",IF(ISNA(MATCH(B242,eq_code,0)),"Équipe inconnue",IF(INDEX(eq_check,MATCH(B242,eq_code,0))&lt;&gt;"OK","Équipe à corriger dans Paramètres",IF(C242="","Poste manquant",IF(ISNA(MATCH(C242,po_code,0)),"Poste inconnu",IF(AND(E242&lt;&gt;"",ISNA(MATCH(E242,art_ref,0))),"Article inconnu",IF(IF(E242="",FALSE,INDEX(art_check,MATCH(E242,art_ref,0))&lt;&gt;"OK"),"Article à corriger (feuille Articles)",IF(COUNTIFS(sj_date,A242,sj_eq,B242,sj_po,C242)&gt;1,"Ligne en double (même jour, équipe et poste)",IF(OR(NOT(ISNUMBER(K242)),N(K242)&lt;=0,N(K242)&gt;1440),"Temps d'ouverture invalide",IF(OR(AND(G242&lt;&gt;"",NOT(ISNUMBER(G242))),N(G242)&lt;0,N(G242)&lt;&gt;INT(N(G242)),AND(H242&lt;&gt;"",NOT(ISNUMBER(H242))),N(H242)&lt;0,N(H242)&lt;&gt;INT(N(H242)),AND(I242&lt;&gt;"",NOT(ISNUMBER(I242))),N(I242)&lt;0,N(I242)&lt;&gt;INT(N(I242))),"Quantité invalide",IF(Q242&lt;=0,"Cadence manquante (poste ou article)",IF(M242&lt;=0,"Arrêts planifiés supérieurs au temps d'ouverture",IF(O242&lt;0,"Arrêts supérieurs au temps requis",IF(AND(P242&gt;0,O242=0),"Pièces déclarées sans temps de marche",IF(AND(P242=0,O242&gt;0),"Aucune pièce déclarée",IF(P242*60/Q242&gt;O242+0.001,"Cadence dépassée : vérifiez la cadence","OK"))))))))))))))))))</f>
        <v>OK</v>
      </c>
      <c r="AC242">
        <f>IF(OR(AB242="OK",AB242="Aucune pièce déclarée",AB242="Cadence dépassée : vérifiez la cadence"),1,0)</f>
        <v>1.0</v>
      </c>
      <c r="AD242">
        <f>IF(AND(AC242=1,A242&gt;=p_from,A242&lt;=p_to),1,0)</f>
        <v>1.0</v>
      </c>
      <c r="AE242">
        <f>IF(AD242=1,IF(COUNTIFS($A$6:A242,A242,$AD$6:AD242,1)=1,1,0),0)</f>
        <v>0.0</v>
      </c>
      <c r="AF242" t="str">
        <f>IF(AE242=1,COUNTIFS(sj_first,1,sj_date,"&lt;"&amp;A242)+1,"")</f>
        <v/>
      </c>
      <c r="AG242" t="str">
        <f>IF(AND(AD242=1,N(W242)&lt;p_alert),ROUND(W242,4),"")</f>
        <v/>
      </c>
      <c r="AH242" t="str">
        <f>IF(AG242="","",COUNTIF(sj_akey,"&lt;"&amp;AG242)+COUNTIF($AG$6:AG242,AG242))</f>
        <v/>
      </c>
    </row>
    <row r="243">
      <c r="A243" s="51" t="n">
        <v>46317</v>
      </c>
      <c r="B243" s="52" t="inlineStr">
        <is>
          <t>Journée</t>
        </is>
      </c>
      <c r="C243" s="52" t="inlineStr">
        <is>
          <t>PLIE</t>
        </is>
      </c>
      <c r="D243" s="53" t="inlineStr">
        <is>
          <t>OF-2610-180</t>
        </is>
      </c>
      <c r="E243" s="53" t="inlineStr">
        <is>
          <t>GAR-SUP-02</t>
        </is>
      </c>
      <c r="F243" s="54" t="n"/>
      <c r="G243" s="54" t="n">
        <v>737</v>
      </c>
      <c r="H243" s="54" t="n">
        <v>13</v>
      </c>
      <c r="I243" s="54" t="n">
        <v>7</v>
      </c>
      <c r="J243" s="53" t="n"/>
      <c r="K243" s="55">
        <f>IF(COUNTA(A243:I243)=0,"",IF(F243="",IFERROR(INDEX(eq_dur,MATCH(B243,eq_code,0)),""),F243))</f>
        <v>540.0</v>
      </c>
      <c r="L243" s="55">
        <f>IF(ISNUMBER(K243),N(IFERROR(INDEX(eq_pause,MATCH(B243,eq_code,0)),0))+SUMIFS(st_min,st_date,A243,st_eq,B243,st_po,C243,st_type,"Planifié"),"")</f>
        <v>60.0</v>
      </c>
      <c r="M243" s="55">
        <f>IF(ISNUMBER(K243),K243-L243,"")</f>
        <v>480.0</v>
      </c>
      <c r="N243" s="55">
        <f>IF(ISNUMBER(K243),SUMIFS(st_min,st_date,A243,st_eq,B243,st_po,C243,st_type,"Non planifié"),"")</f>
        <v>15.0</v>
      </c>
      <c r="O243" s="55">
        <f>IF(ISNUMBER(K243),M243-N243,"")</f>
        <v>465.0</v>
      </c>
      <c r="P243" s="55">
        <f>IF(COUNTA(A243:I243)=0,"",N(G243)+N(H243)+N(I243))</f>
        <v>757.0</v>
      </c>
      <c r="Q243" s="56">
        <f>IF(COUNTA(A243:I243)=0,"",IF(N(IFERROR(INDEX(art_rate,MATCH(E243,art_ref,0)),0))&gt;0,N(IFERROR(INDEX(art_rate,MATCH(E243,art_ref,0)),0)),N(IFERROR(INDEX(po_rate,MATCH(C243,po_code,0)),0))))</f>
        <v>110.0</v>
      </c>
      <c r="R243" s="55">
        <f>IF(AC243=1,P243*60/Q243,"")</f>
        <v>412.909090909091</v>
      </c>
      <c r="S243" s="55">
        <f>IF(AC243=1,N(G243)*60/Q243,"")</f>
        <v>402.0</v>
      </c>
      <c r="T243" s="57">
        <f>IF(AC243=1,O243/M243,"")</f>
        <v>0.96875</v>
      </c>
      <c r="U243" s="57">
        <f>IF(AC243=1,IF(O243&gt;0,R243/O243,""),"")</f>
        <v>0.887976539589443</v>
      </c>
      <c r="V243" s="57">
        <f>IF(AC243=1,IF(P243&gt;0,N(G243)/P243,""),"")</f>
        <v>0.973579920739762</v>
      </c>
      <c r="W243" s="57">
        <f>IF(AC243=1,S243/M243,"")</f>
        <v>0.8375</v>
      </c>
      <c r="X243" s="57">
        <f>IF(AC243=1,S243/K243,"")</f>
        <v>0.744444444444445</v>
      </c>
      <c r="Y243" s="58" t="str">
        <f>IF(W243="","",IF(W243&gt;=p_target,"Bon",IF(W243&gt;=p_alert,"À surveiller","Faible")))</f>
        <v>Bon</v>
      </c>
      <c r="Z243" s="58" t="str">
        <f>IF(W243="","",IF(MIN(IF(T243="",1,T243),IF(U243="",1,U243),IF(V243="",1,V243))&gt;=1,"Aucune",IF(IF(T243="",1,T243)&lt;=MIN(IF(U243="",1,U243),IF(V243="",1,V243)),"Disponibilité",IF(IF(U243="",1,U243)&lt;=IF(V243="",1,V243),"Performance","Qualité"))))</f>
        <v>Performance</v>
      </c>
      <c r="AA243" s="59">
        <f>IF(AC243=1,N(H243)*N(IFERROR(INDEX(art_cost,MATCH(E243,art_ref,0)),0)),"")</f>
        <v>279.5</v>
      </c>
      <c r="AB243" s="58" t="str">
        <f>IF(COUNTA(A243:I243)=0,"",IF(N(A243)&lt;=0,"Date manquante ou invalide",IF(B243="","Équipe manquante",IF(ISNA(MATCH(B243,eq_code,0)),"Équipe inconnue",IF(INDEX(eq_check,MATCH(B243,eq_code,0))&lt;&gt;"OK","Équipe à corriger dans Paramètres",IF(C243="","Poste manquant",IF(ISNA(MATCH(C243,po_code,0)),"Poste inconnu",IF(AND(E243&lt;&gt;"",ISNA(MATCH(E243,art_ref,0))),"Article inconnu",IF(IF(E243="",FALSE,INDEX(art_check,MATCH(E243,art_ref,0))&lt;&gt;"OK"),"Article à corriger (feuille Articles)",IF(COUNTIFS(sj_date,A243,sj_eq,B243,sj_po,C243)&gt;1,"Ligne en double (même jour, équipe et poste)",IF(OR(NOT(ISNUMBER(K243)),N(K243)&lt;=0,N(K243)&gt;1440),"Temps d'ouverture invalide",IF(OR(AND(G243&lt;&gt;"",NOT(ISNUMBER(G243))),N(G243)&lt;0,N(G243)&lt;&gt;INT(N(G243)),AND(H243&lt;&gt;"",NOT(ISNUMBER(H243))),N(H243)&lt;0,N(H243)&lt;&gt;INT(N(H243)),AND(I243&lt;&gt;"",NOT(ISNUMBER(I243))),N(I243)&lt;0,N(I243)&lt;&gt;INT(N(I243))),"Quantité invalide",IF(Q243&lt;=0,"Cadence manquante (poste ou article)",IF(M243&lt;=0,"Arrêts planifiés supérieurs au temps d'ouverture",IF(O243&lt;0,"Arrêts supérieurs au temps requis",IF(AND(P243&gt;0,O243=0),"Pièces déclarées sans temps de marche",IF(AND(P243=0,O243&gt;0),"Aucune pièce déclarée",IF(P243*60/Q243&gt;O243+0.001,"Cadence dépassée : vérifiez la cadence","OK"))))))))))))))))))</f>
        <v>OK</v>
      </c>
      <c r="AC243">
        <f>IF(OR(AB243="OK",AB243="Aucune pièce déclarée",AB243="Cadence dépassée : vérifiez la cadence"),1,0)</f>
        <v>1.0</v>
      </c>
      <c r="AD243">
        <f>IF(AND(AC243=1,A243&gt;=p_from,A243&lt;=p_to),1,0)</f>
        <v>1.0</v>
      </c>
      <c r="AE243">
        <f>IF(AD243=1,IF(COUNTIFS($A$6:A243,A243,$AD$6:AD243,1)=1,1,0),0)</f>
        <v>0.0</v>
      </c>
      <c r="AF243" t="str">
        <f>IF(AE243=1,COUNTIFS(sj_first,1,sj_date,"&lt;"&amp;A243)+1,"")</f>
        <v/>
      </c>
      <c r="AG243" t="str">
        <f>IF(AND(AD243=1,N(W243)&lt;p_alert),ROUND(W243,4),"")</f>
        <v/>
      </c>
      <c r="AH243" t="str">
        <f>IF(AG243="","",COUNTIF(sj_akey,"&lt;"&amp;AG243)+COUNTIF($AG$6:AG243,AG243))</f>
        <v/>
      </c>
    </row>
    <row r="244">
      <c r="A244" s="51" t="n">
        <v>46317</v>
      </c>
      <c r="B244" s="52" t="inlineStr">
        <is>
          <t>Matin</t>
        </is>
      </c>
      <c r="C244" s="52" t="inlineStr">
        <is>
          <t>SOUD</t>
        </is>
      </c>
      <c r="D244" s="53" t="inlineStr">
        <is>
          <t>OF-2610-181</t>
        </is>
      </c>
      <c r="E244" s="53" t="inlineStr">
        <is>
          <t>BRA-SUS-02</t>
        </is>
      </c>
      <c r="F244" s="54" t="n"/>
      <c r="G244" s="54" t="n">
        <v>119</v>
      </c>
      <c r="H244" s="54" t="n">
        <v>2</v>
      </c>
      <c r="I244" s="54" t="n">
        <v>1</v>
      </c>
      <c r="J244" s="53" t="n"/>
      <c r="K244" s="55">
        <f>IF(COUNTA(A244:I244)=0,"",IF(F244="",IFERROR(INDEX(eq_dur,MATCH(B244,eq_code,0)),""),F244))</f>
        <v>480.0</v>
      </c>
      <c r="L244" s="55">
        <f>IF(ISNUMBER(K244),N(IFERROR(INDEX(eq_pause,MATCH(B244,eq_code,0)),0))+SUMIFS(st_min,st_date,A244,st_eq,B244,st_po,C244,st_type,"Planifié"),"")</f>
        <v>30.0</v>
      </c>
      <c r="M244" s="55">
        <f>IF(ISNUMBER(K244),K244-L244,"")</f>
        <v>450.0</v>
      </c>
      <c r="N244" s="55">
        <f>IF(ISNUMBER(K244),SUMIFS(st_min,st_date,A244,st_eq,B244,st_po,C244,st_type,"Non planifié"),"")</f>
        <v>0.0</v>
      </c>
      <c r="O244" s="55">
        <f>IF(ISNUMBER(K244),M244-N244,"")</f>
        <v>450.0</v>
      </c>
      <c r="P244" s="55">
        <f>IF(COUNTA(A244:I244)=0,"",N(G244)+N(H244)+N(I244))</f>
        <v>122.0</v>
      </c>
      <c r="Q244" s="56">
        <f>IF(COUNTA(A244:I244)=0,"",IF(N(IFERROR(INDEX(art_rate,MATCH(E244,art_ref,0)),0))&gt;0,N(IFERROR(INDEX(art_rate,MATCH(E244,art_ref,0)),0)),N(IFERROR(INDEX(po_rate,MATCH(C244,po_code,0)),0))))</f>
        <v>20.0</v>
      </c>
      <c r="R244" s="55">
        <f>IF(AC244=1,P244*60/Q244,"")</f>
        <v>366.0</v>
      </c>
      <c r="S244" s="55">
        <f>IF(AC244=1,N(G244)*60/Q244,"")</f>
        <v>357.0</v>
      </c>
      <c r="T244" s="57">
        <f>IF(AC244=1,O244/M244,"")</f>
        <v>1.0</v>
      </c>
      <c r="U244" s="57">
        <f>IF(AC244=1,IF(O244&gt;0,R244/O244,""),"")</f>
        <v>0.813333333333333</v>
      </c>
      <c r="V244" s="57">
        <f>IF(AC244=1,IF(P244&gt;0,N(G244)/P244,""),"")</f>
        <v>0.975409836065574</v>
      </c>
      <c r="W244" s="57">
        <f>IF(AC244=1,S244/M244,"")</f>
        <v>0.793333333333333</v>
      </c>
      <c r="X244" s="57">
        <f>IF(AC244=1,S244/K244,"")</f>
        <v>0.74375</v>
      </c>
      <c r="Y244" s="58" t="str">
        <f>IF(W244="","",IF(W244&gt;=p_target,"Bon",IF(W244&gt;=p_alert,"À surveiller","Faible")))</f>
        <v>Bon</v>
      </c>
      <c r="Z244" s="58" t="str">
        <f>IF(W244="","",IF(MIN(IF(T244="",1,T244),IF(U244="",1,U244),IF(V244="",1,V244))&gt;=1,"Aucune",IF(IF(T244="",1,T244)&lt;=MIN(IF(U244="",1,U244),IF(V244="",1,V244)),"Disponibilité",IF(IF(U244="",1,U244)&lt;=IF(V244="",1,V244),"Performance","Qualité"))))</f>
        <v>Performance</v>
      </c>
      <c r="AA244" s="59">
        <f>IF(AC244=1,N(H244)*N(IFERROR(INDEX(art_cost,MATCH(E244,art_ref,0)),0)),"")</f>
        <v>476.0</v>
      </c>
      <c r="AB244" s="58" t="str">
        <f>IF(COUNTA(A244:I244)=0,"",IF(N(A244)&lt;=0,"Date manquante ou invalide",IF(B244="","Équipe manquante",IF(ISNA(MATCH(B244,eq_code,0)),"Équipe inconnue",IF(INDEX(eq_check,MATCH(B244,eq_code,0))&lt;&gt;"OK","Équipe à corriger dans Paramètres",IF(C244="","Poste manquant",IF(ISNA(MATCH(C244,po_code,0)),"Poste inconnu",IF(AND(E244&lt;&gt;"",ISNA(MATCH(E244,art_ref,0))),"Article inconnu",IF(IF(E244="",FALSE,INDEX(art_check,MATCH(E244,art_ref,0))&lt;&gt;"OK"),"Article à corriger (feuille Articles)",IF(COUNTIFS(sj_date,A244,sj_eq,B244,sj_po,C244)&gt;1,"Ligne en double (même jour, équipe et poste)",IF(OR(NOT(ISNUMBER(K244)),N(K244)&lt;=0,N(K244)&gt;1440),"Temps d'ouverture invalide",IF(OR(AND(G244&lt;&gt;"",NOT(ISNUMBER(G244))),N(G244)&lt;0,N(G244)&lt;&gt;INT(N(G244)),AND(H244&lt;&gt;"",NOT(ISNUMBER(H244))),N(H244)&lt;0,N(H244)&lt;&gt;INT(N(H244)),AND(I244&lt;&gt;"",NOT(ISNUMBER(I244))),N(I244)&lt;0,N(I244)&lt;&gt;INT(N(I244))),"Quantité invalide",IF(Q244&lt;=0,"Cadence manquante (poste ou article)",IF(M244&lt;=0,"Arrêts planifiés supérieurs au temps d'ouverture",IF(O244&lt;0,"Arrêts supérieurs au temps requis",IF(AND(P244&gt;0,O244=0),"Pièces déclarées sans temps de marche",IF(AND(P244=0,O244&gt;0),"Aucune pièce déclarée",IF(P244*60/Q244&gt;O244+0.001,"Cadence dépassée : vérifiez la cadence","OK"))))))))))))))))))</f>
        <v>OK</v>
      </c>
      <c r="AC244">
        <f>IF(OR(AB244="OK",AB244="Aucune pièce déclarée",AB244="Cadence dépassée : vérifiez la cadence"),1,0)</f>
        <v>1.0</v>
      </c>
      <c r="AD244">
        <f>IF(AND(AC244=1,A244&gt;=p_from,A244&lt;=p_to),1,0)</f>
        <v>1.0</v>
      </c>
      <c r="AE244">
        <f>IF(AD244=1,IF(COUNTIFS($A$6:A244,A244,$AD$6:AD244,1)=1,1,0),0)</f>
        <v>0.0</v>
      </c>
      <c r="AF244" t="str">
        <f>IF(AE244=1,COUNTIFS(sj_first,1,sj_date,"&lt;"&amp;A244)+1,"")</f>
        <v/>
      </c>
      <c r="AG244" t="str">
        <f>IF(AND(AD244=1,N(W244)&lt;p_alert),ROUND(W244,4),"")</f>
        <v/>
      </c>
      <c r="AH244" t="str">
        <f>IF(AG244="","",COUNTIF(sj_akey,"&lt;"&amp;AG244)+COUNTIF($AG$6:AG244,AG244))</f>
        <v/>
      </c>
    </row>
    <row r="245">
      <c r="A245" s="51" t="n">
        <v>46317</v>
      </c>
      <c r="B245" s="52" t="inlineStr">
        <is>
          <t>Après-midi</t>
        </is>
      </c>
      <c r="C245" s="52" t="inlineStr">
        <is>
          <t>SOUD</t>
        </is>
      </c>
      <c r="D245" s="53" t="inlineStr">
        <is>
          <t>OF-2610-169</t>
        </is>
      </c>
      <c r="E245" s="53" t="inlineStr">
        <is>
          <t>CHA-REM-01</t>
        </is>
      </c>
      <c r="F245" s="54" t="n"/>
      <c r="G245" s="54" t="n">
        <v>22</v>
      </c>
      <c r="H245" s="54" t="n">
        <v>0</v>
      </c>
      <c r="I245" s="54" t="n">
        <v>0</v>
      </c>
      <c r="J245" s="53" t="n"/>
      <c r="K245" s="55">
        <f>IF(COUNTA(A245:I245)=0,"",IF(F245="",IFERROR(INDEX(eq_dur,MATCH(B245,eq_code,0)),""),F245))</f>
        <v>480.0</v>
      </c>
      <c r="L245" s="55">
        <f>IF(ISNUMBER(K245),N(IFERROR(INDEX(eq_pause,MATCH(B245,eq_code,0)),0))+SUMIFS(st_min,st_date,A245,st_eq,B245,st_po,C245,st_type,"Planifié"),"")</f>
        <v>30.0</v>
      </c>
      <c r="M245" s="55">
        <f>IF(ISNUMBER(K245),K245-L245,"")</f>
        <v>450.0</v>
      </c>
      <c r="N245" s="55">
        <f>IF(ISNUMBER(K245),SUMIFS(st_min,st_date,A245,st_eq,B245,st_po,C245,st_type,"Non planifié"),"")</f>
        <v>19.0</v>
      </c>
      <c r="O245" s="55">
        <f>IF(ISNUMBER(K245),M245-N245,"")</f>
        <v>431.0</v>
      </c>
      <c r="P245" s="55">
        <f>IF(COUNTA(A245:I245)=0,"",N(G245)+N(H245)+N(I245))</f>
        <v>22.0</v>
      </c>
      <c r="Q245" s="56">
        <f>IF(COUNTA(A245:I245)=0,"",IF(N(IFERROR(INDEX(art_rate,MATCH(E245,art_ref,0)),0))&gt;0,N(IFERROR(INDEX(art_rate,MATCH(E245,art_ref,0)),0)),N(IFERROR(INDEX(po_rate,MATCH(C245,po_code,0)),0))))</f>
        <v>4.0</v>
      </c>
      <c r="R245" s="55">
        <f>IF(AC245=1,P245*60/Q245,"")</f>
        <v>330.0</v>
      </c>
      <c r="S245" s="55">
        <f>IF(AC245=1,N(G245)*60/Q245,"")</f>
        <v>330.0</v>
      </c>
      <c r="T245" s="57">
        <f>IF(AC245=1,O245/M245,"")</f>
        <v>0.957777777777778</v>
      </c>
      <c r="U245" s="57">
        <f>IF(AC245=1,IF(O245&gt;0,R245/O245,""),"")</f>
        <v>0.765661252900232</v>
      </c>
      <c r="V245" s="57">
        <f>IF(AC245=1,IF(P245&gt;0,N(G245)/P245,""),"")</f>
        <v>1.0</v>
      </c>
      <c r="W245" s="57">
        <f>IF(AC245=1,S245/M245,"")</f>
        <v>0.733333333333333</v>
      </c>
      <c r="X245" s="57">
        <f>IF(AC245=1,S245/K245,"")</f>
        <v>0.6875</v>
      </c>
      <c r="Y245" s="58" t="str">
        <f>IF(W245="","",IF(W245&gt;=p_target,"Bon",IF(W245&gt;=p_alert,"À surveiller","Faible")))</f>
        <v>À surveiller</v>
      </c>
      <c r="Z245" s="58" t="str">
        <f>IF(W245="","",IF(MIN(IF(T245="",1,T245),IF(U245="",1,U245),IF(V245="",1,V245))&gt;=1,"Aucune",IF(IF(T245="",1,T245)&lt;=MIN(IF(U245="",1,U245),IF(V245="",1,V245)),"Disponibilité",IF(IF(U245="",1,U245)&lt;=IF(V245="",1,V245),"Performance","Qualité"))))</f>
        <v>Performance</v>
      </c>
      <c r="AA245" s="59">
        <f>IF(AC245=1,N(H245)*N(IFERROR(INDEX(art_cost,MATCH(E245,art_ref,0)),0)),"")</f>
        <v>0.0</v>
      </c>
      <c r="AB245" s="58" t="str">
        <f>IF(COUNTA(A245:I245)=0,"",IF(N(A245)&lt;=0,"Date manquante ou invalide",IF(B245="","Équipe manquante",IF(ISNA(MATCH(B245,eq_code,0)),"Équipe inconnue",IF(INDEX(eq_check,MATCH(B245,eq_code,0))&lt;&gt;"OK","Équipe à corriger dans Paramètres",IF(C245="","Poste manquant",IF(ISNA(MATCH(C245,po_code,0)),"Poste inconnu",IF(AND(E245&lt;&gt;"",ISNA(MATCH(E245,art_ref,0))),"Article inconnu",IF(IF(E245="",FALSE,INDEX(art_check,MATCH(E245,art_ref,0))&lt;&gt;"OK"),"Article à corriger (feuille Articles)",IF(COUNTIFS(sj_date,A245,sj_eq,B245,sj_po,C245)&gt;1,"Ligne en double (même jour, équipe et poste)",IF(OR(NOT(ISNUMBER(K245)),N(K245)&lt;=0,N(K245)&gt;1440),"Temps d'ouverture invalide",IF(OR(AND(G245&lt;&gt;"",NOT(ISNUMBER(G245))),N(G245)&lt;0,N(G245)&lt;&gt;INT(N(G245)),AND(H245&lt;&gt;"",NOT(ISNUMBER(H245))),N(H245)&lt;0,N(H245)&lt;&gt;INT(N(H245)),AND(I245&lt;&gt;"",NOT(ISNUMBER(I245))),N(I245)&lt;0,N(I245)&lt;&gt;INT(N(I245))),"Quantité invalide",IF(Q245&lt;=0,"Cadence manquante (poste ou article)",IF(M245&lt;=0,"Arrêts planifiés supérieurs au temps d'ouverture",IF(O245&lt;0,"Arrêts supérieurs au temps requis",IF(AND(P245&gt;0,O245=0),"Pièces déclarées sans temps de marche",IF(AND(P245=0,O245&gt;0),"Aucune pièce déclarée",IF(P245*60/Q245&gt;O245+0.001,"Cadence dépassée : vérifiez la cadence","OK"))))))))))))))))))</f>
        <v>OK</v>
      </c>
      <c r="AC245">
        <f>IF(OR(AB245="OK",AB245="Aucune pièce déclarée",AB245="Cadence dépassée : vérifiez la cadence"),1,0)</f>
        <v>1.0</v>
      </c>
      <c r="AD245">
        <f>IF(AND(AC245=1,A245&gt;=p_from,A245&lt;=p_to),1,0)</f>
        <v>1.0</v>
      </c>
      <c r="AE245">
        <f>IF(AD245=1,IF(COUNTIFS($A$6:A245,A245,$AD$6:AD245,1)=1,1,0),0)</f>
        <v>0.0</v>
      </c>
      <c r="AF245" t="str">
        <f>IF(AE245=1,COUNTIFS(sj_first,1,sj_date,"&lt;"&amp;A245)+1,"")</f>
        <v/>
      </c>
      <c r="AG245" t="str">
        <f>IF(AND(AD245=1,N(W245)&lt;p_alert),ROUND(W245,4),"")</f>
        <v/>
      </c>
      <c r="AH245" t="str">
        <f>IF(AG245="","",COUNTIF(sj_akey,"&lt;"&amp;AG245)+COUNTIF($AG$6:AG245,AG245))</f>
        <v/>
      </c>
    </row>
    <row r="246">
      <c r="A246" s="51" t="n">
        <v>46318</v>
      </c>
      <c r="B246" s="52" t="inlineStr">
        <is>
          <t>Matin</t>
        </is>
      </c>
      <c r="C246" s="52" t="inlineStr">
        <is>
          <t>TOUR1</t>
        </is>
      </c>
      <c r="D246" s="53" t="inlineStr">
        <is>
          <t>OF-2610-184</t>
        </is>
      </c>
      <c r="E246" s="53" t="inlineStr">
        <is>
          <t>AXE-R20</t>
        </is>
      </c>
      <c r="F246" s="54" t="n"/>
      <c r="G246" s="54" t="n">
        <v>169</v>
      </c>
      <c r="H246" s="54" t="n">
        <v>4</v>
      </c>
      <c r="I246" s="54" t="n">
        <v>1</v>
      </c>
      <c r="J246" s="53" t="n"/>
      <c r="K246" s="55">
        <f>IF(COUNTA(A246:I246)=0,"",IF(F246="",IFERROR(INDEX(eq_dur,MATCH(B246,eq_code,0)),""),F246))</f>
        <v>480.0</v>
      </c>
      <c r="L246" s="55">
        <f>IF(ISNUMBER(K246),N(IFERROR(INDEX(eq_pause,MATCH(B246,eq_code,0)),0))+SUMIFS(st_min,st_date,A246,st_eq,B246,st_po,C246,st_type,"Planifié"),"")</f>
        <v>30.0</v>
      </c>
      <c r="M246" s="55">
        <f>IF(ISNUMBER(K246),K246-L246,"")</f>
        <v>450.0</v>
      </c>
      <c r="N246" s="55">
        <f>IF(ISNUMBER(K246),SUMIFS(st_min,st_date,A246,st_eq,B246,st_po,C246,st_type,"Non planifié"),"")</f>
        <v>90.0</v>
      </c>
      <c r="O246" s="55">
        <f>IF(ISNUMBER(K246),M246-N246,"")</f>
        <v>360.0</v>
      </c>
      <c r="P246" s="55">
        <f>IF(COUNTA(A246:I246)=0,"",N(G246)+N(H246)+N(I246))</f>
        <v>174.0</v>
      </c>
      <c r="Q246" s="56">
        <f>IF(COUNTA(A246:I246)=0,"",IF(N(IFERROR(INDEX(art_rate,MATCH(E246,art_ref,0)),0))&gt;0,N(IFERROR(INDEX(art_rate,MATCH(E246,art_ref,0)),0)),N(IFERROR(INDEX(po_rate,MATCH(C246,po_code,0)),0))))</f>
        <v>30.0</v>
      </c>
      <c r="R246" s="55">
        <f>IF(AC246=1,P246*60/Q246,"")</f>
        <v>348.0</v>
      </c>
      <c r="S246" s="55">
        <f>IF(AC246=1,N(G246)*60/Q246,"")</f>
        <v>338.0</v>
      </c>
      <c r="T246" s="57">
        <f>IF(AC246=1,O246/M246,"")</f>
        <v>0.8</v>
      </c>
      <c r="U246" s="57">
        <f>IF(AC246=1,IF(O246&gt;0,R246/O246,""),"")</f>
        <v>0.966666666666667</v>
      </c>
      <c r="V246" s="57">
        <f>IF(AC246=1,IF(P246&gt;0,N(G246)/P246,""),"")</f>
        <v>0.971264367816092</v>
      </c>
      <c r="W246" s="57">
        <f>IF(AC246=1,S246/M246,"")</f>
        <v>0.751111111111111</v>
      </c>
      <c r="X246" s="57">
        <f>IF(AC246=1,S246/K246,"")</f>
        <v>0.704166666666667</v>
      </c>
      <c r="Y246" s="58" t="str">
        <f>IF(W246="","",IF(W246&gt;=p_target,"Bon",IF(W246&gt;=p_alert,"À surveiller","Faible")))</f>
        <v>Bon</v>
      </c>
      <c r="Z246" s="58" t="str">
        <f>IF(W246="","",IF(MIN(IF(T246="",1,T246),IF(U246="",1,U246),IF(V246="",1,V246))&gt;=1,"Aucune",IF(IF(T246="",1,T246)&lt;=MIN(IF(U246="",1,U246),IF(V246="",1,V246)),"Disponibilité",IF(IF(U246="",1,U246)&lt;=IF(V246="",1,V246),"Performance","Qualité"))))</f>
        <v>Disponibilité</v>
      </c>
      <c r="AA246" s="59">
        <f>IF(AC246=1,N(H246)*N(IFERROR(INDEX(art_cost,MATCH(E246,art_ref,0)),0)),"")</f>
        <v>154.0</v>
      </c>
      <c r="AB246" s="58" t="str">
        <f>IF(COUNTA(A246:I246)=0,"",IF(N(A246)&lt;=0,"Date manquante ou invalide",IF(B246="","Équipe manquante",IF(ISNA(MATCH(B246,eq_code,0)),"Équipe inconnue",IF(INDEX(eq_check,MATCH(B246,eq_code,0))&lt;&gt;"OK","Équipe à corriger dans Paramètres",IF(C246="","Poste manquant",IF(ISNA(MATCH(C246,po_code,0)),"Poste inconnu",IF(AND(E246&lt;&gt;"",ISNA(MATCH(E246,art_ref,0))),"Article inconnu",IF(IF(E246="",FALSE,INDEX(art_check,MATCH(E246,art_ref,0))&lt;&gt;"OK"),"Article à corriger (feuille Articles)",IF(COUNTIFS(sj_date,A246,sj_eq,B246,sj_po,C246)&gt;1,"Ligne en double (même jour, équipe et poste)",IF(OR(NOT(ISNUMBER(K246)),N(K246)&lt;=0,N(K246)&gt;1440),"Temps d'ouverture invalide",IF(OR(AND(G246&lt;&gt;"",NOT(ISNUMBER(G246))),N(G246)&lt;0,N(G246)&lt;&gt;INT(N(G246)),AND(H246&lt;&gt;"",NOT(ISNUMBER(H246))),N(H246)&lt;0,N(H246)&lt;&gt;INT(N(H246)),AND(I246&lt;&gt;"",NOT(ISNUMBER(I246))),N(I246)&lt;0,N(I246)&lt;&gt;INT(N(I246))),"Quantité invalide",IF(Q246&lt;=0,"Cadence manquante (poste ou article)",IF(M246&lt;=0,"Arrêts planifiés supérieurs au temps d'ouverture",IF(O246&lt;0,"Arrêts supérieurs au temps requis",IF(AND(P246&gt;0,O246=0),"Pièces déclarées sans temps de marche",IF(AND(P246=0,O246&gt;0),"Aucune pièce déclarée",IF(P246*60/Q246&gt;O246+0.001,"Cadence dépassée : vérifiez la cadence","OK"))))))))))))))))))</f>
        <v>OK</v>
      </c>
      <c r="AC246">
        <f>IF(OR(AB246="OK",AB246="Aucune pièce déclarée",AB246="Cadence dépassée : vérifiez la cadence"),1,0)</f>
        <v>1.0</v>
      </c>
      <c r="AD246">
        <f>IF(AND(AC246=1,A246&gt;=p_from,A246&lt;=p_to),1,0)</f>
        <v>1.0</v>
      </c>
      <c r="AE246">
        <f>IF(AD246=1,IF(COUNTIFS($A$6:A246,A246,$AD$6:AD246,1)=1,1,0),0)</f>
        <v>1.0</v>
      </c>
      <c r="AF246">
        <f>IF(AE246=1,COUNTIFS(sj_first,1,sj_date,"&lt;"&amp;A246)+1,"")</f>
        <v>25.0</v>
      </c>
      <c r="AG246" t="str">
        <f>IF(AND(AD246=1,N(W246)&lt;p_alert),ROUND(W246,4),"")</f>
        <v/>
      </c>
      <c r="AH246" t="str">
        <f>IF(AG246="","",COUNTIF(sj_akey,"&lt;"&amp;AG246)+COUNTIF($AG$6:AG246,AG246))</f>
        <v/>
      </c>
    </row>
    <row r="247">
      <c r="A247" s="51" t="n">
        <v>46318</v>
      </c>
      <c r="B247" s="52" t="inlineStr">
        <is>
          <t>Après-midi</t>
        </is>
      </c>
      <c r="C247" s="52" t="inlineStr">
        <is>
          <t>TOUR1</t>
        </is>
      </c>
      <c r="D247" s="53" t="inlineStr">
        <is>
          <t>OF-2610-182</t>
        </is>
      </c>
      <c r="E247" s="53" t="inlineStr">
        <is>
          <t>AXE-R20</t>
        </is>
      </c>
      <c r="F247" s="54" t="n"/>
      <c r="G247" s="54" t="n">
        <v>189</v>
      </c>
      <c r="H247" s="54" t="n">
        <v>2</v>
      </c>
      <c r="I247" s="54" t="n">
        <v>2</v>
      </c>
      <c r="J247" s="53" t="n"/>
      <c r="K247" s="55">
        <f>IF(COUNTA(A247:I247)=0,"",IF(F247="",IFERROR(INDEX(eq_dur,MATCH(B247,eq_code,0)),""),F247))</f>
        <v>480.0</v>
      </c>
      <c r="L247" s="55">
        <f>IF(ISNUMBER(K247),N(IFERROR(INDEX(eq_pause,MATCH(B247,eq_code,0)),0))+SUMIFS(st_min,st_date,A247,st_eq,B247,st_po,C247,st_type,"Planifié"),"")</f>
        <v>30.0</v>
      </c>
      <c r="M247" s="55">
        <f>IF(ISNUMBER(K247),K247-L247,"")</f>
        <v>450.0</v>
      </c>
      <c r="N247" s="55">
        <f>IF(ISNUMBER(K247),SUMIFS(st_min,st_date,A247,st_eq,B247,st_po,C247,st_type,"Non planifié"),"")</f>
        <v>35.0</v>
      </c>
      <c r="O247" s="55">
        <f>IF(ISNUMBER(K247),M247-N247,"")</f>
        <v>415.0</v>
      </c>
      <c r="P247" s="55">
        <f>IF(COUNTA(A247:I247)=0,"",N(G247)+N(H247)+N(I247))</f>
        <v>193.0</v>
      </c>
      <c r="Q247" s="56">
        <f>IF(COUNTA(A247:I247)=0,"",IF(N(IFERROR(INDEX(art_rate,MATCH(E247,art_ref,0)),0))&gt;0,N(IFERROR(INDEX(art_rate,MATCH(E247,art_ref,0)),0)),N(IFERROR(INDEX(po_rate,MATCH(C247,po_code,0)),0))))</f>
        <v>30.0</v>
      </c>
      <c r="R247" s="55">
        <f>IF(AC247=1,P247*60/Q247,"")</f>
        <v>386.0</v>
      </c>
      <c r="S247" s="55">
        <f>IF(AC247=1,N(G247)*60/Q247,"")</f>
        <v>378.0</v>
      </c>
      <c r="T247" s="57">
        <f>IF(AC247=1,O247/M247,"")</f>
        <v>0.922222222222222</v>
      </c>
      <c r="U247" s="57">
        <f>IF(AC247=1,IF(O247&gt;0,R247/O247,""),"")</f>
        <v>0.930120481927711</v>
      </c>
      <c r="V247" s="57">
        <f>IF(AC247=1,IF(P247&gt;0,N(G247)/P247,""),"")</f>
        <v>0.979274611398964</v>
      </c>
      <c r="W247" s="57">
        <f>IF(AC247=1,S247/M247,"")</f>
        <v>0.84</v>
      </c>
      <c r="X247" s="57">
        <f>IF(AC247=1,S247/K247,"")</f>
        <v>0.7875</v>
      </c>
      <c r="Y247" s="58" t="str">
        <f>IF(W247="","",IF(W247&gt;=p_target,"Bon",IF(W247&gt;=p_alert,"À surveiller","Faible")))</f>
        <v>Bon</v>
      </c>
      <c r="Z247" s="58" t="str">
        <f>IF(W247="","",IF(MIN(IF(T247="",1,T247),IF(U247="",1,U247),IF(V247="",1,V247))&gt;=1,"Aucune",IF(IF(T247="",1,T247)&lt;=MIN(IF(U247="",1,U247),IF(V247="",1,V247)),"Disponibilité",IF(IF(U247="",1,U247)&lt;=IF(V247="",1,V247),"Performance","Qualité"))))</f>
        <v>Disponibilité</v>
      </c>
      <c r="AA247" s="59">
        <f>IF(AC247=1,N(H247)*N(IFERROR(INDEX(art_cost,MATCH(E247,art_ref,0)),0)),"")</f>
        <v>77.0</v>
      </c>
      <c r="AB247" s="58" t="str">
        <f>IF(COUNTA(A247:I247)=0,"",IF(N(A247)&lt;=0,"Date manquante ou invalide",IF(B247="","Équipe manquante",IF(ISNA(MATCH(B247,eq_code,0)),"Équipe inconnue",IF(INDEX(eq_check,MATCH(B247,eq_code,0))&lt;&gt;"OK","Équipe à corriger dans Paramètres",IF(C247="","Poste manquant",IF(ISNA(MATCH(C247,po_code,0)),"Poste inconnu",IF(AND(E247&lt;&gt;"",ISNA(MATCH(E247,art_ref,0))),"Article inconnu",IF(IF(E247="",FALSE,INDEX(art_check,MATCH(E247,art_ref,0))&lt;&gt;"OK"),"Article à corriger (feuille Articles)",IF(COUNTIFS(sj_date,A247,sj_eq,B247,sj_po,C247)&gt;1,"Ligne en double (même jour, équipe et poste)",IF(OR(NOT(ISNUMBER(K247)),N(K247)&lt;=0,N(K247)&gt;1440),"Temps d'ouverture invalide",IF(OR(AND(G247&lt;&gt;"",NOT(ISNUMBER(G247))),N(G247)&lt;0,N(G247)&lt;&gt;INT(N(G247)),AND(H247&lt;&gt;"",NOT(ISNUMBER(H247))),N(H247)&lt;0,N(H247)&lt;&gt;INT(N(H247)),AND(I247&lt;&gt;"",NOT(ISNUMBER(I247))),N(I247)&lt;0,N(I247)&lt;&gt;INT(N(I247))),"Quantité invalide",IF(Q247&lt;=0,"Cadence manquante (poste ou article)",IF(M247&lt;=0,"Arrêts planifiés supérieurs au temps d'ouverture",IF(O247&lt;0,"Arrêts supérieurs au temps requis",IF(AND(P247&gt;0,O247=0),"Pièces déclarées sans temps de marche",IF(AND(P247=0,O247&gt;0),"Aucune pièce déclarée",IF(P247*60/Q247&gt;O247+0.001,"Cadence dépassée : vérifiez la cadence","OK"))))))))))))))))))</f>
        <v>OK</v>
      </c>
      <c r="AC247">
        <f>IF(OR(AB247="OK",AB247="Aucune pièce déclarée",AB247="Cadence dépassée : vérifiez la cadence"),1,0)</f>
        <v>1.0</v>
      </c>
      <c r="AD247">
        <f>IF(AND(AC247=1,A247&gt;=p_from,A247&lt;=p_to),1,0)</f>
        <v>1.0</v>
      </c>
      <c r="AE247">
        <f>IF(AD247=1,IF(COUNTIFS($A$6:A247,A247,$AD$6:AD247,1)=1,1,0),0)</f>
        <v>0.0</v>
      </c>
      <c r="AF247" t="str">
        <f>IF(AE247=1,COUNTIFS(sj_first,1,sj_date,"&lt;"&amp;A247)+1,"")</f>
        <v/>
      </c>
      <c r="AG247" t="str">
        <f>IF(AND(AD247=1,N(W247)&lt;p_alert),ROUND(W247,4),"")</f>
        <v/>
      </c>
      <c r="AH247" t="str">
        <f>IF(AG247="","",COUNTIF(sj_akey,"&lt;"&amp;AG247)+COUNTIF($AG$6:AG247,AG247))</f>
        <v/>
      </c>
    </row>
    <row r="248">
      <c r="A248" s="51" t="n">
        <v>46318</v>
      </c>
      <c r="B248" s="52" t="inlineStr">
        <is>
          <t>Matin</t>
        </is>
      </c>
      <c r="C248" s="52" t="inlineStr">
        <is>
          <t>TOUR2</t>
        </is>
      </c>
      <c r="D248" s="53" t="inlineStr">
        <is>
          <t>OF-2610-164</t>
        </is>
      </c>
      <c r="E248" s="53" t="inlineStr">
        <is>
          <t>AXE-R20</t>
        </is>
      </c>
      <c r="F248" s="54" t="n"/>
      <c r="G248" s="54" t="n">
        <v>171</v>
      </c>
      <c r="H248" s="54" t="n">
        <v>3</v>
      </c>
      <c r="I248" s="54" t="n">
        <v>0</v>
      </c>
      <c r="J248" s="53" t="n"/>
      <c r="K248" s="55">
        <f>IF(COUNTA(A248:I248)=0,"",IF(F248="",IFERROR(INDEX(eq_dur,MATCH(B248,eq_code,0)),""),F248))</f>
        <v>480.0</v>
      </c>
      <c r="L248" s="55">
        <f>IF(ISNUMBER(K248),N(IFERROR(INDEX(eq_pause,MATCH(B248,eq_code,0)),0))+SUMIFS(st_min,st_date,A248,st_eq,B248,st_po,C248,st_type,"Planifié"),"")</f>
        <v>30.0</v>
      </c>
      <c r="M248" s="55">
        <f>IF(ISNUMBER(K248),K248-L248,"")</f>
        <v>450.0</v>
      </c>
      <c r="N248" s="55">
        <f>IF(ISNUMBER(K248),SUMIFS(st_min,st_date,A248,st_eq,B248,st_po,C248,st_type,"Non planifié"),"")</f>
        <v>38.0</v>
      </c>
      <c r="O248" s="55">
        <f>IF(ISNUMBER(K248),M248-N248,"")</f>
        <v>412.0</v>
      </c>
      <c r="P248" s="55">
        <f>IF(COUNTA(A248:I248)=0,"",N(G248)+N(H248)+N(I248))</f>
        <v>174.0</v>
      </c>
      <c r="Q248" s="56">
        <f>IF(COUNTA(A248:I248)=0,"",IF(N(IFERROR(INDEX(art_rate,MATCH(E248,art_ref,0)),0))&gt;0,N(IFERROR(INDEX(art_rate,MATCH(E248,art_ref,0)),0)),N(IFERROR(INDEX(po_rate,MATCH(C248,po_code,0)),0))))</f>
        <v>30.0</v>
      </c>
      <c r="R248" s="55">
        <f>IF(AC248=1,P248*60/Q248,"")</f>
        <v>348.0</v>
      </c>
      <c r="S248" s="55">
        <f>IF(AC248=1,N(G248)*60/Q248,"")</f>
        <v>342.0</v>
      </c>
      <c r="T248" s="57">
        <f>IF(AC248=1,O248/M248,"")</f>
        <v>0.915555555555556</v>
      </c>
      <c r="U248" s="57">
        <f>IF(AC248=1,IF(O248&gt;0,R248/O248,""),"")</f>
        <v>0.844660194174757</v>
      </c>
      <c r="V248" s="57">
        <f>IF(AC248=1,IF(P248&gt;0,N(G248)/P248,""),"")</f>
        <v>0.982758620689655</v>
      </c>
      <c r="W248" s="57">
        <f>IF(AC248=1,S248/M248,"")</f>
        <v>0.76</v>
      </c>
      <c r="X248" s="57">
        <f>IF(AC248=1,S248/K248,"")</f>
        <v>0.7125</v>
      </c>
      <c r="Y248" s="58" t="str">
        <f>IF(W248="","",IF(W248&gt;=p_target,"Bon",IF(W248&gt;=p_alert,"À surveiller","Faible")))</f>
        <v>Bon</v>
      </c>
      <c r="Z248" s="58" t="str">
        <f>IF(W248="","",IF(MIN(IF(T248="",1,T248),IF(U248="",1,U248),IF(V248="",1,V248))&gt;=1,"Aucune",IF(IF(T248="",1,T248)&lt;=MIN(IF(U248="",1,U248),IF(V248="",1,V248)),"Disponibilité",IF(IF(U248="",1,U248)&lt;=IF(V248="",1,V248),"Performance","Qualité"))))</f>
        <v>Performance</v>
      </c>
      <c r="AA248" s="59">
        <f>IF(AC248=1,N(H248)*N(IFERROR(INDEX(art_cost,MATCH(E248,art_ref,0)),0)),"")</f>
        <v>115.5</v>
      </c>
      <c r="AB248" s="58" t="str">
        <f>IF(COUNTA(A248:I248)=0,"",IF(N(A248)&lt;=0,"Date manquante ou invalide",IF(B248="","Équipe manquante",IF(ISNA(MATCH(B248,eq_code,0)),"Équipe inconnue",IF(INDEX(eq_check,MATCH(B248,eq_code,0))&lt;&gt;"OK","Équipe à corriger dans Paramètres",IF(C248="","Poste manquant",IF(ISNA(MATCH(C248,po_code,0)),"Poste inconnu",IF(AND(E248&lt;&gt;"",ISNA(MATCH(E248,art_ref,0))),"Article inconnu",IF(IF(E248="",FALSE,INDEX(art_check,MATCH(E248,art_ref,0))&lt;&gt;"OK"),"Article à corriger (feuille Articles)",IF(COUNTIFS(sj_date,A248,sj_eq,B248,sj_po,C248)&gt;1,"Ligne en double (même jour, équipe et poste)",IF(OR(NOT(ISNUMBER(K248)),N(K248)&lt;=0,N(K248)&gt;1440),"Temps d'ouverture invalide",IF(OR(AND(G248&lt;&gt;"",NOT(ISNUMBER(G248))),N(G248)&lt;0,N(G248)&lt;&gt;INT(N(G248)),AND(H248&lt;&gt;"",NOT(ISNUMBER(H248))),N(H248)&lt;0,N(H248)&lt;&gt;INT(N(H248)),AND(I248&lt;&gt;"",NOT(ISNUMBER(I248))),N(I248)&lt;0,N(I248)&lt;&gt;INT(N(I248))),"Quantité invalide",IF(Q248&lt;=0,"Cadence manquante (poste ou article)",IF(M248&lt;=0,"Arrêts planifiés supérieurs au temps d'ouverture",IF(O248&lt;0,"Arrêts supérieurs au temps requis",IF(AND(P248&gt;0,O248=0),"Pièces déclarées sans temps de marche",IF(AND(P248=0,O248&gt;0),"Aucune pièce déclarée",IF(P248*60/Q248&gt;O248+0.001,"Cadence dépassée : vérifiez la cadence","OK"))))))))))))))))))</f>
        <v>OK</v>
      </c>
      <c r="AC248">
        <f>IF(OR(AB248="OK",AB248="Aucune pièce déclarée",AB248="Cadence dépassée : vérifiez la cadence"),1,0)</f>
        <v>1.0</v>
      </c>
      <c r="AD248">
        <f>IF(AND(AC248=1,A248&gt;=p_from,A248&lt;=p_to),1,0)</f>
        <v>1.0</v>
      </c>
      <c r="AE248">
        <f>IF(AD248=1,IF(COUNTIFS($A$6:A248,A248,$AD$6:AD248,1)=1,1,0),0)</f>
        <v>0.0</v>
      </c>
      <c r="AF248" t="str">
        <f>IF(AE248=1,COUNTIFS(sj_first,1,sj_date,"&lt;"&amp;A248)+1,"")</f>
        <v/>
      </c>
      <c r="AG248" t="str">
        <f>IF(AND(AD248=1,N(W248)&lt;p_alert),ROUND(W248,4),"")</f>
        <v/>
      </c>
      <c r="AH248" t="str">
        <f>IF(AG248="","",COUNTIF(sj_akey,"&lt;"&amp;AG248)+COUNTIF($AG$6:AG248,AG248))</f>
        <v/>
      </c>
    </row>
    <row r="249">
      <c r="A249" s="51" t="n">
        <v>46318</v>
      </c>
      <c r="B249" s="52" t="inlineStr">
        <is>
          <t>Après-midi</t>
        </is>
      </c>
      <c r="C249" s="52" t="inlineStr">
        <is>
          <t>TOUR2</t>
        </is>
      </c>
      <c r="D249" s="53" t="inlineStr">
        <is>
          <t>OF-2610-175</t>
        </is>
      </c>
      <c r="E249" s="53" t="inlineStr">
        <is>
          <t>ENT-12</t>
        </is>
      </c>
      <c r="F249" s="54" t="n"/>
      <c r="G249" s="54" t="n">
        <v>326</v>
      </c>
      <c r="H249" s="54" t="n">
        <v>10</v>
      </c>
      <c r="I249" s="54" t="n">
        <v>1</v>
      </c>
      <c r="J249" s="53" t="n"/>
      <c r="K249" s="55">
        <f>IF(COUNTA(A249:I249)=0,"",IF(F249="",IFERROR(INDEX(eq_dur,MATCH(B249,eq_code,0)),""),F249))</f>
        <v>480.0</v>
      </c>
      <c r="L249" s="55">
        <f>IF(ISNUMBER(K249),N(IFERROR(INDEX(eq_pause,MATCH(B249,eq_code,0)),0))+SUMIFS(st_min,st_date,A249,st_eq,B249,st_po,C249,st_type,"Planifié"),"")</f>
        <v>30.0</v>
      </c>
      <c r="M249" s="55">
        <f>IF(ISNUMBER(K249),K249-L249,"")</f>
        <v>450.0</v>
      </c>
      <c r="N249" s="55">
        <f>IF(ISNUMBER(K249),SUMIFS(st_min,st_date,A249,st_eq,B249,st_po,C249,st_type,"Non planifié"),"")</f>
        <v>29.0</v>
      </c>
      <c r="O249" s="55">
        <f>IF(ISNUMBER(K249),M249-N249,"")</f>
        <v>421.0</v>
      </c>
      <c r="P249" s="55">
        <f>IF(COUNTA(A249:I249)=0,"",N(G249)+N(H249)+N(I249))</f>
        <v>337.0</v>
      </c>
      <c r="Q249" s="56">
        <f>IF(COUNTA(A249:I249)=0,"",IF(N(IFERROR(INDEX(art_rate,MATCH(E249,art_ref,0)),0))&gt;0,N(IFERROR(INDEX(art_rate,MATCH(E249,art_ref,0)),0)),N(IFERROR(INDEX(po_rate,MATCH(C249,po_code,0)),0))))</f>
        <v>55.0</v>
      </c>
      <c r="R249" s="55">
        <f>IF(AC249=1,P249*60/Q249,"")</f>
        <v>367.636363636364</v>
      </c>
      <c r="S249" s="55">
        <f>IF(AC249=1,N(G249)*60/Q249,"")</f>
        <v>355.636363636364</v>
      </c>
      <c r="T249" s="57">
        <f>IF(AC249=1,O249/M249,"")</f>
        <v>0.935555555555556</v>
      </c>
      <c r="U249" s="57">
        <f>IF(AC249=1,IF(O249&gt;0,R249/O249,""),"")</f>
        <v>0.873245519326279</v>
      </c>
      <c r="V249" s="57">
        <f>IF(AC249=1,IF(P249&gt;0,N(G249)/P249,""),"")</f>
        <v>0.967359050445104</v>
      </c>
      <c r="W249" s="57">
        <f>IF(AC249=1,S249/M249,"")</f>
        <v>0.79030303030303</v>
      </c>
      <c r="X249" s="57">
        <f>IF(AC249=1,S249/K249,"")</f>
        <v>0.740909090909091</v>
      </c>
      <c r="Y249" s="58" t="str">
        <f>IF(W249="","",IF(W249&gt;=p_target,"Bon",IF(W249&gt;=p_alert,"À surveiller","Faible")))</f>
        <v>Bon</v>
      </c>
      <c r="Z249" s="58" t="str">
        <f>IF(W249="","",IF(MIN(IF(T249="",1,T249),IF(U249="",1,U249),IF(V249="",1,V249))&gt;=1,"Aucune",IF(IF(T249="",1,T249)&lt;=MIN(IF(U249="",1,U249),IF(V249="",1,V249)),"Disponibilité",IF(IF(U249="",1,U249)&lt;=IF(V249="",1,V249),"Performance","Qualité"))))</f>
        <v>Performance</v>
      </c>
      <c r="AA249" s="59">
        <f>IF(AC249=1,N(H249)*N(IFERROR(INDEX(art_cost,MATCH(E249,art_ref,0)),0)),"")</f>
        <v>68.0</v>
      </c>
      <c r="AB249" s="58" t="str">
        <f>IF(COUNTA(A249:I249)=0,"",IF(N(A249)&lt;=0,"Date manquante ou invalide",IF(B249="","Équipe manquante",IF(ISNA(MATCH(B249,eq_code,0)),"Équipe inconnue",IF(INDEX(eq_check,MATCH(B249,eq_code,0))&lt;&gt;"OK","Équipe à corriger dans Paramètres",IF(C249="","Poste manquant",IF(ISNA(MATCH(C249,po_code,0)),"Poste inconnu",IF(AND(E249&lt;&gt;"",ISNA(MATCH(E249,art_ref,0))),"Article inconnu",IF(IF(E249="",FALSE,INDEX(art_check,MATCH(E249,art_ref,0))&lt;&gt;"OK"),"Article à corriger (feuille Articles)",IF(COUNTIFS(sj_date,A249,sj_eq,B249,sj_po,C249)&gt;1,"Ligne en double (même jour, équipe et poste)",IF(OR(NOT(ISNUMBER(K249)),N(K249)&lt;=0,N(K249)&gt;1440),"Temps d'ouverture invalide",IF(OR(AND(G249&lt;&gt;"",NOT(ISNUMBER(G249))),N(G249)&lt;0,N(G249)&lt;&gt;INT(N(G249)),AND(H249&lt;&gt;"",NOT(ISNUMBER(H249))),N(H249)&lt;0,N(H249)&lt;&gt;INT(N(H249)),AND(I249&lt;&gt;"",NOT(ISNUMBER(I249))),N(I249)&lt;0,N(I249)&lt;&gt;INT(N(I249))),"Quantité invalide",IF(Q249&lt;=0,"Cadence manquante (poste ou article)",IF(M249&lt;=0,"Arrêts planifiés supérieurs au temps d'ouverture",IF(O249&lt;0,"Arrêts supérieurs au temps requis",IF(AND(P249&gt;0,O249=0),"Pièces déclarées sans temps de marche",IF(AND(P249=0,O249&gt;0),"Aucune pièce déclarée",IF(P249*60/Q249&gt;O249+0.001,"Cadence dépassée : vérifiez la cadence","OK"))))))))))))))))))</f>
        <v>OK</v>
      </c>
      <c r="AC249">
        <f>IF(OR(AB249="OK",AB249="Aucune pièce déclarée",AB249="Cadence dépassée : vérifiez la cadence"),1,0)</f>
        <v>1.0</v>
      </c>
      <c r="AD249">
        <f>IF(AND(AC249=1,A249&gt;=p_from,A249&lt;=p_to),1,0)</f>
        <v>1.0</v>
      </c>
      <c r="AE249">
        <f>IF(AD249=1,IF(COUNTIFS($A$6:A249,A249,$AD$6:AD249,1)=1,1,0),0)</f>
        <v>0.0</v>
      </c>
      <c r="AF249" t="str">
        <f>IF(AE249=1,COUNTIFS(sj_first,1,sj_date,"&lt;"&amp;A249)+1,"")</f>
        <v/>
      </c>
      <c r="AG249" t="str">
        <f>IF(AND(AD249=1,N(W249)&lt;p_alert),ROUND(W249,4),"")</f>
        <v/>
      </c>
      <c r="AH249" t="str">
        <f>IF(AG249="","",COUNTIF(sj_akey,"&lt;"&amp;AG249)+COUNTIF($AG$6:AG249,AG249))</f>
        <v/>
      </c>
    </row>
    <row r="250">
      <c r="A250" s="51" t="n">
        <v>46318</v>
      </c>
      <c r="B250" s="52" t="inlineStr">
        <is>
          <t>Matin</t>
        </is>
      </c>
      <c r="C250" s="52" t="inlineStr">
        <is>
          <t>USIN</t>
        </is>
      </c>
      <c r="D250" s="53" t="inlineStr">
        <is>
          <t>OF-2610-177</t>
        </is>
      </c>
      <c r="E250" s="53" t="inlineStr">
        <is>
          <t>CAR-BOI-04</t>
        </is>
      </c>
      <c r="F250" s="54" t="n"/>
      <c r="G250" s="54" t="n">
        <v>43</v>
      </c>
      <c r="H250" s="54" t="n">
        <v>0</v>
      </c>
      <c r="I250" s="54" t="n">
        <v>0</v>
      </c>
      <c r="J250" s="53" t="n"/>
      <c r="K250" s="55">
        <f>IF(COUNTA(A250:I250)=0,"",IF(F250="",IFERROR(INDEX(eq_dur,MATCH(B250,eq_code,0)),""),F250))</f>
        <v>480.0</v>
      </c>
      <c r="L250" s="55">
        <f>IF(ISNUMBER(K250),N(IFERROR(INDEX(eq_pause,MATCH(B250,eq_code,0)),0))+SUMIFS(st_min,st_date,A250,st_eq,B250,st_po,C250,st_type,"Planifié"),"")</f>
        <v>30.0</v>
      </c>
      <c r="M250" s="55">
        <f>IF(ISNUMBER(K250),K250-L250,"")</f>
        <v>450.0</v>
      </c>
      <c r="N250" s="55">
        <f>IF(ISNUMBER(K250),SUMIFS(st_min,st_date,A250,st_eq,B250,st_po,C250,st_type,"Non planifié"),"")</f>
        <v>0.0</v>
      </c>
      <c r="O250" s="55">
        <f>IF(ISNUMBER(K250),M250-N250,"")</f>
        <v>450.0</v>
      </c>
      <c r="P250" s="55">
        <f>IF(COUNTA(A250:I250)=0,"",N(G250)+N(H250)+N(I250))</f>
        <v>43.0</v>
      </c>
      <c r="Q250" s="56">
        <f>IF(COUNTA(A250:I250)=0,"",IF(N(IFERROR(INDEX(art_rate,MATCH(E250,art_ref,0)),0))&gt;0,N(IFERROR(INDEX(art_rate,MATCH(E250,art_ref,0)),0)),N(IFERROR(INDEX(po_rate,MATCH(C250,po_code,0)),0))))</f>
        <v>6.0</v>
      </c>
      <c r="R250" s="55">
        <f>IF(AC250=1,P250*60/Q250,"")</f>
        <v>430.0</v>
      </c>
      <c r="S250" s="55">
        <f>IF(AC250=1,N(G250)*60/Q250,"")</f>
        <v>430.0</v>
      </c>
      <c r="T250" s="57">
        <f>IF(AC250=1,O250/M250,"")</f>
        <v>1.0</v>
      </c>
      <c r="U250" s="57">
        <f>IF(AC250=1,IF(O250&gt;0,R250/O250,""),"")</f>
        <v>0.955555555555556</v>
      </c>
      <c r="V250" s="57">
        <f>IF(AC250=1,IF(P250&gt;0,N(G250)/P250,""),"")</f>
        <v>1.0</v>
      </c>
      <c r="W250" s="57">
        <f>IF(AC250=1,S250/M250,"")</f>
        <v>0.955555555555556</v>
      </c>
      <c r="X250" s="57">
        <f>IF(AC250=1,S250/K250,"")</f>
        <v>0.895833333333333</v>
      </c>
      <c r="Y250" s="58" t="str">
        <f>IF(W250="","",IF(W250&gt;=p_target,"Bon",IF(W250&gt;=p_alert,"À surveiller","Faible")))</f>
        <v>Bon</v>
      </c>
      <c r="Z250" s="58" t="str">
        <f>IF(W250="","",IF(MIN(IF(T250="",1,T250),IF(U250="",1,U250),IF(V250="",1,V250))&gt;=1,"Aucune",IF(IF(T250="",1,T250)&lt;=MIN(IF(U250="",1,U250),IF(V250="",1,V250)),"Disponibilité",IF(IF(U250="",1,U250)&lt;=IF(V250="",1,V250),"Performance","Qualité"))))</f>
        <v>Performance</v>
      </c>
      <c r="AA250" s="59">
        <f>IF(AC250=1,N(H250)*N(IFERROR(INDEX(art_cost,MATCH(E250,art_ref,0)),0)),"")</f>
        <v>0.0</v>
      </c>
      <c r="AB250" s="58" t="str">
        <f>IF(COUNTA(A250:I250)=0,"",IF(N(A250)&lt;=0,"Date manquante ou invalide",IF(B250="","Équipe manquante",IF(ISNA(MATCH(B250,eq_code,0)),"Équipe inconnue",IF(INDEX(eq_check,MATCH(B250,eq_code,0))&lt;&gt;"OK","Équipe à corriger dans Paramètres",IF(C250="","Poste manquant",IF(ISNA(MATCH(C250,po_code,0)),"Poste inconnu",IF(AND(E250&lt;&gt;"",ISNA(MATCH(E250,art_ref,0))),"Article inconnu",IF(IF(E250="",FALSE,INDEX(art_check,MATCH(E250,art_ref,0))&lt;&gt;"OK"),"Article à corriger (feuille Articles)",IF(COUNTIFS(sj_date,A250,sj_eq,B250,sj_po,C250)&gt;1,"Ligne en double (même jour, équipe et poste)",IF(OR(NOT(ISNUMBER(K250)),N(K250)&lt;=0,N(K250)&gt;1440),"Temps d'ouverture invalide",IF(OR(AND(G250&lt;&gt;"",NOT(ISNUMBER(G250))),N(G250)&lt;0,N(G250)&lt;&gt;INT(N(G250)),AND(H250&lt;&gt;"",NOT(ISNUMBER(H250))),N(H250)&lt;0,N(H250)&lt;&gt;INT(N(H250)),AND(I250&lt;&gt;"",NOT(ISNUMBER(I250))),N(I250)&lt;0,N(I250)&lt;&gt;INT(N(I250))),"Quantité invalide",IF(Q250&lt;=0,"Cadence manquante (poste ou article)",IF(M250&lt;=0,"Arrêts planifiés supérieurs au temps d'ouverture",IF(O250&lt;0,"Arrêts supérieurs au temps requis",IF(AND(P250&gt;0,O250=0),"Pièces déclarées sans temps de marche",IF(AND(P250=0,O250&gt;0),"Aucune pièce déclarée",IF(P250*60/Q250&gt;O250+0.001,"Cadence dépassée : vérifiez la cadence","OK"))))))))))))))))))</f>
        <v>OK</v>
      </c>
      <c r="AC250">
        <f>IF(OR(AB250="OK",AB250="Aucune pièce déclarée",AB250="Cadence dépassée : vérifiez la cadence"),1,0)</f>
        <v>1.0</v>
      </c>
      <c r="AD250">
        <f>IF(AND(AC250=1,A250&gt;=p_from,A250&lt;=p_to),1,0)</f>
        <v>1.0</v>
      </c>
      <c r="AE250">
        <f>IF(AD250=1,IF(COUNTIFS($A$6:A250,A250,$AD$6:AD250,1)=1,1,0),0)</f>
        <v>0.0</v>
      </c>
      <c r="AF250" t="str">
        <f>IF(AE250=1,COUNTIFS(sj_first,1,sj_date,"&lt;"&amp;A250)+1,"")</f>
        <v/>
      </c>
      <c r="AG250" t="str">
        <f>IF(AND(AD250=1,N(W250)&lt;p_alert),ROUND(W250,4),"")</f>
        <v/>
      </c>
      <c r="AH250" t="str">
        <f>IF(AG250="","",COUNTIF(sj_akey,"&lt;"&amp;AG250)+COUNTIF($AG$6:AG250,AG250))</f>
        <v/>
      </c>
    </row>
    <row r="251">
      <c r="A251" s="51" t="n">
        <v>46318</v>
      </c>
      <c r="B251" s="52" t="inlineStr">
        <is>
          <t>Après-midi</t>
        </is>
      </c>
      <c r="C251" s="52" t="inlineStr">
        <is>
          <t>USIN</t>
        </is>
      </c>
      <c r="D251" s="53" t="inlineStr">
        <is>
          <t>OF-2610-178</t>
        </is>
      </c>
      <c r="E251" s="53" t="inlineStr">
        <is>
          <t>CAR-BOI-04</t>
        </is>
      </c>
      <c r="F251" s="54" t="n"/>
      <c r="G251" s="54" t="n">
        <v>36</v>
      </c>
      <c r="H251" s="54" t="n">
        <v>1</v>
      </c>
      <c r="I251" s="54" t="n">
        <v>0</v>
      </c>
      <c r="J251" s="53" t="n"/>
      <c r="K251" s="55">
        <f>IF(COUNTA(A251:I251)=0,"",IF(F251="",IFERROR(INDEX(eq_dur,MATCH(B251,eq_code,0)),""),F251))</f>
        <v>480.0</v>
      </c>
      <c r="L251" s="55">
        <f>IF(ISNUMBER(K251),N(IFERROR(INDEX(eq_pause,MATCH(B251,eq_code,0)),0))+SUMIFS(st_min,st_date,A251,st_eq,B251,st_po,C251,st_type,"Planifié"),"")</f>
        <v>30.0</v>
      </c>
      <c r="M251" s="55">
        <f>IF(ISNUMBER(K251),K251-L251,"")</f>
        <v>450.0</v>
      </c>
      <c r="N251" s="55">
        <f>IF(ISNUMBER(K251),SUMIFS(st_min,st_date,A251,st_eq,B251,st_po,C251,st_type,"Non planifié"),"")</f>
        <v>21.0</v>
      </c>
      <c r="O251" s="55">
        <f>IF(ISNUMBER(K251),M251-N251,"")</f>
        <v>429.0</v>
      </c>
      <c r="P251" s="55">
        <f>IF(COUNTA(A251:I251)=0,"",N(G251)+N(H251)+N(I251))</f>
        <v>37.0</v>
      </c>
      <c r="Q251" s="56">
        <f>IF(COUNTA(A251:I251)=0,"",IF(N(IFERROR(INDEX(art_rate,MATCH(E251,art_ref,0)),0))&gt;0,N(IFERROR(INDEX(art_rate,MATCH(E251,art_ref,0)),0)),N(IFERROR(INDEX(po_rate,MATCH(C251,po_code,0)),0))))</f>
        <v>6.0</v>
      </c>
      <c r="R251" s="55">
        <f>IF(AC251=1,P251*60/Q251,"")</f>
        <v>370.0</v>
      </c>
      <c r="S251" s="55">
        <f>IF(AC251=1,N(G251)*60/Q251,"")</f>
        <v>360.0</v>
      </c>
      <c r="T251" s="57">
        <f>IF(AC251=1,O251/M251,"")</f>
        <v>0.953333333333333</v>
      </c>
      <c r="U251" s="57">
        <f>IF(AC251=1,IF(O251&gt;0,R251/O251,""),"")</f>
        <v>0.862470862470863</v>
      </c>
      <c r="V251" s="57">
        <f>IF(AC251=1,IF(P251&gt;0,N(G251)/P251,""),"")</f>
        <v>0.972972972972973</v>
      </c>
      <c r="W251" s="57">
        <f>IF(AC251=1,S251/M251,"")</f>
        <v>0.8</v>
      </c>
      <c r="X251" s="57">
        <f>IF(AC251=1,S251/K251,"")</f>
        <v>0.75</v>
      </c>
      <c r="Y251" s="58" t="str">
        <f>IF(W251="","",IF(W251&gt;=p_target,"Bon",IF(W251&gt;=p_alert,"À surveiller","Faible")))</f>
        <v>Bon</v>
      </c>
      <c r="Z251" s="58" t="str">
        <f>IF(W251="","",IF(MIN(IF(T251="",1,T251),IF(U251="",1,U251),IF(V251="",1,V251))&gt;=1,"Aucune",IF(IF(T251="",1,T251)&lt;=MIN(IF(U251="",1,U251),IF(V251="",1,V251)),"Disponibilité",IF(IF(U251="",1,U251)&lt;=IF(V251="",1,V251),"Performance","Qualité"))))</f>
        <v>Performance</v>
      </c>
      <c r="AA251" s="59">
        <f>IF(AC251=1,N(H251)*N(IFERROR(INDEX(art_cost,MATCH(E251,art_ref,0)),0)),"")</f>
        <v>610.0</v>
      </c>
      <c r="AB251" s="58" t="str">
        <f>IF(COUNTA(A251:I251)=0,"",IF(N(A251)&lt;=0,"Date manquante ou invalide",IF(B251="","Équipe manquante",IF(ISNA(MATCH(B251,eq_code,0)),"Équipe inconnue",IF(INDEX(eq_check,MATCH(B251,eq_code,0))&lt;&gt;"OK","Équipe à corriger dans Paramètres",IF(C251="","Poste manquant",IF(ISNA(MATCH(C251,po_code,0)),"Poste inconnu",IF(AND(E251&lt;&gt;"",ISNA(MATCH(E251,art_ref,0))),"Article inconnu",IF(IF(E251="",FALSE,INDEX(art_check,MATCH(E251,art_ref,0))&lt;&gt;"OK"),"Article à corriger (feuille Articles)",IF(COUNTIFS(sj_date,A251,sj_eq,B251,sj_po,C251)&gt;1,"Ligne en double (même jour, équipe et poste)",IF(OR(NOT(ISNUMBER(K251)),N(K251)&lt;=0,N(K251)&gt;1440),"Temps d'ouverture invalide",IF(OR(AND(G251&lt;&gt;"",NOT(ISNUMBER(G251))),N(G251)&lt;0,N(G251)&lt;&gt;INT(N(G251)),AND(H251&lt;&gt;"",NOT(ISNUMBER(H251))),N(H251)&lt;0,N(H251)&lt;&gt;INT(N(H251)),AND(I251&lt;&gt;"",NOT(ISNUMBER(I251))),N(I251)&lt;0,N(I251)&lt;&gt;INT(N(I251))),"Quantité invalide",IF(Q251&lt;=0,"Cadence manquante (poste ou article)",IF(M251&lt;=0,"Arrêts planifiés supérieurs au temps d'ouverture",IF(O251&lt;0,"Arrêts supérieurs au temps requis",IF(AND(P251&gt;0,O251=0),"Pièces déclarées sans temps de marche",IF(AND(P251=0,O251&gt;0),"Aucune pièce déclarée",IF(P251*60/Q251&gt;O251+0.001,"Cadence dépassée : vérifiez la cadence","OK"))))))))))))))))))</f>
        <v>OK</v>
      </c>
      <c r="AC251">
        <f>IF(OR(AB251="OK",AB251="Aucune pièce déclarée",AB251="Cadence dépassée : vérifiez la cadence"),1,0)</f>
        <v>1.0</v>
      </c>
      <c r="AD251">
        <f>IF(AND(AC251=1,A251&gt;=p_from,A251&lt;=p_to),1,0)</f>
        <v>1.0</v>
      </c>
      <c r="AE251">
        <f>IF(AD251=1,IF(COUNTIFS($A$6:A251,A251,$AD$6:AD251,1)=1,1,0),0)</f>
        <v>0.0</v>
      </c>
      <c r="AF251" t="str">
        <f>IF(AE251=1,COUNTIFS(sj_first,1,sj_date,"&lt;"&amp;A251)+1,"")</f>
        <v/>
      </c>
      <c r="AG251" t="str">
        <f>IF(AND(AD251=1,N(W251)&lt;p_alert),ROUND(W251,4),"")</f>
        <v/>
      </c>
      <c r="AH251" t="str">
        <f>IF(AG251="","",COUNTIF(sj_akey,"&lt;"&amp;AG251)+COUNTIF($AG$6:AG251,AG251))</f>
        <v/>
      </c>
    </row>
    <row r="252">
      <c r="A252" s="51" t="n">
        <v>46318</v>
      </c>
      <c r="B252" s="52" t="inlineStr">
        <is>
          <t>Matin</t>
        </is>
      </c>
      <c r="C252" s="52" t="inlineStr">
        <is>
          <t>PRESSE</t>
        </is>
      </c>
      <c r="D252" s="53" t="inlineStr">
        <is>
          <t>OF-2610-183</t>
        </is>
      </c>
      <c r="E252" s="53" t="inlineStr">
        <is>
          <t>RON-M10</t>
        </is>
      </c>
      <c r="F252" s="54" t="n"/>
      <c r="G252" s="54" t="n">
        <v>3835</v>
      </c>
      <c r="H252" s="54" t="n">
        <v>102</v>
      </c>
      <c r="I252" s="54" t="n">
        <v>45</v>
      </c>
      <c r="J252" s="53" t="n"/>
      <c r="K252" s="55">
        <f>IF(COUNTA(A252:I252)=0,"",IF(F252="",IFERROR(INDEX(eq_dur,MATCH(B252,eq_code,0)),""),F252))</f>
        <v>480.0</v>
      </c>
      <c r="L252" s="55">
        <f>IF(ISNUMBER(K252),N(IFERROR(INDEX(eq_pause,MATCH(B252,eq_code,0)),0))+SUMIFS(st_min,st_date,A252,st_eq,B252,st_po,C252,st_type,"Planifié"),"")</f>
        <v>30.0</v>
      </c>
      <c r="M252" s="55">
        <f>IF(ISNUMBER(K252),K252-L252,"")</f>
        <v>450.0</v>
      </c>
      <c r="N252" s="55">
        <f>IF(ISNUMBER(K252),SUMIFS(st_min,st_date,A252,st_eq,B252,st_po,C252,st_type,"Non planifié"),"")</f>
        <v>0.0</v>
      </c>
      <c r="O252" s="55">
        <f>IF(ISNUMBER(K252),M252-N252,"")</f>
        <v>450.0</v>
      </c>
      <c r="P252" s="55">
        <f>IF(COUNTA(A252:I252)=0,"",N(G252)+N(H252)+N(I252))</f>
        <v>3982.0</v>
      </c>
      <c r="Q252" s="56">
        <f>IF(COUNTA(A252:I252)=0,"",IF(N(IFERROR(INDEX(art_rate,MATCH(E252,art_ref,0)),0))&gt;0,N(IFERROR(INDEX(art_rate,MATCH(E252,art_ref,0)),0)),N(IFERROR(INDEX(po_rate,MATCH(C252,po_code,0)),0))))</f>
        <v>600.0</v>
      </c>
      <c r="R252" s="55">
        <f>IF(AC252=1,P252*60/Q252,"")</f>
        <v>398.2</v>
      </c>
      <c r="S252" s="55">
        <f>IF(AC252=1,N(G252)*60/Q252,"")</f>
        <v>383.5</v>
      </c>
      <c r="T252" s="57">
        <f>IF(AC252=1,O252/M252,"")</f>
        <v>1.0</v>
      </c>
      <c r="U252" s="57">
        <f>IF(AC252=1,IF(O252&gt;0,R252/O252,""),"")</f>
        <v>0.884888888888889</v>
      </c>
      <c r="V252" s="57">
        <f>IF(AC252=1,IF(P252&gt;0,N(G252)/P252,""),"")</f>
        <v>0.963083877448518</v>
      </c>
      <c r="W252" s="57">
        <f>IF(AC252=1,S252/M252,"")</f>
        <v>0.852222222222222</v>
      </c>
      <c r="X252" s="57">
        <f>IF(AC252=1,S252/K252,"")</f>
        <v>0.798958333333333</v>
      </c>
      <c r="Y252" s="58" t="str">
        <f>IF(W252="","",IF(W252&gt;=p_target,"Bon",IF(W252&gt;=p_alert,"À surveiller","Faible")))</f>
        <v>Bon</v>
      </c>
      <c r="Z252" s="58" t="str">
        <f>IF(W252="","",IF(MIN(IF(T252="",1,T252),IF(U252="",1,U252),IF(V252="",1,V252))&gt;=1,"Aucune",IF(IF(T252="",1,T252)&lt;=MIN(IF(U252="",1,U252),IF(V252="",1,V252)),"Disponibilité",IF(IF(U252="",1,U252)&lt;=IF(V252="",1,V252),"Performance","Qualité"))))</f>
        <v>Performance</v>
      </c>
      <c r="AA252" s="59">
        <f>IF(AC252=1,N(H252)*N(IFERROR(INDEX(art_cost,MATCH(E252,art_ref,0)),0)),"")</f>
        <v>91.8</v>
      </c>
      <c r="AB252" s="58" t="str">
        <f>IF(COUNTA(A252:I252)=0,"",IF(N(A252)&lt;=0,"Date manquante ou invalide",IF(B252="","Équipe manquante",IF(ISNA(MATCH(B252,eq_code,0)),"Équipe inconnue",IF(INDEX(eq_check,MATCH(B252,eq_code,0))&lt;&gt;"OK","Équipe à corriger dans Paramètres",IF(C252="","Poste manquant",IF(ISNA(MATCH(C252,po_code,0)),"Poste inconnu",IF(AND(E252&lt;&gt;"",ISNA(MATCH(E252,art_ref,0))),"Article inconnu",IF(IF(E252="",FALSE,INDEX(art_check,MATCH(E252,art_ref,0))&lt;&gt;"OK"),"Article à corriger (feuille Articles)",IF(COUNTIFS(sj_date,A252,sj_eq,B252,sj_po,C252)&gt;1,"Ligne en double (même jour, équipe et poste)",IF(OR(NOT(ISNUMBER(K252)),N(K252)&lt;=0,N(K252)&gt;1440),"Temps d'ouverture invalide",IF(OR(AND(G252&lt;&gt;"",NOT(ISNUMBER(G252))),N(G252)&lt;0,N(G252)&lt;&gt;INT(N(G252)),AND(H252&lt;&gt;"",NOT(ISNUMBER(H252))),N(H252)&lt;0,N(H252)&lt;&gt;INT(N(H252)),AND(I252&lt;&gt;"",NOT(ISNUMBER(I252))),N(I252)&lt;0,N(I252)&lt;&gt;INT(N(I252))),"Quantité invalide",IF(Q252&lt;=0,"Cadence manquante (poste ou article)",IF(M252&lt;=0,"Arrêts planifiés supérieurs au temps d'ouverture",IF(O252&lt;0,"Arrêts supérieurs au temps requis",IF(AND(P252&gt;0,O252=0),"Pièces déclarées sans temps de marche",IF(AND(P252=0,O252&gt;0),"Aucune pièce déclarée",IF(P252*60/Q252&gt;O252+0.001,"Cadence dépassée : vérifiez la cadence","OK"))))))))))))))))))</f>
        <v>OK</v>
      </c>
      <c r="AC252">
        <f>IF(OR(AB252="OK",AB252="Aucune pièce déclarée",AB252="Cadence dépassée : vérifiez la cadence"),1,0)</f>
        <v>1.0</v>
      </c>
      <c r="AD252">
        <f>IF(AND(AC252=1,A252&gt;=p_from,A252&lt;=p_to),1,0)</f>
        <v>1.0</v>
      </c>
      <c r="AE252">
        <f>IF(AD252=1,IF(COUNTIFS($A$6:A252,A252,$AD$6:AD252,1)=1,1,0),0)</f>
        <v>0.0</v>
      </c>
      <c r="AF252" t="str">
        <f>IF(AE252=1,COUNTIFS(sj_first,1,sj_date,"&lt;"&amp;A252)+1,"")</f>
        <v/>
      </c>
      <c r="AG252" t="str">
        <f>IF(AND(AD252=1,N(W252)&lt;p_alert),ROUND(W252,4),"")</f>
        <v/>
      </c>
      <c r="AH252" t="str">
        <f>IF(AG252="","",COUNTIF(sj_akey,"&lt;"&amp;AG252)+COUNTIF($AG$6:AG252,AG252))</f>
        <v/>
      </c>
    </row>
    <row r="253">
      <c r="A253" s="51" t="n">
        <v>46318</v>
      </c>
      <c r="B253" s="52" t="inlineStr">
        <is>
          <t>Journée</t>
        </is>
      </c>
      <c r="C253" s="52" t="inlineStr">
        <is>
          <t>PLIE</t>
        </is>
      </c>
      <c r="D253" s="53" t="inlineStr">
        <is>
          <t>OF-2610-180</t>
        </is>
      </c>
      <c r="E253" s="53" t="inlineStr">
        <is>
          <t>GAR-SUP-02</t>
        </is>
      </c>
      <c r="F253" s="54" t="n">
        <v>240</v>
      </c>
      <c r="G253" s="54" t="n">
        <v>112</v>
      </c>
      <c r="H253" s="54" t="n">
        <v>3</v>
      </c>
      <c r="I253" s="54" t="n">
        <v>1</v>
      </c>
      <c r="J253" s="53" t="n"/>
      <c r="K253" s="55">
        <f>IF(COUNTA(A253:I253)=0,"",IF(F253="",IFERROR(INDEX(eq_dur,MATCH(B253,eq_code,0)),""),F253))</f>
        <v>240.0</v>
      </c>
      <c r="L253" s="55">
        <f>IF(ISNUMBER(K253),N(IFERROR(INDEX(eq_pause,MATCH(B253,eq_code,0)),0))+SUMIFS(st_min,st_date,A253,st_eq,B253,st_po,C253,st_type,"Planifié"),"")</f>
        <v>60.0</v>
      </c>
      <c r="M253" s="55">
        <f>IF(ISNUMBER(K253),K253-L253,"")</f>
        <v>180.0</v>
      </c>
      <c r="N253" s="55">
        <f>IF(ISNUMBER(K253),SUMIFS(st_min,st_date,A253,st_eq,B253,st_po,C253,st_type,"Non planifié"),"")</f>
        <v>101.0</v>
      </c>
      <c r="O253" s="55">
        <f>IF(ISNUMBER(K253),M253-N253,"")</f>
        <v>79.0</v>
      </c>
      <c r="P253" s="55">
        <f>IF(COUNTA(A253:I253)=0,"",N(G253)+N(H253)+N(I253))</f>
        <v>116.0</v>
      </c>
      <c r="Q253" s="56">
        <f>IF(COUNTA(A253:I253)=0,"",IF(N(IFERROR(INDEX(art_rate,MATCH(E253,art_ref,0)),0))&gt;0,N(IFERROR(INDEX(art_rate,MATCH(E253,art_ref,0)),0)),N(IFERROR(INDEX(po_rate,MATCH(C253,po_code,0)),0))))</f>
        <v>110.0</v>
      </c>
      <c r="R253" s="55">
        <f>IF(AC253=1,P253*60/Q253,"")</f>
        <v>63.2727272727273</v>
      </c>
      <c r="S253" s="55">
        <f>IF(AC253=1,N(G253)*60/Q253,"")</f>
        <v>61.0909090909091</v>
      </c>
      <c r="T253" s="57">
        <f>IF(AC253=1,O253/M253,"")</f>
        <v>0.438888888888889</v>
      </c>
      <c r="U253" s="57">
        <f>IF(AC253=1,IF(O253&gt;0,R253/O253,""),"")</f>
        <v>0.800920598388953</v>
      </c>
      <c r="V253" s="57">
        <f>IF(AC253=1,IF(P253&gt;0,N(G253)/P253,""),"")</f>
        <v>0.96551724137931</v>
      </c>
      <c r="W253" s="57">
        <f>IF(AC253=1,S253/M253,"")</f>
        <v>0.339393939393939</v>
      </c>
      <c r="X253" s="57">
        <f>IF(AC253=1,S253/K253,"")</f>
        <v>0.254545454545455</v>
      </c>
      <c r="Y253" s="58" t="str">
        <f>IF(W253="","",IF(W253&gt;=p_target,"Bon",IF(W253&gt;=p_alert,"À surveiller","Faible")))</f>
        <v>Faible</v>
      </c>
      <c r="Z253" s="58" t="str">
        <f>IF(W253="","",IF(MIN(IF(T253="",1,T253),IF(U253="",1,U253),IF(V253="",1,V253))&gt;=1,"Aucune",IF(IF(T253="",1,T253)&lt;=MIN(IF(U253="",1,U253),IF(V253="",1,V253)),"Disponibilité",IF(IF(U253="",1,U253)&lt;=IF(V253="",1,V253),"Performance","Qualité"))))</f>
        <v>Disponibilité</v>
      </c>
      <c r="AA253" s="59">
        <f>IF(AC253=1,N(H253)*N(IFERROR(INDEX(art_cost,MATCH(E253,art_ref,0)),0)),"")</f>
        <v>64.5</v>
      </c>
      <c r="AB253" s="58" t="str">
        <f>IF(COUNTA(A253:I253)=0,"",IF(N(A253)&lt;=0,"Date manquante ou invalide",IF(B253="","Équipe manquante",IF(ISNA(MATCH(B253,eq_code,0)),"Équipe inconnue",IF(INDEX(eq_check,MATCH(B253,eq_code,0))&lt;&gt;"OK","Équipe à corriger dans Paramètres",IF(C253="","Poste manquant",IF(ISNA(MATCH(C253,po_code,0)),"Poste inconnu",IF(AND(E253&lt;&gt;"",ISNA(MATCH(E253,art_ref,0))),"Article inconnu",IF(IF(E253="",FALSE,INDEX(art_check,MATCH(E253,art_ref,0))&lt;&gt;"OK"),"Article à corriger (feuille Articles)",IF(COUNTIFS(sj_date,A253,sj_eq,B253,sj_po,C253)&gt;1,"Ligne en double (même jour, équipe et poste)",IF(OR(NOT(ISNUMBER(K253)),N(K253)&lt;=0,N(K253)&gt;1440),"Temps d'ouverture invalide",IF(OR(AND(G253&lt;&gt;"",NOT(ISNUMBER(G253))),N(G253)&lt;0,N(G253)&lt;&gt;INT(N(G253)),AND(H253&lt;&gt;"",NOT(ISNUMBER(H253))),N(H253)&lt;0,N(H253)&lt;&gt;INT(N(H253)),AND(I253&lt;&gt;"",NOT(ISNUMBER(I253))),N(I253)&lt;0,N(I253)&lt;&gt;INT(N(I253))),"Quantité invalide",IF(Q253&lt;=0,"Cadence manquante (poste ou article)",IF(M253&lt;=0,"Arrêts planifiés supérieurs au temps d'ouverture",IF(O253&lt;0,"Arrêts supérieurs au temps requis",IF(AND(P253&gt;0,O253=0),"Pièces déclarées sans temps de marche",IF(AND(P253=0,O253&gt;0),"Aucune pièce déclarée",IF(P253*60/Q253&gt;O253+0.001,"Cadence dépassée : vérifiez la cadence","OK"))))))))))))))))))</f>
        <v>OK</v>
      </c>
      <c r="AC253">
        <f>IF(OR(AB253="OK",AB253="Aucune pièce déclarée",AB253="Cadence dépassée : vérifiez la cadence"),1,0)</f>
        <v>1.0</v>
      </c>
      <c r="AD253">
        <f>IF(AND(AC253=1,A253&gt;=p_from,A253&lt;=p_to),1,0)</f>
        <v>1.0</v>
      </c>
      <c r="AE253">
        <f>IF(AD253=1,IF(COUNTIFS($A$6:A253,A253,$AD$6:AD253,1)=1,1,0),0)</f>
        <v>0.0</v>
      </c>
      <c r="AF253" t="str">
        <f>IF(AE253=1,COUNTIFS(sj_first,1,sj_date,"&lt;"&amp;A253)+1,"")</f>
        <v/>
      </c>
      <c r="AG253">
        <f>IF(AND(AD253=1,N(W253)&lt;p_alert),ROUND(W253,4),"")</f>
        <v>0.3394</v>
      </c>
      <c r="AH253">
        <f>IF(AG253="","",COUNTIF(sj_akey,"&lt;"&amp;AG253)+COUNTIF($AG$6:AG253,AG253))</f>
        <v>7.0</v>
      </c>
    </row>
    <row r="254">
      <c r="A254" s="51" t="n">
        <v>46318</v>
      </c>
      <c r="B254" s="52" t="inlineStr">
        <is>
          <t>Matin</t>
        </is>
      </c>
      <c r="C254" s="52" t="inlineStr">
        <is>
          <t>SOUD</t>
        </is>
      </c>
      <c r="D254" s="53" t="inlineStr">
        <is>
          <t>OF-2610-185</t>
        </is>
      </c>
      <c r="E254" s="53" t="inlineStr">
        <is>
          <t>CHA-REM-01</t>
        </is>
      </c>
      <c r="F254" s="54" t="n"/>
      <c r="G254" s="54" t="n">
        <v>20</v>
      </c>
      <c r="H254" s="54" t="n">
        <v>0</v>
      </c>
      <c r="I254" s="54" t="n">
        <v>0</v>
      </c>
      <c r="J254" s="53" t="n"/>
      <c r="K254" s="55">
        <f>IF(COUNTA(A254:I254)=0,"",IF(F254="",IFERROR(INDEX(eq_dur,MATCH(B254,eq_code,0)),""),F254))</f>
        <v>480.0</v>
      </c>
      <c r="L254" s="55">
        <f>IF(ISNUMBER(K254),N(IFERROR(INDEX(eq_pause,MATCH(B254,eq_code,0)),0))+SUMIFS(st_min,st_date,A254,st_eq,B254,st_po,C254,st_type,"Planifié"),"")</f>
        <v>30.0</v>
      </c>
      <c r="M254" s="55">
        <f>IF(ISNUMBER(K254),K254-L254,"")</f>
        <v>450.0</v>
      </c>
      <c r="N254" s="55">
        <f>IF(ISNUMBER(K254),SUMIFS(st_min,st_date,A254,st_eq,B254,st_po,C254,st_type,"Non planifié"),"")</f>
        <v>95.0</v>
      </c>
      <c r="O254" s="55">
        <f>IF(ISNUMBER(K254),M254-N254,"")</f>
        <v>355.0</v>
      </c>
      <c r="P254" s="55">
        <f>IF(COUNTA(A254:I254)=0,"",N(G254)+N(H254)+N(I254))</f>
        <v>20.0</v>
      </c>
      <c r="Q254" s="56">
        <f>IF(COUNTA(A254:I254)=0,"",IF(N(IFERROR(INDEX(art_rate,MATCH(E254,art_ref,0)),0))&gt;0,N(IFERROR(INDEX(art_rate,MATCH(E254,art_ref,0)),0)),N(IFERROR(INDEX(po_rate,MATCH(C254,po_code,0)),0))))</f>
        <v>4.0</v>
      </c>
      <c r="R254" s="55">
        <f>IF(AC254=1,P254*60/Q254,"")</f>
        <v>300.0</v>
      </c>
      <c r="S254" s="55">
        <f>IF(AC254=1,N(G254)*60/Q254,"")</f>
        <v>300.0</v>
      </c>
      <c r="T254" s="57">
        <f>IF(AC254=1,O254/M254,"")</f>
        <v>0.788888888888889</v>
      </c>
      <c r="U254" s="57">
        <f>IF(AC254=1,IF(O254&gt;0,R254/O254,""),"")</f>
        <v>0.845070422535211</v>
      </c>
      <c r="V254" s="57">
        <f>IF(AC254=1,IF(P254&gt;0,N(G254)/P254,""),"")</f>
        <v>1.0</v>
      </c>
      <c r="W254" s="57">
        <f>IF(AC254=1,S254/M254,"")</f>
        <v>0.666666666666667</v>
      </c>
      <c r="X254" s="57">
        <f>IF(AC254=1,S254/K254,"")</f>
        <v>0.625</v>
      </c>
      <c r="Y254" s="58" t="str">
        <f>IF(W254="","",IF(W254&gt;=p_target,"Bon",IF(W254&gt;=p_alert,"À surveiller","Faible")))</f>
        <v>À surveiller</v>
      </c>
      <c r="Z254" s="58" t="str">
        <f>IF(W254="","",IF(MIN(IF(T254="",1,T254),IF(U254="",1,U254),IF(V254="",1,V254))&gt;=1,"Aucune",IF(IF(T254="",1,T254)&lt;=MIN(IF(U254="",1,U254),IF(V254="",1,V254)),"Disponibilité",IF(IF(U254="",1,U254)&lt;=IF(V254="",1,V254),"Performance","Qualité"))))</f>
        <v>Disponibilité</v>
      </c>
      <c r="AA254" s="59">
        <f>IF(AC254=1,N(H254)*N(IFERROR(INDEX(art_cost,MATCH(E254,art_ref,0)),0)),"")</f>
        <v>0.0</v>
      </c>
      <c r="AB254" s="58" t="str">
        <f>IF(COUNTA(A254:I254)=0,"",IF(N(A254)&lt;=0,"Date manquante ou invalide",IF(B254="","Équipe manquante",IF(ISNA(MATCH(B254,eq_code,0)),"Équipe inconnue",IF(INDEX(eq_check,MATCH(B254,eq_code,0))&lt;&gt;"OK","Équipe à corriger dans Paramètres",IF(C254="","Poste manquant",IF(ISNA(MATCH(C254,po_code,0)),"Poste inconnu",IF(AND(E254&lt;&gt;"",ISNA(MATCH(E254,art_ref,0))),"Article inconnu",IF(IF(E254="",FALSE,INDEX(art_check,MATCH(E254,art_ref,0))&lt;&gt;"OK"),"Article à corriger (feuille Articles)",IF(COUNTIFS(sj_date,A254,sj_eq,B254,sj_po,C254)&gt;1,"Ligne en double (même jour, équipe et poste)",IF(OR(NOT(ISNUMBER(K254)),N(K254)&lt;=0,N(K254)&gt;1440),"Temps d'ouverture invalide",IF(OR(AND(G254&lt;&gt;"",NOT(ISNUMBER(G254))),N(G254)&lt;0,N(G254)&lt;&gt;INT(N(G254)),AND(H254&lt;&gt;"",NOT(ISNUMBER(H254))),N(H254)&lt;0,N(H254)&lt;&gt;INT(N(H254)),AND(I254&lt;&gt;"",NOT(ISNUMBER(I254))),N(I254)&lt;0,N(I254)&lt;&gt;INT(N(I254))),"Quantité invalide",IF(Q254&lt;=0,"Cadence manquante (poste ou article)",IF(M254&lt;=0,"Arrêts planifiés supérieurs au temps d'ouverture",IF(O254&lt;0,"Arrêts supérieurs au temps requis",IF(AND(P254&gt;0,O254=0),"Pièces déclarées sans temps de marche",IF(AND(P254=0,O254&gt;0),"Aucune pièce déclarée",IF(P254*60/Q254&gt;O254+0.001,"Cadence dépassée : vérifiez la cadence","OK"))))))))))))))))))</f>
        <v>OK</v>
      </c>
      <c r="AC254">
        <f>IF(OR(AB254="OK",AB254="Aucune pièce déclarée",AB254="Cadence dépassée : vérifiez la cadence"),1,0)</f>
        <v>1.0</v>
      </c>
      <c r="AD254">
        <f>IF(AND(AC254=1,A254&gt;=p_from,A254&lt;=p_to),1,0)</f>
        <v>1.0</v>
      </c>
      <c r="AE254">
        <f>IF(AD254=1,IF(COUNTIFS($A$6:A254,A254,$AD$6:AD254,1)=1,1,0),0)</f>
        <v>0.0</v>
      </c>
      <c r="AF254" t="str">
        <f>IF(AE254=1,COUNTIFS(sj_first,1,sj_date,"&lt;"&amp;A254)+1,"")</f>
        <v/>
      </c>
      <c r="AG254" t="str">
        <f>IF(AND(AD254=1,N(W254)&lt;p_alert),ROUND(W254,4),"")</f>
        <v/>
      </c>
      <c r="AH254" t="str">
        <f>IF(AG254="","",COUNTIF(sj_akey,"&lt;"&amp;AG254)+COUNTIF($AG$6:AG254,AG254))</f>
        <v/>
      </c>
    </row>
    <row r="255">
      <c r="A255" s="51" t="n">
        <v>46318</v>
      </c>
      <c r="B255" s="52" t="inlineStr">
        <is>
          <t>Après-midi</t>
        </is>
      </c>
      <c r="C255" s="52" t="inlineStr">
        <is>
          <t>SOUD</t>
        </is>
      </c>
      <c r="D255" s="53" t="inlineStr">
        <is>
          <t>OF-2610-169</t>
        </is>
      </c>
      <c r="E255" s="53" t="inlineStr">
        <is>
          <t>CHA-REM-01</t>
        </is>
      </c>
      <c r="F255" s="54" t="n"/>
      <c r="G255" s="54" t="n">
        <v>15</v>
      </c>
      <c r="H255" s="54" t="n">
        <v>0</v>
      </c>
      <c r="I255" s="54" t="n">
        <v>0</v>
      </c>
      <c r="J255" s="53" t="n"/>
      <c r="K255" s="55">
        <f>IF(COUNTA(A255:I255)=0,"",IF(F255="",IFERROR(INDEX(eq_dur,MATCH(B255,eq_code,0)),""),F255))</f>
        <v>480.0</v>
      </c>
      <c r="L255" s="55">
        <f>IF(ISNUMBER(K255),N(IFERROR(INDEX(eq_pause,MATCH(B255,eq_code,0)),0))+SUMIFS(st_min,st_date,A255,st_eq,B255,st_po,C255,st_type,"Planifié"),"")</f>
        <v>30.0</v>
      </c>
      <c r="M255" s="55">
        <f>IF(ISNUMBER(K255),K255-L255,"")</f>
        <v>450.0</v>
      </c>
      <c r="N255" s="55">
        <f>IF(ISNUMBER(K255),SUMIFS(st_min,st_date,A255,st_eq,B255,st_po,C255,st_type,"Non planifié"),"")</f>
        <v>145.0</v>
      </c>
      <c r="O255" s="55">
        <f>IF(ISNUMBER(K255),M255-N255,"")</f>
        <v>305.0</v>
      </c>
      <c r="P255" s="55">
        <f>IF(COUNTA(A255:I255)=0,"",N(G255)+N(H255)+N(I255))</f>
        <v>15.0</v>
      </c>
      <c r="Q255" s="56">
        <f>IF(COUNTA(A255:I255)=0,"",IF(N(IFERROR(INDEX(art_rate,MATCH(E255,art_ref,0)),0))&gt;0,N(IFERROR(INDEX(art_rate,MATCH(E255,art_ref,0)),0)),N(IFERROR(INDEX(po_rate,MATCH(C255,po_code,0)),0))))</f>
        <v>4.0</v>
      </c>
      <c r="R255" s="55">
        <f>IF(AC255=1,P255*60/Q255,"")</f>
        <v>225.0</v>
      </c>
      <c r="S255" s="55">
        <f>IF(AC255=1,N(G255)*60/Q255,"")</f>
        <v>225.0</v>
      </c>
      <c r="T255" s="57">
        <f>IF(AC255=1,O255/M255,"")</f>
        <v>0.677777777777778</v>
      </c>
      <c r="U255" s="57">
        <f>IF(AC255=1,IF(O255&gt;0,R255/O255,""),"")</f>
        <v>0.737704918032787</v>
      </c>
      <c r="V255" s="57">
        <f>IF(AC255=1,IF(P255&gt;0,N(G255)/P255,""),"")</f>
        <v>1.0</v>
      </c>
      <c r="W255" s="57">
        <f>IF(AC255=1,S255/M255,"")</f>
        <v>0.5</v>
      </c>
      <c r="X255" s="57">
        <f>IF(AC255=1,S255/K255,"")</f>
        <v>0.46875</v>
      </c>
      <c r="Y255" s="58" t="str">
        <f>IF(W255="","",IF(W255&gt;=p_target,"Bon",IF(W255&gt;=p_alert,"À surveiller","Faible")))</f>
        <v>Faible</v>
      </c>
      <c r="Z255" s="58" t="str">
        <f>IF(W255="","",IF(MIN(IF(T255="",1,T255),IF(U255="",1,U255),IF(V255="",1,V255))&gt;=1,"Aucune",IF(IF(T255="",1,T255)&lt;=MIN(IF(U255="",1,U255),IF(V255="",1,V255)),"Disponibilité",IF(IF(U255="",1,U255)&lt;=IF(V255="",1,V255),"Performance","Qualité"))))</f>
        <v>Disponibilité</v>
      </c>
      <c r="AA255" s="59">
        <f>IF(AC255=1,N(H255)*N(IFERROR(INDEX(art_cost,MATCH(E255,art_ref,0)),0)),"")</f>
        <v>0.0</v>
      </c>
      <c r="AB255" s="58" t="str">
        <f>IF(COUNTA(A255:I255)=0,"",IF(N(A255)&lt;=0,"Date manquante ou invalide",IF(B255="","Équipe manquante",IF(ISNA(MATCH(B255,eq_code,0)),"Équipe inconnue",IF(INDEX(eq_check,MATCH(B255,eq_code,0))&lt;&gt;"OK","Équipe à corriger dans Paramètres",IF(C255="","Poste manquant",IF(ISNA(MATCH(C255,po_code,0)),"Poste inconnu",IF(AND(E255&lt;&gt;"",ISNA(MATCH(E255,art_ref,0))),"Article inconnu",IF(IF(E255="",FALSE,INDEX(art_check,MATCH(E255,art_ref,0))&lt;&gt;"OK"),"Article à corriger (feuille Articles)",IF(COUNTIFS(sj_date,A255,sj_eq,B255,sj_po,C255)&gt;1,"Ligne en double (même jour, équipe et poste)",IF(OR(NOT(ISNUMBER(K255)),N(K255)&lt;=0,N(K255)&gt;1440),"Temps d'ouverture invalide",IF(OR(AND(G255&lt;&gt;"",NOT(ISNUMBER(G255))),N(G255)&lt;0,N(G255)&lt;&gt;INT(N(G255)),AND(H255&lt;&gt;"",NOT(ISNUMBER(H255))),N(H255)&lt;0,N(H255)&lt;&gt;INT(N(H255)),AND(I255&lt;&gt;"",NOT(ISNUMBER(I255))),N(I255)&lt;0,N(I255)&lt;&gt;INT(N(I255))),"Quantité invalide",IF(Q255&lt;=0,"Cadence manquante (poste ou article)",IF(M255&lt;=0,"Arrêts planifiés supérieurs au temps d'ouverture",IF(O255&lt;0,"Arrêts supérieurs au temps requis",IF(AND(P255&gt;0,O255=0),"Pièces déclarées sans temps de marche",IF(AND(P255=0,O255&gt;0),"Aucune pièce déclarée",IF(P255*60/Q255&gt;O255+0.001,"Cadence dépassée : vérifiez la cadence","OK"))))))))))))))))))</f>
        <v>OK</v>
      </c>
      <c r="AC255">
        <f>IF(OR(AB255="OK",AB255="Aucune pièce déclarée",AB255="Cadence dépassée : vérifiez la cadence"),1,0)</f>
        <v>1.0</v>
      </c>
      <c r="AD255">
        <f>IF(AND(AC255=1,A255&gt;=p_from,A255&lt;=p_to),1,0)</f>
        <v>1.0</v>
      </c>
      <c r="AE255">
        <f>IF(AD255=1,IF(COUNTIFS($A$6:A255,A255,$AD$6:AD255,1)=1,1,0),0)</f>
        <v>0.0</v>
      </c>
      <c r="AF255" t="str">
        <f>IF(AE255=1,COUNTIFS(sj_first,1,sj_date,"&lt;"&amp;A255)+1,"")</f>
        <v/>
      </c>
      <c r="AG255">
        <f>IF(AND(AD255=1,N(W255)&lt;p_alert),ROUND(W255,4),"")</f>
        <v>0.5</v>
      </c>
      <c r="AH255">
        <f>IF(AG255="","",COUNTIF(sj_akey,"&lt;"&amp;AG255)+COUNTIF($AG$6:AG255,AG255))</f>
        <v>20.0</v>
      </c>
    </row>
    <row r="256">
      <c r="A256" s="51" t="n">
        <v>46321</v>
      </c>
      <c r="B256" s="52" t="inlineStr">
        <is>
          <t>Matin</t>
        </is>
      </c>
      <c r="C256" s="52" t="inlineStr">
        <is>
          <t>TOUR1</t>
        </is>
      </c>
      <c r="D256" s="53" t="inlineStr">
        <is>
          <t>OF-2610-184</t>
        </is>
      </c>
      <c r="E256" s="53" t="inlineStr">
        <is>
          <t>AXE-R20</t>
        </is>
      </c>
      <c r="F256" s="54" t="n"/>
      <c r="G256" s="54" t="n">
        <v>202</v>
      </c>
      <c r="H256" s="54" t="n">
        <v>5</v>
      </c>
      <c r="I256" s="54" t="n">
        <v>2</v>
      </c>
      <c r="J256" s="53" t="n"/>
      <c r="K256" s="55">
        <f>IF(COUNTA(A256:I256)=0,"",IF(F256="",IFERROR(INDEX(eq_dur,MATCH(B256,eq_code,0)),""),F256))</f>
        <v>480.0</v>
      </c>
      <c r="L256" s="55">
        <f>IF(ISNUMBER(K256),N(IFERROR(INDEX(eq_pause,MATCH(B256,eq_code,0)),0))+SUMIFS(st_min,st_date,A256,st_eq,B256,st_po,C256,st_type,"Planifié"),"")</f>
        <v>30.0</v>
      </c>
      <c r="M256" s="55">
        <f>IF(ISNUMBER(K256),K256-L256,"")</f>
        <v>450.0</v>
      </c>
      <c r="N256" s="55">
        <f>IF(ISNUMBER(K256),SUMIFS(st_min,st_date,A256,st_eq,B256,st_po,C256,st_type,"Non planifié"),"")</f>
        <v>12.0</v>
      </c>
      <c r="O256" s="55">
        <f>IF(ISNUMBER(K256),M256-N256,"")</f>
        <v>438.0</v>
      </c>
      <c r="P256" s="55">
        <f>IF(COUNTA(A256:I256)=0,"",N(G256)+N(H256)+N(I256))</f>
        <v>209.0</v>
      </c>
      <c r="Q256" s="56">
        <f>IF(COUNTA(A256:I256)=0,"",IF(N(IFERROR(INDEX(art_rate,MATCH(E256,art_ref,0)),0))&gt;0,N(IFERROR(INDEX(art_rate,MATCH(E256,art_ref,0)),0)),N(IFERROR(INDEX(po_rate,MATCH(C256,po_code,0)),0))))</f>
        <v>30.0</v>
      </c>
      <c r="R256" s="55">
        <f>IF(AC256=1,P256*60/Q256,"")</f>
        <v>418.0</v>
      </c>
      <c r="S256" s="55">
        <f>IF(AC256=1,N(G256)*60/Q256,"")</f>
        <v>404.0</v>
      </c>
      <c r="T256" s="57">
        <f>IF(AC256=1,O256/M256,"")</f>
        <v>0.973333333333333</v>
      </c>
      <c r="U256" s="57">
        <f>IF(AC256=1,IF(O256&gt;0,R256/O256,""),"")</f>
        <v>0.954337899543379</v>
      </c>
      <c r="V256" s="57">
        <f>IF(AC256=1,IF(P256&gt;0,N(G256)/P256,""),"")</f>
        <v>0.966507177033493</v>
      </c>
      <c r="W256" s="57">
        <f>IF(AC256=1,S256/M256,"")</f>
        <v>0.897777777777778</v>
      </c>
      <c r="X256" s="57">
        <f>IF(AC256=1,S256/K256,"")</f>
        <v>0.841666666666667</v>
      </c>
      <c r="Y256" s="58" t="str">
        <f>IF(W256="","",IF(W256&gt;=p_target,"Bon",IF(W256&gt;=p_alert,"À surveiller","Faible")))</f>
        <v>Bon</v>
      </c>
      <c r="Z256" s="58" t="str">
        <f>IF(W256="","",IF(MIN(IF(T256="",1,T256),IF(U256="",1,U256),IF(V256="",1,V256))&gt;=1,"Aucune",IF(IF(T256="",1,T256)&lt;=MIN(IF(U256="",1,U256),IF(V256="",1,V256)),"Disponibilité",IF(IF(U256="",1,U256)&lt;=IF(V256="",1,V256),"Performance","Qualité"))))</f>
        <v>Performance</v>
      </c>
      <c r="AA256" s="59">
        <f>IF(AC256=1,N(H256)*N(IFERROR(INDEX(art_cost,MATCH(E256,art_ref,0)),0)),"")</f>
        <v>192.5</v>
      </c>
      <c r="AB256" s="58" t="str">
        <f>IF(COUNTA(A256:I256)=0,"",IF(N(A256)&lt;=0,"Date manquante ou invalide",IF(B256="","Équipe manquante",IF(ISNA(MATCH(B256,eq_code,0)),"Équipe inconnue",IF(INDEX(eq_check,MATCH(B256,eq_code,0))&lt;&gt;"OK","Équipe à corriger dans Paramètres",IF(C256="","Poste manquant",IF(ISNA(MATCH(C256,po_code,0)),"Poste inconnu",IF(AND(E256&lt;&gt;"",ISNA(MATCH(E256,art_ref,0))),"Article inconnu",IF(IF(E256="",FALSE,INDEX(art_check,MATCH(E256,art_ref,0))&lt;&gt;"OK"),"Article à corriger (feuille Articles)",IF(COUNTIFS(sj_date,A256,sj_eq,B256,sj_po,C256)&gt;1,"Ligne en double (même jour, équipe et poste)",IF(OR(NOT(ISNUMBER(K256)),N(K256)&lt;=0,N(K256)&gt;1440),"Temps d'ouverture invalide",IF(OR(AND(G256&lt;&gt;"",NOT(ISNUMBER(G256))),N(G256)&lt;0,N(G256)&lt;&gt;INT(N(G256)),AND(H256&lt;&gt;"",NOT(ISNUMBER(H256))),N(H256)&lt;0,N(H256)&lt;&gt;INT(N(H256)),AND(I256&lt;&gt;"",NOT(ISNUMBER(I256))),N(I256)&lt;0,N(I256)&lt;&gt;INT(N(I256))),"Quantité invalide",IF(Q256&lt;=0,"Cadence manquante (poste ou article)",IF(M256&lt;=0,"Arrêts planifiés supérieurs au temps d'ouverture",IF(O256&lt;0,"Arrêts supérieurs au temps requis",IF(AND(P256&gt;0,O256=0),"Pièces déclarées sans temps de marche",IF(AND(P256=0,O256&gt;0),"Aucune pièce déclarée",IF(P256*60/Q256&gt;O256+0.001,"Cadence dépassée : vérifiez la cadence","OK"))))))))))))))))))</f>
        <v>OK</v>
      </c>
      <c r="AC256">
        <f>IF(OR(AB256="OK",AB256="Aucune pièce déclarée",AB256="Cadence dépassée : vérifiez la cadence"),1,0)</f>
        <v>1.0</v>
      </c>
      <c r="AD256">
        <f>IF(AND(AC256=1,A256&gt;=p_from,A256&lt;=p_to),1,0)</f>
        <v>1.0</v>
      </c>
      <c r="AE256">
        <f>IF(AD256=1,IF(COUNTIFS($A$6:A256,A256,$AD$6:AD256,1)=1,1,0),0)</f>
        <v>1.0</v>
      </c>
      <c r="AF256">
        <f>IF(AE256=1,COUNTIFS(sj_first,1,sj_date,"&lt;"&amp;A256)+1,"")</f>
        <v>26.0</v>
      </c>
      <c r="AG256" t="str">
        <f>IF(AND(AD256=1,N(W256)&lt;p_alert),ROUND(W256,4),"")</f>
        <v/>
      </c>
      <c r="AH256" t="str">
        <f>IF(AG256="","",COUNTIF(sj_akey,"&lt;"&amp;AG256)+COUNTIF($AG$6:AG256,AG256))</f>
        <v/>
      </c>
    </row>
    <row r="257">
      <c r="A257" s="51" t="n">
        <v>46321</v>
      </c>
      <c r="B257" s="52" t="inlineStr">
        <is>
          <t>Après-midi</t>
        </is>
      </c>
      <c r="C257" s="52" t="inlineStr">
        <is>
          <t>TOUR1</t>
        </is>
      </c>
      <c r="D257" s="53" t="inlineStr">
        <is>
          <t>OF-2610-182</t>
        </is>
      </c>
      <c r="E257" s="53" t="inlineStr">
        <is>
          <t>AXE-R20</t>
        </is>
      </c>
      <c r="F257" s="54" t="n"/>
      <c r="G257" s="54" t="n">
        <v>195</v>
      </c>
      <c r="H257" s="54" t="n">
        <v>6</v>
      </c>
      <c r="I257" s="54" t="n">
        <v>2</v>
      </c>
      <c r="J257" s="53" t="n"/>
      <c r="K257" s="55">
        <f>IF(COUNTA(A257:I257)=0,"",IF(F257="",IFERROR(INDEX(eq_dur,MATCH(B257,eq_code,0)),""),F257))</f>
        <v>480.0</v>
      </c>
      <c r="L257" s="55">
        <f>IF(ISNUMBER(K257),N(IFERROR(INDEX(eq_pause,MATCH(B257,eq_code,0)),0))+SUMIFS(st_min,st_date,A257,st_eq,B257,st_po,C257,st_type,"Planifié"),"")</f>
        <v>30.0</v>
      </c>
      <c r="M257" s="55">
        <f>IF(ISNUMBER(K257),K257-L257,"")</f>
        <v>450.0</v>
      </c>
      <c r="N257" s="55">
        <f>IF(ISNUMBER(K257),SUMIFS(st_min,st_date,A257,st_eq,B257,st_po,C257,st_type,"Non planifié"),"")</f>
        <v>0.0</v>
      </c>
      <c r="O257" s="55">
        <f>IF(ISNUMBER(K257),M257-N257,"")</f>
        <v>450.0</v>
      </c>
      <c r="P257" s="55">
        <f>IF(COUNTA(A257:I257)=0,"",N(G257)+N(H257)+N(I257))</f>
        <v>203.0</v>
      </c>
      <c r="Q257" s="56">
        <f>IF(COUNTA(A257:I257)=0,"",IF(N(IFERROR(INDEX(art_rate,MATCH(E257,art_ref,0)),0))&gt;0,N(IFERROR(INDEX(art_rate,MATCH(E257,art_ref,0)),0)),N(IFERROR(INDEX(po_rate,MATCH(C257,po_code,0)),0))))</f>
        <v>30.0</v>
      </c>
      <c r="R257" s="55">
        <f>IF(AC257=1,P257*60/Q257,"")</f>
        <v>406.0</v>
      </c>
      <c r="S257" s="55">
        <f>IF(AC257=1,N(G257)*60/Q257,"")</f>
        <v>390.0</v>
      </c>
      <c r="T257" s="57">
        <f>IF(AC257=1,O257/M257,"")</f>
        <v>1.0</v>
      </c>
      <c r="U257" s="57">
        <f>IF(AC257=1,IF(O257&gt;0,R257/O257,""),"")</f>
        <v>0.902222222222222</v>
      </c>
      <c r="V257" s="57">
        <f>IF(AC257=1,IF(P257&gt;0,N(G257)/P257,""),"")</f>
        <v>0.960591133004926</v>
      </c>
      <c r="W257" s="57">
        <f>IF(AC257=1,S257/M257,"")</f>
        <v>0.866666666666667</v>
      </c>
      <c r="X257" s="57">
        <f>IF(AC257=1,S257/K257,"")</f>
        <v>0.8125</v>
      </c>
      <c r="Y257" s="58" t="str">
        <f>IF(W257="","",IF(W257&gt;=p_target,"Bon",IF(W257&gt;=p_alert,"À surveiller","Faible")))</f>
        <v>Bon</v>
      </c>
      <c r="Z257" s="58" t="str">
        <f>IF(W257="","",IF(MIN(IF(T257="",1,T257),IF(U257="",1,U257),IF(V257="",1,V257))&gt;=1,"Aucune",IF(IF(T257="",1,T257)&lt;=MIN(IF(U257="",1,U257),IF(V257="",1,V257)),"Disponibilité",IF(IF(U257="",1,U257)&lt;=IF(V257="",1,V257),"Performance","Qualité"))))</f>
        <v>Performance</v>
      </c>
      <c r="AA257" s="59">
        <f>IF(AC257=1,N(H257)*N(IFERROR(INDEX(art_cost,MATCH(E257,art_ref,0)),0)),"")</f>
        <v>231.0</v>
      </c>
      <c r="AB257" s="58" t="str">
        <f>IF(COUNTA(A257:I257)=0,"",IF(N(A257)&lt;=0,"Date manquante ou invalide",IF(B257="","Équipe manquante",IF(ISNA(MATCH(B257,eq_code,0)),"Équipe inconnue",IF(INDEX(eq_check,MATCH(B257,eq_code,0))&lt;&gt;"OK","Équipe à corriger dans Paramètres",IF(C257="","Poste manquant",IF(ISNA(MATCH(C257,po_code,0)),"Poste inconnu",IF(AND(E257&lt;&gt;"",ISNA(MATCH(E257,art_ref,0))),"Article inconnu",IF(IF(E257="",FALSE,INDEX(art_check,MATCH(E257,art_ref,0))&lt;&gt;"OK"),"Article à corriger (feuille Articles)",IF(COUNTIFS(sj_date,A257,sj_eq,B257,sj_po,C257)&gt;1,"Ligne en double (même jour, équipe et poste)",IF(OR(NOT(ISNUMBER(K257)),N(K257)&lt;=0,N(K257)&gt;1440),"Temps d'ouverture invalide",IF(OR(AND(G257&lt;&gt;"",NOT(ISNUMBER(G257))),N(G257)&lt;0,N(G257)&lt;&gt;INT(N(G257)),AND(H257&lt;&gt;"",NOT(ISNUMBER(H257))),N(H257)&lt;0,N(H257)&lt;&gt;INT(N(H257)),AND(I257&lt;&gt;"",NOT(ISNUMBER(I257))),N(I257)&lt;0,N(I257)&lt;&gt;INT(N(I257))),"Quantité invalide",IF(Q257&lt;=0,"Cadence manquante (poste ou article)",IF(M257&lt;=0,"Arrêts planifiés supérieurs au temps d'ouverture",IF(O257&lt;0,"Arrêts supérieurs au temps requis",IF(AND(P257&gt;0,O257=0),"Pièces déclarées sans temps de marche",IF(AND(P257=0,O257&gt;0),"Aucune pièce déclarée",IF(P257*60/Q257&gt;O257+0.001,"Cadence dépassée : vérifiez la cadence","OK"))))))))))))))))))</f>
        <v>OK</v>
      </c>
      <c r="AC257">
        <f>IF(OR(AB257="OK",AB257="Aucune pièce déclarée",AB257="Cadence dépassée : vérifiez la cadence"),1,0)</f>
        <v>1.0</v>
      </c>
      <c r="AD257">
        <f>IF(AND(AC257=1,A257&gt;=p_from,A257&lt;=p_to),1,0)</f>
        <v>1.0</v>
      </c>
      <c r="AE257">
        <f>IF(AD257=1,IF(COUNTIFS($A$6:A257,A257,$AD$6:AD257,1)=1,1,0),0)</f>
        <v>0.0</v>
      </c>
      <c r="AF257" t="str">
        <f>IF(AE257=1,COUNTIFS(sj_first,1,sj_date,"&lt;"&amp;A257)+1,"")</f>
        <v/>
      </c>
      <c r="AG257" t="str">
        <f>IF(AND(AD257=1,N(W257)&lt;p_alert),ROUND(W257,4),"")</f>
        <v/>
      </c>
      <c r="AH257" t="str">
        <f>IF(AG257="","",COUNTIF(sj_akey,"&lt;"&amp;AG257)+COUNTIF($AG$6:AG257,AG257))</f>
        <v/>
      </c>
    </row>
    <row r="258">
      <c r="A258" s="51" t="n">
        <v>46321</v>
      </c>
      <c r="B258" s="52" t="inlineStr">
        <is>
          <t>Matin</t>
        </is>
      </c>
      <c r="C258" s="52" t="inlineStr">
        <is>
          <t>TOUR2</t>
        </is>
      </c>
      <c r="D258" s="53" t="inlineStr">
        <is>
          <t>OF-2610-164</t>
        </is>
      </c>
      <c r="E258" s="53" t="inlineStr">
        <is>
          <t>AXE-R20</t>
        </is>
      </c>
      <c r="F258" s="54" t="n"/>
      <c r="G258" s="54" t="n">
        <v>189</v>
      </c>
      <c r="H258" s="54" t="n">
        <v>6</v>
      </c>
      <c r="I258" s="54" t="n">
        <v>0</v>
      </c>
      <c r="J258" s="53" t="n"/>
      <c r="K258" s="55">
        <f>IF(COUNTA(A258:I258)=0,"",IF(F258="",IFERROR(INDEX(eq_dur,MATCH(B258,eq_code,0)),""),F258))</f>
        <v>480.0</v>
      </c>
      <c r="L258" s="55">
        <f>IF(ISNUMBER(K258),N(IFERROR(INDEX(eq_pause,MATCH(B258,eq_code,0)),0))+SUMIFS(st_min,st_date,A258,st_eq,B258,st_po,C258,st_type,"Planifié"),"")</f>
        <v>30.0</v>
      </c>
      <c r="M258" s="55">
        <f>IF(ISNUMBER(K258),K258-L258,"")</f>
        <v>450.0</v>
      </c>
      <c r="N258" s="55">
        <f>IF(ISNUMBER(K258),SUMIFS(st_min,st_date,A258,st_eq,B258,st_po,C258,st_type,"Non planifié"),"")</f>
        <v>42.0</v>
      </c>
      <c r="O258" s="55">
        <f>IF(ISNUMBER(K258),M258-N258,"")</f>
        <v>408.0</v>
      </c>
      <c r="P258" s="55">
        <f>IF(COUNTA(A258:I258)=0,"",N(G258)+N(H258)+N(I258))</f>
        <v>195.0</v>
      </c>
      <c r="Q258" s="56">
        <f>IF(COUNTA(A258:I258)=0,"",IF(N(IFERROR(INDEX(art_rate,MATCH(E258,art_ref,0)),0))&gt;0,N(IFERROR(INDEX(art_rate,MATCH(E258,art_ref,0)),0)),N(IFERROR(INDEX(po_rate,MATCH(C258,po_code,0)),0))))</f>
        <v>30.0</v>
      </c>
      <c r="R258" s="55">
        <f>IF(AC258=1,P258*60/Q258,"")</f>
        <v>390.0</v>
      </c>
      <c r="S258" s="55">
        <f>IF(AC258=1,N(G258)*60/Q258,"")</f>
        <v>378.0</v>
      </c>
      <c r="T258" s="57">
        <f>IF(AC258=1,O258/M258,"")</f>
        <v>0.906666666666667</v>
      </c>
      <c r="U258" s="57">
        <f>IF(AC258=1,IF(O258&gt;0,R258/O258,""),"")</f>
        <v>0.955882352941177</v>
      </c>
      <c r="V258" s="57">
        <f>IF(AC258=1,IF(P258&gt;0,N(G258)/P258,""),"")</f>
        <v>0.969230769230769</v>
      </c>
      <c r="W258" s="57">
        <f>IF(AC258=1,S258/M258,"")</f>
        <v>0.84</v>
      </c>
      <c r="X258" s="57">
        <f>IF(AC258=1,S258/K258,"")</f>
        <v>0.7875</v>
      </c>
      <c r="Y258" s="58" t="str">
        <f>IF(W258="","",IF(W258&gt;=p_target,"Bon",IF(W258&gt;=p_alert,"À surveiller","Faible")))</f>
        <v>Bon</v>
      </c>
      <c r="Z258" s="58" t="str">
        <f>IF(W258="","",IF(MIN(IF(T258="",1,T258),IF(U258="",1,U258),IF(V258="",1,V258))&gt;=1,"Aucune",IF(IF(T258="",1,T258)&lt;=MIN(IF(U258="",1,U258),IF(V258="",1,V258)),"Disponibilité",IF(IF(U258="",1,U258)&lt;=IF(V258="",1,V258),"Performance","Qualité"))))</f>
        <v>Disponibilité</v>
      </c>
      <c r="AA258" s="59">
        <f>IF(AC258=1,N(H258)*N(IFERROR(INDEX(art_cost,MATCH(E258,art_ref,0)),0)),"")</f>
        <v>231.0</v>
      </c>
      <c r="AB258" s="58" t="str">
        <f>IF(COUNTA(A258:I258)=0,"",IF(N(A258)&lt;=0,"Date manquante ou invalide",IF(B258="","Équipe manquante",IF(ISNA(MATCH(B258,eq_code,0)),"Équipe inconnue",IF(INDEX(eq_check,MATCH(B258,eq_code,0))&lt;&gt;"OK","Équipe à corriger dans Paramètres",IF(C258="","Poste manquant",IF(ISNA(MATCH(C258,po_code,0)),"Poste inconnu",IF(AND(E258&lt;&gt;"",ISNA(MATCH(E258,art_ref,0))),"Article inconnu",IF(IF(E258="",FALSE,INDEX(art_check,MATCH(E258,art_ref,0))&lt;&gt;"OK"),"Article à corriger (feuille Articles)",IF(COUNTIFS(sj_date,A258,sj_eq,B258,sj_po,C258)&gt;1,"Ligne en double (même jour, équipe et poste)",IF(OR(NOT(ISNUMBER(K258)),N(K258)&lt;=0,N(K258)&gt;1440),"Temps d'ouverture invalide",IF(OR(AND(G258&lt;&gt;"",NOT(ISNUMBER(G258))),N(G258)&lt;0,N(G258)&lt;&gt;INT(N(G258)),AND(H258&lt;&gt;"",NOT(ISNUMBER(H258))),N(H258)&lt;0,N(H258)&lt;&gt;INT(N(H258)),AND(I258&lt;&gt;"",NOT(ISNUMBER(I258))),N(I258)&lt;0,N(I258)&lt;&gt;INT(N(I258))),"Quantité invalide",IF(Q258&lt;=0,"Cadence manquante (poste ou article)",IF(M258&lt;=0,"Arrêts planifiés supérieurs au temps d'ouverture",IF(O258&lt;0,"Arrêts supérieurs au temps requis",IF(AND(P258&gt;0,O258=0),"Pièces déclarées sans temps de marche",IF(AND(P258=0,O258&gt;0),"Aucune pièce déclarée",IF(P258*60/Q258&gt;O258+0.001,"Cadence dépassée : vérifiez la cadence","OK"))))))))))))))))))</f>
        <v>OK</v>
      </c>
      <c r="AC258">
        <f>IF(OR(AB258="OK",AB258="Aucune pièce déclarée",AB258="Cadence dépassée : vérifiez la cadence"),1,0)</f>
        <v>1.0</v>
      </c>
      <c r="AD258">
        <f>IF(AND(AC258=1,A258&gt;=p_from,A258&lt;=p_to),1,0)</f>
        <v>1.0</v>
      </c>
      <c r="AE258">
        <f>IF(AD258=1,IF(COUNTIFS($A$6:A258,A258,$AD$6:AD258,1)=1,1,0),0)</f>
        <v>0.0</v>
      </c>
      <c r="AF258" t="str">
        <f>IF(AE258=1,COUNTIFS(sj_first,1,sj_date,"&lt;"&amp;A258)+1,"")</f>
        <v/>
      </c>
      <c r="AG258" t="str">
        <f>IF(AND(AD258=1,N(W258)&lt;p_alert),ROUND(W258,4),"")</f>
        <v/>
      </c>
      <c r="AH258" t="str">
        <f>IF(AG258="","",COUNTIF(sj_akey,"&lt;"&amp;AG258)+COUNTIF($AG$6:AG258,AG258))</f>
        <v/>
      </c>
    </row>
    <row r="259">
      <c r="A259" s="51" t="n">
        <v>46321</v>
      </c>
      <c r="B259" s="52" t="inlineStr">
        <is>
          <t>Après-midi</t>
        </is>
      </c>
      <c r="C259" s="52" t="inlineStr">
        <is>
          <t>TOUR2</t>
        </is>
      </c>
      <c r="D259" s="53" t="inlineStr">
        <is>
          <t>OF-2610-175</t>
        </is>
      </c>
      <c r="E259" s="53" t="inlineStr">
        <is>
          <t>ENT-12</t>
        </is>
      </c>
      <c r="F259" s="54" t="n"/>
      <c r="G259" s="54" t="n">
        <v>249</v>
      </c>
      <c r="H259" s="54" t="n">
        <v>5</v>
      </c>
      <c r="I259" s="54" t="n">
        <v>1</v>
      </c>
      <c r="J259" s="53" t="n"/>
      <c r="K259" s="55">
        <f>IF(COUNTA(A259:I259)=0,"",IF(F259="",IFERROR(INDEX(eq_dur,MATCH(B259,eq_code,0)),""),F259))</f>
        <v>480.0</v>
      </c>
      <c r="L259" s="55">
        <f>IF(ISNUMBER(K259),N(IFERROR(INDEX(eq_pause,MATCH(B259,eq_code,0)),0))+SUMIFS(st_min,st_date,A259,st_eq,B259,st_po,C259,st_type,"Planifié"),"")</f>
        <v>30.0</v>
      </c>
      <c r="M259" s="55">
        <f>IF(ISNUMBER(K259),K259-L259,"")</f>
        <v>450.0</v>
      </c>
      <c r="N259" s="55">
        <f>IF(ISNUMBER(K259),SUMIFS(st_min,st_date,A259,st_eq,B259,st_po,C259,st_type,"Non planifié"),"")</f>
        <v>114.0</v>
      </c>
      <c r="O259" s="55">
        <f>IF(ISNUMBER(K259),M259-N259,"")</f>
        <v>336.0</v>
      </c>
      <c r="P259" s="55">
        <f>IF(COUNTA(A259:I259)=0,"",N(G259)+N(H259)+N(I259))</f>
        <v>255.0</v>
      </c>
      <c r="Q259" s="56">
        <f>IF(COUNTA(A259:I259)=0,"",IF(N(IFERROR(INDEX(art_rate,MATCH(E259,art_ref,0)),0))&gt;0,N(IFERROR(INDEX(art_rate,MATCH(E259,art_ref,0)),0)),N(IFERROR(INDEX(po_rate,MATCH(C259,po_code,0)),0))))</f>
        <v>55.0</v>
      </c>
      <c r="R259" s="55">
        <f>IF(AC259=1,P259*60/Q259,"")</f>
        <v>278.181818181818</v>
      </c>
      <c r="S259" s="55">
        <f>IF(AC259=1,N(G259)*60/Q259,"")</f>
        <v>271.636363636364</v>
      </c>
      <c r="T259" s="57">
        <f>IF(AC259=1,O259/M259,"")</f>
        <v>0.746666666666667</v>
      </c>
      <c r="U259" s="57">
        <f>IF(AC259=1,IF(O259&gt;0,R259/O259,""),"")</f>
        <v>0.827922077922078</v>
      </c>
      <c r="V259" s="57">
        <f>IF(AC259=1,IF(P259&gt;0,N(G259)/P259,""),"")</f>
        <v>0.976470588235294</v>
      </c>
      <c r="W259" s="57">
        <f>IF(AC259=1,S259/M259,"")</f>
        <v>0.603636363636364</v>
      </c>
      <c r="X259" s="57">
        <f>IF(AC259=1,S259/K259,"")</f>
        <v>0.565909090909091</v>
      </c>
      <c r="Y259" s="58" t="str">
        <f>IF(W259="","",IF(W259&gt;=p_target,"Bon",IF(W259&gt;=p_alert,"À surveiller","Faible")))</f>
        <v>À surveiller</v>
      </c>
      <c r="Z259" s="58" t="str">
        <f>IF(W259="","",IF(MIN(IF(T259="",1,T259),IF(U259="",1,U259),IF(V259="",1,V259))&gt;=1,"Aucune",IF(IF(T259="",1,T259)&lt;=MIN(IF(U259="",1,U259),IF(V259="",1,V259)),"Disponibilité",IF(IF(U259="",1,U259)&lt;=IF(V259="",1,V259),"Performance","Qualité"))))</f>
        <v>Disponibilité</v>
      </c>
      <c r="AA259" s="59">
        <f>IF(AC259=1,N(H259)*N(IFERROR(INDEX(art_cost,MATCH(E259,art_ref,0)),0)),"")</f>
        <v>34.0</v>
      </c>
      <c r="AB259" s="58" t="str">
        <f>IF(COUNTA(A259:I259)=0,"",IF(N(A259)&lt;=0,"Date manquante ou invalide",IF(B259="","Équipe manquante",IF(ISNA(MATCH(B259,eq_code,0)),"Équipe inconnue",IF(INDEX(eq_check,MATCH(B259,eq_code,0))&lt;&gt;"OK","Équipe à corriger dans Paramètres",IF(C259="","Poste manquant",IF(ISNA(MATCH(C259,po_code,0)),"Poste inconnu",IF(AND(E259&lt;&gt;"",ISNA(MATCH(E259,art_ref,0))),"Article inconnu",IF(IF(E259="",FALSE,INDEX(art_check,MATCH(E259,art_ref,0))&lt;&gt;"OK"),"Article à corriger (feuille Articles)",IF(COUNTIFS(sj_date,A259,sj_eq,B259,sj_po,C259)&gt;1,"Ligne en double (même jour, équipe et poste)",IF(OR(NOT(ISNUMBER(K259)),N(K259)&lt;=0,N(K259)&gt;1440),"Temps d'ouverture invalide",IF(OR(AND(G259&lt;&gt;"",NOT(ISNUMBER(G259))),N(G259)&lt;0,N(G259)&lt;&gt;INT(N(G259)),AND(H259&lt;&gt;"",NOT(ISNUMBER(H259))),N(H259)&lt;0,N(H259)&lt;&gt;INT(N(H259)),AND(I259&lt;&gt;"",NOT(ISNUMBER(I259))),N(I259)&lt;0,N(I259)&lt;&gt;INT(N(I259))),"Quantité invalide",IF(Q259&lt;=0,"Cadence manquante (poste ou article)",IF(M259&lt;=0,"Arrêts planifiés supérieurs au temps d'ouverture",IF(O259&lt;0,"Arrêts supérieurs au temps requis",IF(AND(P259&gt;0,O259=0),"Pièces déclarées sans temps de marche",IF(AND(P259=0,O259&gt;0),"Aucune pièce déclarée",IF(P259*60/Q259&gt;O259+0.001,"Cadence dépassée : vérifiez la cadence","OK"))))))))))))))))))</f>
        <v>OK</v>
      </c>
      <c r="AC259">
        <f>IF(OR(AB259="OK",AB259="Aucune pièce déclarée",AB259="Cadence dépassée : vérifiez la cadence"),1,0)</f>
        <v>1.0</v>
      </c>
      <c r="AD259">
        <f>IF(AND(AC259=1,A259&gt;=p_from,A259&lt;=p_to),1,0)</f>
        <v>1.0</v>
      </c>
      <c r="AE259">
        <f>IF(AD259=1,IF(COUNTIFS($A$6:A259,A259,$AD$6:AD259,1)=1,1,0),0)</f>
        <v>0.0</v>
      </c>
      <c r="AF259" t="str">
        <f>IF(AE259=1,COUNTIFS(sj_first,1,sj_date,"&lt;"&amp;A259)+1,"")</f>
        <v/>
      </c>
      <c r="AG259" t="str">
        <f>IF(AND(AD259=1,N(W259)&lt;p_alert),ROUND(W259,4),"")</f>
        <v/>
      </c>
      <c r="AH259" t="str">
        <f>IF(AG259="","",COUNTIF(sj_akey,"&lt;"&amp;AG259)+COUNTIF($AG$6:AG259,AG259))</f>
        <v/>
      </c>
    </row>
    <row r="260">
      <c r="A260" s="51" t="n">
        <v>46321</v>
      </c>
      <c r="B260" s="52" t="inlineStr">
        <is>
          <t>Matin</t>
        </is>
      </c>
      <c r="C260" s="52" t="inlineStr">
        <is>
          <t>USIN</t>
        </is>
      </c>
      <c r="D260" s="53" t="inlineStr">
        <is>
          <t>OF-2610-186</t>
        </is>
      </c>
      <c r="E260" s="53" t="inlineStr">
        <is>
          <t>FLA-PL-150</t>
        </is>
      </c>
      <c r="F260" s="54" t="n"/>
      <c r="G260" s="54" t="n">
        <v>20</v>
      </c>
      <c r="H260" s="54" t="n">
        <v>0</v>
      </c>
      <c r="I260" s="54" t="n">
        <v>0</v>
      </c>
      <c r="J260" s="53" t="n"/>
      <c r="K260" s="55">
        <f>IF(COUNTA(A260:I260)=0,"",IF(F260="",IFERROR(INDEX(eq_dur,MATCH(B260,eq_code,0)),""),F260))</f>
        <v>480.0</v>
      </c>
      <c r="L260" s="55">
        <f>IF(ISNUMBER(K260),N(IFERROR(INDEX(eq_pause,MATCH(B260,eq_code,0)),0))+SUMIFS(st_min,st_date,A260,st_eq,B260,st_po,C260,st_type,"Planifié"),"")</f>
        <v>90.0</v>
      </c>
      <c r="M260" s="55">
        <f>IF(ISNUMBER(K260),K260-L260,"")</f>
        <v>390.0</v>
      </c>
      <c r="N260" s="55">
        <f>IF(ISNUMBER(K260),SUMIFS(st_min,st_date,A260,st_eq,B260,st_po,C260,st_type,"Non planifié"),"")</f>
        <v>271.0</v>
      </c>
      <c r="O260" s="55">
        <f>IF(ISNUMBER(K260),M260-N260,"")</f>
        <v>119.0</v>
      </c>
      <c r="P260" s="55">
        <f>IF(COUNTA(A260:I260)=0,"",N(G260)+N(H260)+N(I260))</f>
        <v>20.0</v>
      </c>
      <c r="Q260" s="56">
        <f>IF(COUNTA(A260:I260)=0,"",IF(N(IFERROR(INDEX(art_rate,MATCH(E260,art_ref,0)),0))&gt;0,N(IFERROR(INDEX(art_rate,MATCH(E260,art_ref,0)),0)),N(IFERROR(INDEX(po_rate,MATCH(C260,po_code,0)),0))))</f>
        <v>12.0</v>
      </c>
      <c r="R260" s="55">
        <f>IF(AC260=1,P260*60/Q260,"")</f>
        <v>100.0</v>
      </c>
      <c r="S260" s="55">
        <f>IF(AC260=1,N(G260)*60/Q260,"")</f>
        <v>100.0</v>
      </c>
      <c r="T260" s="57">
        <f>IF(AC260=1,O260/M260,"")</f>
        <v>0.305128205128205</v>
      </c>
      <c r="U260" s="57">
        <f>IF(AC260=1,IF(O260&gt;0,R260/O260,""),"")</f>
        <v>0.840336134453782</v>
      </c>
      <c r="V260" s="57">
        <f>IF(AC260=1,IF(P260&gt;0,N(G260)/P260,""),"")</f>
        <v>1.0</v>
      </c>
      <c r="W260" s="57">
        <f>IF(AC260=1,S260/M260,"")</f>
        <v>0.256410256410256</v>
      </c>
      <c r="X260" s="57">
        <f>IF(AC260=1,S260/K260,"")</f>
        <v>0.208333333333333</v>
      </c>
      <c r="Y260" s="58" t="str">
        <f>IF(W260="","",IF(W260&gt;=p_target,"Bon",IF(W260&gt;=p_alert,"À surveiller","Faible")))</f>
        <v>Faible</v>
      </c>
      <c r="Z260" s="58" t="str">
        <f>IF(W260="","",IF(MIN(IF(T260="",1,T260),IF(U260="",1,U260),IF(V260="",1,V260))&gt;=1,"Aucune",IF(IF(T260="",1,T260)&lt;=MIN(IF(U260="",1,U260),IF(V260="",1,V260)),"Disponibilité",IF(IF(U260="",1,U260)&lt;=IF(V260="",1,V260),"Performance","Qualité"))))</f>
        <v>Disponibilité</v>
      </c>
      <c r="AA260" s="59">
        <f>IF(AC260=1,N(H260)*N(IFERROR(INDEX(art_cost,MATCH(E260,art_ref,0)),0)),"")</f>
        <v>0.0</v>
      </c>
      <c r="AB260" s="58" t="str">
        <f>IF(COUNTA(A260:I260)=0,"",IF(N(A260)&lt;=0,"Date manquante ou invalide",IF(B260="","Équipe manquante",IF(ISNA(MATCH(B260,eq_code,0)),"Équipe inconnue",IF(INDEX(eq_check,MATCH(B260,eq_code,0))&lt;&gt;"OK","Équipe à corriger dans Paramètres",IF(C260="","Poste manquant",IF(ISNA(MATCH(C260,po_code,0)),"Poste inconnu",IF(AND(E260&lt;&gt;"",ISNA(MATCH(E260,art_ref,0))),"Article inconnu",IF(IF(E260="",FALSE,INDEX(art_check,MATCH(E260,art_ref,0))&lt;&gt;"OK"),"Article à corriger (feuille Articles)",IF(COUNTIFS(sj_date,A260,sj_eq,B260,sj_po,C260)&gt;1,"Ligne en double (même jour, équipe et poste)",IF(OR(NOT(ISNUMBER(K260)),N(K260)&lt;=0,N(K260)&gt;1440),"Temps d'ouverture invalide",IF(OR(AND(G260&lt;&gt;"",NOT(ISNUMBER(G260))),N(G260)&lt;0,N(G260)&lt;&gt;INT(N(G260)),AND(H260&lt;&gt;"",NOT(ISNUMBER(H260))),N(H260)&lt;0,N(H260)&lt;&gt;INT(N(H260)),AND(I260&lt;&gt;"",NOT(ISNUMBER(I260))),N(I260)&lt;0,N(I260)&lt;&gt;INT(N(I260))),"Quantité invalide",IF(Q260&lt;=0,"Cadence manquante (poste ou article)",IF(M260&lt;=0,"Arrêts planifiés supérieurs au temps d'ouverture",IF(O260&lt;0,"Arrêts supérieurs au temps requis",IF(AND(P260&gt;0,O260=0),"Pièces déclarées sans temps de marche",IF(AND(P260=0,O260&gt;0),"Aucune pièce déclarée",IF(P260*60/Q260&gt;O260+0.001,"Cadence dépassée : vérifiez la cadence","OK"))))))))))))))))))</f>
        <v>OK</v>
      </c>
      <c r="AC260">
        <f>IF(OR(AB260="OK",AB260="Aucune pièce déclarée",AB260="Cadence dépassée : vérifiez la cadence"),1,0)</f>
        <v>1.0</v>
      </c>
      <c r="AD260">
        <f>IF(AND(AC260=1,A260&gt;=p_from,A260&lt;=p_to),1,0)</f>
        <v>1.0</v>
      </c>
      <c r="AE260">
        <f>IF(AD260=1,IF(COUNTIFS($A$6:A260,A260,$AD$6:AD260,1)=1,1,0),0)</f>
        <v>0.0</v>
      </c>
      <c r="AF260" t="str">
        <f>IF(AE260=1,COUNTIFS(sj_first,1,sj_date,"&lt;"&amp;A260)+1,"")</f>
        <v/>
      </c>
      <c r="AG260">
        <f>IF(AND(AD260=1,N(W260)&lt;p_alert),ROUND(W260,4),"")</f>
        <v>0.2564</v>
      </c>
      <c r="AH260">
        <f>IF(AG260="","",COUNTIF(sj_akey,"&lt;"&amp;AG260)+COUNTIF($AG$6:AG260,AG260))</f>
        <v>4.0</v>
      </c>
    </row>
    <row r="261">
      <c r="A261" s="51" t="n">
        <v>46321</v>
      </c>
      <c r="B261" s="52" t="inlineStr">
        <is>
          <t>Après-midi</t>
        </is>
      </c>
      <c r="C261" s="52" t="inlineStr">
        <is>
          <t>USIN</t>
        </is>
      </c>
      <c r="D261" s="53" t="inlineStr">
        <is>
          <t>OF-2610-178</t>
        </is>
      </c>
      <c r="E261" s="53" t="inlineStr">
        <is>
          <t>CAR-BOI-04</t>
        </is>
      </c>
      <c r="F261" s="54" t="n">
        <v>240</v>
      </c>
      <c r="G261" s="54" t="n">
        <v>11</v>
      </c>
      <c r="H261" s="54" t="n">
        <v>0</v>
      </c>
      <c r="I261" s="54" t="n">
        <v>0</v>
      </c>
      <c r="J261" s="53" t="n"/>
      <c r="K261" s="55">
        <f>IF(COUNTA(A261:I261)=0,"",IF(F261="",IFERROR(INDEX(eq_dur,MATCH(B261,eq_code,0)),""),F261))</f>
        <v>240.0</v>
      </c>
      <c r="L261" s="55">
        <f>IF(ISNUMBER(K261),N(IFERROR(INDEX(eq_pause,MATCH(B261,eq_code,0)),0))+SUMIFS(st_min,st_date,A261,st_eq,B261,st_po,C261,st_type,"Planifié"),"")</f>
        <v>30.0</v>
      </c>
      <c r="M261" s="55">
        <f>IF(ISNUMBER(K261),K261-L261,"")</f>
        <v>210.0</v>
      </c>
      <c r="N261" s="55">
        <f>IF(ISNUMBER(K261),SUMIFS(st_min,st_date,A261,st_eq,B261,st_po,C261,st_type,"Non planifié"),"")</f>
        <v>70.0</v>
      </c>
      <c r="O261" s="55">
        <f>IF(ISNUMBER(K261),M261-N261,"")</f>
        <v>140.0</v>
      </c>
      <c r="P261" s="55">
        <f>IF(COUNTA(A261:I261)=0,"",N(G261)+N(H261)+N(I261))</f>
        <v>11.0</v>
      </c>
      <c r="Q261" s="56">
        <f>IF(COUNTA(A261:I261)=0,"",IF(N(IFERROR(INDEX(art_rate,MATCH(E261,art_ref,0)),0))&gt;0,N(IFERROR(INDEX(art_rate,MATCH(E261,art_ref,0)),0)),N(IFERROR(INDEX(po_rate,MATCH(C261,po_code,0)),0))))</f>
        <v>6.0</v>
      </c>
      <c r="R261" s="55">
        <f>IF(AC261=1,P261*60/Q261,"")</f>
        <v>110.0</v>
      </c>
      <c r="S261" s="55">
        <f>IF(AC261=1,N(G261)*60/Q261,"")</f>
        <v>110.0</v>
      </c>
      <c r="T261" s="57">
        <f>IF(AC261=1,O261/M261,"")</f>
        <v>0.666666666666667</v>
      </c>
      <c r="U261" s="57">
        <f>IF(AC261=1,IF(O261&gt;0,R261/O261,""),"")</f>
        <v>0.785714285714286</v>
      </c>
      <c r="V261" s="57">
        <f>IF(AC261=1,IF(P261&gt;0,N(G261)/P261,""),"")</f>
        <v>1.0</v>
      </c>
      <c r="W261" s="57">
        <f>IF(AC261=1,S261/M261,"")</f>
        <v>0.523809523809524</v>
      </c>
      <c r="X261" s="57">
        <f>IF(AC261=1,S261/K261,"")</f>
        <v>0.458333333333333</v>
      </c>
      <c r="Y261" s="58" t="str">
        <f>IF(W261="","",IF(W261&gt;=p_target,"Bon",IF(W261&gt;=p_alert,"À surveiller","Faible")))</f>
        <v>Faible</v>
      </c>
      <c r="Z261" s="58" t="str">
        <f>IF(W261="","",IF(MIN(IF(T261="",1,T261),IF(U261="",1,U261),IF(V261="",1,V261))&gt;=1,"Aucune",IF(IF(T261="",1,T261)&lt;=MIN(IF(U261="",1,U261),IF(V261="",1,V261)),"Disponibilité",IF(IF(U261="",1,U261)&lt;=IF(V261="",1,V261),"Performance","Qualité"))))</f>
        <v>Disponibilité</v>
      </c>
      <c r="AA261" s="59">
        <f>IF(AC261=1,N(H261)*N(IFERROR(INDEX(art_cost,MATCH(E261,art_ref,0)),0)),"")</f>
        <v>0.0</v>
      </c>
      <c r="AB261" s="58" t="str">
        <f>IF(COUNTA(A261:I261)=0,"",IF(N(A261)&lt;=0,"Date manquante ou invalide",IF(B261="","Équipe manquante",IF(ISNA(MATCH(B261,eq_code,0)),"Équipe inconnue",IF(INDEX(eq_check,MATCH(B261,eq_code,0))&lt;&gt;"OK","Équipe à corriger dans Paramètres",IF(C261="","Poste manquant",IF(ISNA(MATCH(C261,po_code,0)),"Poste inconnu",IF(AND(E261&lt;&gt;"",ISNA(MATCH(E261,art_ref,0))),"Article inconnu",IF(IF(E261="",FALSE,INDEX(art_check,MATCH(E261,art_ref,0))&lt;&gt;"OK"),"Article à corriger (feuille Articles)",IF(COUNTIFS(sj_date,A261,sj_eq,B261,sj_po,C261)&gt;1,"Ligne en double (même jour, équipe et poste)",IF(OR(NOT(ISNUMBER(K261)),N(K261)&lt;=0,N(K261)&gt;1440),"Temps d'ouverture invalide",IF(OR(AND(G261&lt;&gt;"",NOT(ISNUMBER(G261))),N(G261)&lt;0,N(G261)&lt;&gt;INT(N(G261)),AND(H261&lt;&gt;"",NOT(ISNUMBER(H261))),N(H261)&lt;0,N(H261)&lt;&gt;INT(N(H261)),AND(I261&lt;&gt;"",NOT(ISNUMBER(I261))),N(I261)&lt;0,N(I261)&lt;&gt;INT(N(I261))),"Quantité invalide",IF(Q261&lt;=0,"Cadence manquante (poste ou article)",IF(M261&lt;=0,"Arrêts planifiés supérieurs au temps d'ouverture",IF(O261&lt;0,"Arrêts supérieurs au temps requis",IF(AND(P261&gt;0,O261=0),"Pièces déclarées sans temps de marche",IF(AND(P261=0,O261&gt;0),"Aucune pièce déclarée",IF(P261*60/Q261&gt;O261+0.001,"Cadence dépassée : vérifiez la cadence","OK"))))))))))))))))))</f>
        <v>OK</v>
      </c>
      <c r="AC261">
        <f>IF(OR(AB261="OK",AB261="Aucune pièce déclarée",AB261="Cadence dépassée : vérifiez la cadence"),1,0)</f>
        <v>1.0</v>
      </c>
      <c r="AD261">
        <f>IF(AND(AC261=1,A261&gt;=p_from,A261&lt;=p_to),1,0)</f>
        <v>1.0</v>
      </c>
      <c r="AE261">
        <f>IF(AD261=1,IF(COUNTIFS($A$6:A261,A261,$AD$6:AD261,1)=1,1,0),0)</f>
        <v>0.0</v>
      </c>
      <c r="AF261" t="str">
        <f>IF(AE261=1,COUNTIFS(sj_first,1,sj_date,"&lt;"&amp;A261)+1,"")</f>
        <v/>
      </c>
      <c r="AG261">
        <f>IF(AND(AD261=1,N(W261)&lt;p_alert),ROUND(W261,4),"")</f>
        <v>0.5238</v>
      </c>
      <c r="AH261">
        <f>IF(AG261="","",COUNTIF(sj_akey,"&lt;"&amp;AG261)+COUNTIF($AG$6:AG261,AG261))</f>
        <v>26.0</v>
      </c>
    </row>
    <row r="262">
      <c r="A262" s="51" t="n">
        <v>46321</v>
      </c>
      <c r="B262" s="52" t="inlineStr">
        <is>
          <t>Matin</t>
        </is>
      </c>
      <c r="C262" s="52" t="inlineStr">
        <is>
          <t>PRESSE</t>
        </is>
      </c>
      <c r="D262" s="53" t="inlineStr">
        <is>
          <t>OF-2610-183</t>
        </is>
      </c>
      <c r="E262" s="53" t="inlineStr">
        <is>
          <t>RON-M10</t>
        </is>
      </c>
      <c r="F262" s="54" t="n"/>
      <c r="G262" s="54" t="n">
        <v>3286</v>
      </c>
      <c r="H262" s="54" t="n">
        <v>25</v>
      </c>
      <c r="I262" s="54" t="n">
        <v>23</v>
      </c>
      <c r="J262" s="53" t="n"/>
      <c r="K262" s="55">
        <f>IF(COUNTA(A262:I262)=0,"",IF(F262="",IFERROR(INDEX(eq_dur,MATCH(B262,eq_code,0)),""),F262))</f>
        <v>480.0</v>
      </c>
      <c r="L262" s="55">
        <f>IF(ISNUMBER(K262),N(IFERROR(INDEX(eq_pause,MATCH(B262,eq_code,0)),0))+SUMIFS(st_min,st_date,A262,st_eq,B262,st_po,C262,st_type,"Planifié"),"")</f>
        <v>90.0</v>
      </c>
      <c r="M262" s="55">
        <f>IF(ISNUMBER(K262),K262-L262,"")</f>
        <v>390.0</v>
      </c>
      <c r="N262" s="55">
        <f>IF(ISNUMBER(K262),SUMIFS(st_min,st_date,A262,st_eq,B262,st_po,C262,st_type,"Non planifié"),"")</f>
        <v>31.0</v>
      </c>
      <c r="O262" s="55">
        <f>IF(ISNUMBER(K262),M262-N262,"")</f>
        <v>359.0</v>
      </c>
      <c r="P262" s="55">
        <f>IF(COUNTA(A262:I262)=0,"",N(G262)+N(H262)+N(I262))</f>
        <v>3334.0</v>
      </c>
      <c r="Q262" s="56">
        <f>IF(COUNTA(A262:I262)=0,"",IF(N(IFERROR(INDEX(art_rate,MATCH(E262,art_ref,0)),0))&gt;0,N(IFERROR(INDEX(art_rate,MATCH(E262,art_ref,0)),0)),N(IFERROR(INDEX(po_rate,MATCH(C262,po_code,0)),0))))</f>
        <v>600.0</v>
      </c>
      <c r="R262" s="55">
        <f>IF(AC262=1,P262*60/Q262,"")</f>
        <v>333.4</v>
      </c>
      <c r="S262" s="55">
        <f>IF(AC262=1,N(G262)*60/Q262,"")</f>
        <v>328.6</v>
      </c>
      <c r="T262" s="57">
        <f>IF(AC262=1,O262/M262,"")</f>
        <v>0.920512820512821</v>
      </c>
      <c r="U262" s="57">
        <f>IF(AC262=1,IF(O262&gt;0,R262/O262,""),"")</f>
        <v>0.928690807799443</v>
      </c>
      <c r="V262" s="57">
        <f>IF(AC262=1,IF(P262&gt;0,N(G262)/P262,""),"")</f>
        <v>0.985602879424115</v>
      </c>
      <c r="W262" s="57">
        <f>IF(AC262=1,S262/M262,"")</f>
        <v>0.842564102564103</v>
      </c>
      <c r="X262" s="57">
        <f>IF(AC262=1,S262/K262,"")</f>
        <v>0.684583333333333</v>
      </c>
      <c r="Y262" s="58" t="str">
        <f>IF(W262="","",IF(W262&gt;=p_target,"Bon",IF(W262&gt;=p_alert,"À surveiller","Faible")))</f>
        <v>Bon</v>
      </c>
      <c r="Z262" s="58" t="str">
        <f>IF(W262="","",IF(MIN(IF(T262="",1,T262),IF(U262="",1,U262),IF(V262="",1,V262))&gt;=1,"Aucune",IF(IF(T262="",1,T262)&lt;=MIN(IF(U262="",1,U262),IF(V262="",1,V262)),"Disponibilité",IF(IF(U262="",1,U262)&lt;=IF(V262="",1,V262),"Performance","Qualité"))))</f>
        <v>Disponibilité</v>
      </c>
      <c r="AA262" s="59">
        <f>IF(AC262=1,N(H262)*N(IFERROR(INDEX(art_cost,MATCH(E262,art_ref,0)),0)),"")</f>
        <v>22.5</v>
      </c>
      <c r="AB262" s="58" t="str">
        <f>IF(COUNTA(A262:I262)=0,"",IF(N(A262)&lt;=0,"Date manquante ou invalide",IF(B262="","Équipe manquante",IF(ISNA(MATCH(B262,eq_code,0)),"Équipe inconnue",IF(INDEX(eq_check,MATCH(B262,eq_code,0))&lt;&gt;"OK","Équipe à corriger dans Paramètres",IF(C262="","Poste manquant",IF(ISNA(MATCH(C262,po_code,0)),"Poste inconnu",IF(AND(E262&lt;&gt;"",ISNA(MATCH(E262,art_ref,0))),"Article inconnu",IF(IF(E262="",FALSE,INDEX(art_check,MATCH(E262,art_ref,0))&lt;&gt;"OK"),"Article à corriger (feuille Articles)",IF(COUNTIFS(sj_date,A262,sj_eq,B262,sj_po,C262)&gt;1,"Ligne en double (même jour, équipe et poste)",IF(OR(NOT(ISNUMBER(K262)),N(K262)&lt;=0,N(K262)&gt;1440),"Temps d'ouverture invalide",IF(OR(AND(G262&lt;&gt;"",NOT(ISNUMBER(G262))),N(G262)&lt;0,N(G262)&lt;&gt;INT(N(G262)),AND(H262&lt;&gt;"",NOT(ISNUMBER(H262))),N(H262)&lt;0,N(H262)&lt;&gt;INT(N(H262)),AND(I262&lt;&gt;"",NOT(ISNUMBER(I262))),N(I262)&lt;0,N(I262)&lt;&gt;INT(N(I262))),"Quantité invalide",IF(Q262&lt;=0,"Cadence manquante (poste ou article)",IF(M262&lt;=0,"Arrêts planifiés supérieurs au temps d'ouverture",IF(O262&lt;0,"Arrêts supérieurs au temps requis",IF(AND(P262&gt;0,O262=0),"Pièces déclarées sans temps de marche",IF(AND(P262=0,O262&gt;0),"Aucune pièce déclarée",IF(P262*60/Q262&gt;O262+0.001,"Cadence dépassée : vérifiez la cadence","OK"))))))))))))))))))</f>
        <v>OK</v>
      </c>
      <c r="AC262">
        <f>IF(OR(AB262="OK",AB262="Aucune pièce déclarée",AB262="Cadence dépassée : vérifiez la cadence"),1,0)</f>
        <v>1.0</v>
      </c>
      <c r="AD262">
        <f>IF(AND(AC262=1,A262&gt;=p_from,A262&lt;=p_to),1,0)</f>
        <v>1.0</v>
      </c>
      <c r="AE262">
        <f>IF(AD262=1,IF(COUNTIFS($A$6:A262,A262,$AD$6:AD262,1)=1,1,0),0)</f>
        <v>0.0</v>
      </c>
      <c r="AF262" t="str">
        <f>IF(AE262=1,COUNTIFS(sj_first,1,sj_date,"&lt;"&amp;A262)+1,"")</f>
        <v/>
      </c>
      <c r="AG262" t="str">
        <f>IF(AND(AD262=1,N(W262)&lt;p_alert),ROUND(W262,4),"")</f>
        <v/>
      </c>
      <c r="AH262" t="str">
        <f>IF(AG262="","",COUNTIF(sj_akey,"&lt;"&amp;AG262)+COUNTIF($AG$6:AG262,AG262))</f>
        <v/>
      </c>
    </row>
    <row r="263">
      <c r="A263" s="51" t="n">
        <v>46321</v>
      </c>
      <c r="B263" s="52" t="inlineStr">
        <is>
          <t>Journée</t>
        </is>
      </c>
      <c r="C263" s="52" t="inlineStr">
        <is>
          <t>PLIE</t>
        </is>
      </c>
      <c r="D263" s="53" t="inlineStr">
        <is>
          <t>OF-2610-180</t>
        </is>
      </c>
      <c r="E263" s="53" t="inlineStr">
        <is>
          <t>GAR-SUP-02</t>
        </is>
      </c>
      <c r="F263" s="54" t="n"/>
      <c r="G263" s="54" t="n">
        <v>589</v>
      </c>
      <c r="H263" s="54" t="n">
        <v>16</v>
      </c>
      <c r="I263" s="54" t="n">
        <v>3</v>
      </c>
      <c r="J263" s="53" t="n"/>
      <c r="K263" s="55">
        <f>IF(COUNTA(A263:I263)=0,"",IF(F263="",IFERROR(INDEX(eq_dur,MATCH(B263,eq_code,0)),""),F263))</f>
        <v>540.0</v>
      </c>
      <c r="L263" s="55">
        <f>IF(ISNUMBER(K263),N(IFERROR(INDEX(eq_pause,MATCH(B263,eq_code,0)),0))+SUMIFS(st_min,st_date,A263,st_eq,B263,st_po,C263,st_type,"Planifié"),"")</f>
        <v>60.0</v>
      </c>
      <c r="M263" s="55">
        <f>IF(ISNUMBER(K263),K263-L263,"")</f>
        <v>480.0</v>
      </c>
      <c r="N263" s="55">
        <f>IF(ISNUMBER(K263),SUMIFS(st_min,st_date,A263,st_eq,B263,st_po,C263,st_type,"Non planifié"),"")</f>
        <v>32.0</v>
      </c>
      <c r="O263" s="55">
        <f>IF(ISNUMBER(K263),M263-N263,"")</f>
        <v>448.0</v>
      </c>
      <c r="P263" s="55">
        <f>IF(COUNTA(A263:I263)=0,"",N(G263)+N(H263)+N(I263))</f>
        <v>608.0</v>
      </c>
      <c r="Q263" s="56">
        <f>IF(COUNTA(A263:I263)=0,"",IF(N(IFERROR(INDEX(art_rate,MATCH(E263,art_ref,0)),0))&gt;0,N(IFERROR(INDEX(art_rate,MATCH(E263,art_ref,0)),0)),N(IFERROR(INDEX(po_rate,MATCH(C263,po_code,0)),0))))</f>
        <v>110.0</v>
      </c>
      <c r="R263" s="55">
        <f>IF(AC263=1,P263*60/Q263,"")</f>
        <v>331.636363636364</v>
      </c>
      <c r="S263" s="55">
        <f>IF(AC263=1,N(G263)*60/Q263,"")</f>
        <v>321.272727272727</v>
      </c>
      <c r="T263" s="57">
        <f>IF(AC263=1,O263/M263,"")</f>
        <v>0.933333333333333</v>
      </c>
      <c r="U263" s="57">
        <f>IF(AC263=1,IF(O263&gt;0,R263/O263,""),"")</f>
        <v>0.74025974025974</v>
      </c>
      <c r="V263" s="57">
        <f>IF(AC263=1,IF(P263&gt;0,N(G263)/P263,""),"")</f>
        <v>0.96875</v>
      </c>
      <c r="W263" s="57">
        <f>IF(AC263=1,S263/M263,"")</f>
        <v>0.669318181818182</v>
      </c>
      <c r="X263" s="57">
        <f>IF(AC263=1,S263/K263,"")</f>
        <v>0.594949494949495</v>
      </c>
      <c r="Y263" s="58" t="str">
        <f>IF(W263="","",IF(W263&gt;=p_target,"Bon",IF(W263&gt;=p_alert,"À surveiller","Faible")))</f>
        <v>À surveiller</v>
      </c>
      <c r="Z263" s="58" t="str">
        <f>IF(W263="","",IF(MIN(IF(T263="",1,T263),IF(U263="",1,U263),IF(V263="",1,V263))&gt;=1,"Aucune",IF(IF(T263="",1,T263)&lt;=MIN(IF(U263="",1,U263),IF(V263="",1,V263)),"Disponibilité",IF(IF(U263="",1,U263)&lt;=IF(V263="",1,V263),"Performance","Qualité"))))</f>
        <v>Performance</v>
      </c>
      <c r="AA263" s="59">
        <f>IF(AC263=1,N(H263)*N(IFERROR(INDEX(art_cost,MATCH(E263,art_ref,0)),0)),"")</f>
        <v>344.0</v>
      </c>
      <c r="AB263" s="58" t="str">
        <f>IF(COUNTA(A263:I263)=0,"",IF(N(A263)&lt;=0,"Date manquante ou invalide",IF(B263="","Équipe manquante",IF(ISNA(MATCH(B263,eq_code,0)),"Équipe inconnue",IF(INDEX(eq_check,MATCH(B263,eq_code,0))&lt;&gt;"OK","Équipe à corriger dans Paramètres",IF(C263="","Poste manquant",IF(ISNA(MATCH(C263,po_code,0)),"Poste inconnu",IF(AND(E263&lt;&gt;"",ISNA(MATCH(E263,art_ref,0))),"Article inconnu",IF(IF(E263="",FALSE,INDEX(art_check,MATCH(E263,art_ref,0))&lt;&gt;"OK"),"Article à corriger (feuille Articles)",IF(COUNTIFS(sj_date,A263,sj_eq,B263,sj_po,C263)&gt;1,"Ligne en double (même jour, équipe et poste)",IF(OR(NOT(ISNUMBER(K263)),N(K263)&lt;=0,N(K263)&gt;1440),"Temps d'ouverture invalide",IF(OR(AND(G263&lt;&gt;"",NOT(ISNUMBER(G263))),N(G263)&lt;0,N(G263)&lt;&gt;INT(N(G263)),AND(H263&lt;&gt;"",NOT(ISNUMBER(H263))),N(H263)&lt;0,N(H263)&lt;&gt;INT(N(H263)),AND(I263&lt;&gt;"",NOT(ISNUMBER(I263))),N(I263)&lt;0,N(I263)&lt;&gt;INT(N(I263))),"Quantité invalide",IF(Q263&lt;=0,"Cadence manquante (poste ou article)",IF(M263&lt;=0,"Arrêts planifiés supérieurs au temps d'ouverture",IF(O263&lt;0,"Arrêts supérieurs au temps requis",IF(AND(P263&gt;0,O263=0),"Pièces déclarées sans temps de marche",IF(AND(P263=0,O263&gt;0),"Aucune pièce déclarée",IF(P263*60/Q263&gt;O263+0.001,"Cadence dépassée : vérifiez la cadence","OK"))))))))))))))))))</f>
        <v>OK</v>
      </c>
      <c r="AC263">
        <f>IF(OR(AB263="OK",AB263="Aucune pièce déclarée",AB263="Cadence dépassée : vérifiez la cadence"),1,0)</f>
        <v>1.0</v>
      </c>
      <c r="AD263">
        <f>IF(AND(AC263=1,A263&gt;=p_from,A263&lt;=p_to),1,0)</f>
        <v>1.0</v>
      </c>
      <c r="AE263">
        <f>IF(AD263=1,IF(COUNTIFS($A$6:A263,A263,$AD$6:AD263,1)=1,1,0),0)</f>
        <v>0.0</v>
      </c>
      <c r="AF263" t="str">
        <f>IF(AE263=1,COUNTIFS(sj_first,1,sj_date,"&lt;"&amp;A263)+1,"")</f>
        <v/>
      </c>
      <c r="AG263" t="str">
        <f>IF(AND(AD263=1,N(W263)&lt;p_alert),ROUND(W263,4),"")</f>
        <v/>
      </c>
      <c r="AH263" t="str">
        <f>IF(AG263="","",COUNTIF(sj_akey,"&lt;"&amp;AG263)+COUNTIF($AG$6:AG263,AG263))</f>
        <v/>
      </c>
    </row>
    <row r="264">
      <c r="A264" s="51" t="n">
        <v>46321</v>
      </c>
      <c r="B264" s="52" t="inlineStr">
        <is>
          <t>Matin</t>
        </is>
      </c>
      <c r="C264" s="52" t="inlineStr">
        <is>
          <t>SOUD</t>
        </is>
      </c>
      <c r="D264" s="53" t="inlineStr">
        <is>
          <t>OF-2610-187</t>
        </is>
      </c>
      <c r="E264" s="53" t="inlineStr">
        <is>
          <t>BRA-SUS-02</t>
        </is>
      </c>
      <c r="F264" s="54" t="n"/>
      <c r="G264" s="54" t="n">
        <v>116</v>
      </c>
      <c r="H264" s="54" t="n">
        <v>3</v>
      </c>
      <c r="I264" s="54" t="n">
        <v>0</v>
      </c>
      <c r="J264" s="53" t="n"/>
      <c r="K264" s="55">
        <f>IF(COUNTA(A264:I264)=0,"",IF(F264="",IFERROR(INDEX(eq_dur,MATCH(B264,eq_code,0)),""),F264))</f>
        <v>480.0</v>
      </c>
      <c r="L264" s="55">
        <f>IF(ISNUMBER(K264),N(IFERROR(INDEX(eq_pause,MATCH(B264,eq_code,0)),0))+SUMIFS(st_min,st_date,A264,st_eq,B264,st_po,C264,st_type,"Planifié"),"")</f>
        <v>30.0</v>
      </c>
      <c r="M264" s="55">
        <f>IF(ISNUMBER(K264),K264-L264,"")</f>
        <v>450.0</v>
      </c>
      <c r="N264" s="55">
        <f>IF(ISNUMBER(K264),SUMIFS(st_min,st_date,A264,st_eq,B264,st_po,C264,st_type,"Non planifié"),"")</f>
        <v>28.0</v>
      </c>
      <c r="O264" s="55">
        <f>IF(ISNUMBER(K264),M264-N264,"")</f>
        <v>422.0</v>
      </c>
      <c r="P264" s="55">
        <f>IF(COUNTA(A264:I264)=0,"",N(G264)+N(H264)+N(I264))</f>
        <v>119.0</v>
      </c>
      <c r="Q264" s="56">
        <f>IF(COUNTA(A264:I264)=0,"",IF(N(IFERROR(INDEX(art_rate,MATCH(E264,art_ref,0)),0))&gt;0,N(IFERROR(INDEX(art_rate,MATCH(E264,art_ref,0)),0)),N(IFERROR(INDEX(po_rate,MATCH(C264,po_code,0)),0))))</f>
        <v>20.0</v>
      </c>
      <c r="R264" s="55">
        <f>IF(AC264=1,P264*60/Q264,"")</f>
        <v>357.0</v>
      </c>
      <c r="S264" s="55">
        <f>IF(AC264=1,N(G264)*60/Q264,"")</f>
        <v>348.0</v>
      </c>
      <c r="T264" s="57">
        <f>IF(AC264=1,O264/M264,"")</f>
        <v>0.937777777777778</v>
      </c>
      <c r="U264" s="57">
        <f>IF(AC264=1,IF(O264&gt;0,R264/O264,""),"")</f>
        <v>0.845971563981043</v>
      </c>
      <c r="V264" s="57">
        <f>IF(AC264=1,IF(P264&gt;0,N(G264)/P264,""),"")</f>
        <v>0.974789915966387</v>
      </c>
      <c r="W264" s="57">
        <f>IF(AC264=1,S264/M264,"")</f>
        <v>0.773333333333333</v>
      </c>
      <c r="X264" s="57">
        <f>IF(AC264=1,S264/K264,"")</f>
        <v>0.725</v>
      </c>
      <c r="Y264" s="58" t="str">
        <f>IF(W264="","",IF(W264&gt;=p_target,"Bon",IF(W264&gt;=p_alert,"À surveiller","Faible")))</f>
        <v>Bon</v>
      </c>
      <c r="Z264" s="58" t="str">
        <f>IF(W264="","",IF(MIN(IF(T264="",1,T264),IF(U264="",1,U264),IF(V264="",1,V264))&gt;=1,"Aucune",IF(IF(T264="",1,T264)&lt;=MIN(IF(U264="",1,U264),IF(V264="",1,V264)),"Disponibilité",IF(IF(U264="",1,U264)&lt;=IF(V264="",1,V264),"Performance","Qualité"))))</f>
        <v>Performance</v>
      </c>
      <c r="AA264" s="59">
        <f>IF(AC264=1,N(H264)*N(IFERROR(INDEX(art_cost,MATCH(E264,art_ref,0)),0)),"")</f>
        <v>714.0</v>
      </c>
      <c r="AB264" s="58" t="str">
        <f>IF(COUNTA(A264:I264)=0,"",IF(N(A264)&lt;=0,"Date manquante ou invalide",IF(B264="","Équipe manquante",IF(ISNA(MATCH(B264,eq_code,0)),"Équipe inconnue",IF(INDEX(eq_check,MATCH(B264,eq_code,0))&lt;&gt;"OK","Équipe à corriger dans Paramètres",IF(C264="","Poste manquant",IF(ISNA(MATCH(C264,po_code,0)),"Poste inconnu",IF(AND(E264&lt;&gt;"",ISNA(MATCH(E264,art_ref,0))),"Article inconnu",IF(IF(E264="",FALSE,INDEX(art_check,MATCH(E264,art_ref,0))&lt;&gt;"OK"),"Article à corriger (feuille Articles)",IF(COUNTIFS(sj_date,A264,sj_eq,B264,sj_po,C264)&gt;1,"Ligne en double (même jour, équipe et poste)",IF(OR(NOT(ISNUMBER(K264)),N(K264)&lt;=0,N(K264)&gt;1440),"Temps d'ouverture invalide",IF(OR(AND(G264&lt;&gt;"",NOT(ISNUMBER(G264))),N(G264)&lt;0,N(G264)&lt;&gt;INT(N(G264)),AND(H264&lt;&gt;"",NOT(ISNUMBER(H264))),N(H264)&lt;0,N(H264)&lt;&gt;INT(N(H264)),AND(I264&lt;&gt;"",NOT(ISNUMBER(I264))),N(I264)&lt;0,N(I264)&lt;&gt;INT(N(I264))),"Quantité invalide",IF(Q264&lt;=0,"Cadence manquante (poste ou article)",IF(M264&lt;=0,"Arrêts planifiés supérieurs au temps d'ouverture",IF(O264&lt;0,"Arrêts supérieurs au temps requis",IF(AND(P264&gt;0,O264=0),"Pièces déclarées sans temps de marche",IF(AND(P264=0,O264&gt;0),"Aucune pièce déclarée",IF(P264*60/Q264&gt;O264+0.001,"Cadence dépassée : vérifiez la cadence","OK"))))))))))))))))))</f>
        <v>OK</v>
      </c>
      <c r="AC264">
        <f>IF(OR(AB264="OK",AB264="Aucune pièce déclarée",AB264="Cadence dépassée : vérifiez la cadence"),1,0)</f>
        <v>1.0</v>
      </c>
      <c r="AD264">
        <f>IF(AND(AC264=1,A264&gt;=p_from,A264&lt;=p_to),1,0)</f>
        <v>1.0</v>
      </c>
      <c r="AE264">
        <f>IF(AD264=1,IF(COUNTIFS($A$6:A264,A264,$AD$6:AD264,1)=1,1,0),0)</f>
        <v>0.0</v>
      </c>
      <c r="AF264" t="str">
        <f>IF(AE264=1,COUNTIFS(sj_first,1,sj_date,"&lt;"&amp;A264)+1,"")</f>
        <v/>
      </c>
      <c r="AG264" t="str">
        <f>IF(AND(AD264=1,N(W264)&lt;p_alert),ROUND(W264,4),"")</f>
        <v/>
      </c>
      <c r="AH264" t="str">
        <f>IF(AG264="","",COUNTIF(sj_akey,"&lt;"&amp;AG264)+COUNTIF($AG$6:AG264,AG264))</f>
        <v/>
      </c>
    </row>
    <row r="265">
      <c r="A265" s="51" t="n">
        <v>46321</v>
      </c>
      <c r="B265" s="52" t="inlineStr">
        <is>
          <t>Après-midi</t>
        </is>
      </c>
      <c r="C265" s="52" t="inlineStr">
        <is>
          <t>SOUD</t>
        </is>
      </c>
      <c r="D265" s="53" t="inlineStr">
        <is>
          <t>OF-2610-169</t>
        </is>
      </c>
      <c r="E265" s="53" t="inlineStr">
        <is>
          <t>CHA-REM-01</t>
        </is>
      </c>
      <c r="F265" s="54" t="n"/>
      <c r="G265" s="54" t="n">
        <v>21</v>
      </c>
      <c r="H265" s="54" t="n">
        <v>0</v>
      </c>
      <c r="I265" s="54" t="n">
        <v>0</v>
      </c>
      <c r="J265" s="53" t="n"/>
      <c r="K265" s="55">
        <f>IF(COUNTA(A265:I265)=0,"",IF(F265="",IFERROR(INDEX(eq_dur,MATCH(B265,eq_code,0)),""),F265))</f>
        <v>480.0</v>
      </c>
      <c r="L265" s="55">
        <f>IF(ISNUMBER(K265),N(IFERROR(INDEX(eq_pause,MATCH(B265,eq_code,0)),0))+SUMIFS(st_min,st_date,A265,st_eq,B265,st_po,C265,st_type,"Planifié"),"")</f>
        <v>30.0</v>
      </c>
      <c r="M265" s="55">
        <f>IF(ISNUMBER(K265),K265-L265,"")</f>
        <v>450.0</v>
      </c>
      <c r="N265" s="55">
        <f>IF(ISNUMBER(K265),SUMIFS(st_min,st_date,A265,st_eq,B265,st_po,C265,st_type,"Non planifié"),"")</f>
        <v>8.0</v>
      </c>
      <c r="O265" s="55">
        <f>IF(ISNUMBER(K265),M265-N265,"")</f>
        <v>442.0</v>
      </c>
      <c r="P265" s="55">
        <f>IF(COUNTA(A265:I265)=0,"",N(G265)+N(H265)+N(I265))</f>
        <v>21.0</v>
      </c>
      <c r="Q265" s="56">
        <f>IF(COUNTA(A265:I265)=0,"",IF(N(IFERROR(INDEX(art_rate,MATCH(E265,art_ref,0)),0))&gt;0,N(IFERROR(INDEX(art_rate,MATCH(E265,art_ref,0)),0)),N(IFERROR(INDEX(po_rate,MATCH(C265,po_code,0)),0))))</f>
        <v>4.0</v>
      </c>
      <c r="R265" s="55">
        <f>IF(AC265=1,P265*60/Q265,"")</f>
        <v>315.0</v>
      </c>
      <c r="S265" s="55">
        <f>IF(AC265=1,N(G265)*60/Q265,"")</f>
        <v>315.0</v>
      </c>
      <c r="T265" s="57">
        <f>IF(AC265=1,O265/M265,"")</f>
        <v>0.982222222222222</v>
      </c>
      <c r="U265" s="57">
        <f>IF(AC265=1,IF(O265&gt;0,R265/O265,""),"")</f>
        <v>0.712669683257919</v>
      </c>
      <c r="V265" s="57">
        <f>IF(AC265=1,IF(P265&gt;0,N(G265)/P265,""),"")</f>
        <v>1.0</v>
      </c>
      <c r="W265" s="57">
        <f>IF(AC265=1,S265/M265,"")</f>
        <v>0.7</v>
      </c>
      <c r="X265" s="57">
        <f>IF(AC265=1,S265/K265,"")</f>
        <v>0.65625</v>
      </c>
      <c r="Y265" s="58" t="str">
        <f>IF(W265="","",IF(W265&gt;=p_target,"Bon",IF(W265&gt;=p_alert,"À surveiller","Faible")))</f>
        <v>À surveiller</v>
      </c>
      <c r="Z265" s="58" t="str">
        <f>IF(W265="","",IF(MIN(IF(T265="",1,T265),IF(U265="",1,U265),IF(V265="",1,V265))&gt;=1,"Aucune",IF(IF(T265="",1,T265)&lt;=MIN(IF(U265="",1,U265),IF(V265="",1,V265)),"Disponibilité",IF(IF(U265="",1,U265)&lt;=IF(V265="",1,V265),"Performance","Qualité"))))</f>
        <v>Performance</v>
      </c>
      <c r="AA265" s="59">
        <f>IF(AC265=1,N(H265)*N(IFERROR(INDEX(art_cost,MATCH(E265,art_ref,0)),0)),"")</f>
        <v>0.0</v>
      </c>
      <c r="AB265" s="58" t="str">
        <f>IF(COUNTA(A265:I265)=0,"",IF(N(A265)&lt;=0,"Date manquante ou invalide",IF(B265="","Équipe manquante",IF(ISNA(MATCH(B265,eq_code,0)),"Équipe inconnue",IF(INDEX(eq_check,MATCH(B265,eq_code,0))&lt;&gt;"OK","Équipe à corriger dans Paramètres",IF(C265="","Poste manquant",IF(ISNA(MATCH(C265,po_code,0)),"Poste inconnu",IF(AND(E265&lt;&gt;"",ISNA(MATCH(E265,art_ref,0))),"Article inconnu",IF(IF(E265="",FALSE,INDEX(art_check,MATCH(E265,art_ref,0))&lt;&gt;"OK"),"Article à corriger (feuille Articles)",IF(COUNTIFS(sj_date,A265,sj_eq,B265,sj_po,C265)&gt;1,"Ligne en double (même jour, équipe et poste)",IF(OR(NOT(ISNUMBER(K265)),N(K265)&lt;=0,N(K265)&gt;1440),"Temps d'ouverture invalide",IF(OR(AND(G265&lt;&gt;"",NOT(ISNUMBER(G265))),N(G265)&lt;0,N(G265)&lt;&gt;INT(N(G265)),AND(H265&lt;&gt;"",NOT(ISNUMBER(H265))),N(H265)&lt;0,N(H265)&lt;&gt;INT(N(H265)),AND(I265&lt;&gt;"",NOT(ISNUMBER(I265))),N(I265)&lt;0,N(I265)&lt;&gt;INT(N(I265))),"Quantité invalide",IF(Q265&lt;=0,"Cadence manquante (poste ou article)",IF(M265&lt;=0,"Arrêts planifiés supérieurs au temps d'ouverture",IF(O265&lt;0,"Arrêts supérieurs au temps requis",IF(AND(P265&gt;0,O265=0),"Pièces déclarées sans temps de marche",IF(AND(P265=0,O265&gt;0),"Aucune pièce déclarée",IF(P265*60/Q265&gt;O265+0.001,"Cadence dépassée : vérifiez la cadence","OK"))))))))))))))))))</f>
        <v>OK</v>
      </c>
      <c r="AC265">
        <f>IF(OR(AB265="OK",AB265="Aucune pièce déclarée",AB265="Cadence dépassée : vérifiez la cadence"),1,0)</f>
        <v>1.0</v>
      </c>
      <c r="AD265">
        <f>IF(AND(AC265=1,A265&gt;=p_from,A265&lt;=p_to),1,0)</f>
        <v>1.0</v>
      </c>
      <c r="AE265">
        <f>IF(AD265=1,IF(COUNTIFS($A$6:A265,A265,$AD$6:AD265,1)=1,1,0),0)</f>
        <v>0.0</v>
      </c>
      <c r="AF265" t="str">
        <f>IF(AE265=1,COUNTIFS(sj_first,1,sj_date,"&lt;"&amp;A265)+1,"")</f>
        <v/>
      </c>
      <c r="AG265" t="str">
        <f>IF(AND(AD265=1,N(W265)&lt;p_alert),ROUND(W265,4),"")</f>
        <v/>
      </c>
      <c r="AH265" t="str">
        <f>IF(AG265="","",COUNTIF(sj_akey,"&lt;"&amp;AG265)+COUNTIF($AG$6:AG265,AG265))</f>
        <v/>
      </c>
    </row>
    <row r="266">
      <c r="A266" s="51" t="n">
        <v>46322</v>
      </c>
      <c r="B266" s="52" t="inlineStr">
        <is>
          <t>Matin</t>
        </is>
      </c>
      <c r="C266" s="52" t="inlineStr">
        <is>
          <t>TOUR1</t>
        </is>
      </c>
      <c r="D266" s="53" t="inlineStr">
        <is>
          <t>OF-2610-188</t>
        </is>
      </c>
      <c r="E266" s="53" t="inlineStr">
        <is>
          <t>BAG-BR-32</t>
        </is>
      </c>
      <c r="F266" s="54" t="n"/>
      <c r="G266" s="54" t="n">
        <v>241</v>
      </c>
      <c r="H266" s="54" t="n">
        <v>5</v>
      </c>
      <c r="I266" s="54" t="n">
        <v>0</v>
      </c>
      <c r="J266" s="53" t="n"/>
      <c r="K266" s="55">
        <f>IF(COUNTA(A266:I266)=0,"",IF(F266="",IFERROR(INDEX(eq_dur,MATCH(B266,eq_code,0)),""),F266))</f>
        <v>480.0</v>
      </c>
      <c r="L266" s="55">
        <f>IF(ISNUMBER(K266),N(IFERROR(INDEX(eq_pause,MATCH(B266,eq_code,0)),0))+SUMIFS(st_min,st_date,A266,st_eq,B266,st_po,C266,st_type,"Planifié"),"")</f>
        <v>30.0</v>
      </c>
      <c r="M266" s="55">
        <f>IF(ISNUMBER(K266),K266-L266,"")</f>
        <v>450.0</v>
      </c>
      <c r="N266" s="55">
        <f>IF(ISNUMBER(K266),SUMIFS(st_min,st_date,A266,st_eq,B266,st_po,C266,st_type,"Non planifié"),"")</f>
        <v>53.0</v>
      </c>
      <c r="O266" s="55">
        <f>IF(ISNUMBER(K266),M266-N266,"")</f>
        <v>397.0</v>
      </c>
      <c r="P266" s="55">
        <f>IF(COUNTA(A266:I266)=0,"",N(G266)+N(H266)+N(I266))</f>
        <v>246.0</v>
      </c>
      <c r="Q266" s="56">
        <f>IF(COUNTA(A266:I266)=0,"",IF(N(IFERROR(INDEX(art_rate,MATCH(E266,art_ref,0)),0))&gt;0,N(IFERROR(INDEX(art_rate,MATCH(E266,art_ref,0)),0)),N(IFERROR(INDEX(po_rate,MATCH(C266,po_code,0)),0))))</f>
        <v>40.0</v>
      </c>
      <c r="R266" s="55">
        <f>IF(AC266=1,P266*60/Q266,"")</f>
        <v>369.0</v>
      </c>
      <c r="S266" s="55">
        <f>IF(AC266=1,N(G266)*60/Q266,"")</f>
        <v>361.5</v>
      </c>
      <c r="T266" s="57">
        <f>IF(AC266=1,O266/M266,"")</f>
        <v>0.882222222222222</v>
      </c>
      <c r="U266" s="57">
        <f>IF(AC266=1,IF(O266&gt;0,R266/O266,""),"")</f>
        <v>0.929471032745592</v>
      </c>
      <c r="V266" s="57">
        <f>IF(AC266=1,IF(P266&gt;0,N(G266)/P266,""),"")</f>
        <v>0.979674796747967</v>
      </c>
      <c r="W266" s="57">
        <f>IF(AC266=1,S266/M266,"")</f>
        <v>0.803333333333333</v>
      </c>
      <c r="X266" s="57">
        <f>IF(AC266=1,S266/K266,"")</f>
        <v>0.753125</v>
      </c>
      <c r="Y266" s="58" t="str">
        <f>IF(W266="","",IF(W266&gt;=p_target,"Bon",IF(W266&gt;=p_alert,"À surveiller","Faible")))</f>
        <v>Bon</v>
      </c>
      <c r="Z266" s="58" t="str">
        <f>IF(W266="","",IF(MIN(IF(T266="",1,T266),IF(U266="",1,U266),IF(V266="",1,V266))&gt;=1,"Aucune",IF(IF(T266="",1,T266)&lt;=MIN(IF(U266="",1,U266),IF(V266="",1,V266)),"Disponibilité",IF(IF(U266="",1,U266)&lt;=IF(V266="",1,V266),"Performance","Qualité"))))</f>
        <v>Disponibilité</v>
      </c>
      <c r="AA266" s="59">
        <f>IF(AC266=1,N(H266)*N(IFERROR(INDEX(art_cost,MATCH(E266,art_ref,0)),0)),"")</f>
        <v>260.0</v>
      </c>
      <c r="AB266" s="58" t="str">
        <f>IF(COUNTA(A266:I266)=0,"",IF(N(A266)&lt;=0,"Date manquante ou invalide",IF(B266="","Équipe manquante",IF(ISNA(MATCH(B266,eq_code,0)),"Équipe inconnue",IF(INDEX(eq_check,MATCH(B266,eq_code,0))&lt;&gt;"OK","Équipe à corriger dans Paramètres",IF(C266="","Poste manquant",IF(ISNA(MATCH(C266,po_code,0)),"Poste inconnu",IF(AND(E266&lt;&gt;"",ISNA(MATCH(E266,art_ref,0))),"Article inconnu",IF(IF(E266="",FALSE,INDEX(art_check,MATCH(E266,art_ref,0))&lt;&gt;"OK"),"Article à corriger (feuille Articles)",IF(COUNTIFS(sj_date,A266,sj_eq,B266,sj_po,C266)&gt;1,"Ligne en double (même jour, équipe et poste)",IF(OR(NOT(ISNUMBER(K266)),N(K266)&lt;=0,N(K266)&gt;1440),"Temps d'ouverture invalide",IF(OR(AND(G266&lt;&gt;"",NOT(ISNUMBER(G266))),N(G266)&lt;0,N(G266)&lt;&gt;INT(N(G266)),AND(H266&lt;&gt;"",NOT(ISNUMBER(H266))),N(H266)&lt;0,N(H266)&lt;&gt;INT(N(H266)),AND(I266&lt;&gt;"",NOT(ISNUMBER(I266))),N(I266)&lt;0,N(I266)&lt;&gt;INT(N(I266))),"Quantité invalide",IF(Q266&lt;=0,"Cadence manquante (poste ou article)",IF(M266&lt;=0,"Arrêts planifiés supérieurs au temps d'ouverture",IF(O266&lt;0,"Arrêts supérieurs au temps requis",IF(AND(P266&gt;0,O266=0),"Pièces déclarées sans temps de marche",IF(AND(P266=0,O266&gt;0),"Aucune pièce déclarée",IF(P266*60/Q266&gt;O266+0.001,"Cadence dépassée : vérifiez la cadence","OK"))))))))))))))))))</f>
        <v>OK</v>
      </c>
      <c r="AC266">
        <f>IF(OR(AB266="OK",AB266="Aucune pièce déclarée",AB266="Cadence dépassée : vérifiez la cadence"),1,0)</f>
        <v>1.0</v>
      </c>
      <c r="AD266">
        <f>IF(AND(AC266=1,A266&gt;=p_from,A266&lt;=p_to),1,0)</f>
        <v>1.0</v>
      </c>
      <c r="AE266">
        <f>IF(AD266=1,IF(COUNTIFS($A$6:A266,A266,$AD$6:AD266,1)=1,1,0),0)</f>
        <v>1.0</v>
      </c>
      <c r="AF266">
        <f>IF(AE266=1,COUNTIFS(sj_first,1,sj_date,"&lt;"&amp;A266)+1,"")</f>
        <v>27.0</v>
      </c>
      <c r="AG266" t="str">
        <f>IF(AND(AD266=1,N(W266)&lt;p_alert),ROUND(W266,4),"")</f>
        <v/>
      </c>
      <c r="AH266" t="str">
        <f>IF(AG266="","",COUNTIF(sj_akey,"&lt;"&amp;AG266)+COUNTIF($AG$6:AG266,AG266))</f>
        <v/>
      </c>
    </row>
    <row r="267">
      <c r="A267" s="51" t="n">
        <v>46322</v>
      </c>
      <c r="B267" s="52" t="inlineStr">
        <is>
          <t>Après-midi</t>
        </is>
      </c>
      <c r="C267" s="52" t="inlineStr">
        <is>
          <t>TOUR1</t>
        </is>
      </c>
      <c r="D267" s="53" t="inlineStr">
        <is>
          <t>OF-2610-189</t>
        </is>
      </c>
      <c r="E267" s="53" t="inlineStr">
        <is>
          <t>BAG-BR-32</t>
        </is>
      </c>
      <c r="F267" s="54" t="n"/>
      <c r="G267" s="54" t="n">
        <v>244</v>
      </c>
      <c r="H267" s="54" t="n">
        <v>5</v>
      </c>
      <c r="I267" s="54" t="n">
        <v>0</v>
      </c>
      <c r="J267" s="53" t="n"/>
      <c r="K267" s="55">
        <f>IF(COUNTA(A267:I267)=0,"",IF(F267="",IFERROR(INDEX(eq_dur,MATCH(B267,eq_code,0)),""),F267))</f>
        <v>480.0</v>
      </c>
      <c r="L267" s="55">
        <f>IF(ISNUMBER(K267),N(IFERROR(INDEX(eq_pause,MATCH(B267,eq_code,0)),0))+SUMIFS(st_min,st_date,A267,st_eq,B267,st_po,C267,st_type,"Planifié"),"")</f>
        <v>30.0</v>
      </c>
      <c r="M267" s="55">
        <f>IF(ISNUMBER(K267),K267-L267,"")</f>
        <v>450.0</v>
      </c>
      <c r="N267" s="55">
        <f>IF(ISNUMBER(K267),SUMIFS(st_min,st_date,A267,st_eq,B267,st_po,C267,st_type,"Non planifié"),"")</f>
        <v>29.0</v>
      </c>
      <c r="O267" s="55">
        <f>IF(ISNUMBER(K267),M267-N267,"")</f>
        <v>421.0</v>
      </c>
      <c r="P267" s="55">
        <f>IF(COUNTA(A267:I267)=0,"",N(G267)+N(H267)+N(I267))</f>
        <v>249.0</v>
      </c>
      <c r="Q267" s="56">
        <f>IF(COUNTA(A267:I267)=0,"",IF(N(IFERROR(INDEX(art_rate,MATCH(E267,art_ref,0)),0))&gt;0,N(IFERROR(INDEX(art_rate,MATCH(E267,art_ref,0)),0)),N(IFERROR(INDEX(po_rate,MATCH(C267,po_code,0)),0))))</f>
        <v>40.0</v>
      </c>
      <c r="R267" s="55">
        <f>IF(AC267=1,P267*60/Q267,"")</f>
        <v>373.5</v>
      </c>
      <c r="S267" s="55">
        <f>IF(AC267=1,N(G267)*60/Q267,"")</f>
        <v>366.0</v>
      </c>
      <c r="T267" s="57">
        <f>IF(AC267=1,O267/M267,"")</f>
        <v>0.935555555555556</v>
      </c>
      <c r="U267" s="57">
        <f>IF(AC267=1,IF(O267&gt;0,R267/O267,""),"")</f>
        <v>0.887173396674584</v>
      </c>
      <c r="V267" s="57">
        <f>IF(AC267=1,IF(P267&gt;0,N(G267)/P267,""),"")</f>
        <v>0.979919678714859</v>
      </c>
      <c r="W267" s="57">
        <f>IF(AC267=1,S267/M267,"")</f>
        <v>0.813333333333333</v>
      </c>
      <c r="X267" s="57">
        <f>IF(AC267=1,S267/K267,"")</f>
        <v>0.7625</v>
      </c>
      <c r="Y267" s="58" t="str">
        <f>IF(W267="","",IF(W267&gt;=p_target,"Bon",IF(W267&gt;=p_alert,"À surveiller","Faible")))</f>
        <v>Bon</v>
      </c>
      <c r="Z267" s="58" t="str">
        <f>IF(W267="","",IF(MIN(IF(T267="",1,T267),IF(U267="",1,U267),IF(V267="",1,V267))&gt;=1,"Aucune",IF(IF(T267="",1,T267)&lt;=MIN(IF(U267="",1,U267),IF(V267="",1,V267)),"Disponibilité",IF(IF(U267="",1,U267)&lt;=IF(V267="",1,V267),"Performance","Qualité"))))</f>
        <v>Performance</v>
      </c>
      <c r="AA267" s="59">
        <f>IF(AC267=1,N(H267)*N(IFERROR(INDEX(art_cost,MATCH(E267,art_ref,0)),0)),"")</f>
        <v>260.0</v>
      </c>
      <c r="AB267" s="58" t="str">
        <f>IF(COUNTA(A267:I267)=0,"",IF(N(A267)&lt;=0,"Date manquante ou invalide",IF(B267="","Équipe manquante",IF(ISNA(MATCH(B267,eq_code,0)),"Équipe inconnue",IF(INDEX(eq_check,MATCH(B267,eq_code,0))&lt;&gt;"OK","Équipe à corriger dans Paramètres",IF(C267="","Poste manquant",IF(ISNA(MATCH(C267,po_code,0)),"Poste inconnu",IF(AND(E267&lt;&gt;"",ISNA(MATCH(E267,art_ref,0))),"Article inconnu",IF(IF(E267="",FALSE,INDEX(art_check,MATCH(E267,art_ref,0))&lt;&gt;"OK"),"Article à corriger (feuille Articles)",IF(COUNTIFS(sj_date,A267,sj_eq,B267,sj_po,C267)&gt;1,"Ligne en double (même jour, équipe et poste)",IF(OR(NOT(ISNUMBER(K267)),N(K267)&lt;=0,N(K267)&gt;1440),"Temps d'ouverture invalide",IF(OR(AND(G267&lt;&gt;"",NOT(ISNUMBER(G267))),N(G267)&lt;0,N(G267)&lt;&gt;INT(N(G267)),AND(H267&lt;&gt;"",NOT(ISNUMBER(H267))),N(H267)&lt;0,N(H267)&lt;&gt;INT(N(H267)),AND(I267&lt;&gt;"",NOT(ISNUMBER(I267))),N(I267)&lt;0,N(I267)&lt;&gt;INT(N(I267))),"Quantité invalide",IF(Q267&lt;=0,"Cadence manquante (poste ou article)",IF(M267&lt;=0,"Arrêts planifiés supérieurs au temps d'ouverture",IF(O267&lt;0,"Arrêts supérieurs au temps requis",IF(AND(P267&gt;0,O267=0),"Pièces déclarées sans temps de marche",IF(AND(P267=0,O267&gt;0),"Aucune pièce déclarée",IF(P267*60/Q267&gt;O267+0.001,"Cadence dépassée : vérifiez la cadence","OK"))))))))))))))))))</f>
        <v>OK</v>
      </c>
      <c r="AC267">
        <f>IF(OR(AB267="OK",AB267="Aucune pièce déclarée",AB267="Cadence dépassée : vérifiez la cadence"),1,0)</f>
        <v>1.0</v>
      </c>
      <c r="AD267">
        <f>IF(AND(AC267=1,A267&gt;=p_from,A267&lt;=p_to),1,0)</f>
        <v>1.0</v>
      </c>
      <c r="AE267">
        <f>IF(AD267=1,IF(COUNTIFS($A$6:A267,A267,$AD$6:AD267,1)=1,1,0),0)</f>
        <v>0.0</v>
      </c>
      <c r="AF267" t="str">
        <f>IF(AE267=1,COUNTIFS(sj_first,1,sj_date,"&lt;"&amp;A267)+1,"")</f>
        <v/>
      </c>
      <c r="AG267" t="str">
        <f>IF(AND(AD267=1,N(W267)&lt;p_alert),ROUND(W267,4),"")</f>
        <v/>
      </c>
      <c r="AH267" t="str">
        <f>IF(AG267="","",COUNTIF(sj_akey,"&lt;"&amp;AG267)+COUNTIF($AG$6:AG267,AG267))</f>
        <v/>
      </c>
    </row>
    <row r="268">
      <c r="A268" s="51" t="n">
        <v>46322</v>
      </c>
      <c r="B268" s="52" t="inlineStr">
        <is>
          <t>Matin</t>
        </is>
      </c>
      <c r="C268" s="52" t="inlineStr">
        <is>
          <t>TOUR2</t>
        </is>
      </c>
      <c r="D268" s="53" t="inlineStr">
        <is>
          <t>OF-2610-164</t>
        </is>
      </c>
      <c r="E268" s="53" t="inlineStr">
        <is>
          <t>AXE-R20</t>
        </is>
      </c>
      <c r="F268" s="54" t="n"/>
      <c r="G268" s="54" t="n">
        <v>190</v>
      </c>
      <c r="H268" s="54" t="n">
        <v>5</v>
      </c>
      <c r="I268" s="54" t="n">
        <v>0</v>
      </c>
      <c r="J268" s="53" t="n"/>
      <c r="K268" s="55">
        <f>IF(COUNTA(A268:I268)=0,"",IF(F268="",IFERROR(INDEX(eq_dur,MATCH(B268,eq_code,0)),""),F268))</f>
        <v>480.0</v>
      </c>
      <c r="L268" s="55">
        <f>IF(ISNUMBER(K268),N(IFERROR(INDEX(eq_pause,MATCH(B268,eq_code,0)),0))+SUMIFS(st_min,st_date,A268,st_eq,B268,st_po,C268,st_type,"Planifié"),"")</f>
        <v>30.0</v>
      </c>
      <c r="M268" s="55">
        <f>IF(ISNUMBER(K268),K268-L268,"")</f>
        <v>450.0</v>
      </c>
      <c r="N268" s="55">
        <f>IF(ISNUMBER(K268),SUMIFS(st_min,st_date,A268,st_eq,B268,st_po,C268,st_type,"Non planifié"),"")</f>
        <v>0.0</v>
      </c>
      <c r="O268" s="55">
        <f>IF(ISNUMBER(K268),M268-N268,"")</f>
        <v>450.0</v>
      </c>
      <c r="P268" s="55">
        <f>IF(COUNTA(A268:I268)=0,"",N(G268)+N(H268)+N(I268))</f>
        <v>195.0</v>
      </c>
      <c r="Q268" s="56">
        <f>IF(COUNTA(A268:I268)=0,"",IF(N(IFERROR(INDEX(art_rate,MATCH(E268,art_ref,0)),0))&gt;0,N(IFERROR(INDEX(art_rate,MATCH(E268,art_ref,0)),0)),N(IFERROR(INDEX(po_rate,MATCH(C268,po_code,0)),0))))</f>
        <v>30.0</v>
      </c>
      <c r="R268" s="55">
        <f>IF(AC268=1,P268*60/Q268,"")</f>
        <v>390.0</v>
      </c>
      <c r="S268" s="55">
        <f>IF(AC268=1,N(G268)*60/Q268,"")</f>
        <v>380.0</v>
      </c>
      <c r="T268" s="57">
        <f>IF(AC268=1,O268/M268,"")</f>
        <v>1.0</v>
      </c>
      <c r="U268" s="57">
        <f>IF(AC268=1,IF(O268&gt;0,R268/O268,""),"")</f>
        <v>0.866666666666667</v>
      </c>
      <c r="V268" s="57">
        <f>IF(AC268=1,IF(P268&gt;0,N(G268)/P268,""),"")</f>
        <v>0.974358974358974</v>
      </c>
      <c r="W268" s="57">
        <f>IF(AC268=1,S268/M268,"")</f>
        <v>0.844444444444444</v>
      </c>
      <c r="X268" s="57">
        <f>IF(AC268=1,S268/K268,"")</f>
        <v>0.791666666666667</v>
      </c>
      <c r="Y268" s="58" t="str">
        <f>IF(W268="","",IF(W268&gt;=p_target,"Bon",IF(W268&gt;=p_alert,"À surveiller","Faible")))</f>
        <v>Bon</v>
      </c>
      <c r="Z268" s="58" t="str">
        <f>IF(W268="","",IF(MIN(IF(T268="",1,T268),IF(U268="",1,U268),IF(V268="",1,V268))&gt;=1,"Aucune",IF(IF(T268="",1,T268)&lt;=MIN(IF(U268="",1,U268),IF(V268="",1,V268)),"Disponibilité",IF(IF(U268="",1,U268)&lt;=IF(V268="",1,V268),"Performance","Qualité"))))</f>
        <v>Performance</v>
      </c>
      <c r="AA268" s="59">
        <f>IF(AC268=1,N(H268)*N(IFERROR(INDEX(art_cost,MATCH(E268,art_ref,0)),0)),"")</f>
        <v>192.5</v>
      </c>
      <c r="AB268" s="58" t="str">
        <f>IF(COUNTA(A268:I268)=0,"",IF(N(A268)&lt;=0,"Date manquante ou invalide",IF(B268="","Équipe manquante",IF(ISNA(MATCH(B268,eq_code,0)),"Équipe inconnue",IF(INDEX(eq_check,MATCH(B268,eq_code,0))&lt;&gt;"OK","Équipe à corriger dans Paramètres",IF(C268="","Poste manquant",IF(ISNA(MATCH(C268,po_code,0)),"Poste inconnu",IF(AND(E268&lt;&gt;"",ISNA(MATCH(E268,art_ref,0))),"Article inconnu",IF(IF(E268="",FALSE,INDEX(art_check,MATCH(E268,art_ref,0))&lt;&gt;"OK"),"Article à corriger (feuille Articles)",IF(COUNTIFS(sj_date,A268,sj_eq,B268,sj_po,C268)&gt;1,"Ligne en double (même jour, équipe et poste)",IF(OR(NOT(ISNUMBER(K268)),N(K268)&lt;=0,N(K268)&gt;1440),"Temps d'ouverture invalide",IF(OR(AND(G268&lt;&gt;"",NOT(ISNUMBER(G268))),N(G268)&lt;0,N(G268)&lt;&gt;INT(N(G268)),AND(H268&lt;&gt;"",NOT(ISNUMBER(H268))),N(H268)&lt;0,N(H268)&lt;&gt;INT(N(H268)),AND(I268&lt;&gt;"",NOT(ISNUMBER(I268))),N(I268)&lt;0,N(I268)&lt;&gt;INT(N(I268))),"Quantité invalide",IF(Q268&lt;=0,"Cadence manquante (poste ou article)",IF(M268&lt;=0,"Arrêts planifiés supérieurs au temps d'ouverture",IF(O268&lt;0,"Arrêts supérieurs au temps requis",IF(AND(P268&gt;0,O268=0),"Pièces déclarées sans temps de marche",IF(AND(P268=0,O268&gt;0),"Aucune pièce déclarée",IF(P268*60/Q268&gt;O268+0.001,"Cadence dépassée : vérifiez la cadence","OK"))))))))))))))))))</f>
        <v>OK</v>
      </c>
      <c r="AC268">
        <f>IF(OR(AB268="OK",AB268="Aucune pièce déclarée",AB268="Cadence dépassée : vérifiez la cadence"),1,0)</f>
        <v>1.0</v>
      </c>
      <c r="AD268">
        <f>IF(AND(AC268=1,A268&gt;=p_from,A268&lt;=p_to),1,0)</f>
        <v>1.0</v>
      </c>
      <c r="AE268">
        <f>IF(AD268=1,IF(COUNTIFS($A$6:A268,A268,$AD$6:AD268,1)=1,1,0),0)</f>
        <v>0.0</v>
      </c>
      <c r="AF268" t="str">
        <f>IF(AE268=1,COUNTIFS(sj_first,1,sj_date,"&lt;"&amp;A268)+1,"")</f>
        <v/>
      </c>
      <c r="AG268" t="str">
        <f>IF(AND(AD268=1,N(W268)&lt;p_alert),ROUND(W268,4),"")</f>
        <v/>
      </c>
      <c r="AH268" t="str">
        <f>IF(AG268="","",COUNTIF(sj_akey,"&lt;"&amp;AG268)+COUNTIF($AG$6:AG268,AG268))</f>
        <v/>
      </c>
    </row>
    <row r="269">
      <c r="A269" s="51" t="n">
        <v>46322</v>
      </c>
      <c r="B269" s="52" t="inlineStr">
        <is>
          <t>Après-midi</t>
        </is>
      </c>
      <c r="C269" s="52" t="inlineStr">
        <is>
          <t>TOUR2</t>
        </is>
      </c>
      <c r="D269" s="53" t="inlineStr">
        <is>
          <t>OF-2610-175</t>
        </is>
      </c>
      <c r="E269" s="53" t="inlineStr">
        <is>
          <t>ENT-12</t>
        </is>
      </c>
      <c r="F269" s="54" t="n"/>
      <c r="G269" s="54" t="n">
        <v>337</v>
      </c>
      <c r="H269" s="54" t="n">
        <v>8</v>
      </c>
      <c r="I269" s="54" t="n">
        <v>3</v>
      </c>
      <c r="J269" s="53" t="n"/>
      <c r="K269" s="55">
        <f>IF(COUNTA(A269:I269)=0,"",IF(F269="",IFERROR(INDEX(eq_dur,MATCH(B269,eq_code,0)),""),F269))</f>
        <v>480.0</v>
      </c>
      <c r="L269" s="55">
        <f>IF(ISNUMBER(K269),N(IFERROR(INDEX(eq_pause,MATCH(B269,eq_code,0)),0))+SUMIFS(st_min,st_date,A269,st_eq,B269,st_po,C269,st_type,"Planifié"),"")</f>
        <v>30.0</v>
      </c>
      <c r="M269" s="55">
        <f>IF(ISNUMBER(K269),K269-L269,"")</f>
        <v>450.0</v>
      </c>
      <c r="N269" s="55">
        <f>IF(ISNUMBER(K269),SUMIFS(st_min,st_date,A269,st_eq,B269,st_po,C269,st_type,"Non planifié"),"")</f>
        <v>26.0</v>
      </c>
      <c r="O269" s="55">
        <f>IF(ISNUMBER(K269),M269-N269,"")</f>
        <v>424.0</v>
      </c>
      <c r="P269" s="55">
        <f>IF(COUNTA(A269:I269)=0,"",N(G269)+N(H269)+N(I269))</f>
        <v>348.0</v>
      </c>
      <c r="Q269" s="56">
        <f>IF(COUNTA(A269:I269)=0,"",IF(N(IFERROR(INDEX(art_rate,MATCH(E269,art_ref,0)),0))&gt;0,N(IFERROR(INDEX(art_rate,MATCH(E269,art_ref,0)),0)),N(IFERROR(INDEX(po_rate,MATCH(C269,po_code,0)),0))))</f>
        <v>55.0</v>
      </c>
      <c r="R269" s="55">
        <f>IF(AC269=1,P269*60/Q269,"")</f>
        <v>379.636363636364</v>
      </c>
      <c r="S269" s="55">
        <f>IF(AC269=1,N(G269)*60/Q269,"")</f>
        <v>367.636363636364</v>
      </c>
      <c r="T269" s="57">
        <f>IF(AC269=1,O269/M269,"")</f>
        <v>0.942222222222222</v>
      </c>
      <c r="U269" s="57">
        <f>IF(AC269=1,IF(O269&gt;0,R269/O269,""),"")</f>
        <v>0.895368782161235</v>
      </c>
      <c r="V269" s="57">
        <f>IF(AC269=1,IF(P269&gt;0,N(G269)/P269,""),"")</f>
        <v>0.968390804597701</v>
      </c>
      <c r="W269" s="57">
        <f>IF(AC269=1,S269/M269,"")</f>
        <v>0.816969696969697</v>
      </c>
      <c r="X269" s="57">
        <f>IF(AC269=1,S269/K269,"")</f>
        <v>0.765909090909091</v>
      </c>
      <c r="Y269" s="58" t="str">
        <f>IF(W269="","",IF(W269&gt;=p_target,"Bon",IF(W269&gt;=p_alert,"À surveiller","Faible")))</f>
        <v>Bon</v>
      </c>
      <c r="Z269" s="58" t="str">
        <f>IF(W269="","",IF(MIN(IF(T269="",1,T269),IF(U269="",1,U269),IF(V269="",1,V269))&gt;=1,"Aucune",IF(IF(T269="",1,T269)&lt;=MIN(IF(U269="",1,U269),IF(V269="",1,V269)),"Disponibilité",IF(IF(U269="",1,U269)&lt;=IF(V269="",1,V269),"Performance","Qualité"))))</f>
        <v>Performance</v>
      </c>
      <c r="AA269" s="59">
        <f>IF(AC269=1,N(H269)*N(IFERROR(INDEX(art_cost,MATCH(E269,art_ref,0)),0)),"")</f>
        <v>54.4</v>
      </c>
      <c r="AB269" s="58" t="str">
        <f>IF(COUNTA(A269:I269)=0,"",IF(N(A269)&lt;=0,"Date manquante ou invalide",IF(B269="","Équipe manquante",IF(ISNA(MATCH(B269,eq_code,0)),"Équipe inconnue",IF(INDEX(eq_check,MATCH(B269,eq_code,0))&lt;&gt;"OK","Équipe à corriger dans Paramètres",IF(C269="","Poste manquant",IF(ISNA(MATCH(C269,po_code,0)),"Poste inconnu",IF(AND(E269&lt;&gt;"",ISNA(MATCH(E269,art_ref,0))),"Article inconnu",IF(IF(E269="",FALSE,INDEX(art_check,MATCH(E269,art_ref,0))&lt;&gt;"OK"),"Article à corriger (feuille Articles)",IF(COUNTIFS(sj_date,A269,sj_eq,B269,sj_po,C269)&gt;1,"Ligne en double (même jour, équipe et poste)",IF(OR(NOT(ISNUMBER(K269)),N(K269)&lt;=0,N(K269)&gt;1440),"Temps d'ouverture invalide",IF(OR(AND(G269&lt;&gt;"",NOT(ISNUMBER(G269))),N(G269)&lt;0,N(G269)&lt;&gt;INT(N(G269)),AND(H269&lt;&gt;"",NOT(ISNUMBER(H269))),N(H269)&lt;0,N(H269)&lt;&gt;INT(N(H269)),AND(I269&lt;&gt;"",NOT(ISNUMBER(I269))),N(I269)&lt;0,N(I269)&lt;&gt;INT(N(I269))),"Quantité invalide",IF(Q269&lt;=0,"Cadence manquante (poste ou article)",IF(M269&lt;=0,"Arrêts planifiés supérieurs au temps d'ouverture",IF(O269&lt;0,"Arrêts supérieurs au temps requis",IF(AND(P269&gt;0,O269=0),"Pièces déclarées sans temps de marche",IF(AND(P269=0,O269&gt;0),"Aucune pièce déclarée",IF(P269*60/Q269&gt;O269+0.001,"Cadence dépassée : vérifiez la cadence","OK"))))))))))))))))))</f>
        <v>OK</v>
      </c>
      <c r="AC269">
        <f>IF(OR(AB269="OK",AB269="Aucune pièce déclarée",AB269="Cadence dépassée : vérifiez la cadence"),1,0)</f>
        <v>1.0</v>
      </c>
      <c r="AD269">
        <f>IF(AND(AC269=1,A269&gt;=p_from,A269&lt;=p_to),1,0)</f>
        <v>1.0</v>
      </c>
      <c r="AE269">
        <f>IF(AD269=1,IF(COUNTIFS($A$6:A269,A269,$AD$6:AD269,1)=1,1,0),0)</f>
        <v>0.0</v>
      </c>
      <c r="AF269" t="str">
        <f>IF(AE269=1,COUNTIFS(sj_first,1,sj_date,"&lt;"&amp;A269)+1,"")</f>
        <v/>
      </c>
      <c r="AG269" t="str">
        <f>IF(AND(AD269=1,N(W269)&lt;p_alert),ROUND(W269,4),"")</f>
        <v/>
      </c>
      <c r="AH269" t="str">
        <f>IF(AG269="","",COUNTIF(sj_akey,"&lt;"&amp;AG269)+COUNTIF($AG$6:AG269,AG269))</f>
        <v/>
      </c>
    </row>
    <row r="270">
      <c r="A270" s="51" t="n">
        <v>46322</v>
      </c>
      <c r="B270" s="52" t="inlineStr">
        <is>
          <t>Matin</t>
        </is>
      </c>
      <c r="C270" s="52" t="inlineStr">
        <is>
          <t>USIN</t>
        </is>
      </c>
      <c r="D270" s="53" t="inlineStr">
        <is>
          <t>OF-2610-186</t>
        </is>
      </c>
      <c r="E270" s="53" t="inlineStr">
        <is>
          <t>FLA-PL-150</t>
        </is>
      </c>
      <c r="F270" s="54" t="n"/>
      <c r="G270" s="54" t="n">
        <v>67</v>
      </c>
      <c r="H270" s="54" t="n">
        <v>1</v>
      </c>
      <c r="I270" s="54" t="n">
        <v>0</v>
      </c>
      <c r="J270" s="53" t="n"/>
      <c r="K270" s="55">
        <f>IF(COUNTA(A270:I270)=0,"",IF(F270="",IFERROR(INDEX(eq_dur,MATCH(B270,eq_code,0)),""),F270))</f>
        <v>480.0</v>
      </c>
      <c r="L270" s="55">
        <f>IF(ISNUMBER(K270),N(IFERROR(INDEX(eq_pause,MATCH(B270,eq_code,0)),0))+SUMIFS(st_min,st_date,A270,st_eq,B270,st_po,C270,st_type,"Planifié"),"")</f>
        <v>30.0</v>
      </c>
      <c r="M270" s="55">
        <f>IF(ISNUMBER(K270),K270-L270,"")</f>
        <v>450.0</v>
      </c>
      <c r="N270" s="55">
        <f>IF(ISNUMBER(K270),SUMIFS(st_min,st_date,A270,st_eq,B270,st_po,C270,st_type,"Non planifié"),"")</f>
        <v>87.0</v>
      </c>
      <c r="O270" s="55">
        <f>IF(ISNUMBER(K270),M270-N270,"")</f>
        <v>363.0</v>
      </c>
      <c r="P270" s="55">
        <f>IF(COUNTA(A270:I270)=0,"",N(G270)+N(H270)+N(I270))</f>
        <v>68.0</v>
      </c>
      <c r="Q270" s="56">
        <f>IF(COUNTA(A270:I270)=0,"",IF(N(IFERROR(INDEX(art_rate,MATCH(E270,art_ref,0)),0))&gt;0,N(IFERROR(INDEX(art_rate,MATCH(E270,art_ref,0)),0)),N(IFERROR(INDEX(po_rate,MATCH(C270,po_code,0)),0))))</f>
        <v>12.0</v>
      </c>
      <c r="R270" s="55">
        <f>IF(AC270=1,P270*60/Q270,"")</f>
        <v>340.0</v>
      </c>
      <c r="S270" s="55">
        <f>IF(AC270=1,N(G270)*60/Q270,"")</f>
        <v>335.0</v>
      </c>
      <c r="T270" s="57">
        <f>IF(AC270=1,O270/M270,"")</f>
        <v>0.806666666666667</v>
      </c>
      <c r="U270" s="57">
        <f>IF(AC270=1,IF(O270&gt;0,R270/O270,""),"")</f>
        <v>0.9366391184573</v>
      </c>
      <c r="V270" s="57">
        <f>IF(AC270=1,IF(P270&gt;0,N(G270)/P270,""),"")</f>
        <v>0.985294117647059</v>
      </c>
      <c r="W270" s="57">
        <f>IF(AC270=1,S270/M270,"")</f>
        <v>0.744444444444445</v>
      </c>
      <c r="X270" s="57">
        <f>IF(AC270=1,S270/K270,"")</f>
        <v>0.697916666666667</v>
      </c>
      <c r="Y270" s="58" t="str">
        <f>IF(W270="","",IF(W270&gt;=p_target,"Bon",IF(W270&gt;=p_alert,"À surveiller","Faible")))</f>
        <v>À surveiller</v>
      </c>
      <c r="Z270" s="58" t="str">
        <f>IF(W270="","",IF(MIN(IF(T270="",1,T270),IF(U270="",1,U270),IF(V270="",1,V270))&gt;=1,"Aucune",IF(IF(T270="",1,T270)&lt;=MIN(IF(U270="",1,U270),IF(V270="",1,V270)),"Disponibilité",IF(IF(U270="",1,U270)&lt;=IF(V270="",1,V270),"Performance","Qualité"))))</f>
        <v>Disponibilité</v>
      </c>
      <c r="AA270" s="59">
        <f>IF(AC270=1,N(H270)*N(IFERROR(INDEX(art_cost,MATCH(E270,art_ref,0)),0)),"")</f>
        <v>145.0</v>
      </c>
      <c r="AB270" s="58" t="str">
        <f>IF(COUNTA(A270:I270)=0,"",IF(N(A270)&lt;=0,"Date manquante ou invalide",IF(B270="","Équipe manquante",IF(ISNA(MATCH(B270,eq_code,0)),"Équipe inconnue",IF(INDEX(eq_check,MATCH(B270,eq_code,0))&lt;&gt;"OK","Équipe à corriger dans Paramètres",IF(C270="","Poste manquant",IF(ISNA(MATCH(C270,po_code,0)),"Poste inconnu",IF(AND(E270&lt;&gt;"",ISNA(MATCH(E270,art_ref,0))),"Article inconnu",IF(IF(E270="",FALSE,INDEX(art_check,MATCH(E270,art_ref,0))&lt;&gt;"OK"),"Article à corriger (feuille Articles)",IF(COUNTIFS(sj_date,A270,sj_eq,B270,sj_po,C270)&gt;1,"Ligne en double (même jour, équipe et poste)",IF(OR(NOT(ISNUMBER(K270)),N(K270)&lt;=0,N(K270)&gt;1440),"Temps d'ouverture invalide",IF(OR(AND(G270&lt;&gt;"",NOT(ISNUMBER(G270))),N(G270)&lt;0,N(G270)&lt;&gt;INT(N(G270)),AND(H270&lt;&gt;"",NOT(ISNUMBER(H270))),N(H270)&lt;0,N(H270)&lt;&gt;INT(N(H270)),AND(I270&lt;&gt;"",NOT(ISNUMBER(I270))),N(I270)&lt;0,N(I270)&lt;&gt;INT(N(I270))),"Quantité invalide",IF(Q270&lt;=0,"Cadence manquante (poste ou article)",IF(M270&lt;=0,"Arrêts planifiés supérieurs au temps d'ouverture",IF(O270&lt;0,"Arrêts supérieurs au temps requis",IF(AND(P270&gt;0,O270=0),"Pièces déclarées sans temps de marche",IF(AND(P270=0,O270&gt;0),"Aucune pièce déclarée",IF(P270*60/Q270&gt;O270+0.001,"Cadence dépassée : vérifiez la cadence","OK"))))))))))))))))))</f>
        <v>OK</v>
      </c>
      <c r="AC270">
        <f>IF(OR(AB270="OK",AB270="Aucune pièce déclarée",AB270="Cadence dépassée : vérifiez la cadence"),1,0)</f>
        <v>1.0</v>
      </c>
      <c r="AD270">
        <f>IF(AND(AC270=1,A270&gt;=p_from,A270&lt;=p_to),1,0)</f>
        <v>1.0</v>
      </c>
      <c r="AE270">
        <f>IF(AD270=1,IF(COUNTIFS($A$6:A270,A270,$AD$6:AD270,1)=1,1,0),0)</f>
        <v>0.0</v>
      </c>
      <c r="AF270" t="str">
        <f>IF(AE270=1,COUNTIFS(sj_first,1,sj_date,"&lt;"&amp;A270)+1,"")</f>
        <v/>
      </c>
      <c r="AG270" t="str">
        <f>IF(AND(AD270=1,N(W270)&lt;p_alert),ROUND(W270,4),"")</f>
        <v/>
      </c>
      <c r="AH270" t="str">
        <f>IF(AG270="","",COUNTIF(sj_akey,"&lt;"&amp;AG270)+COUNTIF($AG$6:AG270,AG270))</f>
        <v/>
      </c>
    </row>
    <row r="271">
      <c r="A271" s="51" t="n">
        <v>46322</v>
      </c>
      <c r="B271" s="52" t="inlineStr">
        <is>
          <t>Après-midi</t>
        </is>
      </c>
      <c r="C271" s="52" t="inlineStr">
        <is>
          <t>USIN</t>
        </is>
      </c>
      <c r="D271" s="53" t="inlineStr">
        <is>
          <t>OF-2610-190</t>
        </is>
      </c>
      <c r="E271" s="53" t="inlineStr">
        <is>
          <t>FLA-PL-150</t>
        </is>
      </c>
      <c r="F271" s="54" t="n"/>
      <c r="G271" s="54" t="n">
        <v>60</v>
      </c>
      <c r="H271" s="54" t="n">
        <v>0</v>
      </c>
      <c r="I271" s="54" t="n">
        <v>0</v>
      </c>
      <c r="J271" s="53" t="n"/>
      <c r="K271" s="55">
        <f>IF(COUNTA(A271:I271)=0,"",IF(F271="",IFERROR(INDEX(eq_dur,MATCH(B271,eq_code,0)),""),F271))</f>
        <v>480.0</v>
      </c>
      <c r="L271" s="55">
        <f>IF(ISNUMBER(K271),N(IFERROR(INDEX(eq_pause,MATCH(B271,eq_code,0)),0))+SUMIFS(st_min,st_date,A271,st_eq,B271,st_po,C271,st_type,"Planifié"),"")</f>
        <v>30.0</v>
      </c>
      <c r="M271" s="55">
        <f>IF(ISNUMBER(K271),K271-L271,"")</f>
        <v>450.0</v>
      </c>
      <c r="N271" s="55">
        <f>IF(ISNUMBER(K271),SUMIFS(st_min,st_date,A271,st_eq,B271,st_po,C271,st_type,"Non planifié"),"")</f>
        <v>98.0</v>
      </c>
      <c r="O271" s="55">
        <f>IF(ISNUMBER(K271),M271-N271,"")</f>
        <v>352.0</v>
      </c>
      <c r="P271" s="55">
        <f>IF(COUNTA(A271:I271)=0,"",N(G271)+N(H271)+N(I271))</f>
        <v>60.0</v>
      </c>
      <c r="Q271" s="56">
        <f>IF(COUNTA(A271:I271)=0,"",IF(N(IFERROR(INDEX(art_rate,MATCH(E271,art_ref,0)),0))&gt;0,N(IFERROR(INDEX(art_rate,MATCH(E271,art_ref,0)),0)),N(IFERROR(INDEX(po_rate,MATCH(C271,po_code,0)),0))))</f>
        <v>12.0</v>
      </c>
      <c r="R271" s="55">
        <f>IF(AC271=1,P271*60/Q271,"")</f>
        <v>300.0</v>
      </c>
      <c r="S271" s="55">
        <f>IF(AC271=1,N(G271)*60/Q271,"")</f>
        <v>300.0</v>
      </c>
      <c r="T271" s="57">
        <f>IF(AC271=1,O271/M271,"")</f>
        <v>0.782222222222222</v>
      </c>
      <c r="U271" s="57">
        <f>IF(AC271=1,IF(O271&gt;0,R271/O271,""),"")</f>
        <v>0.852272727272727</v>
      </c>
      <c r="V271" s="57">
        <f>IF(AC271=1,IF(P271&gt;0,N(G271)/P271,""),"")</f>
        <v>1.0</v>
      </c>
      <c r="W271" s="57">
        <f>IF(AC271=1,S271/M271,"")</f>
        <v>0.666666666666667</v>
      </c>
      <c r="X271" s="57">
        <f>IF(AC271=1,S271/K271,"")</f>
        <v>0.625</v>
      </c>
      <c r="Y271" s="58" t="str">
        <f>IF(W271="","",IF(W271&gt;=p_target,"Bon",IF(W271&gt;=p_alert,"À surveiller","Faible")))</f>
        <v>À surveiller</v>
      </c>
      <c r="Z271" s="58" t="str">
        <f>IF(W271="","",IF(MIN(IF(T271="",1,T271),IF(U271="",1,U271),IF(V271="",1,V271))&gt;=1,"Aucune",IF(IF(T271="",1,T271)&lt;=MIN(IF(U271="",1,U271),IF(V271="",1,V271)),"Disponibilité",IF(IF(U271="",1,U271)&lt;=IF(V271="",1,V271),"Performance","Qualité"))))</f>
        <v>Disponibilité</v>
      </c>
      <c r="AA271" s="59">
        <f>IF(AC271=1,N(H271)*N(IFERROR(INDEX(art_cost,MATCH(E271,art_ref,0)),0)),"")</f>
        <v>0.0</v>
      </c>
      <c r="AB271" s="58" t="str">
        <f>IF(COUNTA(A271:I271)=0,"",IF(N(A271)&lt;=0,"Date manquante ou invalide",IF(B271="","Équipe manquante",IF(ISNA(MATCH(B271,eq_code,0)),"Équipe inconnue",IF(INDEX(eq_check,MATCH(B271,eq_code,0))&lt;&gt;"OK","Équipe à corriger dans Paramètres",IF(C271="","Poste manquant",IF(ISNA(MATCH(C271,po_code,0)),"Poste inconnu",IF(AND(E271&lt;&gt;"",ISNA(MATCH(E271,art_ref,0))),"Article inconnu",IF(IF(E271="",FALSE,INDEX(art_check,MATCH(E271,art_ref,0))&lt;&gt;"OK"),"Article à corriger (feuille Articles)",IF(COUNTIFS(sj_date,A271,sj_eq,B271,sj_po,C271)&gt;1,"Ligne en double (même jour, équipe et poste)",IF(OR(NOT(ISNUMBER(K271)),N(K271)&lt;=0,N(K271)&gt;1440),"Temps d'ouverture invalide",IF(OR(AND(G271&lt;&gt;"",NOT(ISNUMBER(G271))),N(G271)&lt;0,N(G271)&lt;&gt;INT(N(G271)),AND(H271&lt;&gt;"",NOT(ISNUMBER(H271))),N(H271)&lt;0,N(H271)&lt;&gt;INT(N(H271)),AND(I271&lt;&gt;"",NOT(ISNUMBER(I271))),N(I271)&lt;0,N(I271)&lt;&gt;INT(N(I271))),"Quantité invalide",IF(Q271&lt;=0,"Cadence manquante (poste ou article)",IF(M271&lt;=0,"Arrêts planifiés supérieurs au temps d'ouverture",IF(O271&lt;0,"Arrêts supérieurs au temps requis",IF(AND(P271&gt;0,O271=0),"Pièces déclarées sans temps de marche",IF(AND(P271=0,O271&gt;0),"Aucune pièce déclarée",IF(P271*60/Q271&gt;O271+0.001,"Cadence dépassée : vérifiez la cadence","OK"))))))))))))))))))</f>
        <v>OK</v>
      </c>
      <c r="AC271">
        <f>IF(OR(AB271="OK",AB271="Aucune pièce déclarée",AB271="Cadence dépassée : vérifiez la cadence"),1,0)</f>
        <v>1.0</v>
      </c>
      <c r="AD271">
        <f>IF(AND(AC271=1,A271&gt;=p_from,A271&lt;=p_to),1,0)</f>
        <v>1.0</v>
      </c>
      <c r="AE271">
        <f>IF(AD271=1,IF(COUNTIFS($A$6:A271,A271,$AD$6:AD271,1)=1,1,0),0)</f>
        <v>0.0</v>
      </c>
      <c r="AF271" t="str">
        <f>IF(AE271=1,COUNTIFS(sj_first,1,sj_date,"&lt;"&amp;A271)+1,"")</f>
        <v/>
      </c>
      <c r="AG271" t="str">
        <f>IF(AND(AD271=1,N(W271)&lt;p_alert),ROUND(W271,4),"")</f>
        <v/>
      </c>
      <c r="AH271" t="str">
        <f>IF(AG271="","",COUNTIF(sj_akey,"&lt;"&amp;AG271)+COUNTIF($AG$6:AG271,AG271))</f>
        <v/>
      </c>
    </row>
    <row r="272">
      <c r="A272" s="51" t="n">
        <v>46322</v>
      </c>
      <c r="B272" s="52" t="inlineStr">
        <is>
          <t>Matin</t>
        </is>
      </c>
      <c r="C272" s="52" t="inlineStr">
        <is>
          <t>PRESSE</t>
        </is>
      </c>
      <c r="D272" s="53" t="inlineStr">
        <is>
          <t>OF-2610-183</t>
        </is>
      </c>
      <c r="E272" s="53" t="inlineStr">
        <is>
          <t>RON-M10</t>
        </is>
      </c>
      <c r="F272" s="54" t="n"/>
      <c r="G272" s="54" t="n">
        <v>3901</v>
      </c>
      <c r="H272" s="54" t="n">
        <v>97</v>
      </c>
      <c r="I272" s="54" t="n">
        <v>51</v>
      </c>
      <c r="J272" s="53" t="n"/>
      <c r="K272" s="55">
        <f>IF(COUNTA(A272:I272)=0,"",IF(F272="",IFERROR(INDEX(eq_dur,MATCH(B272,eq_code,0)),""),F272))</f>
        <v>480.0</v>
      </c>
      <c r="L272" s="55">
        <f>IF(ISNUMBER(K272),N(IFERROR(INDEX(eq_pause,MATCH(B272,eq_code,0)),0))+SUMIFS(st_min,st_date,A272,st_eq,B272,st_po,C272,st_type,"Planifié"),"")</f>
        <v>30.0</v>
      </c>
      <c r="M272" s="55">
        <f>IF(ISNUMBER(K272),K272-L272,"")</f>
        <v>450.0</v>
      </c>
      <c r="N272" s="55">
        <f>IF(ISNUMBER(K272),SUMIFS(st_min,st_date,A272,st_eq,B272,st_po,C272,st_type,"Non planifié"),"")</f>
        <v>0.0</v>
      </c>
      <c r="O272" s="55">
        <f>IF(ISNUMBER(K272),M272-N272,"")</f>
        <v>450.0</v>
      </c>
      <c r="P272" s="55">
        <f>IF(COUNTA(A272:I272)=0,"",N(G272)+N(H272)+N(I272))</f>
        <v>4049.0</v>
      </c>
      <c r="Q272" s="56">
        <f>IF(COUNTA(A272:I272)=0,"",IF(N(IFERROR(INDEX(art_rate,MATCH(E272,art_ref,0)),0))&gt;0,N(IFERROR(INDEX(art_rate,MATCH(E272,art_ref,0)),0)),N(IFERROR(INDEX(po_rate,MATCH(C272,po_code,0)),0))))</f>
        <v>600.0</v>
      </c>
      <c r="R272" s="55">
        <f>IF(AC272=1,P272*60/Q272,"")</f>
        <v>404.9</v>
      </c>
      <c r="S272" s="55">
        <f>IF(AC272=1,N(G272)*60/Q272,"")</f>
        <v>390.1</v>
      </c>
      <c r="T272" s="57">
        <f>IF(AC272=1,O272/M272,"")</f>
        <v>1.0</v>
      </c>
      <c r="U272" s="57">
        <f>IF(AC272=1,IF(O272&gt;0,R272/O272,""),"")</f>
        <v>0.899777777777778</v>
      </c>
      <c r="V272" s="57">
        <f>IF(AC272=1,IF(P272&gt;0,N(G272)/P272,""),"")</f>
        <v>0.963447764880217</v>
      </c>
      <c r="W272" s="57">
        <f>IF(AC272=1,S272/M272,"")</f>
        <v>0.866888888888889</v>
      </c>
      <c r="X272" s="57">
        <f>IF(AC272=1,S272/K272,"")</f>
        <v>0.812708333333333</v>
      </c>
      <c r="Y272" s="58" t="str">
        <f>IF(W272="","",IF(W272&gt;=p_target,"Bon",IF(W272&gt;=p_alert,"À surveiller","Faible")))</f>
        <v>Bon</v>
      </c>
      <c r="Z272" s="58" t="str">
        <f>IF(W272="","",IF(MIN(IF(T272="",1,T272),IF(U272="",1,U272),IF(V272="",1,V272))&gt;=1,"Aucune",IF(IF(T272="",1,T272)&lt;=MIN(IF(U272="",1,U272),IF(V272="",1,V272)),"Disponibilité",IF(IF(U272="",1,U272)&lt;=IF(V272="",1,V272),"Performance","Qualité"))))</f>
        <v>Performance</v>
      </c>
      <c r="AA272" s="59">
        <f>IF(AC272=1,N(H272)*N(IFERROR(INDEX(art_cost,MATCH(E272,art_ref,0)),0)),"")</f>
        <v>87.3</v>
      </c>
      <c r="AB272" s="58" t="str">
        <f>IF(COUNTA(A272:I272)=0,"",IF(N(A272)&lt;=0,"Date manquante ou invalide",IF(B272="","Équipe manquante",IF(ISNA(MATCH(B272,eq_code,0)),"Équipe inconnue",IF(INDEX(eq_check,MATCH(B272,eq_code,0))&lt;&gt;"OK","Équipe à corriger dans Paramètres",IF(C272="","Poste manquant",IF(ISNA(MATCH(C272,po_code,0)),"Poste inconnu",IF(AND(E272&lt;&gt;"",ISNA(MATCH(E272,art_ref,0))),"Article inconnu",IF(IF(E272="",FALSE,INDEX(art_check,MATCH(E272,art_ref,0))&lt;&gt;"OK"),"Article à corriger (feuille Articles)",IF(COUNTIFS(sj_date,A272,sj_eq,B272,sj_po,C272)&gt;1,"Ligne en double (même jour, équipe et poste)",IF(OR(NOT(ISNUMBER(K272)),N(K272)&lt;=0,N(K272)&gt;1440),"Temps d'ouverture invalide",IF(OR(AND(G272&lt;&gt;"",NOT(ISNUMBER(G272))),N(G272)&lt;0,N(G272)&lt;&gt;INT(N(G272)),AND(H272&lt;&gt;"",NOT(ISNUMBER(H272))),N(H272)&lt;0,N(H272)&lt;&gt;INT(N(H272)),AND(I272&lt;&gt;"",NOT(ISNUMBER(I272))),N(I272)&lt;0,N(I272)&lt;&gt;INT(N(I272))),"Quantité invalide",IF(Q272&lt;=0,"Cadence manquante (poste ou article)",IF(M272&lt;=0,"Arrêts planifiés supérieurs au temps d'ouverture",IF(O272&lt;0,"Arrêts supérieurs au temps requis",IF(AND(P272&gt;0,O272=0),"Pièces déclarées sans temps de marche",IF(AND(P272=0,O272&gt;0),"Aucune pièce déclarée",IF(P272*60/Q272&gt;O272+0.001,"Cadence dépassée : vérifiez la cadence","OK"))))))))))))))))))</f>
        <v>OK</v>
      </c>
      <c r="AC272">
        <f>IF(OR(AB272="OK",AB272="Aucune pièce déclarée",AB272="Cadence dépassée : vérifiez la cadence"),1,0)</f>
        <v>1.0</v>
      </c>
      <c r="AD272">
        <f>IF(AND(AC272=1,A272&gt;=p_from,A272&lt;=p_to),1,0)</f>
        <v>1.0</v>
      </c>
      <c r="AE272">
        <f>IF(AD272=1,IF(COUNTIFS($A$6:A272,A272,$AD$6:AD272,1)=1,1,0),0)</f>
        <v>0.0</v>
      </c>
      <c r="AF272" t="str">
        <f>IF(AE272=1,COUNTIFS(sj_first,1,sj_date,"&lt;"&amp;A272)+1,"")</f>
        <v/>
      </c>
      <c r="AG272" t="str">
        <f>IF(AND(AD272=1,N(W272)&lt;p_alert),ROUND(W272,4),"")</f>
        <v/>
      </c>
      <c r="AH272" t="str">
        <f>IF(AG272="","",COUNTIF(sj_akey,"&lt;"&amp;AG272)+COUNTIF($AG$6:AG272,AG272))</f>
        <v/>
      </c>
    </row>
    <row r="273">
      <c r="A273" s="51" t="n">
        <v>46322</v>
      </c>
      <c r="B273" s="52" t="inlineStr">
        <is>
          <t>Journée</t>
        </is>
      </c>
      <c r="C273" s="52" t="inlineStr">
        <is>
          <t>PLIE</t>
        </is>
      </c>
      <c r="D273" s="53" t="inlineStr">
        <is>
          <t>OF-2610-180</t>
        </is>
      </c>
      <c r="E273" s="53" t="inlineStr">
        <is>
          <t>GAR-SUP-02</t>
        </is>
      </c>
      <c r="F273" s="54" t="n"/>
      <c r="G273" s="54" t="n">
        <v>653</v>
      </c>
      <c r="H273" s="54" t="n">
        <v>5</v>
      </c>
      <c r="I273" s="54" t="n">
        <v>5</v>
      </c>
      <c r="J273" s="53" t="n"/>
      <c r="K273" s="55">
        <f>IF(COUNTA(A273:I273)=0,"",IF(F273="",IFERROR(INDEX(eq_dur,MATCH(B273,eq_code,0)),""),F273))</f>
        <v>540.0</v>
      </c>
      <c r="L273" s="55">
        <f>IF(ISNUMBER(K273),N(IFERROR(INDEX(eq_pause,MATCH(B273,eq_code,0)),0))+SUMIFS(st_min,st_date,A273,st_eq,B273,st_po,C273,st_type,"Planifié"),"")</f>
        <v>60.0</v>
      </c>
      <c r="M273" s="55">
        <f>IF(ISNUMBER(K273),K273-L273,"")</f>
        <v>480.0</v>
      </c>
      <c r="N273" s="55">
        <f>IF(ISNUMBER(K273),SUMIFS(st_min,st_date,A273,st_eq,B273,st_po,C273,st_type,"Non planifié"),"")</f>
        <v>58.0</v>
      </c>
      <c r="O273" s="55">
        <f>IF(ISNUMBER(K273),M273-N273,"")</f>
        <v>422.0</v>
      </c>
      <c r="P273" s="55">
        <f>IF(COUNTA(A273:I273)=0,"",N(G273)+N(H273)+N(I273))</f>
        <v>663.0</v>
      </c>
      <c r="Q273" s="56">
        <f>IF(COUNTA(A273:I273)=0,"",IF(N(IFERROR(INDEX(art_rate,MATCH(E273,art_ref,0)),0))&gt;0,N(IFERROR(INDEX(art_rate,MATCH(E273,art_ref,0)),0)),N(IFERROR(INDEX(po_rate,MATCH(C273,po_code,0)),0))))</f>
        <v>110.0</v>
      </c>
      <c r="R273" s="55">
        <f>IF(AC273=1,P273*60/Q273,"")</f>
        <v>361.636363636364</v>
      </c>
      <c r="S273" s="55">
        <f>IF(AC273=1,N(G273)*60/Q273,"")</f>
        <v>356.181818181818</v>
      </c>
      <c r="T273" s="57">
        <f>IF(AC273=1,O273/M273,"")</f>
        <v>0.879166666666667</v>
      </c>
      <c r="U273" s="57">
        <f>IF(AC273=1,IF(O273&gt;0,R273/O273,""),"")</f>
        <v>0.856958207669108</v>
      </c>
      <c r="V273" s="57">
        <f>IF(AC273=1,IF(P273&gt;0,N(G273)/P273,""),"")</f>
        <v>0.984917043740573</v>
      </c>
      <c r="W273" s="57">
        <f>IF(AC273=1,S273/M273,"")</f>
        <v>0.742045454545455</v>
      </c>
      <c r="X273" s="57">
        <f>IF(AC273=1,S273/K273,"")</f>
        <v>0.65959595959596</v>
      </c>
      <c r="Y273" s="58" t="str">
        <f>IF(W273="","",IF(W273&gt;=p_target,"Bon",IF(W273&gt;=p_alert,"À surveiller","Faible")))</f>
        <v>À surveiller</v>
      </c>
      <c r="Z273" s="58" t="str">
        <f>IF(W273="","",IF(MIN(IF(T273="",1,T273),IF(U273="",1,U273),IF(V273="",1,V273))&gt;=1,"Aucune",IF(IF(T273="",1,T273)&lt;=MIN(IF(U273="",1,U273),IF(V273="",1,V273)),"Disponibilité",IF(IF(U273="",1,U273)&lt;=IF(V273="",1,V273),"Performance","Qualité"))))</f>
        <v>Performance</v>
      </c>
      <c r="AA273" s="59">
        <f>IF(AC273=1,N(H273)*N(IFERROR(INDEX(art_cost,MATCH(E273,art_ref,0)),0)),"")</f>
        <v>107.5</v>
      </c>
      <c r="AB273" s="58" t="str">
        <f>IF(COUNTA(A273:I273)=0,"",IF(N(A273)&lt;=0,"Date manquante ou invalide",IF(B273="","Équipe manquante",IF(ISNA(MATCH(B273,eq_code,0)),"Équipe inconnue",IF(INDEX(eq_check,MATCH(B273,eq_code,0))&lt;&gt;"OK","Équipe à corriger dans Paramètres",IF(C273="","Poste manquant",IF(ISNA(MATCH(C273,po_code,0)),"Poste inconnu",IF(AND(E273&lt;&gt;"",ISNA(MATCH(E273,art_ref,0))),"Article inconnu",IF(IF(E273="",FALSE,INDEX(art_check,MATCH(E273,art_ref,0))&lt;&gt;"OK"),"Article à corriger (feuille Articles)",IF(COUNTIFS(sj_date,A273,sj_eq,B273,sj_po,C273)&gt;1,"Ligne en double (même jour, équipe et poste)",IF(OR(NOT(ISNUMBER(K273)),N(K273)&lt;=0,N(K273)&gt;1440),"Temps d'ouverture invalide",IF(OR(AND(G273&lt;&gt;"",NOT(ISNUMBER(G273))),N(G273)&lt;0,N(G273)&lt;&gt;INT(N(G273)),AND(H273&lt;&gt;"",NOT(ISNUMBER(H273))),N(H273)&lt;0,N(H273)&lt;&gt;INT(N(H273)),AND(I273&lt;&gt;"",NOT(ISNUMBER(I273))),N(I273)&lt;0,N(I273)&lt;&gt;INT(N(I273))),"Quantité invalide",IF(Q273&lt;=0,"Cadence manquante (poste ou article)",IF(M273&lt;=0,"Arrêts planifiés supérieurs au temps d'ouverture",IF(O273&lt;0,"Arrêts supérieurs au temps requis",IF(AND(P273&gt;0,O273=0),"Pièces déclarées sans temps de marche",IF(AND(P273=0,O273&gt;0),"Aucune pièce déclarée",IF(P273*60/Q273&gt;O273+0.001,"Cadence dépassée : vérifiez la cadence","OK"))))))))))))))))))</f>
        <v>OK</v>
      </c>
      <c r="AC273">
        <f>IF(OR(AB273="OK",AB273="Aucune pièce déclarée",AB273="Cadence dépassée : vérifiez la cadence"),1,0)</f>
        <v>1.0</v>
      </c>
      <c r="AD273">
        <f>IF(AND(AC273=1,A273&gt;=p_from,A273&lt;=p_to),1,0)</f>
        <v>1.0</v>
      </c>
      <c r="AE273">
        <f>IF(AD273=1,IF(COUNTIFS($A$6:A273,A273,$AD$6:AD273,1)=1,1,0),0)</f>
        <v>0.0</v>
      </c>
      <c r="AF273" t="str">
        <f>IF(AE273=1,COUNTIFS(sj_first,1,sj_date,"&lt;"&amp;A273)+1,"")</f>
        <v/>
      </c>
      <c r="AG273" t="str">
        <f>IF(AND(AD273=1,N(W273)&lt;p_alert),ROUND(W273,4),"")</f>
        <v/>
      </c>
      <c r="AH273" t="str">
        <f>IF(AG273="","",COUNTIF(sj_akey,"&lt;"&amp;AG273)+COUNTIF($AG$6:AG273,AG273))</f>
        <v/>
      </c>
    </row>
    <row r="274">
      <c r="A274" s="51" t="n">
        <v>46322</v>
      </c>
      <c r="B274" s="52" t="inlineStr">
        <is>
          <t>Matin</t>
        </is>
      </c>
      <c r="C274" s="52" t="inlineStr">
        <is>
          <t>SOUD</t>
        </is>
      </c>
      <c r="D274" s="53" t="inlineStr">
        <is>
          <t>OF-2610-187</t>
        </is>
      </c>
      <c r="E274" s="53" t="inlineStr">
        <is>
          <t>BRA-SUS-02</t>
        </is>
      </c>
      <c r="F274" s="54" t="n"/>
      <c r="G274" s="54" t="n">
        <v>100</v>
      </c>
      <c r="H274" s="54" t="n">
        <v>3</v>
      </c>
      <c r="I274" s="54" t="n">
        <v>1</v>
      </c>
      <c r="J274" s="53" t="n"/>
      <c r="K274" s="55">
        <f>IF(COUNTA(A274:I274)=0,"",IF(F274="",IFERROR(INDEX(eq_dur,MATCH(B274,eq_code,0)),""),F274))</f>
        <v>480.0</v>
      </c>
      <c r="L274" s="55">
        <f>IF(ISNUMBER(K274),N(IFERROR(INDEX(eq_pause,MATCH(B274,eq_code,0)),0))+SUMIFS(st_min,st_date,A274,st_eq,B274,st_po,C274,st_type,"Planifié"),"")</f>
        <v>30.0</v>
      </c>
      <c r="M274" s="55">
        <f>IF(ISNUMBER(K274),K274-L274,"")</f>
        <v>450.0</v>
      </c>
      <c r="N274" s="55">
        <f>IF(ISNUMBER(K274),SUMIFS(st_min,st_date,A274,st_eq,B274,st_po,C274,st_type,"Non planifié"),"")</f>
        <v>71.0</v>
      </c>
      <c r="O274" s="55">
        <f>IF(ISNUMBER(K274),M274-N274,"")</f>
        <v>379.0</v>
      </c>
      <c r="P274" s="55">
        <f>IF(COUNTA(A274:I274)=0,"",N(G274)+N(H274)+N(I274))</f>
        <v>104.0</v>
      </c>
      <c r="Q274" s="56">
        <f>IF(COUNTA(A274:I274)=0,"",IF(N(IFERROR(INDEX(art_rate,MATCH(E274,art_ref,0)),0))&gt;0,N(IFERROR(INDEX(art_rate,MATCH(E274,art_ref,0)),0)),N(IFERROR(INDEX(po_rate,MATCH(C274,po_code,0)),0))))</f>
        <v>20.0</v>
      </c>
      <c r="R274" s="55">
        <f>IF(AC274=1,P274*60/Q274,"")</f>
        <v>312.0</v>
      </c>
      <c r="S274" s="55">
        <f>IF(AC274=1,N(G274)*60/Q274,"")</f>
        <v>300.0</v>
      </c>
      <c r="T274" s="57">
        <f>IF(AC274=1,O274/M274,"")</f>
        <v>0.842222222222222</v>
      </c>
      <c r="U274" s="57">
        <f>IF(AC274=1,IF(O274&gt;0,R274/O274,""),"")</f>
        <v>0.823218997361478</v>
      </c>
      <c r="V274" s="57">
        <f>IF(AC274=1,IF(P274&gt;0,N(G274)/P274,""),"")</f>
        <v>0.961538461538462</v>
      </c>
      <c r="W274" s="57">
        <f>IF(AC274=1,S274/M274,"")</f>
        <v>0.666666666666667</v>
      </c>
      <c r="X274" s="57">
        <f>IF(AC274=1,S274/K274,"")</f>
        <v>0.625</v>
      </c>
      <c r="Y274" s="58" t="str">
        <f>IF(W274="","",IF(W274&gt;=p_target,"Bon",IF(W274&gt;=p_alert,"À surveiller","Faible")))</f>
        <v>À surveiller</v>
      </c>
      <c r="Z274" s="58" t="str">
        <f>IF(W274="","",IF(MIN(IF(T274="",1,T274),IF(U274="",1,U274),IF(V274="",1,V274))&gt;=1,"Aucune",IF(IF(T274="",1,T274)&lt;=MIN(IF(U274="",1,U274),IF(V274="",1,V274)),"Disponibilité",IF(IF(U274="",1,U274)&lt;=IF(V274="",1,V274),"Performance","Qualité"))))</f>
        <v>Performance</v>
      </c>
      <c r="AA274" s="59">
        <f>IF(AC274=1,N(H274)*N(IFERROR(INDEX(art_cost,MATCH(E274,art_ref,0)),0)),"")</f>
        <v>714.0</v>
      </c>
      <c r="AB274" s="58" t="str">
        <f>IF(COUNTA(A274:I274)=0,"",IF(N(A274)&lt;=0,"Date manquante ou invalide",IF(B274="","Équipe manquante",IF(ISNA(MATCH(B274,eq_code,0)),"Équipe inconnue",IF(INDEX(eq_check,MATCH(B274,eq_code,0))&lt;&gt;"OK","Équipe à corriger dans Paramètres",IF(C274="","Poste manquant",IF(ISNA(MATCH(C274,po_code,0)),"Poste inconnu",IF(AND(E274&lt;&gt;"",ISNA(MATCH(E274,art_ref,0))),"Article inconnu",IF(IF(E274="",FALSE,INDEX(art_check,MATCH(E274,art_ref,0))&lt;&gt;"OK"),"Article à corriger (feuille Articles)",IF(COUNTIFS(sj_date,A274,sj_eq,B274,sj_po,C274)&gt;1,"Ligne en double (même jour, équipe et poste)",IF(OR(NOT(ISNUMBER(K274)),N(K274)&lt;=0,N(K274)&gt;1440),"Temps d'ouverture invalide",IF(OR(AND(G274&lt;&gt;"",NOT(ISNUMBER(G274))),N(G274)&lt;0,N(G274)&lt;&gt;INT(N(G274)),AND(H274&lt;&gt;"",NOT(ISNUMBER(H274))),N(H274)&lt;0,N(H274)&lt;&gt;INT(N(H274)),AND(I274&lt;&gt;"",NOT(ISNUMBER(I274))),N(I274)&lt;0,N(I274)&lt;&gt;INT(N(I274))),"Quantité invalide",IF(Q274&lt;=0,"Cadence manquante (poste ou article)",IF(M274&lt;=0,"Arrêts planifiés supérieurs au temps d'ouverture",IF(O274&lt;0,"Arrêts supérieurs au temps requis",IF(AND(P274&gt;0,O274=0),"Pièces déclarées sans temps de marche",IF(AND(P274=0,O274&gt;0),"Aucune pièce déclarée",IF(P274*60/Q274&gt;O274+0.001,"Cadence dépassée : vérifiez la cadence","OK"))))))))))))))))))</f>
        <v>OK</v>
      </c>
      <c r="AC274">
        <f>IF(OR(AB274="OK",AB274="Aucune pièce déclarée",AB274="Cadence dépassée : vérifiez la cadence"),1,0)</f>
        <v>1.0</v>
      </c>
      <c r="AD274">
        <f>IF(AND(AC274=1,A274&gt;=p_from,A274&lt;=p_to),1,0)</f>
        <v>1.0</v>
      </c>
      <c r="AE274">
        <f>IF(AD274=1,IF(COUNTIFS($A$6:A274,A274,$AD$6:AD274,1)=1,1,0),0)</f>
        <v>0.0</v>
      </c>
      <c r="AF274" t="str">
        <f>IF(AE274=1,COUNTIFS(sj_first,1,sj_date,"&lt;"&amp;A274)+1,"")</f>
        <v/>
      </c>
      <c r="AG274" t="str">
        <f>IF(AND(AD274=1,N(W274)&lt;p_alert),ROUND(W274,4),"")</f>
        <v/>
      </c>
      <c r="AH274" t="str">
        <f>IF(AG274="","",COUNTIF(sj_akey,"&lt;"&amp;AG274)+COUNTIF($AG$6:AG274,AG274))</f>
        <v/>
      </c>
    </row>
    <row r="275">
      <c r="A275" s="51" t="n">
        <v>46322</v>
      </c>
      <c r="B275" s="52" t="inlineStr">
        <is>
          <t>Après-midi</t>
        </is>
      </c>
      <c r="C275" s="52" t="inlineStr">
        <is>
          <t>SOUD</t>
        </is>
      </c>
      <c r="D275" s="53" t="inlineStr">
        <is>
          <t>OF-2610-169</t>
        </is>
      </c>
      <c r="E275" s="53" t="inlineStr">
        <is>
          <t>CHA-REM-01</t>
        </is>
      </c>
      <c r="F275" s="54" t="n"/>
      <c r="G275" s="54" t="n">
        <v>17</v>
      </c>
      <c r="H275" s="54" t="n">
        <v>0</v>
      </c>
      <c r="I275" s="54" t="n">
        <v>0</v>
      </c>
      <c r="J275" s="53" t="n"/>
      <c r="K275" s="55">
        <f>IF(COUNTA(A275:I275)=0,"",IF(F275="",IFERROR(INDEX(eq_dur,MATCH(B275,eq_code,0)),""),F275))</f>
        <v>480.0</v>
      </c>
      <c r="L275" s="55">
        <f>IF(ISNUMBER(K275),N(IFERROR(INDEX(eq_pause,MATCH(B275,eq_code,0)),0))+SUMIFS(st_min,st_date,A275,st_eq,B275,st_po,C275,st_type,"Planifié"),"")</f>
        <v>30.0</v>
      </c>
      <c r="M275" s="55">
        <f>IF(ISNUMBER(K275),K275-L275,"")</f>
        <v>450.0</v>
      </c>
      <c r="N275" s="55">
        <f>IF(ISNUMBER(K275),SUMIFS(st_min,st_date,A275,st_eq,B275,st_po,C275,st_type,"Non planifié"),"")</f>
        <v>131.0</v>
      </c>
      <c r="O275" s="55">
        <f>IF(ISNUMBER(K275),M275-N275,"")</f>
        <v>319.0</v>
      </c>
      <c r="P275" s="55">
        <f>IF(COUNTA(A275:I275)=0,"",N(G275)+N(H275)+N(I275))</f>
        <v>17.0</v>
      </c>
      <c r="Q275" s="56">
        <f>IF(COUNTA(A275:I275)=0,"",IF(N(IFERROR(INDEX(art_rate,MATCH(E275,art_ref,0)),0))&gt;0,N(IFERROR(INDEX(art_rate,MATCH(E275,art_ref,0)),0)),N(IFERROR(INDEX(po_rate,MATCH(C275,po_code,0)),0))))</f>
        <v>4.0</v>
      </c>
      <c r="R275" s="55">
        <f>IF(AC275=1,P275*60/Q275,"")</f>
        <v>255.0</v>
      </c>
      <c r="S275" s="55">
        <f>IF(AC275=1,N(G275)*60/Q275,"")</f>
        <v>255.0</v>
      </c>
      <c r="T275" s="57">
        <f>IF(AC275=1,O275/M275,"")</f>
        <v>0.708888888888889</v>
      </c>
      <c r="U275" s="57">
        <f>IF(AC275=1,IF(O275&gt;0,R275/O275,""),"")</f>
        <v>0.799373040752351</v>
      </c>
      <c r="V275" s="57">
        <f>IF(AC275=1,IF(P275&gt;0,N(G275)/P275,""),"")</f>
        <v>1.0</v>
      </c>
      <c r="W275" s="57">
        <f>IF(AC275=1,S275/M275,"")</f>
        <v>0.566666666666667</v>
      </c>
      <c r="X275" s="57">
        <f>IF(AC275=1,S275/K275,"")</f>
        <v>0.53125</v>
      </c>
      <c r="Y275" s="58" t="str">
        <f>IF(W275="","",IF(W275&gt;=p_target,"Bon",IF(W275&gt;=p_alert,"À surveiller","Faible")))</f>
        <v>À surveiller</v>
      </c>
      <c r="Z275" s="58" t="str">
        <f>IF(W275="","",IF(MIN(IF(T275="",1,T275),IF(U275="",1,U275),IF(V275="",1,V275))&gt;=1,"Aucune",IF(IF(T275="",1,T275)&lt;=MIN(IF(U275="",1,U275),IF(V275="",1,V275)),"Disponibilité",IF(IF(U275="",1,U275)&lt;=IF(V275="",1,V275),"Performance","Qualité"))))</f>
        <v>Disponibilité</v>
      </c>
      <c r="AA275" s="59">
        <f>IF(AC275=1,N(H275)*N(IFERROR(INDEX(art_cost,MATCH(E275,art_ref,0)),0)),"")</f>
        <v>0.0</v>
      </c>
      <c r="AB275" s="58" t="str">
        <f>IF(COUNTA(A275:I275)=0,"",IF(N(A275)&lt;=0,"Date manquante ou invalide",IF(B275="","Équipe manquante",IF(ISNA(MATCH(B275,eq_code,0)),"Équipe inconnue",IF(INDEX(eq_check,MATCH(B275,eq_code,0))&lt;&gt;"OK","Équipe à corriger dans Paramètres",IF(C275="","Poste manquant",IF(ISNA(MATCH(C275,po_code,0)),"Poste inconnu",IF(AND(E275&lt;&gt;"",ISNA(MATCH(E275,art_ref,0))),"Article inconnu",IF(IF(E275="",FALSE,INDEX(art_check,MATCH(E275,art_ref,0))&lt;&gt;"OK"),"Article à corriger (feuille Articles)",IF(COUNTIFS(sj_date,A275,sj_eq,B275,sj_po,C275)&gt;1,"Ligne en double (même jour, équipe et poste)",IF(OR(NOT(ISNUMBER(K275)),N(K275)&lt;=0,N(K275)&gt;1440),"Temps d'ouverture invalide",IF(OR(AND(G275&lt;&gt;"",NOT(ISNUMBER(G275))),N(G275)&lt;0,N(G275)&lt;&gt;INT(N(G275)),AND(H275&lt;&gt;"",NOT(ISNUMBER(H275))),N(H275)&lt;0,N(H275)&lt;&gt;INT(N(H275)),AND(I275&lt;&gt;"",NOT(ISNUMBER(I275))),N(I275)&lt;0,N(I275)&lt;&gt;INT(N(I275))),"Quantité invalide",IF(Q275&lt;=0,"Cadence manquante (poste ou article)",IF(M275&lt;=0,"Arrêts planifiés supérieurs au temps d'ouverture",IF(O275&lt;0,"Arrêts supérieurs au temps requis",IF(AND(P275&gt;0,O275=0),"Pièces déclarées sans temps de marche",IF(AND(P275=0,O275&gt;0),"Aucune pièce déclarée",IF(P275*60/Q275&gt;O275+0.001,"Cadence dépassée : vérifiez la cadence","OK"))))))))))))))))))</f>
        <v>OK</v>
      </c>
      <c r="AC275">
        <f>IF(OR(AB275="OK",AB275="Aucune pièce déclarée",AB275="Cadence dépassée : vérifiez la cadence"),1,0)</f>
        <v>1.0</v>
      </c>
      <c r="AD275">
        <f>IF(AND(AC275=1,A275&gt;=p_from,A275&lt;=p_to),1,0)</f>
        <v>1.0</v>
      </c>
      <c r="AE275">
        <f>IF(AD275=1,IF(COUNTIFS($A$6:A275,A275,$AD$6:AD275,1)=1,1,0),0)</f>
        <v>0.0</v>
      </c>
      <c r="AF275" t="str">
        <f>IF(AE275=1,COUNTIFS(sj_first,1,sj_date,"&lt;"&amp;A275)+1,"")</f>
        <v/>
      </c>
      <c r="AG275" t="str">
        <f>IF(AND(AD275=1,N(W275)&lt;p_alert),ROUND(W275,4),"")</f>
        <v/>
      </c>
      <c r="AH275" t="str">
        <f>IF(AG275="","",COUNTIF(sj_akey,"&lt;"&amp;AG275)+COUNTIF($AG$6:AG275,AG275))</f>
        <v/>
      </c>
    </row>
    <row r="276">
      <c r="A276" s="51" t="n">
        <v>46323</v>
      </c>
      <c r="B276" s="52" t="inlineStr">
        <is>
          <t>Matin</t>
        </is>
      </c>
      <c r="C276" s="52" t="inlineStr">
        <is>
          <t>TOUR1</t>
        </is>
      </c>
      <c r="D276" s="53" t="inlineStr">
        <is>
          <t>OF-2610-191</t>
        </is>
      </c>
      <c r="E276" s="53" t="inlineStr">
        <is>
          <t>AXE-R20</t>
        </is>
      </c>
      <c r="F276" s="54" t="n">
        <v>240</v>
      </c>
      <c r="G276" s="54" t="n">
        <v>47</v>
      </c>
      <c r="H276" s="54" t="n">
        <v>0</v>
      </c>
      <c r="I276" s="54" t="n">
        <v>0</v>
      </c>
      <c r="J276" s="53" t="n"/>
      <c r="K276" s="55">
        <f>IF(COUNTA(A276:I276)=0,"",IF(F276="",IFERROR(INDEX(eq_dur,MATCH(B276,eq_code,0)),""),F276))</f>
        <v>240.0</v>
      </c>
      <c r="L276" s="55">
        <f>IF(ISNUMBER(K276),N(IFERROR(INDEX(eq_pause,MATCH(B276,eq_code,0)),0))+SUMIFS(st_min,st_date,A276,st_eq,B276,st_po,C276,st_type,"Planifié"),"")</f>
        <v>30.0</v>
      </c>
      <c r="M276" s="55">
        <f>IF(ISNUMBER(K276),K276-L276,"")</f>
        <v>210.0</v>
      </c>
      <c r="N276" s="55">
        <f>IF(ISNUMBER(K276),SUMIFS(st_min,st_date,A276,st_eq,B276,st_po,C276,st_type,"Non planifié"),"")</f>
        <v>104.0</v>
      </c>
      <c r="O276" s="55">
        <f>IF(ISNUMBER(K276),M276-N276,"")</f>
        <v>106.0</v>
      </c>
      <c r="P276" s="55">
        <f>IF(COUNTA(A276:I276)=0,"",N(G276)+N(H276)+N(I276))</f>
        <v>47.0</v>
      </c>
      <c r="Q276" s="56">
        <f>IF(COUNTA(A276:I276)=0,"",IF(N(IFERROR(INDEX(art_rate,MATCH(E276,art_ref,0)),0))&gt;0,N(IFERROR(INDEX(art_rate,MATCH(E276,art_ref,0)),0)),N(IFERROR(INDEX(po_rate,MATCH(C276,po_code,0)),0))))</f>
        <v>30.0</v>
      </c>
      <c r="R276" s="55">
        <f>IF(AC276=1,P276*60/Q276,"")</f>
        <v>94.0</v>
      </c>
      <c r="S276" s="55">
        <f>IF(AC276=1,N(G276)*60/Q276,"")</f>
        <v>94.0</v>
      </c>
      <c r="T276" s="57">
        <f>IF(AC276=1,O276/M276,"")</f>
        <v>0.504761904761905</v>
      </c>
      <c r="U276" s="57">
        <f>IF(AC276=1,IF(O276&gt;0,R276/O276,""),"")</f>
        <v>0.886792452830189</v>
      </c>
      <c r="V276" s="57">
        <f>IF(AC276=1,IF(P276&gt;0,N(G276)/P276,""),"")</f>
        <v>1.0</v>
      </c>
      <c r="W276" s="57">
        <f>IF(AC276=1,S276/M276,"")</f>
        <v>0.447619047619048</v>
      </c>
      <c r="X276" s="57">
        <f>IF(AC276=1,S276/K276,"")</f>
        <v>0.391666666666667</v>
      </c>
      <c r="Y276" s="58" t="str">
        <f>IF(W276="","",IF(W276&gt;=p_target,"Bon",IF(W276&gt;=p_alert,"À surveiller","Faible")))</f>
        <v>Faible</v>
      </c>
      <c r="Z276" s="58" t="str">
        <f>IF(W276="","",IF(MIN(IF(T276="",1,T276),IF(U276="",1,U276),IF(V276="",1,V276))&gt;=1,"Aucune",IF(IF(T276="",1,T276)&lt;=MIN(IF(U276="",1,U276),IF(V276="",1,V276)),"Disponibilité",IF(IF(U276="",1,U276)&lt;=IF(V276="",1,V276),"Performance","Qualité"))))</f>
        <v>Disponibilité</v>
      </c>
      <c r="AA276" s="59">
        <f>IF(AC276=1,N(H276)*N(IFERROR(INDEX(art_cost,MATCH(E276,art_ref,0)),0)),"")</f>
        <v>0.0</v>
      </c>
      <c r="AB276" s="58" t="str">
        <f>IF(COUNTA(A276:I276)=0,"",IF(N(A276)&lt;=0,"Date manquante ou invalide",IF(B276="","Équipe manquante",IF(ISNA(MATCH(B276,eq_code,0)),"Équipe inconnue",IF(INDEX(eq_check,MATCH(B276,eq_code,0))&lt;&gt;"OK","Équipe à corriger dans Paramètres",IF(C276="","Poste manquant",IF(ISNA(MATCH(C276,po_code,0)),"Poste inconnu",IF(AND(E276&lt;&gt;"",ISNA(MATCH(E276,art_ref,0))),"Article inconnu",IF(IF(E276="",FALSE,INDEX(art_check,MATCH(E276,art_ref,0))&lt;&gt;"OK"),"Article à corriger (feuille Articles)",IF(COUNTIFS(sj_date,A276,sj_eq,B276,sj_po,C276)&gt;1,"Ligne en double (même jour, équipe et poste)",IF(OR(NOT(ISNUMBER(K276)),N(K276)&lt;=0,N(K276)&gt;1440),"Temps d'ouverture invalide",IF(OR(AND(G276&lt;&gt;"",NOT(ISNUMBER(G276))),N(G276)&lt;0,N(G276)&lt;&gt;INT(N(G276)),AND(H276&lt;&gt;"",NOT(ISNUMBER(H276))),N(H276)&lt;0,N(H276)&lt;&gt;INT(N(H276)),AND(I276&lt;&gt;"",NOT(ISNUMBER(I276))),N(I276)&lt;0,N(I276)&lt;&gt;INT(N(I276))),"Quantité invalide",IF(Q276&lt;=0,"Cadence manquante (poste ou article)",IF(M276&lt;=0,"Arrêts planifiés supérieurs au temps d'ouverture",IF(O276&lt;0,"Arrêts supérieurs au temps requis",IF(AND(P276&gt;0,O276=0),"Pièces déclarées sans temps de marche",IF(AND(P276=0,O276&gt;0),"Aucune pièce déclarée",IF(P276*60/Q276&gt;O276+0.001,"Cadence dépassée : vérifiez la cadence","OK"))))))))))))))))))</f>
        <v>OK</v>
      </c>
      <c r="AC276">
        <f>IF(OR(AB276="OK",AB276="Aucune pièce déclarée",AB276="Cadence dépassée : vérifiez la cadence"),1,0)</f>
        <v>1.0</v>
      </c>
      <c r="AD276">
        <f>IF(AND(AC276=1,A276&gt;=p_from,A276&lt;=p_to),1,0)</f>
        <v>1.0</v>
      </c>
      <c r="AE276">
        <f>IF(AD276=1,IF(COUNTIFS($A$6:A276,A276,$AD$6:AD276,1)=1,1,0),0)</f>
        <v>1.0</v>
      </c>
      <c r="AF276">
        <f>IF(AE276=1,COUNTIFS(sj_first,1,sj_date,"&lt;"&amp;A276)+1,"")</f>
        <v>28.0</v>
      </c>
      <c r="AG276">
        <f>IF(AND(AD276=1,N(W276)&lt;p_alert),ROUND(W276,4),"")</f>
        <v>0.4476</v>
      </c>
      <c r="AH276">
        <f>IF(AG276="","",COUNTIF(sj_akey,"&lt;"&amp;AG276)+COUNTIF($AG$6:AG276,AG276))</f>
        <v>17.0</v>
      </c>
    </row>
    <row r="277">
      <c r="A277" s="51" t="n">
        <v>46323</v>
      </c>
      <c r="B277" s="52" t="inlineStr">
        <is>
          <t>Après-midi</t>
        </is>
      </c>
      <c r="C277" s="52" t="inlineStr">
        <is>
          <t>TOUR1</t>
        </is>
      </c>
      <c r="D277" s="53" t="inlineStr">
        <is>
          <t>OF-2610-189</t>
        </is>
      </c>
      <c r="E277" s="53" t="inlineStr">
        <is>
          <t>BAG-BR-32</t>
        </is>
      </c>
      <c r="F277" s="54" t="n"/>
      <c r="G277" s="54" t="n">
        <v>272</v>
      </c>
      <c r="H277" s="54" t="n">
        <v>3</v>
      </c>
      <c r="I277" s="54" t="n">
        <v>1</v>
      </c>
      <c r="J277" s="53" t="n"/>
      <c r="K277" s="55">
        <f>IF(COUNTA(A277:I277)=0,"",IF(F277="",IFERROR(INDEX(eq_dur,MATCH(B277,eq_code,0)),""),F277))</f>
        <v>480.0</v>
      </c>
      <c r="L277" s="55">
        <f>IF(ISNUMBER(K277),N(IFERROR(INDEX(eq_pause,MATCH(B277,eq_code,0)),0))+SUMIFS(st_min,st_date,A277,st_eq,B277,st_po,C277,st_type,"Planifié"),"")</f>
        <v>30.0</v>
      </c>
      <c r="M277" s="55">
        <f>IF(ISNUMBER(K277),K277-L277,"")</f>
        <v>450.0</v>
      </c>
      <c r="N277" s="55">
        <f>IF(ISNUMBER(K277),SUMIFS(st_min,st_date,A277,st_eq,B277,st_po,C277,st_type,"Non planifié"),"")</f>
        <v>18.0</v>
      </c>
      <c r="O277" s="55">
        <f>IF(ISNUMBER(K277),M277-N277,"")</f>
        <v>432.0</v>
      </c>
      <c r="P277" s="55">
        <f>IF(COUNTA(A277:I277)=0,"",N(G277)+N(H277)+N(I277))</f>
        <v>276.0</v>
      </c>
      <c r="Q277" s="56">
        <f>IF(COUNTA(A277:I277)=0,"",IF(N(IFERROR(INDEX(art_rate,MATCH(E277,art_ref,0)),0))&gt;0,N(IFERROR(INDEX(art_rate,MATCH(E277,art_ref,0)),0)),N(IFERROR(INDEX(po_rate,MATCH(C277,po_code,0)),0))))</f>
        <v>40.0</v>
      </c>
      <c r="R277" s="55">
        <f>IF(AC277=1,P277*60/Q277,"")</f>
        <v>414.0</v>
      </c>
      <c r="S277" s="55">
        <f>IF(AC277=1,N(G277)*60/Q277,"")</f>
        <v>408.0</v>
      </c>
      <c r="T277" s="57">
        <f>IF(AC277=1,O277/M277,"")</f>
        <v>0.96</v>
      </c>
      <c r="U277" s="57">
        <f>IF(AC277=1,IF(O277&gt;0,R277/O277,""),"")</f>
        <v>0.958333333333333</v>
      </c>
      <c r="V277" s="57">
        <f>IF(AC277=1,IF(P277&gt;0,N(G277)/P277,""),"")</f>
        <v>0.985507246376812</v>
      </c>
      <c r="W277" s="57">
        <f>IF(AC277=1,S277/M277,"")</f>
        <v>0.906666666666667</v>
      </c>
      <c r="X277" s="57">
        <f>IF(AC277=1,S277/K277,"")</f>
        <v>0.85</v>
      </c>
      <c r="Y277" s="58" t="str">
        <f>IF(W277="","",IF(W277&gt;=p_target,"Bon",IF(W277&gt;=p_alert,"À surveiller","Faible")))</f>
        <v>Bon</v>
      </c>
      <c r="Z277" s="58" t="str">
        <f>IF(W277="","",IF(MIN(IF(T277="",1,T277),IF(U277="",1,U277),IF(V277="",1,V277))&gt;=1,"Aucune",IF(IF(T277="",1,T277)&lt;=MIN(IF(U277="",1,U277),IF(V277="",1,V277)),"Disponibilité",IF(IF(U277="",1,U277)&lt;=IF(V277="",1,V277),"Performance","Qualité"))))</f>
        <v>Performance</v>
      </c>
      <c r="AA277" s="59">
        <f>IF(AC277=1,N(H277)*N(IFERROR(INDEX(art_cost,MATCH(E277,art_ref,0)),0)),"")</f>
        <v>156.0</v>
      </c>
      <c r="AB277" s="58" t="str">
        <f>IF(COUNTA(A277:I277)=0,"",IF(N(A277)&lt;=0,"Date manquante ou invalide",IF(B277="","Équipe manquante",IF(ISNA(MATCH(B277,eq_code,0)),"Équipe inconnue",IF(INDEX(eq_check,MATCH(B277,eq_code,0))&lt;&gt;"OK","Équipe à corriger dans Paramètres",IF(C277="","Poste manquant",IF(ISNA(MATCH(C277,po_code,0)),"Poste inconnu",IF(AND(E277&lt;&gt;"",ISNA(MATCH(E277,art_ref,0))),"Article inconnu",IF(IF(E277="",FALSE,INDEX(art_check,MATCH(E277,art_ref,0))&lt;&gt;"OK"),"Article à corriger (feuille Articles)",IF(COUNTIFS(sj_date,A277,sj_eq,B277,sj_po,C277)&gt;1,"Ligne en double (même jour, équipe et poste)",IF(OR(NOT(ISNUMBER(K277)),N(K277)&lt;=0,N(K277)&gt;1440),"Temps d'ouverture invalide",IF(OR(AND(G277&lt;&gt;"",NOT(ISNUMBER(G277))),N(G277)&lt;0,N(G277)&lt;&gt;INT(N(G277)),AND(H277&lt;&gt;"",NOT(ISNUMBER(H277))),N(H277)&lt;0,N(H277)&lt;&gt;INT(N(H277)),AND(I277&lt;&gt;"",NOT(ISNUMBER(I277))),N(I277)&lt;0,N(I277)&lt;&gt;INT(N(I277))),"Quantité invalide",IF(Q277&lt;=0,"Cadence manquante (poste ou article)",IF(M277&lt;=0,"Arrêts planifiés supérieurs au temps d'ouverture",IF(O277&lt;0,"Arrêts supérieurs au temps requis",IF(AND(P277&gt;0,O277=0),"Pièces déclarées sans temps de marche",IF(AND(P277=0,O277&gt;0),"Aucune pièce déclarée",IF(P277*60/Q277&gt;O277+0.001,"Cadence dépassée : vérifiez la cadence","OK"))))))))))))))))))</f>
        <v>OK</v>
      </c>
      <c r="AC277">
        <f>IF(OR(AB277="OK",AB277="Aucune pièce déclarée",AB277="Cadence dépassée : vérifiez la cadence"),1,0)</f>
        <v>1.0</v>
      </c>
      <c r="AD277">
        <f>IF(AND(AC277=1,A277&gt;=p_from,A277&lt;=p_to),1,0)</f>
        <v>1.0</v>
      </c>
      <c r="AE277">
        <f>IF(AD277=1,IF(COUNTIFS($A$6:A277,A277,$AD$6:AD277,1)=1,1,0),0)</f>
        <v>0.0</v>
      </c>
      <c r="AF277" t="str">
        <f>IF(AE277=1,COUNTIFS(sj_first,1,sj_date,"&lt;"&amp;A277)+1,"")</f>
        <v/>
      </c>
      <c r="AG277" t="str">
        <f>IF(AND(AD277=1,N(W277)&lt;p_alert),ROUND(W277,4),"")</f>
        <v/>
      </c>
      <c r="AH277" t="str">
        <f>IF(AG277="","",COUNTIF(sj_akey,"&lt;"&amp;AG277)+COUNTIF($AG$6:AG277,AG277))</f>
        <v/>
      </c>
    </row>
    <row r="278">
      <c r="A278" s="51" t="n">
        <v>46323</v>
      </c>
      <c r="B278" s="52" t="inlineStr">
        <is>
          <t>Matin</t>
        </is>
      </c>
      <c r="C278" s="52" t="inlineStr">
        <is>
          <t>TOUR2</t>
        </is>
      </c>
      <c r="D278" s="53" t="inlineStr">
        <is>
          <t>OF-2610-164</t>
        </is>
      </c>
      <c r="E278" s="53" t="inlineStr">
        <is>
          <t>AXE-R20</t>
        </is>
      </c>
      <c r="F278" s="54" t="n"/>
      <c r="G278" s="54" t="n">
        <v>202</v>
      </c>
      <c r="H278" s="54" t="n">
        <v>0</v>
      </c>
      <c r="I278" s="54" t="n">
        <v>1</v>
      </c>
      <c r="J278" s="53" t="n"/>
      <c r="K278" s="55">
        <f>IF(COUNTA(A278:I278)=0,"",IF(F278="",IFERROR(INDEX(eq_dur,MATCH(B278,eq_code,0)),""),F278))</f>
        <v>480.0</v>
      </c>
      <c r="L278" s="55">
        <f>IF(ISNUMBER(K278),N(IFERROR(INDEX(eq_pause,MATCH(B278,eq_code,0)),0))+SUMIFS(st_min,st_date,A278,st_eq,B278,st_po,C278,st_type,"Planifié"),"")</f>
        <v>30.0</v>
      </c>
      <c r="M278" s="55">
        <f>IF(ISNUMBER(K278),K278-L278,"")</f>
        <v>450.0</v>
      </c>
      <c r="N278" s="55">
        <f>IF(ISNUMBER(K278),SUMIFS(st_min,st_date,A278,st_eq,B278,st_po,C278,st_type,"Non planifié"),"")</f>
        <v>17.0</v>
      </c>
      <c r="O278" s="55">
        <f>IF(ISNUMBER(K278),M278-N278,"")</f>
        <v>433.0</v>
      </c>
      <c r="P278" s="55">
        <f>IF(COUNTA(A278:I278)=0,"",N(G278)+N(H278)+N(I278))</f>
        <v>203.0</v>
      </c>
      <c r="Q278" s="56">
        <f>IF(COUNTA(A278:I278)=0,"",IF(N(IFERROR(INDEX(art_rate,MATCH(E278,art_ref,0)),0))&gt;0,N(IFERROR(INDEX(art_rate,MATCH(E278,art_ref,0)),0)),N(IFERROR(INDEX(po_rate,MATCH(C278,po_code,0)),0))))</f>
        <v>30.0</v>
      </c>
      <c r="R278" s="55">
        <f>IF(AC278=1,P278*60/Q278,"")</f>
        <v>406.0</v>
      </c>
      <c r="S278" s="55">
        <f>IF(AC278=1,N(G278)*60/Q278,"")</f>
        <v>404.0</v>
      </c>
      <c r="T278" s="57">
        <f>IF(AC278=1,O278/M278,"")</f>
        <v>0.962222222222222</v>
      </c>
      <c r="U278" s="57">
        <f>IF(AC278=1,IF(O278&gt;0,R278/O278,""),"")</f>
        <v>0.937644341801386</v>
      </c>
      <c r="V278" s="57">
        <f>IF(AC278=1,IF(P278&gt;0,N(G278)/P278,""),"")</f>
        <v>0.995073891625616</v>
      </c>
      <c r="W278" s="57">
        <f>IF(AC278=1,S278/M278,"")</f>
        <v>0.897777777777778</v>
      </c>
      <c r="X278" s="57">
        <f>IF(AC278=1,S278/K278,"")</f>
        <v>0.841666666666667</v>
      </c>
      <c r="Y278" s="58" t="str">
        <f>IF(W278="","",IF(W278&gt;=p_target,"Bon",IF(W278&gt;=p_alert,"À surveiller","Faible")))</f>
        <v>Bon</v>
      </c>
      <c r="Z278" s="58" t="str">
        <f>IF(W278="","",IF(MIN(IF(T278="",1,T278),IF(U278="",1,U278),IF(V278="",1,V278))&gt;=1,"Aucune",IF(IF(T278="",1,T278)&lt;=MIN(IF(U278="",1,U278),IF(V278="",1,V278)),"Disponibilité",IF(IF(U278="",1,U278)&lt;=IF(V278="",1,V278),"Performance","Qualité"))))</f>
        <v>Performance</v>
      </c>
      <c r="AA278" s="59">
        <f>IF(AC278=1,N(H278)*N(IFERROR(INDEX(art_cost,MATCH(E278,art_ref,0)),0)),"")</f>
        <v>0.0</v>
      </c>
      <c r="AB278" s="58" t="str">
        <f>IF(COUNTA(A278:I278)=0,"",IF(N(A278)&lt;=0,"Date manquante ou invalide",IF(B278="","Équipe manquante",IF(ISNA(MATCH(B278,eq_code,0)),"Équipe inconnue",IF(INDEX(eq_check,MATCH(B278,eq_code,0))&lt;&gt;"OK","Équipe à corriger dans Paramètres",IF(C278="","Poste manquant",IF(ISNA(MATCH(C278,po_code,0)),"Poste inconnu",IF(AND(E278&lt;&gt;"",ISNA(MATCH(E278,art_ref,0))),"Article inconnu",IF(IF(E278="",FALSE,INDEX(art_check,MATCH(E278,art_ref,0))&lt;&gt;"OK"),"Article à corriger (feuille Articles)",IF(COUNTIFS(sj_date,A278,sj_eq,B278,sj_po,C278)&gt;1,"Ligne en double (même jour, équipe et poste)",IF(OR(NOT(ISNUMBER(K278)),N(K278)&lt;=0,N(K278)&gt;1440),"Temps d'ouverture invalide",IF(OR(AND(G278&lt;&gt;"",NOT(ISNUMBER(G278))),N(G278)&lt;0,N(G278)&lt;&gt;INT(N(G278)),AND(H278&lt;&gt;"",NOT(ISNUMBER(H278))),N(H278)&lt;0,N(H278)&lt;&gt;INT(N(H278)),AND(I278&lt;&gt;"",NOT(ISNUMBER(I278))),N(I278)&lt;0,N(I278)&lt;&gt;INT(N(I278))),"Quantité invalide",IF(Q278&lt;=0,"Cadence manquante (poste ou article)",IF(M278&lt;=0,"Arrêts planifiés supérieurs au temps d'ouverture",IF(O278&lt;0,"Arrêts supérieurs au temps requis",IF(AND(P278&gt;0,O278=0),"Pièces déclarées sans temps de marche",IF(AND(P278=0,O278&gt;0),"Aucune pièce déclarée",IF(P278*60/Q278&gt;O278+0.001,"Cadence dépassée : vérifiez la cadence","OK"))))))))))))))))))</f>
        <v>OK</v>
      </c>
      <c r="AC278">
        <f>IF(OR(AB278="OK",AB278="Aucune pièce déclarée",AB278="Cadence dépassée : vérifiez la cadence"),1,0)</f>
        <v>1.0</v>
      </c>
      <c r="AD278">
        <f>IF(AND(AC278=1,A278&gt;=p_from,A278&lt;=p_to),1,0)</f>
        <v>1.0</v>
      </c>
      <c r="AE278">
        <f>IF(AD278=1,IF(COUNTIFS($A$6:A278,A278,$AD$6:AD278,1)=1,1,0),0)</f>
        <v>0.0</v>
      </c>
      <c r="AF278" t="str">
        <f>IF(AE278=1,COUNTIFS(sj_first,1,sj_date,"&lt;"&amp;A278)+1,"")</f>
        <v/>
      </c>
      <c r="AG278" t="str">
        <f>IF(AND(AD278=1,N(W278)&lt;p_alert),ROUND(W278,4),"")</f>
        <v/>
      </c>
      <c r="AH278" t="str">
        <f>IF(AG278="","",COUNTIF(sj_akey,"&lt;"&amp;AG278)+COUNTIF($AG$6:AG278,AG278))</f>
        <v/>
      </c>
    </row>
    <row r="279">
      <c r="A279" s="51" t="n">
        <v>46323</v>
      </c>
      <c r="B279" s="52" t="inlineStr">
        <is>
          <t>Après-midi</t>
        </is>
      </c>
      <c r="C279" s="52" t="inlineStr">
        <is>
          <t>TOUR2</t>
        </is>
      </c>
      <c r="D279" s="53" t="inlineStr">
        <is>
          <t>OF-2610-175</t>
        </is>
      </c>
      <c r="E279" s="53" t="inlineStr">
        <is>
          <t>ENT-12</t>
        </is>
      </c>
      <c r="F279" s="54" t="n"/>
      <c r="G279" s="54" t="n">
        <v>312</v>
      </c>
      <c r="H279" s="54" t="n">
        <v>6</v>
      </c>
      <c r="I279" s="54" t="n">
        <v>0</v>
      </c>
      <c r="J279" s="53" t="n"/>
      <c r="K279" s="55">
        <f>IF(COUNTA(A279:I279)=0,"",IF(F279="",IFERROR(INDEX(eq_dur,MATCH(B279,eq_code,0)),""),F279))</f>
        <v>480.0</v>
      </c>
      <c r="L279" s="55">
        <f>IF(ISNUMBER(K279),N(IFERROR(INDEX(eq_pause,MATCH(B279,eq_code,0)),0))+SUMIFS(st_min,st_date,A279,st_eq,B279,st_po,C279,st_type,"Planifié"),"")</f>
        <v>30.0</v>
      </c>
      <c r="M279" s="55">
        <f>IF(ISNUMBER(K279),K279-L279,"")</f>
        <v>450.0</v>
      </c>
      <c r="N279" s="55">
        <f>IF(ISNUMBER(K279),SUMIFS(st_min,st_date,A279,st_eq,B279,st_po,C279,st_type,"Non planifié"),"")</f>
        <v>62.0</v>
      </c>
      <c r="O279" s="55">
        <f>IF(ISNUMBER(K279),M279-N279,"")</f>
        <v>388.0</v>
      </c>
      <c r="P279" s="55">
        <f>IF(COUNTA(A279:I279)=0,"",N(G279)+N(H279)+N(I279))</f>
        <v>318.0</v>
      </c>
      <c r="Q279" s="56">
        <f>IF(COUNTA(A279:I279)=0,"",IF(N(IFERROR(INDEX(art_rate,MATCH(E279,art_ref,0)),0))&gt;0,N(IFERROR(INDEX(art_rate,MATCH(E279,art_ref,0)),0)),N(IFERROR(INDEX(po_rate,MATCH(C279,po_code,0)),0))))</f>
        <v>55.0</v>
      </c>
      <c r="R279" s="55">
        <f>IF(AC279=1,P279*60/Q279,"")</f>
        <v>346.909090909091</v>
      </c>
      <c r="S279" s="55">
        <f>IF(AC279=1,N(G279)*60/Q279,"")</f>
        <v>340.363636363636</v>
      </c>
      <c r="T279" s="57">
        <f>IF(AC279=1,O279/M279,"")</f>
        <v>0.862222222222222</v>
      </c>
      <c r="U279" s="57">
        <f>IF(AC279=1,IF(O279&gt;0,R279/O279,""),"")</f>
        <v>0.894095595126523</v>
      </c>
      <c r="V279" s="57">
        <f>IF(AC279=1,IF(P279&gt;0,N(G279)/P279,""),"")</f>
        <v>0.981132075471698</v>
      </c>
      <c r="W279" s="57">
        <f>IF(AC279=1,S279/M279,"")</f>
        <v>0.756363636363636</v>
      </c>
      <c r="X279" s="57">
        <f>IF(AC279=1,S279/K279,"")</f>
        <v>0.709090909090909</v>
      </c>
      <c r="Y279" s="58" t="str">
        <f>IF(W279="","",IF(W279&gt;=p_target,"Bon",IF(W279&gt;=p_alert,"À surveiller","Faible")))</f>
        <v>Bon</v>
      </c>
      <c r="Z279" s="58" t="str">
        <f>IF(W279="","",IF(MIN(IF(T279="",1,T279),IF(U279="",1,U279),IF(V279="",1,V279))&gt;=1,"Aucune",IF(IF(T279="",1,T279)&lt;=MIN(IF(U279="",1,U279),IF(V279="",1,V279)),"Disponibilité",IF(IF(U279="",1,U279)&lt;=IF(V279="",1,V279),"Performance","Qualité"))))</f>
        <v>Disponibilité</v>
      </c>
      <c r="AA279" s="59">
        <f>IF(AC279=1,N(H279)*N(IFERROR(INDEX(art_cost,MATCH(E279,art_ref,0)),0)),"")</f>
        <v>40.8</v>
      </c>
      <c r="AB279" s="58" t="str">
        <f>IF(COUNTA(A279:I279)=0,"",IF(N(A279)&lt;=0,"Date manquante ou invalide",IF(B279="","Équipe manquante",IF(ISNA(MATCH(B279,eq_code,0)),"Équipe inconnue",IF(INDEX(eq_check,MATCH(B279,eq_code,0))&lt;&gt;"OK","Équipe à corriger dans Paramètres",IF(C279="","Poste manquant",IF(ISNA(MATCH(C279,po_code,0)),"Poste inconnu",IF(AND(E279&lt;&gt;"",ISNA(MATCH(E279,art_ref,0))),"Article inconnu",IF(IF(E279="",FALSE,INDEX(art_check,MATCH(E279,art_ref,0))&lt;&gt;"OK"),"Article à corriger (feuille Articles)",IF(COUNTIFS(sj_date,A279,sj_eq,B279,sj_po,C279)&gt;1,"Ligne en double (même jour, équipe et poste)",IF(OR(NOT(ISNUMBER(K279)),N(K279)&lt;=0,N(K279)&gt;1440),"Temps d'ouverture invalide",IF(OR(AND(G279&lt;&gt;"",NOT(ISNUMBER(G279))),N(G279)&lt;0,N(G279)&lt;&gt;INT(N(G279)),AND(H279&lt;&gt;"",NOT(ISNUMBER(H279))),N(H279)&lt;0,N(H279)&lt;&gt;INT(N(H279)),AND(I279&lt;&gt;"",NOT(ISNUMBER(I279))),N(I279)&lt;0,N(I279)&lt;&gt;INT(N(I279))),"Quantité invalide",IF(Q279&lt;=0,"Cadence manquante (poste ou article)",IF(M279&lt;=0,"Arrêts planifiés supérieurs au temps d'ouverture",IF(O279&lt;0,"Arrêts supérieurs au temps requis",IF(AND(P279&gt;0,O279=0),"Pièces déclarées sans temps de marche",IF(AND(P279=0,O279&gt;0),"Aucune pièce déclarée",IF(P279*60/Q279&gt;O279+0.001,"Cadence dépassée : vérifiez la cadence","OK"))))))))))))))))))</f>
        <v>OK</v>
      </c>
      <c r="AC279">
        <f>IF(OR(AB279="OK",AB279="Aucune pièce déclarée",AB279="Cadence dépassée : vérifiez la cadence"),1,0)</f>
        <v>1.0</v>
      </c>
      <c r="AD279">
        <f>IF(AND(AC279=1,A279&gt;=p_from,A279&lt;=p_to),1,0)</f>
        <v>1.0</v>
      </c>
      <c r="AE279">
        <f>IF(AD279=1,IF(COUNTIFS($A$6:A279,A279,$AD$6:AD279,1)=1,1,0),0)</f>
        <v>0.0</v>
      </c>
      <c r="AF279" t="str">
        <f>IF(AE279=1,COUNTIFS(sj_first,1,sj_date,"&lt;"&amp;A279)+1,"")</f>
        <v/>
      </c>
      <c r="AG279" t="str">
        <f>IF(AND(AD279=1,N(W279)&lt;p_alert),ROUND(W279,4),"")</f>
        <v/>
      </c>
      <c r="AH279" t="str">
        <f>IF(AG279="","",COUNTIF(sj_akey,"&lt;"&amp;AG279)+COUNTIF($AG$6:AG279,AG279))</f>
        <v/>
      </c>
    </row>
    <row r="280">
      <c r="A280" s="51" t="n">
        <v>46323</v>
      </c>
      <c r="B280" s="52" t="inlineStr">
        <is>
          <t>Matin</t>
        </is>
      </c>
      <c r="C280" s="52" t="inlineStr">
        <is>
          <t>USIN</t>
        </is>
      </c>
      <c r="D280" s="53" t="inlineStr">
        <is>
          <t>OF-2610-192</t>
        </is>
      </c>
      <c r="E280" s="53" t="inlineStr">
        <is>
          <t>CAR-BOI-04</t>
        </is>
      </c>
      <c r="F280" s="54" t="n"/>
      <c r="G280" s="54" t="n">
        <v>33</v>
      </c>
      <c r="H280" s="54" t="n">
        <v>0</v>
      </c>
      <c r="I280" s="54" t="n">
        <v>0</v>
      </c>
      <c r="J280" s="53" t="n"/>
      <c r="K280" s="55">
        <f>IF(COUNTA(A280:I280)=0,"",IF(F280="",IFERROR(INDEX(eq_dur,MATCH(B280,eq_code,0)),""),F280))</f>
        <v>480.0</v>
      </c>
      <c r="L280" s="55">
        <f>IF(ISNUMBER(K280),N(IFERROR(INDEX(eq_pause,MATCH(B280,eq_code,0)),0))+SUMIFS(st_min,st_date,A280,st_eq,B280,st_po,C280,st_type,"Planifié"),"")</f>
        <v>30.0</v>
      </c>
      <c r="M280" s="55">
        <f>IF(ISNUMBER(K280),K280-L280,"")</f>
        <v>450.0</v>
      </c>
      <c r="N280" s="55">
        <f>IF(ISNUMBER(K280),SUMIFS(st_min,st_date,A280,st_eq,B280,st_po,C280,st_type,"Non planifié"),"")</f>
        <v>83.0</v>
      </c>
      <c r="O280" s="55">
        <f>IF(ISNUMBER(K280),M280-N280,"")</f>
        <v>367.0</v>
      </c>
      <c r="P280" s="55">
        <f>IF(COUNTA(A280:I280)=0,"",N(G280)+N(H280)+N(I280))</f>
        <v>33.0</v>
      </c>
      <c r="Q280" s="56">
        <f>IF(COUNTA(A280:I280)=0,"",IF(N(IFERROR(INDEX(art_rate,MATCH(E280,art_ref,0)),0))&gt;0,N(IFERROR(INDEX(art_rate,MATCH(E280,art_ref,0)),0)),N(IFERROR(INDEX(po_rate,MATCH(C280,po_code,0)),0))))</f>
        <v>6.0</v>
      </c>
      <c r="R280" s="55">
        <f>IF(AC280=1,P280*60/Q280,"")</f>
        <v>330.0</v>
      </c>
      <c r="S280" s="55">
        <f>IF(AC280=1,N(G280)*60/Q280,"")</f>
        <v>330.0</v>
      </c>
      <c r="T280" s="57">
        <f>IF(AC280=1,O280/M280,"")</f>
        <v>0.815555555555556</v>
      </c>
      <c r="U280" s="57">
        <f>IF(AC280=1,IF(O280&gt;0,R280/O280,""),"")</f>
        <v>0.899182561307902</v>
      </c>
      <c r="V280" s="57">
        <f>IF(AC280=1,IF(P280&gt;0,N(G280)/P280,""),"")</f>
        <v>1.0</v>
      </c>
      <c r="W280" s="57">
        <f>IF(AC280=1,S280/M280,"")</f>
        <v>0.733333333333333</v>
      </c>
      <c r="X280" s="57">
        <f>IF(AC280=1,S280/K280,"")</f>
        <v>0.6875</v>
      </c>
      <c r="Y280" s="58" t="str">
        <f>IF(W280="","",IF(W280&gt;=p_target,"Bon",IF(W280&gt;=p_alert,"À surveiller","Faible")))</f>
        <v>À surveiller</v>
      </c>
      <c r="Z280" s="58" t="str">
        <f>IF(W280="","",IF(MIN(IF(T280="",1,T280),IF(U280="",1,U280),IF(V280="",1,V280))&gt;=1,"Aucune",IF(IF(T280="",1,T280)&lt;=MIN(IF(U280="",1,U280),IF(V280="",1,V280)),"Disponibilité",IF(IF(U280="",1,U280)&lt;=IF(V280="",1,V280),"Performance","Qualité"))))</f>
        <v>Disponibilité</v>
      </c>
      <c r="AA280" s="59">
        <f>IF(AC280=1,N(H280)*N(IFERROR(INDEX(art_cost,MATCH(E280,art_ref,0)),0)),"")</f>
        <v>0.0</v>
      </c>
      <c r="AB280" s="58" t="str">
        <f>IF(COUNTA(A280:I280)=0,"",IF(N(A280)&lt;=0,"Date manquante ou invalide",IF(B280="","Équipe manquante",IF(ISNA(MATCH(B280,eq_code,0)),"Équipe inconnue",IF(INDEX(eq_check,MATCH(B280,eq_code,0))&lt;&gt;"OK","Équipe à corriger dans Paramètres",IF(C280="","Poste manquant",IF(ISNA(MATCH(C280,po_code,0)),"Poste inconnu",IF(AND(E280&lt;&gt;"",ISNA(MATCH(E280,art_ref,0))),"Article inconnu",IF(IF(E280="",FALSE,INDEX(art_check,MATCH(E280,art_ref,0))&lt;&gt;"OK"),"Article à corriger (feuille Articles)",IF(COUNTIFS(sj_date,A280,sj_eq,B280,sj_po,C280)&gt;1,"Ligne en double (même jour, équipe et poste)",IF(OR(NOT(ISNUMBER(K280)),N(K280)&lt;=0,N(K280)&gt;1440),"Temps d'ouverture invalide",IF(OR(AND(G280&lt;&gt;"",NOT(ISNUMBER(G280))),N(G280)&lt;0,N(G280)&lt;&gt;INT(N(G280)),AND(H280&lt;&gt;"",NOT(ISNUMBER(H280))),N(H280)&lt;0,N(H280)&lt;&gt;INT(N(H280)),AND(I280&lt;&gt;"",NOT(ISNUMBER(I280))),N(I280)&lt;0,N(I280)&lt;&gt;INT(N(I280))),"Quantité invalide",IF(Q280&lt;=0,"Cadence manquante (poste ou article)",IF(M280&lt;=0,"Arrêts planifiés supérieurs au temps d'ouverture",IF(O280&lt;0,"Arrêts supérieurs au temps requis",IF(AND(P280&gt;0,O280=0),"Pièces déclarées sans temps de marche",IF(AND(P280=0,O280&gt;0),"Aucune pièce déclarée",IF(P280*60/Q280&gt;O280+0.001,"Cadence dépassée : vérifiez la cadence","OK"))))))))))))))))))</f>
        <v>OK</v>
      </c>
      <c r="AC280">
        <f>IF(OR(AB280="OK",AB280="Aucune pièce déclarée",AB280="Cadence dépassée : vérifiez la cadence"),1,0)</f>
        <v>1.0</v>
      </c>
      <c r="AD280">
        <f>IF(AND(AC280=1,A280&gt;=p_from,A280&lt;=p_to),1,0)</f>
        <v>1.0</v>
      </c>
      <c r="AE280">
        <f>IF(AD280=1,IF(COUNTIFS($A$6:A280,A280,$AD$6:AD280,1)=1,1,0),0)</f>
        <v>0.0</v>
      </c>
      <c r="AF280" t="str">
        <f>IF(AE280=1,COUNTIFS(sj_first,1,sj_date,"&lt;"&amp;A280)+1,"")</f>
        <v/>
      </c>
      <c r="AG280" t="str">
        <f>IF(AND(AD280=1,N(W280)&lt;p_alert),ROUND(W280,4),"")</f>
        <v/>
      </c>
      <c r="AH280" t="str">
        <f>IF(AG280="","",COUNTIF(sj_akey,"&lt;"&amp;AG280)+COUNTIF($AG$6:AG280,AG280))</f>
        <v/>
      </c>
    </row>
    <row r="281">
      <c r="A281" s="51" t="n">
        <v>46323</v>
      </c>
      <c r="B281" s="52" t="inlineStr">
        <is>
          <t>Après-midi</t>
        </is>
      </c>
      <c r="C281" s="52" t="inlineStr">
        <is>
          <t>USIN</t>
        </is>
      </c>
      <c r="D281" s="53" t="inlineStr">
        <is>
          <t>OF-2610-190</t>
        </is>
      </c>
      <c r="E281" s="53" t="inlineStr">
        <is>
          <t>FLA-PL-150</t>
        </is>
      </c>
      <c r="F281" s="54" t="n"/>
      <c r="G281" s="54" t="n">
        <v>60</v>
      </c>
      <c r="H281" s="54" t="n">
        <v>0</v>
      </c>
      <c r="I281" s="54" t="n">
        <v>0</v>
      </c>
      <c r="J281" s="53" t="n"/>
      <c r="K281" s="55">
        <f>IF(COUNTA(A281:I281)=0,"",IF(F281="",IFERROR(INDEX(eq_dur,MATCH(B281,eq_code,0)),""),F281))</f>
        <v>480.0</v>
      </c>
      <c r="L281" s="55">
        <f>IF(ISNUMBER(K281),N(IFERROR(INDEX(eq_pause,MATCH(B281,eq_code,0)),0))+SUMIFS(st_min,st_date,A281,st_eq,B281,st_po,C281,st_type,"Planifié"),"")</f>
        <v>30.0</v>
      </c>
      <c r="M281" s="55">
        <f>IF(ISNUMBER(K281),K281-L281,"")</f>
        <v>450.0</v>
      </c>
      <c r="N281" s="55">
        <f>IF(ISNUMBER(K281),SUMIFS(st_min,st_date,A281,st_eq,B281,st_po,C281,st_type,"Non planifié"),"")</f>
        <v>108.0</v>
      </c>
      <c r="O281" s="55">
        <f>IF(ISNUMBER(K281),M281-N281,"")</f>
        <v>342.0</v>
      </c>
      <c r="P281" s="55">
        <f>IF(COUNTA(A281:I281)=0,"",N(G281)+N(H281)+N(I281))</f>
        <v>60.0</v>
      </c>
      <c r="Q281" s="56">
        <f>IF(COUNTA(A281:I281)=0,"",IF(N(IFERROR(INDEX(art_rate,MATCH(E281,art_ref,0)),0))&gt;0,N(IFERROR(INDEX(art_rate,MATCH(E281,art_ref,0)),0)),N(IFERROR(INDEX(po_rate,MATCH(C281,po_code,0)),0))))</f>
        <v>12.0</v>
      </c>
      <c r="R281" s="55">
        <f>IF(AC281=1,P281*60/Q281,"")</f>
        <v>300.0</v>
      </c>
      <c r="S281" s="55">
        <f>IF(AC281=1,N(G281)*60/Q281,"")</f>
        <v>300.0</v>
      </c>
      <c r="T281" s="57">
        <f>IF(AC281=1,O281/M281,"")</f>
        <v>0.76</v>
      </c>
      <c r="U281" s="57">
        <f>IF(AC281=1,IF(O281&gt;0,R281/O281,""),"")</f>
        <v>0.87719298245614</v>
      </c>
      <c r="V281" s="57">
        <f>IF(AC281=1,IF(P281&gt;0,N(G281)/P281,""),"")</f>
        <v>1.0</v>
      </c>
      <c r="W281" s="57">
        <f>IF(AC281=1,S281/M281,"")</f>
        <v>0.666666666666667</v>
      </c>
      <c r="X281" s="57">
        <f>IF(AC281=1,S281/K281,"")</f>
        <v>0.625</v>
      </c>
      <c r="Y281" s="58" t="str">
        <f>IF(W281="","",IF(W281&gt;=p_target,"Bon",IF(W281&gt;=p_alert,"À surveiller","Faible")))</f>
        <v>À surveiller</v>
      </c>
      <c r="Z281" s="58" t="str">
        <f>IF(W281="","",IF(MIN(IF(T281="",1,T281),IF(U281="",1,U281),IF(V281="",1,V281))&gt;=1,"Aucune",IF(IF(T281="",1,T281)&lt;=MIN(IF(U281="",1,U281),IF(V281="",1,V281)),"Disponibilité",IF(IF(U281="",1,U281)&lt;=IF(V281="",1,V281),"Performance","Qualité"))))</f>
        <v>Disponibilité</v>
      </c>
      <c r="AA281" s="59">
        <f>IF(AC281=1,N(H281)*N(IFERROR(INDEX(art_cost,MATCH(E281,art_ref,0)),0)),"")</f>
        <v>0.0</v>
      </c>
      <c r="AB281" s="58" t="str">
        <f>IF(COUNTA(A281:I281)=0,"",IF(N(A281)&lt;=0,"Date manquante ou invalide",IF(B281="","Équipe manquante",IF(ISNA(MATCH(B281,eq_code,0)),"Équipe inconnue",IF(INDEX(eq_check,MATCH(B281,eq_code,0))&lt;&gt;"OK","Équipe à corriger dans Paramètres",IF(C281="","Poste manquant",IF(ISNA(MATCH(C281,po_code,0)),"Poste inconnu",IF(AND(E281&lt;&gt;"",ISNA(MATCH(E281,art_ref,0))),"Article inconnu",IF(IF(E281="",FALSE,INDEX(art_check,MATCH(E281,art_ref,0))&lt;&gt;"OK"),"Article à corriger (feuille Articles)",IF(COUNTIFS(sj_date,A281,sj_eq,B281,sj_po,C281)&gt;1,"Ligne en double (même jour, équipe et poste)",IF(OR(NOT(ISNUMBER(K281)),N(K281)&lt;=0,N(K281)&gt;1440),"Temps d'ouverture invalide",IF(OR(AND(G281&lt;&gt;"",NOT(ISNUMBER(G281))),N(G281)&lt;0,N(G281)&lt;&gt;INT(N(G281)),AND(H281&lt;&gt;"",NOT(ISNUMBER(H281))),N(H281)&lt;0,N(H281)&lt;&gt;INT(N(H281)),AND(I281&lt;&gt;"",NOT(ISNUMBER(I281))),N(I281)&lt;0,N(I281)&lt;&gt;INT(N(I281))),"Quantité invalide",IF(Q281&lt;=0,"Cadence manquante (poste ou article)",IF(M281&lt;=0,"Arrêts planifiés supérieurs au temps d'ouverture",IF(O281&lt;0,"Arrêts supérieurs au temps requis",IF(AND(P281&gt;0,O281=0),"Pièces déclarées sans temps de marche",IF(AND(P281=0,O281&gt;0),"Aucune pièce déclarée",IF(P281*60/Q281&gt;O281+0.001,"Cadence dépassée : vérifiez la cadence","OK"))))))))))))))))))</f>
        <v>OK</v>
      </c>
      <c r="AC281">
        <f>IF(OR(AB281="OK",AB281="Aucune pièce déclarée",AB281="Cadence dépassée : vérifiez la cadence"),1,0)</f>
        <v>1.0</v>
      </c>
      <c r="AD281">
        <f>IF(AND(AC281=1,A281&gt;=p_from,A281&lt;=p_to),1,0)</f>
        <v>1.0</v>
      </c>
      <c r="AE281">
        <f>IF(AD281=1,IF(COUNTIFS($A$6:A281,A281,$AD$6:AD281,1)=1,1,0),0)</f>
        <v>0.0</v>
      </c>
      <c r="AF281" t="str">
        <f>IF(AE281=1,COUNTIFS(sj_first,1,sj_date,"&lt;"&amp;A281)+1,"")</f>
        <v/>
      </c>
      <c r="AG281" t="str">
        <f>IF(AND(AD281=1,N(W281)&lt;p_alert),ROUND(W281,4),"")</f>
        <v/>
      </c>
      <c r="AH281" t="str">
        <f>IF(AG281="","",COUNTIF(sj_akey,"&lt;"&amp;AG281)+COUNTIF($AG$6:AG281,AG281))</f>
        <v/>
      </c>
    </row>
    <row r="282">
      <c r="A282" s="51" t="n">
        <v>46323</v>
      </c>
      <c r="B282" s="52" t="inlineStr">
        <is>
          <t>Matin</t>
        </is>
      </c>
      <c r="C282" s="52" t="inlineStr">
        <is>
          <t>PRESSE</t>
        </is>
      </c>
      <c r="D282" s="53" t="inlineStr">
        <is>
          <t>OF-2610-183</t>
        </is>
      </c>
      <c r="E282" s="53" t="inlineStr">
        <is>
          <t>RON-M10</t>
        </is>
      </c>
      <c r="F282" s="54" t="n"/>
      <c r="G282" s="54" t="n">
        <v>3939</v>
      </c>
      <c r="H282" s="54" t="n">
        <v>134</v>
      </c>
      <c r="I282" s="54" t="n">
        <v>42</v>
      </c>
      <c r="J282" s="53" t="n"/>
      <c r="K282" s="55">
        <f>IF(COUNTA(A282:I282)=0,"",IF(F282="",IFERROR(INDEX(eq_dur,MATCH(B282,eq_code,0)),""),F282))</f>
        <v>480.0</v>
      </c>
      <c r="L282" s="55">
        <f>IF(ISNUMBER(K282),N(IFERROR(INDEX(eq_pause,MATCH(B282,eq_code,0)),0))+SUMIFS(st_min,st_date,A282,st_eq,B282,st_po,C282,st_type,"Planifié"),"")</f>
        <v>30.0</v>
      </c>
      <c r="M282" s="55">
        <f>IF(ISNUMBER(K282),K282-L282,"")</f>
        <v>450.0</v>
      </c>
      <c r="N282" s="55">
        <f>IF(ISNUMBER(K282),SUMIFS(st_min,st_date,A282,st_eq,B282,st_po,C282,st_type,"Non planifié"),"")</f>
        <v>24.0</v>
      </c>
      <c r="O282" s="55">
        <f>IF(ISNUMBER(K282),M282-N282,"")</f>
        <v>426.0</v>
      </c>
      <c r="P282" s="55">
        <f>IF(COUNTA(A282:I282)=0,"",N(G282)+N(H282)+N(I282))</f>
        <v>4115.0</v>
      </c>
      <c r="Q282" s="56">
        <f>IF(COUNTA(A282:I282)=0,"",IF(N(IFERROR(INDEX(art_rate,MATCH(E282,art_ref,0)),0))&gt;0,N(IFERROR(INDEX(art_rate,MATCH(E282,art_ref,0)),0)),N(IFERROR(INDEX(po_rate,MATCH(C282,po_code,0)),0))))</f>
        <v>600.0</v>
      </c>
      <c r="R282" s="55">
        <f>IF(AC282=1,P282*60/Q282,"")</f>
        <v>411.5</v>
      </c>
      <c r="S282" s="55">
        <f>IF(AC282=1,N(G282)*60/Q282,"")</f>
        <v>393.9</v>
      </c>
      <c r="T282" s="57">
        <f>IF(AC282=1,O282/M282,"")</f>
        <v>0.946666666666667</v>
      </c>
      <c r="U282" s="57">
        <f>IF(AC282=1,IF(O282&gt;0,R282/O282,""),"")</f>
        <v>0.965962441314554</v>
      </c>
      <c r="V282" s="57">
        <f>IF(AC282=1,IF(P282&gt;0,N(G282)/P282,""),"")</f>
        <v>0.95722964763062</v>
      </c>
      <c r="W282" s="57">
        <f>IF(AC282=1,S282/M282,"")</f>
        <v>0.875333333333333</v>
      </c>
      <c r="X282" s="57">
        <f>IF(AC282=1,S282/K282,"")</f>
        <v>0.820625</v>
      </c>
      <c r="Y282" s="58" t="str">
        <f>IF(W282="","",IF(W282&gt;=p_target,"Bon",IF(W282&gt;=p_alert,"À surveiller","Faible")))</f>
        <v>Bon</v>
      </c>
      <c r="Z282" s="58" t="str">
        <f>IF(W282="","",IF(MIN(IF(T282="",1,T282),IF(U282="",1,U282),IF(V282="",1,V282))&gt;=1,"Aucune",IF(IF(T282="",1,T282)&lt;=MIN(IF(U282="",1,U282),IF(V282="",1,V282)),"Disponibilité",IF(IF(U282="",1,U282)&lt;=IF(V282="",1,V282),"Performance","Qualité"))))</f>
        <v>Disponibilité</v>
      </c>
      <c r="AA282" s="59">
        <f>IF(AC282=1,N(H282)*N(IFERROR(INDEX(art_cost,MATCH(E282,art_ref,0)),0)),"")</f>
        <v>120.6</v>
      </c>
      <c r="AB282" s="58" t="str">
        <f>IF(COUNTA(A282:I282)=0,"",IF(N(A282)&lt;=0,"Date manquante ou invalide",IF(B282="","Équipe manquante",IF(ISNA(MATCH(B282,eq_code,0)),"Équipe inconnue",IF(INDEX(eq_check,MATCH(B282,eq_code,0))&lt;&gt;"OK","Équipe à corriger dans Paramètres",IF(C282="","Poste manquant",IF(ISNA(MATCH(C282,po_code,0)),"Poste inconnu",IF(AND(E282&lt;&gt;"",ISNA(MATCH(E282,art_ref,0))),"Article inconnu",IF(IF(E282="",FALSE,INDEX(art_check,MATCH(E282,art_ref,0))&lt;&gt;"OK"),"Article à corriger (feuille Articles)",IF(COUNTIFS(sj_date,A282,sj_eq,B282,sj_po,C282)&gt;1,"Ligne en double (même jour, équipe et poste)",IF(OR(NOT(ISNUMBER(K282)),N(K282)&lt;=0,N(K282)&gt;1440),"Temps d'ouverture invalide",IF(OR(AND(G282&lt;&gt;"",NOT(ISNUMBER(G282))),N(G282)&lt;0,N(G282)&lt;&gt;INT(N(G282)),AND(H282&lt;&gt;"",NOT(ISNUMBER(H282))),N(H282)&lt;0,N(H282)&lt;&gt;INT(N(H282)),AND(I282&lt;&gt;"",NOT(ISNUMBER(I282))),N(I282)&lt;0,N(I282)&lt;&gt;INT(N(I282))),"Quantité invalide",IF(Q282&lt;=0,"Cadence manquante (poste ou article)",IF(M282&lt;=0,"Arrêts planifiés supérieurs au temps d'ouverture",IF(O282&lt;0,"Arrêts supérieurs au temps requis",IF(AND(P282&gt;0,O282=0),"Pièces déclarées sans temps de marche",IF(AND(P282=0,O282&gt;0),"Aucune pièce déclarée",IF(P282*60/Q282&gt;O282+0.001,"Cadence dépassée : vérifiez la cadence","OK"))))))))))))))))))</f>
        <v>OK</v>
      </c>
      <c r="AC282">
        <f>IF(OR(AB282="OK",AB282="Aucune pièce déclarée",AB282="Cadence dépassée : vérifiez la cadence"),1,0)</f>
        <v>1.0</v>
      </c>
      <c r="AD282">
        <f>IF(AND(AC282=1,A282&gt;=p_from,A282&lt;=p_to),1,0)</f>
        <v>1.0</v>
      </c>
      <c r="AE282">
        <f>IF(AD282=1,IF(COUNTIFS($A$6:A282,A282,$AD$6:AD282,1)=1,1,0),0)</f>
        <v>0.0</v>
      </c>
      <c r="AF282" t="str">
        <f>IF(AE282=1,COUNTIFS(sj_first,1,sj_date,"&lt;"&amp;A282)+1,"")</f>
        <v/>
      </c>
      <c r="AG282" t="str">
        <f>IF(AND(AD282=1,N(W282)&lt;p_alert),ROUND(W282,4),"")</f>
        <v/>
      </c>
      <c r="AH282" t="str">
        <f>IF(AG282="","",COUNTIF(sj_akey,"&lt;"&amp;AG282)+COUNTIF($AG$6:AG282,AG282))</f>
        <v/>
      </c>
    </row>
    <row r="283">
      <c r="A283" s="51" t="n">
        <v>46323</v>
      </c>
      <c r="B283" s="52" t="inlineStr">
        <is>
          <t>Journée</t>
        </is>
      </c>
      <c r="C283" s="52" t="inlineStr">
        <is>
          <t>PLIE</t>
        </is>
      </c>
      <c r="D283" s="53" t="inlineStr">
        <is>
          <t>OF-2610-180</t>
        </is>
      </c>
      <c r="E283" s="53" t="inlineStr">
        <is>
          <t>GAR-SUP-02</t>
        </is>
      </c>
      <c r="F283" s="54" t="n"/>
      <c r="G283" s="54" t="n">
        <v>509</v>
      </c>
      <c r="H283" s="54" t="n">
        <v>10</v>
      </c>
      <c r="I283" s="54" t="n">
        <v>1</v>
      </c>
      <c r="J283" s="53" t="n"/>
      <c r="K283" s="55">
        <f>IF(COUNTA(A283:I283)=0,"",IF(F283="",IFERROR(INDEX(eq_dur,MATCH(B283,eq_code,0)),""),F283))</f>
        <v>540.0</v>
      </c>
      <c r="L283" s="55">
        <f>IF(ISNUMBER(K283),N(IFERROR(INDEX(eq_pause,MATCH(B283,eq_code,0)),0))+SUMIFS(st_min,st_date,A283,st_eq,B283,st_po,C283,st_type,"Planifié"),"")</f>
        <v>60.0</v>
      </c>
      <c r="M283" s="55">
        <f>IF(ISNUMBER(K283),K283-L283,"")</f>
        <v>480.0</v>
      </c>
      <c r="N283" s="55">
        <f>IF(ISNUMBER(K283),SUMIFS(st_min,st_date,A283,st_eq,B283,st_po,C283,st_type,"Non planifié"),"")</f>
        <v>116.0</v>
      </c>
      <c r="O283" s="55">
        <f>IF(ISNUMBER(K283),M283-N283,"")</f>
        <v>364.0</v>
      </c>
      <c r="P283" s="55">
        <f>IF(COUNTA(A283:I283)=0,"",N(G283)+N(H283)+N(I283))</f>
        <v>520.0</v>
      </c>
      <c r="Q283" s="56">
        <f>IF(COUNTA(A283:I283)=0,"",IF(N(IFERROR(INDEX(art_rate,MATCH(E283,art_ref,0)),0))&gt;0,N(IFERROR(INDEX(art_rate,MATCH(E283,art_ref,0)),0)),N(IFERROR(INDEX(po_rate,MATCH(C283,po_code,0)),0))))</f>
        <v>110.0</v>
      </c>
      <c r="R283" s="55">
        <f>IF(AC283=1,P283*60/Q283,"")</f>
        <v>283.636363636364</v>
      </c>
      <c r="S283" s="55">
        <f>IF(AC283=1,N(G283)*60/Q283,"")</f>
        <v>277.636363636364</v>
      </c>
      <c r="T283" s="57">
        <f>IF(AC283=1,O283/M283,"")</f>
        <v>0.758333333333333</v>
      </c>
      <c r="U283" s="57">
        <f>IF(AC283=1,IF(O283&gt;0,R283/O283,""),"")</f>
        <v>0.779220779220779</v>
      </c>
      <c r="V283" s="57">
        <f>IF(AC283=1,IF(P283&gt;0,N(G283)/P283,""),"")</f>
        <v>0.978846153846154</v>
      </c>
      <c r="W283" s="57">
        <f>IF(AC283=1,S283/M283,"")</f>
        <v>0.578409090909091</v>
      </c>
      <c r="X283" s="57">
        <f>IF(AC283=1,S283/K283,"")</f>
        <v>0.514141414141414</v>
      </c>
      <c r="Y283" s="58" t="str">
        <f>IF(W283="","",IF(W283&gt;=p_target,"Bon",IF(W283&gt;=p_alert,"À surveiller","Faible")))</f>
        <v>À surveiller</v>
      </c>
      <c r="Z283" s="58" t="str">
        <f>IF(W283="","",IF(MIN(IF(T283="",1,T283),IF(U283="",1,U283),IF(V283="",1,V283))&gt;=1,"Aucune",IF(IF(T283="",1,T283)&lt;=MIN(IF(U283="",1,U283),IF(V283="",1,V283)),"Disponibilité",IF(IF(U283="",1,U283)&lt;=IF(V283="",1,V283),"Performance","Qualité"))))</f>
        <v>Disponibilité</v>
      </c>
      <c r="AA283" s="59">
        <f>IF(AC283=1,N(H283)*N(IFERROR(INDEX(art_cost,MATCH(E283,art_ref,0)),0)),"")</f>
        <v>215.0</v>
      </c>
      <c r="AB283" s="58" t="str">
        <f>IF(COUNTA(A283:I283)=0,"",IF(N(A283)&lt;=0,"Date manquante ou invalide",IF(B283="","Équipe manquante",IF(ISNA(MATCH(B283,eq_code,0)),"Équipe inconnue",IF(INDEX(eq_check,MATCH(B283,eq_code,0))&lt;&gt;"OK","Équipe à corriger dans Paramètres",IF(C283="","Poste manquant",IF(ISNA(MATCH(C283,po_code,0)),"Poste inconnu",IF(AND(E283&lt;&gt;"",ISNA(MATCH(E283,art_ref,0))),"Article inconnu",IF(IF(E283="",FALSE,INDEX(art_check,MATCH(E283,art_ref,0))&lt;&gt;"OK"),"Article à corriger (feuille Articles)",IF(COUNTIFS(sj_date,A283,sj_eq,B283,sj_po,C283)&gt;1,"Ligne en double (même jour, équipe et poste)",IF(OR(NOT(ISNUMBER(K283)),N(K283)&lt;=0,N(K283)&gt;1440),"Temps d'ouverture invalide",IF(OR(AND(G283&lt;&gt;"",NOT(ISNUMBER(G283))),N(G283)&lt;0,N(G283)&lt;&gt;INT(N(G283)),AND(H283&lt;&gt;"",NOT(ISNUMBER(H283))),N(H283)&lt;0,N(H283)&lt;&gt;INT(N(H283)),AND(I283&lt;&gt;"",NOT(ISNUMBER(I283))),N(I283)&lt;0,N(I283)&lt;&gt;INT(N(I283))),"Quantité invalide",IF(Q283&lt;=0,"Cadence manquante (poste ou article)",IF(M283&lt;=0,"Arrêts planifiés supérieurs au temps d'ouverture",IF(O283&lt;0,"Arrêts supérieurs au temps requis",IF(AND(P283&gt;0,O283=0),"Pièces déclarées sans temps de marche",IF(AND(P283=0,O283&gt;0),"Aucune pièce déclarée",IF(P283*60/Q283&gt;O283+0.001,"Cadence dépassée : vérifiez la cadence","OK"))))))))))))))))))</f>
        <v>OK</v>
      </c>
      <c r="AC283">
        <f>IF(OR(AB283="OK",AB283="Aucune pièce déclarée",AB283="Cadence dépassée : vérifiez la cadence"),1,0)</f>
        <v>1.0</v>
      </c>
      <c r="AD283">
        <f>IF(AND(AC283=1,A283&gt;=p_from,A283&lt;=p_to),1,0)</f>
        <v>1.0</v>
      </c>
      <c r="AE283">
        <f>IF(AD283=1,IF(COUNTIFS($A$6:A283,A283,$AD$6:AD283,1)=1,1,0),0)</f>
        <v>0.0</v>
      </c>
      <c r="AF283" t="str">
        <f>IF(AE283=1,COUNTIFS(sj_first,1,sj_date,"&lt;"&amp;A283)+1,"")</f>
        <v/>
      </c>
      <c r="AG283" t="str">
        <f>IF(AND(AD283=1,N(W283)&lt;p_alert),ROUND(W283,4),"")</f>
        <v/>
      </c>
      <c r="AH283" t="str">
        <f>IF(AG283="","",COUNTIF(sj_akey,"&lt;"&amp;AG283)+COUNTIF($AG$6:AG283,AG283))</f>
        <v/>
      </c>
    </row>
    <row r="284">
      <c r="A284" s="51" t="n">
        <v>46323</v>
      </c>
      <c r="B284" s="52" t="inlineStr">
        <is>
          <t>Matin</t>
        </is>
      </c>
      <c r="C284" s="52" t="inlineStr">
        <is>
          <t>SOUD</t>
        </is>
      </c>
      <c r="D284" s="53" t="inlineStr">
        <is>
          <t>OF-2610-187</t>
        </is>
      </c>
      <c r="E284" s="53" t="inlineStr">
        <is>
          <t>BRA-SUS-02</t>
        </is>
      </c>
      <c r="F284" s="54" t="n"/>
      <c r="G284" s="54" t="n">
        <v>87</v>
      </c>
      <c r="H284" s="54" t="n">
        <v>2</v>
      </c>
      <c r="I284" s="54" t="n">
        <v>0</v>
      </c>
      <c r="J284" s="53" t="n"/>
      <c r="K284" s="55">
        <f>IF(COUNTA(A284:I284)=0,"",IF(F284="",IFERROR(INDEX(eq_dur,MATCH(B284,eq_code,0)),""),F284))</f>
        <v>480.0</v>
      </c>
      <c r="L284" s="55">
        <f>IF(ISNUMBER(K284),N(IFERROR(INDEX(eq_pause,MATCH(B284,eq_code,0)),0))+SUMIFS(st_min,st_date,A284,st_eq,B284,st_po,C284,st_type,"Planifié"),"")</f>
        <v>30.0</v>
      </c>
      <c r="M284" s="55">
        <f>IF(ISNUMBER(K284),K284-L284,"")</f>
        <v>450.0</v>
      </c>
      <c r="N284" s="55">
        <f>IF(ISNUMBER(K284),SUMIFS(st_min,st_date,A284,st_eq,B284,st_po,C284,st_type,"Non planifié"),"")</f>
        <v>84.0</v>
      </c>
      <c r="O284" s="55">
        <f>IF(ISNUMBER(K284),M284-N284,"")</f>
        <v>366.0</v>
      </c>
      <c r="P284" s="55">
        <f>IF(COUNTA(A284:I284)=0,"",N(G284)+N(H284)+N(I284))</f>
        <v>89.0</v>
      </c>
      <c r="Q284" s="56">
        <f>IF(COUNTA(A284:I284)=0,"",IF(N(IFERROR(INDEX(art_rate,MATCH(E284,art_ref,0)),0))&gt;0,N(IFERROR(INDEX(art_rate,MATCH(E284,art_ref,0)),0)),N(IFERROR(INDEX(po_rate,MATCH(C284,po_code,0)),0))))</f>
        <v>20.0</v>
      </c>
      <c r="R284" s="55">
        <f>IF(AC284=1,P284*60/Q284,"")</f>
        <v>267.0</v>
      </c>
      <c r="S284" s="55">
        <f>IF(AC284=1,N(G284)*60/Q284,"")</f>
        <v>261.0</v>
      </c>
      <c r="T284" s="57">
        <f>IF(AC284=1,O284/M284,"")</f>
        <v>0.813333333333333</v>
      </c>
      <c r="U284" s="57">
        <f>IF(AC284=1,IF(O284&gt;0,R284/O284,""),"")</f>
        <v>0.729508196721312</v>
      </c>
      <c r="V284" s="57">
        <f>IF(AC284=1,IF(P284&gt;0,N(G284)/P284,""),"")</f>
        <v>0.97752808988764</v>
      </c>
      <c r="W284" s="57">
        <f>IF(AC284=1,S284/M284,"")</f>
        <v>0.58</v>
      </c>
      <c r="X284" s="57">
        <f>IF(AC284=1,S284/K284,"")</f>
        <v>0.54375</v>
      </c>
      <c r="Y284" s="58" t="str">
        <f>IF(W284="","",IF(W284&gt;=p_target,"Bon",IF(W284&gt;=p_alert,"À surveiller","Faible")))</f>
        <v>À surveiller</v>
      </c>
      <c r="Z284" s="58" t="str">
        <f>IF(W284="","",IF(MIN(IF(T284="",1,T284),IF(U284="",1,U284),IF(V284="",1,V284))&gt;=1,"Aucune",IF(IF(T284="",1,T284)&lt;=MIN(IF(U284="",1,U284),IF(V284="",1,V284)),"Disponibilité",IF(IF(U284="",1,U284)&lt;=IF(V284="",1,V284),"Performance","Qualité"))))</f>
        <v>Performance</v>
      </c>
      <c r="AA284" s="59">
        <f>IF(AC284=1,N(H284)*N(IFERROR(INDEX(art_cost,MATCH(E284,art_ref,0)),0)),"")</f>
        <v>476.0</v>
      </c>
      <c r="AB284" s="58" t="str">
        <f>IF(COUNTA(A284:I284)=0,"",IF(N(A284)&lt;=0,"Date manquante ou invalide",IF(B284="","Équipe manquante",IF(ISNA(MATCH(B284,eq_code,0)),"Équipe inconnue",IF(INDEX(eq_check,MATCH(B284,eq_code,0))&lt;&gt;"OK","Équipe à corriger dans Paramètres",IF(C284="","Poste manquant",IF(ISNA(MATCH(C284,po_code,0)),"Poste inconnu",IF(AND(E284&lt;&gt;"",ISNA(MATCH(E284,art_ref,0))),"Article inconnu",IF(IF(E284="",FALSE,INDEX(art_check,MATCH(E284,art_ref,0))&lt;&gt;"OK"),"Article à corriger (feuille Articles)",IF(COUNTIFS(sj_date,A284,sj_eq,B284,sj_po,C284)&gt;1,"Ligne en double (même jour, équipe et poste)",IF(OR(NOT(ISNUMBER(K284)),N(K284)&lt;=0,N(K284)&gt;1440),"Temps d'ouverture invalide",IF(OR(AND(G284&lt;&gt;"",NOT(ISNUMBER(G284))),N(G284)&lt;0,N(G284)&lt;&gt;INT(N(G284)),AND(H284&lt;&gt;"",NOT(ISNUMBER(H284))),N(H284)&lt;0,N(H284)&lt;&gt;INT(N(H284)),AND(I284&lt;&gt;"",NOT(ISNUMBER(I284))),N(I284)&lt;0,N(I284)&lt;&gt;INT(N(I284))),"Quantité invalide",IF(Q284&lt;=0,"Cadence manquante (poste ou article)",IF(M284&lt;=0,"Arrêts planifiés supérieurs au temps d'ouverture",IF(O284&lt;0,"Arrêts supérieurs au temps requis",IF(AND(P284&gt;0,O284=0),"Pièces déclarées sans temps de marche",IF(AND(P284=0,O284&gt;0),"Aucune pièce déclarée",IF(P284*60/Q284&gt;O284+0.001,"Cadence dépassée : vérifiez la cadence","OK"))))))))))))))))))</f>
        <v>OK</v>
      </c>
      <c r="AC284">
        <f>IF(OR(AB284="OK",AB284="Aucune pièce déclarée",AB284="Cadence dépassée : vérifiez la cadence"),1,0)</f>
        <v>1.0</v>
      </c>
      <c r="AD284">
        <f>IF(AND(AC284=1,A284&gt;=p_from,A284&lt;=p_to),1,0)</f>
        <v>1.0</v>
      </c>
      <c r="AE284">
        <f>IF(AD284=1,IF(COUNTIFS($A$6:A284,A284,$AD$6:AD284,1)=1,1,0),0)</f>
        <v>0.0</v>
      </c>
      <c r="AF284" t="str">
        <f>IF(AE284=1,COUNTIFS(sj_first,1,sj_date,"&lt;"&amp;A284)+1,"")</f>
        <v/>
      </c>
      <c r="AG284" t="str">
        <f>IF(AND(AD284=1,N(W284)&lt;p_alert),ROUND(W284,4),"")</f>
        <v/>
      </c>
      <c r="AH284" t="str">
        <f>IF(AG284="","",COUNTIF(sj_akey,"&lt;"&amp;AG284)+COUNTIF($AG$6:AG284,AG284))</f>
        <v/>
      </c>
    </row>
    <row r="285">
      <c r="A285" s="51" t="n">
        <v>46323</v>
      </c>
      <c r="B285" s="52" t="inlineStr">
        <is>
          <t>Après-midi</t>
        </is>
      </c>
      <c r="C285" s="52" t="inlineStr">
        <is>
          <t>SOUD</t>
        </is>
      </c>
      <c r="D285" s="53" t="inlineStr">
        <is>
          <t>OF-2610-193</t>
        </is>
      </c>
      <c r="E285" s="53" t="inlineStr">
        <is>
          <t>BRA-SUS-02</t>
        </is>
      </c>
      <c r="F285" s="54" t="n"/>
      <c r="G285" s="54" t="n">
        <v>120</v>
      </c>
      <c r="H285" s="54" t="n">
        <v>2</v>
      </c>
      <c r="I285" s="54" t="n">
        <v>0</v>
      </c>
      <c r="J285" s="53" t="n"/>
      <c r="K285" s="55">
        <f>IF(COUNTA(A285:I285)=0,"",IF(F285="",IFERROR(INDEX(eq_dur,MATCH(B285,eq_code,0)),""),F285))</f>
        <v>480.0</v>
      </c>
      <c r="L285" s="55">
        <f>IF(ISNUMBER(K285),N(IFERROR(INDEX(eq_pause,MATCH(B285,eq_code,0)),0))+SUMIFS(st_min,st_date,A285,st_eq,B285,st_po,C285,st_type,"Planifié"),"")</f>
        <v>30.0</v>
      </c>
      <c r="M285" s="55">
        <f>IF(ISNUMBER(K285),K285-L285,"")</f>
        <v>450.0</v>
      </c>
      <c r="N285" s="55">
        <f>IF(ISNUMBER(K285),SUMIFS(st_min,st_date,A285,st_eq,B285,st_po,C285,st_type,"Non planifié"),"")</f>
        <v>43.0</v>
      </c>
      <c r="O285" s="55">
        <f>IF(ISNUMBER(K285),M285-N285,"")</f>
        <v>407.0</v>
      </c>
      <c r="P285" s="55">
        <f>IF(COUNTA(A285:I285)=0,"",N(G285)+N(H285)+N(I285))</f>
        <v>122.0</v>
      </c>
      <c r="Q285" s="56">
        <f>IF(COUNTA(A285:I285)=0,"",IF(N(IFERROR(INDEX(art_rate,MATCH(E285,art_ref,0)),0))&gt;0,N(IFERROR(INDEX(art_rate,MATCH(E285,art_ref,0)),0)),N(IFERROR(INDEX(po_rate,MATCH(C285,po_code,0)),0))))</f>
        <v>20.0</v>
      </c>
      <c r="R285" s="55">
        <f>IF(AC285=1,P285*60/Q285,"")</f>
        <v>366.0</v>
      </c>
      <c r="S285" s="55">
        <f>IF(AC285=1,N(G285)*60/Q285,"")</f>
        <v>360.0</v>
      </c>
      <c r="T285" s="57">
        <f>IF(AC285=1,O285/M285,"")</f>
        <v>0.904444444444445</v>
      </c>
      <c r="U285" s="57">
        <f>IF(AC285=1,IF(O285&gt;0,R285/O285,""),"")</f>
        <v>0.899262899262899</v>
      </c>
      <c r="V285" s="57">
        <f>IF(AC285=1,IF(P285&gt;0,N(G285)/P285,""),"")</f>
        <v>0.983606557377049</v>
      </c>
      <c r="W285" s="57">
        <f>IF(AC285=1,S285/M285,"")</f>
        <v>0.8</v>
      </c>
      <c r="X285" s="57">
        <f>IF(AC285=1,S285/K285,"")</f>
        <v>0.75</v>
      </c>
      <c r="Y285" s="58" t="str">
        <f>IF(W285="","",IF(W285&gt;=p_target,"Bon",IF(W285&gt;=p_alert,"À surveiller","Faible")))</f>
        <v>Bon</v>
      </c>
      <c r="Z285" s="58" t="str">
        <f>IF(W285="","",IF(MIN(IF(T285="",1,T285),IF(U285="",1,U285),IF(V285="",1,V285))&gt;=1,"Aucune",IF(IF(T285="",1,T285)&lt;=MIN(IF(U285="",1,U285),IF(V285="",1,V285)),"Disponibilité",IF(IF(U285="",1,U285)&lt;=IF(V285="",1,V285),"Performance","Qualité"))))</f>
        <v>Performance</v>
      </c>
      <c r="AA285" s="59">
        <f>IF(AC285=1,N(H285)*N(IFERROR(INDEX(art_cost,MATCH(E285,art_ref,0)),0)),"")</f>
        <v>476.0</v>
      </c>
      <c r="AB285" s="58" t="str">
        <f>IF(COUNTA(A285:I285)=0,"",IF(N(A285)&lt;=0,"Date manquante ou invalide",IF(B285="","Équipe manquante",IF(ISNA(MATCH(B285,eq_code,0)),"Équipe inconnue",IF(INDEX(eq_check,MATCH(B285,eq_code,0))&lt;&gt;"OK","Équipe à corriger dans Paramètres",IF(C285="","Poste manquant",IF(ISNA(MATCH(C285,po_code,0)),"Poste inconnu",IF(AND(E285&lt;&gt;"",ISNA(MATCH(E285,art_ref,0))),"Article inconnu",IF(IF(E285="",FALSE,INDEX(art_check,MATCH(E285,art_ref,0))&lt;&gt;"OK"),"Article à corriger (feuille Articles)",IF(COUNTIFS(sj_date,A285,sj_eq,B285,sj_po,C285)&gt;1,"Ligne en double (même jour, équipe et poste)",IF(OR(NOT(ISNUMBER(K285)),N(K285)&lt;=0,N(K285)&gt;1440),"Temps d'ouverture invalide",IF(OR(AND(G285&lt;&gt;"",NOT(ISNUMBER(G285))),N(G285)&lt;0,N(G285)&lt;&gt;INT(N(G285)),AND(H285&lt;&gt;"",NOT(ISNUMBER(H285))),N(H285)&lt;0,N(H285)&lt;&gt;INT(N(H285)),AND(I285&lt;&gt;"",NOT(ISNUMBER(I285))),N(I285)&lt;0,N(I285)&lt;&gt;INT(N(I285))),"Quantité invalide",IF(Q285&lt;=0,"Cadence manquante (poste ou article)",IF(M285&lt;=0,"Arrêts planifiés supérieurs au temps d'ouverture",IF(O285&lt;0,"Arrêts supérieurs au temps requis",IF(AND(P285&gt;0,O285=0),"Pièces déclarées sans temps de marche",IF(AND(P285=0,O285&gt;0),"Aucune pièce déclarée",IF(P285*60/Q285&gt;O285+0.001,"Cadence dépassée : vérifiez la cadence","OK"))))))))))))))))))</f>
        <v>OK</v>
      </c>
      <c r="AC285">
        <f>IF(OR(AB285="OK",AB285="Aucune pièce déclarée",AB285="Cadence dépassée : vérifiez la cadence"),1,0)</f>
        <v>1.0</v>
      </c>
      <c r="AD285">
        <f>IF(AND(AC285=1,A285&gt;=p_from,A285&lt;=p_to),1,0)</f>
        <v>1.0</v>
      </c>
      <c r="AE285">
        <f>IF(AD285=1,IF(COUNTIFS($A$6:A285,A285,$AD$6:AD285,1)=1,1,0),0)</f>
        <v>0.0</v>
      </c>
      <c r="AF285" t="str">
        <f>IF(AE285=1,COUNTIFS(sj_first,1,sj_date,"&lt;"&amp;A285)+1,"")</f>
        <v/>
      </c>
      <c r="AG285" t="str">
        <f>IF(AND(AD285=1,N(W285)&lt;p_alert),ROUND(W285,4),"")</f>
        <v/>
      </c>
      <c r="AH285" t="str">
        <f>IF(AG285="","",COUNTIF(sj_akey,"&lt;"&amp;AG285)+COUNTIF($AG$6:AG285,AG285))</f>
        <v/>
      </c>
    </row>
    <row r="286">
      <c r="A286" s="51" t="n">
        <v>46324</v>
      </c>
      <c r="B286" s="52" t="inlineStr">
        <is>
          <t>Matin</t>
        </is>
      </c>
      <c r="C286" s="52" t="inlineStr">
        <is>
          <t>TOUR1</t>
        </is>
      </c>
      <c r="D286" s="53" t="inlineStr">
        <is>
          <t>OF-2610-194</t>
        </is>
      </c>
      <c r="E286" s="53" t="inlineStr">
        <is>
          <t>BAG-BR-32</t>
        </is>
      </c>
      <c r="F286" s="54" t="n"/>
      <c r="G286" s="54" t="n">
        <v>216</v>
      </c>
      <c r="H286" s="54" t="n">
        <v>5</v>
      </c>
      <c r="I286" s="54" t="n">
        <v>2</v>
      </c>
      <c r="J286" s="53" t="n"/>
      <c r="K286" s="55">
        <f>IF(COUNTA(A286:I286)=0,"",IF(F286="",IFERROR(INDEX(eq_dur,MATCH(B286,eq_code,0)),""),F286))</f>
        <v>480.0</v>
      </c>
      <c r="L286" s="55">
        <f>IF(ISNUMBER(K286),N(IFERROR(INDEX(eq_pause,MATCH(B286,eq_code,0)),0))+SUMIFS(st_min,st_date,A286,st_eq,B286,st_po,C286,st_type,"Planifié"),"")</f>
        <v>30.0</v>
      </c>
      <c r="M286" s="55">
        <f>IF(ISNUMBER(K286),K286-L286,"")</f>
        <v>450.0</v>
      </c>
      <c r="N286" s="55">
        <f>IF(ISNUMBER(K286),SUMIFS(st_min,st_date,A286,st_eq,B286,st_po,C286,st_type,"Non planifié"),"")</f>
        <v>63.0</v>
      </c>
      <c r="O286" s="55">
        <f>IF(ISNUMBER(K286),M286-N286,"")</f>
        <v>387.0</v>
      </c>
      <c r="P286" s="55">
        <f>IF(COUNTA(A286:I286)=0,"",N(G286)+N(H286)+N(I286))</f>
        <v>223.0</v>
      </c>
      <c r="Q286" s="56">
        <f>IF(COUNTA(A286:I286)=0,"",IF(N(IFERROR(INDEX(art_rate,MATCH(E286,art_ref,0)),0))&gt;0,N(IFERROR(INDEX(art_rate,MATCH(E286,art_ref,0)),0)),N(IFERROR(INDEX(po_rate,MATCH(C286,po_code,0)),0))))</f>
        <v>40.0</v>
      </c>
      <c r="R286" s="55">
        <f>IF(AC286=1,P286*60/Q286,"")</f>
        <v>334.5</v>
      </c>
      <c r="S286" s="55">
        <f>IF(AC286=1,N(G286)*60/Q286,"")</f>
        <v>324.0</v>
      </c>
      <c r="T286" s="57">
        <f>IF(AC286=1,O286/M286,"")</f>
        <v>0.86</v>
      </c>
      <c r="U286" s="57">
        <f>IF(AC286=1,IF(O286&gt;0,R286/O286,""),"")</f>
        <v>0.864341085271318</v>
      </c>
      <c r="V286" s="57">
        <f>IF(AC286=1,IF(P286&gt;0,N(G286)/P286,""),"")</f>
        <v>0.968609865470852</v>
      </c>
      <c r="W286" s="57">
        <f>IF(AC286=1,S286/M286,"")</f>
        <v>0.72</v>
      </c>
      <c r="X286" s="57">
        <f>IF(AC286=1,S286/K286,"")</f>
        <v>0.675</v>
      </c>
      <c r="Y286" s="58" t="str">
        <f>IF(W286="","",IF(W286&gt;=p_target,"Bon",IF(W286&gt;=p_alert,"À surveiller","Faible")))</f>
        <v>À surveiller</v>
      </c>
      <c r="Z286" s="58" t="str">
        <f>IF(W286="","",IF(MIN(IF(T286="",1,T286),IF(U286="",1,U286),IF(V286="",1,V286))&gt;=1,"Aucune",IF(IF(T286="",1,T286)&lt;=MIN(IF(U286="",1,U286),IF(V286="",1,V286)),"Disponibilité",IF(IF(U286="",1,U286)&lt;=IF(V286="",1,V286),"Performance","Qualité"))))</f>
        <v>Disponibilité</v>
      </c>
      <c r="AA286" s="59">
        <f>IF(AC286=1,N(H286)*N(IFERROR(INDEX(art_cost,MATCH(E286,art_ref,0)),0)),"")</f>
        <v>260.0</v>
      </c>
      <c r="AB286" s="58" t="str">
        <f>IF(COUNTA(A286:I286)=0,"",IF(N(A286)&lt;=0,"Date manquante ou invalide",IF(B286="","Équipe manquante",IF(ISNA(MATCH(B286,eq_code,0)),"Équipe inconnue",IF(INDEX(eq_check,MATCH(B286,eq_code,0))&lt;&gt;"OK","Équipe à corriger dans Paramètres",IF(C286="","Poste manquant",IF(ISNA(MATCH(C286,po_code,0)),"Poste inconnu",IF(AND(E286&lt;&gt;"",ISNA(MATCH(E286,art_ref,0))),"Article inconnu",IF(IF(E286="",FALSE,INDEX(art_check,MATCH(E286,art_ref,0))&lt;&gt;"OK"),"Article à corriger (feuille Articles)",IF(COUNTIFS(sj_date,A286,sj_eq,B286,sj_po,C286)&gt;1,"Ligne en double (même jour, équipe et poste)",IF(OR(NOT(ISNUMBER(K286)),N(K286)&lt;=0,N(K286)&gt;1440),"Temps d'ouverture invalide",IF(OR(AND(G286&lt;&gt;"",NOT(ISNUMBER(G286))),N(G286)&lt;0,N(G286)&lt;&gt;INT(N(G286)),AND(H286&lt;&gt;"",NOT(ISNUMBER(H286))),N(H286)&lt;0,N(H286)&lt;&gt;INT(N(H286)),AND(I286&lt;&gt;"",NOT(ISNUMBER(I286))),N(I286)&lt;0,N(I286)&lt;&gt;INT(N(I286))),"Quantité invalide",IF(Q286&lt;=0,"Cadence manquante (poste ou article)",IF(M286&lt;=0,"Arrêts planifiés supérieurs au temps d'ouverture",IF(O286&lt;0,"Arrêts supérieurs au temps requis",IF(AND(P286&gt;0,O286=0),"Pièces déclarées sans temps de marche",IF(AND(P286=0,O286&gt;0),"Aucune pièce déclarée",IF(P286*60/Q286&gt;O286+0.001,"Cadence dépassée : vérifiez la cadence","OK"))))))))))))))))))</f>
        <v>OK</v>
      </c>
      <c r="AC286">
        <f>IF(OR(AB286="OK",AB286="Aucune pièce déclarée",AB286="Cadence dépassée : vérifiez la cadence"),1,0)</f>
        <v>1.0</v>
      </c>
      <c r="AD286">
        <f>IF(AND(AC286=1,A286&gt;=p_from,A286&lt;=p_to),1,0)</f>
        <v>1.0</v>
      </c>
      <c r="AE286">
        <f>IF(AD286=1,IF(COUNTIFS($A$6:A286,A286,$AD$6:AD286,1)=1,1,0),0)</f>
        <v>1.0</v>
      </c>
      <c r="AF286">
        <f>IF(AE286=1,COUNTIFS(sj_first,1,sj_date,"&lt;"&amp;A286)+1,"")</f>
        <v>29.0</v>
      </c>
      <c r="AG286" t="str">
        <f>IF(AND(AD286=1,N(W286)&lt;p_alert),ROUND(W286,4),"")</f>
        <v/>
      </c>
      <c r="AH286" t="str">
        <f>IF(AG286="","",COUNTIF(sj_akey,"&lt;"&amp;AG286)+COUNTIF($AG$6:AG286,AG286))</f>
        <v/>
      </c>
    </row>
    <row r="287">
      <c r="A287" s="51" t="n">
        <v>46324</v>
      </c>
      <c r="B287" s="52" t="inlineStr">
        <is>
          <t>Après-midi</t>
        </is>
      </c>
      <c r="C287" s="52" t="inlineStr">
        <is>
          <t>TOUR1</t>
        </is>
      </c>
      <c r="D287" s="53" t="inlineStr">
        <is>
          <t>OF-2610-195</t>
        </is>
      </c>
      <c r="E287" s="53" t="inlineStr">
        <is>
          <t>AXE-R20</t>
        </is>
      </c>
      <c r="F287" s="54" t="n"/>
      <c r="G287" s="54" t="n">
        <v>177</v>
      </c>
      <c r="H287" s="54" t="n">
        <v>0</v>
      </c>
      <c r="I287" s="54" t="n">
        <v>1</v>
      </c>
      <c r="J287" s="53" t="n"/>
      <c r="K287" s="55">
        <f>IF(COUNTA(A287:I287)=0,"",IF(F287="",IFERROR(INDEX(eq_dur,MATCH(B287,eq_code,0)),""),F287))</f>
        <v>480.0</v>
      </c>
      <c r="L287" s="55">
        <f>IF(ISNUMBER(K287),N(IFERROR(INDEX(eq_pause,MATCH(B287,eq_code,0)),0))+SUMIFS(st_min,st_date,A287,st_eq,B287,st_po,C287,st_type,"Planifié"),"")</f>
        <v>30.0</v>
      </c>
      <c r="M287" s="55">
        <f>IF(ISNUMBER(K287),K287-L287,"")</f>
        <v>450.0</v>
      </c>
      <c r="N287" s="55">
        <f>IF(ISNUMBER(K287),SUMIFS(st_min,st_date,A287,st_eq,B287,st_po,C287,st_type,"Non planifié"),"")</f>
        <v>78.0</v>
      </c>
      <c r="O287" s="55">
        <f>IF(ISNUMBER(K287),M287-N287,"")</f>
        <v>372.0</v>
      </c>
      <c r="P287" s="55">
        <f>IF(COUNTA(A287:I287)=0,"",N(G287)+N(H287)+N(I287))</f>
        <v>178.0</v>
      </c>
      <c r="Q287" s="56">
        <f>IF(COUNTA(A287:I287)=0,"",IF(N(IFERROR(INDEX(art_rate,MATCH(E287,art_ref,0)),0))&gt;0,N(IFERROR(INDEX(art_rate,MATCH(E287,art_ref,0)),0)),N(IFERROR(INDEX(po_rate,MATCH(C287,po_code,0)),0))))</f>
        <v>30.0</v>
      </c>
      <c r="R287" s="55">
        <f>IF(AC287=1,P287*60/Q287,"")</f>
        <v>356.0</v>
      </c>
      <c r="S287" s="55">
        <f>IF(AC287=1,N(G287)*60/Q287,"")</f>
        <v>354.0</v>
      </c>
      <c r="T287" s="57">
        <f>IF(AC287=1,O287/M287,"")</f>
        <v>0.826666666666667</v>
      </c>
      <c r="U287" s="57">
        <f>IF(AC287=1,IF(O287&gt;0,R287/O287,""),"")</f>
        <v>0.956989247311828</v>
      </c>
      <c r="V287" s="57">
        <f>IF(AC287=1,IF(P287&gt;0,N(G287)/P287,""),"")</f>
        <v>0.99438202247191</v>
      </c>
      <c r="W287" s="57">
        <f>IF(AC287=1,S287/M287,"")</f>
        <v>0.786666666666667</v>
      </c>
      <c r="X287" s="57">
        <f>IF(AC287=1,S287/K287,"")</f>
        <v>0.7375</v>
      </c>
      <c r="Y287" s="58" t="str">
        <f>IF(W287="","",IF(W287&gt;=p_target,"Bon",IF(W287&gt;=p_alert,"À surveiller","Faible")))</f>
        <v>Bon</v>
      </c>
      <c r="Z287" s="58" t="str">
        <f>IF(W287="","",IF(MIN(IF(T287="",1,T287),IF(U287="",1,U287),IF(V287="",1,V287))&gt;=1,"Aucune",IF(IF(T287="",1,T287)&lt;=MIN(IF(U287="",1,U287),IF(V287="",1,V287)),"Disponibilité",IF(IF(U287="",1,U287)&lt;=IF(V287="",1,V287),"Performance","Qualité"))))</f>
        <v>Disponibilité</v>
      </c>
      <c r="AA287" s="59">
        <f>IF(AC287=1,N(H287)*N(IFERROR(INDEX(art_cost,MATCH(E287,art_ref,0)),0)),"")</f>
        <v>0.0</v>
      </c>
      <c r="AB287" s="58" t="str">
        <f>IF(COUNTA(A287:I287)=0,"",IF(N(A287)&lt;=0,"Date manquante ou invalide",IF(B287="","Équipe manquante",IF(ISNA(MATCH(B287,eq_code,0)),"Équipe inconnue",IF(INDEX(eq_check,MATCH(B287,eq_code,0))&lt;&gt;"OK","Équipe à corriger dans Paramètres",IF(C287="","Poste manquant",IF(ISNA(MATCH(C287,po_code,0)),"Poste inconnu",IF(AND(E287&lt;&gt;"",ISNA(MATCH(E287,art_ref,0))),"Article inconnu",IF(IF(E287="",FALSE,INDEX(art_check,MATCH(E287,art_ref,0))&lt;&gt;"OK"),"Article à corriger (feuille Articles)",IF(COUNTIFS(sj_date,A287,sj_eq,B287,sj_po,C287)&gt;1,"Ligne en double (même jour, équipe et poste)",IF(OR(NOT(ISNUMBER(K287)),N(K287)&lt;=0,N(K287)&gt;1440),"Temps d'ouverture invalide",IF(OR(AND(G287&lt;&gt;"",NOT(ISNUMBER(G287))),N(G287)&lt;0,N(G287)&lt;&gt;INT(N(G287)),AND(H287&lt;&gt;"",NOT(ISNUMBER(H287))),N(H287)&lt;0,N(H287)&lt;&gt;INT(N(H287)),AND(I287&lt;&gt;"",NOT(ISNUMBER(I287))),N(I287)&lt;0,N(I287)&lt;&gt;INT(N(I287))),"Quantité invalide",IF(Q287&lt;=0,"Cadence manquante (poste ou article)",IF(M287&lt;=0,"Arrêts planifiés supérieurs au temps d'ouverture",IF(O287&lt;0,"Arrêts supérieurs au temps requis",IF(AND(P287&gt;0,O287=0),"Pièces déclarées sans temps de marche",IF(AND(P287=0,O287&gt;0),"Aucune pièce déclarée",IF(P287*60/Q287&gt;O287+0.001,"Cadence dépassée : vérifiez la cadence","OK"))))))))))))))))))</f>
        <v>OK</v>
      </c>
      <c r="AC287">
        <f>IF(OR(AB287="OK",AB287="Aucune pièce déclarée",AB287="Cadence dépassée : vérifiez la cadence"),1,0)</f>
        <v>1.0</v>
      </c>
      <c r="AD287">
        <f>IF(AND(AC287=1,A287&gt;=p_from,A287&lt;=p_to),1,0)</f>
        <v>1.0</v>
      </c>
      <c r="AE287">
        <f>IF(AD287=1,IF(COUNTIFS($A$6:A287,A287,$AD$6:AD287,1)=1,1,0),0)</f>
        <v>0.0</v>
      </c>
      <c r="AF287" t="str">
        <f>IF(AE287=1,COUNTIFS(sj_first,1,sj_date,"&lt;"&amp;A287)+1,"")</f>
        <v/>
      </c>
      <c r="AG287" t="str">
        <f>IF(AND(AD287=1,N(W287)&lt;p_alert),ROUND(W287,4),"")</f>
        <v/>
      </c>
      <c r="AH287" t="str">
        <f>IF(AG287="","",COUNTIF(sj_akey,"&lt;"&amp;AG287)+COUNTIF($AG$6:AG287,AG287))</f>
        <v/>
      </c>
    </row>
    <row r="288">
      <c r="A288" s="51" t="n">
        <v>46324</v>
      </c>
      <c r="B288" s="52" t="inlineStr">
        <is>
          <t>Matin</t>
        </is>
      </c>
      <c r="C288" s="52" t="inlineStr">
        <is>
          <t>TOUR2</t>
        </is>
      </c>
      <c r="D288" s="53" t="inlineStr">
        <is>
          <t>OF-2610-164</t>
        </is>
      </c>
      <c r="E288" s="53" t="inlineStr">
        <is>
          <t>AXE-R20</t>
        </is>
      </c>
      <c r="F288" s="54" t="n"/>
      <c r="G288" s="54" t="n">
        <v>187</v>
      </c>
      <c r="H288" s="54" t="n">
        <v>6</v>
      </c>
      <c r="I288" s="54" t="n">
        <v>1</v>
      </c>
      <c r="J288" s="53" t="n"/>
      <c r="K288" s="55">
        <f>IF(COUNTA(A288:I288)=0,"",IF(F288="",IFERROR(INDEX(eq_dur,MATCH(B288,eq_code,0)),""),F288))</f>
        <v>480.0</v>
      </c>
      <c r="L288" s="55">
        <f>IF(ISNUMBER(K288),N(IFERROR(INDEX(eq_pause,MATCH(B288,eq_code,0)),0))+SUMIFS(st_min,st_date,A288,st_eq,B288,st_po,C288,st_type,"Planifié"),"")</f>
        <v>30.0</v>
      </c>
      <c r="M288" s="55">
        <f>IF(ISNUMBER(K288),K288-L288,"")</f>
        <v>450.0</v>
      </c>
      <c r="N288" s="55">
        <f>IF(ISNUMBER(K288),SUMIFS(st_min,st_date,A288,st_eq,B288,st_po,C288,st_type,"Non planifié"),"")</f>
        <v>0.0</v>
      </c>
      <c r="O288" s="55">
        <f>IF(ISNUMBER(K288),M288-N288,"")</f>
        <v>450.0</v>
      </c>
      <c r="P288" s="55">
        <f>IF(COUNTA(A288:I288)=0,"",N(G288)+N(H288)+N(I288))</f>
        <v>194.0</v>
      </c>
      <c r="Q288" s="56">
        <f>IF(COUNTA(A288:I288)=0,"",IF(N(IFERROR(INDEX(art_rate,MATCH(E288,art_ref,0)),0))&gt;0,N(IFERROR(INDEX(art_rate,MATCH(E288,art_ref,0)),0)),N(IFERROR(INDEX(po_rate,MATCH(C288,po_code,0)),0))))</f>
        <v>30.0</v>
      </c>
      <c r="R288" s="55">
        <f>IF(AC288=1,P288*60/Q288,"")</f>
        <v>388.0</v>
      </c>
      <c r="S288" s="55">
        <f>IF(AC288=1,N(G288)*60/Q288,"")</f>
        <v>374.0</v>
      </c>
      <c r="T288" s="57">
        <f>IF(AC288=1,O288/M288,"")</f>
        <v>1.0</v>
      </c>
      <c r="U288" s="57">
        <f>IF(AC288=1,IF(O288&gt;0,R288/O288,""),"")</f>
        <v>0.862222222222222</v>
      </c>
      <c r="V288" s="57">
        <f>IF(AC288=1,IF(P288&gt;0,N(G288)/P288,""),"")</f>
        <v>0.963917525773196</v>
      </c>
      <c r="W288" s="57">
        <f>IF(AC288=1,S288/M288,"")</f>
        <v>0.831111111111111</v>
      </c>
      <c r="X288" s="57">
        <f>IF(AC288=1,S288/K288,"")</f>
        <v>0.779166666666667</v>
      </c>
      <c r="Y288" s="58" t="str">
        <f>IF(W288="","",IF(W288&gt;=p_target,"Bon",IF(W288&gt;=p_alert,"À surveiller","Faible")))</f>
        <v>Bon</v>
      </c>
      <c r="Z288" s="58" t="str">
        <f>IF(W288="","",IF(MIN(IF(T288="",1,T288),IF(U288="",1,U288),IF(V288="",1,V288))&gt;=1,"Aucune",IF(IF(T288="",1,T288)&lt;=MIN(IF(U288="",1,U288),IF(V288="",1,V288)),"Disponibilité",IF(IF(U288="",1,U288)&lt;=IF(V288="",1,V288),"Performance","Qualité"))))</f>
        <v>Performance</v>
      </c>
      <c r="AA288" s="59">
        <f>IF(AC288=1,N(H288)*N(IFERROR(INDEX(art_cost,MATCH(E288,art_ref,0)),0)),"")</f>
        <v>231.0</v>
      </c>
      <c r="AB288" s="58" t="str">
        <f>IF(COUNTA(A288:I288)=0,"",IF(N(A288)&lt;=0,"Date manquante ou invalide",IF(B288="","Équipe manquante",IF(ISNA(MATCH(B288,eq_code,0)),"Équipe inconnue",IF(INDEX(eq_check,MATCH(B288,eq_code,0))&lt;&gt;"OK","Équipe à corriger dans Paramètres",IF(C288="","Poste manquant",IF(ISNA(MATCH(C288,po_code,0)),"Poste inconnu",IF(AND(E288&lt;&gt;"",ISNA(MATCH(E288,art_ref,0))),"Article inconnu",IF(IF(E288="",FALSE,INDEX(art_check,MATCH(E288,art_ref,0))&lt;&gt;"OK"),"Article à corriger (feuille Articles)",IF(COUNTIFS(sj_date,A288,sj_eq,B288,sj_po,C288)&gt;1,"Ligne en double (même jour, équipe et poste)",IF(OR(NOT(ISNUMBER(K288)),N(K288)&lt;=0,N(K288)&gt;1440),"Temps d'ouverture invalide",IF(OR(AND(G288&lt;&gt;"",NOT(ISNUMBER(G288))),N(G288)&lt;0,N(G288)&lt;&gt;INT(N(G288)),AND(H288&lt;&gt;"",NOT(ISNUMBER(H288))),N(H288)&lt;0,N(H288)&lt;&gt;INT(N(H288)),AND(I288&lt;&gt;"",NOT(ISNUMBER(I288))),N(I288)&lt;0,N(I288)&lt;&gt;INT(N(I288))),"Quantité invalide",IF(Q288&lt;=0,"Cadence manquante (poste ou article)",IF(M288&lt;=0,"Arrêts planifiés supérieurs au temps d'ouverture",IF(O288&lt;0,"Arrêts supérieurs au temps requis",IF(AND(P288&gt;0,O288=0),"Pièces déclarées sans temps de marche",IF(AND(P288=0,O288&gt;0),"Aucune pièce déclarée",IF(P288*60/Q288&gt;O288+0.001,"Cadence dépassée : vérifiez la cadence","OK"))))))))))))))))))</f>
        <v>OK</v>
      </c>
      <c r="AC288">
        <f>IF(OR(AB288="OK",AB288="Aucune pièce déclarée",AB288="Cadence dépassée : vérifiez la cadence"),1,0)</f>
        <v>1.0</v>
      </c>
      <c r="AD288">
        <f>IF(AND(AC288=1,A288&gt;=p_from,A288&lt;=p_to),1,0)</f>
        <v>1.0</v>
      </c>
      <c r="AE288">
        <f>IF(AD288=1,IF(COUNTIFS($A$6:A288,A288,$AD$6:AD288,1)=1,1,0),0)</f>
        <v>0.0</v>
      </c>
      <c r="AF288" t="str">
        <f>IF(AE288=1,COUNTIFS(sj_first,1,sj_date,"&lt;"&amp;A288)+1,"")</f>
        <v/>
      </c>
      <c r="AG288" t="str">
        <f>IF(AND(AD288=1,N(W288)&lt;p_alert),ROUND(W288,4),"")</f>
        <v/>
      </c>
      <c r="AH288" t="str">
        <f>IF(AG288="","",COUNTIF(sj_akey,"&lt;"&amp;AG288)+COUNTIF($AG$6:AG288,AG288))</f>
        <v/>
      </c>
    </row>
    <row r="289">
      <c r="A289" s="51" t="n">
        <v>46324</v>
      </c>
      <c r="B289" s="52" t="inlineStr">
        <is>
          <t>Après-midi</t>
        </is>
      </c>
      <c r="C289" s="52" t="inlineStr">
        <is>
          <t>TOUR2</t>
        </is>
      </c>
      <c r="D289" s="53" t="inlineStr">
        <is>
          <t>OF-2610-175</t>
        </is>
      </c>
      <c r="E289" s="53" t="inlineStr">
        <is>
          <t>ENT-12</t>
        </is>
      </c>
      <c r="F289" s="54" t="n"/>
      <c r="G289" s="54" t="n">
        <v>273</v>
      </c>
      <c r="H289" s="54" t="n">
        <v>3</v>
      </c>
      <c r="I289" s="54" t="n">
        <v>3</v>
      </c>
      <c r="J289" s="53" t="n"/>
      <c r="K289" s="55">
        <f>IF(COUNTA(A289:I289)=0,"",IF(F289="",IFERROR(INDEX(eq_dur,MATCH(B289,eq_code,0)),""),F289))</f>
        <v>480.0</v>
      </c>
      <c r="L289" s="55">
        <f>IF(ISNUMBER(K289),N(IFERROR(INDEX(eq_pause,MATCH(B289,eq_code,0)),0))+SUMIFS(st_min,st_date,A289,st_eq,B289,st_po,C289,st_type,"Planifié"),"")</f>
        <v>30.0</v>
      </c>
      <c r="M289" s="55">
        <f>IF(ISNUMBER(K289),K289-L289,"")</f>
        <v>450.0</v>
      </c>
      <c r="N289" s="55">
        <f>IF(ISNUMBER(K289),SUMIFS(st_min,st_date,A289,st_eq,B289,st_po,C289,st_type,"Non planifié"),"")</f>
        <v>125.0</v>
      </c>
      <c r="O289" s="55">
        <f>IF(ISNUMBER(K289),M289-N289,"")</f>
        <v>325.0</v>
      </c>
      <c r="P289" s="55">
        <f>IF(COUNTA(A289:I289)=0,"",N(G289)+N(H289)+N(I289))</f>
        <v>279.0</v>
      </c>
      <c r="Q289" s="56">
        <f>IF(COUNTA(A289:I289)=0,"",IF(N(IFERROR(INDEX(art_rate,MATCH(E289,art_ref,0)),0))&gt;0,N(IFERROR(INDEX(art_rate,MATCH(E289,art_ref,0)),0)),N(IFERROR(INDEX(po_rate,MATCH(C289,po_code,0)),0))))</f>
        <v>55.0</v>
      </c>
      <c r="R289" s="55">
        <f>IF(AC289=1,P289*60/Q289,"")</f>
        <v>304.363636363636</v>
      </c>
      <c r="S289" s="55">
        <f>IF(AC289=1,N(G289)*60/Q289,"")</f>
        <v>297.818181818182</v>
      </c>
      <c r="T289" s="57">
        <f>IF(AC289=1,O289/M289,"")</f>
        <v>0.722222222222222</v>
      </c>
      <c r="U289" s="57">
        <f>IF(AC289=1,IF(O289&gt;0,R289/O289,""),"")</f>
        <v>0.936503496503497</v>
      </c>
      <c r="V289" s="57">
        <f>IF(AC289=1,IF(P289&gt;0,N(G289)/P289,""),"")</f>
        <v>0.978494623655914</v>
      </c>
      <c r="W289" s="57">
        <f>IF(AC289=1,S289/M289,"")</f>
        <v>0.661818181818182</v>
      </c>
      <c r="X289" s="57">
        <f>IF(AC289=1,S289/K289,"")</f>
        <v>0.620454545454546</v>
      </c>
      <c r="Y289" s="58" t="str">
        <f>IF(W289="","",IF(W289&gt;=p_target,"Bon",IF(W289&gt;=p_alert,"À surveiller","Faible")))</f>
        <v>À surveiller</v>
      </c>
      <c r="Z289" s="58" t="str">
        <f>IF(W289="","",IF(MIN(IF(T289="",1,T289),IF(U289="",1,U289),IF(V289="",1,V289))&gt;=1,"Aucune",IF(IF(T289="",1,T289)&lt;=MIN(IF(U289="",1,U289),IF(V289="",1,V289)),"Disponibilité",IF(IF(U289="",1,U289)&lt;=IF(V289="",1,V289),"Performance","Qualité"))))</f>
        <v>Disponibilité</v>
      </c>
      <c r="AA289" s="59">
        <f>IF(AC289=1,N(H289)*N(IFERROR(INDEX(art_cost,MATCH(E289,art_ref,0)),0)),"")</f>
        <v>20.4</v>
      </c>
      <c r="AB289" s="58" t="str">
        <f>IF(COUNTA(A289:I289)=0,"",IF(N(A289)&lt;=0,"Date manquante ou invalide",IF(B289="","Équipe manquante",IF(ISNA(MATCH(B289,eq_code,0)),"Équipe inconnue",IF(INDEX(eq_check,MATCH(B289,eq_code,0))&lt;&gt;"OK","Équipe à corriger dans Paramètres",IF(C289="","Poste manquant",IF(ISNA(MATCH(C289,po_code,0)),"Poste inconnu",IF(AND(E289&lt;&gt;"",ISNA(MATCH(E289,art_ref,0))),"Article inconnu",IF(IF(E289="",FALSE,INDEX(art_check,MATCH(E289,art_ref,0))&lt;&gt;"OK"),"Article à corriger (feuille Articles)",IF(COUNTIFS(sj_date,A289,sj_eq,B289,sj_po,C289)&gt;1,"Ligne en double (même jour, équipe et poste)",IF(OR(NOT(ISNUMBER(K289)),N(K289)&lt;=0,N(K289)&gt;1440),"Temps d'ouverture invalide",IF(OR(AND(G289&lt;&gt;"",NOT(ISNUMBER(G289))),N(G289)&lt;0,N(G289)&lt;&gt;INT(N(G289)),AND(H289&lt;&gt;"",NOT(ISNUMBER(H289))),N(H289)&lt;0,N(H289)&lt;&gt;INT(N(H289)),AND(I289&lt;&gt;"",NOT(ISNUMBER(I289))),N(I289)&lt;0,N(I289)&lt;&gt;INT(N(I289))),"Quantité invalide",IF(Q289&lt;=0,"Cadence manquante (poste ou article)",IF(M289&lt;=0,"Arrêts planifiés supérieurs au temps d'ouverture",IF(O289&lt;0,"Arrêts supérieurs au temps requis",IF(AND(P289&gt;0,O289=0),"Pièces déclarées sans temps de marche",IF(AND(P289=0,O289&gt;0),"Aucune pièce déclarée",IF(P289*60/Q289&gt;O289+0.001,"Cadence dépassée : vérifiez la cadence","OK"))))))))))))))))))</f>
        <v>OK</v>
      </c>
      <c r="AC289">
        <f>IF(OR(AB289="OK",AB289="Aucune pièce déclarée",AB289="Cadence dépassée : vérifiez la cadence"),1,0)</f>
        <v>1.0</v>
      </c>
      <c r="AD289">
        <f>IF(AND(AC289=1,A289&gt;=p_from,A289&lt;=p_to),1,0)</f>
        <v>1.0</v>
      </c>
      <c r="AE289">
        <f>IF(AD289=1,IF(COUNTIFS($A$6:A289,A289,$AD$6:AD289,1)=1,1,0),0)</f>
        <v>0.0</v>
      </c>
      <c r="AF289" t="str">
        <f>IF(AE289=1,COUNTIFS(sj_first,1,sj_date,"&lt;"&amp;A289)+1,"")</f>
        <v/>
      </c>
      <c r="AG289" t="str">
        <f>IF(AND(AD289=1,N(W289)&lt;p_alert),ROUND(W289,4),"")</f>
        <v/>
      </c>
      <c r="AH289" t="str">
        <f>IF(AG289="","",COUNTIF(sj_akey,"&lt;"&amp;AG289)+COUNTIF($AG$6:AG289,AG289))</f>
        <v/>
      </c>
    </row>
    <row r="290">
      <c r="A290" s="51" t="n">
        <v>46324</v>
      </c>
      <c r="B290" s="52" t="inlineStr">
        <is>
          <t>Matin</t>
        </is>
      </c>
      <c r="C290" s="52" t="inlineStr">
        <is>
          <t>USIN</t>
        </is>
      </c>
      <c r="D290" s="53" t="inlineStr">
        <is>
          <t>OF-2610-192</t>
        </is>
      </c>
      <c r="E290" s="53" t="inlineStr">
        <is>
          <t>CAR-BOI-04</t>
        </is>
      </c>
      <c r="F290" s="54" t="n"/>
      <c r="G290" s="54" t="n">
        <v>40</v>
      </c>
      <c r="H290" s="54" t="n">
        <v>1</v>
      </c>
      <c r="I290" s="54" t="n">
        <v>0</v>
      </c>
      <c r="J290" s="53" t="n"/>
      <c r="K290" s="55">
        <f>IF(COUNTA(A290:I290)=0,"",IF(F290="",IFERROR(INDEX(eq_dur,MATCH(B290,eq_code,0)),""),F290))</f>
        <v>480.0</v>
      </c>
      <c r="L290" s="55">
        <f>IF(ISNUMBER(K290),N(IFERROR(INDEX(eq_pause,MATCH(B290,eq_code,0)),0))+SUMIFS(st_min,st_date,A290,st_eq,B290,st_po,C290,st_type,"Planifié"),"")</f>
        <v>30.0</v>
      </c>
      <c r="M290" s="55">
        <f>IF(ISNUMBER(K290),K290-L290,"")</f>
        <v>450.0</v>
      </c>
      <c r="N290" s="55">
        <f>IF(ISNUMBER(K290),SUMIFS(st_min,st_date,A290,st_eq,B290,st_po,C290,st_type,"Non planifié"),"")</f>
        <v>0.0</v>
      </c>
      <c r="O290" s="55">
        <f>IF(ISNUMBER(K290),M290-N290,"")</f>
        <v>450.0</v>
      </c>
      <c r="P290" s="55">
        <f>IF(COUNTA(A290:I290)=0,"",N(G290)+N(H290)+N(I290))</f>
        <v>41.0</v>
      </c>
      <c r="Q290" s="56">
        <f>IF(COUNTA(A290:I290)=0,"",IF(N(IFERROR(INDEX(art_rate,MATCH(E290,art_ref,0)),0))&gt;0,N(IFERROR(INDEX(art_rate,MATCH(E290,art_ref,0)),0)),N(IFERROR(INDEX(po_rate,MATCH(C290,po_code,0)),0))))</f>
        <v>6.0</v>
      </c>
      <c r="R290" s="55">
        <f>IF(AC290=1,P290*60/Q290,"")</f>
        <v>410.0</v>
      </c>
      <c r="S290" s="55">
        <f>IF(AC290=1,N(G290)*60/Q290,"")</f>
        <v>400.0</v>
      </c>
      <c r="T290" s="57">
        <f>IF(AC290=1,O290/M290,"")</f>
        <v>1.0</v>
      </c>
      <c r="U290" s="57">
        <f>IF(AC290=1,IF(O290&gt;0,R290/O290,""),"")</f>
        <v>0.911111111111111</v>
      </c>
      <c r="V290" s="57">
        <f>IF(AC290=1,IF(P290&gt;0,N(G290)/P290,""),"")</f>
        <v>0.975609756097561</v>
      </c>
      <c r="W290" s="57">
        <f>IF(AC290=1,S290/M290,"")</f>
        <v>0.888888888888889</v>
      </c>
      <c r="X290" s="57">
        <f>IF(AC290=1,S290/K290,"")</f>
        <v>0.833333333333333</v>
      </c>
      <c r="Y290" s="58" t="str">
        <f>IF(W290="","",IF(W290&gt;=p_target,"Bon",IF(W290&gt;=p_alert,"À surveiller","Faible")))</f>
        <v>Bon</v>
      </c>
      <c r="Z290" s="58" t="str">
        <f>IF(W290="","",IF(MIN(IF(T290="",1,T290),IF(U290="",1,U290),IF(V290="",1,V290))&gt;=1,"Aucune",IF(IF(T290="",1,T290)&lt;=MIN(IF(U290="",1,U290),IF(V290="",1,V290)),"Disponibilité",IF(IF(U290="",1,U290)&lt;=IF(V290="",1,V290),"Performance","Qualité"))))</f>
        <v>Performance</v>
      </c>
      <c r="AA290" s="59">
        <f>IF(AC290=1,N(H290)*N(IFERROR(INDEX(art_cost,MATCH(E290,art_ref,0)),0)),"")</f>
        <v>610.0</v>
      </c>
      <c r="AB290" s="58" t="str">
        <f>IF(COUNTA(A290:I290)=0,"",IF(N(A290)&lt;=0,"Date manquante ou invalide",IF(B290="","Équipe manquante",IF(ISNA(MATCH(B290,eq_code,0)),"Équipe inconnue",IF(INDEX(eq_check,MATCH(B290,eq_code,0))&lt;&gt;"OK","Équipe à corriger dans Paramètres",IF(C290="","Poste manquant",IF(ISNA(MATCH(C290,po_code,0)),"Poste inconnu",IF(AND(E290&lt;&gt;"",ISNA(MATCH(E290,art_ref,0))),"Article inconnu",IF(IF(E290="",FALSE,INDEX(art_check,MATCH(E290,art_ref,0))&lt;&gt;"OK"),"Article à corriger (feuille Articles)",IF(COUNTIFS(sj_date,A290,sj_eq,B290,sj_po,C290)&gt;1,"Ligne en double (même jour, équipe et poste)",IF(OR(NOT(ISNUMBER(K290)),N(K290)&lt;=0,N(K290)&gt;1440),"Temps d'ouverture invalide",IF(OR(AND(G290&lt;&gt;"",NOT(ISNUMBER(G290))),N(G290)&lt;0,N(G290)&lt;&gt;INT(N(G290)),AND(H290&lt;&gt;"",NOT(ISNUMBER(H290))),N(H290)&lt;0,N(H290)&lt;&gt;INT(N(H290)),AND(I290&lt;&gt;"",NOT(ISNUMBER(I290))),N(I290)&lt;0,N(I290)&lt;&gt;INT(N(I290))),"Quantité invalide",IF(Q290&lt;=0,"Cadence manquante (poste ou article)",IF(M290&lt;=0,"Arrêts planifiés supérieurs au temps d'ouverture",IF(O290&lt;0,"Arrêts supérieurs au temps requis",IF(AND(P290&gt;0,O290=0),"Pièces déclarées sans temps de marche",IF(AND(P290=0,O290&gt;0),"Aucune pièce déclarée",IF(P290*60/Q290&gt;O290+0.001,"Cadence dépassée : vérifiez la cadence","OK"))))))))))))))))))</f>
        <v>OK</v>
      </c>
      <c r="AC290">
        <f>IF(OR(AB290="OK",AB290="Aucune pièce déclarée",AB290="Cadence dépassée : vérifiez la cadence"),1,0)</f>
        <v>1.0</v>
      </c>
      <c r="AD290">
        <f>IF(AND(AC290=1,A290&gt;=p_from,A290&lt;=p_to),1,0)</f>
        <v>1.0</v>
      </c>
      <c r="AE290">
        <f>IF(AD290=1,IF(COUNTIFS($A$6:A290,A290,$AD$6:AD290,1)=1,1,0),0)</f>
        <v>0.0</v>
      </c>
      <c r="AF290" t="str">
        <f>IF(AE290=1,COUNTIFS(sj_first,1,sj_date,"&lt;"&amp;A290)+1,"")</f>
        <v/>
      </c>
      <c r="AG290" t="str">
        <f>IF(AND(AD290=1,N(W290)&lt;p_alert),ROUND(W290,4),"")</f>
        <v/>
      </c>
      <c r="AH290" t="str">
        <f>IF(AG290="","",COUNTIF(sj_akey,"&lt;"&amp;AG290)+COUNTIF($AG$6:AG290,AG290))</f>
        <v/>
      </c>
    </row>
    <row r="291">
      <c r="A291" s="51" t="n">
        <v>46324</v>
      </c>
      <c r="B291" s="52" t="inlineStr">
        <is>
          <t>Après-midi</t>
        </is>
      </c>
      <c r="C291" s="52" t="inlineStr">
        <is>
          <t>USIN</t>
        </is>
      </c>
      <c r="D291" s="53" t="inlineStr">
        <is>
          <t>OF-2610-190</t>
        </is>
      </c>
      <c r="E291" s="53" t="inlineStr">
        <is>
          <t>FLA-PL-150</t>
        </is>
      </c>
      <c r="F291" s="54" t="n"/>
      <c r="G291" s="54" t="n">
        <v>63</v>
      </c>
      <c r="H291" s="54" t="n">
        <v>2</v>
      </c>
      <c r="I291" s="54" t="n">
        <v>0</v>
      </c>
      <c r="J291" s="53" t="n"/>
      <c r="K291" s="55">
        <f>IF(COUNTA(A291:I291)=0,"",IF(F291="",IFERROR(INDEX(eq_dur,MATCH(B291,eq_code,0)),""),F291))</f>
        <v>480.0</v>
      </c>
      <c r="L291" s="55">
        <f>IF(ISNUMBER(K291),N(IFERROR(INDEX(eq_pause,MATCH(B291,eq_code,0)),0))+SUMIFS(st_min,st_date,A291,st_eq,B291,st_po,C291,st_type,"Planifié"),"")</f>
        <v>30.0</v>
      </c>
      <c r="M291" s="55">
        <f>IF(ISNUMBER(K291),K291-L291,"")</f>
        <v>450.0</v>
      </c>
      <c r="N291" s="55">
        <f>IF(ISNUMBER(K291),SUMIFS(st_min,st_date,A291,st_eq,B291,st_po,C291,st_type,"Non planifié"),"")</f>
        <v>61.0</v>
      </c>
      <c r="O291" s="55">
        <f>IF(ISNUMBER(K291),M291-N291,"")</f>
        <v>389.0</v>
      </c>
      <c r="P291" s="55">
        <f>IF(COUNTA(A291:I291)=0,"",N(G291)+N(H291)+N(I291))</f>
        <v>65.0</v>
      </c>
      <c r="Q291" s="56">
        <f>IF(COUNTA(A291:I291)=0,"",IF(N(IFERROR(INDEX(art_rate,MATCH(E291,art_ref,0)),0))&gt;0,N(IFERROR(INDEX(art_rate,MATCH(E291,art_ref,0)),0)),N(IFERROR(INDEX(po_rate,MATCH(C291,po_code,0)),0))))</f>
        <v>12.0</v>
      </c>
      <c r="R291" s="55">
        <f>IF(AC291=1,P291*60/Q291,"")</f>
        <v>325.0</v>
      </c>
      <c r="S291" s="55">
        <f>IF(AC291=1,N(G291)*60/Q291,"")</f>
        <v>315.0</v>
      </c>
      <c r="T291" s="57">
        <f>IF(AC291=1,O291/M291,"")</f>
        <v>0.864444444444445</v>
      </c>
      <c r="U291" s="57">
        <f>IF(AC291=1,IF(O291&gt;0,R291/O291,""),"")</f>
        <v>0.83547557840617</v>
      </c>
      <c r="V291" s="57">
        <f>IF(AC291=1,IF(P291&gt;0,N(G291)/P291,""),"")</f>
        <v>0.969230769230769</v>
      </c>
      <c r="W291" s="57">
        <f>IF(AC291=1,S291/M291,"")</f>
        <v>0.7</v>
      </c>
      <c r="X291" s="57">
        <f>IF(AC291=1,S291/K291,"")</f>
        <v>0.65625</v>
      </c>
      <c r="Y291" s="58" t="str">
        <f>IF(W291="","",IF(W291&gt;=p_target,"Bon",IF(W291&gt;=p_alert,"À surveiller","Faible")))</f>
        <v>À surveiller</v>
      </c>
      <c r="Z291" s="58" t="str">
        <f>IF(W291="","",IF(MIN(IF(T291="",1,T291),IF(U291="",1,U291),IF(V291="",1,V291))&gt;=1,"Aucune",IF(IF(T291="",1,T291)&lt;=MIN(IF(U291="",1,U291),IF(V291="",1,V291)),"Disponibilité",IF(IF(U291="",1,U291)&lt;=IF(V291="",1,V291),"Performance","Qualité"))))</f>
        <v>Performance</v>
      </c>
      <c r="AA291" s="59">
        <f>IF(AC291=1,N(H291)*N(IFERROR(INDEX(art_cost,MATCH(E291,art_ref,0)),0)),"")</f>
        <v>290.0</v>
      </c>
      <c r="AB291" s="58" t="str">
        <f>IF(COUNTA(A291:I291)=0,"",IF(N(A291)&lt;=0,"Date manquante ou invalide",IF(B291="","Équipe manquante",IF(ISNA(MATCH(B291,eq_code,0)),"Équipe inconnue",IF(INDEX(eq_check,MATCH(B291,eq_code,0))&lt;&gt;"OK","Équipe à corriger dans Paramètres",IF(C291="","Poste manquant",IF(ISNA(MATCH(C291,po_code,0)),"Poste inconnu",IF(AND(E291&lt;&gt;"",ISNA(MATCH(E291,art_ref,0))),"Article inconnu",IF(IF(E291="",FALSE,INDEX(art_check,MATCH(E291,art_ref,0))&lt;&gt;"OK"),"Article à corriger (feuille Articles)",IF(COUNTIFS(sj_date,A291,sj_eq,B291,sj_po,C291)&gt;1,"Ligne en double (même jour, équipe et poste)",IF(OR(NOT(ISNUMBER(K291)),N(K291)&lt;=0,N(K291)&gt;1440),"Temps d'ouverture invalide",IF(OR(AND(G291&lt;&gt;"",NOT(ISNUMBER(G291))),N(G291)&lt;0,N(G291)&lt;&gt;INT(N(G291)),AND(H291&lt;&gt;"",NOT(ISNUMBER(H291))),N(H291)&lt;0,N(H291)&lt;&gt;INT(N(H291)),AND(I291&lt;&gt;"",NOT(ISNUMBER(I291))),N(I291)&lt;0,N(I291)&lt;&gt;INT(N(I291))),"Quantité invalide",IF(Q291&lt;=0,"Cadence manquante (poste ou article)",IF(M291&lt;=0,"Arrêts planifiés supérieurs au temps d'ouverture",IF(O291&lt;0,"Arrêts supérieurs au temps requis",IF(AND(P291&gt;0,O291=0),"Pièces déclarées sans temps de marche",IF(AND(P291=0,O291&gt;0),"Aucune pièce déclarée",IF(P291*60/Q291&gt;O291+0.001,"Cadence dépassée : vérifiez la cadence","OK"))))))))))))))))))</f>
        <v>OK</v>
      </c>
      <c r="AC291">
        <f>IF(OR(AB291="OK",AB291="Aucune pièce déclarée",AB291="Cadence dépassée : vérifiez la cadence"),1,0)</f>
        <v>1.0</v>
      </c>
      <c r="AD291">
        <f>IF(AND(AC291=1,A291&gt;=p_from,A291&lt;=p_to),1,0)</f>
        <v>1.0</v>
      </c>
      <c r="AE291">
        <f>IF(AD291=1,IF(COUNTIFS($A$6:A291,A291,$AD$6:AD291,1)=1,1,0),0)</f>
        <v>0.0</v>
      </c>
      <c r="AF291" t="str">
        <f>IF(AE291=1,COUNTIFS(sj_first,1,sj_date,"&lt;"&amp;A291)+1,"")</f>
        <v/>
      </c>
      <c r="AG291" t="str">
        <f>IF(AND(AD291=1,N(W291)&lt;p_alert),ROUND(W291,4),"")</f>
        <v/>
      </c>
      <c r="AH291" t="str">
        <f>IF(AG291="","",COUNTIF(sj_akey,"&lt;"&amp;AG291)+COUNTIF($AG$6:AG291,AG291))</f>
        <v/>
      </c>
    </row>
    <row r="292">
      <c r="A292" s="51" t="n">
        <v>46324</v>
      </c>
      <c r="B292" s="52" t="inlineStr">
        <is>
          <t>Matin</t>
        </is>
      </c>
      <c r="C292" s="52" t="inlineStr">
        <is>
          <t>PRESSE</t>
        </is>
      </c>
      <c r="D292" s="53" t="inlineStr">
        <is>
          <t>OF-2610-183</t>
        </is>
      </c>
      <c r="E292" s="53" t="inlineStr">
        <is>
          <t>RON-M10</t>
        </is>
      </c>
      <c r="F292" s="54" t="n"/>
      <c r="G292" s="54" t="n">
        <v>4145</v>
      </c>
      <c r="H292" s="54" t="n">
        <v>12</v>
      </c>
      <c r="I292" s="54" t="n">
        <v>2</v>
      </c>
      <c r="J292" s="53" t="n"/>
      <c r="K292" s="55">
        <f>IF(COUNTA(A292:I292)=0,"",IF(F292="",IFERROR(INDEX(eq_dur,MATCH(B292,eq_code,0)),""),F292))</f>
        <v>480.0</v>
      </c>
      <c r="L292" s="55">
        <f>IF(ISNUMBER(K292),N(IFERROR(INDEX(eq_pause,MATCH(B292,eq_code,0)),0))+SUMIFS(st_min,st_date,A292,st_eq,B292,st_po,C292,st_type,"Planifié"),"")</f>
        <v>30.0</v>
      </c>
      <c r="M292" s="55">
        <f>IF(ISNUMBER(K292),K292-L292,"")</f>
        <v>450.0</v>
      </c>
      <c r="N292" s="55">
        <f>IF(ISNUMBER(K292),SUMIFS(st_min,st_date,A292,st_eq,B292,st_po,C292,st_type,"Non planifié"),"")</f>
        <v>0.0</v>
      </c>
      <c r="O292" s="55">
        <f>IF(ISNUMBER(K292),M292-N292,"")</f>
        <v>450.0</v>
      </c>
      <c r="P292" s="55">
        <f>IF(COUNTA(A292:I292)=0,"",N(G292)+N(H292)+N(I292))</f>
        <v>4159.0</v>
      </c>
      <c r="Q292" s="56">
        <f>IF(COUNTA(A292:I292)=0,"",IF(N(IFERROR(INDEX(art_rate,MATCH(E292,art_ref,0)),0))&gt;0,N(IFERROR(INDEX(art_rate,MATCH(E292,art_ref,0)),0)),N(IFERROR(INDEX(po_rate,MATCH(C292,po_code,0)),0))))</f>
        <v>600.0</v>
      </c>
      <c r="R292" s="55">
        <f>IF(AC292=1,P292*60/Q292,"")</f>
        <v>415.9</v>
      </c>
      <c r="S292" s="55">
        <f>IF(AC292=1,N(G292)*60/Q292,"")</f>
        <v>414.5</v>
      </c>
      <c r="T292" s="57">
        <f>IF(AC292=1,O292/M292,"")</f>
        <v>1.0</v>
      </c>
      <c r="U292" s="57">
        <f>IF(AC292=1,IF(O292&gt;0,R292/O292,""),"")</f>
        <v>0.924222222222222</v>
      </c>
      <c r="V292" s="57">
        <f>IF(AC292=1,IF(P292&gt;0,N(G292)/P292,""),"")</f>
        <v>0.996633806203414</v>
      </c>
      <c r="W292" s="57">
        <f>IF(AC292=1,S292/M292,"")</f>
        <v>0.921111111111111</v>
      </c>
      <c r="X292" s="57">
        <f>IF(AC292=1,S292/K292,"")</f>
        <v>0.863541666666667</v>
      </c>
      <c r="Y292" s="58" t="str">
        <f>IF(W292="","",IF(W292&gt;=p_target,"Bon",IF(W292&gt;=p_alert,"À surveiller","Faible")))</f>
        <v>Bon</v>
      </c>
      <c r="Z292" s="58" t="str">
        <f>IF(W292="","",IF(MIN(IF(T292="",1,T292),IF(U292="",1,U292),IF(V292="",1,V292))&gt;=1,"Aucune",IF(IF(T292="",1,T292)&lt;=MIN(IF(U292="",1,U292),IF(V292="",1,V292)),"Disponibilité",IF(IF(U292="",1,U292)&lt;=IF(V292="",1,V292),"Performance","Qualité"))))</f>
        <v>Performance</v>
      </c>
      <c r="AA292" s="59">
        <f>IF(AC292=1,N(H292)*N(IFERROR(INDEX(art_cost,MATCH(E292,art_ref,0)),0)),"")</f>
        <v>10.8</v>
      </c>
      <c r="AB292" s="58" t="str">
        <f>IF(COUNTA(A292:I292)=0,"",IF(N(A292)&lt;=0,"Date manquante ou invalide",IF(B292="","Équipe manquante",IF(ISNA(MATCH(B292,eq_code,0)),"Équipe inconnue",IF(INDEX(eq_check,MATCH(B292,eq_code,0))&lt;&gt;"OK","Équipe à corriger dans Paramètres",IF(C292="","Poste manquant",IF(ISNA(MATCH(C292,po_code,0)),"Poste inconnu",IF(AND(E292&lt;&gt;"",ISNA(MATCH(E292,art_ref,0))),"Article inconnu",IF(IF(E292="",FALSE,INDEX(art_check,MATCH(E292,art_ref,0))&lt;&gt;"OK"),"Article à corriger (feuille Articles)",IF(COUNTIFS(sj_date,A292,sj_eq,B292,sj_po,C292)&gt;1,"Ligne en double (même jour, équipe et poste)",IF(OR(NOT(ISNUMBER(K292)),N(K292)&lt;=0,N(K292)&gt;1440),"Temps d'ouverture invalide",IF(OR(AND(G292&lt;&gt;"",NOT(ISNUMBER(G292))),N(G292)&lt;0,N(G292)&lt;&gt;INT(N(G292)),AND(H292&lt;&gt;"",NOT(ISNUMBER(H292))),N(H292)&lt;0,N(H292)&lt;&gt;INT(N(H292)),AND(I292&lt;&gt;"",NOT(ISNUMBER(I292))),N(I292)&lt;0,N(I292)&lt;&gt;INT(N(I292))),"Quantité invalide",IF(Q292&lt;=0,"Cadence manquante (poste ou article)",IF(M292&lt;=0,"Arrêts planifiés supérieurs au temps d'ouverture",IF(O292&lt;0,"Arrêts supérieurs au temps requis",IF(AND(P292&gt;0,O292=0),"Pièces déclarées sans temps de marche",IF(AND(P292=0,O292&gt;0),"Aucune pièce déclarée",IF(P292*60/Q292&gt;O292+0.001,"Cadence dépassée : vérifiez la cadence","OK"))))))))))))))))))</f>
        <v>OK</v>
      </c>
      <c r="AC292">
        <f>IF(OR(AB292="OK",AB292="Aucune pièce déclarée",AB292="Cadence dépassée : vérifiez la cadence"),1,0)</f>
        <v>1.0</v>
      </c>
      <c r="AD292">
        <f>IF(AND(AC292=1,A292&gt;=p_from,A292&lt;=p_to),1,0)</f>
        <v>1.0</v>
      </c>
      <c r="AE292">
        <f>IF(AD292=1,IF(COUNTIFS($A$6:A292,A292,$AD$6:AD292,1)=1,1,0),0)</f>
        <v>0.0</v>
      </c>
      <c r="AF292" t="str">
        <f>IF(AE292=1,COUNTIFS(sj_first,1,sj_date,"&lt;"&amp;A292)+1,"")</f>
        <v/>
      </c>
      <c r="AG292" t="str">
        <f>IF(AND(AD292=1,N(W292)&lt;p_alert),ROUND(W292,4),"")</f>
        <v/>
      </c>
      <c r="AH292" t="str">
        <f>IF(AG292="","",COUNTIF(sj_akey,"&lt;"&amp;AG292)+COUNTIF($AG$6:AG292,AG292))</f>
        <v/>
      </c>
    </row>
    <row r="293">
      <c r="A293" s="51" t="n">
        <v>46324</v>
      </c>
      <c r="B293" s="52" t="inlineStr">
        <is>
          <t>Journée</t>
        </is>
      </c>
      <c r="C293" s="52" t="inlineStr">
        <is>
          <t>PLIE</t>
        </is>
      </c>
      <c r="D293" s="53" t="inlineStr">
        <is>
          <t>OF-2610-180</t>
        </is>
      </c>
      <c r="E293" s="53" t="inlineStr">
        <is>
          <t>GAR-SUP-02</t>
        </is>
      </c>
      <c r="F293" s="54" t="n"/>
      <c r="G293" s="54" t="n">
        <v>525</v>
      </c>
      <c r="H293" s="54" t="n">
        <v>12</v>
      </c>
      <c r="I293" s="54" t="n">
        <v>2</v>
      </c>
      <c r="J293" s="53" t="n"/>
      <c r="K293" s="55">
        <f>IF(COUNTA(A293:I293)=0,"",IF(F293="",IFERROR(INDEX(eq_dur,MATCH(B293,eq_code,0)),""),F293))</f>
        <v>540.0</v>
      </c>
      <c r="L293" s="55">
        <f>IF(ISNUMBER(K293),N(IFERROR(INDEX(eq_pause,MATCH(B293,eq_code,0)),0))+SUMIFS(st_min,st_date,A293,st_eq,B293,st_po,C293,st_type,"Planifié"),"")</f>
        <v>60.0</v>
      </c>
      <c r="M293" s="55">
        <f>IF(ISNUMBER(K293),K293-L293,"")</f>
        <v>480.0</v>
      </c>
      <c r="N293" s="55">
        <f>IF(ISNUMBER(K293),SUMIFS(st_min,st_date,A293,st_eq,B293,st_po,C293,st_type,"Non planifié"),"")</f>
        <v>97.0</v>
      </c>
      <c r="O293" s="55">
        <f>IF(ISNUMBER(K293),M293-N293,"")</f>
        <v>383.0</v>
      </c>
      <c r="P293" s="55">
        <f>IF(COUNTA(A293:I293)=0,"",N(G293)+N(H293)+N(I293))</f>
        <v>539.0</v>
      </c>
      <c r="Q293" s="56">
        <f>IF(COUNTA(A293:I293)=0,"",IF(N(IFERROR(INDEX(art_rate,MATCH(E293,art_ref,0)),0))&gt;0,N(IFERROR(INDEX(art_rate,MATCH(E293,art_ref,0)),0)),N(IFERROR(INDEX(po_rate,MATCH(C293,po_code,0)),0))))</f>
        <v>110.0</v>
      </c>
      <c r="R293" s="55">
        <f>IF(AC293=1,P293*60/Q293,"")</f>
        <v>294.0</v>
      </c>
      <c r="S293" s="55">
        <f>IF(AC293=1,N(G293)*60/Q293,"")</f>
        <v>286.363636363636</v>
      </c>
      <c r="T293" s="57">
        <f>IF(AC293=1,O293/M293,"")</f>
        <v>0.797916666666667</v>
      </c>
      <c r="U293" s="57">
        <f>IF(AC293=1,IF(O293&gt;0,R293/O293,""),"")</f>
        <v>0.767624020887728</v>
      </c>
      <c r="V293" s="57">
        <f>IF(AC293=1,IF(P293&gt;0,N(G293)/P293,""),"")</f>
        <v>0.974025974025974</v>
      </c>
      <c r="W293" s="57">
        <f>IF(AC293=1,S293/M293,"")</f>
        <v>0.596590909090909</v>
      </c>
      <c r="X293" s="57">
        <f>IF(AC293=1,S293/K293,"")</f>
        <v>0.53030303030303</v>
      </c>
      <c r="Y293" s="58" t="str">
        <f>IF(W293="","",IF(W293&gt;=p_target,"Bon",IF(W293&gt;=p_alert,"À surveiller","Faible")))</f>
        <v>À surveiller</v>
      </c>
      <c r="Z293" s="58" t="str">
        <f>IF(W293="","",IF(MIN(IF(T293="",1,T293),IF(U293="",1,U293),IF(V293="",1,V293))&gt;=1,"Aucune",IF(IF(T293="",1,T293)&lt;=MIN(IF(U293="",1,U293),IF(V293="",1,V293)),"Disponibilité",IF(IF(U293="",1,U293)&lt;=IF(V293="",1,V293),"Performance","Qualité"))))</f>
        <v>Performance</v>
      </c>
      <c r="AA293" s="59">
        <f>IF(AC293=1,N(H293)*N(IFERROR(INDEX(art_cost,MATCH(E293,art_ref,0)),0)),"")</f>
        <v>258.0</v>
      </c>
      <c r="AB293" s="58" t="str">
        <f>IF(COUNTA(A293:I293)=0,"",IF(N(A293)&lt;=0,"Date manquante ou invalide",IF(B293="","Équipe manquante",IF(ISNA(MATCH(B293,eq_code,0)),"Équipe inconnue",IF(INDEX(eq_check,MATCH(B293,eq_code,0))&lt;&gt;"OK","Équipe à corriger dans Paramètres",IF(C293="","Poste manquant",IF(ISNA(MATCH(C293,po_code,0)),"Poste inconnu",IF(AND(E293&lt;&gt;"",ISNA(MATCH(E293,art_ref,0))),"Article inconnu",IF(IF(E293="",FALSE,INDEX(art_check,MATCH(E293,art_ref,0))&lt;&gt;"OK"),"Article à corriger (feuille Articles)",IF(COUNTIFS(sj_date,A293,sj_eq,B293,sj_po,C293)&gt;1,"Ligne en double (même jour, équipe et poste)",IF(OR(NOT(ISNUMBER(K293)),N(K293)&lt;=0,N(K293)&gt;1440),"Temps d'ouverture invalide",IF(OR(AND(G293&lt;&gt;"",NOT(ISNUMBER(G293))),N(G293)&lt;0,N(G293)&lt;&gt;INT(N(G293)),AND(H293&lt;&gt;"",NOT(ISNUMBER(H293))),N(H293)&lt;0,N(H293)&lt;&gt;INT(N(H293)),AND(I293&lt;&gt;"",NOT(ISNUMBER(I293))),N(I293)&lt;0,N(I293)&lt;&gt;INT(N(I293))),"Quantité invalide",IF(Q293&lt;=0,"Cadence manquante (poste ou article)",IF(M293&lt;=0,"Arrêts planifiés supérieurs au temps d'ouverture",IF(O293&lt;0,"Arrêts supérieurs au temps requis",IF(AND(P293&gt;0,O293=0),"Pièces déclarées sans temps de marche",IF(AND(P293=0,O293&gt;0),"Aucune pièce déclarée",IF(P293*60/Q293&gt;O293+0.001,"Cadence dépassée : vérifiez la cadence","OK"))))))))))))))))))</f>
        <v>OK</v>
      </c>
      <c r="AC293">
        <f>IF(OR(AB293="OK",AB293="Aucune pièce déclarée",AB293="Cadence dépassée : vérifiez la cadence"),1,0)</f>
        <v>1.0</v>
      </c>
      <c r="AD293">
        <f>IF(AND(AC293=1,A293&gt;=p_from,A293&lt;=p_to),1,0)</f>
        <v>1.0</v>
      </c>
      <c r="AE293">
        <f>IF(AD293=1,IF(COUNTIFS($A$6:A293,A293,$AD$6:AD293,1)=1,1,0),0)</f>
        <v>0.0</v>
      </c>
      <c r="AF293" t="str">
        <f>IF(AE293=1,COUNTIFS(sj_first,1,sj_date,"&lt;"&amp;A293)+1,"")</f>
        <v/>
      </c>
      <c r="AG293" t="str">
        <f>IF(AND(AD293=1,N(W293)&lt;p_alert),ROUND(W293,4),"")</f>
        <v/>
      </c>
      <c r="AH293" t="str">
        <f>IF(AG293="","",COUNTIF(sj_akey,"&lt;"&amp;AG293)+COUNTIF($AG$6:AG293,AG293))</f>
        <v/>
      </c>
    </row>
    <row r="294">
      <c r="A294" s="51" t="n">
        <v>46324</v>
      </c>
      <c r="B294" s="52" t="inlineStr">
        <is>
          <t>Matin</t>
        </is>
      </c>
      <c r="C294" s="52" t="inlineStr">
        <is>
          <t>SOUD</t>
        </is>
      </c>
      <c r="D294" s="53" t="inlineStr">
        <is>
          <t>OF-2610-187</t>
        </is>
      </c>
      <c r="E294" s="53" t="inlineStr">
        <is>
          <t>BRA-SUS-02</t>
        </is>
      </c>
      <c r="F294" s="54" t="n">
        <v>240</v>
      </c>
      <c r="G294" s="54" t="n">
        <v>9</v>
      </c>
      <c r="H294" s="54" t="n">
        <v>0</v>
      </c>
      <c r="I294" s="54" t="n">
        <v>0</v>
      </c>
      <c r="J294" s="53" t="n"/>
      <c r="K294" s="55">
        <f>IF(COUNTA(A294:I294)=0,"",IF(F294="",IFERROR(INDEX(eq_dur,MATCH(B294,eq_code,0)),""),F294))</f>
        <v>240.0</v>
      </c>
      <c r="L294" s="55">
        <f>IF(ISNUMBER(K294),N(IFERROR(INDEX(eq_pause,MATCH(B294,eq_code,0)),0))+SUMIFS(st_min,st_date,A294,st_eq,B294,st_po,C294,st_type,"Planifié"),"")</f>
        <v>30.0</v>
      </c>
      <c r="M294" s="55">
        <f>IF(ISNUMBER(K294),K294-L294,"")</f>
        <v>210.0</v>
      </c>
      <c r="N294" s="55">
        <f>IF(ISNUMBER(K294),SUMIFS(st_min,st_date,A294,st_eq,B294,st_po,C294,st_type,"Non planifié"),"")</f>
        <v>180.0</v>
      </c>
      <c r="O294" s="55">
        <f>IF(ISNUMBER(K294),M294-N294,"")</f>
        <v>30.0</v>
      </c>
      <c r="P294" s="55">
        <f>IF(COUNTA(A294:I294)=0,"",N(G294)+N(H294)+N(I294))</f>
        <v>9.0</v>
      </c>
      <c r="Q294" s="56">
        <f>IF(COUNTA(A294:I294)=0,"",IF(N(IFERROR(INDEX(art_rate,MATCH(E294,art_ref,0)),0))&gt;0,N(IFERROR(INDEX(art_rate,MATCH(E294,art_ref,0)),0)),N(IFERROR(INDEX(po_rate,MATCH(C294,po_code,0)),0))))</f>
        <v>20.0</v>
      </c>
      <c r="R294" s="55">
        <f>IF(AC294=1,P294*60/Q294,"")</f>
        <v>27.0</v>
      </c>
      <c r="S294" s="55">
        <f>IF(AC294=1,N(G294)*60/Q294,"")</f>
        <v>27.0</v>
      </c>
      <c r="T294" s="57">
        <f>IF(AC294=1,O294/M294,"")</f>
        <v>0.142857142857143</v>
      </c>
      <c r="U294" s="57">
        <f>IF(AC294=1,IF(O294&gt;0,R294/O294,""),"")</f>
        <v>0.9</v>
      </c>
      <c r="V294" s="57">
        <f>IF(AC294=1,IF(P294&gt;0,N(G294)/P294,""),"")</f>
        <v>1.0</v>
      </c>
      <c r="W294" s="57">
        <f>IF(AC294=1,S294/M294,"")</f>
        <v>0.128571428571429</v>
      </c>
      <c r="X294" s="57">
        <f>IF(AC294=1,S294/K294,"")</f>
        <v>0.1125</v>
      </c>
      <c r="Y294" s="58" t="str">
        <f>IF(W294="","",IF(W294&gt;=p_target,"Bon",IF(W294&gt;=p_alert,"À surveiller","Faible")))</f>
        <v>Faible</v>
      </c>
      <c r="Z294" s="58" t="str">
        <f>IF(W294="","",IF(MIN(IF(T294="",1,T294),IF(U294="",1,U294),IF(V294="",1,V294))&gt;=1,"Aucune",IF(IF(T294="",1,T294)&lt;=MIN(IF(U294="",1,U294),IF(V294="",1,V294)),"Disponibilité",IF(IF(U294="",1,U294)&lt;=IF(V294="",1,V294),"Performance","Qualité"))))</f>
        <v>Disponibilité</v>
      </c>
      <c r="AA294" s="59">
        <f>IF(AC294=1,N(H294)*N(IFERROR(INDEX(art_cost,MATCH(E294,art_ref,0)),0)),"")</f>
        <v>0.0</v>
      </c>
      <c r="AB294" s="58" t="str">
        <f>IF(COUNTA(A294:I294)=0,"",IF(N(A294)&lt;=0,"Date manquante ou invalide",IF(B294="","Équipe manquante",IF(ISNA(MATCH(B294,eq_code,0)),"Équipe inconnue",IF(INDEX(eq_check,MATCH(B294,eq_code,0))&lt;&gt;"OK","Équipe à corriger dans Paramètres",IF(C294="","Poste manquant",IF(ISNA(MATCH(C294,po_code,0)),"Poste inconnu",IF(AND(E294&lt;&gt;"",ISNA(MATCH(E294,art_ref,0))),"Article inconnu",IF(IF(E294="",FALSE,INDEX(art_check,MATCH(E294,art_ref,0))&lt;&gt;"OK"),"Article à corriger (feuille Articles)",IF(COUNTIFS(sj_date,A294,sj_eq,B294,sj_po,C294)&gt;1,"Ligne en double (même jour, équipe et poste)",IF(OR(NOT(ISNUMBER(K294)),N(K294)&lt;=0,N(K294)&gt;1440),"Temps d'ouverture invalide",IF(OR(AND(G294&lt;&gt;"",NOT(ISNUMBER(G294))),N(G294)&lt;0,N(G294)&lt;&gt;INT(N(G294)),AND(H294&lt;&gt;"",NOT(ISNUMBER(H294))),N(H294)&lt;0,N(H294)&lt;&gt;INT(N(H294)),AND(I294&lt;&gt;"",NOT(ISNUMBER(I294))),N(I294)&lt;0,N(I294)&lt;&gt;INT(N(I294))),"Quantité invalide",IF(Q294&lt;=0,"Cadence manquante (poste ou article)",IF(M294&lt;=0,"Arrêts planifiés supérieurs au temps d'ouverture",IF(O294&lt;0,"Arrêts supérieurs au temps requis",IF(AND(P294&gt;0,O294=0),"Pièces déclarées sans temps de marche",IF(AND(P294=0,O294&gt;0),"Aucune pièce déclarée",IF(P294*60/Q294&gt;O294+0.001,"Cadence dépassée : vérifiez la cadence","OK"))))))))))))))))))</f>
        <v>OK</v>
      </c>
      <c r="AC294">
        <f>IF(OR(AB294="OK",AB294="Aucune pièce déclarée",AB294="Cadence dépassée : vérifiez la cadence"),1,0)</f>
        <v>1.0</v>
      </c>
      <c r="AD294">
        <f>IF(AND(AC294=1,A294&gt;=p_from,A294&lt;=p_to),1,0)</f>
        <v>1.0</v>
      </c>
      <c r="AE294">
        <f>IF(AD294=1,IF(COUNTIFS($A$6:A294,A294,$AD$6:AD294,1)=1,1,0),0)</f>
        <v>0.0</v>
      </c>
      <c r="AF294" t="str">
        <f>IF(AE294=1,COUNTIFS(sj_first,1,sj_date,"&lt;"&amp;A294)+1,"")</f>
        <v/>
      </c>
      <c r="AG294">
        <f>IF(AND(AD294=1,N(W294)&lt;p_alert),ROUND(W294,4),"")</f>
        <v>0.1286</v>
      </c>
      <c r="AH294">
        <f>IF(AG294="","",COUNTIF(sj_akey,"&lt;"&amp;AG294)+COUNTIF($AG$6:AG294,AG294))</f>
        <v>3.0</v>
      </c>
    </row>
    <row r="295">
      <c r="A295" s="51" t="n">
        <v>46324</v>
      </c>
      <c r="B295" s="52" t="inlineStr">
        <is>
          <t>Après-midi</t>
        </is>
      </c>
      <c r="C295" s="52" t="inlineStr">
        <is>
          <t>SOUD</t>
        </is>
      </c>
      <c r="D295" s="53" t="inlineStr">
        <is>
          <t>OF-2610-193</t>
        </is>
      </c>
      <c r="E295" s="53" t="inlineStr">
        <is>
          <t>BRA-SUS-02</t>
        </is>
      </c>
      <c r="F295" s="54" t="n"/>
      <c r="G295" s="54" t="n">
        <v>113</v>
      </c>
      <c r="H295" s="54" t="n">
        <v>0</v>
      </c>
      <c r="I295" s="54" t="n">
        <v>0</v>
      </c>
      <c r="J295" s="53" t="n"/>
      <c r="K295" s="55">
        <f>IF(COUNTA(A295:I295)=0,"",IF(F295="",IFERROR(INDEX(eq_dur,MATCH(B295,eq_code,0)),""),F295))</f>
        <v>480.0</v>
      </c>
      <c r="L295" s="55">
        <f>IF(ISNUMBER(K295),N(IFERROR(INDEX(eq_pause,MATCH(B295,eq_code,0)),0))+SUMIFS(st_min,st_date,A295,st_eq,B295,st_po,C295,st_type,"Planifié"),"")</f>
        <v>30.0</v>
      </c>
      <c r="M295" s="55">
        <f>IF(ISNUMBER(K295),K295-L295,"")</f>
        <v>450.0</v>
      </c>
      <c r="N295" s="55">
        <f>IF(ISNUMBER(K295),SUMIFS(st_min,st_date,A295,st_eq,B295,st_po,C295,st_type,"Non planifié"),"")</f>
        <v>53.0</v>
      </c>
      <c r="O295" s="55">
        <f>IF(ISNUMBER(K295),M295-N295,"")</f>
        <v>397.0</v>
      </c>
      <c r="P295" s="55">
        <f>IF(COUNTA(A295:I295)=0,"",N(G295)+N(H295)+N(I295))</f>
        <v>113.0</v>
      </c>
      <c r="Q295" s="56">
        <f>IF(COUNTA(A295:I295)=0,"",IF(N(IFERROR(INDEX(art_rate,MATCH(E295,art_ref,0)),0))&gt;0,N(IFERROR(INDEX(art_rate,MATCH(E295,art_ref,0)),0)),N(IFERROR(INDEX(po_rate,MATCH(C295,po_code,0)),0))))</f>
        <v>20.0</v>
      </c>
      <c r="R295" s="55">
        <f>IF(AC295=1,P295*60/Q295,"")</f>
        <v>339.0</v>
      </c>
      <c r="S295" s="55">
        <f>IF(AC295=1,N(G295)*60/Q295,"")</f>
        <v>339.0</v>
      </c>
      <c r="T295" s="57">
        <f>IF(AC295=1,O295/M295,"")</f>
        <v>0.882222222222222</v>
      </c>
      <c r="U295" s="57">
        <f>IF(AC295=1,IF(O295&gt;0,R295/O295,""),"")</f>
        <v>0.853904282115869</v>
      </c>
      <c r="V295" s="57">
        <f>IF(AC295=1,IF(P295&gt;0,N(G295)/P295,""),"")</f>
        <v>1.0</v>
      </c>
      <c r="W295" s="57">
        <f>IF(AC295=1,S295/M295,"")</f>
        <v>0.753333333333333</v>
      </c>
      <c r="X295" s="57">
        <f>IF(AC295=1,S295/K295,"")</f>
        <v>0.70625</v>
      </c>
      <c r="Y295" s="58" t="str">
        <f>IF(W295="","",IF(W295&gt;=p_target,"Bon",IF(W295&gt;=p_alert,"À surveiller","Faible")))</f>
        <v>Bon</v>
      </c>
      <c r="Z295" s="58" t="str">
        <f>IF(W295="","",IF(MIN(IF(T295="",1,T295),IF(U295="",1,U295),IF(V295="",1,V295))&gt;=1,"Aucune",IF(IF(T295="",1,T295)&lt;=MIN(IF(U295="",1,U295),IF(V295="",1,V295)),"Disponibilité",IF(IF(U295="",1,U295)&lt;=IF(V295="",1,V295),"Performance","Qualité"))))</f>
        <v>Performance</v>
      </c>
      <c r="AA295" s="59">
        <f>IF(AC295=1,N(H295)*N(IFERROR(INDEX(art_cost,MATCH(E295,art_ref,0)),0)),"")</f>
        <v>0.0</v>
      </c>
      <c r="AB295" s="58" t="str">
        <f>IF(COUNTA(A295:I295)=0,"",IF(N(A295)&lt;=0,"Date manquante ou invalide",IF(B295="","Équipe manquante",IF(ISNA(MATCH(B295,eq_code,0)),"Équipe inconnue",IF(INDEX(eq_check,MATCH(B295,eq_code,0))&lt;&gt;"OK","Équipe à corriger dans Paramètres",IF(C295="","Poste manquant",IF(ISNA(MATCH(C295,po_code,0)),"Poste inconnu",IF(AND(E295&lt;&gt;"",ISNA(MATCH(E295,art_ref,0))),"Article inconnu",IF(IF(E295="",FALSE,INDEX(art_check,MATCH(E295,art_ref,0))&lt;&gt;"OK"),"Article à corriger (feuille Articles)",IF(COUNTIFS(sj_date,A295,sj_eq,B295,sj_po,C295)&gt;1,"Ligne en double (même jour, équipe et poste)",IF(OR(NOT(ISNUMBER(K295)),N(K295)&lt;=0,N(K295)&gt;1440),"Temps d'ouverture invalide",IF(OR(AND(G295&lt;&gt;"",NOT(ISNUMBER(G295))),N(G295)&lt;0,N(G295)&lt;&gt;INT(N(G295)),AND(H295&lt;&gt;"",NOT(ISNUMBER(H295))),N(H295)&lt;0,N(H295)&lt;&gt;INT(N(H295)),AND(I295&lt;&gt;"",NOT(ISNUMBER(I295))),N(I295)&lt;0,N(I295)&lt;&gt;INT(N(I295))),"Quantité invalide",IF(Q295&lt;=0,"Cadence manquante (poste ou article)",IF(M295&lt;=0,"Arrêts planifiés supérieurs au temps d'ouverture",IF(O295&lt;0,"Arrêts supérieurs au temps requis",IF(AND(P295&gt;0,O295=0),"Pièces déclarées sans temps de marche",IF(AND(P295=0,O295&gt;0),"Aucune pièce déclarée",IF(P295*60/Q295&gt;O295+0.001,"Cadence dépassée : vérifiez la cadence","OK"))))))))))))))))))</f>
        <v>OK</v>
      </c>
      <c r="AC295">
        <f>IF(OR(AB295="OK",AB295="Aucune pièce déclarée",AB295="Cadence dépassée : vérifiez la cadence"),1,0)</f>
        <v>1.0</v>
      </c>
      <c r="AD295">
        <f>IF(AND(AC295=1,A295&gt;=p_from,A295&lt;=p_to),1,0)</f>
        <v>1.0</v>
      </c>
      <c r="AE295">
        <f>IF(AD295=1,IF(COUNTIFS($A$6:A295,A295,$AD$6:AD295,1)=1,1,0),0)</f>
        <v>0.0</v>
      </c>
      <c r="AF295" t="str">
        <f>IF(AE295=1,COUNTIFS(sj_first,1,sj_date,"&lt;"&amp;A295)+1,"")</f>
        <v/>
      </c>
      <c r="AG295" t="str">
        <f>IF(AND(AD295=1,N(W295)&lt;p_alert),ROUND(W295,4),"")</f>
        <v/>
      </c>
      <c r="AH295" t="str">
        <f>IF(AG295="","",COUNTIF(sj_akey,"&lt;"&amp;AG295)+COUNTIF($AG$6:AG295,AG295))</f>
        <v/>
      </c>
    </row>
    <row r="296">
      <c r="A296" s="51" t="n">
        <v>46325</v>
      </c>
      <c r="B296" s="52" t="inlineStr">
        <is>
          <t>Matin</t>
        </is>
      </c>
      <c r="C296" s="52" t="inlineStr">
        <is>
          <t>TOUR1</t>
        </is>
      </c>
      <c r="D296" s="53" t="inlineStr">
        <is>
          <t>OF-2610-194</t>
        </is>
      </c>
      <c r="E296" s="53" t="inlineStr">
        <is>
          <t>BAG-BR-32</t>
        </is>
      </c>
      <c r="F296" s="54" t="n"/>
      <c r="G296" s="54" t="n">
        <v>215</v>
      </c>
      <c r="H296" s="54" t="n">
        <v>7</v>
      </c>
      <c r="I296" s="54" t="n">
        <v>2</v>
      </c>
      <c r="J296" s="53" t="n"/>
      <c r="K296" s="55">
        <f>IF(COUNTA(A296:I296)=0,"",IF(F296="",IFERROR(INDEX(eq_dur,MATCH(B296,eq_code,0)),""),F296))</f>
        <v>480.0</v>
      </c>
      <c r="L296" s="55">
        <f>IF(ISNUMBER(K296),N(IFERROR(INDEX(eq_pause,MATCH(B296,eq_code,0)),0))+SUMIFS(st_min,st_date,A296,st_eq,B296,st_po,C296,st_type,"Planifié"),"")</f>
        <v>30.0</v>
      </c>
      <c r="M296" s="55">
        <f>IF(ISNUMBER(K296),K296-L296,"")</f>
        <v>450.0</v>
      </c>
      <c r="N296" s="55">
        <f>IF(ISNUMBER(K296),SUMIFS(st_min,st_date,A296,st_eq,B296,st_po,C296,st_type,"Non planifié"),"")</f>
        <v>61.0</v>
      </c>
      <c r="O296" s="55">
        <f>IF(ISNUMBER(K296),M296-N296,"")</f>
        <v>389.0</v>
      </c>
      <c r="P296" s="55">
        <f>IF(COUNTA(A296:I296)=0,"",N(G296)+N(H296)+N(I296))</f>
        <v>224.0</v>
      </c>
      <c r="Q296" s="56">
        <f>IF(COUNTA(A296:I296)=0,"",IF(N(IFERROR(INDEX(art_rate,MATCH(E296,art_ref,0)),0))&gt;0,N(IFERROR(INDEX(art_rate,MATCH(E296,art_ref,0)),0)),N(IFERROR(INDEX(po_rate,MATCH(C296,po_code,0)),0))))</f>
        <v>40.0</v>
      </c>
      <c r="R296" s="55">
        <f>IF(AC296=1,P296*60/Q296,"")</f>
        <v>336.0</v>
      </c>
      <c r="S296" s="55">
        <f>IF(AC296=1,N(G296)*60/Q296,"")</f>
        <v>322.5</v>
      </c>
      <c r="T296" s="57">
        <f>IF(AC296=1,O296/M296,"")</f>
        <v>0.864444444444445</v>
      </c>
      <c r="U296" s="57">
        <f>IF(AC296=1,IF(O296&gt;0,R296/O296,""),"")</f>
        <v>0.863753213367609</v>
      </c>
      <c r="V296" s="57">
        <f>IF(AC296=1,IF(P296&gt;0,N(G296)/P296,""),"")</f>
        <v>0.959821428571429</v>
      </c>
      <c r="W296" s="57">
        <f>IF(AC296=1,S296/M296,"")</f>
        <v>0.716666666666667</v>
      </c>
      <c r="X296" s="57">
        <f>IF(AC296=1,S296/K296,"")</f>
        <v>0.671875</v>
      </c>
      <c r="Y296" s="58" t="str">
        <f>IF(W296="","",IF(W296&gt;=p_target,"Bon",IF(W296&gt;=p_alert,"À surveiller","Faible")))</f>
        <v>À surveiller</v>
      </c>
      <c r="Z296" s="58" t="str">
        <f>IF(W296="","",IF(MIN(IF(T296="",1,T296),IF(U296="",1,U296),IF(V296="",1,V296))&gt;=1,"Aucune",IF(IF(T296="",1,T296)&lt;=MIN(IF(U296="",1,U296),IF(V296="",1,V296)),"Disponibilité",IF(IF(U296="",1,U296)&lt;=IF(V296="",1,V296),"Performance","Qualité"))))</f>
        <v>Performance</v>
      </c>
      <c r="AA296" s="59">
        <f>IF(AC296=1,N(H296)*N(IFERROR(INDEX(art_cost,MATCH(E296,art_ref,0)),0)),"")</f>
        <v>364.0</v>
      </c>
      <c r="AB296" s="58" t="str">
        <f>IF(COUNTA(A296:I296)=0,"",IF(N(A296)&lt;=0,"Date manquante ou invalide",IF(B296="","Équipe manquante",IF(ISNA(MATCH(B296,eq_code,0)),"Équipe inconnue",IF(INDEX(eq_check,MATCH(B296,eq_code,0))&lt;&gt;"OK","Équipe à corriger dans Paramètres",IF(C296="","Poste manquant",IF(ISNA(MATCH(C296,po_code,0)),"Poste inconnu",IF(AND(E296&lt;&gt;"",ISNA(MATCH(E296,art_ref,0))),"Article inconnu",IF(IF(E296="",FALSE,INDEX(art_check,MATCH(E296,art_ref,0))&lt;&gt;"OK"),"Article à corriger (feuille Articles)",IF(COUNTIFS(sj_date,A296,sj_eq,B296,sj_po,C296)&gt;1,"Ligne en double (même jour, équipe et poste)",IF(OR(NOT(ISNUMBER(K296)),N(K296)&lt;=0,N(K296)&gt;1440),"Temps d'ouverture invalide",IF(OR(AND(G296&lt;&gt;"",NOT(ISNUMBER(G296))),N(G296)&lt;0,N(G296)&lt;&gt;INT(N(G296)),AND(H296&lt;&gt;"",NOT(ISNUMBER(H296))),N(H296)&lt;0,N(H296)&lt;&gt;INT(N(H296)),AND(I296&lt;&gt;"",NOT(ISNUMBER(I296))),N(I296)&lt;0,N(I296)&lt;&gt;INT(N(I296))),"Quantité invalide",IF(Q296&lt;=0,"Cadence manquante (poste ou article)",IF(M296&lt;=0,"Arrêts planifiés supérieurs au temps d'ouverture",IF(O296&lt;0,"Arrêts supérieurs au temps requis",IF(AND(P296&gt;0,O296=0),"Pièces déclarées sans temps de marche",IF(AND(P296=0,O296&gt;0),"Aucune pièce déclarée",IF(P296*60/Q296&gt;O296+0.001,"Cadence dépassée : vérifiez la cadence","OK"))))))))))))))))))</f>
        <v>OK</v>
      </c>
      <c r="AC296">
        <f>IF(OR(AB296="OK",AB296="Aucune pièce déclarée",AB296="Cadence dépassée : vérifiez la cadence"),1,0)</f>
        <v>1.0</v>
      </c>
      <c r="AD296">
        <f>IF(AND(AC296=1,A296&gt;=p_from,A296&lt;=p_to),1,0)</f>
        <v>1.0</v>
      </c>
      <c r="AE296">
        <f>IF(AD296=1,IF(COUNTIFS($A$6:A296,A296,$AD$6:AD296,1)=1,1,0),0)</f>
        <v>1.0</v>
      </c>
      <c r="AF296">
        <f>IF(AE296=1,COUNTIFS(sj_first,1,sj_date,"&lt;"&amp;A296)+1,"")</f>
        <v>30.0</v>
      </c>
      <c r="AG296" t="str">
        <f>IF(AND(AD296=1,N(W296)&lt;p_alert),ROUND(W296,4),"")</f>
        <v/>
      </c>
      <c r="AH296" t="str">
        <f>IF(AG296="","",COUNTIF(sj_akey,"&lt;"&amp;AG296)+COUNTIF($AG$6:AG296,AG296))</f>
        <v/>
      </c>
    </row>
    <row r="297">
      <c r="A297" s="51" t="n">
        <v>46325</v>
      </c>
      <c r="B297" s="52" t="inlineStr">
        <is>
          <t>Après-midi</t>
        </is>
      </c>
      <c r="C297" s="52" t="inlineStr">
        <is>
          <t>TOUR1</t>
        </is>
      </c>
      <c r="D297" s="53" t="inlineStr">
        <is>
          <t>OF-2610-195</t>
        </is>
      </c>
      <c r="E297" s="53" t="inlineStr">
        <is>
          <t>AXE-R20</t>
        </is>
      </c>
      <c r="F297" s="54" t="n"/>
      <c r="G297" s="54" t="n">
        <v>194</v>
      </c>
      <c r="H297" s="54" t="n">
        <v>0</v>
      </c>
      <c r="I297" s="54" t="n">
        <v>1</v>
      </c>
      <c r="J297" s="53" t="n"/>
      <c r="K297" s="55">
        <f>IF(COUNTA(A297:I297)=0,"",IF(F297="",IFERROR(INDEX(eq_dur,MATCH(B297,eq_code,0)),""),F297))</f>
        <v>480.0</v>
      </c>
      <c r="L297" s="55">
        <f>IF(ISNUMBER(K297),N(IFERROR(INDEX(eq_pause,MATCH(B297,eq_code,0)),0))+SUMIFS(st_min,st_date,A297,st_eq,B297,st_po,C297,st_type,"Planifié"),"")</f>
        <v>30.0</v>
      </c>
      <c r="M297" s="55">
        <f>IF(ISNUMBER(K297),K297-L297,"")</f>
        <v>450.0</v>
      </c>
      <c r="N297" s="55">
        <f>IF(ISNUMBER(K297),SUMIFS(st_min,st_date,A297,st_eq,B297,st_po,C297,st_type,"Non planifié"),"")</f>
        <v>11.0</v>
      </c>
      <c r="O297" s="55">
        <f>IF(ISNUMBER(K297),M297-N297,"")</f>
        <v>439.0</v>
      </c>
      <c r="P297" s="55">
        <f>IF(COUNTA(A297:I297)=0,"",N(G297)+N(H297)+N(I297))</f>
        <v>195.0</v>
      </c>
      <c r="Q297" s="56">
        <f>IF(COUNTA(A297:I297)=0,"",IF(N(IFERROR(INDEX(art_rate,MATCH(E297,art_ref,0)),0))&gt;0,N(IFERROR(INDEX(art_rate,MATCH(E297,art_ref,0)),0)),N(IFERROR(INDEX(po_rate,MATCH(C297,po_code,0)),0))))</f>
        <v>30.0</v>
      </c>
      <c r="R297" s="55">
        <f>IF(AC297=1,P297*60/Q297,"")</f>
        <v>390.0</v>
      </c>
      <c r="S297" s="55">
        <f>IF(AC297=1,N(G297)*60/Q297,"")</f>
        <v>388.0</v>
      </c>
      <c r="T297" s="57">
        <f>IF(AC297=1,O297/M297,"")</f>
        <v>0.975555555555556</v>
      </c>
      <c r="U297" s="57">
        <f>IF(AC297=1,IF(O297&gt;0,R297/O297,""),"")</f>
        <v>0.888382687927107</v>
      </c>
      <c r="V297" s="57">
        <f>IF(AC297=1,IF(P297&gt;0,N(G297)/P297,""),"")</f>
        <v>0.994871794871795</v>
      </c>
      <c r="W297" s="57">
        <f>IF(AC297=1,S297/M297,"")</f>
        <v>0.862222222222222</v>
      </c>
      <c r="X297" s="57">
        <f>IF(AC297=1,S297/K297,"")</f>
        <v>0.808333333333333</v>
      </c>
      <c r="Y297" s="58" t="str">
        <f>IF(W297="","",IF(W297&gt;=p_target,"Bon",IF(W297&gt;=p_alert,"À surveiller","Faible")))</f>
        <v>Bon</v>
      </c>
      <c r="Z297" s="58" t="str">
        <f>IF(W297="","",IF(MIN(IF(T297="",1,T297),IF(U297="",1,U297),IF(V297="",1,V297))&gt;=1,"Aucune",IF(IF(T297="",1,T297)&lt;=MIN(IF(U297="",1,U297),IF(V297="",1,V297)),"Disponibilité",IF(IF(U297="",1,U297)&lt;=IF(V297="",1,V297),"Performance","Qualité"))))</f>
        <v>Performance</v>
      </c>
      <c r="AA297" s="59">
        <f>IF(AC297=1,N(H297)*N(IFERROR(INDEX(art_cost,MATCH(E297,art_ref,0)),0)),"")</f>
        <v>0.0</v>
      </c>
      <c r="AB297" s="58" t="str">
        <f>IF(COUNTA(A297:I297)=0,"",IF(N(A297)&lt;=0,"Date manquante ou invalide",IF(B297="","Équipe manquante",IF(ISNA(MATCH(B297,eq_code,0)),"Équipe inconnue",IF(INDEX(eq_check,MATCH(B297,eq_code,0))&lt;&gt;"OK","Équipe à corriger dans Paramètres",IF(C297="","Poste manquant",IF(ISNA(MATCH(C297,po_code,0)),"Poste inconnu",IF(AND(E297&lt;&gt;"",ISNA(MATCH(E297,art_ref,0))),"Article inconnu",IF(IF(E297="",FALSE,INDEX(art_check,MATCH(E297,art_ref,0))&lt;&gt;"OK"),"Article à corriger (feuille Articles)",IF(COUNTIFS(sj_date,A297,sj_eq,B297,sj_po,C297)&gt;1,"Ligne en double (même jour, équipe et poste)",IF(OR(NOT(ISNUMBER(K297)),N(K297)&lt;=0,N(K297)&gt;1440),"Temps d'ouverture invalide",IF(OR(AND(G297&lt;&gt;"",NOT(ISNUMBER(G297))),N(G297)&lt;0,N(G297)&lt;&gt;INT(N(G297)),AND(H297&lt;&gt;"",NOT(ISNUMBER(H297))),N(H297)&lt;0,N(H297)&lt;&gt;INT(N(H297)),AND(I297&lt;&gt;"",NOT(ISNUMBER(I297))),N(I297)&lt;0,N(I297)&lt;&gt;INT(N(I297))),"Quantité invalide",IF(Q297&lt;=0,"Cadence manquante (poste ou article)",IF(M297&lt;=0,"Arrêts planifiés supérieurs au temps d'ouverture",IF(O297&lt;0,"Arrêts supérieurs au temps requis",IF(AND(P297&gt;0,O297=0),"Pièces déclarées sans temps de marche",IF(AND(P297=0,O297&gt;0),"Aucune pièce déclarée",IF(P297*60/Q297&gt;O297+0.001,"Cadence dépassée : vérifiez la cadence","OK"))))))))))))))))))</f>
        <v>OK</v>
      </c>
      <c r="AC297">
        <f>IF(OR(AB297="OK",AB297="Aucune pièce déclarée",AB297="Cadence dépassée : vérifiez la cadence"),1,0)</f>
        <v>1.0</v>
      </c>
      <c r="AD297">
        <f>IF(AND(AC297=1,A297&gt;=p_from,A297&lt;=p_to),1,0)</f>
        <v>1.0</v>
      </c>
      <c r="AE297">
        <f>IF(AD297=1,IF(COUNTIFS($A$6:A297,A297,$AD$6:AD297,1)=1,1,0),0)</f>
        <v>0.0</v>
      </c>
      <c r="AF297" t="str">
        <f>IF(AE297=1,COUNTIFS(sj_first,1,sj_date,"&lt;"&amp;A297)+1,"")</f>
        <v/>
      </c>
      <c r="AG297" t="str">
        <f>IF(AND(AD297=1,N(W297)&lt;p_alert),ROUND(W297,4),"")</f>
        <v/>
      </c>
      <c r="AH297" t="str">
        <f>IF(AG297="","",COUNTIF(sj_akey,"&lt;"&amp;AG297)+COUNTIF($AG$6:AG297,AG297))</f>
        <v/>
      </c>
    </row>
    <row r="298">
      <c r="A298" s="51" t="n">
        <v>46325</v>
      </c>
      <c r="B298" s="52" t="inlineStr">
        <is>
          <t>Matin</t>
        </is>
      </c>
      <c r="C298" s="52" t="inlineStr">
        <is>
          <t>TOUR2</t>
        </is>
      </c>
      <c r="D298" s="53" t="inlineStr">
        <is>
          <t>OF-2610-164</t>
        </is>
      </c>
      <c r="E298" s="53" t="inlineStr">
        <is>
          <t>AXE-R20</t>
        </is>
      </c>
      <c r="F298" s="54" t="n"/>
      <c r="G298" s="54" t="n">
        <v>188</v>
      </c>
      <c r="H298" s="54" t="n">
        <v>4</v>
      </c>
      <c r="I298" s="54" t="n">
        <v>1</v>
      </c>
      <c r="J298" s="53" t="n"/>
      <c r="K298" s="55">
        <f>IF(COUNTA(A298:I298)=0,"",IF(F298="",IFERROR(INDEX(eq_dur,MATCH(B298,eq_code,0)),""),F298))</f>
        <v>480.0</v>
      </c>
      <c r="L298" s="55">
        <f>IF(ISNUMBER(K298),N(IFERROR(INDEX(eq_pause,MATCH(B298,eq_code,0)),0))+SUMIFS(st_min,st_date,A298,st_eq,B298,st_po,C298,st_type,"Planifié"),"")</f>
        <v>30.0</v>
      </c>
      <c r="M298" s="55">
        <f>IF(ISNUMBER(K298),K298-L298,"")</f>
        <v>450.0</v>
      </c>
      <c r="N298" s="55">
        <f>IF(ISNUMBER(K298),SUMIFS(st_min,st_date,A298,st_eq,B298,st_po,C298,st_type,"Non planifié"),"")</f>
        <v>0.0</v>
      </c>
      <c r="O298" s="55">
        <f>IF(ISNUMBER(K298),M298-N298,"")</f>
        <v>450.0</v>
      </c>
      <c r="P298" s="55">
        <f>IF(COUNTA(A298:I298)=0,"",N(G298)+N(H298)+N(I298))</f>
        <v>193.0</v>
      </c>
      <c r="Q298" s="56">
        <f>IF(COUNTA(A298:I298)=0,"",IF(N(IFERROR(INDEX(art_rate,MATCH(E298,art_ref,0)),0))&gt;0,N(IFERROR(INDEX(art_rate,MATCH(E298,art_ref,0)),0)),N(IFERROR(INDEX(po_rate,MATCH(C298,po_code,0)),0))))</f>
        <v>30.0</v>
      </c>
      <c r="R298" s="55">
        <f>IF(AC298=1,P298*60/Q298,"")</f>
        <v>386.0</v>
      </c>
      <c r="S298" s="55">
        <f>IF(AC298=1,N(G298)*60/Q298,"")</f>
        <v>376.0</v>
      </c>
      <c r="T298" s="57">
        <f>IF(AC298=1,O298/M298,"")</f>
        <v>1.0</v>
      </c>
      <c r="U298" s="57">
        <f>IF(AC298=1,IF(O298&gt;0,R298/O298,""),"")</f>
        <v>0.857777777777778</v>
      </c>
      <c r="V298" s="57">
        <f>IF(AC298=1,IF(P298&gt;0,N(G298)/P298,""),"")</f>
        <v>0.974093264248705</v>
      </c>
      <c r="W298" s="57">
        <f>IF(AC298=1,S298/M298,"")</f>
        <v>0.835555555555556</v>
      </c>
      <c r="X298" s="57">
        <f>IF(AC298=1,S298/K298,"")</f>
        <v>0.783333333333333</v>
      </c>
      <c r="Y298" s="58" t="str">
        <f>IF(W298="","",IF(W298&gt;=p_target,"Bon",IF(W298&gt;=p_alert,"À surveiller","Faible")))</f>
        <v>Bon</v>
      </c>
      <c r="Z298" s="58" t="str">
        <f>IF(W298="","",IF(MIN(IF(T298="",1,T298),IF(U298="",1,U298),IF(V298="",1,V298))&gt;=1,"Aucune",IF(IF(T298="",1,T298)&lt;=MIN(IF(U298="",1,U298),IF(V298="",1,V298)),"Disponibilité",IF(IF(U298="",1,U298)&lt;=IF(V298="",1,V298),"Performance","Qualité"))))</f>
        <v>Performance</v>
      </c>
      <c r="AA298" s="59">
        <f>IF(AC298=1,N(H298)*N(IFERROR(INDEX(art_cost,MATCH(E298,art_ref,0)),0)),"")</f>
        <v>154.0</v>
      </c>
      <c r="AB298" s="58" t="str">
        <f>IF(COUNTA(A298:I298)=0,"",IF(N(A298)&lt;=0,"Date manquante ou invalide",IF(B298="","Équipe manquante",IF(ISNA(MATCH(B298,eq_code,0)),"Équipe inconnue",IF(INDEX(eq_check,MATCH(B298,eq_code,0))&lt;&gt;"OK","Équipe à corriger dans Paramètres",IF(C298="","Poste manquant",IF(ISNA(MATCH(C298,po_code,0)),"Poste inconnu",IF(AND(E298&lt;&gt;"",ISNA(MATCH(E298,art_ref,0))),"Article inconnu",IF(IF(E298="",FALSE,INDEX(art_check,MATCH(E298,art_ref,0))&lt;&gt;"OK"),"Article à corriger (feuille Articles)",IF(COUNTIFS(sj_date,A298,sj_eq,B298,sj_po,C298)&gt;1,"Ligne en double (même jour, équipe et poste)",IF(OR(NOT(ISNUMBER(K298)),N(K298)&lt;=0,N(K298)&gt;1440),"Temps d'ouverture invalide",IF(OR(AND(G298&lt;&gt;"",NOT(ISNUMBER(G298))),N(G298)&lt;0,N(G298)&lt;&gt;INT(N(G298)),AND(H298&lt;&gt;"",NOT(ISNUMBER(H298))),N(H298)&lt;0,N(H298)&lt;&gt;INT(N(H298)),AND(I298&lt;&gt;"",NOT(ISNUMBER(I298))),N(I298)&lt;0,N(I298)&lt;&gt;INT(N(I298))),"Quantité invalide",IF(Q298&lt;=0,"Cadence manquante (poste ou article)",IF(M298&lt;=0,"Arrêts planifiés supérieurs au temps d'ouverture",IF(O298&lt;0,"Arrêts supérieurs au temps requis",IF(AND(P298&gt;0,O298=0),"Pièces déclarées sans temps de marche",IF(AND(P298=0,O298&gt;0),"Aucune pièce déclarée",IF(P298*60/Q298&gt;O298+0.001,"Cadence dépassée : vérifiez la cadence","OK"))))))))))))))))))</f>
        <v>OK</v>
      </c>
      <c r="AC298">
        <f>IF(OR(AB298="OK",AB298="Aucune pièce déclarée",AB298="Cadence dépassée : vérifiez la cadence"),1,0)</f>
        <v>1.0</v>
      </c>
      <c r="AD298">
        <f>IF(AND(AC298=1,A298&gt;=p_from,A298&lt;=p_to),1,0)</f>
        <v>1.0</v>
      </c>
      <c r="AE298">
        <f>IF(AD298=1,IF(COUNTIFS($A$6:A298,A298,$AD$6:AD298,1)=1,1,0),0)</f>
        <v>0.0</v>
      </c>
      <c r="AF298" t="str">
        <f>IF(AE298=1,COUNTIFS(sj_first,1,sj_date,"&lt;"&amp;A298)+1,"")</f>
        <v/>
      </c>
      <c r="AG298" t="str">
        <f>IF(AND(AD298=1,N(W298)&lt;p_alert),ROUND(W298,4),"")</f>
        <v/>
      </c>
      <c r="AH298" t="str">
        <f>IF(AG298="","",COUNTIF(sj_akey,"&lt;"&amp;AG298)+COUNTIF($AG$6:AG298,AG298))</f>
        <v/>
      </c>
    </row>
    <row r="299">
      <c r="A299" s="51" t="n">
        <v>46325</v>
      </c>
      <c r="B299" s="52" t="inlineStr">
        <is>
          <t>Après-midi</t>
        </is>
      </c>
      <c r="C299" s="52" t="inlineStr">
        <is>
          <t>TOUR2</t>
        </is>
      </c>
      <c r="D299" s="53" t="inlineStr">
        <is>
          <t>OF-2610-175</t>
        </is>
      </c>
      <c r="E299" s="53" t="inlineStr">
        <is>
          <t>ENT-12</t>
        </is>
      </c>
      <c r="F299" s="54" t="n"/>
      <c r="G299" s="54" t="n">
        <v>306</v>
      </c>
      <c r="H299" s="54" t="n">
        <v>7</v>
      </c>
      <c r="I299" s="54" t="n">
        <v>0</v>
      </c>
      <c r="J299" s="53" t="n"/>
      <c r="K299" s="55">
        <f>IF(COUNTA(A299:I299)=0,"",IF(F299="",IFERROR(INDEX(eq_dur,MATCH(B299,eq_code,0)),""),F299))</f>
        <v>480.0</v>
      </c>
      <c r="L299" s="55">
        <f>IF(ISNUMBER(K299),N(IFERROR(INDEX(eq_pause,MATCH(B299,eq_code,0)),0))+SUMIFS(st_min,st_date,A299,st_eq,B299,st_po,C299,st_type,"Planifié"),"")</f>
        <v>30.0</v>
      </c>
      <c r="M299" s="55">
        <f>IF(ISNUMBER(K299),K299-L299,"")</f>
        <v>450.0</v>
      </c>
      <c r="N299" s="55">
        <f>IF(ISNUMBER(K299),SUMIFS(st_min,st_date,A299,st_eq,B299,st_po,C299,st_type,"Non planifié"),"")</f>
        <v>84.0</v>
      </c>
      <c r="O299" s="55">
        <f>IF(ISNUMBER(K299),M299-N299,"")</f>
        <v>366.0</v>
      </c>
      <c r="P299" s="55">
        <f>IF(COUNTA(A299:I299)=0,"",N(G299)+N(H299)+N(I299))</f>
        <v>313.0</v>
      </c>
      <c r="Q299" s="56">
        <f>IF(COUNTA(A299:I299)=0,"",IF(N(IFERROR(INDEX(art_rate,MATCH(E299,art_ref,0)),0))&gt;0,N(IFERROR(INDEX(art_rate,MATCH(E299,art_ref,0)),0)),N(IFERROR(INDEX(po_rate,MATCH(C299,po_code,0)),0))))</f>
        <v>55.0</v>
      </c>
      <c r="R299" s="55">
        <f>IF(AC299=1,P299*60/Q299,"")</f>
        <v>341.454545454545</v>
      </c>
      <c r="S299" s="55">
        <f>IF(AC299=1,N(G299)*60/Q299,"")</f>
        <v>333.818181818182</v>
      </c>
      <c r="T299" s="57">
        <f>IF(AC299=1,O299/M299,"")</f>
        <v>0.813333333333333</v>
      </c>
      <c r="U299" s="57">
        <f>IF(AC299=1,IF(O299&gt;0,R299/O299,""),"")</f>
        <v>0.932935916542474</v>
      </c>
      <c r="V299" s="57">
        <f>IF(AC299=1,IF(P299&gt;0,N(G299)/P299,""),"")</f>
        <v>0.977635782747604</v>
      </c>
      <c r="W299" s="57">
        <f>IF(AC299=1,S299/M299,"")</f>
        <v>0.741818181818182</v>
      </c>
      <c r="X299" s="57">
        <f>IF(AC299=1,S299/K299,"")</f>
        <v>0.695454545454545</v>
      </c>
      <c r="Y299" s="58" t="str">
        <f>IF(W299="","",IF(W299&gt;=p_target,"Bon",IF(W299&gt;=p_alert,"À surveiller","Faible")))</f>
        <v>À surveiller</v>
      </c>
      <c r="Z299" s="58" t="str">
        <f>IF(W299="","",IF(MIN(IF(T299="",1,T299),IF(U299="",1,U299),IF(V299="",1,V299))&gt;=1,"Aucune",IF(IF(T299="",1,T299)&lt;=MIN(IF(U299="",1,U299),IF(V299="",1,V299)),"Disponibilité",IF(IF(U299="",1,U299)&lt;=IF(V299="",1,V299),"Performance","Qualité"))))</f>
        <v>Disponibilité</v>
      </c>
      <c r="AA299" s="59">
        <f>IF(AC299=1,N(H299)*N(IFERROR(INDEX(art_cost,MATCH(E299,art_ref,0)),0)),"")</f>
        <v>47.6</v>
      </c>
      <c r="AB299" s="58" t="str">
        <f>IF(COUNTA(A299:I299)=0,"",IF(N(A299)&lt;=0,"Date manquante ou invalide",IF(B299="","Équipe manquante",IF(ISNA(MATCH(B299,eq_code,0)),"Équipe inconnue",IF(INDEX(eq_check,MATCH(B299,eq_code,0))&lt;&gt;"OK","Équipe à corriger dans Paramètres",IF(C299="","Poste manquant",IF(ISNA(MATCH(C299,po_code,0)),"Poste inconnu",IF(AND(E299&lt;&gt;"",ISNA(MATCH(E299,art_ref,0))),"Article inconnu",IF(IF(E299="",FALSE,INDEX(art_check,MATCH(E299,art_ref,0))&lt;&gt;"OK"),"Article à corriger (feuille Articles)",IF(COUNTIFS(sj_date,A299,sj_eq,B299,sj_po,C299)&gt;1,"Ligne en double (même jour, équipe et poste)",IF(OR(NOT(ISNUMBER(K299)),N(K299)&lt;=0,N(K299)&gt;1440),"Temps d'ouverture invalide",IF(OR(AND(G299&lt;&gt;"",NOT(ISNUMBER(G299))),N(G299)&lt;0,N(G299)&lt;&gt;INT(N(G299)),AND(H299&lt;&gt;"",NOT(ISNUMBER(H299))),N(H299)&lt;0,N(H299)&lt;&gt;INT(N(H299)),AND(I299&lt;&gt;"",NOT(ISNUMBER(I299))),N(I299)&lt;0,N(I299)&lt;&gt;INT(N(I299))),"Quantité invalide",IF(Q299&lt;=0,"Cadence manquante (poste ou article)",IF(M299&lt;=0,"Arrêts planifiés supérieurs au temps d'ouverture",IF(O299&lt;0,"Arrêts supérieurs au temps requis",IF(AND(P299&gt;0,O299=0),"Pièces déclarées sans temps de marche",IF(AND(P299=0,O299&gt;0),"Aucune pièce déclarée",IF(P299*60/Q299&gt;O299+0.001,"Cadence dépassée : vérifiez la cadence","OK"))))))))))))))))))</f>
        <v>OK</v>
      </c>
      <c r="AC299">
        <f>IF(OR(AB299="OK",AB299="Aucune pièce déclarée",AB299="Cadence dépassée : vérifiez la cadence"),1,0)</f>
        <v>1.0</v>
      </c>
      <c r="AD299">
        <f>IF(AND(AC299=1,A299&gt;=p_from,A299&lt;=p_to),1,0)</f>
        <v>1.0</v>
      </c>
      <c r="AE299">
        <f>IF(AD299=1,IF(COUNTIFS($A$6:A299,A299,$AD$6:AD299,1)=1,1,0),0)</f>
        <v>0.0</v>
      </c>
      <c r="AF299" t="str">
        <f>IF(AE299=1,COUNTIFS(sj_first,1,sj_date,"&lt;"&amp;A299)+1,"")</f>
        <v/>
      </c>
      <c r="AG299" t="str">
        <f>IF(AND(AD299=1,N(W299)&lt;p_alert),ROUND(W299,4),"")</f>
        <v/>
      </c>
      <c r="AH299" t="str">
        <f>IF(AG299="","",COUNTIF(sj_akey,"&lt;"&amp;AG299)+COUNTIF($AG$6:AG299,AG299))</f>
        <v/>
      </c>
    </row>
    <row r="300">
      <c r="A300" s="51" t="n">
        <v>46325</v>
      </c>
      <c r="B300" s="52" t="inlineStr">
        <is>
          <t>Matin</t>
        </is>
      </c>
      <c r="C300" s="52" t="inlineStr">
        <is>
          <t>USIN</t>
        </is>
      </c>
      <c r="D300" s="53" t="inlineStr">
        <is>
          <t>OF-2610-192</t>
        </is>
      </c>
      <c r="E300" s="53" t="inlineStr">
        <is>
          <t>CAR-BOI-04</t>
        </is>
      </c>
      <c r="F300" s="54" t="n"/>
      <c r="G300" s="54" t="n">
        <v>32</v>
      </c>
      <c r="H300" s="54" t="n">
        <v>0</v>
      </c>
      <c r="I300" s="54" t="n">
        <v>0</v>
      </c>
      <c r="J300" s="53" t="n"/>
      <c r="K300" s="55">
        <f>IF(COUNTA(A300:I300)=0,"",IF(F300="",IFERROR(INDEX(eq_dur,MATCH(B300,eq_code,0)),""),F300))</f>
        <v>480.0</v>
      </c>
      <c r="L300" s="55">
        <f>IF(ISNUMBER(K300),N(IFERROR(INDEX(eq_pause,MATCH(B300,eq_code,0)),0))+SUMIFS(st_min,st_date,A300,st_eq,B300,st_po,C300,st_type,"Planifié"),"")</f>
        <v>30.0</v>
      </c>
      <c r="M300" s="55">
        <f>IF(ISNUMBER(K300),K300-L300,"")</f>
        <v>450.0</v>
      </c>
      <c r="N300" s="55">
        <f>IF(ISNUMBER(K300),SUMIFS(st_min,st_date,A300,st_eq,B300,st_po,C300,st_type,"Non planifié"),"")</f>
        <v>86.0</v>
      </c>
      <c r="O300" s="55">
        <f>IF(ISNUMBER(K300),M300-N300,"")</f>
        <v>364.0</v>
      </c>
      <c r="P300" s="55">
        <f>IF(COUNTA(A300:I300)=0,"",N(G300)+N(H300)+N(I300))</f>
        <v>32.0</v>
      </c>
      <c r="Q300" s="56">
        <f>IF(COUNTA(A300:I300)=0,"",IF(N(IFERROR(INDEX(art_rate,MATCH(E300,art_ref,0)),0))&gt;0,N(IFERROR(INDEX(art_rate,MATCH(E300,art_ref,0)),0)),N(IFERROR(INDEX(po_rate,MATCH(C300,po_code,0)),0))))</f>
        <v>6.0</v>
      </c>
      <c r="R300" s="55">
        <f>IF(AC300=1,P300*60/Q300,"")</f>
        <v>320.0</v>
      </c>
      <c r="S300" s="55">
        <f>IF(AC300=1,N(G300)*60/Q300,"")</f>
        <v>320.0</v>
      </c>
      <c r="T300" s="57">
        <f>IF(AC300=1,O300/M300,"")</f>
        <v>0.808888888888889</v>
      </c>
      <c r="U300" s="57">
        <f>IF(AC300=1,IF(O300&gt;0,R300/O300,""),"")</f>
        <v>0.879120879120879</v>
      </c>
      <c r="V300" s="57">
        <f>IF(AC300=1,IF(P300&gt;0,N(G300)/P300,""),"")</f>
        <v>1.0</v>
      </c>
      <c r="W300" s="57">
        <f>IF(AC300=1,S300/M300,"")</f>
        <v>0.711111111111111</v>
      </c>
      <c r="X300" s="57">
        <f>IF(AC300=1,S300/K300,"")</f>
        <v>0.666666666666667</v>
      </c>
      <c r="Y300" s="58" t="str">
        <f>IF(W300="","",IF(W300&gt;=p_target,"Bon",IF(W300&gt;=p_alert,"À surveiller","Faible")))</f>
        <v>À surveiller</v>
      </c>
      <c r="Z300" s="58" t="str">
        <f>IF(W300="","",IF(MIN(IF(T300="",1,T300),IF(U300="",1,U300),IF(V300="",1,V300))&gt;=1,"Aucune",IF(IF(T300="",1,T300)&lt;=MIN(IF(U300="",1,U300),IF(V300="",1,V300)),"Disponibilité",IF(IF(U300="",1,U300)&lt;=IF(V300="",1,V300),"Performance","Qualité"))))</f>
        <v>Disponibilité</v>
      </c>
      <c r="AA300" s="59">
        <f>IF(AC300=1,N(H300)*N(IFERROR(INDEX(art_cost,MATCH(E300,art_ref,0)),0)),"")</f>
        <v>0.0</v>
      </c>
      <c r="AB300" s="58" t="str">
        <f>IF(COUNTA(A300:I300)=0,"",IF(N(A300)&lt;=0,"Date manquante ou invalide",IF(B300="","Équipe manquante",IF(ISNA(MATCH(B300,eq_code,0)),"Équipe inconnue",IF(INDEX(eq_check,MATCH(B300,eq_code,0))&lt;&gt;"OK","Équipe à corriger dans Paramètres",IF(C300="","Poste manquant",IF(ISNA(MATCH(C300,po_code,0)),"Poste inconnu",IF(AND(E300&lt;&gt;"",ISNA(MATCH(E300,art_ref,0))),"Article inconnu",IF(IF(E300="",FALSE,INDEX(art_check,MATCH(E300,art_ref,0))&lt;&gt;"OK"),"Article à corriger (feuille Articles)",IF(COUNTIFS(sj_date,A300,sj_eq,B300,sj_po,C300)&gt;1,"Ligne en double (même jour, équipe et poste)",IF(OR(NOT(ISNUMBER(K300)),N(K300)&lt;=0,N(K300)&gt;1440),"Temps d'ouverture invalide",IF(OR(AND(G300&lt;&gt;"",NOT(ISNUMBER(G300))),N(G300)&lt;0,N(G300)&lt;&gt;INT(N(G300)),AND(H300&lt;&gt;"",NOT(ISNUMBER(H300))),N(H300)&lt;0,N(H300)&lt;&gt;INT(N(H300)),AND(I300&lt;&gt;"",NOT(ISNUMBER(I300))),N(I300)&lt;0,N(I300)&lt;&gt;INT(N(I300))),"Quantité invalide",IF(Q300&lt;=0,"Cadence manquante (poste ou article)",IF(M300&lt;=0,"Arrêts planifiés supérieurs au temps d'ouverture",IF(O300&lt;0,"Arrêts supérieurs au temps requis",IF(AND(P300&gt;0,O300=0),"Pièces déclarées sans temps de marche",IF(AND(P300=0,O300&gt;0),"Aucune pièce déclarée",IF(P300*60/Q300&gt;O300+0.001,"Cadence dépassée : vérifiez la cadence","OK"))))))))))))))))))</f>
        <v>OK</v>
      </c>
      <c r="AC300">
        <f>IF(OR(AB300="OK",AB300="Aucune pièce déclarée",AB300="Cadence dépassée : vérifiez la cadence"),1,0)</f>
        <v>1.0</v>
      </c>
      <c r="AD300">
        <f>IF(AND(AC300=1,A300&gt;=p_from,A300&lt;=p_to),1,0)</f>
        <v>1.0</v>
      </c>
      <c r="AE300">
        <f>IF(AD300=1,IF(COUNTIFS($A$6:A300,A300,$AD$6:AD300,1)=1,1,0),0)</f>
        <v>0.0</v>
      </c>
      <c r="AF300" t="str">
        <f>IF(AE300=1,COUNTIFS(sj_first,1,sj_date,"&lt;"&amp;A300)+1,"")</f>
        <v/>
      </c>
      <c r="AG300" t="str">
        <f>IF(AND(AD300=1,N(W300)&lt;p_alert),ROUND(W300,4),"")</f>
        <v/>
      </c>
      <c r="AH300" t="str">
        <f>IF(AG300="","",COUNTIF(sj_akey,"&lt;"&amp;AG300)+COUNTIF($AG$6:AG300,AG300))</f>
        <v/>
      </c>
    </row>
    <row r="301">
      <c r="A301" s="51" t="n">
        <v>46325</v>
      </c>
      <c r="B301" s="52" t="inlineStr">
        <is>
          <t>Après-midi</t>
        </is>
      </c>
      <c r="C301" s="52" t="inlineStr">
        <is>
          <t>USIN</t>
        </is>
      </c>
      <c r="D301" s="53" t="inlineStr">
        <is>
          <t>OF-2610-196</t>
        </is>
      </c>
      <c r="E301" s="53" t="inlineStr">
        <is>
          <t>CAR-BOI-04</t>
        </is>
      </c>
      <c r="F301" s="54" t="n"/>
      <c r="G301" s="54" t="n">
        <v>26</v>
      </c>
      <c r="H301" s="54" t="n">
        <v>0</v>
      </c>
      <c r="I301" s="54" t="n">
        <v>0</v>
      </c>
      <c r="J301" s="53" t="n"/>
      <c r="K301" s="55">
        <f>IF(COUNTA(A301:I301)=0,"",IF(F301="",IFERROR(INDEX(eq_dur,MATCH(B301,eq_code,0)),""),F301))</f>
        <v>480.0</v>
      </c>
      <c r="L301" s="55">
        <f>IF(ISNUMBER(K301),N(IFERROR(INDEX(eq_pause,MATCH(B301,eq_code,0)),0))+SUMIFS(st_min,st_date,A301,st_eq,B301,st_po,C301,st_type,"Planifié"),"")</f>
        <v>30.0</v>
      </c>
      <c r="M301" s="55">
        <f>IF(ISNUMBER(K301),K301-L301,"")</f>
        <v>450.0</v>
      </c>
      <c r="N301" s="55">
        <f>IF(ISNUMBER(K301),SUMIFS(st_min,st_date,A301,st_eq,B301,st_po,C301,st_type,"Non planifié"),"")</f>
        <v>165.0</v>
      </c>
      <c r="O301" s="55">
        <f>IF(ISNUMBER(K301),M301-N301,"")</f>
        <v>285.0</v>
      </c>
      <c r="P301" s="55">
        <f>IF(COUNTA(A301:I301)=0,"",N(G301)+N(H301)+N(I301))</f>
        <v>26.0</v>
      </c>
      <c r="Q301" s="56">
        <f>IF(COUNTA(A301:I301)=0,"",IF(N(IFERROR(INDEX(art_rate,MATCH(E301,art_ref,0)),0))&gt;0,N(IFERROR(INDEX(art_rate,MATCH(E301,art_ref,0)),0)),N(IFERROR(INDEX(po_rate,MATCH(C301,po_code,0)),0))))</f>
        <v>6.0</v>
      </c>
      <c r="R301" s="55">
        <f>IF(AC301=1,P301*60/Q301,"")</f>
        <v>260.0</v>
      </c>
      <c r="S301" s="55">
        <f>IF(AC301=1,N(G301)*60/Q301,"")</f>
        <v>260.0</v>
      </c>
      <c r="T301" s="57">
        <f>IF(AC301=1,O301/M301,"")</f>
        <v>0.633333333333333</v>
      </c>
      <c r="U301" s="57">
        <f>IF(AC301=1,IF(O301&gt;0,R301/O301,""),"")</f>
        <v>0.912280701754386</v>
      </c>
      <c r="V301" s="57">
        <f>IF(AC301=1,IF(P301&gt;0,N(G301)/P301,""),"")</f>
        <v>1.0</v>
      </c>
      <c r="W301" s="57">
        <f>IF(AC301=1,S301/M301,"")</f>
        <v>0.577777777777778</v>
      </c>
      <c r="X301" s="57">
        <f>IF(AC301=1,S301/K301,"")</f>
        <v>0.541666666666667</v>
      </c>
      <c r="Y301" s="58" t="str">
        <f>IF(W301="","",IF(W301&gt;=p_target,"Bon",IF(W301&gt;=p_alert,"À surveiller","Faible")))</f>
        <v>À surveiller</v>
      </c>
      <c r="Z301" s="58" t="str">
        <f>IF(W301="","",IF(MIN(IF(T301="",1,T301),IF(U301="",1,U301),IF(V301="",1,V301))&gt;=1,"Aucune",IF(IF(T301="",1,T301)&lt;=MIN(IF(U301="",1,U301),IF(V301="",1,V301)),"Disponibilité",IF(IF(U301="",1,U301)&lt;=IF(V301="",1,V301),"Performance","Qualité"))))</f>
        <v>Disponibilité</v>
      </c>
      <c r="AA301" s="59">
        <f>IF(AC301=1,N(H301)*N(IFERROR(INDEX(art_cost,MATCH(E301,art_ref,0)),0)),"")</f>
        <v>0.0</v>
      </c>
      <c r="AB301" s="58" t="str">
        <f>IF(COUNTA(A301:I301)=0,"",IF(N(A301)&lt;=0,"Date manquante ou invalide",IF(B301="","Équipe manquante",IF(ISNA(MATCH(B301,eq_code,0)),"Équipe inconnue",IF(INDEX(eq_check,MATCH(B301,eq_code,0))&lt;&gt;"OK","Équipe à corriger dans Paramètres",IF(C301="","Poste manquant",IF(ISNA(MATCH(C301,po_code,0)),"Poste inconnu",IF(AND(E301&lt;&gt;"",ISNA(MATCH(E301,art_ref,0))),"Article inconnu",IF(IF(E301="",FALSE,INDEX(art_check,MATCH(E301,art_ref,0))&lt;&gt;"OK"),"Article à corriger (feuille Articles)",IF(COUNTIFS(sj_date,A301,sj_eq,B301,sj_po,C301)&gt;1,"Ligne en double (même jour, équipe et poste)",IF(OR(NOT(ISNUMBER(K301)),N(K301)&lt;=0,N(K301)&gt;1440),"Temps d'ouverture invalide",IF(OR(AND(G301&lt;&gt;"",NOT(ISNUMBER(G301))),N(G301)&lt;0,N(G301)&lt;&gt;INT(N(G301)),AND(H301&lt;&gt;"",NOT(ISNUMBER(H301))),N(H301)&lt;0,N(H301)&lt;&gt;INT(N(H301)),AND(I301&lt;&gt;"",NOT(ISNUMBER(I301))),N(I301)&lt;0,N(I301)&lt;&gt;INT(N(I301))),"Quantité invalide",IF(Q301&lt;=0,"Cadence manquante (poste ou article)",IF(M301&lt;=0,"Arrêts planifiés supérieurs au temps d'ouverture",IF(O301&lt;0,"Arrêts supérieurs au temps requis",IF(AND(P301&gt;0,O301=0),"Pièces déclarées sans temps de marche",IF(AND(P301=0,O301&gt;0),"Aucune pièce déclarée",IF(P301*60/Q301&gt;O301+0.001,"Cadence dépassée : vérifiez la cadence","OK"))))))))))))))))))</f>
        <v>OK</v>
      </c>
      <c r="AC301">
        <f>IF(OR(AB301="OK",AB301="Aucune pièce déclarée",AB301="Cadence dépassée : vérifiez la cadence"),1,0)</f>
        <v>1.0</v>
      </c>
      <c r="AD301">
        <f>IF(AND(AC301=1,A301&gt;=p_from,A301&lt;=p_to),1,0)</f>
        <v>1.0</v>
      </c>
      <c r="AE301">
        <f>IF(AD301=1,IF(COUNTIFS($A$6:A301,A301,$AD$6:AD301,1)=1,1,0),0)</f>
        <v>0.0</v>
      </c>
      <c r="AF301" t="str">
        <f>IF(AE301=1,COUNTIFS(sj_first,1,sj_date,"&lt;"&amp;A301)+1,"")</f>
        <v/>
      </c>
      <c r="AG301" t="str">
        <f>IF(AND(AD301=1,N(W301)&lt;p_alert),ROUND(W301,4),"")</f>
        <v/>
      </c>
      <c r="AH301" t="str">
        <f>IF(AG301="","",COUNTIF(sj_akey,"&lt;"&amp;AG301)+COUNTIF($AG$6:AG301,AG301))</f>
        <v/>
      </c>
    </row>
    <row r="302">
      <c r="A302" s="51" t="n">
        <v>46325</v>
      </c>
      <c r="B302" s="52" t="inlineStr">
        <is>
          <t>Matin</t>
        </is>
      </c>
      <c r="C302" s="52" t="inlineStr">
        <is>
          <t>PRESSE</t>
        </is>
      </c>
      <c r="D302" s="53" t="inlineStr">
        <is>
          <t>OF-2610-183</t>
        </is>
      </c>
      <c r="E302" s="53" t="inlineStr">
        <is>
          <t>RON-M10</t>
        </is>
      </c>
      <c r="F302" s="54" t="n"/>
      <c r="G302" s="54" t="n">
        <v>3955</v>
      </c>
      <c r="H302" s="54" t="n">
        <v>36</v>
      </c>
      <c r="I302" s="54" t="n">
        <v>17</v>
      </c>
      <c r="J302" s="53" t="n"/>
      <c r="K302" s="55">
        <f>IF(COUNTA(A302:I302)=0,"",IF(F302="",IFERROR(INDEX(eq_dur,MATCH(B302,eq_code,0)),""),F302))</f>
        <v>480.0</v>
      </c>
      <c r="L302" s="55">
        <f>IF(ISNUMBER(K302),N(IFERROR(INDEX(eq_pause,MATCH(B302,eq_code,0)),0))+SUMIFS(st_min,st_date,A302,st_eq,B302,st_po,C302,st_type,"Planifié"),"")</f>
        <v>30.0</v>
      </c>
      <c r="M302" s="55">
        <f>IF(ISNUMBER(K302),K302-L302,"")</f>
        <v>450.0</v>
      </c>
      <c r="N302" s="55">
        <f>IF(ISNUMBER(K302),SUMIFS(st_min,st_date,A302,st_eq,B302,st_po,C302,st_type,"Non planifié"),"")</f>
        <v>0.0</v>
      </c>
      <c r="O302" s="55">
        <f>IF(ISNUMBER(K302),M302-N302,"")</f>
        <v>450.0</v>
      </c>
      <c r="P302" s="55">
        <f>IF(COUNTA(A302:I302)=0,"",N(G302)+N(H302)+N(I302))</f>
        <v>4008.0</v>
      </c>
      <c r="Q302" s="56">
        <f>IF(COUNTA(A302:I302)=0,"",IF(N(IFERROR(INDEX(art_rate,MATCH(E302,art_ref,0)),0))&gt;0,N(IFERROR(INDEX(art_rate,MATCH(E302,art_ref,0)),0)),N(IFERROR(INDEX(po_rate,MATCH(C302,po_code,0)),0))))</f>
        <v>600.0</v>
      </c>
      <c r="R302" s="55">
        <f>IF(AC302=1,P302*60/Q302,"")</f>
        <v>400.8</v>
      </c>
      <c r="S302" s="55">
        <f>IF(AC302=1,N(G302)*60/Q302,"")</f>
        <v>395.5</v>
      </c>
      <c r="T302" s="57">
        <f>IF(AC302=1,O302/M302,"")</f>
        <v>1.0</v>
      </c>
      <c r="U302" s="57">
        <f>IF(AC302=1,IF(O302&gt;0,R302/O302,""),"")</f>
        <v>0.890666666666667</v>
      </c>
      <c r="V302" s="57">
        <f>IF(AC302=1,IF(P302&gt;0,N(G302)/P302,""),"")</f>
        <v>0.986776447105788</v>
      </c>
      <c r="W302" s="57">
        <f>IF(AC302=1,S302/M302,"")</f>
        <v>0.878888888888889</v>
      </c>
      <c r="X302" s="57">
        <f>IF(AC302=1,S302/K302,"")</f>
        <v>0.823958333333333</v>
      </c>
      <c r="Y302" s="58" t="str">
        <f>IF(W302="","",IF(W302&gt;=p_target,"Bon",IF(W302&gt;=p_alert,"À surveiller","Faible")))</f>
        <v>Bon</v>
      </c>
      <c r="Z302" s="58" t="str">
        <f>IF(W302="","",IF(MIN(IF(T302="",1,T302),IF(U302="",1,U302),IF(V302="",1,V302))&gt;=1,"Aucune",IF(IF(T302="",1,T302)&lt;=MIN(IF(U302="",1,U302),IF(V302="",1,V302)),"Disponibilité",IF(IF(U302="",1,U302)&lt;=IF(V302="",1,V302),"Performance","Qualité"))))</f>
        <v>Performance</v>
      </c>
      <c r="AA302" s="59">
        <f>IF(AC302=1,N(H302)*N(IFERROR(INDEX(art_cost,MATCH(E302,art_ref,0)),0)),"")</f>
        <v>32.4</v>
      </c>
      <c r="AB302" s="58" t="str">
        <f>IF(COUNTA(A302:I302)=0,"",IF(N(A302)&lt;=0,"Date manquante ou invalide",IF(B302="","Équipe manquante",IF(ISNA(MATCH(B302,eq_code,0)),"Équipe inconnue",IF(INDEX(eq_check,MATCH(B302,eq_code,0))&lt;&gt;"OK","Équipe à corriger dans Paramètres",IF(C302="","Poste manquant",IF(ISNA(MATCH(C302,po_code,0)),"Poste inconnu",IF(AND(E302&lt;&gt;"",ISNA(MATCH(E302,art_ref,0))),"Article inconnu",IF(IF(E302="",FALSE,INDEX(art_check,MATCH(E302,art_ref,0))&lt;&gt;"OK"),"Article à corriger (feuille Articles)",IF(COUNTIFS(sj_date,A302,sj_eq,B302,sj_po,C302)&gt;1,"Ligne en double (même jour, équipe et poste)",IF(OR(NOT(ISNUMBER(K302)),N(K302)&lt;=0,N(K302)&gt;1440),"Temps d'ouverture invalide",IF(OR(AND(G302&lt;&gt;"",NOT(ISNUMBER(G302))),N(G302)&lt;0,N(G302)&lt;&gt;INT(N(G302)),AND(H302&lt;&gt;"",NOT(ISNUMBER(H302))),N(H302)&lt;0,N(H302)&lt;&gt;INT(N(H302)),AND(I302&lt;&gt;"",NOT(ISNUMBER(I302))),N(I302)&lt;0,N(I302)&lt;&gt;INT(N(I302))),"Quantité invalide",IF(Q302&lt;=0,"Cadence manquante (poste ou article)",IF(M302&lt;=0,"Arrêts planifiés supérieurs au temps d'ouverture",IF(O302&lt;0,"Arrêts supérieurs au temps requis",IF(AND(P302&gt;0,O302=0),"Pièces déclarées sans temps de marche",IF(AND(P302=0,O302&gt;0),"Aucune pièce déclarée",IF(P302*60/Q302&gt;O302+0.001,"Cadence dépassée : vérifiez la cadence","OK"))))))))))))))))))</f>
        <v>OK</v>
      </c>
      <c r="AC302">
        <f>IF(OR(AB302="OK",AB302="Aucune pièce déclarée",AB302="Cadence dépassée : vérifiez la cadence"),1,0)</f>
        <v>1.0</v>
      </c>
      <c r="AD302">
        <f>IF(AND(AC302=1,A302&gt;=p_from,A302&lt;=p_to),1,0)</f>
        <v>1.0</v>
      </c>
      <c r="AE302">
        <f>IF(AD302=1,IF(COUNTIFS($A$6:A302,A302,$AD$6:AD302,1)=1,1,0),0)</f>
        <v>0.0</v>
      </c>
      <c r="AF302" t="str">
        <f>IF(AE302=1,COUNTIFS(sj_first,1,sj_date,"&lt;"&amp;A302)+1,"")</f>
        <v/>
      </c>
      <c r="AG302" t="str">
        <f>IF(AND(AD302=1,N(W302)&lt;p_alert),ROUND(W302,4),"")</f>
        <v/>
      </c>
      <c r="AH302" t="str">
        <f>IF(AG302="","",COUNTIF(sj_akey,"&lt;"&amp;AG302)+COUNTIF($AG$6:AG302,AG302))</f>
        <v/>
      </c>
    </row>
    <row r="303">
      <c r="A303" s="51" t="n">
        <v>46325</v>
      </c>
      <c r="B303" s="52" t="inlineStr">
        <is>
          <t>Journée</t>
        </is>
      </c>
      <c r="C303" s="52" t="inlineStr">
        <is>
          <t>PLIE</t>
        </is>
      </c>
      <c r="D303" s="53" t="inlineStr">
        <is>
          <t>OF-2610-180</t>
        </is>
      </c>
      <c r="E303" s="53" t="inlineStr">
        <is>
          <t>GAR-SUP-02</t>
        </is>
      </c>
      <c r="F303" s="54" t="n"/>
      <c r="G303" s="54" t="n">
        <v>496</v>
      </c>
      <c r="H303" s="54" t="n">
        <v>15</v>
      </c>
      <c r="I303" s="54" t="n">
        <v>3</v>
      </c>
      <c r="J303" s="53" t="n"/>
      <c r="K303" s="55">
        <f>IF(COUNTA(A303:I303)=0,"",IF(F303="",IFERROR(INDEX(eq_dur,MATCH(B303,eq_code,0)),""),F303))</f>
        <v>540.0</v>
      </c>
      <c r="L303" s="55">
        <f>IF(ISNUMBER(K303),N(IFERROR(INDEX(eq_pause,MATCH(B303,eq_code,0)),0))+SUMIFS(st_min,st_date,A303,st_eq,B303,st_po,C303,st_type,"Planifié"),"")</f>
        <v>60.0</v>
      </c>
      <c r="M303" s="55">
        <f>IF(ISNUMBER(K303),K303-L303,"")</f>
        <v>480.0</v>
      </c>
      <c r="N303" s="55">
        <f>IF(ISNUMBER(K303),SUMIFS(st_min,st_date,A303,st_eq,B303,st_po,C303,st_type,"Non planifié"),"")</f>
        <v>112.0</v>
      </c>
      <c r="O303" s="55">
        <f>IF(ISNUMBER(K303),M303-N303,"")</f>
        <v>368.0</v>
      </c>
      <c r="P303" s="55">
        <f>IF(COUNTA(A303:I303)=0,"",N(G303)+N(H303)+N(I303))</f>
        <v>514.0</v>
      </c>
      <c r="Q303" s="56">
        <f>IF(COUNTA(A303:I303)=0,"",IF(N(IFERROR(INDEX(art_rate,MATCH(E303,art_ref,0)),0))&gt;0,N(IFERROR(INDEX(art_rate,MATCH(E303,art_ref,0)),0)),N(IFERROR(INDEX(po_rate,MATCH(C303,po_code,0)),0))))</f>
        <v>110.0</v>
      </c>
      <c r="R303" s="55">
        <f>IF(AC303=1,P303*60/Q303,"")</f>
        <v>280.363636363636</v>
      </c>
      <c r="S303" s="55">
        <f>IF(AC303=1,N(G303)*60/Q303,"")</f>
        <v>270.545454545455</v>
      </c>
      <c r="T303" s="57">
        <f>IF(AC303=1,O303/M303,"")</f>
        <v>0.766666666666667</v>
      </c>
      <c r="U303" s="57">
        <f>IF(AC303=1,IF(O303&gt;0,R303/O303,""),"")</f>
        <v>0.761857707509882</v>
      </c>
      <c r="V303" s="57">
        <f>IF(AC303=1,IF(P303&gt;0,N(G303)/P303,""),"")</f>
        <v>0.964980544747082</v>
      </c>
      <c r="W303" s="57">
        <f>IF(AC303=1,S303/M303,"")</f>
        <v>0.563636363636364</v>
      </c>
      <c r="X303" s="57">
        <f>IF(AC303=1,S303/K303,"")</f>
        <v>0.501010101010101</v>
      </c>
      <c r="Y303" s="58" t="str">
        <f>IF(W303="","",IF(W303&gt;=p_target,"Bon",IF(W303&gt;=p_alert,"À surveiller","Faible")))</f>
        <v>À surveiller</v>
      </c>
      <c r="Z303" s="58" t="str">
        <f>IF(W303="","",IF(MIN(IF(T303="",1,T303),IF(U303="",1,U303),IF(V303="",1,V303))&gt;=1,"Aucune",IF(IF(T303="",1,T303)&lt;=MIN(IF(U303="",1,U303),IF(V303="",1,V303)),"Disponibilité",IF(IF(U303="",1,U303)&lt;=IF(V303="",1,V303),"Performance","Qualité"))))</f>
        <v>Performance</v>
      </c>
      <c r="AA303" s="59">
        <f>IF(AC303=1,N(H303)*N(IFERROR(INDEX(art_cost,MATCH(E303,art_ref,0)),0)),"")</f>
        <v>322.5</v>
      </c>
      <c r="AB303" s="58" t="str">
        <f>IF(COUNTA(A303:I303)=0,"",IF(N(A303)&lt;=0,"Date manquante ou invalide",IF(B303="","Équipe manquante",IF(ISNA(MATCH(B303,eq_code,0)),"Équipe inconnue",IF(INDEX(eq_check,MATCH(B303,eq_code,0))&lt;&gt;"OK","Équipe à corriger dans Paramètres",IF(C303="","Poste manquant",IF(ISNA(MATCH(C303,po_code,0)),"Poste inconnu",IF(AND(E303&lt;&gt;"",ISNA(MATCH(E303,art_ref,0))),"Article inconnu",IF(IF(E303="",FALSE,INDEX(art_check,MATCH(E303,art_ref,0))&lt;&gt;"OK"),"Article à corriger (feuille Articles)",IF(COUNTIFS(sj_date,A303,sj_eq,B303,sj_po,C303)&gt;1,"Ligne en double (même jour, équipe et poste)",IF(OR(NOT(ISNUMBER(K303)),N(K303)&lt;=0,N(K303)&gt;1440),"Temps d'ouverture invalide",IF(OR(AND(G303&lt;&gt;"",NOT(ISNUMBER(G303))),N(G303)&lt;0,N(G303)&lt;&gt;INT(N(G303)),AND(H303&lt;&gt;"",NOT(ISNUMBER(H303))),N(H303)&lt;0,N(H303)&lt;&gt;INT(N(H303)),AND(I303&lt;&gt;"",NOT(ISNUMBER(I303))),N(I303)&lt;0,N(I303)&lt;&gt;INT(N(I303))),"Quantité invalide",IF(Q303&lt;=0,"Cadence manquante (poste ou article)",IF(M303&lt;=0,"Arrêts planifiés supérieurs au temps d'ouverture",IF(O303&lt;0,"Arrêts supérieurs au temps requis",IF(AND(P303&gt;0,O303=0),"Pièces déclarées sans temps de marche",IF(AND(P303=0,O303&gt;0),"Aucune pièce déclarée",IF(P303*60/Q303&gt;O303+0.001,"Cadence dépassée : vérifiez la cadence","OK"))))))))))))))))))</f>
        <v>OK</v>
      </c>
      <c r="AC303">
        <f>IF(OR(AB303="OK",AB303="Aucune pièce déclarée",AB303="Cadence dépassée : vérifiez la cadence"),1,0)</f>
        <v>1.0</v>
      </c>
      <c r="AD303">
        <f>IF(AND(AC303=1,A303&gt;=p_from,A303&lt;=p_to),1,0)</f>
        <v>1.0</v>
      </c>
      <c r="AE303">
        <f>IF(AD303=1,IF(COUNTIFS($A$6:A303,A303,$AD$6:AD303,1)=1,1,0),0)</f>
        <v>0.0</v>
      </c>
      <c r="AF303" t="str">
        <f>IF(AE303=1,COUNTIFS(sj_first,1,sj_date,"&lt;"&amp;A303)+1,"")</f>
        <v/>
      </c>
      <c r="AG303" t="str">
        <f>IF(AND(AD303=1,N(W303)&lt;p_alert),ROUND(W303,4),"")</f>
        <v/>
      </c>
      <c r="AH303" t="str">
        <f>IF(AG303="","",COUNTIF(sj_akey,"&lt;"&amp;AG303)+COUNTIF($AG$6:AG303,AG303))</f>
        <v/>
      </c>
    </row>
    <row r="304">
      <c r="A304" s="51" t="n">
        <v>46325</v>
      </c>
      <c r="B304" s="52" t="inlineStr">
        <is>
          <t>Matin</t>
        </is>
      </c>
      <c r="C304" s="52" t="inlineStr">
        <is>
          <t>SOUD</t>
        </is>
      </c>
      <c r="D304" s="53" t="inlineStr">
        <is>
          <t>OF-2610-197</t>
        </is>
      </c>
      <c r="E304" s="53" t="inlineStr">
        <is>
          <t>CHA-REM-01</t>
        </is>
      </c>
      <c r="F304" s="54" t="n"/>
      <c r="G304" s="54" t="n">
        <v>20</v>
      </c>
      <c r="H304" s="54" t="n">
        <v>0</v>
      </c>
      <c r="I304" s="54" t="n">
        <v>0</v>
      </c>
      <c r="J304" s="53" t="n"/>
      <c r="K304" s="55">
        <f>IF(COUNTA(A304:I304)=0,"",IF(F304="",IFERROR(INDEX(eq_dur,MATCH(B304,eq_code,0)),""),F304))</f>
        <v>480.0</v>
      </c>
      <c r="L304" s="55">
        <f>IF(ISNUMBER(K304),N(IFERROR(INDEX(eq_pause,MATCH(B304,eq_code,0)),0))+SUMIFS(st_min,st_date,A304,st_eq,B304,st_po,C304,st_type,"Planifié"),"")</f>
        <v>30.0</v>
      </c>
      <c r="M304" s="55">
        <f>IF(ISNUMBER(K304),K304-L304,"")</f>
        <v>450.0</v>
      </c>
      <c r="N304" s="55">
        <f>IF(ISNUMBER(K304),SUMIFS(st_min,st_date,A304,st_eq,B304,st_po,C304,st_type,"Non planifié"),"")</f>
        <v>39.0</v>
      </c>
      <c r="O304" s="55">
        <f>IF(ISNUMBER(K304),M304-N304,"")</f>
        <v>411.0</v>
      </c>
      <c r="P304" s="55">
        <f>IF(COUNTA(A304:I304)=0,"",N(G304)+N(H304)+N(I304))</f>
        <v>20.0</v>
      </c>
      <c r="Q304" s="56">
        <f>IF(COUNTA(A304:I304)=0,"",IF(N(IFERROR(INDEX(art_rate,MATCH(E304,art_ref,0)),0))&gt;0,N(IFERROR(INDEX(art_rate,MATCH(E304,art_ref,0)),0)),N(IFERROR(INDEX(po_rate,MATCH(C304,po_code,0)),0))))</f>
        <v>4.0</v>
      </c>
      <c r="R304" s="55">
        <f>IF(AC304=1,P304*60/Q304,"")</f>
        <v>300.0</v>
      </c>
      <c r="S304" s="55">
        <f>IF(AC304=1,N(G304)*60/Q304,"")</f>
        <v>300.0</v>
      </c>
      <c r="T304" s="57">
        <f>IF(AC304=1,O304/M304,"")</f>
        <v>0.913333333333333</v>
      </c>
      <c r="U304" s="57">
        <f>IF(AC304=1,IF(O304&gt;0,R304/O304,""),"")</f>
        <v>0.72992700729927</v>
      </c>
      <c r="V304" s="57">
        <f>IF(AC304=1,IF(P304&gt;0,N(G304)/P304,""),"")</f>
        <v>1.0</v>
      </c>
      <c r="W304" s="57">
        <f>IF(AC304=1,S304/M304,"")</f>
        <v>0.666666666666667</v>
      </c>
      <c r="X304" s="57">
        <f>IF(AC304=1,S304/K304,"")</f>
        <v>0.625</v>
      </c>
      <c r="Y304" s="58" t="str">
        <f>IF(W304="","",IF(W304&gt;=p_target,"Bon",IF(W304&gt;=p_alert,"À surveiller","Faible")))</f>
        <v>À surveiller</v>
      </c>
      <c r="Z304" s="58" t="str">
        <f>IF(W304="","",IF(MIN(IF(T304="",1,T304),IF(U304="",1,U304),IF(V304="",1,V304))&gt;=1,"Aucune",IF(IF(T304="",1,T304)&lt;=MIN(IF(U304="",1,U304),IF(V304="",1,V304)),"Disponibilité",IF(IF(U304="",1,U304)&lt;=IF(V304="",1,V304),"Performance","Qualité"))))</f>
        <v>Performance</v>
      </c>
      <c r="AA304" s="59">
        <f>IF(AC304=1,N(H304)*N(IFERROR(INDEX(art_cost,MATCH(E304,art_ref,0)),0)),"")</f>
        <v>0.0</v>
      </c>
      <c r="AB304" s="58" t="str">
        <f>IF(COUNTA(A304:I304)=0,"",IF(N(A304)&lt;=0,"Date manquante ou invalide",IF(B304="","Équipe manquante",IF(ISNA(MATCH(B304,eq_code,0)),"Équipe inconnue",IF(INDEX(eq_check,MATCH(B304,eq_code,0))&lt;&gt;"OK","Équipe à corriger dans Paramètres",IF(C304="","Poste manquant",IF(ISNA(MATCH(C304,po_code,0)),"Poste inconnu",IF(AND(E304&lt;&gt;"",ISNA(MATCH(E304,art_ref,0))),"Article inconnu",IF(IF(E304="",FALSE,INDEX(art_check,MATCH(E304,art_ref,0))&lt;&gt;"OK"),"Article à corriger (feuille Articles)",IF(COUNTIFS(sj_date,A304,sj_eq,B304,sj_po,C304)&gt;1,"Ligne en double (même jour, équipe et poste)",IF(OR(NOT(ISNUMBER(K304)),N(K304)&lt;=0,N(K304)&gt;1440),"Temps d'ouverture invalide",IF(OR(AND(G304&lt;&gt;"",NOT(ISNUMBER(G304))),N(G304)&lt;0,N(G304)&lt;&gt;INT(N(G304)),AND(H304&lt;&gt;"",NOT(ISNUMBER(H304))),N(H304)&lt;0,N(H304)&lt;&gt;INT(N(H304)),AND(I304&lt;&gt;"",NOT(ISNUMBER(I304))),N(I304)&lt;0,N(I304)&lt;&gt;INT(N(I304))),"Quantité invalide",IF(Q304&lt;=0,"Cadence manquante (poste ou article)",IF(M304&lt;=0,"Arrêts planifiés supérieurs au temps d'ouverture",IF(O304&lt;0,"Arrêts supérieurs au temps requis",IF(AND(P304&gt;0,O304=0),"Pièces déclarées sans temps de marche",IF(AND(P304=0,O304&gt;0),"Aucune pièce déclarée",IF(P304*60/Q304&gt;O304+0.001,"Cadence dépassée : vérifiez la cadence","OK"))))))))))))))))))</f>
        <v>OK</v>
      </c>
      <c r="AC304">
        <f>IF(OR(AB304="OK",AB304="Aucune pièce déclarée",AB304="Cadence dépassée : vérifiez la cadence"),1,0)</f>
        <v>1.0</v>
      </c>
      <c r="AD304">
        <f>IF(AND(AC304=1,A304&gt;=p_from,A304&lt;=p_to),1,0)</f>
        <v>1.0</v>
      </c>
      <c r="AE304">
        <f>IF(AD304=1,IF(COUNTIFS($A$6:A304,A304,$AD$6:AD304,1)=1,1,0),0)</f>
        <v>0.0</v>
      </c>
      <c r="AF304" t="str">
        <f>IF(AE304=1,COUNTIFS(sj_first,1,sj_date,"&lt;"&amp;A304)+1,"")</f>
        <v/>
      </c>
      <c r="AG304" t="str">
        <f>IF(AND(AD304=1,N(W304)&lt;p_alert),ROUND(W304,4),"")</f>
        <v/>
      </c>
      <c r="AH304" t="str">
        <f>IF(AG304="","",COUNTIF(sj_akey,"&lt;"&amp;AG304)+COUNTIF($AG$6:AG304,AG304))</f>
        <v/>
      </c>
    </row>
    <row r="305">
      <c r="A305" s="51" t="n">
        <v>46325</v>
      </c>
      <c r="B305" s="52" t="inlineStr">
        <is>
          <t>Après-midi</t>
        </is>
      </c>
      <c r="C305" s="52" t="inlineStr">
        <is>
          <t>SOUD</t>
        </is>
      </c>
      <c r="D305" s="53" t="inlineStr">
        <is>
          <t>OF-2610-193</t>
        </is>
      </c>
      <c r="E305" s="53" t="inlineStr">
        <is>
          <t>BRA-SUS-02</t>
        </is>
      </c>
      <c r="F305" s="54" t="n"/>
      <c r="G305" s="54" t="n">
        <v>135</v>
      </c>
      <c r="H305" s="54" t="n">
        <v>1</v>
      </c>
      <c r="I305" s="54" t="n">
        <v>1</v>
      </c>
      <c r="J305" s="53" t="n"/>
      <c r="K305" s="55">
        <f>IF(COUNTA(A305:I305)=0,"",IF(F305="",IFERROR(INDEX(eq_dur,MATCH(B305,eq_code,0)),""),F305))</f>
        <v>480.0</v>
      </c>
      <c r="L305" s="55">
        <f>IF(ISNUMBER(K305),N(IFERROR(INDEX(eq_pause,MATCH(B305,eq_code,0)),0))+SUMIFS(st_min,st_date,A305,st_eq,B305,st_po,C305,st_type,"Planifié"),"")</f>
        <v>30.0</v>
      </c>
      <c r="M305" s="55">
        <f>IF(ISNUMBER(K305),K305-L305,"")</f>
        <v>450.0</v>
      </c>
      <c r="N305" s="55">
        <f>IF(ISNUMBER(K305),SUMIFS(st_min,st_date,A305,st_eq,B305,st_po,C305,st_type,"Non planifié"),"")</f>
        <v>0.0</v>
      </c>
      <c r="O305" s="55">
        <f>IF(ISNUMBER(K305),M305-N305,"")</f>
        <v>450.0</v>
      </c>
      <c r="P305" s="55">
        <f>IF(COUNTA(A305:I305)=0,"",N(G305)+N(H305)+N(I305))</f>
        <v>137.0</v>
      </c>
      <c r="Q305" s="56">
        <f>IF(COUNTA(A305:I305)=0,"",IF(N(IFERROR(INDEX(art_rate,MATCH(E305,art_ref,0)),0))&gt;0,N(IFERROR(INDEX(art_rate,MATCH(E305,art_ref,0)),0)),N(IFERROR(INDEX(po_rate,MATCH(C305,po_code,0)),0))))</f>
        <v>20.0</v>
      </c>
      <c r="R305" s="55">
        <f>IF(AC305=1,P305*60/Q305,"")</f>
        <v>411.0</v>
      </c>
      <c r="S305" s="55">
        <f>IF(AC305=1,N(G305)*60/Q305,"")</f>
        <v>405.0</v>
      </c>
      <c r="T305" s="57">
        <f>IF(AC305=1,O305/M305,"")</f>
        <v>1.0</v>
      </c>
      <c r="U305" s="57">
        <f>IF(AC305=1,IF(O305&gt;0,R305/O305,""),"")</f>
        <v>0.913333333333333</v>
      </c>
      <c r="V305" s="57">
        <f>IF(AC305=1,IF(P305&gt;0,N(G305)/P305,""),"")</f>
        <v>0.985401459854015</v>
      </c>
      <c r="W305" s="57">
        <f>IF(AC305=1,S305/M305,"")</f>
        <v>0.9</v>
      </c>
      <c r="X305" s="57">
        <f>IF(AC305=1,S305/K305,"")</f>
        <v>0.84375</v>
      </c>
      <c r="Y305" s="58" t="str">
        <f>IF(W305="","",IF(W305&gt;=p_target,"Bon",IF(W305&gt;=p_alert,"À surveiller","Faible")))</f>
        <v>Bon</v>
      </c>
      <c r="Z305" s="58" t="str">
        <f>IF(W305="","",IF(MIN(IF(T305="",1,T305),IF(U305="",1,U305),IF(V305="",1,V305))&gt;=1,"Aucune",IF(IF(T305="",1,T305)&lt;=MIN(IF(U305="",1,U305),IF(V305="",1,V305)),"Disponibilité",IF(IF(U305="",1,U305)&lt;=IF(V305="",1,V305),"Performance","Qualité"))))</f>
        <v>Performance</v>
      </c>
      <c r="AA305" s="59">
        <f>IF(AC305=1,N(H305)*N(IFERROR(INDEX(art_cost,MATCH(E305,art_ref,0)),0)),"")</f>
        <v>238.0</v>
      </c>
      <c r="AB305" s="58" t="str">
        <f>IF(COUNTA(A305:I305)=0,"",IF(N(A305)&lt;=0,"Date manquante ou invalide",IF(B305="","Équipe manquante",IF(ISNA(MATCH(B305,eq_code,0)),"Équipe inconnue",IF(INDEX(eq_check,MATCH(B305,eq_code,0))&lt;&gt;"OK","Équipe à corriger dans Paramètres",IF(C305="","Poste manquant",IF(ISNA(MATCH(C305,po_code,0)),"Poste inconnu",IF(AND(E305&lt;&gt;"",ISNA(MATCH(E305,art_ref,0))),"Article inconnu",IF(IF(E305="",FALSE,INDEX(art_check,MATCH(E305,art_ref,0))&lt;&gt;"OK"),"Article à corriger (feuille Articles)",IF(COUNTIFS(sj_date,A305,sj_eq,B305,sj_po,C305)&gt;1,"Ligne en double (même jour, équipe et poste)",IF(OR(NOT(ISNUMBER(K305)),N(K305)&lt;=0,N(K305)&gt;1440),"Temps d'ouverture invalide",IF(OR(AND(G305&lt;&gt;"",NOT(ISNUMBER(G305))),N(G305)&lt;0,N(G305)&lt;&gt;INT(N(G305)),AND(H305&lt;&gt;"",NOT(ISNUMBER(H305))),N(H305)&lt;0,N(H305)&lt;&gt;INT(N(H305)),AND(I305&lt;&gt;"",NOT(ISNUMBER(I305))),N(I305)&lt;0,N(I305)&lt;&gt;INT(N(I305))),"Quantité invalide",IF(Q305&lt;=0,"Cadence manquante (poste ou article)",IF(M305&lt;=0,"Arrêts planifiés supérieurs au temps d'ouverture",IF(O305&lt;0,"Arrêts supérieurs au temps requis",IF(AND(P305&gt;0,O305=0),"Pièces déclarées sans temps de marche",IF(AND(P305=0,O305&gt;0),"Aucune pièce déclarée",IF(P305*60/Q305&gt;O305+0.001,"Cadence dépassée : vérifiez la cadence","OK"))))))))))))))))))</f>
        <v>OK</v>
      </c>
      <c r="AC305">
        <f>IF(OR(AB305="OK",AB305="Aucune pièce déclarée",AB305="Cadence dépassée : vérifiez la cadence"),1,0)</f>
        <v>1.0</v>
      </c>
      <c r="AD305">
        <f>IF(AND(AC305=1,A305&gt;=p_from,A305&lt;=p_to),1,0)</f>
        <v>1.0</v>
      </c>
      <c r="AE305">
        <f>IF(AD305=1,IF(COUNTIFS($A$6:A305,A305,$AD$6:AD305,1)=1,1,0),0)</f>
        <v>0.0</v>
      </c>
      <c r="AF305" t="str">
        <f>IF(AE305=1,COUNTIFS(sj_first,1,sj_date,"&lt;"&amp;A305)+1,"")</f>
        <v/>
      </c>
      <c r="AG305" t="str">
        <f>IF(AND(AD305=1,N(W305)&lt;p_alert),ROUND(W305,4),"")</f>
        <v/>
      </c>
      <c r="AH305" t="str">
        <f>IF(AG305="","",COUNTIF(sj_akey,"&lt;"&amp;AG305)+COUNTIF($AG$6:AG305,AG305))</f>
        <v/>
      </c>
    </row>
    <row r="306">
      <c r="A306" s="51" t="n">
        <v>46328</v>
      </c>
      <c r="B306" s="52" t="inlineStr">
        <is>
          <t>Matin</t>
        </is>
      </c>
      <c r="C306" s="52" t="inlineStr">
        <is>
          <t>TOUR1</t>
        </is>
      </c>
      <c r="D306" s="53" t="inlineStr">
        <is>
          <t>OF-2611-198</t>
        </is>
      </c>
      <c r="E306" s="53" t="inlineStr">
        <is>
          <t>AXE-R20</t>
        </is>
      </c>
      <c r="F306" s="54" t="n"/>
      <c r="G306" s="54" t="n">
        <v>182</v>
      </c>
      <c r="H306" s="54" t="n">
        <v>5</v>
      </c>
      <c r="I306" s="54" t="n">
        <v>0</v>
      </c>
      <c r="J306" s="53" t="n"/>
      <c r="K306" s="55">
        <f>IF(COUNTA(A306:I306)=0,"",IF(F306="",IFERROR(INDEX(eq_dur,MATCH(B306,eq_code,0)),""),F306))</f>
        <v>480.0</v>
      </c>
      <c r="L306" s="55">
        <f>IF(ISNUMBER(K306),N(IFERROR(INDEX(eq_pause,MATCH(B306,eq_code,0)),0))+SUMIFS(st_min,st_date,A306,st_eq,B306,st_po,C306,st_type,"Planifié"),"")</f>
        <v>30.0</v>
      </c>
      <c r="M306" s="55">
        <f>IF(ISNUMBER(K306),K306-L306,"")</f>
        <v>450.0</v>
      </c>
      <c r="N306" s="55">
        <f>IF(ISNUMBER(K306),SUMIFS(st_min,st_date,A306,st_eq,B306,st_po,C306,st_type,"Non planifié"),"")</f>
        <v>31.0</v>
      </c>
      <c r="O306" s="55">
        <f>IF(ISNUMBER(K306),M306-N306,"")</f>
        <v>419.0</v>
      </c>
      <c r="P306" s="55">
        <f>IF(COUNTA(A306:I306)=0,"",N(G306)+N(H306)+N(I306))</f>
        <v>187.0</v>
      </c>
      <c r="Q306" s="56">
        <f>IF(COUNTA(A306:I306)=0,"",IF(N(IFERROR(INDEX(art_rate,MATCH(E306,art_ref,0)),0))&gt;0,N(IFERROR(INDEX(art_rate,MATCH(E306,art_ref,0)),0)),N(IFERROR(INDEX(po_rate,MATCH(C306,po_code,0)),0))))</f>
        <v>30.0</v>
      </c>
      <c r="R306" s="55">
        <f>IF(AC306=1,P306*60/Q306,"")</f>
        <v>374.0</v>
      </c>
      <c r="S306" s="55">
        <f>IF(AC306=1,N(G306)*60/Q306,"")</f>
        <v>364.0</v>
      </c>
      <c r="T306" s="57">
        <f>IF(AC306=1,O306/M306,"")</f>
        <v>0.931111111111111</v>
      </c>
      <c r="U306" s="57">
        <f>IF(AC306=1,IF(O306&gt;0,R306/O306,""),"")</f>
        <v>0.892601431980907</v>
      </c>
      <c r="V306" s="57">
        <f>IF(AC306=1,IF(P306&gt;0,N(G306)/P306,""),"")</f>
        <v>0.973262032085562</v>
      </c>
      <c r="W306" s="57">
        <f>IF(AC306=1,S306/M306,"")</f>
        <v>0.808888888888889</v>
      </c>
      <c r="X306" s="57">
        <f>IF(AC306=1,S306/K306,"")</f>
        <v>0.758333333333333</v>
      </c>
      <c r="Y306" s="58" t="str">
        <f>IF(W306="","",IF(W306&gt;=p_target,"Bon",IF(W306&gt;=p_alert,"À surveiller","Faible")))</f>
        <v>Bon</v>
      </c>
      <c r="Z306" s="58" t="str">
        <f>IF(W306="","",IF(MIN(IF(T306="",1,T306),IF(U306="",1,U306),IF(V306="",1,V306))&gt;=1,"Aucune",IF(IF(T306="",1,T306)&lt;=MIN(IF(U306="",1,U306),IF(V306="",1,V306)),"Disponibilité",IF(IF(U306="",1,U306)&lt;=IF(V306="",1,V306),"Performance","Qualité"))))</f>
        <v>Performance</v>
      </c>
      <c r="AA306" s="59">
        <f>IF(AC306=1,N(H306)*N(IFERROR(INDEX(art_cost,MATCH(E306,art_ref,0)),0)),"")</f>
        <v>192.5</v>
      </c>
      <c r="AB306" s="58" t="str">
        <f>IF(COUNTA(A306:I306)=0,"",IF(N(A306)&lt;=0,"Date manquante ou invalide",IF(B306="","Équipe manquante",IF(ISNA(MATCH(B306,eq_code,0)),"Équipe inconnue",IF(INDEX(eq_check,MATCH(B306,eq_code,0))&lt;&gt;"OK","Équipe à corriger dans Paramètres",IF(C306="","Poste manquant",IF(ISNA(MATCH(C306,po_code,0)),"Poste inconnu",IF(AND(E306&lt;&gt;"",ISNA(MATCH(E306,art_ref,0))),"Article inconnu",IF(IF(E306="",FALSE,INDEX(art_check,MATCH(E306,art_ref,0))&lt;&gt;"OK"),"Article à corriger (feuille Articles)",IF(COUNTIFS(sj_date,A306,sj_eq,B306,sj_po,C306)&gt;1,"Ligne en double (même jour, équipe et poste)",IF(OR(NOT(ISNUMBER(K306)),N(K306)&lt;=0,N(K306)&gt;1440),"Temps d'ouverture invalide",IF(OR(AND(G306&lt;&gt;"",NOT(ISNUMBER(G306))),N(G306)&lt;0,N(G306)&lt;&gt;INT(N(G306)),AND(H306&lt;&gt;"",NOT(ISNUMBER(H306))),N(H306)&lt;0,N(H306)&lt;&gt;INT(N(H306)),AND(I306&lt;&gt;"",NOT(ISNUMBER(I306))),N(I306)&lt;0,N(I306)&lt;&gt;INT(N(I306))),"Quantité invalide",IF(Q306&lt;=0,"Cadence manquante (poste ou article)",IF(M306&lt;=0,"Arrêts planifiés supérieurs au temps d'ouverture",IF(O306&lt;0,"Arrêts supérieurs au temps requis",IF(AND(P306&gt;0,O306=0),"Pièces déclarées sans temps de marche",IF(AND(P306=0,O306&gt;0),"Aucune pièce déclarée",IF(P306*60/Q306&gt;O306+0.001,"Cadence dépassée : vérifiez la cadence","OK"))))))))))))))))))</f>
        <v>OK</v>
      </c>
      <c r="AC306">
        <f>IF(OR(AB306="OK",AB306="Aucune pièce déclarée",AB306="Cadence dépassée : vérifiez la cadence"),1,0)</f>
        <v>1.0</v>
      </c>
      <c r="AD306">
        <f>IF(AND(AC306=1,A306&gt;=p_from,A306&lt;=p_to),1,0)</f>
        <v>1.0</v>
      </c>
      <c r="AE306">
        <f>IF(AD306=1,IF(COUNTIFS($A$6:A306,A306,$AD$6:AD306,1)=1,1,0),0)</f>
        <v>1.0</v>
      </c>
      <c r="AF306">
        <f>IF(AE306=1,COUNTIFS(sj_first,1,sj_date,"&lt;"&amp;A306)+1,"")</f>
        <v>31.0</v>
      </c>
      <c r="AG306" t="str">
        <f>IF(AND(AD306=1,N(W306)&lt;p_alert),ROUND(W306,4),"")</f>
        <v/>
      </c>
      <c r="AH306" t="str">
        <f>IF(AG306="","",COUNTIF(sj_akey,"&lt;"&amp;AG306)+COUNTIF($AG$6:AG306,AG306))</f>
        <v/>
      </c>
    </row>
    <row r="307">
      <c r="A307" s="51" t="n">
        <v>46328</v>
      </c>
      <c r="B307" s="52" t="inlineStr">
        <is>
          <t>Après-midi</t>
        </is>
      </c>
      <c r="C307" s="52" t="inlineStr">
        <is>
          <t>TOUR1</t>
        </is>
      </c>
      <c r="D307" s="53" t="inlineStr">
        <is>
          <t>OF-2610-195</t>
        </is>
      </c>
      <c r="E307" s="53" t="inlineStr">
        <is>
          <t>AXE-R20</t>
        </is>
      </c>
      <c r="F307" s="54" t="n"/>
      <c r="G307" s="54" t="n">
        <v>177</v>
      </c>
      <c r="H307" s="54" t="n">
        <v>6</v>
      </c>
      <c r="I307" s="54" t="n">
        <v>2</v>
      </c>
      <c r="J307" s="53" t="n"/>
      <c r="K307" s="55">
        <f>IF(COUNTA(A307:I307)=0,"",IF(F307="",IFERROR(INDEX(eq_dur,MATCH(B307,eq_code,0)),""),F307))</f>
        <v>480.0</v>
      </c>
      <c r="L307" s="55">
        <f>IF(ISNUMBER(K307),N(IFERROR(INDEX(eq_pause,MATCH(B307,eq_code,0)),0))+SUMIFS(st_min,st_date,A307,st_eq,B307,st_po,C307,st_type,"Planifié"),"")</f>
        <v>30.0</v>
      </c>
      <c r="M307" s="55">
        <f>IF(ISNUMBER(K307),K307-L307,"")</f>
        <v>450.0</v>
      </c>
      <c r="N307" s="55">
        <f>IF(ISNUMBER(K307),SUMIFS(st_min,st_date,A307,st_eq,B307,st_po,C307,st_type,"Non planifié"),"")</f>
        <v>44.0</v>
      </c>
      <c r="O307" s="55">
        <f>IF(ISNUMBER(K307),M307-N307,"")</f>
        <v>406.0</v>
      </c>
      <c r="P307" s="55">
        <f>IF(COUNTA(A307:I307)=0,"",N(G307)+N(H307)+N(I307))</f>
        <v>185.0</v>
      </c>
      <c r="Q307" s="56">
        <f>IF(COUNTA(A307:I307)=0,"",IF(N(IFERROR(INDEX(art_rate,MATCH(E307,art_ref,0)),0))&gt;0,N(IFERROR(INDEX(art_rate,MATCH(E307,art_ref,0)),0)),N(IFERROR(INDEX(po_rate,MATCH(C307,po_code,0)),0))))</f>
        <v>30.0</v>
      </c>
      <c r="R307" s="55">
        <f>IF(AC307=1,P307*60/Q307,"")</f>
        <v>370.0</v>
      </c>
      <c r="S307" s="55">
        <f>IF(AC307=1,N(G307)*60/Q307,"")</f>
        <v>354.0</v>
      </c>
      <c r="T307" s="57">
        <f>IF(AC307=1,O307/M307,"")</f>
        <v>0.902222222222222</v>
      </c>
      <c r="U307" s="57">
        <f>IF(AC307=1,IF(O307&gt;0,R307/O307,""),"")</f>
        <v>0.911330049261084</v>
      </c>
      <c r="V307" s="57">
        <f>IF(AC307=1,IF(P307&gt;0,N(G307)/P307,""),"")</f>
        <v>0.956756756756757</v>
      </c>
      <c r="W307" s="57">
        <f>IF(AC307=1,S307/M307,"")</f>
        <v>0.786666666666667</v>
      </c>
      <c r="X307" s="57">
        <f>IF(AC307=1,S307/K307,"")</f>
        <v>0.7375</v>
      </c>
      <c r="Y307" s="58" t="str">
        <f>IF(W307="","",IF(W307&gt;=p_target,"Bon",IF(W307&gt;=p_alert,"À surveiller","Faible")))</f>
        <v>Bon</v>
      </c>
      <c r="Z307" s="58" t="str">
        <f>IF(W307="","",IF(MIN(IF(T307="",1,T307),IF(U307="",1,U307),IF(V307="",1,V307))&gt;=1,"Aucune",IF(IF(T307="",1,T307)&lt;=MIN(IF(U307="",1,U307),IF(V307="",1,V307)),"Disponibilité",IF(IF(U307="",1,U307)&lt;=IF(V307="",1,V307),"Performance","Qualité"))))</f>
        <v>Disponibilité</v>
      </c>
      <c r="AA307" s="59">
        <f>IF(AC307=1,N(H307)*N(IFERROR(INDEX(art_cost,MATCH(E307,art_ref,0)),0)),"")</f>
        <v>231.0</v>
      </c>
      <c r="AB307" s="58" t="str">
        <f>IF(COUNTA(A307:I307)=0,"",IF(N(A307)&lt;=0,"Date manquante ou invalide",IF(B307="","Équipe manquante",IF(ISNA(MATCH(B307,eq_code,0)),"Équipe inconnue",IF(INDEX(eq_check,MATCH(B307,eq_code,0))&lt;&gt;"OK","Équipe à corriger dans Paramètres",IF(C307="","Poste manquant",IF(ISNA(MATCH(C307,po_code,0)),"Poste inconnu",IF(AND(E307&lt;&gt;"",ISNA(MATCH(E307,art_ref,0))),"Article inconnu",IF(IF(E307="",FALSE,INDEX(art_check,MATCH(E307,art_ref,0))&lt;&gt;"OK"),"Article à corriger (feuille Articles)",IF(COUNTIFS(sj_date,A307,sj_eq,B307,sj_po,C307)&gt;1,"Ligne en double (même jour, équipe et poste)",IF(OR(NOT(ISNUMBER(K307)),N(K307)&lt;=0,N(K307)&gt;1440),"Temps d'ouverture invalide",IF(OR(AND(G307&lt;&gt;"",NOT(ISNUMBER(G307))),N(G307)&lt;0,N(G307)&lt;&gt;INT(N(G307)),AND(H307&lt;&gt;"",NOT(ISNUMBER(H307))),N(H307)&lt;0,N(H307)&lt;&gt;INT(N(H307)),AND(I307&lt;&gt;"",NOT(ISNUMBER(I307))),N(I307)&lt;0,N(I307)&lt;&gt;INT(N(I307))),"Quantité invalide",IF(Q307&lt;=0,"Cadence manquante (poste ou article)",IF(M307&lt;=0,"Arrêts planifiés supérieurs au temps d'ouverture",IF(O307&lt;0,"Arrêts supérieurs au temps requis",IF(AND(P307&gt;0,O307=0),"Pièces déclarées sans temps de marche",IF(AND(P307=0,O307&gt;0),"Aucune pièce déclarée",IF(P307*60/Q307&gt;O307+0.001,"Cadence dépassée : vérifiez la cadence","OK"))))))))))))))))))</f>
        <v>OK</v>
      </c>
      <c r="AC307">
        <f>IF(OR(AB307="OK",AB307="Aucune pièce déclarée",AB307="Cadence dépassée : vérifiez la cadence"),1,0)</f>
        <v>1.0</v>
      </c>
      <c r="AD307">
        <f>IF(AND(AC307=1,A307&gt;=p_from,A307&lt;=p_to),1,0)</f>
        <v>1.0</v>
      </c>
      <c r="AE307">
        <f>IF(AD307=1,IF(COUNTIFS($A$6:A307,A307,$AD$6:AD307,1)=1,1,0),0)</f>
        <v>0.0</v>
      </c>
      <c r="AF307" t="str">
        <f>IF(AE307=1,COUNTIFS(sj_first,1,sj_date,"&lt;"&amp;A307)+1,"")</f>
        <v/>
      </c>
      <c r="AG307" t="str">
        <f>IF(AND(AD307=1,N(W307)&lt;p_alert),ROUND(W307,4),"")</f>
        <v/>
      </c>
      <c r="AH307" t="str">
        <f>IF(AG307="","",COUNTIF(sj_akey,"&lt;"&amp;AG307)+COUNTIF($AG$6:AG307,AG307))</f>
        <v/>
      </c>
    </row>
    <row r="308">
      <c r="A308" s="51" t="n">
        <v>46328</v>
      </c>
      <c r="B308" s="52" t="inlineStr">
        <is>
          <t>Matin</t>
        </is>
      </c>
      <c r="C308" s="52" t="inlineStr">
        <is>
          <t>TOUR2</t>
        </is>
      </c>
      <c r="D308" s="53" t="inlineStr">
        <is>
          <t>OF-2611-199</t>
        </is>
      </c>
      <c r="E308" s="53" t="inlineStr">
        <is>
          <t>ENT-12</t>
        </is>
      </c>
      <c r="F308" s="54" t="n"/>
      <c r="G308" s="54" t="n">
        <v>311</v>
      </c>
      <c r="H308" s="54" t="n">
        <v>11</v>
      </c>
      <c r="I308" s="54" t="n">
        <v>4</v>
      </c>
      <c r="J308" s="53" t="n"/>
      <c r="K308" s="55">
        <f>IF(COUNTA(A308:I308)=0,"",IF(F308="",IFERROR(INDEX(eq_dur,MATCH(B308,eq_code,0)),""),F308))</f>
        <v>480.0</v>
      </c>
      <c r="L308" s="55">
        <f>IF(ISNUMBER(K308),N(IFERROR(INDEX(eq_pause,MATCH(B308,eq_code,0)),0))+SUMIFS(st_min,st_date,A308,st_eq,B308,st_po,C308,st_type,"Planifié"),"")</f>
        <v>30.0</v>
      </c>
      <c r="M308" s="55">
        <f>IF(ISNUMBER(K308),K308-L308,"")</f>
        <v>450.0</v>
      </c>
      <c r="N308" s="55">
        <f>IF(ISNUMBER(K308),SUMIFS(st_min,st_date,A308,st_eq,B308,st_po,C308,st_type,"Non planifié"),"")</f>
        <v>66.0</v>
      </c>
      <c r="O308" s="55">
        <f>IF(ISNUMBER(K308),M308-N308,"")</f>
        <v>384.0</v>
      </c>
      <c r="P308" s="55">
        <f>IF(COUNTA(A308:I308)=0,"",N(G308)+N(H308)+N(I308))</f>
        <v>326.0</v>
      </c>
      <c r="Q308" s="56">
        <f>IF(COUNTA(A308:I308)=0,"",IF(N(IFERROR(INDEX(art_rate,MATCH(E308,art_ref,0)),0))&gt;0,N(IFERROR(INDEX(art_rate,MATCH(E308,art_ref,0)),0)),N(IFERROR(INDEX(po_rate,MATCH(C308,po_code,0)),0))))</f>
        <v>55.0</v>
      </c>
      <c r="R308" s="55">
        <f>IF(AC308=1,P308*60/Q308,"")</f>
        <v>355.636363636364</v>
      </c>
      <c r="S308" s="55">
        <f>IF(AC308=1,N(G308)*60/Q308,"")</f>
        <v>339.272727272727</v>
      </c>
      <c r="T308" s="57">
        <f>IF(AC308=1,O308/M308,"")</f>
        <v>0.853333333333333</v>
      </c>
      <c r="U308" s="57">
        <f>IF(AC308=1,IF(O308&gt;0,R308/O308,""),"")</f>
        <v>0.926136363636364</v>
      </c>
      <c r="V308" s="57">
        <f>IF(AC308=1,IF(P308&gt;0,N(G308)/P308,""),"")</f>
        <v>0.95398773006135</v>
      </c>
      <c r="W308" s="57">
        <f>IF(AC308=1,S308/M308,"")</f>
        <v>0.753939393939394</v>
      </c>
      <c r="X308" s="57">
        <f>IF(AC308=1,S308/K308,"")</f>
        <v>0.706818181818182</v>
      </c>
      <c r="Y308" s="58" t="str">
        <f>IF(W308="","",IF(W308&gt;=p_target,"Bon",IF(W308&gt;=p_alert,"À surveiller","Faible")))</f>
        <v>Bon</v>
      </c>
      <c r="Z308" s="58" t="str">
        <f>IF(W308="","",IF(MIN(IF(T308="",1,T308),IF(U308="",1,U308),IF(V308="",1,V308))&gt;=1,"Aucune",IF(IF(T308="",1,T308)&lt;=MIN(IF(U308="",1,U308),IF(V308="",1,V308)),"Disponibilité",IF(IF(U308="",1,U308)&lt;=IF(V308="",1,V308),"Performance","Qualité"))))</f>
        <v>Disponibilité</v>
      </c>
      <c r="AA308" s="59">
        <f>IF(AC308=1,N(H308)*N(IFERROR(INDEX(art_cost,MATCH(E308,art_ref,0)),0)),"")</f>
        <v>74.8</v>
      </c>
      <c r="AB308" s="58" t="str">
        <f>IF(COUNTA(A308:I308)=0,"",IF(N(A308)&lt;=0,"Date manquante ou invalide",IF(B308="","Équipe manquante",IF(ISNA(MATCH(B308,eq_code,0)),"Équipe inconnue",IF(INDEX(eq_check,MATCH(B308,eq_code,0))&lt;&gt;"OK","Équipe à corriger dans Paramètres",IF(C308="","Poste manquant",IF(ISNA(MATCH(C308,po_code,0)),"Poste inconnu",IF(AND(E308&lt;&gt;"",ISNA(MATCH(E308,art_ref,0))),"Article inconnu",IF(IF(E308="",FALSE,INDEX(art_check,MATCH(E308,art_ref,0))&lt;&gt;"OK"),"Article à corriger (feuille Articles)",IF(COUNTIFS(sj_date,A308,sj_eq,B308,sj_po,C308)&gt;1,"Ligne en double (même jour, équipe et poste)",IF(OR(NOT(ISNUMBER(K308)),N(K308)&lt;=0,N(K308)&gt;1440),"Temps d'ouverture invalide",IF(OR(AND(G308&lt;&gt;"",NOT(ISNUMBER(G308))),N(G308)&lt;0,N(G308)&lt;&gt;INT(N(G308)),AND(H308&lt;&gt;"",NOT(ISNUMBER(H308))),N(H308)&lt;0,N(H308)&lt;&gt;INT(N(H308)),AND(I308&lt;&gt;"",NOT(ISNUMBER(I308))),N(I308)&lt;0,N(I308)&lt;&gt;INT(N(I308))),"Quantité invalide",IF(Q308&lt;=0,"Cadence manquante (poste ou article)",IF(M308&lt;=0,"Arrêts planifiés supérieurs au temps d'ouverture",IF(O308&lt;0,"Arrêts supérieurs au temps requis",IF(AND(P308&gt;0,O308=0),"Pièces déclarées sans temps de marche",IF(AND(P308=0,O308&gt;0),"Aucune pièce déclarée",IF(P308*60/Q308&gt;O308+0.001,"Cadence dépassée : vérifiez la cadence","OK"))))))))))))))))))</f>
        <v>OK</v>
      </c>
      <c r="AC308">
        <f>IF(OR(AB308="OK",AB308="Aucune pièce déclarée",AB308="Cadence dépassée : vérifiez la cadence"),1,0)</f>
        <v>1.0</v>
      </c>
      <c r="AD308">
        <f>IF(AND(AC308=1,A308&gt;=p_from,A308&lt;=p_to),1,0)</f>
        <v>1.0</v>
      </c>
      <c r="AE308">
        <f>IF(AD308=1,IF(COUNTIFS($A$6:A308,A308,$AD$6:AD308,1)=1,1,0),0)</f>
        <v>0.0</v>
      </c>
      <c r="AF308" t="str">
        <f>IF(AE308=1,COUNTIFS(sj_first,1,sj_date,"&lt;"&amp;A308)+1,"")</f>
        <v/>
      </c>
      <c r="AG308" t="str">
        <f>IF(AND(AD308=1,N(W308)&lt;p_alert),ROUND(W308,4),"")</f>
        <v/>
      </c>
      <c r="AH308" t="str">
        <f>IF(AG308="","",COUNTIF(sj_akey,"&lt;"&amp;AG308)+COUNTIF($AG$6:AG308,AG308))</f>
        <v/>
      </c>
    </row>
    <row r="309">
      <c r="A309" s="51" t="n">
        <v>46328</v>
      </c>
      <c r="B309" s="52" t="inlineStr">
        <is>
          <t>Après-midi</t>
        </is>
      </c>
      <c r="C309" s="52" t="inlineStr">
        <is>
          <t>TOUR2</t>
        </is>
      </c>
      <c r="D309" s="53" t="inlineStr">
        <is>
          <t>OF-2611-200</t>
        </is>
      </c>
      <c r="E309" s="53" t="inlineStr">
        <is>
          <t>AXE-R20</t>
        </is>
      </c>
      <c r="F309" s="54" t="n"/>
      <c r="G309" s="54" t="n">
        <v>117</v>
      </c>
      <c r="H309" s="54" t="n">
        <v>2</v>
      </c>
      <c r="I309" s="54" t="n">
        <v>1</v>
      </c>
      <c r="J309" s="53" t="n"/>
      <c r="K309" s="55">
        <f>IF(COUNTA(A309:I309)=0,"",IF(F309="",IFERROR(INDEX(eq_dur,MATCH(B309,eq_code,0)),""),F309))</f>
        <v>480.0</v>
      </c>
      <c r="L309" s="55">
        <f>IF(ISNUMBER(K309),N(IFERROR(INDEX(eq_pause,MATCH(B309,eq_code,0)),0))+SUMIFS(st_min,st_date,A309,st_eq,B309,st_po,C309,st_type,"Planifié"),"")</f>
        <v>30.0</v>
      </c>
      <c r="M309" s="55">
        <f>IF(ISNUMBER(K309),K309-L309,"")</f>
        <v>450.0</v>
      </c>
      <c r="N309" s="55">
        <f>IF(ISNUMBER(K309),SUMIFS(st_min,st_date,A309,st_eq,B309,st_po,C309,st_type,"Non planifié"),"")</f>
        <v>153.0</v>
      </c>
      <c r="O309" s="55">
        <f>IF(ISNUMBER(K309),M309-N309,"")</f>
        <v>297.0</v>
      </c>
      <c r="P309" s="55">
        <f>IF(COUNTA(A309:I309)=0,"",N(G309)+N(H309)+N(I309))</f>
        <v>120.0</v>
      </c>
      <c r="Q309" s="56">
        <f>IF(COUNTA(A309:I309)=0,"",IF(N(IFERROR(INDEX(art_rate,MATCH(E309,art_ref,0)),0))&gt;0,N(IFERROR(INDEX(art_rate,MATCH(E309,art_ref,0)),0)),N(IFERROR(INDEX(po_rate,MATCH(C309,po_code,0)),0))))</f>
        <v>30.0</v>
      </c>
      <c r="R309" s="55">
        <f>IF(AC309=1,P309*60/Q309,"")</f>
        <v>240.0</v>
      </c>
      <c r="S309" s="55">
        <f>IF(AC309=1,N(G309)*60/Q309,"")</f>
        <v>234.0</v>
      </c>
      <c r="T309" s="57">
        <f>IF(AC309=1,O309/M309,"")</f>
        <v>0.66</v>
      </c>
      <c r="U309" s="57">
        <f>IF(AC309=1,IF(O309&gt;0,R309/O309,""),"")</f>
        <v>0.808080808080808</v>
      </c>
      <c r="V309" s="57">
        <f>IF(AC309=1,IF(P309&gt;0,N(G309)/P309,""),"")</f>
        <v>0.975</v>
      </c>
      <c r="W309" s="57">
        <f>IF(AC309=1,S309/M309,"")</f>
        <v>0.52</v>
      </c>
      <c r="X309" s="57">
        <f>IF(AC309=1,S309/K309,"")</f>
        <v>0.4875</v>
      </c>
      <c r="Y309" s="58" t="str">
        <f>IF(W309="","",IF(W309&gt;=p_target,"Bon",IF(W309&gt;=p_alert,"À surveiller","Faible")))</f>
        <v>Faible</v>
      </c>
      <c r="Z309" s="58" t="str">
        <f>IF(W309="","",IF(MIN(IF(T309="",1,T309),IF(U309="",1,U309),IF(V309="",1,V309))&gt;=1,"Aucune",IF(IF(T309="",1,T309)&lt;=MIN(IF(U309="",1,U309),IF(V309="",1,V309)),"Disponibilité",IF(IF(U309="",1,U309)&lt;=IF(V309="",1,V309),"Performance","Qualité"))))</f>
        <v>Disponibilité</v>
      </c>
      <c r="AA309" s="59">
        <f>IF(AC309=1,N(H309)*N(IFERROR(INDEX(art_cost,MATCH(E309,art_ref,0)),0)),"")</f>
        <v>77.0</v>
      </c>
      <c r="AB309" s="58" t="str">
        <f>IF(COUNTA(A309:I309)=0,"",IF(N(A309)&lt;=0,"Date manquante ou invalide",IF(B309="","Équipe manquante",IF(ISNA(MATCH(B309,eq_code,0)),"Équipe inconnue",IF(INDEX(eq_check,MATCH(B309,eq_code,0))&lt;&gt;"OK","Équipe à corriger dans Paramètres",IF(C309="","Poste manquant",IF(ISNA(MATCH(C309,po_code,0)),"Poste inconnu",IF(AND(E309&lt;&gt;"",ISNA(MATCH(E309,art_ref,0))),"Article inconnu",IF(IF(E309="",FALSE,INDEX(art_check,MATCH(E309,art_ref,0))&lt;&gt;"OK"),"Article à corriger (feuille Articles)",IF(COUNTIFS(sj_date,A309,sj_eq,B309,sj_po,C309)&gt;1,"Ligne en double (même jour, équipe et poste)",IF(OR(NOT(ISNUMBER(K309)),N(K309)&lt;=0,N(K309)&gt;1440),"Temps d'ouverture invalide",IF(OR(AND(G309&lt;&gt;"",NOT(ISNUMBER(G309))),N(G309)&lt;0,N(G309)&lt;&gt;INT(N(G309)),AND(H309&lt;&gt;"",NOT(ISNUMBER(H309))),N(H309)&lt;0,N(H309)&lt;&gt;INT(N(H309)),AND(I309&lt;&gt;"",NOT(ISNUMBER(I309))),N(I309)&lt;0,N(I309)&lt;&gt;INT(N(I309))),"Quantité invalide",IF(Q309&lt;=0,"Cadence manquante (poste ou article)",IF(M309&lt;=0,"Arrêts planifiés supérieurs au temps d'ouverture",IF(O309&lt;0,"Arrêts supérieurs au temps requis",IF(AND(P309&gt;0,O309=0),"Pièces déclarées sans temps de marche",IF(AND(P309=0,O309&gt;0),"Aucune pièce déclarée",IF(P309*60/Q309&gt;O309+0.001,"Cadence dépassée : vérifiez la cadence","OK"))))))))))))))))))</f>
        <v>OK</v>
      </c>
      <c r="AC309">
        <f>IF(OR(AB309="OK",AB309="Aucune pièce déclarée",AB309="Cadence dépassée : vérifiez la cadence"),1,0)</f>
        <v>1.0</v>
      </c>
      <c r="AD309">
        <f>IF(AND(AC309=1,A309&gt;=p_from,A309&lt;=p_to),1,0)</f>
        <v>1.0</v>
      </c>
      <c r="AE309">
        <f>IF(AD309=1,IF(COUNTIFS($A$6:A309,A309,$AD$6:AD309,1)=1,1,0),0)</f>
        <v>0.0</v>
      </c>
      <c r="AF309" t="str">
        <f>IF(AE309=1,COUNTIFS(sj_first,1,sj_date,"&lt;"&amp;A309)+1,"")</f>
        <v/>
      </c>
      <c r="AG309">
        <f>IF(AND(AD309=1,N(W309)&lt;p_alert),ROUND(W309,4),"")</f>
        <v>0.52</v>
      </c>
      <c r="AH309">
        <f>IF(AG309="","",COUNTIF(sj_akey,"&lt;"&amp;AG309)+COUNTIF($AG$6:AG309,AG309))</f>
        <v>25.0</v>
      </c>
    </row>
    <row r="310">
      <c r="A310" s="51" t="n">
        <v>46328</v>
      </c>
      <c r="B310" s="52" t="inlineStr">
        <is>
          <t>Matin</t>
        </is>
      </c>
      <c r="C310" s="52" t="inlineStr">
        <is>
          <t>USIN</t>
        </is>
      </c>
      <c r="D310" s="53" t="inlineStr">
        <is>
          <t>OF-2610-192</t>
        </is>
      </c>
      <c r="E310" s="53" t="inlineStr">
        <is>
          <t>CAR-BOI-04</t>
        </is>
      </c>
      <c r="F310" s="54" t="n"/>
      <c r="G310" s="54" t="n">
        <v>30</v>
      </c>
      <c r="H310" s="54" t="n">
        <v>0</v>
      </c>
      <c r="I310" s="54" t="n">
        <v>0</v>
      </c>
      <c r="J310" s="53" t="n"/>
      <c r="K310" s="55">
        <f>IF(COUNTA(A310:I310)=0,"",IF(F310="",IFERROR(INDEX(eq_dur,MATCH(B310,eq_code,0)),""),F310))</f>
        <v>480.0</v>
      </c>
      <c r="L310" s="55">
        <f>IF(ISNUMBER(K310),N(IFERROR(INDEX(eq_pause,MATCH(B310,eq_code,0)),0))+SUMIFS(st_min,st_date,A310,st_eq,B310,st_po,C310,st_type,"Planifié"),"")</f>
        <v>90.0</v>
      </c>
      <c r="M310" s="55">
        <f>IF(ISNUMBER(K310),K310-L310,"")</f>
        <v>390.0</v>
      </c>
      <c r="N310" s="55">
        <f>IF(ISNUMBER(K310),SUMIFS(st_min,st_date,A310,st_eq,B310,st_po,C310,st_type,"Non planifié"),"")</f>
        <v>46.0</v>
      </c>
      <c r="O310" s="55">
        <f>IF(ISNUMBER(K310),M310-N310,"")</f>
        <v>344.0</v>
      </c>
      <c r="P310" s="55">
        <f>IF(COUNTA(A310:I310)=0,"",N(G310)+N(H310)+N(I310))</f>
        <v>30.0</v>
      </c>
      <c r="Q310" s="56">
        <f>IF(COUNTA(A310:I310)=0,"",IF(N(IFERROR(INDEX(art_rate,MATCH(E310,art_ref,0)),0))&gt;0,N(IFERROR(INDEX(art_rate,MATCH(E310,art_ref,0)),0)),N(IFERROR(INDEX(po_rate,MATCH(C310,po_code,0)),0))))</f>
        <v>6.0</v>
      </c>
      <c r="R310" s="55">
        <f>IF(AC310=1,P310*60/Q310,"")</f>
        <v>300.0</v>
      </c>
      <c r="S310" s="55">
        <f>IF(AC310=1,N(G310)*60/Q310,"")</f>
        <v>300.0</v>
      </c>
      <c r="T310" s="57">
        <f>IF(AC310=1,O310/M310,"")</f>
        <v>0.882051282051282</v>
      </c>
      <c r="U310" s="57">
        <f>IF(AC310=1,IF(O310&gt;0,R310/O310,""),"")</f>
        <v>0.872093023255814</v>
      </c>
      <c r="V310" s="57">
        <f>IF(AC310=1,IF(P310&gt;0,N(G310)/P310,""),"")</f>
        <v>1.0</v>
      </c>
      <c r="W310" s="57">
        <f>IF(AC310=1,S310/M310,"")</f>
        <v>0.769230769230769</v>
      </c>
      <c r="X310" s="57">
        <f>IF(AC310=1,S310/K310,"")</f>
        <v>0.625</v>
      </c>
      <c r="Y310" s="58" t="str">
        <f>IF(W310="","",IF(W310&gt;=p_target,"Bon",IF(W310&gt;=p_alert,"À surveiller","Faible")))</f>
        <v>Bon</v>
      </c>
      <c r="Z310" s="58" t="str">
        <f>IF(W310="","",IF(MIN(IF(T310="",1,T310),IF(U310="",1,U310),IF(V310="",1,V310))&gt;=1,"Aucune",IF(IF(T310="",1,T310)&lt;=MIN(IF(U310="",1,U310),IF(V310="",1,V310)),"Disponibilité",IF(IF(U310="",1,U310)&lt;=IF(V310="",1,V310),"Performance","Qualité"))))</f>
        <v>Performance</v>
      </c>
      <c r="AA310" s="59">
        <f>IF(AC310=1,N(H310)*N(IFERROR(INDEX(art_cost,MATCH(E310,art_ref,0)),0)),"")</f>
        <v>0.0</v>
      </c>
      <c r="AB310" s="58" t="str">
        <f>IF(COUNTA(A310:I310)=0,"",IF(N(A310)&lt;=0,"Date manquante ou invalide",IF(B310="","Équipe manquante",IF(ISNA(MATCH(B310,eq_code,0)),"Équipe inconnue",IF(INDEX(eq_check,MATCH(B310,eq_code,0))&lt;&gt;"OK","Équipe à corriger dans Paramètres",IF(C310="","Poste manquant",IF(ISNA(MATCH(C310,po_code,0)),"Poste inconnu",IF(AND(E310&lt;&gt;"",ISNA(MATCH(E310,art_ref,0))),"Article inconnu",IF(IF(E310="",FALSE,INDEX(art_check,MATCH(E310,art_ref,0))&lt;&gt;"OK"),"Article à corriger (feuille Articles)",IF(COUNTIFS(sj_date,A310,sj_eq,B310,sj_po,C310)&gt;1,"Ligne en double (même jour, équipe et poste)",IF(OR(NOT(ISNUMBER(K310)),N(K310)&lt;=0,N(K310)&gt;1440),"Temps d'ouverture invalide",IF(OR(AND(G310&lt;&gt;"",NOT(ISNUMBER(G310))),N(G310)&lt;0,N(G310)&lt;&gt;INT(N(G310)),AND(H310&lt;&gt;"",NOT(ISNUMBER(H310))),N(H310)&lt;0,N(H310)&lt;&gt;INT(N(H310)),AND(I310&lt;&gt;"",NOT(ISNUMBER(I310))),N(I310)&lt;0,N(I310)&lt;&gt;INT(N(I310))),"Quantité invalide",IF(Q310&lt;=0,"Cadence manquante (poste ou article)",IF(M310&lt;=0,"Arrêts planifiés supérieurs au temps d'ouverture",IF(O310&lt;0,"Arrêts supérieurs au temps requis",IF(AND(P310&gt;0,O310=0),"Pièces déclarées sans temps de marche",IF(AND(P310=0,O310&gt;0),"Aucune pièce déclarée",IF(P310*60/Q310&gt;O310+0.001,"Cadence dépassée : vérifiez la cadence","OK"))))))))))))))))))</f>
        <v>OK</v>
      </c>
      <c r="AC310">
        <f>IF(OR(AB310="OK",AB310="Aucune pièce déclarée",AB310="Cadence dépassée : vérifiez la cadence"),1,0)</f>
        <v>1.0</v>
      </c>
      <c r="AD310">
        <f>IF(AND(AC310=1,A310&gt;=p_from,A310&lt;=p_to),1,0)</f>
        <v>1.0</v>
      </c>
      <c r="AE310">
        <f>IF(AD310=1,IF(COUNTIFS($A$6:A310,A310,$AD$6:AD310,1)=1,1,0),0)</f>
        <v>0.0</v>
      </c>
      <c r="AF310" t="str">
        <f>IF(AE310=1,COUNTIFS(sj_first,1,sj_date,"&lt;"&amp;A310)+1,"")</f>
        <v/>
      </c>
      <c r="AG310" t="str">
        <f>IF(AND(AD310=1,N(W310)&lt;p_alert),ROUND(W310,4),"")</f>
        <v/>
      </c>
      <c r="AH310" t="str">
        <f>IF(AG310="","",COUNTIF(sj_akey,"&lt;"&amp;AG310)+COUNTIF($AG$6:AG310,AG310))</f>
        <v/>
      </c>
    </row>
    <row r="311">
      <c r="A311" s="51" t="n">
        <v>46328</v>
      </c>
      <c r="B311" s="52" t="inlineStr">
        <is>
          <t>Après-midi</t>
        </is>
      </c>
      <c r="C311" s="52" t="inlineStr">
        <is>
          <t>USIN</t>
        </is>
      </c>
      <c r="D311" s="53" t="inlineStr">
        <is>
          <t>OF-2610-196</t>
        </is>
      </c>
      <c r="E311" s="53" t="inlineStr">
        <is>
          <t>CAR-BOI-04</t>
        </is>
      </c>
      <c r="F311" s="54" t="n"/>
      <c r="G311" s="54" t="n">
        <v>31</v>
      </c>
      <c r="H311" s="54" t="n">
        <v>0</v>
      </c>
      <c r="I311" s="54" t="n">
        <v>0</v>
      </c>
      <c r="J311" s="53" t="n"/>
      <c r="K311" s="55">
        <f>IF(COUNTA(A311:I311)=0,"",IF(F311="",IFERROR(INDEX(eq_dur,MATCH(B311,eq_code,0)),""),F311))</f>
        <v>480.0</v>
      </c>
      <c r="L311" s="55">
        <f>IF(ISNUMBER(K311),N(IFERROR(INDEX(eq_pause,MATCH(B311,eq_code,0)),0))+SUMIFS(st_min,st_date,A311,st_eq,B311,st_po,C311,st_type,"Planifié"),"")</f>
        <v>30.0</v>
      </c>
      <c r="M311" s="55">
        <f>IF(ISNUMBER(K311),K311-L311,"")</f>
        <v>450.0</v>
      </c>
      <c r="N311" s="55">
        <f>IF(ISNUMBER(K311),SUMIFS(st_min,st_date,A311,st_eq,B311,st_po,C311,st_type,"Non planifié"),"")</f>
        <v>62.0</v>
      </c>
      <c r="O311" s="55">
        <f>IF(ISNUMBER(K311),M311-N311,"")</f>
        <v>388.0</v>
      </c>
      <c r="P311" s="55">
        <f>IF(COUNTA(A311:I311)=0,"",N(G311)+N(H311)+N(I311))</f>
        <v>31.0</v>
      </c>
      <c r="Q311" s="56">
        <f>IF(COUNTA(A311:I311)=0,"",IF(N(IFERROR(INDEX(art_rate,MATCH(E311,art_ref,0)),0))&gt;0,N(IFERROR(INDEX(art_rate,MATCH(E311,art_ref,0)),0)),N(IFERROR(INDEX(po_rate,MATCH(C311,po_code,0)),0))))</f>
        <v>6.0</v>
      </c>
      <c r="R311" s="55">
        <f>IF(AC311=1,P311*60/Q311,"")</f>
        <v>310.0</v>
      </c>
      <c r="S311" s="55">
        <f>IF(AC311=1,N(G311)*60/Q311,"")</f>
        <v>310.0</v>
      </c>
      <c r="T311" s="57">
        <f>IF(AC311=1,O311/M311,"")</f>
        <v>0.862222222222222</v>
      </c>
      <c r="U311" s="57">
        <f>IF(AC311=1,IF(O311&gt;0,R311/O311,""),"")</f>
        <v>0.798969072164949</v>
      </c>
      <c r="V311" s="57">
        <f>IF(AC311=1,IF(P311&gt;0,N(G311)/P311,""),"")</f>
        <v>1.0</v>
      </c>
      <c r="W311" s="57">
        <f>IF(AC311=1,S311/M311,"")</f>
        <v>0.688888888888889</v>
      </c>
      <c r="X311" s="57">
        <f>IF(AC311=1,S311/K311,"")</f>
        <v>0.645833333333333</v>
      </c>
      <c r="Y311" s="58" t="str">
        <f>IF(W311="","",IF(W311&gt;=p_target,"Bon",IF(W311&gt;=p_alert,"À surveiller","Faible")))</f>
        <v>À surveiller</v>
      </c>
      <c r="Z311" s="58" t="str">
        <f>IF(W311="","",IF(MIN(IF(T311="",1,T311),IF(U311="",1,U311),IF(V311="",1,V311))&gt;=1,"Aucune",IF(IF(T311="",1,T311)&lt;=MIN(IF(U311="",1,U311),IF(V311="",1,V311)),"Disponibilité",IF(IF(U311="",1,U311)&lt;=IF(V311="",1,V311),"Performance","Qualité"))))</f>
        <v>Performance</v>
      </c>
      <c r="AA311" s="59">
        <f>IF(AC311=1,N(H311)*N(IFERROR(INDEX(art_cost,MATCH(E311,art_ref,0)),0)),"")</f>
        <v>0.0</v>
      </c>
      <c r="AB311" s="58" t="str">
        <f>IF(COUNTA(A311:I311)=0,"",IF(N(A311)&lt;=0,"Date manquante ou invalide",IF(B311="","Équipe manquante",IF(ISNA(MATCH(B311,eq_code,0)),"Équipe inconnue",IF(INDEX(eq_check,MATCH(B311,eq_code,0))&lt;&gt;"OK","Équipe à corriger dans Paramètres",IF(C311="","Poste manquant",IF(ISNA(MATCH(C311,po_code,0)),"Poste inconnu",IF(AND(E311&lt;&gt;"",ISNA(MATCH(E311,art_ref,0))),"Article inconnu",IF(IF(E311="",FALSE,INDEX(art_check,MATCH(E311,art_ref,0))&lt;&gt;"OK"),"Article à corriger (feuille Articles)",IF(COUNTIFS(sj_date,A311,sj_eq,B311,sj_po,C311)&gt;1,"Ligne en double (même jour, équipe et poste)",IF(OR(NOT(ISNUMBER(K311)),N(K311)&lt;=0,N(K311)&gt;1440),"Temps d'ouverture invalide",IF(OR(AND(G311&lt;&gt;"",NOT(ISNUMBER(G311))),N(G311)&lt;0,N(G311)&lt;&gt;INT(N(G311)),AND(H311&lt;&gt;"",NOT(ISNUMBER(H311))),N(H311)&lt;0,N(H311)&lt;&gt;INT(N(H311)),AND(I311&lt;&gt;"",NOT(ISNUMBER(I311))),N(I311)&lt;0,N(I311)&lt;&gt;INT(N(I311))),"Quantité invalide",IF(Q311&lt;=0,"Cadence manquante (poste ou article)",IF(M311&lt;=0,"Arrêts planifiés supérieurs au temps d'ouverture",IF(O311&lt;0,"Arrêts supérieurs au temps requis",IF(AND(P311&gt;0,O311=0),"Pièces déclarées sans temps de marche",IF(AND(P311=0,O311&gt;0),"Aucune pièce déclarée",IF(P311*60/Q311&gt;O311+0.001,"Cadence dépassée : vérifiez la cadence","OK"))))))))))))))))))</f>
        <v>OK</v>
      </c>
      <c r="AC311">
        <f>IF(OR(AB311="OK",AB311="Aucune pièce déclarée",AB311="Cadence dépassée : vérifiez la cadence"),1,0)</f>
        <v>1.0</v>
      </c>
      <c r="AD311">
        <f>IF(AND(AC311=1,A311&gt;=p_from,A311&lt;=p_to),1,0)</f>
        <v>1.0</v>
      </c>
      <c r="AE311">
        <f>IF(AD311=1,IF(COUNTIFS($A$6:A311,A311,$AD$6:AD311,1)=1,1,0),0)</f>
        <v>0.0</v>
      </c>
      <c r="AF311" t="str">
        <f>IF(AE311=1,COUNTIFS(sj_first,1,sj_date,"&lt;"&amp;A311)+1,"")</f>
        <v/>
      </c>
      <c r="AG311" t="str">
        <f>IF(AND(AD311=1,N(W311)&lt;p_alert),ROUND(W311,4),"")</f>
        <v/>
      </c>
      <c r="AH311" t="str">
        <f>IF(AG311="","",COUNTIF(sj_akey,"&lt;"&amp;AG311)+COUNTIF($AG$6:AG311,AG311))</f>
        <v/>
      </c>
    </row>
    <row r="312">
      <c r="A312" s="51" t="n">
        <v>46328</v>
      </c>
      <c r="B312" s="52" t="inlineStr">
        <is>
          <t>Matin</t>
        </is>
      </c>
      <c r="C312" s="52" t="inlineStr">
        <is>
          <t>PRESSE</t>
        </is>
      </c>
      <c r="D312" s="53" t="inlineStr">
        <is>
          <t>OF-2610-183</t>
        </is>
      </c>
      <c r="E312" s="53" t="inlineStr">
        <is>
          <t>RON-M10</t>
        </is>
      </c>
      <c r="F312" s="54" t="n"/>
      <c r="G312" s="54" t="n">
        <v>3112</v>
      </c>
      <c r="H312" s="54" t="n">
        <v>8</v>
      </c>
      <c r="I312" s="54" t="n">
        <v>31</v>
      </c>
      <c r="J312" s="53" t="n"/>
      <c r="K312" s="55">
        <f>IF(COUNTA(A312:I312)=0,"",IF(F312="",IFERROR(INDEX(eq_dur,MATCH(B312,eq_code,0)),""),F312))</f>
        <v>480.0</v>
      </c>
      <c r="L312" s="55">
        <f>IF(ISNUMBER(K312),N(IFERROR(INDEX(eq_pause,MATCH(B312,eq_code,0)),0))+SUMIFS(st_min,st_date,A312,st_eq,B312,st_po,C312,st_type,"Planifié"),"")</f>
        <v>90.0</v>
      </c>
      <c r="M312" s="55">
        <f>IF(ISNUMBER(K312),K312-L312,"")</f>
        <v>390.0</v>
      </c>
      <c r="N312" s="55">
        <f>IF(ISNUMBER(K312),SUMIFS(st_min,st_date,A312,st_eq,B312,st_po,C312,st_type,"Non planifié"),"")</f>
        <v>36.0</v>
      </c>
      <c r="O312" s="55">
        <f>IF(ISNUMBER(K312),M312-N312,"")</f>
        <v>354.0</v>
      </c>
      <c r="P312" s="55">
        <f>IF(COUNTA(A312:I312)=0,"",N(G312)+N(H312)+N(I312))</f>
        <v>3151.0</v>
      </c>
      <c r="Q312" s="56">
        <f>IF(COUNTA(A312:I312)=0,"",IF(N(IFERROR(INDEX(art_rate,MATCH(E312,art_ref,0)),0))&gt;0,N(IFERROR(INDEX(art_rate,MATCH(E312,art_ref,0)),0)),N(IFERROR(INDEX(po_rate,MATCH(C312,po_code,0)),0))))</f>
        <v>600.0</v>
      </c>
      <c r="R312" s="55">
        <f>IF(AC312=1,P312*60/Q312,"")</f>
        <v>315.1</v>
      </c>
      <c r="S312" s="55">
        <f>IF(AC312=1,N(G312)*60/Q312,"")</f>
        <v>311.2</v>
      </c>
      <c r="T312" s="57">
        <f>IF(AC312=1,O312/M312,"")</f>
        <v>0.907692307692308</v>
      </c>
      <c r="U312" s="57">
        <f>IF(AC312=1,IF(O312&gt;0,R312/O312,""),"")</f>
        <v>0.890112994350283</v>
      </c>
      <c r="V312" s="57">
        <f>IF(AC312=1,IF(P312&gt;0,N(G312)/P312,""),"")</f>
        <v>0.987622976832752</v>
      </c>
      <c r="W312" s="57">
        <f>IF(AC312=1,S312/M312,"")</f>
        <v>0.797948717948718</v>
      </c>
      <c r="X312" s="57">
        <f>IF(AC312=1,S312/K312,"")</f>
        <v>0.648333333333333</v>
      </c>
      <c r="Y312" s="58" t="str">
        <f>IF(W312="","",IF(W312&gt;=p_target,"Bon",IF(W312&gt;=p_alert,"À surveiller","Faible")))</f>
        <v>Bon</v>
      </c>
      <c r="Z312" s="58" t="str">
        <f>IF(W312="","",IF(MIN(IF(T312="",1,T312),IF(U312="",1,U312),IF(V312="",1,V312))&gt;=1,"Aucune",IF(IF(T312="",1,T312)&lt;=MIN(IF(U312="",1,U312),IF(V312="",1,V312)),"Disponibilité",IF(IF(U312="",1,U312)&lt;=IF(V312="",1,V312),"Performance","Qualité"))))</f>
        <v>Performance</v>
      </c>
      <c r="AA312" s="59">
        <f>IF(AC312=1,N(H312)*N(IFERROR(INDEX(art_cost,MATCH(E312,art_ref,0)),0)),"")</f>
        <v>7.2</v>
      </c>
      <c r="AB312" s="58" t="str">
        <f>IF(COUNTA(A312:I312)=0,"",IF(N(A312)&lt;=0,"Date manquante ou invalide",IF(B312="","Équipe manquante",IF(ISNA(MATCH(B312,eq_code,0)),"Équipe inconnue",IF(INDEX(eq_check,MATCH(B312,eq_code,0))&lt;&gt;"OK","Équipe à corriger dans Paramètres",IF(C312="","Poste manquant",IF(ISNA(MATCH(C312,po_code,0)),"Poste inconnu",IF(AND(E312&lt;&gt;"",ISNA(MATCH(E312,art_ref,0))),"Article inconnu",IF(IF(E312="",FALSE,INDEX(art_check,MATCH(E312,art_ref,0))&lt;&gt;"OK"),"Article à corriger (feuille Articles)",IF(COUNTIFS(sj_date,A312,sj_eq,B312,sj_po,C312)&gt;1,"Ligne en double (même jour, équipe et poste)",IF(OR(NOT(ISNUMBER(K312)),N(K312)&lt;=0,N(K312)&gt;1440),"Temps d'ouverture invalide",IF(OR(AND(G312&lt;&gt;"",NOT(ISNUMBER(G312))),N(G312)&lt;0,N(G312)&lt;&gt;INT(N(G312)),AND(H312&lt;&gt;"",NOT(ISNUMBER(H312))),N(H312)&lt;0,N(H312)&lt;&gt;INT(N(H312)),AND(I312&lt;&gt;"",NOT(ISNUMBER(I312))),N(I312)&lt;0,N(I312)&lt;&gt;INT(N(I312))),"Quantité invalide",IF(Q312&lt;=0,"Cadence manquante (poste ou article)",IF(M312&lt;=0,"Arrêts planifiés supérieurs au temps d'ouverture",IF(O312&lt;0,"Arrêts supérieurs au temps requis",IF(AND(P312&gt;0,O312=0),"Pièces déclarées sans temps de marche",IF(AND(P312=0,O312&gt;0),"Aucune pièce déclarée",IF(P312*60/Q312&gt;O312+0.001,"Cadence dépassée : vérifiez la cadence","OK"))))))))))))))))))</f>
        <v>OK</v>
      </c>
      <c r="AC312">
        <f>IF(OR(AB312="OK",AB312="Aucune pièce déclarée",AB312="Cadence dépassée : vérifiez la cadence"),1,0)</f>
        <v>1.0</v>
      </c>
      <c r="AD312">
        <f>IF(AND(AC312=1,A312&gt;=p_from,A312&lt;=p_to),1,0)</f>
        <v>1.0</v>
      </c>
      <c r="AE312">
        <f>IF(AD312=1,IF(COUNTIFS($A$6:A312,A312,$AD$6:AD312,1)=1,1,0),0)</f>
        <v>0.0</v>
      </c>
      <c r="AF312" t="str">
        <f>IF(AE312=1,COUNTIFS(sj_first,1,sj_date,"&lt;"&amp;A312)+1,"")</f>
        <v/>
      </c>
      <c r="AG312" t="str">
        <f>IF(AND(AD312=1,N(W312)&lt;p_alert),ROUND(W312,4),"")</f>
        <v/>
      </c>
      <c r="AH312" t="str">
        <f>IF(AG312="","",COUNTIF(sj_akey,"&lt;"&amp;AG312)+COUNTIF($AG$6:AG312,AG312))</f>
        <v/>
      </c>
    </row>
    <row r="313">
      <c r="A313" s="51" t="n">
        <v>46328</v>
      </c>
      <c r="B313" s="52" t="inlineStr">
        <is>
          <t>Journée</t>
        </is>
      </c>
      <c r="C313" s="52" t="inlineStr">
        <is>
          <t>PLIE</t>
        </is>
      </c>
      <c r="D313" s="53" t="inlineStr">
        <is>
          <t>OF-2610-180</t>
        </is>
      </c>
      <c r="E313" s="53" t="inlineStr">
        <is>
          <t>GAR-SUP-02</t>
        </is>
      </c>
      <c r="F313" s="54" t="n"/>
      <c r="G313" s="54" t="n">
        <v>641</v>
      </c>
      <c r="H313" s="54" t="n">
        <v>3</v>
      </c>
      <c r="I313" s="54" t="n">
        <v>6</v>
      </c>
      <c r="J313" s="53" t="n"/>
      <c r="K313" s="55">
        <f>IF(COUNTA(A313:I313)=0,"",IF(F313="",IFERROR(INDEX(eq_dur,MATCH(B313,eq_code,0)),""),F313))</f>
        <v>540.0</v>
      </c>
      <c r="L313" s="55">
        <f>IF(ISNUMBER(K313),N(IFERROR(INDEX(eq_pause,MATCH(B313,eq_code,0)),0))+SUMIFS(st_min,st_date,A313,st_eq,B313,st_po,C313,st_type,"Planifié"),"")</f>
        <v>60.0</v>
      </c>
      <c r="M313" s="55">
        <f>IF(ISNUMBER(K313),K313-L313,"")</f>
        <v>480.0</v>
      </c>
      <c r="N313" s="55">
        <f>IF(ISNUMBER(K313),SUMIFS(st_min,st_date,A313,st_eq,B313,st_po,C313,st_type,"Non planifié"),"")</f>
        <v>64.0</v>
      </c>
      <c r="O313" s="55">
        <f>IF(ISNUMBER(K313),M313-N313,"")</f>
        <v>416.0</v>
      </c>
      <c r="P313" s="55">
        <f>IF(COUNTA(A313:I313)=0,"",N(G313)+N(H313)+N(I313))</f>
        <v>650.0</v>
      </c>
      <c r="Q313" s="56">
        <f>IF(COUNTA(A313:I313)=0,"",IF(N(IFERROR(INDEX(art_rate,MATCH(E313,art_ref,0)),0))&gt;0,N(IFERROR(INDEX(art_rate,MATCH(E313,art_ref,0)),0)),N(IFERROR(INDEX(po_rate,MATCH(C313,po_code,0)),0))))</f>
        <v>110.0</v>
      </c>
      <c r="R313" s="55">
        <f>IF(AC313=1,P313*60/Q313,"")</f>
        <v>354.545454545455</v>
      </c>
      <c r="S313" s="55">
        <f>IF(AC313=1,N(G313)*60/Q313,"")</f>
        <v>349.636363636364</v>
      </c>
      <c r="T313" s="57">
        <f>IF(AC313=1,O313/M313,"")</f>
        <v>0.866666666666667</v>
      </c>
      <c r="U313" s="57">
        <f>IF(AC313=1,IF(O313&gt;0,R313/O313,""),"")</f>
        <v>0.852272727272727</v>
      </c>
      <c r="V313" s="57">
        <f>IF(AC313=1,IF(P313&gt;0,N(G313)/P313,""),"")</f>
        <v>0.986153846153846</v>
      </c>
      <c r="W313" s="57">
        <f>IF(AC313=1,S313/M313,"")</f>
        <v>0.728409090909091</v>
      </c>
      <c r="X313" s="57">
        <f>IF(AC313=1,S313/K313,"")</f>
        <v>0.647474747474747</v>
      </c>
      <c r="Y313" s="58" t="str">
        <f>IF(W313="","",IF(W313&gt;=p_target,"Bon",IF(W313&gt;=p_alert,"À surveiller","Faible")))</f>
        <v>À surveiller</v>
      </c>
      <c r="Z313" s="58" t="str">
        <f>IF(W313="","",IF(MIN(IF(T313="",1,T313),IF(U313="",1,U313),IF(V313="",1,V313))&gt;=1,"Aucune",IF(IF(T313="",1,T313)&lt;=MIN(IF(U313="",1,U313),IF(V313="",1,V313)),"Disponibilité",IF(IF(U313="",1,U313)&lt;=IF(V313="",1,V313),"Performance","Qualité"))))</f>
        <v>Performance</v>
      </c>
      <c r="AA313" s="59">
        <f>IF(AC313=1,N(H313)*N(IFERROR(INDEX(art_cost,MATCH(E313,art_ref,0)),0)),"")</f>
        <v>64.5</v>
      </c>
      <c r="AB313" s="58" t="str">
        <f>IF(COUNTA(A313:I313)=0,"",IF(N(A313)&lt;=0,"Date manquante ou invalide",IF(B313="","Équipe manquante",IF(ISNA(MATCH(B313,eq_code,0)),"Équipe inconnue",IF(INDEX(eq_check,MATCH(B313,eq_code,0))&lt;&gt;"OK","Équipe à corriger dans Paramètres",IF(C313="","Poste manquant",IF(ISNA(MATCH(C313,po_code,0)),"Poste inconnu",IF(AND(E313&lt;&gt;"",ISNA(MATCH(E313,art_ref,0))),"Article inconnu",IF(IF(E313="",FALSE,INDEX(art_check,MATCH(E313,art_ref,0))&lt;&gt;"OK"),"Article à corriger (feuille Articles)",IF(COUNTIFS(sj_date,A313,sj_eq,B313,sj_po,C313)&gt;1,"Ligne en double (même jour, équipe et poste)",IF(OR(NOT(ISNUMBER(K313)),N(K313)&lt;=0,N(K313)&gt;1440),"Temps d'ouverture invalide",IF(OR(AND(G313&lt;&gt;"",NOT(ISNUMBER(G313))),N(G313)&lt;0,N(G313)&lt;&gt;INT(N(G313)),AND(H313&lt;&gt;"",NOT(ISNUMBER(H313))),N(H313)&lt;0,N(H313)&lt;&gt;INT(N(H313)),AND(I313&lt;&gt;"",NOT(ISNUMBER(I313))),N(I313)&lt;0,N(I313)&lt;&gt;INT(N(I313))),"Quantité invalide",IF(Q313&lt;=0,"Cadence manquante (poste ou article)",IF(M313&lt;=0,"Arrêts planifiés supérieurs au temps d'ouverture",IF(O313&lt;0,"Arrêts supérieurs au temps requis",IF(AND(P313&gt;0,O313=0),"Pièces déclarées sans temps de marche",IF(AND(P313=0,O313&gt;0),"Aucune pièce déclarée",IF(P313*60/Q313&gt;O313+0.001,"Cadence dépassée : vérifiez la cadence","OK"))))))))))))))))))</f>
        <v>OK</v>
      </c>
      <c r="AC313">
        <f>IF(OR(AB313="OK",AB313="Aucune pièce déclarée",AB313="Cadence dépassée : vérifiez la cadence"),1,0)</f>
        <v>1.0</v>
      </c>
      <c r="AD313">
        <f>IF(AND(AC313=1,A313&gt;=p_from,A313&lt;=p_to),1,0)</f>
        <v>1.0</v>
      </c>
      <c r="AE313">
        <f>IF(AD313=1,IF(COUNTIFS($A$6:A313,A313,$AD$6:AD313,1)=1,1,0),0)</f>
        <v>0.0</v>
      </c>
      <c r="AF313" t="str">
        <f>IF(AE313=1,COUNTIFS(sj_first,1,sj_date,"&lt;"&amp;A313)+1,"")</f>
        <v/>
      </c>
      <c r="AG313" t="str">
        <f>IF(AND(AD313=1,N(W313)&lt;p_alert),ROUND(W313,4),"")</f>
        <v/>
      </c>
      <c r="AH313" t="str">
        <f>IF(AG313="","",COUNTIF(sj_akey,"&lt;"&amp;AG313)+COUNTIF($AG$6:AG313,AG313))</f>
        <v/>
      </c>
    </row>
    <row r="314">
      <c r="A314" s="51" t="n">
        <v>46328</v>
      </c>
      <c r="B314" s="52" t="inlineStr">
        <is>
          <t>Matin</t>
        </is>
      </c>
      <c r="C314" s="52" t="inlineStr">
        <is>
          <t>SOUD</t>
        </is>
      </c>
      <c r="D314" s="53" t="inlineStr">
        <is>
          <t>OF-2610-197</t>
        </is>
      </c>
      <c r="E314" s="53" t="inlineStr">
        <is>
          <t>CHA-REM-01</t>
        </is>
      </c>
      <c r="F314" s="54" t="n"/>
      <c r="G314" s="54" t="n">
        <v>21</v>
      </c>
      <c r="H314" s="54" t="n">
        <v>0</v>
      </c>
      <c r="I314" s="54" t="n">
        <v>0</v>
      </c>
      <c r="J314" s="53" t="n"/>
      <c r="K314" s="55">
        <f>IF(COUNTA(A314:I314)=0,"",IF(F314="",IFERROR(INDEX(eq_dur,MATCH(B314,eq_code,0)),""),F314))</f>
        <v>480.0</v>
      </c>
      <c r="L314" s="55">
        <f>IF(ISNUMBER(K314),N(IFERROR(INDEX(eq_pause,MATCH(B314,eq_code,0)),0))+SUMIFS(st_min,st_date,A314,st_eq,B314,st_po,C314,st_type,"Planifié"),"")</f>
        <v>30.0</v>
      </c>
      <c r="M314" s="55">
        <f>IF(ISNUMBER(K314),K314-L314,"")</f>
        <v>450.0</v>
      </c>
      <c r="N314" s="55">
        <f>IF(ISNUMBER(K314),SUMIFS(st_min,st_date,A314,st_eq,B314,st_po,C314,st_type,"Non planifié"),"")</f>
        <v>93.0</v>
      </c>
      <c r="O314" s="55">
        <f>IF(ISNUMBER(K314),M314-N314,"")</f>
        <v>357.0</v>
      </c>
      <c r="P314" s="55">
        <f>IF(COUNTA(A314:I314)=0,"",N(G314)+N(H314)+N(I314))</f>
        <v>21.0</v>
      </c>
      <c r="Q314" s="56">
        <f>IF(COUNTA(A314:I314)=0,"",IF(N(IFERROR(INDEX(art_rate,MATCH(E314,art_ref,0)),0))&gt;0,N(IFERROR(INDEX(art_rate,MATCH(E314,art_ref,0)),0)),N(IFERROR(INDEX(po_rate,MATCH(C314,po_code,0)),0))))</f>
        <v>4.0</v>
      </c>
      <c r="R314" s="55">
        <f>IF(AC314=1,P314*60/Q314,"")</f>
        <v>315.0</v>
      </c>
      <c r="S314" s="55">
        <f>IF(AC314=1,N(G314)*60/Q314,"")</f>
        <v>315.0</v>
      </c>
      <c r="T314" s="57">
        <f>IF(AC314=1,O314/M314,"")</f>
        <v>0.793333333333333</v>
      </c>
      <c r="U314" s="57">
        <f>IF(AC314=1,IF(O314&gt;0,R314/O314,""),"")</f>
        <v>0.882352941176471</v>
      </c>
      <c r="V314" s="57">
        <f>IF(AC314=1,IF(P314&gt;0,N(G314)/P314,""),"")</f>
        <v>1.0</v>
      </c>
      <c r="W314" s="57">
        <f>IF(AC314=1,S314/M314,"")</f>
        <v>0.7</v>
      </c>
      <c r="X314" s="57">
        <f>IF(AC314=1,S314/K314,"")</f>
        <v>0.65625</v>
      </c>
      <c r="Y314" s="58" t="str">
        <f>IF(W314="","",IF(W314&gt;=p_target,"Bon",IF(W314&gt;=p_alert,"À surveiller","Faible")))</f>
        <v>À surveiller</v>
      </c>
      <c r="Z314" s="58" t="str">
        <f>IF(W314="","",IF(MIN(IF(T314="",1,T314),IF(U314="",1,U314),IF(V314="",1,V314))&gt;=1,"Aucune",IF(IF(T314="",1,T314)&lt;=MIN(IF(U314="",1,U314),IF(V314="",1,V314)),"Disponibilité",IF(IF(U314="",1,U314)&lt;=IF(V314="",1,V314),"Performance","Qualité"))))</f>
        <v>Disponibilité</v>
      </c>
      <c r="AA314" s="59">
        <f>IF(AC314=1,N(H314)*N(IFERROR(INDEX(art_cost,MATCH(E314,art_ref,0)),0)),"")</f>
        <v>0.0</v>
      </c>
      <c r="AB314" s="58" t="str">
        <f>IF(COUNTA(A314:I314)=0,"",IF(N(A314)&lt;=0,"Date manquante ou invalide",IF(B314="","Équipe manquante",IF(ISNA(MATCH(B314,eq_code,0)),"Équipe inconnue",IF(INDEX(eq_check,MATCH(B314,eq_code,0))&lt;&gt;"OK","Équipe à corriger dans Paramètres",IF(C314="","Poste manquant",IF(ISNA(MATCH(C314,po_code,0)),"Poste inconnu",IF(AND(E314&lt;&gt;"",ISNA(MATCH(E314,art_ref,0))),"Article inconnu",IF(IF(E314="",FALSE,INDEX(art_check,MATCH(E314,art_ref,0))&lt;&gt;"OK"),"Article à corriger (feuille Articles)",IF(COUNTIFS(sj_date,A314,sj_eq,B314,sj_po,C314)&gt;1,"Ligne en double (même jour, équipe et poste)",IF(OR(NOT(ISNUMBER(K314)),N(K314)&lt;=0,N(K314)&gt;1440),"Temps d'ouverture invalide",IF(OR(AND(G314&lt;&gt;"",NOT(ISNUMBER(G314))),N(G314)&lt;0,N(G314)&lt;&gt;INT(N(G314)),AND(H314&lt;&gt;"",NOT(ISNUMBER(H314))),N(H314)&lt;0,N(H314)&lt;&gt;INT(N(H314)),AND(I314&lt;&gt;"",NOT(ISNUMBER(I314))),N(I314)&lt;0,N(I314)&lt;&gt;INT(N(I314))),"Quantité invalide",IF(Q314&lt;=0,"Cadence manquante (poste ou article)",IF(M314&lt;=0,"Arrêts planifiés supérieurs au temps d'ouverture",IF(O314&lt;0,"Arrêts supérieurs au temps requis",IF(AND(P314&gt;0,O314=0),"Pièces déclarées sans temps de marche",IF(AND(P314=0,O314&gt;0),"Aucune pièce déclarée",IF(P314*60/Q314&gt;O314+0.001,"Cadence dépassée : vérifiez la cadence","OK"))))))))))))))))))</f>
        <v>OK</v>
      </c>
      <c r="AC314">
        <f>IF(OR(AB314="OK",AB314="Aucune pièce déclarée",AB314="Cadence dépassée : vérifiez la cadence"),1,0)</f>
        <v>1.0</v>
      </c>
      <c r="AD314">
        <f>IF(AND(AC314=1,A314&gt;=p_from,A314&lt;=p_to),1,0)</f>
        <v>1.0</v>
      </c>
      <c r="AE314">
        <f>IF(AD314=1,IF(COUNTIFS($A$6:A314,A314,$AD$6:AD314,1)=1,1,0),0)</f>
        <v>0.0</v>
      </c>
      <c r="AF314" t="str">
        <f>IF(AE314=1,COUNTIFS(sj_first,1,sj_date,"&lt;"&amp;A314)+1,"")</f>
        <v/>
      </c>
      <c r="AG314" t="str">
        <f>IF(AND(AD314=1,N(W314)&lt;p_alert),ROUND(W314,4),"")</f>
        <v/>
      </c>
      <c r="AH314" t="str">
        <f>IF(AG314="","",COUNTIF(sj_akey,"&lt;"&amp;AG314)+COUNTIF($AG$6:AG314,AG314))</f>
        <v/>
      </c>
    </row>
    <row r="315">
      <c r="A315" s="51" t="n">
        <v>46328</v>
      </c>
      <c r="B315" s="52" t="inlineStr">
        <is>
          <t>Après-midi</t>
        </is>
      </c>
      <c r="C315" s="52" t="inlineStr">
        <is>
          <t>SOUD</t>
        </is>
      </c>
      <c r="D315" s="53" t="inlineStr">
        <is>
          <t>OF-2610-193</t>
        </is>
      </c>
      <c r="E315" s="53" t="inlineStr">
        <is>
          <t>BRA-SUS-02</t>
        </is>
      </c>
      <c r="F315" s="54" t="n"/>
      <c r="G315" s="54" t="n">
        <v>105</v>
      </c>
      <c r="H315" s="54" t="n">
        <v>2</v>
      </c>
      <c r="I315" s="54" t="n">
        <v>0</v>
      </c>
      <c r="J315" s="53" t="n"/>
      <c r="K315" s="55">
        <f>IF(COUNTA(A315:I315)=0,"",IF(F315="",IFERROR(INDEX(eq_dur,MATCH(B315,eq_code,0)),""),F315))</f>
        <v>480.0</v>
      </c>
      <c r="L315" s="55">
        <f>IF(ISNUMBER(K315),N(IFERROR(INDEX(eq_pause,MATCH(B315,eq_code,0)),0))+SUMIFS(st_min,st_date,A315,st_eq,B315,st_po,C315,st_type,"Planifié"),"")</f>
        <v>30.0</v>
      </c>
      <c r="M315" s="55">
        <f>IF(ISNUMBER(K315),K315-L315,"")</f>
        <v>450.0</v>
      </c>
      <c r="N315" s="55">
        <f>IF(ISNUMBER(K315),SUMIFS(st_min,st_date,A315,st_eq,B315,st_po,C315,st_type,"Non planifié"),"")</f>
        <v>0.0</v>
      </c>
      <c r="O315" s="55">
        <f>IF(ISNUMBER(K315),M315-N315,"")</f>
        <v>450.0</v>
      </c>
      <c r="P315" s="55">
        <f>IF(COUNTA(A315:I315)=0,"",N(G315)+N(H315)+N(I315))</f>
        <v>107.0</v>
      </c>
      <c r="Q315" s="56">
        <f>IF(COUNTA(A315:I315)=0,"",IF(N(IFERROR(INDEX(art_rate,MATCH(E315,art_ref,0)),0))&gt;0,N(IFERROR(INDEX(art_rate,MATCH(E315,art_ref,0)),0)),N(IFERROR(INDEX(po_rate,MATCH(C315,po_code,0)),0))))</f>
        <v>20.0</v>
      </c>
      <c r="R315" s="55">
        <f>IF(AC315=1,P315*60/Q315,"")</f>
        <v>321.0</v>
      </c>
      <c r="S315" s="55">
        <f>IF(AC315=1,N(G315)*60/Q315,"")</f>
        <v>315.0</v>
      </c>
      <c r="T315" s="57">
        <f>IF(AC315=1,O315/M315,"")</f>
        <v>1.0</v>
      </c>
      <c r="U315" s="57">
        <f>IF(AC315=1,IF(O315&gt;0,R315/O315,""),"")</f>
        <v>0.713333333333333</v>
      </c>
      <c r="V315" s="57">
        <f>IF(AC315=1,IF(P315&gt;0,N(G315)/P315,""),"")</f>
        <v>0.981308411214953</v>
      </c>
      <c r="W315" s="57">
        <f>IF(AC315=1,S315/M315,"")</f>
        <v>0.7</v>
      </c>
      <c r="X315" s="57">
        <f>IF(AC315=1,S315/K315,"")</f>
        <v>0.65625</v>
      </c>
      <c r="Y315" s="58" t="str">
        <f>IF(W315="","",IF(W315&gt;=p_target,"Bon",IF(W315&gt;=p_alert,"À surveiller","Faible")))</f>
        <v>À surveiller</v>
      </c>
      <c r="Z315" s="58" t="str">
        <f>IF(W315="","",IF(MIN(IF(T315="",1,T315),IF(U315="",1,U315),IF(V315="",1,V315))&gt;=1,"Aucune",IF(IF(T315="",1,T315)&lt;=MIN(IF(U315="",1,U315),IF(V315="",1,V315)),"Disponibilité",IF(IF(U315="",1,U315)&lt;=IF(V315="",1,V315),"Performance","Qualité"))))</f>
        <v>Performance</v>
      </c>
      <c r="AA315" s="59">
        <f>IF(AC315=1,N(H315)*N(IFERROR(INDEX(art_cost,MATCH(E315,art_ref,0)),0)),"")</f>
        <v>476.0</v>
      </c>
      <c r="AB315" s="58" t="str">
        <f>IF(COUNTA(A315:I315)=0,"",IF(N(A315)&lt;=0,"Date manquante ou invalide",IF(B315="","Équipe manquante",IF(ISNA(MATCH(B315,eq_code,0)),"Équipe inconnue",IF(INDEX(eq_check,MATCH(B315,eq_code,0))&lt;&gt;"OK","Équipe à corriger dans Paramètres",IF(C315="","Poste manquant",IF(ISNA(MATCH(C315,po_code,0)),"Poste inconnu",IF(AND(E315&lt;&gt;"",ISNA(MATCH(E315,art_ref,0))),"Article inconnu",IF(IF(E315="",FALSE,INDEX(art_check,MATCH(E315,art_ref,0))&lt;&gt;"OK"),"Article à corriger (feuille Articles)",IF(COUNTIFS(sj_date,A315,sj_eq,B315,sj_po,C315)&gt;1,"Ligne en double (même jour, équipe et poste)",IF(OR(NOT(ISNUMBER(K315)),N(K315)&lt;=0,N(K315)&gt;1440),"Temps d'ouverture invalide",IF(OR(AND(G315&lt;&gt;"",NOT(ISNUMBER(G315))),N(G315)&lt;0,N(G315)&lt;&gt;INT(N(G315)),AND(H315&lt;&gt;"",NOT(ISNUMBER(H315))),N(H315)&lt;0,N(H315)&lt;&gt;INT(N(H315)),AND(I315&lt;&gt;"",NOT(ISNUMBER(I315))),N(I315)&lt;0,N(I315)&lt;&gt;INT(N(I315))),"Quantité invalide",IF(Q315&lt;=0,"Cadence manquante (poste ou article)",IF(M315&lt;=0,"Arrêts planifiés supérieurs au temps d'ouverture",IF(O315&lt;0,"Arrêts supérieurs au temps requis",IF(AND(P315&gt;0,O315=0),"Pièces déclarées sans temps de marche",IF(AND(P315=0,O315&gt;0),"Aucune pièce déclarée",IF(P315*60/Q315&gt;O315+0.001,"Cadence dépassée : vérifiez la cadence","OK"))))))))))))))))))</f>
        <v>OK</v>
      </c>
      <c r="AC315">
        <f>IF(OR(AB315="OK",AB315="Aucune pièce déclarée",AB315="Cadence dépassée : vérifiez la cadence"),1,0)</f>
        <v>1.0</v>
      </c>
      <c r="AD315">
        <f>IF(AND(AC315=1,A315&gt;=p_from,A315&lt;=p_to),1,0)</f>
        <v>1.0</v>
      </c>
      <c r="AE315">
        <f>IF(AD315=1,IF(COUNTIFS($A$6:A315,A315,$AD$6:AD315,1)=1,1,0),0)</f>
        <v>0.0</v>
      </c>
      <c r="AF315" t="str">
        <f>IF(AE315=1,COUNTIFS(sj_first,1,sj_date,"&lt;"&amp;A315)+1,"")</f>
        <v/>
      </c>
      <c r="AG315" t="str">
        <f>IF(AND(AD315=1,N(W315)&lt;p_alert),ROUND(W315,4),"")</f>
        <v/>
      </c>
      <c r="AH315" t="str">
        <f>IF(AG315="","",COUNTIF(sj_akey,"&lt;"&amp;AG315)+COUNTIF($AG$6:AG315,AG315))</f>
        <v/>
      </c>
    </row>
    <row r="316">
      <c r="A316" s="51" t="n">
        <v>46329</v>
      </c>
      <c r="B316" s="52" t="inlineStr">
        <is>
          <t>Matin</t>
        </is>
      </c>
      <c r="C316" s="52" t="inlineStr">
        <is>
          <t>TOUR1</t>
        </is>
      </c>
      <c r="D316" s="53" t="inlineStr">
        <is>
          <t>OF-2611-198</t>
        </is>
      </c>
      <c r="E316" s="53" t="inlineStr">
        <is>
          <t>AXE-R20</t>
        </is>
      </c>
      <c r="F316" s="54" t="n"/>
      <c r="G316" s="54" t="n">
        <v>196</v>
      </c>
      <c r="H316" s="54" t="n">
        <v>5</v>
      </c>
      <c r="I316" s="54" t="n">
        <v>2</v>
      </c>
      <c r="J316" s="53" t="n"/>
      <c r="K316" s="55">
        <f>IF(COUNTA(A316:I316)=0,"",IF(F316="",IFERROR(INDEX(eq_dur,MATCH(B316,eq_code,0)),""),F316))</f>
        <v>480.0</v>
      </c>
      <c r="L316" s="55">
        <f>IF(ISNUMBER(K316),N(IFERROR(INDEX(eq_pause,MATCH(B316,eq_code,0)),0))+SUMIFS(st_min,st_date,A316,st_eq,B316,st_po,C316,st_type,"Planifié"),"")</f>
        <v>30.0</v>
      </c>
      <c r="M316" s="55">
        <f>IF(ISNUMBER(K316),K316-L316,"")</f>
        <v>450.0</v>
      </c>
      <c r="N316" s="55">
        <f>IF(ISNUMBER(K316),SUMIFS(st_min,st_date,A316,st_eq,B316,st_po,C316,st_type,"Non planifié"),"")</f>
        <v>8.0</v>
      </c>
      <c r="O316" s="55">
        <f>IF(ISNUMBER(K316),M316-N316,"")</f>
        <v>442.0</v>
      </c>
      <c r="P316" s="55">
        <f>IF(COUNTA(A316:I316)=0,"",N(G316)+N(H316)+N(I316))</f>
        <v>203.0</v>
      </c>
      <c r="Q316" s="56">
        <f>IF(COUNTA(A316:I316)=0,"",IF(N(IFERROR(INDEX(art_rate,MATCH(E316,art_ref,0)),0))&gt;0,N(IFERROR(INDEX(art_rate,MATCH(E316,art_ref,0)),0)),N(IFERROR(INDEX(po_rate,MATCH(C316,po_code,0)),0))))</f>
        <v>30.0</v>
      </c>
      <c r="R316" s="55">
        <f>IF(AC316=1,P316*60/Q316,"")</f>
        <v>406.0</v>
      </c>
      <c r="S316" s="55">
        <f>IF(AC316=1,N(G316)*60/Q316,"")</f>
        <v>392.0</v>
      </c>
      <c r="T316" s="57">
        <f>IF(AC316=1,O316/M316,"")</f>
        <v>0.982222222222222</v>
      </c>
      <c r="U316" s="57">
        <f>IF(AC316=1,IF(O316&gt;0,R316/O316,""),"")</f>
        <v>0.918552036199095</v>
      </c>
      <c r="V316" s="57">
        <f>IF(AC316=1,IF(P316&gt;0,N(G316)/P316,""),"")</f>
        <v>0.96551724137931</v>
      </c>
      <c r="W316" s="57">
        <f>IF(AC316=1,S316/M316,"")</f>
        <v>0.871111111111111</v>
      </c>
      <c r="X316" s="57">
        <f>IF(AC316=1,S316/K316,"")</f>
        <v>0.816666666666667</v>
      </c>
      <c r="Y316" s="58" t="str">
        <f>IF(W316="","",IF(W316&gt;=p_target,"Bon",IF(W316&gt;=p_alert,"À surveiller","Faible")))</f>
        <v>Bon</v>
      </c>
      <c r="Z316" s="58" t="str">
        <f>IF(W316="","",IF(MIN(IF(T316="",1,T316),IF(U316="",1,U316),IF(V316="",1,V316))&gt;=1,"Aucune",IF(IF(T316="",1,T316)&lt;=MIN(IF(U316="",1,U316),IF(V316="",1,V316)),"Disponibilité",IF(IF(U316="",1,U316)&lt;=IF(V316="",1,V316),"Performance","Qualité"))))</f>
        <v>Performance</v>
      </c>
      <c r="AA316" s="59">
        <f>IF(AC316=1,N(H316)*N(IFERROR(INDEX(art_cost,MATCH(E316,art_ref,0)),0)),"")</f>
        <v>192.5</v>
      </c>
      <c r="AB316" s="58" t="str">
        <f>IF(COUNTA(A316:I316)=0,"",IF(N(A316)&lt;=0,"Date manquante ou invalide",IF(B316="","Équipe manquante",IF(ISNA(MATCH(B316,eq_code,0)),"Équipe inconnue",IF(INDEX(eq_check,MATCH(B316,eq_code,0))&lt;&gt;"OK","Équipe à corriger dans Paramètres",IF(C316="","Poste manquant",IF(ISNA(MATCH(C316,po_code,0)),"Poste inconnu",IF(AND(E316&lt;&gt;"",ISNA(MATCH(E316,art_ref,0))),"Article inconnu",IF(IF(E316="",FALSE,INDEX(art_check,MATCH(E316,art_ref,0))&lt;&gt;"OK"),"Article à corriger (feuille Articles)",IF(COUNTIFS(sj_date,A316,sj_eq,B316,sj_po,C316)&gt;1,"Ligne en double (même jour, équipe et poste)",IF(OR(NOT(ISNUMBER(K316)),N(K316)&lt;=0,N(K316)&gt;1440),"Temps d'ouverture invalide",IF(OR(AND(G316&lt;&gt;"",NOT(ISNUMBER(G316))),N(G316)&lt;0,N(G316)&lt;&gt;INT(N(G316)),AND(H316&lt;&gt;"",NOT(ISNUMBER(H316))),N(H316)&lt;0,N(H316)&lt;&gt;INT(N(H316)),AND(I316&lt;&gt;"",NOT(ISNUMBER(I316))),N(I316)&lt;0,N(I316)&lt;&gt;INT(N(I316))),"Quantité invalide",IF(Q316&lt;=0,"Cadence manquante (poste ou article)",IF(M316&lt;=0,"Arrêts planifiés supérieurs au temps d'ouverture",IF(O316&lt;0,"Arrêts supérieurs au temps requis",IF(AND(P316&gt;0,O316=0),"Pièces déclarées sans temps de marche",IF(AND(P316=0,O316&gt;0),"Aucune pièce déclarée",IF(P316*60/Q316&gt;O316+0.001,"Cadence dépassée : vérifiez la cadence","OK"))))))))))))))))))</f>
        <v>OK</v>
      </c>
      <c r="AC316">
        <f>IF(OR(AB316="OK",AB316="Aucune pièce déclarée",AB316="Cadence dépassée : vérifiez la cadence"),1,0)</f>
        <v>1.0</v>
      </c>
      <c r="AD316">
        <f>IF(AND(AC316=1,A316&gt;=p_from,A316&lt;=p_to),1,0)</f>
        <v>1.0</v>
      </c>
      <c r="AE316">
        <f>IF(AD316=1,IF(COUNTIFS($A$6:A316,A316,$AD$6:AD316,1)=1,1,0),0)</f>
        <v>1.0</v>
      </c>
      <c r="AF316">
        <f>IF(AE316=1,COUNTIFS(sj_first,1,sj_date,"&lt;"&amp;A316)+1,"")</f>
        <v>32.0</v>
      </c>
      <c r="AG316" t="str">
        <f>IF(AND(AD316=1,N(W316)&lt;p_alert),ROUND(W316,4),"")</f>
        <v/>
      </c>
      <c r="AH316" t="str">
        <f>IF(AG316="","",COUNTIF(sj_akey,"&lt;"&amp;AG316)+COUNTIF($AG$6:AG316,AG316))</f>
        <v/>
      </c>
    </row>
    <row r="317">
      <c r="A317" s="51" t="n">
        <v>46329</v>
      </c>
      <c r="B317" s="52" t="inlineStr">
        <is>
          <t>Après-midi</t>
        </is>
      </c>
      <c r="C317" s="52" t="inlineStr">
        <is>
          <t>TOUR1</t>
        </is>
      </c>
      <c r="D317" s="53" t="inlineStr">
        <is>
          <t>OF-2610-195</t>
        </is>
      </c>
      <c r="E317" s="53" t="inlineStr">
        <is>
          <t>AXE-R20</t>
        </is>
      </c>
      <c r="F317" s="54" t="n"/>
      <c r="G317" s="54" t="n">
        <v>191</v>
      </c>
      <c r="H317" s="54" t="n">
        <v>3</v>
      </c>
      <c r="I317" s="54" t="n">
        <v>1</v>
      </c>
      <c r="J317" s="53" t="n"/>
      <c r="K317" s="55">
        <f>IF(COUNTA(A317:I317)=0,"",IF(F317="",IFERROR(INDEX(eq_dur,MATCH(B317,eq_code,0)),""),F317))</f>
        <v>480.0</v>
      </c>
      <c r="L317" s="55">
        <f>IF(ISNUMBER(K317),N(IFERROR(INDEX(eq_pause,MATCH(B317,eq_code,0)),0))+SUMIFS(st_min,st_date,A317,st_eq,B317,st_po,C317,st_type,"Planifié"),"")</f>
        <v>30.0</v>
      </c>
      <c r="M317" s="55">
        <f>IF(ISNUMBER(K317),K317-L317,"")</f>
        <v>450.0</v>
      </c>
      <c r="N317" s="55">
        <f>IF(ISNUMBER(K317),SUMIFS(st_min,st_date,A317,st_eq,B317,st_po,C317,st_type,"Non planifié"),"")</f>
        <v>0.0</v>
      </c>
      <c r="O317" s="55">
        <f>IF(ISNUMBER(K317),M317-N317,"")</f>
        <v>450.0</v>
      </c>
      <c r="P317" s="55">
        <f>IF(COUNTA(A317:I317)=0,"",N(G317)+N(H317)+N(I317))</f>
        <v>195.0</v>
      </c>
      <c r="Q317" s="56">
        <f>IF(COUNTA(A317:I317)=0,"",IF(N(IFERROR(INDEX(art_rate,MATCH(E317,art_ref,0)),0))&gt;0,N(IFERROR(INDEX(art_rate,MATCH(E317,art_ref,0)),0)),N(IFERROR(INDEX(po_rate,MATCH(C317,po_code,0)),0))))</f>
        <v>30.0</v>
      </c>
      <c r="R317" s="55">
        <f>IF(AC317=1,P317*60/Q317,"")</f>
        <v>390.0</v>
      </c>
      <c r="S317" s="55">
        <f>IF(AC317=1,N(G317)*60/Q317,"")</f>
        <v>382.0</v>
      </c>
      <c r="T317" s="57">
        <f>IF(AC317=1,O317/M317,"")</f>
        <v>1.0</v>
      </c>
      <c r="U317" s="57">
        <f>IF(AC317=1,IF(O317&gt;0,R317/O317,""),"")</f>
        <v>0.866666666666667</v>
      </c>
      <c r="V317" s="57">
        <f>IF(AC317=1,IF(P317&gt;0,N(G317)/P317,""),"")</f>
        <v>0.979487179487179</v>
      </c>
      <c r="W317" s="57">
        <f>IF(AC317=1,S317/M317,"")</f>
        <v>0.848888888888889</v>
      </c>
      <c r="X317" s="57">
        <f>IF(AC317=1,S317/K317,"")</f>
        <v>0.795833333333333</v>
      </c>
      <c r="Y317" s="58" t="str">
        <f>IF(W317="","",IF(W317&gt;=p_target,"Bon",IF(W317&gt;=p_alert,"À surveiller","Faible")))</f>
        <v>Bon</v>
      </c>
      <c r="Z317" s="58" t="str">
        <f>IF(W317="","",IF(MIN(IF(T317="",1,T317),IF(U317="",1,U317),IF(V317="",1,V317))&gt;=1,"Aucune",IF(IF(T317="",1,T317)&lt;=MIN(IF(U317="",1,U317),IF(V317="",1,V317)),"Disponibilité",IF(IF(U317="",1,U317)&lt;=IF(V317="",1,V317),"Performance","Qualité"))))</f>
        <v>Performance</v>
      </c>
      <c r="AA317" s="59">
        <f>IF(AC317=1,N(H317)*N(IFERROR(INDEX(art_cost,MATCH(E317,art_ref,0)),0)),"")</f>
        <v>115.5</v>
      </c>
      <c r="AB317" s="58" t="str">
        <f>IF(COUNTA(A317:I317)=0,"",IF(N(A317)&lt;=0,"Date manquante ou invalide",IF(B317="","Équipe manquante",IF(ISNA(MATCH(B317,eq_code,0)),"Équipe inconnue",IF(INDEX(eq_check,MATCH(B317,eq_code,0))&lt;&gt;"OK","Équipe à corriger dans Paramètres",IF(C317="","Poste manquant",IF(ISNA(MATCH(C317,po_code,0)),"Poste inconnu",IF(AND(E317&lt;&gt;"",ISNA(MATCH(E317,art_ref,0))),"Article inconnu",IF(IF(E317="",FALSE,INDEX(art_check,MATCH(E317,art_ref,0))&lt;&gt;"OK"),"Article à corriger (feuille Articles)",IF(COUNTIFS(sj_date,A317,sj_eq,B317,sj_po,C317)&gt;1,"Ligne en double (même jour, équipe et poste)",IF(OR(NOT(ISNUMBER(K317)),N(K317)&lt;=0,N(K317)&gt;1440),"Temps d'ouverture invalide",IF(OR(AND(G317&lt;&gt;"",NOT(ISNUMBER(G317))),N(G317)&lt;0,N(G317)&lt;&gt;INT(N(G317)),AND(H317&lt;&gt;"",NOT(ISNUMBER(H317))),N(H317)&lt;0,N(H317)&lt;&gt;INT(N(H317)),AND(I317&lt;&gt;"",NOT(ISNUMBER(I317))),N(I317)&lt;0,N(I317)&lt;&gt;INT(N(I317))),"Quantité invalide",IF(Q317&lt;=0,"Cadence manquante (poste ou article)",IF(M317&lt;=0,"Arrêts planifiés supérieurs au temps d'ouverture",IF(O317&lt;0,"Arrêts supérieurs au temps requis",IF(AND(P317&gt;0,O317=0),"Pièces déclarées sans temps de marche",IF(AND(P317=0,O317&gt;0),"Aucune pièce déclarée",IF(P317*60/Q317&gt;O317+0.001,"Cadence dépassée : vérifiez la cadence","OK"))))))))))))))))))</f>
        <v>OK</v>
      </c>
      <c r="AC317">
        <f>IF(OR(AB317="OK",AB317="Aucune pièce déclarée",AB317="Cadence dépassée : vérifiez la cadence"),1,0)</f>
        <v>1.0</v>
      </c>
      <c r="AD317">
        <f>IF(AND(AC317=1,A317&gt;=p_from,A317&lt;=p_to),1,0)</f>
        <v>1.0</v>
      </c>
      <c r="AE317">
        <f>IF(AD317=1,IF(COUNTIFS($A$6:A317,A317,$AD$6:AD317,1)=1,1,0),0)</f>
        <v>0.0</v>
      </c>
      <c r="AF317" t="str">
        <f>IF(AE317=1,COUNTIFS(sj_first,1,sj_date,"&lt;"&amp;A317)+1,"")</f>
        <v/>
      </c>
      <c r="AG317" t="str">
        <f>IF(AND(AD317=1,N(W317)&lt;p_alert),ROUND(W317,4),"")</f>
        <v/>
      </c>
      <c r="AH317" t="str">
        <f>IF(AG317="","",COUNTIF(sj_akey,"&lt;"&amp;AG317)+COUNTIF($AG$6:AG317,AG317))</f>
        <v/>
      </c>
    </row>
    <row r="318">
      <c r="A318" s="51" t="n">
        <v>46329</v>
      </c>
      <c r="B318" s="52" t="inlineStr">
        <is>
          <t>Matin</t>
        </is>
      </c>
      <c r="C318" s="52" t="inlineStr">
        <is>
          <t>TOUR2</t>
        </is>
      </c>
      <c r="D318" s="53" t="inlineStr">
        <is>
          <t>OF-2611-201</t>
        </is>
      </c>
      <c r="E318" s="53" t="inlineStr">
        <is>
          <t>AXE-R20</t>
        </is>
      </c>
      <c r="F318" s="54" t="n"/>
      <c r="G318" s="54" t="n">
        <v>110</v>
      </c>
      <c r="H318" s="54" t="n">
        <v>1</v>
      </c>
      <c r="I318" s="54" t="n">
        <v>0</v>
      </c>
      <c r="J318" s="53" t="n"/>
      <c r="K318" s="55">
        <f>IF(COUNTA(A318:I318)=0,"",IF(F318="",IFERROR(INDEX(eq_dur,MATCH(B318,eq_code,0)),""),F318))</f>
        <v>480.0</v>
      </c>
      <c r="L318" s="55">
        <f>IF(ISNUMBER(K318),N(IFERROR(INDEX(eq_pause,MATCH(B318,eq_code,0)),0))+SUMIFS(st_min,st_date,A318,st_eq,B318,st_po,C318,st_type,"Planifié"),"")</f>
        <v>30.0</v>
      </c>
      <c r="M318" s="55">
        <f>IF(ISNUMBER(K318),K318-L318,"")</f>
        <v>450.0</v>
      </c>
      <c r="N318" s="55">
        <f>IF(ISNUMBER(K318),SUMIFS(st_min,st_date,A318,st_eq,B318,st_po,C318,st_type,"Non planifié"),"")</f>
        <v>208.0</v>
      </c>
      <c r="O318" s="55">
        <f>IF(ISNUMBER(K318),M318-N318,"")</f>
        <v>242.0</v>
      </c>
      <c r="P318" s="55">
        <f>IF(COUNTA(A318:I318)=0,"",N(G318)+N(H318)+N(I318))</f>
        <v>111.0</v>
      </c>
      <c r="Q318" s="56">
        <f>IF(COUNTA(A318:I318)=0,"",IF(N(IFERROR(INDEX(art_rate,MATCH(E318,art_ref,0)),0))&gt;0,N(IFERROR(INDEX(art_rate,MATCH(E318,art_ref,0)),0)),N(IFERROR(INDEX(po_rate,MATCH(C318,po_code,0)),0))))</f>
        <v>30.0</v>
      </c>
      <c r="R318" s="55">
        <f>IF(AC318=1,P318*60/Q318,"")</f>
        <v>222.0</v>
      </c>
      <c r="S318" s="55">
        <f>IF(AC318=1,N(G318)*60/Q318,"")</f>
        <v>220.0</v>
      </c>
      <c r="T318" s="57">
        <f>IF(AC318=1,O318/M318,"")</f>
        <v>0.537777777777778</v>
      </c>
      <c r="U318" s="57">
        <f>IF(AC318=1,IF(O318&gt;0,R318/O318,""),"")</f>
        <v>0.917355371900827</v>
      </c>
      <c r="V318" s="57">
        <f>IF(AC318=1,IF(P318&gt;0,N(G318)/P318,""),"")</f>
        <v>0.990990990990991</v>
      </c>
      <c r="W318" s="57">
        <f>IF(AC318=1,S318/M318,"")</f>
        <v>0.488888888888889</v>
      </c>
      <c r="X318" s="57">
        <f>IF(AC318=1,S318/K318,"")</f>
        <v>0.458333333333333</v>
      </c>
      <c r="Y318" s="58" t="str">
        <f>IF(W318="","",IF(W318&gt;=p_target,"Bon",IF(W318&gt;=p_alert,"À surveiller","Faible")))</f>
        <v>Faible</v>
      </c>
      <c r="Z318" s="58" t="str">
        <f>IF(W318="","",IF(MIN(IF(T318="",1,T318),IF(U318="",1,U318),IF(V318="",1,V318))&gt;=1,"Aucune",IF(IF(T318="",1,T318)&lt;=MIN(IF(U318="",1,U318),IF(V318="",1,V318)),"Disponibilité",IF(IF(U318="",1,U318)&lt;=IF(V318="",1,V318),"Performance","Qualité"))))</f>
        <v>Disponibilité</v>
      </c>
      <c r="AA318" s="59">
        <f>IF(AC318=1,N(H318)*N(IFERROR(INDEX(art_cost,MATCH(E318,art_ref,0)),0)),"")</f>
        <v>38.5</v>
      </c>
      <c r="AB318" s="58" t="str">
        <f>IF(COUNTA(A318:I318)=0,"",IF(N(A318)&lt;=0,"Date manquante ou invalide",IF(B318="","Équipe manquante",IF(ISNA(MATCH(B318,eq_code,0)),"Équipe inconnue",IF(INDEX(eq_check,MATCH(B318,eq_code,0))&lt;&gt;"OK","Équipe à corriger dans Paramètres",IF(C318="","Poste manquant",IF(ISNA(MATCH(C318,po_code,0)),"Poste inconnu",IF(AND(E318&lt;&gt;"",ISNA(MATCH(E318,art_ref,0))),"Article inconnu",IF(IF(E318="",FALSE,INDEX(art_check,MATCH(E318,art_ref,0))&lt;&gt;"OK"),"Article à corriger (feuille Articles)",IF(COUNTIFS(sj_date,A318,sj_eq,B318,sj_po,C318)&gt;1,"Ligne en double (même jour, équipe et poste)",IF(OR(NOT(ISNUMBER(K318)),N(K318)&lt;=0,N(K318)&gt;1440),"Temps d'ouverture invalide",IF(OR(AND(G318&lt;&gt;"",NOT(ISNUMBER(G318))),N(G318)&lt;0,N(G318)&lt;&gt;INT(N(G318)),AND(H318&lt;&gt;"",NOT(ISNUMBER(H318))),N(H318)&lt;0,N(H318)&lt;&gt;INT(N(H318)),AND(I318&lt;&gt;"",NOT(ISNUMBER(I318))),N(I318)&lt;0,N(I318)&lt;&gt;INT(N(I318))),"Quantité invalide",IF(Q318&lt;=0,"Cadence manquante (poste ou article)",IF(M318&lt;=0,"Arrêts planifiés supérieurs au temps d'ouverture",IF(O318&lt;0,"Arrêts supérieurs au temps requis",IF(AND(P318&gt;0,O318=0),"Pièces déclarées sans temps de marche",IF(AND(P318=0,O318&gt;0),"Aucune pièce déclarée",IF(P318*60/Q318&gt;O318+0.001,"Cadence dépassée : vérifiez la cadence","OK"))))))))))))))))))</f>
        <v>OK</v>
      </c>
      <c r="AC318">
        <f>IF(OR(AB318="OK",AB318="Aucune pièce déclarée",AB318="Cadence dépassée : vérifiez la cadence"),1,0)</f>
        <v>1.0</v>
      </c>
      <c r="AD318">
        <f>IF(AND(AC318=1,A318&gt;=p_from,A318&lt;=p_to),1,0)</f>
        <v>1.0</v>
      </c>
      <c r="AE318">
        <f>IF(AD318=1,IF(COUNTIFS($A$6:A318,A318,$AD$6:AD318,1)=1,1,0),0)</f>
        <v>0.0</v>
      </c>
      <c r="AF318" t="str">
        <f>IF(AE318=1,COUNTIFS(sj_first,1,sj_date,"&lt;"&amp;A318)+1,"")</f>
        <v/>
      </c>
      <c r="AG318">
        <f>IF(AND(AD318=1,N(W318)&lt;p_alert),ROUND(W318,4),"")</f>
        <v>0.4889</v>
      </c>
      <c r="AH318">
        <f>IF(AG318="","",COUNTIF(sj_akey,"&lt;"&amp;AG318)+COUNTIF($AG$6:AG318,AG318))</f>
        <v>18.0</v>
      </c>
    </row>
    <row r="319">
      <c r="A319" s="51" t="n">
        <v>46329</v>
      </c>
      <c r="B319" s="52" t="inlineStr">
        <is>
          <t>Après-midi</t>
        </is>
      </c>
      <c r="C319" s="52" t="inlineStr">
        <is>
          <t>TOUR2</t>
        </is>
      </c>
      <c r="D319" s="53" t="inlineStr">
        <is>
          <t>OF-2611-202</t>
        </is>
      </c>
      <c r="E319" s="53" t="inlineStr">
        <is>
          <t>ENT-12</t>
        </is>
      </c>
      <c r="F319" s="54" t="n"/>
      <c r="G319" s="54" t="n">
        <v>206</v>
      </c>
      <c r="H319" s="54" t="n">
        <v>3</v>
      </c>
      <c r="I319" s="54" t="n">
        <v>0</v>
      </c>
      <c r="J319" s="53" t="n"/>
      <c r="K319" s="55">
        <f>IF(COUNTA(A319:I319)=0,"",IF(F319="",IFERROR(INDEX(eq_dur,MATCH(B319,eq_code,0)),""),F319))</f>
        <v>480.0</v>
      </c>
      <c r="L319" s="55">
        <f>IF(ISNUMBER(K319),N(IFERROR(INDEX(eq_pause,MATCH(B319,eq_code,0)),0))+SUMIFS(st_min,st_date,A319,st_eq,B319,st_po,C319,st_type,"Planifié"),"")</f>
        <v>30.0</v>
      </c>
      <c r="M319" s="55">
        <f>IF(ISNUMBER(K319),K319-L319,"")</f>
        <v>450.0</v>
      </c>
      <c r="N319" s="55">
        <f>IF(ISNUMBER(K319),SUMIFS(st_min,st_date,A319,st_eq,B319,st_po,C319,st_type,"Non planifié"),"")</f>
        <v>209.0</v>
      </c>
      <c r="O319" s="55">
        <f>IF(ISNUMBER(K319),M319-N319,"")</f>
        <v>241.0</v>
      </c>
      <c r="P319" s="55">
        <f>IF(COUNTA(A319:I319)=0,"",N(G319)+N(H319)+N(I319))</f>
        <v>209.0</v>
      </c>
      <c r="Q319" s="56">
        <f>IF(COUNTA(A319:I319)=0,"",IF(N(IFERROR(INDEX(art_rate,MATCH(E319,art_ref,0)),0))&gt;0,N(IFERROR(INDEX(art_rate,MATCH(E319,art_ref,0)),0)),N(IFERROR(INDEX(po_rate,MATCH(C319,po_code,0)),0))))</f>
        <v>55.0</v>
      </c>
      <c r="R319" s="55">
        <f>IF(AC319=1,P319*60/Q319,"")</f>
        <v>228.0</v>
      </c>
      <c r="S319" s="55">
        <f>IF(AC319=1,N(G319)*60/Q319,"")</f>
        <v>224.727272727273</v>
      </c>
      <c r="T319" s="57">
        <f>IF(AC319=1,O319/M319,"")</f>
        <v>0.535555555555556</v>
      </c>
      <c r="U319" s="57">
        <f>IF(AC319=1,IF(O319&gt;0,R319/O319,""),"")</f>
        <v>0.946058091286307</v>
      </c>
      <c r="V319" s="57">
        <f>IF(AC319=1,IF(P319&gt;0,N(G319)/P319,""),"")</f>
        <v>0.985645933014354</v>
      </c>
      <c r="W319" s="57">
        <f>IF(AC319=1,S319/M319,"")</f>
        <v>0.499393939393939</v>
      </c>
      <c r="X319" s="57">
        <f>IF(AC319=1,S319/K319,"")</f>
        <v>0.468181818181818</v>
      </c>
      <c r="Y319" s="58" t="str">
        <f>IF(W319="","",IF(W319&gt;=p_target,"Bon",IF(W319&gt;=p_alert,"À surveiller","Faible")))</f>
        <v>Faible</v>
      </c>
      <c r="Z319" s="58" t="str">
        <f>IF(W319="","",IF(MIN(IF(T319="",1,T319),IF(U319="",1,U319),IF(V319="",1,V319))&gt;=1,"Aucune",IF(IF(T319="",1,T319)&lt;=MIN(IF(U319="",1,U319),IF(V319="",1,V319)),"Disponibilité",IF(IF(U319="",1,U319)&lt;=IF(V319="",1,V319),"Performance","Qualité"))))</f>
        <v>Disponibilité</v>
      </c>
      <c r="AA319" s="59">
        <f>IF(AC319=1,N(H319)*N(IFERROR(INDEX(art_cost,MATCH(E319,art_ref,0)),0)),"")</f>
        <v>20.4</v>
      </c>
      <c r="AB319" s="58" t="str">
        <f>IF(COUNTA(A319:I319)=0,"",IF(N(A319)&lt;=0,"Date manquante ou invalide",IF(B319="","Équipe manquante",IF(ISNA(MATCH(B319,eq_code,0)),"Équipe inconnue",IF(INDEX(eq_check,MATCH(B319,eq_code,0))&lt;&gt;"OK","Équipe à corriger dans Paramètres",IF(C319="","Poste manquant",IF(ISNA(MATCH(C319,po_code,0)),"Poste inconnu",IF(AND(E319&lt;&gt;"",ISNA(MATCH(E319,art_ref,0))),"Article inconnu",IF(IF(E319="",FALSE,INDEX(art_check,MATCH(E319,art_ref,0))&lt;&gt;"OK"),"Article à corriger (feuille Articles)",IF(COUNTIFS(sj_date,A319,sj_eq,B319,sj_po,C319)&gt;1,"Ligne en double (même jour, équipe et poste)",IF(OR(NOT(ISNUMBER(K319)),N(K319)&lt;=0,N(K319)&gt;1440),"Temps d'ouverture invalide",IF(OR(AND(G319&lt;&gt;"",NOT(ISNUMBER(G319))),N(G319)&lt;0,N(G319)&lt;&gt;INT(N(G319)),AND(H319&lt;&gt;"",NOT(ISNUMBER(H319))),N(H319)&lt;0,N(H319)&lt;&gt;INT(N(H319)),AND(I319&lt;&gt;"",NOT(ISNUMBER(I319))),N(I319)&lt;0,N(I319)&lt;&gt;INT(N(I319))),"Quantité invalide",IF(Q319&lt;=0,"Cadence manquante (poste ou article)",IF(M319&lt;=0,"Arrêts planifiés supérieurs au temps d'ouverture",IF(O319&lt;0,"Arrêts supérieurs au temps requis",IF(AND(P319&gt;0,O319=0),"Pièces déclarées sans temps de marche",IF(AND(P319=0,O319&gt;0),"Aucune pièce déclarée",IF(P319*60/Q319&gt;O319+0.001,"Cadence dépassée : vérifiez la cadence","OK"))))))))))))))))))</f>
        <v>OK</v>
      </c>
      <c r="AC319">
        <f>IF(OR(AB319="OK",AB319="Aucune pièce déclarée",AB319="Cadence dépassée : vérifiez la cadence"),1,0)</f>
        <v>1.0</v>
      </c>
      <c r="AD319">
        <f>IF(AND(AC319=1,A319&gt;=p_from,A319&lt;=p_to),1,0)</f>
        <v>1.0</v>
      </c>
      <c r="AE319">
        <f>IF(AD319=1,IF(COUNTIFS($A$6:A319,A319,$AD$6:AD319,1)=1,1,0),0)</f>
        <v>0.0</v>
      </c>
      <c r="AF319" t="str">
        <f>IF(AE319=1,COUNTIFS(sj_first,1,sj_date,"&lt;"&amp;A319)+1,"")</f>
        <v/>
      </c>
      <c r="AG319">
        <f>IF(AND(AD319=1,N(W319)&lt;p_alert),ROUND(W319,4),"")</f>
        <v>0.4994</v>
      </c>
      <c r="AH319">
        <f>IF(AG319="","",COUNTIF(sj_akey,"&lt;"&amp;AG319)+COUNTIF($AG$6:AG319,AG319))</f>
        <v>19.0</v>
      </c>
    </row>
    <row r="320">
      <c r="A320" s="51" t="n">
        <v>46329</v>
      </c>
      <c r="B320" s="52" t="inlineStr">
        <is>
          <t>Matin</t>
        </is>
      </c>
      <c r="C320" s="52" t="inlineStr">
        <is>
          <t>USIN</t>
        </is>
      </c>
      <c r="D320" s="53" t="inlineStr">
        <is>
          <t>OF-2610-192</t>
        </is>
      </c>
      <c r="E320" s="53" t="inlineStr">
        <is>
          <t>CAR-BOI-04</t>
        </is>
      </c>
      <c r="F320" s="54" t="n"/>
      <c r="G320" s="54" t="n">
        <v>39</v>
      </c>
      <c r="H320" s="54" t="n">
        <v>0</v>
      </c>
      <c r="I320" s="54" t="n">
        <v>0</v>
      </c>
      <c r="J320" s="53" t="n"/>
      <c r="K320" s="55">
        <f>IF(COUNTA(A320:I320)=0,"",IF(F320="",IFERROR(INDEX(eq_dur,MATCH(B320,eq_code,0)),""),F320))</f>
        <v>480.0</v>
      </c>
      <c r="L320" s="55">
        <f>IF(ISNUMBER(K320),N(IFERROR(INDEX(eq_pause,MATCH(B320,eq_code,0)),0))+SUMIFS(st_min,st_date,A320,st_eq,B320,st_po,C320,st_type,"Planifié"),"")</f>
        <v>30.0</v>
      </c>
      <c r="M320" s="55">
        <f>IF(ISNUMBER(K320),K320-L320,"")</f>
        <v>450.0</v>
      </c>
      <c r="N320" s="55">
        <f>IF(ISNUMBER(K320),SUMIFS(st_min,st_date,A320,st_eq,B320,st_po,C320,st_type,"Non planifié"),"")</f>
        <v>20.0</v>
      </c>
      <c r="O320" s="55">
        <f>IF(ISNUMBER(K320),M320-N320,"")</f>
        <v>430.0</v>
      </c>
      <c r="P320" s="55">
        <f>IF(COUNTA(A320:I320)=0,"",N(G320)+N(H320)+N(I320))</f>
        <v>39.0</v>
      </c>
      <c r="Q320" s="56">
        <f>IF(COUNTA(A320:I320)=0,"",IF(N(IFERROR(INDEX(art_rate,MATCH(E320,art_ref,0)),0))&gt;0,N(IFERROR(INDEX(art_rate,MATCH(E320,art_ref,0)),0)),N(IFERROR(INDEX(po_rate,MATCH(C320,po_code,0)),0))))</f>
        <v>6.0</v>
      </c>
      <c r="R320" s="55">
        <f>IF(AC320=1,P320*60/Q320,"")</f>
        <v>390.0</v>
      </c>
      <c r="S320" s="55">
        <f>IF(AC320=1,N(G320)*60/Q320,"")</f>
        <v>390.0</v>
      </c>
      <c r="T320" s="57">
        <f>IF(AC320=1,O320/M320,"")</f>
        <v>0.955555555555556</v>
      </c>
      <c r="U320" s="57">
        <f>IF(AC320=1,IF(O320&gt;0,R320/O320,""),"")</f>
        <v>0.906976744186047</v>
      </c>
      <c r="V320" s="57">
        <f>IF(AC320=1,IF(P320&gt;0,N(G320)/P320,""),"")</f>
        <v>1.0</v>
      </c>
      <c r="W320" s="57">
        <f>IF(AC320=1,S320/M320,"")</f>
        <v>0.866666666666667</v>
      </c>
      <c r="X320" s="57">
        <f>IF(AC320=1,S320/K320,"")</f>
        <v>0.8125</v>
      </c>
      <c r="Y320" s="58" t="str">
        <f>IF(W320="","",IF(W320&gt;=p_target,"Bon",IF(W320&gt;=p_alert,"À surveiller","Faible")))</f>
        <v>Bon</v>
      </c>
      <c r="Z320" s="58" t="str">
        <f>IF(W320="","",IF(MIN(IF(T320="",1,T320),IF(U320="",1,U320),IF(V320="",1,V320))&gt;=1,"Aucune",IF(IF(T320="",1,T320)&lt;=MIN(IF(U320="",1,U320),IF(V320="",1,V320)),"Disponibilité",IF(IF(U320="",1,U320)&lt;=IF(V320="",1,V320),"Performance","Qualité"))))</f>
        <v>Performance</v>
      </c>
      <c r="AA320" s="59">
        <f>IF(AC320=1,N(H320)*N(IFERROR(INDEX(art_cost,MATCH(E320,art_ref,0)),0)),"")</f>
        <v>0.0</v>
      </c>
      <c r="AB320" s="58" t="str">
        <f>IF(COUNTA(A320:I320)=0,"",IF(N(A320)&lt;=0,"Date manquante ou invalide",IF(B320="","Équipe manquante",IF(ISNA(MATCH(B320,eq_code,0)),"Équipe inconnue",IF(INDEX(eq_check,MATCH(B320,eq_code,0))&lt;&gt;"OK","Équipe à corriger dans Paramètres",IF(C320="","Poste manquant",IF(ISNA(MATCH(C320,po_code,0)),"Poste inconnu",IF(AND(E320&lt;&gt;"",ISNA(MATCH(E320,art_ref,0))),"Article inconnu",IF(IF(E320="",FALSE,INDEX(art_check,MATCH(E320,art_ref,0))&lt;&gt;"OK"),"Article à corriger (feuille Articles)",IF(COUNTIFS(sj_date,A320,sj_eq,B320,sj_po,C320)&gt;1,"Ligne en double (même jour, équipe et poste)",IF(OR(NOT(ISNUMBER(K320)),N(K320)&lt;=0,N(K320)&gt;1440),"Temps d'ouverture invalide",IF(OR(AND(G320&lt;&gt;"",NOT(ISNUMBER(G320))),N(G320)&lt;0,N(G320)&lt;&gt;INT(N(G320)),AND(H320&lt;&gt;"",NOT(ISNUMBER(H320))),N(H320)&lt;0,N(H320)&lt;&gt;INT(N(H320)),AND(I320&lt;&gt;"",NOT(ISNUMBER(I320))),N(I320)&lt;0,N(I320)&lt;&gt;INT(N(I320))),"Quantité invalide",IF(Q320&lt;=0,"Cadence manquante (poste ou article)",IF(M320&lt;=0,"Arrêts planifiés supérieurs au temps d'ouverture",IF(O320&lt;0,"Arrêts supérieurs au temps requis",IF(AND(P320&gt;0,O320=0),"Pièces déclarées sans temps de marche",IF(AND(P320=0,O320&gt;0),"Aucune pièce déclarée",IF(P320*60/Q320&gt;O320+0.001,"Cadence dépassée : vérifiez la cadence","OK"))))))))))))))))))</f>
        <v>OK</v>
      </c>
      <c r="AC320">
        <f>IF(OR(AB320="OK",AB320="Aucune pièce déclarée",AB320="Cadence dépassée : vérifiez la cadence"),1,0)</f>
        <v>1.0</v>
      </c>
      <c r="AD320">
        <f>IF(AND(AC320=1,A320&gt;=p_from,A320&lt;=p_to),1,0)</f>
        <v>1.0</v>
      </c>
      <c r="AE320">
        <f>IF(AD320=1,IF(COUNTIFS($A$6:A320,A320,$AD$6:AD320,1)=1,1,0),0)</f>
        <v>0.0</v>
      </c>
      <c r="AF320" t="str">
        <f>IF(AE320=1,COUNTIFS(sj_first,1,sj_date,"&lt;"&amp;A320)+1,"")</f>
        <v/>
      </c>
      <c r="AG320" t="str">
        <f>IF(AND(AD320=1,N(W320)&lt;p_alert),ROUND(W320,4),"")</f>
        <v/>
      </c>
      <c r="AH320" t="str">
        <f>IF(AG320="","",COUNTIF(sj_akey,"&lt;"&amp;AG320)+COUNTIF($AG$6:AG320,AG320))</f>
        <v/>
      </c>
    </row>
    <row r="321">
      <c r="A321" s="51" t="n">
        <v>46329</v>
      </c>
      <c r="B321" s="52" t="inlineStr">
        <is>
          <t>Après-midi</t>
        </is>
      </c>
      <c r="C321" s="52" t="inlineStr">
        <is>
          <t>USIN</t>
        </is>
      </c>
      <c r="D321" s="53" t="inlineStr">
        <is>
          <t>OF-2610-196</t>
        </is>
      </c>
      <c r="E321" s="53" t="inlineStr">
        <is>
          <t>CAR-BOI-04</t>
        </is>
      </c>
      <c r="F321" s="54" t="n"/>
      <c r="G321" s="54" t="n">
        <v>40</v>
      </c>
      <c r="H321" s="54" t="n">
        <v>0</v>
      </c>
      <c r="I321" s="54" t="n">
        <v>0</v>
      </c>
      <c r="J321" s="53" t="n"/>
      <c r="K321" s="55">
        <f>IF(COUNTA(A321:I321)=0,"",IF(F321="",IFERROR(INDEX(eq_dur,MATCH(B321,eq_code,0)),""),F321))</f>
        <v>480.0</v>
      </c>
      <c r="L321" s="55">
        <f>IF(ISNUMBER(K321),N(IFERROR(INDEX(eq_pause,MATCH(B321,eq_code,0)),0))+SUMIFS(st_min,st_date,A321,st_eq,B321,st_po,C321,st_type,"Planifié"),"")</f>
        <v>30.0</v>
      </c>
      <c r="M321" s="55">
        <f>IF(ISNUMBER(K321),K321-L321,"")</f>
        <v>450.0</v>
      </c>
      <c r="N321" s="55">
        <f>IF(ISNUMBER(K321),SUMIFS(st_min,st_date,A321,st_eq,B321,st_po,C321,st_type,"Non planifié"),"")</f>
        <v>8.0</v>
      </c>
      <c r="O321" s="55">
        <f>IF(ISNUMBER(K321),M321-N321,"")</f>
        <v>442.0</v>
      </c>
      <c r="P321" s="55">
        <f>IF(COUNTA(A321:I321)=0,"",N(G321)+N(H321)+N(I321))</f>
        <v>40.0</v>
      </c>
      <c r="Q321" s="56">
        <f>IF(COUNTA(A321:I321)=0,"",IF(N(IFERROR(INDEX(art_rate,MATCH(E321,art_ref,0)),0))&gt;0,N(IFERROR(INDEX(art_rate,MATCH(E321,art_ref,0)),0)),N(IFERROR(INDEX(po_rate,MATCH(C321,po_code,0)),0))))</f>
        <v>6.0</v>
      </c>
      <c r="R321" s="55">
        <f>IF(AC321=1,P321*60/Q321,"")</f>
        <v>400.0</v>
      </c>
      <c r="S321" s="55">
        <f>IF(AC321=1,N(G321)*60/Q321,"")</f>
        <v>400.0</v>
      </c>
      <c r="T321" s="57">
        <f>IF(AC321=1,O321/M321,"")</f>
        <v>0.982222222222222</v>
      </c>
      <c r="U321" s="57">
        <f>IF(AC321=1,IF(O321&gt;0,R321/O321,""),"")</f>
        <v>0.904977375565611</v>
      </c>
      <c r="V321" s="57">
        <f>IF(AC321=1,IF(P321&gt;0,N(G321)/P321,""),"")</f>
        <v>1.0</v>
      </c>
      <c r="W321" s="57">
        <f>IF(AC321=1,S321/M321,"")</f>
        <v>0.888888888888889</v>
      </c>
      <c r="X321" s="57">
        <f>IF(AC321=1,S321/K321,"")</f>
        <v>0.833333333333333</v>
      </c>
      <c r="Y321" s="58" t="str">
        <f>IF(W321="","",IF(W321&gt;=p_target,"Bon",IF(W321&gt;=p_alert,"À surveiller","Faible")))</f>
        <v>Bon</v>
      </c>
      <c r="Z321" s="58" t="str">
        <f>IF(W321="","",IF(MIN(IF(T321="",1,T321),IF(U321="",1,U321),IF(V321="",1,V321))&gt;=1,"Aucune",IF(IF(T321="",1,T321)&lt;=MIN(IF(U321="",1,U321),IF(V321="",1,V321)),"Disponibilité",IF(IF(U321="",1,U321)&lt;=IF(V321="",1,V321),"Performance","Qualité"))))</f>
        <v>Performance</v>
      </c>
      <c r="AA321" s="59">
        <f>IF(AC321=1,N(H321)*N(IFERROR(INDEX(art_cost,MATCH(E321,art_ref,0)),0)),"")</f>
        <v>0.0</v>
      </c>
      <c r="AB321" s="58" t="str">
        <f>IF(COUNTA(A321:I321)=0,"",IF(N(A321)&lt;=0,"Date manquante ou invalide",IF(B321="","Équipe manquante",IF(ISNA(MATCH(B321,eq_code,0)),"Équipe inconnue",IF(INDEX(eq_check,MATCH(B321,eq_code,0))&lt;&gt;"OK","Équipe à corriger dans Paramètres",IF(C321="","Poste manquant",IF(ISNA(MATCH(C321,po_code,0)),"Poste inconnu",IF(AND(E321&lt;&gt;"",ISNA(MATCH(E321,art_ref,0))),"Article inconnu",IF(IF(E321="",FALSE,INDEX(art_check,MATCH(E321,art_ref,0))&lt;&gt;"OK"),"Article à corriger (feuille Articles)",IF(COUNTIFS(sj_date,A321,sj_eq,B321,sj_po,C321)&gt;1,"Ligne en double (même jour, équipe et poste)",IF(OR(NOT(ISNUMBER(K321)),N(K321)&lt;=0,N(K321)&gt;1440),"Temps d'ouverture invalide",IF(OR(AND(G321&lt;&gt;"",NOT(ISNUMBER(G321))),N(G321)&lt;0,N(G321)&lt;&gt;INT(N(G321)),AND(H321&lt;&gt;"",NOT(ISNUMBER(H321))),N(H321)&lt;0,N(H321)&lt;&gt;INT(N(H321)),AND(I321&lt;&gt;"",NOT(ISNUMBER(I321))),N(I321)&lt;0,N(I321)&lt;&gt;INT(N(I321))),"Quantité invalide",IF(Q321&lt;=0,"Cadence manquante (poste ou article)",IF(M321&lt;=0,"Arrêts planifiés supérieurs au temps d'ouverture",IF(O321&lt;0,"Arrêts supérieurs au temps requis",IF(AND(P321&gt;0,O321=0),"Pièces déclarées sans temps de marche",IF(AND(P321=0,O321&gt;0),"Aucune pièce déclarée",IF(P321*60/Q321&gt;O321+0.001,"Cadence dépassée : vérifiez la cadence","OK"))))))))))))))))))</f>
        <v>OK</v>
      </c>
      <c r="AC321">
        <f>IF(OR(AB321="OK",AB321="Aucune pièce déclarée",AB321="Cadence dépassée : vérifiez la cadence"),1,0)</f>
        <v>1.0</v>
      </c>
      <c r="AD321">
        <f>IF(AND(AC321=1,A321&gt;=p_from,A321&lt;=p_to),1,0)</f>
        <v>1.0</v>
      </c>
      <c r="AE321">
        <f>IF(AD321=1,IF(COUNTIFS($A$6:A321,A321,$AD$6:AD321,1)=1,1,0),0)</f>
        <v>0.0</v>
      </c>
      <c r="AF321" t="str">
        <f>IF(AE321=1,COUNTIFS(sj_first,1,sj_date,"&lt;"&amp;A321)+1,"")</f>
        <v/>
      </c>
      <c r="AG321" t="str">
        <f>IF(AND(AD321=1,N(W321)&lt;p_alert),ROUND(W321,4),"")</f>
        <v/>
      </c>
      <c r="AH321" t="str">
        <f>IF(AG321="","",COUNTIF(sj_akey,"&lt;"&amp;AG321)+COUNTIF($AG$6:AG321,AG321))</f>
        <v/>
      </c>
    </row>
    <row r="322">
      <c r="A322" s="51" t="n">
        <v>46329</v>
      </c>
      <c r="B322" s="52" t="inlineStr">
        <is>
          <t>Matin</t>
        </is>
      </c>
      <c r="C322" s="52" t="inlineStr">
        <is>
          <t>PRESSE</t>
        </is>
      </c>
      <c r="D322" s="53" t="inlineStr">
        <is>
          <t>OF-2611-203</t>
        </is>
      </c>
      <c r="E322" s="53" t="inlineStr">
        <is>
          <t>PAT-FIX-10</t>
        </is>
      </c>
      <c r="F322" s="54" t="n"/>
      <c r="G322" s="54" t="n">
        <v>3180</v>
      </c>
      <c r="H322" s="54" t="n">
        <v>12</v>
      </c>
      <c r="I322" s="54" t="n">
        <v>0</v>
      </c>
      <c r="J322" s="53" t="inlineStr">
        <is>
          <t>Nouvel outil, cadence à mettre à jour</t>
        </is>
      </c>
      <c r="K322" s="55">
        <f>IF(COUNTA(A322:I322)=0,"",IF(F322="",IFERROR(INDEX(eq_dur,MATCH(B322,eq_code,0)),""),F322))</f>
        <v>480.0</v>
      </c>
      <c r="L322" s="55">
        <f>IF(ISNUMBER(K322),N(IFERROR(INDEX(eq_pause,MATCH(B322,eq_code,0)),0))+SUMIFS(st_min,st_date,A322,st_eq,B322,st_po,C322,st_type,"Planifié"),"")</f>
        <v>30.0</v>
      </c>
      <c r="M322" s="55">
        <f>IF(ISNUMBER(K322),K322-L322,"")</f>
        <v>450.0</v>
      </c>
      <c r="N322" s="55">
        <f>IF(ISNUMBER(K322),SUMIFS(st_min,st_date,A322,st_eq,B322,st_po,C322,st_type,"Non planifié"),"")</f>
        <v>64.0</v>
      </c>
      <c r="O322" s="55">
        <f>IF(ISNUMBER(K322),M322-N322,"")</f>
        <v>386.0</v>
      </c>
      <c r="P322" s="55">
        <f>IF(COUNTA(A322:I322)=0,"",N(G322)+N(H322)+N(I322))</f>
        <v>3192.0</v>
      </c>
      <c r="Q322" s="56">
        <f>IF(COUNTA(A322:I322)=0,"",IF(N(IFERROR(INDEX(art_rate,MATCH(E322,art_ref,0)),0))&gt;0,N(IFERROR(INDEX(art_rate,MATCH(E322,art_ref,0)),0)),N(IFERROR(INDEX(po_rate,MATCH(C322,po_code,0)),0))))</f>
        <v>420.0</v>
      </c>
      <c r="R322" s="55">
        <f>IF(AC322=1,P322*60/Q322,"")</f>
        <v>456.0</v>
      </c>
      <c r="S322" s="55">
        <f>IF(AC322=1,N(G322)*60/Q322,"")</f>
        <v>454.285714285714</v>
      </c>
      <c r="T322" s="57">
        <f>IF(AC322=1,O322/M322,"")</f>
        <v>0.857777777777778</v>
      </c>
      <c r="U322" s="57">
        <f>IF(AC322=1,IF(O322&gt;0,R322/O322,""),"")</f>
        <v>1.18134715025907</v>
      </c>
      <c r="V322" s="57">
        <f>IF(AC322=1,IF(P322&gt;0,N(G322)/P322,""),"")</f>
        <v>0.996240601503759</v>
      </c>
      <c r="W322" s="57">
        <f>IF(AC322=1,S322/M322,"")</f>
        <v>1.00952380952381</v>
      </c>
      <c r="X322" s="57">
        <f>IF(AC322=1,S322/K322,"")</f>
        <v>0.946428571428571</v>
      </c>
      <c r="Y322" s="58" t="str">
        <f>IF(W322="","",IF(W322&gt;=p_target,"Bon",IF(W322&gt;=p_alert,"À surveiller","Faible")))</f>
        <v>Bon</v>
      </c>
      <c r="Z322" s="58" t="str">
        <f>IF(W322="","",IF(MIN(IF(T322="",1,T322),IF(U322="",1,U322),IF(V322="",1,V322))&gt;=1,"Aucune",IF(IF(T322="",1,T322)&lt;=MIN(IF(U322="",1,U322),IF(V322="",1,V322)),"Disponibilité",IF(IF(U322="",1,U322)&lt;=IF(V322="",1,V322),"Performance","Qualité"))))</f>
        <v>Disponibilité</v>
      </c>
      <c r="AA322" s="59">
        <f>IF(AC322=1,N(H322)*N(IFERROR(INDEX(art_cost,MATCH(E322,art_ref,0)),0)),"")</f>
        <v>50.4</v>
      </c>
      <c r="AB322" s="58" t="str">
        <f>IF(COUNTA(A322:I322)=0,"",IF(N(A322)&lt;=0,"Date manquante ou invalide",IF(B322="","Équipe manquante",IF(ISNA(MATCH(B322,eq_code,0)),"Équipe inconnue",IF(INDEX(eq_check,MATCH(B322,eq_code,0))&lt;&gt;"OK","Équipe à corriger dans Paramètres",IF(C322="","Poste manquant",IF(ISNA(MATCH(C322,po_code,0)),"Poste inconnu",IF(AND(E322&lt;&gt;"",ISNA(MATCH(E322,art_ref,0))),"Article inconnu",IF(IF(E322="",FALSE,INDEX(art_check,MATCH(E322,art_ref,0))&lt;&gt;"OK"),"Article à corriger (feuille Articles)",IF(COUNTIFS(sj_date,A322,sj_eq,B322,sj_po,C322)&gt;1,"Ligne en double (même jour, équipe et poste)",IF(OR(NOT(ISNUMBER(K322)),N(K322)&lt;=0,N(K322)&gt;1440),"Temps d'ouverture invalide",IF(OR(AND(G322&lt;&gt;"",NOT(ISNUMBER(G322))),N(G322)&lt;0,N(G322)&lt;&gt;INT(N(G322)),AND(H322&lt;&gt;"",NOT(ISNUMBER(H322))),N(H322)&lt;0,N(H322)&lt;&gt;INT(N(H322)),AND(I322&lt;&gt;"",NOT(ISNUMBER(I322))),N(I322)&lt;0,N(I322)&lt;&gt;INT(N(I322))),"Quantité invalide",IF(Q322&lt;=0,"Cadence manquante (poste ou article)",IF(M322&lt;=0,"Arrêts planifiés supérieurs au temps d'ouverture",IF(O322&lt;0,"Arrêts supérieurs au temps requis",IF(AND(P322&gt;0,O322=0),"Pièces déclarées sans temps de marche",IF(AND(P322=0,O322&gt;0),"Aucune pièce déclarée",IF(P322*60/Q322&gt;O322+0.001,"Cadence dépassée : vérifiez la cadence","OK"))))))))))))))))))</f>
        <v>Cadence dépassée : vérifiez la cadence</v>
      </c>
      <c r="AC322">
        <f>IF(OR(AB322="OK",AB322="Aucune pièce déclarée",AB322="Cadence dépassée : vérifiez la cadence"),1,0)</f>
        <v>1.0</v>
      </c>
      <c r="AD322">
        <f>IF(AND(AC322=1,A322&gt;=p_from,A322&lt;=p_to),1,0)</f>
        <v>1.0</v>
      </c>
      <c r="AE322">
        <f>IF(AD322=1,IF(COUNTIFS($A$6:A322,A322,$AD$6:AD322,1)=1,1,0),0)</f>
        <v>0.0</v>
      </c>
      <c r="AF322" t="str">
        <f>IF(AE322=1,COUNTIFS(sj_first,1,sj_date,"&lt;"&amp;A322)+1,"")</f>
        <v/>
      </c>
      <c r="AG322" t="str">
        <f>IF(AND(AD322=1,N(W322)&lt;p_alert),ROUND(W322,4),"")</f>
        <v/>
      </c>
      <c r="AH322" t="str">
        <f>IF(AG322="","",COUNTIF(sj_akey,"&lt;"&amp;AG322)+COUNTIF($AG$6:AG322,AG322))</f>
        <v/>
      </c>
    </row>
    <row r="323">
      <c r="A323" s="51" t="n">
        <v>46329</v>
      </c>
      <c r="B323" s="52" t="inlineStr">
        <is>
          <t>Journée</t>
        </is>
      </c>
      <c r="C323" s="52" t="inlineStr">
        <is>
          <t>PLIE</t>
        </is>
      </c>
      <c r="D323" s="53" t="inlineStr">
        <is>
          <t>OF-2610-180</t>
        </is>
      </c>
      <c r="E323" s="53" t="inlineStr">
        <is>
          <t>GAR-SUP-02</t>
        </is>
      </c>
      <c r="F323" s="54" t="n"/>
      <c r="G323" s="54" t="n">
        <v>494</v>
      </c>
      <c r="H323" s="54" t="n">
        <v>11</v>
      </c>
      <c r="I323" s="54" t="n">
        <v>3</v>
      </c>
      <c r="J323" s="53" t="n"/>
      <c r="K323" s="55">
        <f>IF(COUNTA(A323:I323)=0,"",IF(F323="",IFERROR(INDEX(eq_dur,MATCH(B323,eq_code,0)),""),F323))</f>
        <v>540.0</v>
      </c>
      <c r="L323" s="55">
        <f>IF(ISNUMBER(K323),N(IFERROR(INDEX(eq_pause,MATCH(B323,eq_code,0)),0))+SUMIFS(st_min,st_date,A323,st_eq,B323,st_po,C323,st_type,"Planifié"),"")</f>
        <v>60.0</v>
      </c>
      <c r="M323" s="55">
        <f>IF(ISNUMBER(K323),K323-L323,"")</f>
        <v>480.0</v>
      </c>
      <c r="N323" s="55">
        <f>IF(ISNUMBER(K323),SUMIFS(st_min,st_date,A323,st_eq,B323,st_po,C323,st_type,"Non planifié"),"")</f>
        <v>152.0</v>
      </c>
      <c r="O323" s="55">
        <f>IF(ISNUMBER(K323),M323-N323,"")</f>
        <v>328.0</v>
      </c>
      <c r="P323" s="55">
        <f>IF(COUNTA(A323:I323)=0,"",N(G323)+N(H323)+N(I323))</f>
        <v>508.0</v>
      </c>
      <c r="Q323" s="56">
        <f>IF(COUNTA(A323:I323)=0,"",IF(N(IFERROR(INDEX(art_rate,MATCH(E323,art_ref,0)),0))&gt;0,N(IFERROR(INDEX(art_rate,MATCH(E323,art_ref,0)),0)),N(IFERROR(INDEX(po_rate,MATCH(C323,po_code,0)),0))))</f>
        <v>110.0</v>
      </c>
      <c r="R323" s="55">
        <f>IF(AC323=1,P323*60/Q323,"")</f>
        <v>277.090909090909</v>
      </c>
      <c r="S323" s="55">
        <f>IF(AC323=1,N(G323)*60/Q323,"")</f>
        <v>269.454545454545</v>
      </c>
      <c r="T323" s="57">
        <f>IF(AC323=1,O323/M323,"")</f>
        <v>0.683333333333333</v>
      </c>
      <c r="U323" s="57">
        <f>IF(AC323=1,IF(O323&gt;0,R323/O323,""),"")</f>
        <v>0.844789356984479</v>
      </c>
      <c r="V323" s="57">
        <f>IF(AC323=1,IF(P323&gt;0,N(G323)/P323,""),"")</f>
        <v>0.97244094488189</v>
      </c>
      <c r="W323" s="57">
        <f>IF(AC323=1,S323/M323,"")</f>
        <v>0.561363636363636</v>
      </c>
      <c r="X323" s="57">
        <f>IF(AC323=1,S323/K323,"")</f>
        <v>0.498989898989899</v>
      </c>
      <c r="Y323" s="58" t="str">
        <f>IF(W323="","",IF(W323&gt;=p_target,"Bon",IF(W323&gt;=p_alert,"À surveiller","Faible")))</f>
        <v>À surveiller</v>
      </c>
      <c r="Z323" s="58" t="str">
        <f>IF(W323="","",IF(MIN(IF(T323="",1,T323),IF(U323="",1,U323),IF(V323="",1,V323))&gt;=1,"Aucune",IF(IF(T323="",1,T323)&lt;=MIN(IF(U323="",1,U323),IF(V323="",1,V323)),"Disponibilité",IF(IF(U323="",1,U323)&lt;=IF(V323="",1,V323),"Performance","Qualité"))))</f>
        <v>Disponibilité</v>
      </c>
      <c r="AA323" s="59">
        <f>IF(AC323=1,N(H323)*N(IFERROR(INDEX(art_cost,MATCH(E323,art_ref,0)),0)),"")</f>
        <v>236.5</v>
      </c>
      <c r="AB323" s="58" t="str">
        <f>IF(COUNTA(A323:I323)=0,"",IF(N(A323)&lt;=0,"Date manquante ou invalide",IF(B323="","Équipe manquante",IF(ISNA(MATCH(B323,eq_code,0)),"Équipe inconnue",IF(INDEX(eq_check,MATCH(B323,eq_code,0))&lt;&gt;"OK","Équipe à corriger dans Paramètres",IF(C323="","Poste manquant",IF(ISNA(MATCH(C323,po_code,0)),"Poste inconnu",IF(AND(E323&lt;&gt;"",ISNA(MATCH(E323,art_ref,0))),"Article inconnu",IF(IF(E323="",FALSE,INDEX(art_check,MATCH(E323,art_ref,0))&lt;&gt;"OK"),"Article à corriger (feuille Articles)",IF(COUNTIFS(sj_date,A323,sj_eq,B323,sj_po,C323)&gt;1,"Ligne en double (même jour, équipe et poste)",IF(OR(NOT(ISNUMBER(K323)),N(K323)&lt;=0,N(K323)&gt;1440),"Temps d'ouverture invalide",IF(OR(AND(G323&lt;&gt;"",NOT(ISNUMBER(G323))),N(G323)&lt;0,N(G323)&lt;&gt;INT(N(G323)),AND(H323&lt;&gt;"",NOT(ISNUMBER(H323))),N(H323)&lt;0,N(H323)&lt;&gt;INT(N(H323)),AND(I323&lt;&gt;"",NOT(ISNUMBER(I323))),N(I323)&lt;0,N(I323)&lt;&gt;INT(N(I323))),"Quantité invalide",IF(Q323&lt;=0,"Cadence manquante (poste ou article)",IF(M323&lt;=0,"Arrêts planifiés supérieurs au temps d'ouverture",IF(O323&lt;0,"Arrêts supérieurs au temps requis",IF(AND(P323&gt;0,O323=0),"Pièces déclarées sans temps de marche",IF(AND(P323=0,O323&gt;0),"Aucune pièce déclarée",IF(P323*60/Q323&gt;O323+0.001,"Cadence dépassée : vérifiez la cadence","OK"))))))))))))))))))</f>
        <v>OK</v>
      </c>
      <c r="AC323">
        <f>IF(OR(AB323="OK",AB323="Aucune pièce déclarée",AB323="Cadence dépassée : vérifiez la cadence"),1,0)</f>
        <v>1.0</v>
      </c>
      <c r="AD323">
        <f>IF(AND(AC323=1,A323&gt;=p_from,A323&lt;=p_to),1,0)</f>
        <v>1.0</v>
      </c>
      <c r="AE323">
        <f>IF(AD323=1,IF(COUNTIFS($A$6:A323,A323,$AD$6:AD323,1)=1,1,0),0)</f>
        <v>0.0</v>
      </c>
      <c r="AF323" t="str">
        <f>IF(AE323=1,COUNTIFS(sj_first,1,sj_date,"&lt;"&amp;A323)+1,"")</f>
        <v/>
      </c>
      <c r="AG323" t="str">
        <f>IF(AND(AD323=1,N(W323)&lt;p_alert),ROUND(W323,4),"")</f>
        <v/>
      </c>
      <c r="AH323" t="str">
        <f>IF(AG323="","",COUNTIF(sj_akey,"&lt;"&amp;AG323)+COUNTIF($AG$6:AG323,AG323))</f>
        <v/>
      </c>
    </row>
    <row r="324">
      <c r="A324" s="51" t="n">
        <v>46329</v>
      </c>
      <c r="B324" s="52" t="inlineStr">
        <is>
          <t>Matin</t>
        </is>
      </c>
      <c r="C324" s="52" t="inlineStr">
        <is>
          <t>SOUD</t>
        </is>
      </c>
      <c r="D324" s="53" t="inlineStr">
        <is>
          <t>OF-2610-197</t>
        </is>
      </c>
      <c r="E324" s="53" t="inlineStr">
        <is>
          <t>CHA-REM-01</t>
        </is>
      </c>
      <c r="F324" s="54" t="n"/>
      <c r="G324" s="54" t="n">
        <v>22</v>
      </c>
      <c r="H324" s="54" t="n">
        <v>0</v>
      </c>
      <c r="I324" s="54" t="n">
        <v>0</v>
      </c>
      <c r="J324" s="53" t="n"/>
      <c r="K324" s="55">
        <f>IF(COUNTA(A324:I324)=0,"",IF(F324="",IFERROR(INDEX(eq_dur,MATCH(B324,eq_code,0)),""),F324))</f>
        <v>480.0</v>
      </c>
      <c r="L324" s="55">
        <f>IF(ISNUMBER(K324),N(IFERROR(INDEX(eq_pause,MATCH(B324,eq_code,0)),0))+SUMIFS(st_min,st_date,A324,st_eq,B324,st_po,C324,st_type,"Planifié"),"")</f>
        <v>30.0</v>
      </c>
      <c r="M324" s="55">
        <f>IF(ISNUMBER(K324),K324-L324,"")</f>
        <v>450.0</v>
      </c>
      <c r="N324" s="55">
        <f>IF(ISNUMBER(K324),SUMIFS(st_min,st_date,A324,st_eq,B324,st_po,C324,st_type,"Non planifié"),"")</f>
        <v>56.0</v>
      </c>
      <c r="O324" s="55">
        <f>IF(ISNUMBER(K324),M324-N324,"")</f>
        <v>394.0</v>
      </c>
      <c r="P324" s="55">
        <f>IF(COUNTA(A324:I324)=0,"",N(G324)+N(H324)+N(I324))</f>
        <v>22.0</v>
      </c>
      <c r="Q324" s="56">
        <f>IF(COUNTA(A324:I324)=0,"",IF(N(IFERROR(INDEX(art_rate,MATCH(E324,art_ref,0)),0))&gt;0,N(IFERROR(INDEX(art_rate,MATCH(E324,art_ref,0)),0)),N(IFERROR(INDEX(po_rate,MATCH(C324,po_code,0)),0))))</f>
        <v>4.0</v>
      </c>
      <c r="R324" s="55">
        <f>IF(AC324=1,P324*60/Q324,"")</f>
        <v>330.0</v>
      </c>
      <c r="S324" s="55">
        <f>IF(AC324=1,N(G324)*60/Q324,"")</f>
        <v>330.0</v>
      </c>
      <c r="T324" s="57">
        <f>IF(AC324=1,O324/M324,"")</f>
        <v>0.875555555555556</v>
      </c>
      <c r="U324" s="57">
        <f>IF(AC324=1,IF(O324&gt;0,R324/O324,""),"")</f>
        <v>0.83756345177665</v>
      </c>
      <c r="V324" s="57">
        <f>IF(AC324=1,IF(P324&gt;0,N(G324)/P324,""),"")</f>
        <v>1.0</v>
      </c>
      <c r="W324" s="57">
        <f>IF(AC324=1,S324/M324,"")</f>
        <v>0.733333333333333</v>
      </c>
      <c r="X324" s="57">
        <f>IF(AC324=1,S324/K324,"")</f>
        <v>0.6875</v>
      </c>
      <c r="Y324" s="58" t="str">
        <f>IF(W324="","",IF(W324&gt;=p_target,"Bon",IF(W324&gt;=p_alert,"À surveiller","Faible")))</f>
        <v>À surveiller</v>
      </c>
      <c r="Z324" s="58" t="str">
        <f>IF(W324="","",IF(MIN(IF(T324="",1,T324),IF(U324="",1,U324),IF(V324="",1,V324))&gt;=1,"Aucune",IF(IF(T324="",1,T324)&lt;=MIN(IF(U324="",1,U324),IF(V324="",1,V324)),"Disponibilité",IF(IF(U324="",1,U324)&lt;=IF(V324="",1,V324),"Performance","Qualité"))))</f>
        <v>Performance</v>
      </c>
      <c r="AA324" s="59">
        <f>IF(AC324=1,N(H324)*N(IFERROR(INDEX(art_cost,MATCH(E324,art_ref,0)),0)),"")</f>
        <v>0.0</v>
      </c>
      <c r="AB324" s="58" t="str">
        <f>IF(COUNTA(A324:I324)=0,"",IF(N(A324)&lt;=0,"Date manquante ou invalide",IF(B324="","Équipe manquante",IF(ISNA(MATCH(B324,eq_code,0)),"Équipe inconnue",IF(INDEX(eq_check,MATCH(B324,eq_code,0))&lt;&gt;"OK","Équipe à corriger dans Paramètres",IF(C324="","Poste manquant",IF(ISNA(MATCH(C324,po_code,0)),"Poste inconnu",IF(AND(E324&lt;&gt;"",ISNA(MATCH(E324,art_ref,0))),"Article inconnu",IF(IF(E324="",FALSE,INDEX(art_check,MATCH(E324,art_ref,0))&lt;&gt;"OK"),"Article à corriger (feuille Articles)",IF(COUNTIFS(sj_date,A324,sj_eq,B324,sj_po,C324)&gt;1,"Ligne en double (même jour, équipe et poste)",IF(OR(NOT(ISNUMBER(K324)),N(K324)&lt;=0,N(K324)&gt;1440),"Temps d'ouverture invalide",IF(OR(AND(G324&lt;&gt;"",NOT(ISNUMBER(G324))),N(G324)&lt;0,N(G324)&lt;&gt;INT(N(G324)),AND(H324&lt;&gt;"",NOT(ISNUMBER(H324))),N(H324)&lt;0,N(H324)&lt;&gt;INT(N(H324)),AND(I324&lt;&gt;"",NOT(ISNUMBER(I324))),N(I324)&lt;0,N(I324)&lt;&gt;INT(N(I324))),"Quantité invalide",IF(Q324&lt;=0,"Cadence manquante (poste ou article)",IF(M324&lt;=0,"Arrêts planifiés supérieurs au temps d'ouverture",IF(O324&lt;0,"Arrêts supérieurs au temps requis",IF(AND(P324&gt;0,O324=0),"Pièces déclarées sans temps de marche",IF(AND(P324=0,O324&gt;0),"Aucune pièce déclarée",IF(P324*60/Q324&gt;O324+0.001,"Cadence dépassée : vérifiez la cadence","OK"))))))))))))))))))</f>
        <v>OK</v>
      </c>
      <c r="AC324">
        <f>IF(OR(AB324="OK",AB324="Aucune pièce déclarée",AB324="Cadence dépassée : vérifiez la cadence"),1,0)</f>
        <v>1.0</v>
      </c>
      <c r="AD324">
        <f>IF(AND(AC324=1,A324&gt;=p_from,A324&lt;=p_to),1,0)</f>
        <v>1.0</v>
      </c>
      <c r="AE324">
        <f>IF(AD324=1,IF(COUNTIFS($A$6:A324,A324,$AD$6:AD324,1)=1,1,0),0)</f>
        <v>0.0</v>
      </c>
      <c r="AF324" t="str">
        <f>IF(AE324=1,COUNTIFS(sj_first,1,sj_date,"&lt;"&amp;A324)+1,"")</f>
        <v/>
      </c>
      <c r="AG324" t="str">
        <f>IF(AND(AD324=1,N(W324)&lt;p_alert),ROUND(W324,4),"")</f>
        <v/>
      </c>
      <c r="AH324" t="str">
        <f>IF(AG324="","",COUNTIF(sj_akey,"&lt;"&amp;AG324)+COUNTIF($AG$6:AG324,AG324))</f>
        <v/>
      </c>
    </row>
    <row r="325">
      <c r="A325" s="51" t="n">
        <v>46329</v>
      </c>
      <c r="B325" s="52" t="inlineStr">
        <is>
          <t>Après-midi</t>
        </is>
      </c>
      <c r="C325" s="52" t="inlineStr">
        <is>
          <t>SOUD</t>
        </is>
      </c>
      <c r="D325" s="53" t="inlineStr">
        <is>
          <t>OF-2610-193</t>
        </is>
      </c>
      <c r="E325" s="53" t="inlineStr">
        <is>
          <t>BRA-SUS-02</t>
        </is>
      </c>
      <c r="F325" s="54" t="n"/>
      <c r="G325" s="54" t="n">
        <v>91</v>
      </c>
      <c r="H325" s="54" t="n">
        <v>1</v>
      </c>
      <c r="I325" s="54" t="n">
        <v>0</v>
      </c>
      <c r="J325" s="53" t="n"/>
      <c r="K325" s="55">
        <f>IF(COUNTA(A325:I325)=0,"",IF(F325="",IFERROR(INDEX(eq_dur,MATCH(B325,eq_code,0)),""),F325))</f>
        <v>480.0</v>
      </c>
      <c r="L325" s="55">
        <f>IF(ISNUMBER(K325),N(IFERROR(INDEX(eq_pause,MATCH(B325,eq_code,0)),0))+SUMIFS(st_min,st_date,A325,st_eq,B325,st_po,C325,st_type,"Planifié"),"")</f>
        <v>30.0</v>
      </c>
      <c r="M325" s="55">
        <f>IF(ISNUMBER(K325),K325-L325,"")</f>
        <v>450.0</v>
      </c>
      <c r="N325" s="55">
        <f>IF(ISNUMBER(K325),SUMIFS(st_min,st_date,A325,st_eq,B325,st_po,C325,st_type,"Non planifié"),"")</f>
        <v>76.0</v>
      </c>
      <c r="O325" s="55">
        <f>IF(ISNUMBER(K325),M325-N325,"")</f>
        <v>374.0</v>
      </c>
      <c r="P325" s="55">
        <f>IF(COUNTA(A325:I325)=0,"",N(G325)+N(H325)+N(I325))</f>
        <v>92.0</v>
      </c>
      <c r="Q325" s="56">
        <f>IF(COUNTA(A325:I325)=0,"",IF(N(IFERROR(INDEX(art_rate,MATCH(E325,art_ref,0)),0))&gt;0,N(IFERROR(INDEX(art_rate,MATCH(E325,art_ref,0)),0)),N(IFERROR(INDEX(po_rate,MATCH(C325,po_code,0)),0))))</f>
        <v>20.0</v>
      </c>
      <c r="R325" s="55">
        <f>IF(AC325=1,P325*60/Q325,"")</f>
        <v>276.0</v>
      </c>
      <c r="S325" s="55">
        <f>IF(AC325=1,N(G325)*60/Q325,"")</f>
        <v>273.0</v>
      </c>
      <c r="T325" s="57">
        <f>IF(AC325=1,O325/M325,"")</f>
        <v>0.831111111111111</v>
      </c>
      <c r="U325" s="57">
        <f>IF(AC325=1,IF(O325&gt;0,R325/O325,""),"")</f>
        <v>0.737967914438503</v>
      </c>
      <c r="V325" s="57">
        <f>IF(AC325=1,IF(P325&gt;0,N(G325)/P325,""),"")</f>
        <v>0.989130434782609</v>
      </c>
      <c r="W325" s="57">
        <f>IF(AC325=1,S325/M325,"")</f>
        <v>0.606666666666667</v>
      </c>
      <c r="X325" s="57">
        <f>IF(AC325=1,S325/K325,"")</f>
        <v>0.56875</v>
      </c>
      <c r="Y325" s="58" t="str">
        <f>IF(W325="","",IF(W325&gt;=p_target,"Bon",IF(W325&gt;=p_alert,"À surveiller","Faible")))</f>
        <v>À surveiller</v>
      </c>
      <c r="Z325" s="58" t="str">
        <f>IF(W325="","",IF(MIN(IF(T325="",1,T325),IF(U325="",1,U325),IF(V325="",1,V325))&gt;=1,"Aucune",IF(IF(T325="",1,T325)&lt;=MIN(IF(U325="",1,U325),IF(V325="",1,V325)),"Disponibilité",IF(IF(U325="",1,U325)&lt;=IF(V325="",1,V325),"Performance","Qualité"))))</f>
        <v>Performance</v>
      </c>
      <c r="AA325" s="59">
        <f>IF(AC325=1,N(H325)*N(IFERROR(INDEX(art_cost,MATCH(E325,art_ref,0)),0)),"")</f>
        <v>238.0</v>
      </c>
      <c r="AB325" s="58" t="str">
        <f>IF(COUNTA(A325:I325)=0,"",IF(N(A325)&lt;=0,"Date manquante ou invalide",IF(B325="","Équipe manquante",IF(ISNA(MATCH(B325,eq_code,0)),"Équipe inconnue",IF(INDEX(eq_check,MATCH(B325,eq_code,0))&lt;&gt;"OK","Équipe à corriger dans Paramètres",IF(C325="","Poste manquant",IF(ISNA(MATCH(C325,po_code,0)),"Poste inconnu",IF(AND(E325&lt;&gt;"",ISNA(MATCH(E325,art_ref,0))),"Article inconnu",IF(IF(E325="",FALSE,INDEX(art_check,MATCH(E325,art_ref,0))&lt;&gt;"OK"),"Article à corriger (feuille Articles)",IF(COUNTIFS(sj_date,A325,sj_eq,B325,sj_po,C325)&gt;1,"Ligne en double (même jour, équipe et poste)",IF(OR(NOT(ISNUMBER(K325)),N(K325)&lt;=0,N(K325)&gt;1440),"Temps d'ouverture invalide",IF(OR(AND(G325&lt;&gt;"",NOT(ISNUMBER(G325))),N(G325)&lt;0,N(G325)&lt;&gt;INT(N(G325)),AND(H325&lt;&gt;"",NOT(ISNUMBER(H325))),N(H325)&lt;0,N(H325)&lt;&gt;INT(N(H325)),AND(I325&lt;&gt;"",NOT(ISNUMBER(I325))),N(I325)&lt;0,N(I325)&lt;&gt;INT(N(I325))),"Quantité invalide",IF(Q325&lt;=0,"Cadence manquante (poste ou article)",IF(M325&lt;=0,"Arrêts planifiés supérieurs au temps d'ouverture",IF(O325&lt;0,"Arrêts supérieurs au temps requis",IF(AND(P325&gt;0,O325=0),"Pièces déclarées sans temps de marche",IF(AND(P325=0,O325&gt;0),"Aucune pièce déclarée",IF(P325*60/Q325&gt;O325+0.001,"Cadence dépassée : vérifiez la cadence","OK"))))))))))))))))))</f>
        <v>OK</v>
      </c>
      <c r="AC325">
        <f>IF(OR(AB325="OK",AB325="Aucune pièce déclarée",AB325="Cadence dépassée : vérifiez la cadence"),1,0)</f>
        <v>1.0</v>
      </c>
      <c r="AD325">
        <f>IF(AND(AC325=1,A325&gt;=p_from,A325&lt;=p_to),1,0)</f>
        <v>1.0</v>
      </c>
      <c r="AE325">
        <f>IF(AD325=1,IF(COUNTIFS($A$6:A325,A325,$AD$6:AD325,1)=1,1,0),0)</f>
        <v>0.0</v>
      </c>
      <c r="AF325" t="str">
        <f>IF(AE325=1,COUNTIFS(sj_first,1,sj_date,"&lt;"&amp;A325)+1,"")</f>
        <v/>
      </c>
      <c r="AG325" t="str">
        <f>IF(AND(AD325=1,N(W325)&lt;p_alert),ROUND(W325,4),"")</f>
        <v/>
      </c>
      <c r="AH325" t="str">
        <f>IF(AG325="","",COUNTIF(sj_akey,"&lt;"&amp;AG325)+COUNTIF($AG$6:AG325,AG325))</f>
        <v/>
      </c>
    </row>
    <row r="326">
      <c r="A326" s="51" t="n">
        <v>46330</v>
      </c>
      <c r="B326" s="52" t="inlineStr">
        <is>
          <t>Matin</t>
        </is>
      </c>
      <c r="C326" s="52" t="inlineStr">
        <is>
          <t>TOUR1</t>
        </is>
      </c>
      <c r="D326" s="53" t="inlineStr">
        <is>
          <t>OF-2611-198</t>
        </is>
      </c>
      <c r="E326" s="53" t="inlineStr">
        <is>
          <t>AXE-R20</t>
        </is>
      </c>
      <c r="F326" s="54" t="n"/>
      <c r="G326" s="54" t="n">
        <v>154</v>
      </c>
      <c r="H326" s="54" t="n">
        <v>2</v>
      </c>
      <c r="I326" s="54" t="n">
        <v>0</v>
      </c>
      <c r="J326" s="53" t="n"/>
      <c r="K326" s="55">
        <f>IF(COUNTA(A326:I326)=0,"",IF(F326="",IFERROR(INDEX(eq_dur,MATCH(B326,eq_code,0)),""),F326))</f>
        <v>480.0</v>
      </c>
      <c r="L326" s="55">
        <f>IF(ISNUMBER(K326),N(IFERROR(INDEX(eq_pause,MATCH(B326,eq_code,0)),0))+SUMIFS(st_min,st_date,A326,st_eq,B326,st_po,C326,st_type,"Planifié"),"")</f>
        <v>30.0</v>
      </c>
      <c r="M326" s="55">
        <f>IF(ISNUMBER(K326),K326-L326,"")</f>
        <v>450.0</v>
      </c>
      <c r="N326" s="55">
        <f>IF(ISNUMBER(K326),SUMIFS(st_min,st_date,A326,st_eq,B326,st_po,C326,st_type,"Non planifié"),"")</f>
        <v>114.0</v>
      </c>
      <c r="O326" s="55">
        <f>IF(ISNUMBER(K326),M326-N326,"")</f>
        <v>336.0</v>
      </c>
      <c r="P326" s="55">
        <f>IF(COUNTA(A326:I326)=0,"",N(G326)+N(H326)+N(I326))</f>
        <v>156.0</v>
      </c>
      <c r="Q326" s="56">
        <f>IF(COUNTA(A326:I326)=0,"",IF(N(IFERROR(INDEX(art_rate,MATCH(E326,art_ref,0)),0))&gt;0,N(IFERROR(INDEX(art_rate,MATCH(E326,art_ref,0)),0)),N(IFERROR(INDEX(po_rate,MATCH(C326,po_code,0)),0))))</f>
        <v>30.0</v>
      </c>
      <c r="R326" s="55">
        <f>IF(AC326=1,P326*60/Q326,"")</f>
        <v>312.0</v>
      </c>
      <c r="S326" s="55">
        <f>IF(AC326=1,N(G326)*60/Q326,"")</f>
        <v>308.0</v>
      </c>
      <c r="T326" s="57">
        <f>IF(AC326=1,O326/M326,"")</f>
        <v>0.746666666666667</v>
      </c>
      <c r="U326" s="57">
        <f>IF(AC326=1,IF(O326&gt;0,R326/O326,""),"")</f>
        <v>0.928571428571429</v>
      </c>
      <c r="V326" s="57">
        <f>IF(AC326=1,IF(P326&gt;0,N(G326)/P326,""),"")</f>
        <v>0.987179487179487</v>
      </c>
      <c r="W326" s="57">
        <f>IF(AC326=1,S326/M326,"")</f>
        <v>0.684444444444444</v>
      </c>
      <c r="X326" s="57">
        <f>IF(AC326=1,S326/K326,"")</f>
        <v>0.641666666666667</v>
      </c>
      <c r="Y326" s="58" t="str">
        <f>IF(W326="","",IF(W326&gt;=p_target,"Bon",IF(W326&gt;=p_alert,"À surveiller","Faible")))</f>
        <v>À surveiller</v>
      </c>
      <c r="Z326" s="58" t="str">
        <f>IF(W326="","",IF(MIN(IF(T326="",1,T326),IF(U326="",1,U326),IF(V326="",1,V326))&gt;=1,"Aucune",IF(IF(T326="",1,T326)&lt;=MIN(IF(U326="",1,U326),IF(V326="",1,V326)),"Disponibilité",IF(IF(U326="",1,U326)&lt;=IF(V326="",1,V326),"Performance","Qualité"))))</f>
        <v>Disponibilité</v>
      </c>
      <c r="AA326" s="59">
        <f>IF(AC326=1,N(H326)*N(IFERROR(INDEX(art_cost,MATCH(E326,art_ref,0)),0)),"")</f>
        <v>77.0</v>
      </c>
      <c r="AB326" s="58" t="str">
        <f>IF(COUNTA(A326:I326)=0,"",IF(N(A326)&lt;=0,"Date manquante ou invalide",IF(B326="","Équipe manquante",IF(ISNA(MATCH(B326,eq_code,0)),"Équipe inconnue",IF(INDEX(eq_check,MATCH(B326,eq_code,0))&lt;&gt;"OK","Équipe à corriger dans Paramètres",IF(C326="","Poste manquant",IF(ISNA(MATCH(C326,po_code,0)),"Poste inconnu",IF(AND(E326&lt;&gt;"",ISNA(MATCH(E326,art_ref,0))),"Article inconnu",IF(IF(E326="",FALSE,INDEX(art_check,MATCH(E326,art_ref,0))&lt;&gt;"OK"),"Article à corriger (feuille Articles)",IF(COUNTIFS(sj_date,A326,sj_eq,B326,sj_po,C326)&gt;1,"Ligne en double (même jour, équipe et poste)",IF(OR(NOT(ISNUMBER(K326)),N(K326)&lt;=0,N(K326)&gt;1440),"Temps d'ouverture invalide",IF(OR(AND(G326&lt;&gt;"",NOT(ISNUMBER(G326))),N(G326)&lt;0,N(G326)&lt;&gt;INT(N(G326)),AND(H326&lt;&gt;"",NOT(ISNUMBER(H326))),N(H326)&lt;0,N(H326)&lt;&gt;INT(N(H326)),AND(I326&lt;&gt;"",NOT(ISNUMBER(I326))),N(I326)&lt;0,N(I326)&lt;&gt;INT(N(I326))),"Quantité invalide",IF(Q326&lt;=0,"Cadence manquante (poste ou article)",IF(M326&lt;=0,"Arrêts planifiés supérieurs au temps d'ouverture",IF(O326&lt;0,"Arrêts supérieurs au temps requis",IF(AND(P326&gt;0,O326=0),"Pièces déclarées sans temps de marche",IF(AND(P326=0,O326&gt;0),"Aucune pièce déclarée",IF(P326*60/Q326&gt;O326+0.001,"Cadence dépassée : vérifiez la cadence","OK"))))))))))))))))))</f>
        <v>OK</v>
      </c>
      <c r="AC326">
        <f>IF(OR(AB326="OK",AB326="Aucune pièce déclarée",AB326="Cadence dépassée : vérifiez la cadence"),1,0)</f>
        <v>1.0</v>
      </c>
      <c r="AD326">
        <f>IF(AND(AC326=1,A326&gt;=p_from,A326&lt;=p_to),1,0)</f>
        <v>1.0</v>
      </c>
      <c r="AE326">
        <f>IF(AD326=1,IF(COUNTIFS($A$6:A326,A326,$AD$6:AD326,1)=1,1,0),0)</f>
        <v>1.0</v>
      </c>
      <c r="AF326">
        <f>IF(AE326=1,COUNTIFS(sj_first,1,sj_date,"&lt;"&amp;A326)+1,"")</f>
        <v>33.0</v>
      </c>
      <c r="AG326" t="str">
        <f>IF(AND(AD326=1,N(W326)&lt;p_alert),ROUND(W326,4),"")</f>
        <v/>
      </c>
      <c r="AH326" t="str">
        <f>IF(AG326="","",COUNTIF(sj_akey,"&lt;"&amp;AG326)+COUNTIF($AG$6:AG326,AG326))</f>
        <v/>
      </c>
    </row>
    <row r="327">
      <c r="A327" s="51" t="n">
        <v>46330</v>
      </c>
      <c r="B327" s="52" t="inlineStr">
        <is>
          <t>Après-midi</t>
        </is>
      </c>
      <c r="C327" s="52" t="inlineStr">
        <is>
          <t>TOUR1</t>
        </is>
      </c>
      <c r="D327" s="53" t="inlineStr">
        <is>
          <t>OF-2610-195</t>
        </is>
      </c>
      <c r="E327" s="53" t="inlineStr">
        <is>
          <t>AXE-R20</t>
        </is>
      </c>
      <c r="F327" s="54" t="n"/>
      <c r="G327" s="54" t="n">
        <v>195</v>
      </c>
      <c r="H327" s="54" t="n">
        <v>7</v>
      </c>
      <c r="I327" s="54" t="n">
        <v>2</v>
      </c>
      <c r="J327" s="53" t="n"/>
      <c r="K327" s="55">
        <f>IF(COUNTA(A327:I327)=0,"",IF(F327="",IFERROR(INDEX(eq_dur,MATCH(B327,eq_code,0)),""),F327))</f>
        <v>480.0</v>
      </c>
      <c r="L327" s="55">
        <f>IF(ISNUMBER(K327),N(IFERROR(INDEX(eq_pause,MATCH(B327,eq_code,0)),0))+SUMIFS(st_min,st_date,A327,st_eq,B327,st_po,C327,st_type,"Planifié"),"")</f>
        <v>30.0</v>
      </c>
      <c r="M327" s="55">
        <f>IF(ISNUMBER(K327),K327-L327,"")</f>
        <v>450.0</v>
      </c>
      <c r="N327" s="55">
        <f>IF(ISNUMBER(K327),SUMIFS(st_min,st_date,A327,st_eq,B327,st_po,C327,st_type,"Non planifié"),"")</f>
        <v>13.0</v>
      </c>
      <c r="O327" s="55">
        <f>IF(ISNUMBER(K327),M327-N327,"")</f>
        <v>437.0</v>
      </c>
      <c r="P327" s="55">
        <f>IF(COUNTA(A327:I327)=0,"",N(G327)+N(H327)+N(I327))</f>
        <v>204.0</v>
      </c>
      <c r="Q327" s="56">
        <f>IF(COUNTA(A327:I327)=0,"",IF(N(IFERROR(INDEX(art_rate,MATCH(E327,art_ref,0)),0))&gt;0,N(IFERROR(INDEX(art_rate,MATCH(E327,art_ref,0)),0)),N(IFERROR(INDEX(po_rate,MATCH(C327,po_code,0)),0))))</f>
        <v>30.0</v>
      </c>
      <c r="R327" s="55">
        <f>IF(AC327=1,P327*60/Q327,"")</f>
        <v>408.0</v>
      </c>
      <c r="S327" s="55">
        <f>IF(AC327=1,N(G327)*60/Q327,"")</f>
        <v>390.0</v>
      </c>
      <c r="T327" s="57">
        <f>IF(AC327=1,O327/M327,"")</f>
        <v>0.971111111111111</v>
      </c>
      <c r="U327" s="57">
        <f>IF(AC327=1,IF(O327&gt;0,R327/O327,""),"")</f>
        <v>0.933638443935927</v>
      </c>
      <c r="V327" s="57">
        <f>IF(AC327=1,IF(P327&gt;0,N(G327)/P327,""),"")</f>
        <v>0.955882352941177</v>
      </c>
      <c r="W327" s="57">
        <f>IF(AC327=1,S327/M327,"")</f>
        <v>0.866666666666667</v>
      </c>
      <c r="X327" s="57">
        <f>IF(AC327=1,S327/K327,"")</f>
        <v>0.8125</v>
      </c>
      <c r="Y327" s="58" t="str">
        <f>IF(W327="","",IF(W327&gt;=p_target,"Bon",IF(W327&gt;=p_alert,"À surveiller","Faible")))</f>
        <v>Bon</v>
      </c>
      <c r="Z327" s="58" t="str">
        <f>IF(W327="","",IF(MIN(IF(T327="",1,T327),IF(U327="",1,U327),IF(V327="",1,V327))&gt;=1,"Aucune",IF(IF(T327="",1,T327)&lt;=MIN(IF(U327="",1,U327),IF(V327="",1,V327)),"Disponibilité",IF(IF(U327="",1,U327)&lt;=IF(V327="",1,V327),"Performance","Qualité"))))</f>
        <v>Performance</v>
      </c>
      <c r="AA327" s="59">
        <f>IF(AC327=1,N(H327)*N(IFERROR(INDEX(art_cost,MATCH(E327,art_ref,0)),0)),"")</f>
        <v>269.5</v>
      </c>
      <c r="AB327" s="58" t="str">
        <f>IF(COUNTA(A327:I327)=0,"",IF(N(A327)&lt;=0,"Date manquante ou invalide",IF(B327="","Équipe manquante",IF(ISNA(MATCH(B327,eq_code,0)),"Équipe inconnue",IF(INDEX(eq_check,MATCH(B327,eq_code,0))&lt;&gt;"OK","Équipe à corriger dans Paramètres",IF(C327="","Poste manquant",IF(ISNA(MATCH(C327,po_code,0)),"Poste inconnu",IF(AND(E327&lt;&gt;"",ISNA(MATCH(E327,art_ref,0))),"Article inconnu",IF(IF(E327="",FALSE,INDEX(art_check,MATCH(E327,art_ref,0))&lt;&gt;"OK"),"Article à corriger (feuille Articles)",IF(COUNTIFS(sj_date,A327,sj_eq,B327,sj_po,C327)&gt;1,"Ligne en double (même jour, équipe et poste)",IF(OR(NOT(ISNUMBER(K327)),N(K327)&lt;=0,N(K327)&gt;1440),"Temps d'ouverture invalide",IF(OR(AND(G327&lt;&gt;"",NOT(ISNUMBER(G327))),N(G327)&lt;0,N(G327)&lt;&gt;INT(N(G327)),AND(H327&lt;&gt;"",NOT(ISNUMBER(H327))),N(H327)&lt;0,N(H327)&lt;&gt;INT(N(H327)),AND(I327&lt;&gt;"",NOT(ISNUMBER(I327))),N(I327)&lt;0,N(I327)&lt;&gt;INT(N(I327))),"Quantité invalide",IF(Q327&lt;=0,"Cadence manquante (poste ou article)",IF(M327&lt;=0,"Arrêts planifiés supérieurs au temps d'ouverture",IF(O327&lt;0,"Arrêts supérieurs au temps requis",IF(AND(P327&gt;0,O327=0),"Pièces déclarées sans temps de marche",IF(AND(P327=0,O327&gt;0),"Aucune pièce déclarée",IF(P327*60/Q327&gt;O327+0.001,"Cadence dépassée : vérifiez la cadence","OK"))))))))))))))))))</f>
        <v>OK</v>
      </c>
      <c r="AC327">
        <f>IF(OR(AB327="OK",AB327="Aucune pièce déclarée",AB327="Cadence dépassée : vérifiez la cadence"),1,0)</f>
        <v>1.0</v>
      </c>
      <c r="AD327">
        <f>IF(AND(AC327=1,A327&gt;=p_from,A327&lt;=p_to),1,0)</f>
        <v>1.0</v>
      </c>
      <c r="AE327">
        <f>IF(AD327=1,IF(COUNTIFS($A$6:A327,A327,$AD$6:AD327,1)=1,1,0),0)</f>
        <v>0.0</v>
      </c>
      <c r="AF327" t="str">
        <f>IF(AE327=1,COUNTIFS(sj_first,1,sj_date,"&lt;"&amp;A327)+1,"")</f>
        <v/>
      </c>
      <c r="AG327" t="str">
        <f>IF(AND(AD327=1,N(W327)&lt;p_alert),ROUND(W327,4),"")</f>
        <v/>
      </c>
      <c r="AH327" t="str">
        <f>IF(AG327="","",COUNTIF(sj_akey,"&lt;"&amp;AG327)+COUNTIF($AG$6:AG327,AG327))</f>
        <v/>
      </c>
    </row>
    <row r="328">
      <c r="A328" s="51" t="n">
        <v>46330</v>
      </c>
      <c r="B328" s="52" t="inlineStr">
        <is>
          <t>Matin</t>
        </is>
      </c>
      <c r="C328" s="52" t="inlineStr">
        <is>
          <t>TOUR2</t>
        </is>
      </c>
      <c r="D328" s="53" t="inlineStr">
        <is>
          <t>OF-2611-204</t>
        </is>
      </c>
      <c r="E328" s="53" t="inlineStr">
        <is>
          <t>ENT-12</t>
        </is>
      </c>
      <c r="F328" s="54" t="n"/>
      <c r="G328" s="54" t="n">
        <v>277</v>
      </c>
      <c r="H328" s="54" t="n">
        <v>3</v>
      </c>
      <c r="I328" s="54" t="n">
        <v>4</v>
      </c>
      <c r="J328" s="53" t="n"/>
      <c r="K328" s="55">
        <f>IF(COUNTA(A328:I328)=0,"",IF(F328="",IFERROR(INDEX(eq_dur,MATCH(B328,eq_code,0)),""),F328))</f>
        <v>480.0</v>
      </c>
      <c r="L328" s="55">
        <f>IF(ISNUMBER(K328),N(IFERROR(INDEX(eq_pause,MATCH(B328,eq_code,0)),0))+SUMIFS(st_min,st_date,A328,st_eq,B328,st_po,C328,st_type,"Planifié"),"")</f>
        <v>30.0</v>
      </c>
      <c r="M328" s="55">
        <f>IF(ISNUMBER(K328),K328-L328,"")</f>
        <v>450.0</v>
      </c>
      <c r="N328" s="55">
        <f>IF(ISNUMBER(K328),SUMIFS(st_min,st_date,A328,st_eq,B328,st_po,C328,st_type,"Non planifié"),"")</f>
        <v>124.0</v>
      </c>
      <c r="O328" s="55">
        <f>IF(ISNUMBER(K328),M328-N328,"")</f>
        <v>326.0</v>
      </c>
      <c r="P328" s="55">
        <f>IF(COUNTA(A328:I328)=0,"",N(G328)+N(H328)+N(I328))</f>
        <v>284.0</v>
      </c>
      <c r="Q328" s="56">
        <f>IF(COUNTA(A328:I328)=0,"",IF(N(IFERROR(INDEX(art_rate,MATCH(E328,art_ref,0)),0))&gt;0,N(IFERROR(INDEX(art_rate,MATCH(E328,art_ref,0)),0)),N(IFERROR(INDEX(po_rate,MATCH(C328,po_code,0)),0))))</f>
        <v>55.0</v>
      </c>
      <c r="R328" s="55">
        <f>IF(AC328=1,P328*60/Q328,"")</f>
        <v>309.818181818182</v>
      </c>
      <c r="S328" s="55">
        <f>IF(AC328=1,N(G328)*60/Q328,"")</f>
        <v>302.181818181818</v>
      </c>
      <c r="T328" s="57">
        <f>IF(AC328=1,O328/M328,"")</f>
        <v>0.724444444444444</v>
      </c>
      <c r="U328" s="57">
        <f>IF(AC328=1,IF(O328&gt;0,R328/O328,""),"")</f>
        <v>0.950362520914668</v>
      </c>
      <c r="V328" s="57">
        <f>IF(AC328=1,IF(P328&gt;0,N(G328)/P328,""),"")</f>
        <v>0.975352112676056</v>
      </c>
      <c r="W328" s="57">
        <f>IF(AC328=1,S328/M328,"")</f>
        <v>0.671515151515152</v>
      </c>
      <c r="X328" s="57">
        <f>IF(AC328=1,S328/K328,"")</f>
        <v>0.629545454545455</v>
      </c>
      <c r="Y328" s="58" t="str">
        <f>IF(W328="","",IF(W328&gt;=p_target,"Bon",IF(W328&gt;=p_alert,"À surveiller","Faible")))</f>
        <v>À surveiller</v>
      </c>
      <c r="Z328" s="58" t="str">
        <f>IF(W328="","",IF(MIN(IF(T328="",1,T328),IF(U328="",1,U328),IF(V328="",1,V328))&gt;=1,"Aucune",IF(IF(T328="",1,T328)&lt;=MIN(IF(U328="",1,U328),IF(V328="",1,V328)),"Disponibilité",IF(IF(U328="",1,U328)&lt;=IF(V328="",1,V328),"Performance","Qualité"))))</f>
        <v>Disponibilité</v>
      </c>
      <c r="AA328" s="59">
        <f>IF(AC328=1,N(H328)*N(IFERROR(INDEX(art_cost,MATCH(E328,art_ref,0)),0)),"")</f>
        <v>20.4</v>
      </c>
      <c r="AB328" s="58" t="str">
        <f>IF(COUNTA(A328:I328)=0,"",IF(N(A328)&lt;=0,"Date manquante ou invalide",IF(B328="","Équipe manquante",IF(ISNA(MATCH(B328,eq_code,0)),"Équipe inconnue",IF(INDEX(eq_check,MATCH(B328,eq_code,0))&lt;&gt;"OK","Équipe à corriger dans Paramètres",IF(C328="","Poste manquant",IF(ISNA(MATCH(C328,po_code,0)),"Poste inconnu",IF(AND(E328&lt;&gt;"",ISNA(MATCH(E328,art_ref,0))),"Article inconnu",IF(IF(E328="",FALSE,INDEX(art_check,MATCH(E328,art_ref,0))&lt;&gt;"OK"),"Article à corriger (feuille Articles)",IF(COUNTIFS(sj_date,A328,sj_eq,B328,sj_po,C328)&gt;1,"Ligne en double (même jour, équipe et poste)",IF(OR(NOT(ISNUMBER(K328)),N(K328)&lt;=0,N(K328)&gt;1440),"Temps d'ouverture invalide",IF(OR(AND(G328&lt;&gt;"",NOT(ISNUMBER(G328))),N(G328)&lt;0,N(G328)&lt;&gt;INT(N(G328)),AND(H328&lt;&gt;"",NOT(ISNUMBER(H328))),N(H328)&lt;0,N(H328)&lt;&gt;INT(N(H328)),AND(I328&lt;&gt;"",NOT(ISNUMBER(I328))),N(I328)&lt;0,N(I328)&lt;&gt;INT(N(I328))),"Quantité invalide",IF(Q328&lt;=0,"Cadence manquante (poste ou article)",IF(M328&lt;=0,"Arrêts planifiés supérieurs au temps d'ouverture",IF(O328&lt;0,"Arrêts supérieurs au temps requis",IF(AND(P328&gt;0,O328=0),"Pièces déclarées sans temps de marche",IF(AND(P328=0,O328&gt;0),"Aucune pièce déclarée",IF(P328*60/Q328&gt;O328+0.001,"Cadence dépassée : vérifiez la cadence","OK"))))))))))))))))))</f>
        <v>OK</v>
      </c>
      <c r="AC328">
        <f>IF(OR(AB328="OK",AB328="Aucune pièce déclarée",AB328="Cadence dépassée : vérifiez la cadence"),1,0)</f>
        <v>1.0</v>
      </c>
      <c r="AD328">
        <f>IF(AND(AC328=1,A328&gt;=p_from,A328&lt;=p_to),1,0)</f>
        <v>1.0</v>
      </c>
      <c r="AE328">
        <f>IF(AD328=1,IF(COUNTIFS($A$6:A328,A328,$AD$6:AD328,1)=1,1,0),0)</f>
        <v>0.0</v>
      </c>
      <c r="AF328" t="str">
        <f>IF(AE328=1,COUNTIFS(sj_first,1,sj_date,"&lt;"&amp;A328)+1,"")</f>
        <v/>
      </c>
      <c r="AG328" t="str">
        <f>IF(AND(AD328=1,N(W328)&lt;p_alert),ROUND(W328,4),"")</f>
        <v/>
      </c>
      <c r="AH328" t="str">
        <f>IF(AG328="","",COUNTIF(sj_akey,"&lt;"&amp;AG328)+COUNTIF($AG$6:AG328,AG328))</f>
        <v/>
      </c>
    </row>
    <row r="329">
      <c r="A329" s="51" t="n">
        <v>46330</v>
      </c>
      <c r="B329" s="52" t="inlineStr">
        <is>
          <t>Après-midi</t>
        </is>
      </c>
      <c r="C329" s="52" t="inlineStr">
        <is>
          <t>TOUR2</t>
        </is>
      </c>
      <c r="D329" s="53" t="inlineStr">
        <is>
          <t>OF-2611-202</t>
        </is>
      </c>
      <c r="E329" s="53" t="inlineStr">
        <is>
          <t>ENT-12</t>
        </is>
      </c>
      <c r="F329" s="54" t="n"/>
      <c r="G329" s="54" t="n">
        <v>317</v>
      </c>
      <c r="H329" s="54" t="n">
        <v>0</v>
      </c>
      <c r="I329" s="54" t="n">
        <v>1</v>
      </c>
      <c r="J329" s="53" t="n"/>
      <c r="K329" s="55">
        <f>IF(COUNTA(A329:I329)=0,"",IF(F329="",IFERROR(INDEX(eq_dur,MATCH(B329,eq_code,0)),""),F329))</f>
        <v>480.0</v>
      </c>
      <c r="L329" s="55">
        <f>IF(ISNUMBER(K329),N(IFERROR(INDEX(eq_pause,MATCH(B329,eq_code,0)),0))+SUMIFS(st_min,st_date,A329,st_eq,B329,st_po,C329,st_type,"Planifié"),"")</f>
        <v>30.0</v>
      </c>
      <c r="M329" s="55">
        <f>IF(ISNUMBER(K329),K329-L329,"")</f>
        <v>450.0</v>
      </c>
      <c r="N329" s="55">
        <f>IF(ISNUMBER(K329),SUMIFS(st_min,st_date,A329,st_eq,B329,st_po,C329,st_type,"Non planifié"),"")</f>
        <v>53.0</v>
      </c>
      <c r="O329" s="55">
        <f>IF(ISNUMBER(K329),M329-N329,"")</f>
        <v>397.0</v>
      </c>
      <c r="P329" s="55">
        <f>IF(COUNTA(A329:I329)=0,"",N(G329)+N(H329)+N(I329))</f>
        <v>318.0</v>
      </c>
      <c r="Q329" s="56">
        <f>IF(COUNTA(A329:I329)=0,"",IF(N(IFERROR(INDEX(art_rate,MATCH(E329,art_ref,0)),0))&gt;0,N(IFERROR(INDEX(art_rate,MATCH(E329,art_ref,0)),0)),N(IFERROR(INDEX(po_rate,MATCH(C329,po_code,0)),0))))</f>
        <v>55.0</v>
      </c>
      <c r="R329" s="55">
        <f>IF(AC329=1,P329*60/Q329,"")</f>
        <v>346.909090909091</v>
      </c>
      <c r="S329" s="55">
        <f>IF(AC329=1,N(G329)*60/Q329,"")</f>
        <v>345.818181818182</v>
      </c>
      <c r="T329" s="57">
        <f>IF(AC329=1,O329/M329,"")</f>
        <v>0.882222222222222</v>
      </c>
      <c r="U329" s="57">
        <f>IF(AC329=1,IF(O329&gt;0,R329/O329,""),"")</f>
        <v>0.873826425463705</v>
      </c>
      <c r="V329" s="57">
        <f>IF(AC329=1,IF(P329&gt;0,N(G329)/P329,""),"")</f>
        <v>0.99685534591195</v>
      </c>
      <c r="W329" s="57">
        <f>IF(AC329=1,S329/M329,"")</f>
        <v>0.768484848484848</v>
      </c>
      <c r="X329" s="57">
        <f>IF(AC329=1,S329/K329,"")</f>
        <v>0.720454545454546</v>
      </c>
      <c r="Y329" s="58" t="str">
        <f>IF(W329="","",IF(W329&gt;=p_target,"Bon",IF(W329&gt;=p_alert,"À surveiller","Faible")))</f>
        <v>Bon</v>
      </c>
      <c r="Z329" s="58" t="str">
        <f>IF(W329="","",IF(MIN(IF(T329="",1,T329),IF(U329="",1,U329),IF(V329="",1,V329))&gt;=1,"Aucune",IF(IF(T329="",1,T329)&lt;=MIN(IF(U329="",1,U329),IF(V329="",1,V329)),"Disponibilité",IF(IF(U329="",1,U329)&lt;=IF(V329="",1,V329),"Performance","Qualité"))))</f>
        <v>Performance</v>
      </c>
      <c r="AA329" s="59">
        <f>IF(AC329=1,N(H329)*N(IFERROR(INDEX(art_cost,MATCH(E329,art_ref,0)),0)),"")</f>
        <v>0.0</v>
      </c>
      <c r="AB329" s="58" t="str">
        <f>IF(COUNTA(A329:I329)=0,"",IF(N(A329)&lt;=0,"Date manquante ou invalide",IF(B329="","Équipe manquante",IF(ISNA(MATCH(B329,eq_code,0)),"Équipe inconnue",IF(INDEX(eq_check,MATCH(B329,eq_code,0))&lt;&gt;"OK","Équipe à corriger dans Paramètres",IF(C329="","Poste manquant",IF(ISNA(MATCH(C329,po_code,0)),"Poste inconnu",IF(AND(E329&lt;&gt;"",ISNA(MATCH(E329,art_ref,0))),"Article inconnu",IF(IF(E329="",FALSE,INDEX(art_check,MATCH(E329,art_ref,0))&lt;&gt;"OK"),"Article à corriger (feuille Articles)",IF(COUNTIFS(sj_date,A329,sj_eq,B329,sj_po,C329)&gt;1,"Ligne en double (même jour, équipe et poste)",IF(OR(NOT(ISNUMBER(K329)),N(K329)&lt;=0,N(K329)&gt;1440),"Temps d'ouverture invalide",IF(OR(AND(G329&lt;&gt;"",NOT(ISNUMBER(G329))),N(G329)&lt;0,N(G329)&lt;&gt;INT(N(G329)),AND(H329&lt;&gt;"",NOT(ISNUMBER(H329))),N(H329)&lt;0,N(H329)&lt;&gt;INT(N(H329)),AND(I329&lt;&gt;"",NOT(ISNUMBER(I329))),N(I329)&lt;0,N(I329)&lt;&gt;INT(N(I329))),"Quantité invalide",IF(Q329&lt;=0,"Cadence manquante (poste ou article)",IF(M329&lt;=0,"Arrêts planifiés supérieurs au temps d'ouverture",IF(O329&lt;0,"Arrêts supérieurs au temps requis",IF(AND(P329&gt;0,O329=0),"Pièces déclarées sans temps de marche",IF(AND(P329=0,O329&gt;0),"Aucune pièce déclarée",IF(P329*60/Q329&gt;O329+0.001,"Cadence dépassée : vérifiez la cadence","OK"))))))))))))))))))</f>
        <v>OK</v>
      </c>
      <c r="AC329">
        <f>IF(OR(AB329="OK",AB329="Aucune pièce déclarée",AB329="Cadence dépassée : vérifiez la cadence"),1,0)</f>
        <v>1.0</v>
      </c>
      <c r="AD329">
        <f>IF(AND(AC329=1,A329&gt;=p_from,A329&lt;=p_to),1,0)</f>
        <v>1.0</v>
      </c>
      <c r="AE329">
        <f>IF(AD329=1,IF(COUNTIFS($A$6:A329,A329,$AD$6:AD329,1)=1,1,0),0)</f>
        <v>0.0</v>
      </c>
      <c r="AF329" t="str">
        <f>IF(AE329=1,COUNTIFS(sj_first,1,sj_date,"&lt;"&amp;A329)+1,"")</f>
        <v/>
      </c>
      <c r="AG329" t="str">
        <f>IF(AND(AD329=1,N(W329)&lt;p_alert),ROUND(W329,4),"")</f>
        <v/>
      </c>
      <c r="AH329" t="str">
        <f>IF(AG329="","",COUNTIF(sj_akey,"&lt;"&amp;AG329)+COUNTIF($AG$6:AG329,AG329))</f>
        <v/>
      </c>
    </row>
    <row r="330">
      <c r="A330" s="51" t="n">
        <v>46330</v>
      </c>
      <c r="B330" s="52" t="inlineStr">
        <is>
          <t>Matin</t>
        </is>
      </c>
      <c r="C330" s="52" t="inlineStr">
        <is>
          <t>USIN</t>
        </is>
      </c>
      <c r="D330" s="53" t="inlineStr">
        <is>
          <t>OF-2610-192</t>
        </is>
      </c>
      <c r="E330" s="53" t="inlineStr">
        <is>
          <t>CAR-BOI-04</t>
        </is>
      </c>
      <c r="F330" s="54" t="n"/>
      <c r="G330" s="54" t="n">
        <v>37</v>
      </c>
      <c r="H330" s="54" t="n">
        <v>0</v>
      </c>
      <c r="I330" s="54" t="n">
        <v>0</v>
      </c>
      <c r="J330" s="53" t="n"/>
      <c r="K330" s="55">
        <f>IF(COUNTA(A330:I330)=0,"",IF(F330="",IFERROR(INDEX(eq_dur,MATCH(B330,eq_code,0)),""),F330))</f>
        <v>480.0</v>
      </c>
      <c r="L330" s="55">
        <f>IF(ISNUMBER(K330),N(IFERROR(INDEX(eq_pause,MATCH(B330,eq_code,0)),0))+SUMIFS(st_min,st_date,A330,st_eq,B330,st_po,C330,st_type,"Planifié"),"")</f>
        <v>30.0</v>
      </c>
      <c r="M330" s="55">
        <f>IF(ISNUMBER(K330),K330-L330,"")</f>
        <v>450.0</v>
      </c>
      <c r="N330" s="55">
        <f>IF(ISNUMBER(K330),SUMIFS(st_min,st_date,A330,st_eq,B330,st_po,C330,st_type,"Non planifié"),"")</f>
        <v>18.0</v>
      </c>
      <c r="O330" s="55">
        <f>IF(ISNUMBER(K330),M330-N330,"")</f>
        <v>432.0</v>
      </c>
      <c r="P330" s="55">
        <f>IF(COUNTA(A330:I330)=0,"",N(G330)+N(H330)+N(I330))</f>
        <v>37.0</v>
      </c>
      <c r="Q330" s="56">
        <f>IF(COUNTA(A330:I330)=0,"",IF(N(IFERROR(INDEX(art_rate,MATCH(E330,art_ref,0)),0))&gt;0,N(IFERROR(INDEX(art_rate,MATCH(E330,art_ref,0)),0)),N(IFERROR(INDEX(po_rate,MATCH(C330,po_code,0)),0))))</f>
        <v>6.0</v>
      </c>
      <c r="R330" s="55">
        <f>IF(AC330=1,P330*60/Q330,"")</f>
        <v>370.0</v>
      </c>
      <c r="S330" s="55">
        <f>IF(AC330=1,N(G330)*60/Q330,"")</f>
        <v>370.0</v>
      </c>
      <c r="T330" s="57">
        <f>IF(AC330=1,O330/M330,"")</f>
        <v>0.96</v>
      </c>
      <c r="U330" s="57">
        <f>IF(AC330=1,IF(O330&gt;0,R330/O330,""),"")</f>
        <v>0.856481481481482</v>
      </c>
      <c r="V330" s="57">
        <f>IF(AC330=1,IF(P330&gt;0,N(G330)/P330,""),"")</f>
        <v>1.0</v>
      </c>
      <c r="W330" s="57">
        <f>IF(AC330=1,S330/M330,"")</f>
        <v>0.822222222222222</v>
      </c>
      <c r="X330" s="57">
        <f>IF(AC330=1,S330/K330,"")</f>
        <v>0.770833333333333</v>
      </c>
      <c r="Y330" s="58" t="str">
        <f>IF(W330="","",IF(W330&gt;=p_target,"Bon",IF(W330&gt;=p_alert,"À surveiller","Faible")))</f>
        <v>Bon</v>
      </c>
      <c r="Z330" s="58" t="str">
        <f>IF(W330="","",IF(MIN(IF(T330="",1,T330),IF(U330="",1,U330),IF(V330="",1,V330))&gt;=1,"Aucune",IF(IF(T330="",1,T330)&lt;=MIN(IF(U330="",1,U330),IF(V330="",1,V330)),"Disponibilité",IF(IF(U330="",1,U330)&lt;=IF(V330="",1,V330),"Performance","Qualité"))))</f>
        <v>Performance</v>
      </c>
      <c r="AA330" s="59">
        <f>IF(AC330=1,N(H330)*N(IFERROR(INDEX(art_cost,MATCH(E330,art_ref,0)),0)),"")</f>
        <v>0.0</v>
      </c>
      <c r="AB330" s="58" t="str">
        <f>IF(COUNTA(A330:I330)=0,"",IF(N(A330)&lt;=0,"Date manquante ou invalide",IF(B330="","Équipe manquante",IF(ISNA(MATCH(B330,eq_code,0)),"Équipe inconnue",IF(INDEX(eq_check,MATCH(B330,eq_code,0))&lt;&gt;"OK","Équipe à corriger dans Paramètres",IF(C330="","Poste manquant",IF(ISNA(MATCH(C330,po_code,0)),"Poste inconnu",IF(AND(E330&lt;&gt;"",ISNA(MATCH(E330,art_ref,0))),"Article inconnu",IF(IF(E330="",FALSE,INDEX(art_check,MATCH(E330,art_ref,0))&lt;&gt;"OK"),"Article à corriger (feuille Articles)",IF(COUNTIFS(sj_date,A330,sj_eq,B330,sj_po,C330)&gt;1,"Ligne en double (même jour, équipe et poste)",IF(OR(NOT(ISNUMBER(K330)),N(K330)&lt;=0,N(K330)&gt;1440),"Temps d'ouverture invalide",IF(OR(AND(G330&lt;&gt;"",NOT(ISNUMBER(G330))),N(G330)&lt;0,N(G330)&lt;&gt;INT(N(G330)),AND(H330&lt;&gt;"",NOT(ISNUMBER(H330))),N(H330)&lt;0,N(H330)&lt;&gt;INT(N(H330)),AND(I330&lt;&gt;"",NOT(ISNUMBER(I330))),N(I330)&lt;0,N(I330)&lt;&gt;INT(N(I330))),"Quantité invalide",IF(Q330&lt;=0,"Cadence manquante (poste ou article)",IF(M330&lt;=0,"Arrêts planifiés supérieurs au temps d'ouverture",IF(O330&lt;0,"Arrêts supérieurs au temps requis",IF(AND(P330&gt;0,O330=0),"Pièces déclarées sans temps de marche",IF(AND(P330=0,O330&gt;0),"Aucune pièce déclarée",IF(P330*60/Q330&gt;O330+0.001,"Cadence dépassée : vérifiez la cadence","OK"))))))))))))))))))</f>
        <v>OK</v>
      </c>
      <c r="AC330">
        <f>IF(OR(AB330="OK",AB330="Aucune pièce déclarée",AB330="Cadence dépassée : vérifiez la cadence"),1,0)</f>
        <v>1.0</v>
      </c>
      <c r="AD330">
        <f>IF(AND(AC330=1,A330&gt;=p_from,A330&lt;=p_to),1,0)</f>
        <v>1.0</v>
      </c>
      <c r="AE330">
        <f>IF(AD330=1,IF(COUNTIFS($A$6:A330,A330,$AD$6:AD330,1)=1,1,0),0)</f>
        <v>0.0</v>
      </c>
      <c r="AF330" t="str">
        <f>IF(AE330=1,COUNTIFS(sj_first,1,sj_date,"&lt;"&amp;A330)+1,"")</f>
        <v/>
      </c>
      <c r="AG330" t="str">
        <f>IF(AND(AD330=1,N(W330)&lt;p_alert),ROUND(W330,4),"")</f>
        <v/>
      </c>
      <c r="AH330" t="str">
        <f>IF(AG330="","",COUNTIF(sj_akey,"&lt;"&amp;AG330)+COUNTIF($AG$6:AG330,AG330))</f>
        <v/>
      </c>
    </row>
    <row r="331">
      <c r="A331" s="51" t="n">
        <v>46330</v>
      </c>
      <c r="B331" s="52" t="inlineStr">
        <is>
          <t>Après-midi</t>
        </is>
      </c>
      <c r="C331" s="52" t="inlineStr">
        <is>
          <t>USIN</t>
        </is>
      </c>
      <c r="D331" s="53" t="inlineStr">
        <is>
          <t>OF-2610-196</t>
        </is>
      </c>
      <c r="E331" s="53" t="inlineStr">
        <is>
          <t>CAR-BOI-04</t>
        </is>
      </c>
      <c r="F331" s="54" t="n"/>
      <c r="G331" s="54" t="n">
        <v>38</v>
      </c>
      <c r="H331" s="54" t="n">
        <v>0</v>
      </c>
      <c r="I331" s="54" t="n">
        <v>0</v>
      </c>
      <c r="J331" s="53" t="n"/>
      <c r="K331" s="55">
        <f>IF(COUNTA(A331:I331)=0,"",IF(F331="",IFERROR(INDEX(eq_dur,MATCH(B331,eq_code,0)),""),F331))</f>
        <v>480.0</v>
      </c>
      <c r="L331" s="55">
        <f>IF(ISNUMBER(K331),N(IFERROR(INDEX(eq_pause,MATCH(B331,eq_code,0)),0))+SUMIFS(st_min,st_date,A331,st_eq,B331,st_po,C331,st_type,"Planifié"),"")</f>
        <v>30.0</v>
      </c>
      <c r="M331" s="55">
        <f>IF(ISNUMBER(K331),K331-L331,"")</f>
        <v>450.0</v>
      </c>
      <c r="N331" s="55">
        <f>IF(ISNUMBER(K331),SUMIFS(st_min,st_date,A331,st_eq,B331,st_po,C331,st_type,"Non planifié"),"")</f>
        <v>0.0</v>
      </c>
      <c r="O331" s="55">
        <f>IF(ISNUMBER(K331),M331-N331,"")</f>
        <v>450.0</v>
      </c>
      <c r="P331" s="55">
        <f>IF(COUNTA(A331:I331)=0,"",N(G331)+N(H331)+N(I331))</f>
        <v>38.0</v>
      </c>
      <c r="Q331" s="56">
        <f>IF(COUNTA(A331:I331)=0,"",IF(N(IFERROR(INDEX(art_rate,MATCH(E331,art_ref,0)),0))&gt;0,N(IFERROR(INDEX(art_rate,MATCH(E331,art_ref,0)),0)),N(IFERROR(INDEX(po_rate,MATCH(C331,po_code,0)),0))))</f>
        <v>6.0</v>
      </c>
      <c r="R331" s="55">
        <f>IF(AC331=1,P331*60/Q331,"")</f>
        <v>380.0</v>
      </c>
      <c r="S331" s="55">
        <f>IF(AC331=1,N(G331)*60/Q331,"")</f>
        <v>380.0</v>
      </c>
      <c r="T331" s="57">
        <f>IF(AC331=1,O331/M331,"")</f>
        <v>1.0</v>
      </c>
      <c r="U331" s="57">
        <f>IF(AC331=1,IF(O331&gt;0,R331/O331,""),"")</f>
        <v>0.844444444444444</v>
      </c>
      <c r="V331" s="57">
        <f>IF(AC331=1,IF(P331&gt;0,N(G331)/P331,""),"")</f>
        <v>1.0</v>
      </c>
      <c r="W331" s="57">
        <f>IF(AC331=1,S331/M331,"")</f>
        <v>0.844444444444444</v>
      </c>
      <c r="X331" s="57">
        <f>IF(AC331=1,S331/K331,"")</f>
        <v>0.791666666666667</v>
      </c>
      <c r="Y331" s="58" t="str">
        <f>IF(W331="","",IF(W331&gt;=p_target,"Bon",IF(W331&gt;=p_alert,"À surveiller","Faible")))</f>
        <v>Bon</v>
      </c>
      <c r="Z331" s="58" t="str">
        <f>IF(W331="","",IF(MIN(IF(T331="",1,T331),IF(U331="",1,U331),IF(V331="",1,V331))&gt;=1,"Aucune",IF(IF(T331="",1,T331)&lt;=MIN(IF(U331="",1,U331),IF(V331="",1,V331)),"Disponibilité",IF(IF(U331="",1,U331)&lt;=IF(V331="",1,V331),"Performance","Qualité"))))</f>
        <v>Performance</v>
      </c>
      <c r="AA331" s="59">
        <f>IF(AC331=1,N(H331)*N(IFERROR(INDEX(art_cost,MATCH(E331,art_ref,0)),0)),"")</f>
        <v>0.0</v>
      </c>
      <c r="AB331" s="58" t="str">
        <f>IF(COUNTA(A331:I331)=0,"",IF(N(A331)&lt;=0,"Date manquante ou invalide",IF(B331="","Équipe manquante",IF(ISNA(MATCH(B331,eq_code,0)),"Équipe inconnue",IF(INDEX(eq_check,MATCH(B331,eq_code,0))&lt;&gt;"OK","Équipe à corriger dans Paramètres",IF(C331="","Poste manquant",IF(ISNA(MATCH(C331,po_code,0)),"Poste inconnu",IF(AND(E331&lt;&gt;"",ISNA(MATCH(E331,art_ref,0))),"Article inconnu",IF(IF(E331="",FALSE,INDEX(art_check,MATCH(E331,art_ref,0))&lt;&gt;"OK"),"Article à corriger (feuille Articles)",IF(COUNTIFS(sj_date,A331,sj_eq,B331,sj_po,C331)&gt;1,"Ligne en double (même jour, équipe et poste)",IF(OR(NOT(ISNUMBER(K331)),N(K331)&lt;=0,N(K331)&gt;1440),"Temps d'ouverture invalide",IF(OR(AND(G331&lt;&gt;"",NOT(ISNUMBER(G331))),N(G331)&lt;0,N(G331)&lt;&gt;INT(N(G331)),AND(H331&lt;&gt;"",NOT(ISNUMBER(H331))),N(H331)&lt;0,N(H331)&lt;&gt;INT(N(H331)),AND(I331&lt;&gt;"",NOT(ISNUMBER(I331))),N(I331)&lt;0,N(I331)&lt;&gt;INT(N(I331))),"Quantité invalide",IF(Q331&lt;=0,"Cadence manquante (poste ou article)",IF(M331&lt;=0,"Arrêts planifiés supérieurs au temps d'ouverture",IF(O331&lt;0,"Arrêts supérieurs au temps requis",IF(AND(P331&gt;0,O331=0),"Pièces déclarées sans temps de marche",IF(AND(P331=0,O331&gt;0),"Aucune pièce déclarée",IF(P331*60/Q331&gt;O331+0.001,"Cadence dépassée : vérifiez la cadence","OK"))))))))))))))))))</f>
        <v>OK</v>
      </c>
      <c r="AC331">
        <f>IF(OR(AB331="OK",AB331="Aucune pièce déclarée",AB331="Cadence dépassée : vérifiez la cadence"),1,0)</f>
        <v>1.0</v>
      </c>
      <c r="AD331">
        <f>IF(AND(AC331=1,A331&gt;=p_from,A331&lt;=p_to),1,0)</f>
        <v>1.0</v>
      </c>
      <c r="AE331">
        <f>IF(AD331=1,IF(COUNTIFS($A$6:A331,A331,$AD$6:AD331,1)=1,1,0),0)</f>
        <v>0.0</v>
      </c>
      <c r="AF331" t="str">
        <f>IF(AE331=1,COUNTIFS(sj_first,1,sj_date,"&lt;"&amp;A331)+1,"")</f>
        <v/>
      </c>
      <c r="AG331" t="str">
        <f>IF(AND(AD331=1,N(W331)&lt;p_alert),ROUND(W331,4),"")</f>
        <v/>
      </c>
      <c r="AH331" t="str">
        <f>IF(AG331="","",COUNTIF(sj_akey,"&lt;"&amp;AG331)+COUNTIF($AG$6:AG331,AG331))</f>
        <v/>
      </c>
    </row>
    <row r="332">
      <c r="A332" s="51" t="n">
        <v>46330</v>
      </c>
      <c r="B332" s="52" t="inlineStr">
        <is>
          <t>Matin</t>
        </is>
      </c>
      <c r="C332" s="52" t="inlineStr">
        <is>
          <t>PRESSE</t>
        </is>
      </c>
      <c r="D332" s="53" t="inlineStr">
        <is>
          <t>OF-2611-205</t>
        </is>
      </c>
      <c r="E332" s="53" t="inlineStr">
        <is>
          <t>RON-M10</t>
        </is>
      </c>
      <c r="F332" s="54" t="n"/>
      <c r="G332" s="54" t="n">
        <v>3692</v>
      </c>
      <c r="H332" s="54" t="n">
        <v>21</v>
      </c>
      <c r="I332" s="54" t="n">
        <v>19</v>
      </c>
      <c r="J332" s="53" t="n"/>
      <c r="K332" s="55">
        <f>IF(COUNTA(A332:I332)=0,"",IF(F332="",IFERROR(INDEX(eq_dur,MATCH(B332,eq_code,0)),""),F332))</f>
        <v>480.0</v>
      </c>
      <c r="L332" s="55">
        <f>IF(ISNUMBER(K332),N(IFERROR(INDEX(eq_pause,MATCH(B332,eq_code,0)),0))+SUMIFS(st_min,st_date,A332,st_eq,B332,st_po,C332,st_type,"Planifié"),"")</f>
        <v>30.0</v>
      </c>
      <c r="M332" s="55">
        <f>IF(ISNUMBER(K332),K332-L332,"")</f>
        <v>450.0</v>
      </c>
      <c r="N332" s="55">
        <f>IF(ISNUMBER(K332),SUMIFS(st_min,st_date,A332,st_eq,B332,st_po,C332,st_type,"Non planifié"),"")</f>
        <v>33.0</v>
      </c>
      <c r="O332" s="55">
        <f>IF(ISNUMBER(K332),M332-N332,"")</f>
        <v>417.0</v>
      </c>
      <c r="P332" s="55">
        <f>IF(COUNTA(A332:I332)=0,"",N(G332)+N(H332)+N(I332))</f>
        <v>3732.0</v>
      </c>
      <c r="Q332" s="56">
        <f>IF(COUNTA(A332:I332)=0,"",IF(N(IFERROR(INDEX(art_rate,MATCH(E332,art_ref,0)),0))&gt;0,N(IFERROR(INDEX(art_rate,MATCH(E332,art_ref,0)),0)),N(IFERROR(INDEX(po_rate,MATCH(C332,po_code,0)),0))))</f>
        <v>600.0</v>
      </c>
      <c r="R332" s="55">
        <f>IF(AC332=1,P332*60/Q332,"")</f>
        <v>373.2</v>
      </c>
      <c r="S332" s="55">
        <f>IF(AC332=1,N(G332)*60/Q332,"")</f>
        <v>369.2</v>
      </c>
      <c r="T332" s="57">
        <f>IF(AC332=1,O332/M332,"")</f>
        <v>0.926666666666667</v>
      </c>
      <c r="U332" s="57">
        <f>IF(AC332=1,IF(O332&gt;0,R332/O332,""),"")</f>
        <v>0.894964028776978</v>
      </c>
      <c r="V332" s="57">
        <f>IF(AC332=1,IF(P332&gt;0,N(G332)/P332,""),"")</f>
        <v>0.989281886387996</v>
      </c>
      <c r="W332" s="57">
        <f>IF(AC332=1,S332/M332,"")</f>
        <v>0.820444444444444</v>
      </c>
      <c r="X332" s="57">
        <f>IF(AC332=1,S332/K332,"")</f>
        <v>0.769166666666667</v>
      </c>
      <c r="Y332" s="58" t="str">
        <f>IF(W332="","",IF(W332&gt;=p_target,"Bon",IF(W332&gt;=p_alert,"À surveiller","Faible")))</f>
        <v>Bon</v>
      </c>
      <c r="Z332" s="58" t="str">
        <f>IF(W332="","",IF(MIN(IF(T332="",1,T332),IF(U332="",1,U332),IF(V332="",1,V332))&gt;=1,"Aucune",IF(IF(T332="",1,T332)&lt;=MIN(IF(U332="",1,U332),IF(V332="",1,V332)),"Disponibilité",IF(IF(U332="",1,U332)&lt;=IF(V332="",1,V332),"Performance","Qualité"))))</f>
        <v>Performance</v>
      </c>
      <c r="AA332" s="59">
        <f>IF(AC332=1,N(H332)*N(IFERROR(INDEX(art_cost,MATCH(E332,art_ref,0)),0)),"")</f>
        <v>18.9</v>
      </c>
      <c r="AB332" s="58" t="str">
        <f>IF(COUNTA(A332:I332)=0,"",IF(N(A332)&lt;=0,"Date manquante ou invalide",IF(B332="","Équipe manquante",IF(ISNA(MATCH(B332,eq_code,0)),"Équipe inconnue",IF(INDEX(eq_check,MATCH(B332,eq_code,0))&lt;&gt;"OK","Équipe à corriger dans Paramètres",IF(C332="","Poste manquant",IF(ISNA(MATCH(C332,po_code,0)),"Poste inconnu",IF(AND(E332&lt;&gt;"",ISNA(MATCH(E332,art_ref,0))),"Article inconnu",IF(IF(E332="",FALSE,INDEX(art_check,MATCH(E332,art_ref,0))&lt;&gt;"OK"),"Article à corriger (feuille Articles)",IF(COUNTIFS(sj_date,A332,sj_eq,B332,sj_po,C332)&gt;1,"Ligne en double (même jour, équipe et poste)",IF(OR(NOT(ISNUMBER(K332)),N(K332)&lt;=0,N(K332)&gt;1440),"Temps d'ouverture invalide",IF(OR(AND(G332&lt;&gt;"",NOT(ISNUMBER(G332))),N(G332)&lt;0,N(G332)&lt;&gt;INT(N(G332)),AND(H332&lt;&gt;"",NOT(ISNUMBER(H332))),N(H332)&lt;0,N(H332)&lt;&gt;INT(N(H332)),AND(I332&lt;&gt;"",NOT(ISNUMBER(I332))),N(I332)&lt;0,N(I332)&lt;&gt;INT(N(I332))),"Quantité invalide",IF(Q332&lt;=0,"Cadence manquante (poste ou article)",IF(M332&lt;=0,"Arrêts planifiés supérieurs au temps d'ouverture",IF(O332&lt;0,"Arrêts supérieurs au temps requis",IF(AND(P332&gt;0,O332=0),"Pièces déclarées sans temps de marche",IF(AND(P332=0,O332&gt;0),"Aucune pièce déclarée",IF(P332*60/Q332&gt;O332+0.001,"Cadence dépassée : vérifiez la cadence","OK"))))))))))))))))))</f>
        <v>OK</v>
      </c>
      <c r="AC332">
        <f>IF(OR(AB332="OK",AB332="Aucune pièce déclarée",AB332="Cadence dépassée : vérifiez la cadence"),1,0)</f>
        <v>1.0</v>
      </c>
      <c r="AD332">
        <f>IF(AND(AC332=1,A332&gt;=p_from,A332&lt;=p_to),1,0)</f>
        <v>1.0</v>
      </c>
      <c r="AE332">
        <f>IF(AD332=1,IF(COUNTIFS($A$6:A332,A332,$AD$6:AD332,1)=1,1,0),0)</f>
        <v>0.0</v>
      </c>
      <c r="AF332" t="str">
        <f>IF(AE332=1,COUNTIFS(sj_first,1,sj_date,"&lt;"&amp;A332)+1,"")</f>
        <v/>
      </c>
      <c r="AG332" t="str">
        <f>IF(AND(AD332=1,N(W332)&lt;p_alert),ROUND(W332,4),"")</f>
        <v/>
      </c>
      <c r="AH332" t="str">
        <f>IF(AG332="","",COUNTIF(sj_akey,"&lt;"&amp;AG332)+COUNTIF($AG$6:AG332,AG332))</f>
        <v/>
      </c>
    </row>
    <row r="333">
      <c r="A333" s="51" t="n">
        <v>46330</v>
      </c>
      <c r="B333" s="52" t="inlineStr">
        <is>
          <t>Journée</t>
        </is>
      </c>
      <c r="C333" s="52" t="inlineStr">
        <is>
          <t>PLIE</t>
        </is>
      </c>
      <c r="D333" s="53" t="inlineStr">
        <is>
          <t>OF-2611-206</t>
        </is>
      </c>
      <c r="E333" s="53" t="inlineStr">
        <is>
          <t>SUP-MOT-01</t>
        </is>
      </c>
      <c r="F333" s="54" t="n"/>
      <c r="G333" s="54" t="n">
        <v>503</v>
      </c>
      <c r="H333" s="54" t="n">
        <v>13</v>
      </c>
      <c r="I333" s="54" t="n">
        <v>1</v>
      </c>
      <c r="J333" s="53" t="n"/>
      <c r="K333" s="55">
        <f>IF(COUNTA(A333:I333)=0,"",IF(F333="",IFERROR(INDEX(eq_dur,MATCH(B333,eq_code,0)),""),F333))</f>
        <v>540.0</v>
      </c>
      <c r="L333" s="55">
        <f>IF(ISNUMBER(K333),N(IFERROR(INDEX(eq_pause,MATCH(B333,eq_code,0)),0))+SUMIFS(st_min,st_date,A333,st_eq,B333,st_po,C333,st_type,"Planifié"),"")</f>
        <v>60.0</v>
      </c>
      <c r="M333" s="55">
        <f>IF(ISNUMBER(K333),K333-L333,"")</f>
        <v>480.0</v>
      </c>
      <c r="N333" s="55">
        <f>IF(ISNUMBER(K333),SUMIFS(st_min,st_date,A333,st_eq,B333,st_po,C333,st_type,"Non planifié"),"")</f>
        <v>44.0</v>
      </c>
      <c r="O333" s="55">
        <f>IF(ISNUMBER(K333),M333-N333,"")</f>
        <v>436.0</v>
      </c>
      <c r="P333" s="55">
        <f>IF(COUNTA(A333:I333)=0,"",N(G333)+N(H333)+N(I333))</f>
        <v>517.0</v>
      </c>
      <c r="Q333" s="56">
        <f>IF(COUNTA(A333:I333)=0,"",IF(N(IFERROR(INDEX(art_rate,MATCH(E333,art_ref,0)),0))&gt;0,N(IFERROR(INDEX(art_rate,MATCH(E333,art_ref,0)),0)),N(IFERROR(INDEX(po_rate,MATCH(C333,po_code,0)),0))))</f>
        <v>90.0</v>
      </c>
      <c r="R333" s="55">
        <f>IF(AC333=1,P333*60/Q333,"")</f>
        <v>344.666666666667</v>
      </c>
      <c r="S333" s="55">
        <f>IF(AC333=1,N(G333)*60/Q333,"")</f>
        <v>335.333333333333</v>
      </c>
      <c r="T333" s="57">
        <f>IF(AC333=1,O333/M333,"")</f>
        <v>0.908333333333333</v>
      </c>
      <c r="U333" s="57">
        <f>IF(AC333=1,IF(O333&gt;0,R333/O333,""),"")</f>
        <v>0.790519877675841</v>
      </c>
      <c r="V333" s="57">
        <f>IF(AC333=1,IF(P333&gt;0,N(G333)/P333,""),"")</f>
        <v>0.972920696324952</v>
      </c>
      <c r="W333" s="57">
        <f>IF(AC333=1,S333/M333,"")</f>
        <v>0.698611111111111</v>
      </c>
      <c r="X333" s="57">
        <f>IF(AC333=1,S333/K333,"")</f>
        <v>0.620987654320988</v>
      </c>
      <c r="Y333" s="58" t="str">
        <f>IF(W333="","",IF(W333&gt;=p_target,"Bon",IF(W333&gt;=p_alert,"À surveiller","Faible")))</f>
        <v>À surveiller</v>
      </c>
      <c r="Z333" s="58" t="str">
        <f>IF(W333="","",IF(MIN(IF(T333="",1,T333),IF(U333="",1,U333),IF(V333="",1,V333))&gt;=1,"Aucune",IF(IF(T333="",1,T333)&lt;=MIN(IF(U333="",1,U333),IF(V333="",1,V333)),"Disponibilité",IF(IF(U333="",1,U333)&lt;=IF(V333="",1,V333),"Performance","Qualité"))))</f>
        <v>Performance</v>
      </c>
      <c r="AA333" s="59">
        <f>IF(AC333=1,N(H333)*N(IFERROR(INDEX(art_cost,MATCH(E333,art_ref,0)),0)),"")</f>
        <v>832.0</v>
      </c>
      <c r="AB333" s="58" t="str">
        <f>IF(COUNTA(A333:I333)=0,"",IF(N(A333)&lt;=0,"Date manquante ou invalide",IF(B333="","Équipe manquante",IF(ISNA(MATCH(B333,eq_code,0)),"Équipe inconnue",IF(INDEX(eq_check,MATCH(B333,eq_code,0))&lt;&gt;"OK","Équipe à corriger dans Paramètres",IF(C333="","Poste manquant",IF(ISNA(MATCH(C333,po_code,0)),"Poste inconnu",IF(AND(E333&lt;&gt;"",ISNA(MATCH(E333,art_ref,0))),"Article inconnu",IF(IF(E333="",FALSE,INDEX(art_check,MATCH(E333,art_ref,0))&lt;&gt;"OK"),"Article à corriger (feuille Articles)",IF(COUNTIFS(sj_date,A333,sj_eq,B333,sj_po,C333)&gt;1,"Ligne en double (même jour, équipe et poste)",IF(OR(NOT(ISNUMBER(K333)),N(K333)&lt;=0,N(K333)&gt;1440),"Temps d'ouverture invalide",IF(OR(AND(G333&lt;&gt;"",NOT(ISNUMBER(G333))),N(G333)&lt;0,N(G333)&lt;&gt;INT(N(G333)),AND(H333&lt;&gt;"",NOT(ISNUMBER(H333))),N(H333)&lt;0,N(H333)&lt;&gt;INT(N(H333)),AND(I333&lt;&gt;"",NOT(ISNUMBER(I333))),N(I333)&lt;0,N(I333)&lt;&gt;INT(N(I333))),"Quantité invalide",IF(Q333&lt;=0,"Cadence manquante (poste ou article)",IF(M333&lt;=0,"Arrêts planifiés supérieurs au temps d'ouverture",IF(O333&lt;0,"Arrêts supérieurs au temps requis",IF(AND(P333&gt;0,O333=0),"Pièces déclarées sans temps de marche",IF(AND(P333=0,O333&gt;0),"Aucune pièce déclarée",IF(P333*60/Q333&gt;O333+0.001,"Cadence dépassée : vérifiez la cadence","OK"))))))))))))))))))</f>
        <v>OK</v>
      </c>
      <c r="AC333">
        <f>IF(OR(AB333="OK",AB333="Aucune pièce déclarée",AB333="Cadence dépassée : vérifiez la cadence"),1,0)</f>
        <v>1.0</v>
      </c>
      <c r="AD333">
        <f>IF(AND(AC333=1,A333&gt;=p_from,A333&lt;=p_to),1,0)</f>
        <v>1.0</v>
      </c>
      <c r="AE333">
        <f>IF(AD333=1,IF(COUNTIFS($A$6:A333,A333,$AD$6:AD333,1)=1,1,0),0)</f>
        <v>0.0</v>
      </c>
      <c r="AF333" t="str">
        <f>IF(AE333=1,COUNTIFS(sj_first,1,sj_date,"&lt;"&amp;A333)+1,"")</f>
        <v/>
      </c>
      <c r="AG333" t="str">
        <f>IF(AND(AD333=1,N(W333)&lt;p_alert),ROUND(W333,4),"")</f>
        <v/>
      </c>
      <c r="AH333" t="str">
        <f>IF(AG333="","",COUNTIF(sj_akey,"&lt;"&amp;AG333)+COUNTIF($AG$6:AG333,AG333))</f>
        <v/>
      </c>
    </row>
    <row r="334">
      <c r="A334" s="51" t="n">
        <v>46330</v>
      </c>
      <c r="B334" s="52" t="inlineStr">
        <is>
          <t>Matin</t>
        </is>
      </c>
      <c r="C334" s="52" t="inlineStr">
        <is>
          <t>SOUD</t>
        </is>
      </c>
      <c r="D334" s="53" t="inlineStr">
        <is>
          <t>OF-2610-197</t>
        </is>
      </c>
      <c r="E334" s="53" t="inlineStr">
        <is>
          <t>CHA-REM-01</t>
        </is>
      </c>
      <c r="F334" s="54" t="n"/>
      <c r="G334" s="54" t="n">
        <v>24</v>
      </c>
      <c r="H334" s="54" t="n">
        <v>0</v>
      </c>
      <c r="I334" s="54" t="n">
        <v>0</v>
      </c>
      <c r="J334" s="53" t="n"/>
      <c r="K334" s="55">
        <f>IF(COUNTA(A334:I334)=0,"",IF(F334="",IFERROR(INDEX(eq_dur,MATCH(B334,eq_code,0)),""),F334))</f>
        <v>480.0</v>
      </c>
      <c r="L334" s="55">
        <f>IF(ISNUMBER(K334),N(IFERROR(INDEX(eq_pause,MATCH(B334,eq_code,0)),0))+SUMIFS(st_min,st_date,A334,st_eq,B334,st_po,C334,st_type,"Planifié"),"")</f>
        <v>30.0</v>
      </c>
      <c r="M334" s="55">
        <f>IF(ISNUMBER(K334),K334-L334,"")</f>
        <v>450.0</v>
      </c>
      <c r="N334" s="55">
        <f>IF(ISNUMBER(K334),SUMIFS(st_min,st_date,A334,st_eq,B334,st_po,C334,st_type,"Non planifié"),"")</f>
        <v>5.0</v>
      </c>
      <c r="O334" s="55">
        <f>IF(ISNUMBER(K334),M334-N334,"")</f>
        <v>445.0</v>
      </c>
      <c r="P334" s="55">
        <f>IF(COUNTA(A334:I334)=0,"",N(G334)+N(H334)+N(I334))</f>
        <v>24.0</v>
      </c>
      <c r="Q334" s="56">
        <f>IF(COUNTA(A334:I334)=0,"",IF(N(IFERROR(INDEX(art_rate,MATCH(E334,art_ref,0)),0))&gt;0,N(IFERROR(INDEX(art_rate,MATCH(E334,art_ref,0)),0)),N(IFERROR(INDEX(po_rate,MATCH(C334,po_code,0)),0))))</f>
        <v>4.0</v>
      </c>
      <c r="R334" s="55">
        <f>IF(AC334=1,P334*60/Q334,"")</f>
        <v>360.0</v>
      </c>
      <c r="S334" s="55">
        <f>IF(AC334=1,N(G334)*60/Q334,"")</f>
        <v>360.0</v>
      </c>
      <c r="T334" s="57">
        <f>IF(AC334=1,O334/M334,"")</f>
        <v>0.988888888888889</v>
      </c>
      <c r="U334" s="57">
        <f>IF(AC334=1,IF(O334&gt;0,R334/O334,""),"")</f>
        <v>0.808988764044944</v>
      </c>
      <c r="V334" s="57">
        <f>IF(AC334=1,IF(P334&gt;0,N(G334)/P334,""),"")</f>
        <v>1.0</v>
      </c>
      <c r="W334" s="57">
        <f>IF(AC334=1,S334/M334,"")</f>
        <v>0.8</v>
      </c>
      <c r="X334" s="57">
        <f>IF(AC334=1,S334/K334,"")</f>
        <v>0.75</v>
      </c>
      <c r="Y334" s="58" t="str">
        <f>IF(W334="","",IF(W334&gt;=p_target,"Bon",IF(W334&gt;=p_alert,"À surveiller","Faible")))</f>
        <v>Bon</v>
      </c>
      <c r="Z334" s="58" t="str">
        <f>IF(W334="","",IF(MIN(IF(T334="",1,T334),IF(U334="",1,U334),IF(V334="",1,V334))&gt;=1,"Aucune",IF(IF(T334="",1,T334)&lt;=MIN(IF(U334="",1,U334),IF(V334="",1,V334)),"Disponibilité",IF(IF(U334="",1,U334)&lt;=IF(V334="",1,V334),"Performance","Qualité"))))</f>
        <v>Performance</v>
      </c>
      <c r="AA334" s="59">
        <f>IF(AC334=1,N(H334)*N(IFERROR(INDEX(art_cost,MATCH(E334,art_ref,0)),0)),"")</f>
        <v>0.0</v>
      </c>
      <c r="AB334" s="58" t="str">
        <f>IF(COUNTA(A334:I334)=0,"",IF(N(A334)&lt;=0,"Date manquante ou invalide",IF(B334="","Équipe manquante",IF(ISNA(MATCH(B334,eq_code,0)),"Équipe inconnue",IF(INDEX(eq_check,MATCH(B334,eq_code,0))&lt;&gt;"OK","Équipe à corriger dans Paramètres",IF(C334="","Poste manquant",IF(ISNA(MATCH(C334,po_code,0)),"Poste inconnu",IF(AND(E334&lt;&gt;"",ISNA(MATCH(E334,art_ref,0))),"Article inconnu",IF(IF(E334="",FALSE,INDEX(art_check,MATCH(E334,art_ref,0))&lt;&gt;"OK"),"Article à corriger (feuille Articles)",IF(COUNTIFS(sj_date,A334,sj_eq,B334,sj_po,C334)&gt;1,"Ligne en double (même jour, équipe et poste)",IF(OR(NOT(ISNUMBER(K334)),N(K334)&lt;=0,N(K334)&gt;1440),"Temps d'ouverture invalide",IF(OR(AND(G334&lt;&gt;"",NOT(ISNUMBER(G334))),N(G334)&lt;0,N(G334)&lt;&gt;INT(N(G334)),AND(H334&lt;&gt;"",NOT(ISNUMBER(H334))),N(H334)&lt;0,N(H334)&lt;&gt;INT(N(H334)),AND(I334&lt;&gt;"",NOT(ISNUMBER(I334))),N(I334)&lt;0,N(I334)&lt;&gt;INT(N(I334))),"Quantité invalide",IF(Q334&lt;=0,"Cadence manquante (poste ou article)",IF(M334&lt;=0,"Arrêts planifiés supérieurs au temps d'ouverture",IF(O334&lt;0,"Arrêts supérieurs au temps requis",IF(AND(P334&gt;0,O334=0),"Pièces déclarées sans temps de marche",IF(AND(P334=0,O334&gt;0),"Aucune pièce déclarée",IF(P334*60/Q334&gt;O334+0.001,"Cadence dépassée : vérifiez la cadence","OK"))))))))))))))))))</f>
        <v>OK</v>
      </c>
      <c r="AC334">
        <f>IF(OR(AB334="OK",AB334="Aucune pièce déclarée",AB334="Cadence dépassée : vérifiez la cadence"),1,0)</f>
        <v>1.0</v>
      </c>
      <c r="AD334">
        <f>IF(AND(AC334=1,A334&gt;=p_from,A334&lt;=p_to),1,0)</f>
        <v>1.0</v>
      </c>
      <c r="AE334">
        <f>IF(AD334=1,IF(COUNTIFS($A$6:A334,A334,$AD$6:AD334,1)=1,1,0),0)</f>
        <v>0.0</v>
      </c>
      <c r="AF334" t="str">
        <f>IF(AE334=1,COUNTIFS(sj_first,1,sj_date,"&lt;"&amp;A334)+1,"")</f>
        <v/>
      </c>
      <c r="AG334" t="str">
        <f>IF(AND(AD334=1,N(W334)&lt;p_alert),ROUND(W334,4),"")</f>
        <v/>
      </c>
      <c r="AH334" t="str">
        <f>IF(AG334="","",COUNTIF(sj_akey,"&lt;"&amp;AG334)+COUNTIF($AG$6:AG334,AG334))</f>
        <v/>
      </c>
    </row>
    <row r="335">
      <c r="A335" s="51" t="n">
        <v>46330</v>
      </c>
      <c r="B335" s="52" t="inlineStr">
        <is>
          <t>Après-midi</t>
        </is>
      </c>
      <c r="C335" s="52" t="inlineStr">
        <is>
          <t>SOUD</t>
        </is>
      </c>
      <c r="D335" s="53" t="inlineStr">
        <is>
          <t>OF-2611-207</t>
        </is>
      </c>
      <c r="E335" s="53" t="inlineStr">
        <is>
          <t>CHA-REM-01</t>
        </is>
      </c>
      <c r="F335" s="54" t="n"/>
      <c r="G335" s="54" t="n">
        <v>24</v>
      </c>
      <c r="H335" s="54" t="n">
        <v>0</v>
      </c>
      <c r="I335" s="54" t="n">
        <v>0</v>
      </c>
      <c r="J335" s="53" t="n"/>
      <c r="K335" s="55">
        <f>IF(COUNTA(A335:I335)=0,"",IF(F335="",IFERROR(INDEX(eq_dur,MATCH(B335,eq_code,0)),""),F335))</f>
        <v>480.0</v>
      </c>
      <c r="L335" s="55">
        <f>IF(ISNUMBER(K335),N(IFERROR(INDEX(eq_pause,MATCH(B335,eq_code,0)),0))+SUMIFS(st_min,st_date,A335,st_eq,B335,st_po,C335,st_type,"Planifié"),"")</f>
        <v>30.0</v>
      </c>
      <c r="M335" s="55">
        <f>IF(ISNUMBER(K335),K335-L335,"")</f>
        <v>450.0</v>
      </c>
      <c r="N335" s="55">
        <f>IF(ISNUMBER(K335),SUMIFS(st_min,st_date,A335,st_eq,B335,st_po,C335,st_type,"Non planifié"),"")</f>
        <v>43.0</v>
      </c>
      <c r="O335" s="55">
        <f>IF(ISNUMBER(K335),M335-N335,"")</f>
        <v>407.0</v>
      </c>
      <c r="P335" s="55">
        <f>IF(COUNTA(A335:I335)=0,"",N(G335)+N(H335)+N(I335))</f>
        <v>24.0</v>
      </c>
      <c r="Q335" s="56">
        <f>IF(COUNTA(A335:I335)=0,"",IF(N(IFERROR(INDEX(art_rate,MATCH(E335,art_ref,0)),0))&gt;0,N(IFERROR(INDEX(art_rate,MATCH(E335,art_ref,0)),0)),N(IFERROR(INDEX(po_rate,MATCH(C335,po_code,0)),0))))</f>
        <v>4.0</v>
      </c>
      <c r="R335" s="55">
        <f>IF(AC335=1,P335*60/Q335,"")</f>
        <v>360.0</v>
      </c>
      <c r="S335" s="55">
        <f>IF(AC335=1,N(G335)*60/Q335,"")</f>
        <v>360.0</v>
      </c>
      <c r="T335" s="57">
        <f>IF(AC335=1,O335/M335,"")</f>
        <v>0.904444444444445</v>
      </c>
      <c r="U335" s="57">
        <f>IF(AC335=1,IF(O335&gt;0,R335/O335,""),"")</f>
        <v>0.884520884520885</v>
      </c>
      <c r="V335" s="57">
        <f>IF(AC335=1,IF(P335&gt;0,N(G335)/P335,""),"")</f>
        <v>1.0</v>
      </c>
      <c r="W335" s="57">
        <f>IF(AC335=1,S335/M335,"")</f>
        <v>0.8</v>
      </c>
      <c r="X335" s="57">
        <f>IF(AC335=1,S335/K335,"")</f>
        <v>0.75</v>
      </c>
      <c r="Y335" s="58" t="str">
        <f>IF(W335="","",IF(W335&gt;=p_target,"Bon",IF(W335&gt;=p_alert,"À surveiller","Faible")))</f>
        <v>Bon</v>
      </c>
      <c r="Z335" s="58" t="str">
        <f>IF(W335="","",IF(MIN(IF(T335="",1,T335),IF(U335="",1,U335),IF(V335="",1,V335))&gt;=1,"Aucune",IF(IF(T335="",1,T335)&lt;=MIN(IF(U335="",1,U335),IF(V335="",1,V335)),"Disponibilité",IF(IF(U335="",1,U335)&lt;=IF(V335="",1,V335),"Performance","Qualité"))))</f>
        <v>Performance</v>
      </c>
      <c r="AA335" s="59">
        <f>IF(AC335=1,N(H335)*N(IFERROR(INDEX(art_cost,MATCH(E335,art_ref,0)),0)),"")</f>
        <v>0.0</v>
      </c>
      <c r="AB335" s="58" t="str">
        <f>IF(COUNTA(A335:I335)=0,"",IF(N(A335)&lt;=0,"Date manquante ou invalide",IF(B335="","Équipe manquante",IF(ISNA(MATCH(B335,eq_code,0)),"Équipe inconnue",IF(INDEX(eq_check,MATCH(B335,eq_code,0))&lt;&gt;"OK","Équipe à corriger dans Paramètres",IF(C335="","Poste manquant",IF(ISNA(MATCH(C335,po_code,0)),"Poste inconnu",IF(AND(E335&lt;&gt;"",ISNA(MATCH(E335,art_ref,0))),"Article inconnu",IF(IF(E335="",FALSE,INDEX(art_check,MATCH(E335,art_ref,0))&lt;&gt;"OK"),"Article à corriger (feuille Articles)",IF(COUNTIFS(sj_date,A335,sj_eq,B335,sj_po,C335)&gt;1,"Ligne en double (même jour, équipe et poste)",IF(OR(NOT(ISNUMBER(K335)),N(K335)&lt;=0,N(K335)&gt;1440),"Temps d'ouverture invalide",IF(OR(AND(G335&lt;&gt;"",NOT(ISNUMBER(G335))),N(G335)&lt;0,N(G335)&lt;&gt;INT(N(G335)),AND(H335&lt;&gt;"",NOT(ISNUMBER(H335))),N(H335)&lt;0,N(H335)&lt;&gt;INT(N(H335)),AND(I335&lt;&gt;"",NOT(ISNUMBER(I335))),N(I335)&lt;0,N(I335)&lt;&gt;INT(N(I335))),"Quantité invalide",IF(Q335&lt;=0,"Cadence manquante (poste ou article)",IF(M335&lt;=0,"Arrêts planifiés supérieurs au temps d'ouverture",IF(O335&lt;0,"Arrêts supérieurs au temps requis",IF(AND(P335&gt;0,O335=0),"Pièces déclarées sans temps de marche",IF(AND(P335=0,O335&gt;0),"Aucune pièce déclarée",IF(P335*60/Q335&gt;O335+0.001,"Cadence dépassée : vérifiez la cadence","OK"))))))))))))))))))</f>
        <v>OK</v>
      </c>
      <c r="AC335">
        <f>IF(OR(AB335="OK",AB335="Aucune pièce déclarée",AB335="Cadence dépassée : vérifiez la cadence"),1,0)</f>
        <v>1.0</v>
      </c>
      <c r="AD335">
        <f>IF(AND(AC335=1,A335&gt;=p_from,A335&lt;=p_to),1,0)</f>
        <v>1.0</v>
      </c>
      <c r="AE335">
        <f>IF(AD335=1,IF(COUNTIFS($A$6:A335,A335,$AD$6:AD335,1)=1,1,0),0)</f>
        <v>0.0</v>
      </c>
      <c r="AF335" t="str">
        <f>IF(AE335=1,COUNTIFS(sj_first,1,sj_date,"&lt;"&amp;A335)+1,"")</f>
        <v/>
      </c>
      <c r="AG335" t="str">
        <f>IF(AND(AD335=1,N(W335)&lt;p_alert),ROUND(W335,4),"")</f>
        <v/>
      </c>
      <c r="AH335" t="str">
        <f>IF(AG335="","",COUNTIF(sj_akey,"&lt;"&amp;AG335)+COUNTIF($AG$6:AG335,AG335))</f>
        <v/>
      </c>
    </row>
    <row r="336">
      <c r="A336" s="51" t="n"/>
      <c r="B336" s="52" t="n"/>
      <c r="C336" s="52" t="n"/>
      <c r="D336" s="53" t="n"/>
      <c r="E336" s="53" t="n"/>
      <c r="F336" s="54" t="n"/>
      <c r="G336" s="54" t="n"/>
      <c r="H336" s="54" t="n"/>
      <c r="I336" s="54" t="n"/>
      <c r="J336" s="53" t="n"/>
      <c r="K336" s="55" t="str">
        <f>IF(COUNTA(A336:I336)=0,"",IF(F336="",IFERROR(INDEX(eq_dur,MATCH(B336,eq_code,0)),""),F336))</f>
        <v/>
      </c>
      <c r="L336" s="55" t="str">
        <f>IF(ISNUMBER(K336),N(IFERROR(INDEX(eq_pause,MATCH(B336,eq_code,0)),0))+SUMIFS(st_min,st_date,A336,st_eq,B336,st_po,C336,st_type,"Planifié"),"")</f>
        <v/>
      </c>
      <c r="M336" s="55" t="str">
        <f>IF(ISNUMBER(K336),K336-L336,"")</f>
        <v/>
      </c>
      <c r="N336" s="55" t="str">
        <f>IF(ISNUMBER(K336),SUMIFS(st_min,st_date,A336,st_eq,B336,st_po,C336,st_type,"Non planifié"),"")</f>
        <v/>
      </c>
      <c r="O336" s="55" t="str">
        <f>IF(ISNUMBER(K336),M336-N336,"")</f>
        <v/>
      </c>
      <c r="P336" s="55" t="str">
        <f>IF(COUNTA(A336:I336)=0,"",N(G336)+N(H336)+N(I336))</f>
        <v/>
      </c>
      <c r="Q336" s="56" t="str">
        <f>IF(COUNTA(A336:I336)=0,"",IF(N(IFERROR(INDEX(art_rate,MATCH(E336,art_ref,0)),0))&gt;0,N(IFERROR(INDEX(art_rate,MATCH(E336,art_ref,0)),0)),N(IFERROR(INDEX(po_rate,MATCH(C336,po_code,0)),0))))</f>
        <v/>
      </c>
      <c r="R336" s="55" t="str">
        <f>IF(AC336=1,P336*60/Q336,"")</f>
        <v/>
      </c>
      <c r="S336" s="55" t="str">
        <f>IF(AC336=1,N(G336)*60/Q336,"")</f>
        <v/>
      </c>
      <c r="T336" s="57" t="str">
        <f>IF(AC336=1,O336/M336,"")</f>
        <v/>
      </c>
      <c r="U336" s="57" t="str">
        <f>IF(AC336=1,IF(O336&gt;0,R336/O336,""),"")</f>
        <v/>
      </c>
      <c r="V336" s="57" t="str">
        <f>IF(AC336=1,IF(P336&gt;0,N(G336)/P336,""),"")</f>
        <v/>
      </c>
      <c r="W336" s="57" t="str">
        <f>IF(AC336=1,S336/M336,"")</f>
        <v/>
      </c>
      <c r="X336" s="57" t="str">
        <f>IF(AC336=1,S336/K336,"")</f>
        <v/>
      </c>
      <c r="Y336" s="58" t="str">
        <f>IF(W336="","",IF(W336&gt;=p_target,"Bon",IF(W336&gt;=p_alert,"À surveiller","Faible")))</f>
        <v/>
      </c>
      <c r="Z336" s="58" t="str">
        <f>IF(W336="","",IF(MIN(IF(T336="",1,T336),IF(U336="",1,U336),IF(V336="",1,V336))&gt;=1,"Aucune",IF(IF(T336="",1,T336)&lt;=MIN(IF(U336="",1,U336),IF(V336="",1,V336)),"Disponibilité",IF(IF(U336="",1,U336)&lt;=IF(V336="",1,V336),"Performance","Qualité"))))</f>
        <v/>
      </c>
      <c r="AA336" s="59" t="str">
        <f>IF(AC336=1,N(H336)*N(IFERROR(INDEX(art_cost,MATCH(E336,art_ref,0)),0)),"")</f>
        <v/>
      </c>
      <c r="AB336" s="58" t="str">
        <f>IF(COUNTA(A336:I336)=0,"",IF(N(A336)&lt;=0,"Date manquante ou invalide",IF(B336="","Équipe manquante",IF(ISNA(MATCH(B336,eq_code,0)),"Équipe inconnue",IF(INDEX(eq_check,MATCH(B336,eq_code,0))&lt;&gt;"OK","Équipe à corriger dans Paramètres",IF(C336="","Poste manquant",IF(ISNA(MATCH(C336,po_code,0)),"Poste inconnu",IF(AND(E336&lt;&gt;"",ISNA(MATCH(E336,art_ref,0))),"Article inconnu",IF(IF(E336="",FALSE,INDEX(art_check,MATCH(E336,art_ref,0))&lt;&gt;"OK"),"Article à corriger (feuille Articles)",IF(COUNTIFS(sj_date,A336,sj_eq,B336,sj_po,C336)&gt;1,"Ligne en double (même jour, équipe et poste)",IF(OR(NOT(ISNUMBER(K336)),N(K336)&lt;=0,N(K336)&gt;1440),"Temps d'ouverture invalide",IF(OR(AND(G336&lt;&gt;"",NOT(ISNUMBER(G336))),N(G336)&lt;0,N(G336)&lt;&gt;INT(N(G336)),AND(H336&lt;&gt;"",NOT(ISNUMBER(H336))),N(H336)&lt;0,N(H336)&lt;&gt;INT(N(H336)),AND(I336&lt;&gt;"",NOT(ISNUMBER(I336))),N(I336)&lt;0,N(I336)&lt;&gt;INT(N(I336))),"Quantité invalide",IF(Q336&lt;=0,"Cadence manquante (poste ou article)",IF(M336&lt;=0,"Arrêts planifiés supérieurs au temps d'ouverture",IF(O336&lt;0,"Arrêts supérieurs au temps requis",IF(AND(P336&gt;0,O336=0),"Pièces déclarées sans temps de marche",IF(AND(P336=0,O336&gt;0),"Aucune pièce déclarée",IF(P336*60/Q336&gt;O336+0.001,"Cadence dépassée : vérifiez la cadence","OK"))))))))))))))))))</f>
        <v/>
      </c>
      <c r="AC336">
        <f>IF(OR(AB336="OK",AB336="Aucune pièce déclarée",AB336="Cadence dépassée : vérifiez la cadence"),1,0)</f>
        <v>0.0</v>
      </c>
      <c r="AD336">
        <f>IF(AND(AC336=1,A336&gt;=p_from,A336&lt;=p_to),1,0)</f>
        <v>0.0</v>
      </c>
      <c r="AE336">
        <f>IF(AD336=1,IF(COUNTIFS($A$6:A336,A336,$AD$6:AD336,1)=1,1,0),0)</f>
        <v>0.0</v>
      </c>
      <c r="AF336" t="str">
        <f>IF(AE336=1,COUNTIFS(sj_first,1,sj_date,"&lt;"&amp;A336)+1,"")</f>
        <v/>
      </c>
      <c r="AG336" t="str">
        <f>IF(AND(AD336=1,N(W336)&lt;p_alert),ROUND(W336,4),"")</f>
        <v/>
      </c>
      <c r="AH336" t="str">
        <f>IF(AG336="","",COUNTIF(sj_akey,"&lt;"&amp;AG336)+COUNTIF($AG$6:AG336,AG336))</f>
        <v/>
      </c>
    </row>
    <row r="337">
      <c r="A337" s="51" t="n"/>
      <c r="B337" s="52" t="n"/>
      <c r="C337" s="52" t="n"/>
      <c r="D337" s="53" t="n"/>
      <c r="E337" s="53" t="n"/>
      <c r="F337" s="54" t="n"/>
      <c r="G337" s="54" t="n"/>
      <c r="H337" s="54" t="n"/>
      <c r="I337" s="54" t="n"/>
      <c r="J337" s="53" t="n"/>
      <c r="K337" s="55" t="str">
        <f>IF(COUNTA(A337:I337)=0,"",IF(F337="",IFERROR(INDEX(eq_dur,MATCH(B337,eq_code,0)),""),F337))</f>
        <v/>
      </c>
      <c r="L337" s="55" t="str">
        <f>IF(ISNUMBER(K337),N(IFERROR(INDEX(eq_pause,MATCH(B337,eq_code,0)),0))+SUMIFS(st_min,st_date,A337,st_eq,B337,st_po,C337,st_type,"Planifié"),"")</f>
        <v/>
      </c>
      <c r="M337" s="55" t="str">
        <f>IF(ISNUMBER(K337),K337-L337,"")</f>
        <v/>
      </c>
      <c r="N337" s="55" t="str">
        <f>IF(ISNUMBER(K337),SUMIFS(st_min,st_date,A337,st_eq,B337,st_po,C337,st_type,"Non planifié"),"")</f>
        <v/>
      </c>
      <c r="O337" s="55" t="str">
        <f>IF(ISNUMBER(K337),M337-N337,"")</f>
        <v/>
      </c>
      <c r="P337" s="55" t="str">
        <f>IF(COUNTA(A337:I337)=0,"",N(G337)+N(H337)+N(I337))</f>
        <v/>
      </c>
      <c r="Q337" s="56" t="str">
        <f>IF(COUNTA(A337:I337)=0,"",IF(N(IFERROR(INDEX(art_rate,MATCH(E337,art_ref,0)),0))&gt;0,N(IFERROR(INDEX(art_rate,MATCH(E337,art_ref,0)),0)),N(IFERROR(INDEX(po_rate,MATCH(C337,po_code,0)),0))))</f>
        <v/>
      </c>
      <c r="R337" s="55" t="str">
        <f>IF(AC337=1,P337*60/Q337,"")</f>
        <v/>
      </c>
      <c r="S337" s="55" t="str">
        <f>IF(AC337=1,N(G337)*60/Q337,"")</f>
        <v/>
      </c>
      <c r="T337" s="57" t="str">
        <f>IF(AC337=1,O337/M337,"")</f>
        <v/>
      </c>
      <c r="U337" s="57" t="str">
        <f>IF(AC337=1,IF(O337&gt;0,R337/O337,""),"")</f>
        <v/>
      </c>
      <c r="V337" s="57" t="str">
        <f>IF(AC337=1,IF(P337&gt;0,N(G337)/P337,""),"")</f>
        <v/>
      </c>
      <c r="W337" s="57" t="str">
        <f>IF(AC337=1,S337/M337,"")</f>
        <v/>
      </c>
      <c r="X337" s="57" t="str">
        <f>IF(AC337=1,S337/K337,"")</f>
        <v/>
      </c>
      <c r="Y337" s="58" t="str">
        <f>IF(W337="","",IF(W337&gt;=p_target,"Bon",IF(W337&gt;=p_alert,"À surveiller","Faible")))</f>
        <v/>
      </c>
      <c r="Z337" s="58" t="str">
        <f>IF(W337="","",IF(MIN(IF(T337="",1,T337),IF(U337="",1,U337),IF(V337="",1,V337))&gt;=1,"Aucune",IF(IF(T337="",1,T337)&lt;=MIN(IF(U337="",1,U337),IF(V337="",1,V337)),"Disponibilité",IF(IF(U337="",1,U337)&lt;=IF(V337="",1,V337),"Performance","Qualité"))))</f>
        <v/>
      </c>
      <c r="AA337" s="59" t="str">
        <f>IF(AC337=1,N(H337)*N(IFERROR(INDEX(art_cost,MATCH(E337,art_ref,0)),0)),"")</f>
        <v/>
      </c>
      <c r="AB337" s="58" t="str">
        <f>IF(COUNTA(A337:I337)=0,"",IF(N(A337)&lt;=0,"Date manquante ou invalide",IF(B337="","Équipe manquante",IF(ISNA(MATCH(B337,eq_code,0)),"Équipe inconnue",IF(INDEX(eq_check,MATCH(B337,eq_code,0))&lt;&gt;"OK","Équipe à corriger dans Paramètres",IF(C337="","Poste manquant",IF(ISNA(MATCH(C337,po_code,0)),"Poste inconnu",IF(AND(E337&lt;&gt;"",ISNA(MATCH(E337,art_ref,0))),"Article inconnu",IF(IF(E337="",FALSE,INDEX(art_check,MATCH(E337,art_ref,0))&lt;&gt;"OK"),"Article à corriger (feuille Articles)",IF(COUNTIFS(sj_date,A337,sj_eq,B337,sj_po,C337)&gt;1,"Ligne en double (même jour, équipe et poste)",IF(OR(NOT(ISNUMBER(K337)),N(K337)&lt;=0,N(K337)&gt;1440),"Temps d'ouverture invalide",IF(OR(AND(G337&lt;&gt;"",NOT(ISNUMBER(G337))),N(G337)&lt;0,N(G337)&lt;&gt;INT(N(G337)),AND(H337&lt;&gt;"",NOT(ISNUMBER(H337))),N(H337)&lt;0,N(H337)&lt;&gt;INT(N(H337)),AND(I337&lt;&gt;"",NOT(ISNUMBER(I337))),N(I337)&lt;0,N(I337)&lt;&gt;INT(N(I337))),"Quantité invalide",IF(Q337&lt;=0,"Cadence manquante (poste ou article)",IF(M337&lt;=0,"Arrêts planifiés supérieurs au temps d'ouverture",IF(O337&lt;0,"Arrêts supérieurs au temps requis",IF(AND(P337&gt;0,O337=0),"Pièces déclarées sans temps de marche",IF(AND(P337=0,O337&gt;0),"Aucune pièce déclarée",IF(P337*60/Q337&gt;O337+0.001,"Cadence dépassée : vérifiez la cadence","OK"))))))))))))))))))</f>
        <v/>
      </c>
      <c r="AC337">
        <f>IF(OR(AB337="OK",AB337="Aucune pièce déclarée",AB337="Cadence dépassée : vérifiez la cadence"),1,0)</f>
        <v>0.0</v>
      </c>
      <c r="AD337">
        <f>IF(AND(AC337=1,A337&gt;=p_from,A337&lt;=p_to),1,0)</f>
        <v>0.0</v>
      </c>
      <c r="AE337">
        <f>IF(AD337=1,IF(COUNTIFS($A$6:A337,A337,$AD$6:AD337,1)=1,1,0),0)</f>
        <v>0.0</v>
      </c>
      <c r="AF337" t="str">
        <f>IF(AE337=1,COUNTIFS(sj_first,1,sj_date,"&lt;"&amp;A337)+1,"")</f>
        <v/>
      </c>
      <c r="AG337" t="str">
        <f>IF(AND(AD337=1,N(W337)&lt;p_alert),ROUND(W337,4),"")</f>
        <v/>
      </c>
      <c r="AH337" t="str">
        <f>IF(AG337="","",COUNTIF(sj_akey,"&lt;"&amp;AG337)+COUNTIF($AG$6:AG337,AG337))</f>
        <v/>
      </c>
    </row>
    <row r="338">
      <c r="A338" s="51" t="n"/>
      <c r="B338" s="52" t="n"/>
      <c r="C338" s="52" t="n"/>
      <c r="D338" s="53" t="n"/>
      <c r="E338" s="53" t="n"/>
      <c r="F338" s="54" t="n"/>
      <c r="G338" s="54" t="n"/>
      <c r="H338" s="54" t="n"/>
      <c r="I338" s="54" t="n"/>
      <c r="J338" s="53" t="n"/>
      <c r="K338" s="55" t="str">
        <f>IF(COUNTA(A338:I338)=0,"",IF(F338="",IFERROR(INDEX(eq_dur,MATCH(B338,eq_code,0)),""),F338))</f>
        <v/>
      </c>
      <c r="L338" s="55" t="str">
        <f>IF(ISNUMBER(K338),N(IFERROR(INDEX(eq_pause,MATCH(B338,eq_code,0)),0))+SUMIFS(st_min,st_date,A338,st_eq,B338,st_po,C338,st_type,"Planifié"),"")</f>
        <v/>
      </c>
      <c r="M338" s="55" t="str">
        <f>IF(ISNUMBER(K338),K338-L338,"")</f>
        <v/>
      </c>
      <c r="N338" s="55" t="str">
        <f>IF(ISNUMBER(K338),SUMIFS(st_min,st_date,A338,st_eq,B338,st_po,C338,st_type,"Non planifié"),"")</f>
        <v/>
      </c>
      <c r="O338" s="55" t="str">
        <f>IF(ISNUMBER(K338),M338-N338,"")</f>
        <v/>
      </c>
      <c r="P338" s="55" t="str">
        <f>IF(COUNTA(A338:I338)=0,"",N(G338)+N(H338)+N(I338))</f>
        <v/>
      </c>
      <c r="Q338" s="56" t="str">
        <f>IF(COUNTA(A338:I338)=0,"",IF(N(IFERROR(INDEX(art_rate,MATCH(E338,art_ref,0)),0))&gt;0,N(IFERROR(INDEX(art_rate,MATCH(E338,art_ref,0)),0)),N(IFERROR(INDEX(po_rate,MATCH(C338,po_code,0)),0))))</f>
        <v/>
      </c>
      <c r="R338" s="55" t="str">
        <f>IF(AC338=1,P338*60/Q338,"")</f>
        <v/>
      </c>
      <c r="S338" s="55" t="str">
        <f>IF(AC338=1,N(G338)*60/Q338,"")</f>
        <v/>
      </c>
      <c r="T338" s="57" t="str">
        <f>IF(AC338=1,O338/M338,"")</f>
        <v/>
      </c>
      <c r="U338" s="57" t="str">
        <f>IF(AC338=1,IF(O338&gt;0,R338/O338,""),"")</f>
        <v/>
      </c>
      <c r="V338" s="57" t="str">
        <f>IF(AC338=1,IF(P338&gt;0,N(G338)/P338,""),"")</f>
        <v/>
      </c>
      <c r="W338" s="57" t="str">
        <f>IF(AC338=1,S338/M338,"")</f>
        <v/>
      </c>
      <c r="X338" s="57" t="str">
        <f>IF(AC338=1,S338/K338,"")</f>
        <v/>
      </c>
      <c r="Y338" s="58" t="str">
        <f>IF(W338="","",IF(W338&gt;=p_target,"Bon",IF(W338&gt;=p_alert,"À surveiller","Faible")))</f>
        <v/>
      </c>
      <c r="Z338" s="58" t="str">
        <f>IF(W338="","",IF(MIN(IF(T338="",1,T338),IF(U338="",1,U338),IF(V338="",1,V338))&gt;=1,"Aucune",IF(IF(T338="",1,T338)&lt;=MIN(IF(U338="",1,U338),IF(V338="",1,V338)),"Disponibilité",IF(IF(U338="",1,U338)&lt;=IF(V338="",1,V338),"Performance","Qualité"))))</f>
        <v/>
      </c>
      <c r="AA338" s="59" t="str">
        <f>IF(AC338=1,N(H338)*N(IFERROR(INDEX(art_cost,MATCH(E338,art_ref,0)),0)),"")</f>
        <v/>
      </c>
      <c r="AB338" s="58" t="str">
        <f>IF(COUNTA(A338:I338)=0,"",IF(N(A338)&lt;=0,"Date manquante ou invalide",IF(B338="","Équipe manquante",IF(ISNA(MATCH(B338,eq_code,0)),"Équipe inconnue",IF(INDEX(eq_check,MATCH(B338,eq_code,0))&lt;&gt;"OK","Équipe à corriger dans Paramètres",IF(C338="","Poste manquant",IF(ISNA(MATCH(C338,po_code,0)),"Poste inconnu",IF(AND(E338&lt;&gt;"",ISNA(MATCH(E338,art_ref,0))),"Article inconnu",IF(IF(E338="",FALSE,INDEX(art_check,MATCH(E338,art_ref,0))&lt;&gt;"OK"),"Article à corriger (feuille Articles)",IF(COUNTIFS(sj_date,A338,sj_eq,B338,sj_po,C338)&gt;1,"Ligne en double (même jour, équipe et poste)",IF(OR(NOT(ISNUMBER(K338)),N(K338)&lt;=0,N(K338)&gt;1440),"Temps d'ouverture invalide",IF(OR(AND(G338&lt;&gt;"",NOT(ISNUMBER(G338))),N(G338)&lt;0,N(G338)&lt;&gt;INT(N(G338)),AND(H338&lt;&gt;"",NOT(ISNUMBER(H338))),N(H338)&lt;0,N(H338)&lt;&gt;INT(N(H338)),AND(I338&lt;&gt;"",NOT(ISNUMBER(I338))),N(I338)&lt;0,N(I338)&lt;&gt;INT(N(I338))),"Quantité invalide",IF(Q338&lt;=0,"Cadence manquante (poste ou article)",IF(M338&lt;=0,"Arrêts planifiés supérieurs au temps d'ouverture",IF(O338&lt;0,"Arrêts supérieurs au temps requis",IF(AND(P338&gt;0,O338=0),"Pièces déclarées sans temps de marche",IF(AND(P338=0,O338&gt;0),"Aucune pièce déclarée",IF(P338*60/Q338&gt;O338+0.001,"Cadence dépassée : vérifiez la cadence","OK"))))))))))))))))))</f>
        <v/>
      </c>
      <c r="AC338">
        <f>IF(OR(AB338="OK",AB338="Aucune pièce déclarée",AB338="Cadence dépassée : vérifiez la cadence"),1,0)</f>
        <v>0.0</v>
      </c>
      <c r="AD338">
        <f>IF(AND(AC338=1,A338&gt;=p_from,A338&lt;=p_to),1,0)</f>
        <v>0.0</v>
      </c>
      <c r="AE338">
        <f>IF(AD338=1,IF(COUNTIFS($A$6:A338,A338,$AD$6:AD338,1)=1,1,0),0)</f>
        <v>0.0</v>
      </c>
      <c r="AF338" t="str">
        <f>IF(AE338=1,COUNTIFS(sj_first,1,sj_date,"&lt;"&amp;A338)+1,"")</f>
        <v/>
      </c>
      <c r="AG338" t="str">
        <f>IF(AND(AD338=1,N(W338)&lt;p_alert),ROUND(W338,4),"")</f>
        <v/>
      </c>
      <c r="AH338" t="str">
        <f>IF(AG338="","",COUNTIF(sj_akey,"&lt;"&amp;AG338)+COUNTIF($AG$6:AG338,AG338))</f>
        <v/>
      </c>
    </row>
    <row r="339">
      <c r="A339" s="51" t="n"/>
      <c r="B339" s="52" t="n"/>
      <c r="C339" s="52" t="n"/>
      <c r="D339" s="53" t="n"/>
      <c r="E339" s="53" t="n"/>
      <c r="F339" s="54" t="n"/>
      <c r="G339" s="54" t="n"/>
      <c r="H339" s="54" t="n"/>
      <c r="I339" s="54" t="n"/>
      <c r="J339" s="53" t="n"/>
      <c r="K339" s="55" t="str">
        <f>IF(COUNTA(A339:I339)=0,"",IF(F339="",IFERROR(INDEX(eq_dur,MATCH(B339,eq_code,0)),""),F339))</f>
        <v/>
      </c>
      <c r="L339" s="55" t="str">
        <f>IF(ISNUMBER(K339),N(IFERROR(INDEX(eq_pause,MATCH(B339,eq_code,0)),0))+SUMIFS(st_min,st_date,A339,st_eq,B339,st_po,C339,st_type,"Planifié"),"")</f>
        <v/>
      </c>
      <c r="M339" s="55" t="str">
        <f>IF(ISNUMBER(K339),K339-L339,"")</f>
        <v/>
      </c>
      <c r="N339" s="55" t="str">
        <f>IF(ISNUMBER(K339),SUMIFS(st_min,st_date,A339,st_eq,B339,st_po,C339,st_type,"Non planifié"),"")</f>
        <v/>
      </c>
      <c r="O339" s="55" t="str">
        <f>IF(ISNUMBER(K339),M339-N339,"")</f>
        <v/>
      </c>
      <c r="P339" s="55" t="str">
        <f>IF(COUNTA(A339:I339)=0,"",N(G339)+N(H339)+N(I339))</f>
        <v/>
      </c>
      <c r="Q339" s="56" t="str">
        <f>IF(COUNTA(A339:I339)=0,"",IF(N(IFERROR(INDEX(art_rate,MATCH(E339,art_ref,0)),0))&gt;0,N(IFERROR(INDEX(art_rate,MATCH(E339,art_ref,0)),0)),N(IFERROR(INDEX(po_rate,MATCH(C339,po_code,0)),0))))</f>
        <v/>
      </c>
      <c r="R339" s="55" t="str">
        <f>IF(AC339=1,P339*60/Q339,"")</f>
        <v/>
      </c>
      <c r="S339" s="55" t="str">
        <f>IF(AC339=1,N(G339)*60/Q339,"")</f>
        <v/>
      </c>
      <c r="T339" s="57" t="str">
        <f>IF(AC339=1,O339/M339,"")</f>
        <v/>
      </c>
      <c r="U339" s="57" t="str">
        <f>IF(AC339=1,IF(O339&gt;0,R339/O339,""),"")</f>
        <v/>
      </c>
      <c r="V339" s="57" t="str">
        <f>IF(AC339=1,IF(P339&gt;0,N(G339)/P339,""),"")</f>
        <v/>
      </c>
      <c r="W339" s="57" t="str">
        <f>IF(AC339=1,S339/M339,"")</f>
        <v/>
      </c>
      <c r="X339" s="57" t="str">
        <f>IF(AC339=1,S339/K339,"")</f>
        <v/>
      </c>
      <c r="Y339" s="58" t="str">
        <f>IF(W339="","",IF(W339&gt;=p_target,"Bon",IF(W339&gt;=p_alert,"À surveiller","Faible")))</f>
        <v/>
      </c>
      <c r="Z339" s="58" t="str">
        <f>IF(W339="","",IF(MIN(IF(T339="",1,T339),IF(U339="",1,U339),IF(V339="",1,V339))&gt;=1,"Aucune",IF(IF(T339="",1,T339)&lt;=MIN(IF(U339="",1,U339),IF(V339="",1,V339)),"Disponibilité",IF(IF(U339="",1,U339)&lt;=IF(V339="",1,V339),"Performance","Qualité"))))</f>
        <v/>
      </c>
      <c r="AA339" s="59" t="str">
        <f>IF(AC339=1,N(H339)*N(IFERROR(INDEX(art_cost,MATCH(E339,art_ref,0)),0)),"")</f>
        <v/>
      </c>
      <c r="AB339" s="58" t="str">
        <f>IF(COUNTA(A339:I339)=0,"",IF(N(A339)&lt;=0,"Date manquante ou invalide",IF(B339="","Équipe manquante",IF(ISNA(MATCH(B339,eq_code,0)),"Équipe inconnue",IF(INDEX(eq_check,MATCH(B339,eq_code,0))&lt;&gt;"OK","Équipe à corriger dans Paramètres",IF(C339="","Poste manquant",IF(ISNA(MATCH(C339,po_code,0)),"Poste inconnu",IF(AND(E339&lt;&gt;"",ISNA(MATCH(E339,art_ref,0))),"Article inconnu",IF(IF(E339="",FALSE,INDEX(art_check,MATCH(E339,art_ref,0))&lt;&gt;"OK"),"Article à corriger (feuille Articles)",IF(COUNTIFS(sj_date,A339,sj_eq,B339,sj_po,C339)&gt;1,"Ligne en double (même jour, équipe et poste)",IF(OR(NOT(ISNUMBER(K339)),N(K339)&lt;=0,N(K339)&gt;1440),"Temps d'ouverture invalide",IF(OR(AND(G339&lt;&gt;"",NOT(ISNUMBER(G339))),N(G339)&lt;0,N(G339)&lt;&gt;INT(N(G339)),AND(H339&lt;&gt;"",NOT(ISNUMBER(H339))),N(H339)&lt;0,N(H339)&lt;&gt;INT(N(H339)),AND(I339&lt;&gt;"",NOT(ISNUMBER(I339))),N(I339)&lt;0,N(I339)&lt;&gt;INT(N(I339))),"Quantité invalide",IF(Q339&lt;=0,"Cadence manquante (poste ou article)",IF(M339&lt;=0,"Arrêts planifiés supérieurs au temps d'ouverture",IF(O339&lt;0,"Arrêts supérieurs au temps requis",IF(AND(P339&gt;0,O339=0),"Pièces déclarées sans temps de marche",IF(AND(P339=0,O339&gt;0),"Aucune pièce déclarée",IF(P339*60/Q339&gt;O339+0.001,"Cadence dépassée : vérifiez la cadence","OK"))))))))))))))))))</f>
        <v/>
      </c>
      <c r="AC339">
        <f>IF(OR(AB339="OK",AB339="Aucune pièce déclarée",AB339="Cadence dépassée : vérifiez la cadence"),1,0)</f>
        <v>0.0</v>
      </c>
      <c r="AD339">
        <f>IF(AND(AC339=1,A339&gt;=p_from,A339&lt;=p_to),1,0)</f>
        <v>0.0</v>
      </c>
      <c r="AE339">
        <f>IF(AD339=1,IF(COUNTIFS($A$6:A339,A339,$AD$6:AD339,1)=1,1,0),0)</f>
        <v>0.0</v>
      </c>
      <c r="AF339" t="str">
        <f>IF(AE339=1,COUNTIFS(sj_first,1,sj_date,"&lt;"&amp;A339)+1,"")</f>
        <v/>
      </c>
      <c r="AG339" t="str">
        <f>IF(AND(AD339=1,N(W339)&lt;p_alert),ROUND(W339,4),"")</f>
        <v/>
      </c>
      <c r="AH339" t="str">
        <f>IF(AG339="","",COUNTIF(sj_akey,"&lt;"&amp;AG339)+COUNTIF($AG$6:AG339,AG339))</f>
        <v/>
      </c>
    </row>
    <row r="340">
      <c r="A340" s="51" t="n"/>
      <c r="B340" s="52" t="n"/>
      <c r="C340" s="52" t="n"/>
      <c r="D340" s="53" t="n"/>
      <c r="E340" s="53" t="n"/>
      <c r="F340" s="54" t="n"/>
      <c r="G340" s="54" t="n"/>
      <c r="H340" s="54" t="n"/>
      <c r="I340" s="54" t="n"/>
      <c r="J340" s="53" t="n"/>
      <c r="K340" s="55" t="str">
        <f>IF(COUNTA(A340:I340)=0,"",IF(F340="",IFERROR(INDEX(eq_dur,MATCH(B340,eq_code,0)),""),F340))</f>
        <v/>
      </c>
      <c r="L340" s="55" t="str">
        <f>IF(ISNUMBER(K340),N(IFERROR(INDEX(eq_pause,MATCH(B340,eq_code,0)),0))+SUMIFS(st_min,st_date,A340,st_eq,B340,st_po,C340,st_type,"Planifié"),"")</f>
        <v/>
      </c>
      <c r="M340" s="55" t="str">
        <f>IF(ISNUMBER(K340),K340-L340,"")</f>
        <v/>
      </c>
      <c r="N340" s="55" t="str">
        <f>IF(ISNUMBER(K340),SUMIFS(st_min,st_date,A340,st_eq,B340,st_po,C340,st_type,"Non planifié"),"")</f>
        <v/>
      </c>
      <c r="O340" s="55" t="str">
        <f>IF(ISNUMBER(K340),M340-N340,"")</f>
        <v/>
      </c>
      <c r="P340" s="55" t="str">
        <f>IF(COUNTA(A340:I340)=0,"",N(G340)+N(H340)+N(I340))</f>
        <v/>
      </c>
      <c r="Q340" s="56" t="str">
        <f>IF(COUNTA(A340:I340)=0,"",IF(N(IFERROR(INDEX(art_rate,MATCH(E340,art_ref,0)),0))&gt;0,N(IFERROR(INDEX(art_rate,MATCH(E340,art_ref,0)),0)),N(IFERROR(INDEX(po_rate,MATCH(C340,po_code,0)),0))))</f>
        <v/>
      </c>
      <c r="R340" s="55" t="str">
        <f>IF(AC340=1,P340*60/Q340,"")</f>
        <v/>
      </c>
      <c r="S340" s="55" t="str">
        <f>IF(AC340=1,N(G340)*60/Q340,"")</f>
        <v/>
      </c>
      <c r="T340" s="57" t="str">
        <f>IF(AC340=1,O340/M340,"")</f>
        <v/>
      </c>
      <c r="U340" s="57" t="str">
        <f>IF(AC340=1,IF(O340&gt;0,R340/O340,""),"")</f>
        <v/>
      </c>
      <c r="V340" s="57" t="str">
        <f>IF(AC340=1,IF(P340&gt;0,N(G340)/P340,""),"")</f>
        <v/>
      </c>
      <c r="W340" s="57" t="str">
        <f>IF(AC340=1,S340/M340,"")</f>
        <v/>
      </c>
      <c r="X340" s="57" t="str">
        <f>IF(AC340=1,S340/K340,"")</f>
        <v/>
      </c>
      <c r="Y340" s="58" t="str">
        <f>IF(W340="","",IF(W340&gt;=p_target,"Bon",IF(W340&gt;=p_alert,"À surveiller","Faible")))</f>
        <v/>
      </c>
      <c r="Z340" s="58" t="str">
        <f>IF(W340="","",IF(MIN(IF(T340="",1,T340),IF(U340="",1,U340),IF(V340="",1,V340))&gt;=1,"Aucune",IF(IF(T340="",1,T340)&lt;=MIN(IF(U340="",1,U340),IF(V340="",1,V340)),"Disponibilité",IF(IF(U340="",1,U340)&lt;=IF(V340="",1,V340),"Performance","Qualité"))))</f>
        <v/>
      </c>
      <c r="AA340" s="59" t="str">
        <f>IF(AC340=1,N(H340)*N(IFERROR(INDEX(art_cost,MATCH(E340,art_ref,0)),0)),"")</f>
        <v/>
      </c>
      <c r="AB340" s="58" t="str">
        <f>IF(COUNTA(A340:I340)=0,"",IF(N(A340)&lt;=0,"Date manquante ou invalide",IF(B340="","Équipe manquante",IF(ISNA(MATCH(B340,eq_code,0)),"Équipe inconnue",IF(INDEX(eq_check,MATCH(B340,eq_code,0))&lt;&gt;"OK","Équipe à corriger dans Paramètres",IF(C340="","Poste manquant",IF(ISNA(MATCH(C340,po_code,0)),"Poste inconnu",IF(AND(E340&lt;&gt;"",ISNA(MATCH(E340,art_ref,0))),"Article inconnu",IF(IF(E340="",FALSE,INDEX(art_check,MATCH(E340,art_ref,0))&lt;&gt;"OK"),"Article à corriger (feuille Articles)",IF(COUNTIFS(sj_date,A340,sj_eq,B340,sj_po,C340)&gt;1,"Ligne en double (même jour, équipe et poste)",IF(OR(NOT(ISNUMBER(K340)),N(K340)&lt;=0,N(K340)&gt;1440),"Temps d'ouverture invalide",IF(OR(AND(G340&lt;&gt;"",NOT(ISNUMBER(G340))),N(G340)&lt;0,N(G340)&lt;&gt;INT(N(G340)),AND(H340&lt;&gt;"",NOT(ISNUMBER(H340))),N(H340)&lt;0,N(H340)&lt;&gt;INT(N(H340)),AND(I340&lt;&gt;"",NOT(ISNUMBER(I340))),N(I340)&lt;0,N(I340)&lt;&gt;INT(N(I340))),"Quantité invalide",IF(Q340&lt;=0,"Cadence manquante (poste ou article)",IF(M340&lt;=0,"Arrêts planifiés supérieurs au temps d'ouverture",IF(O340&lt;0,"Arrêts supérieurs au temps requis",IF(AND(P340&gt;0,O340=0),"Pièces déclarées sans temps de marche",IF(AND(P340=0,O340&gt;0),"Aucune pièce déclarée",IF(P340*60/Q340&gt;O340+0.001,"Cadence dépassée : vérifiez la cadence","OK"))))))))))))))))))</f>
        <v/>
      </c>
      <c r="AC340">
        <f>IF(OR(AB340="OK",AB340="Aucune pièce déclarée",AB340="Cadence dépassée : vérifiez la cadence"),1,0)</f>
        <v>0.0</v>
      </c>
      <c r="AD340">
        <f>IF(AND(AC340=1,A340&gt;=p_from,A340&lt;=p_to),1,0)</f>
        <v>0.0</v>
      </c>
      <c r="AE340">
        <f>IF(AD340=1,IF(COUNTIFS($A$6:A340,A340,$AD$6:AD340,1)=1,1,0),0)</f>
        <v>0.0</v>
      </c>
      <c r="AF340" t="str">
        <f>IF(AE340=1,COUNTIFS(sj_first,1,sj_date,"&lt;"&amp;A340)+1,"")</f>
        <v/>
      </c>
      <c r="AG340" t="str">
        <f>IF(AND(AD340=1,N(W340)&lt;p_alert),ROUND(W340,4),"")</f>
        <v/>
      </c>
      <c r="AH340" t="str">
        <f>IF(AG340="","",COUNTIF(sj_akey,"&lt;"&amp;AG340)+COUNTIF($AG$6:AG340,AG340))</f>
        <v/>
      </c>
    </row>
    <row r="341">
      <c r="A341" s="51" t="n"/>
      <c r="B341" s="52" t="n"/>
      <c r="C341" s="52" t="n"/>
      <c r="D341" s="53" t="n"/>
      <c r="E341" s="53" t="n"/>
      <c r="F341" s="54" t="n"/>
      <c r="G341" s="54" t="n"/>
      <c r="H341" s="54" t="n"/>
      <c r="I341" s="54" t="n"/>
      <c r="J341" s="53" t="n"/>
      <c r="K341" s="55" t="str">
        <f>IF(COUNTA(A341:I341)=0,"",IF(F341="",IFERROR(INDEX(eq_dur,MATCH(B341,eq_code,0)),""),F341))</f>
        <v/>
      </c>
      <c r="L341" s="55" t="str">
        <f>IF(ISNUMBER(K341),N(IFERROR(INDEX(eq_pause,MATCH(B341,eq_code,0)),0))+SUMIFS(st_min,st_date,A341,st_eq,B341,st_po,C341,st_type,"Planifié"),"")</f>
        <v/>
      </c>
      <c r="M341" s="55" t="str">
        <f>IF(ISNUMBER(K341),K341-L341,"")</f>
        <v/>
      </c>
      <c r="N341" s="55" t="str">
        <f>IF(ISNUMBER(K341),SUMIFS(st_min,st_date,A341,st_eq,B341,st_po,C341,st_type,"Non planifié"),"")</f>
        <v/>
      </c>
      <c r="O341" s="55" t="str">
        <f>IF(ISNUMBER(K341),M341-N341,"")</f>
        <v/>
      </c>
      <c r="P341" s="55" t="str">
        <f>IF(COUNTA(A341:I341)=0,"",N(G341)+N(H341)+N(I341))</f>
        <v/>
      </c>
      <c r="Q341" s="56" t="str">
        <f>IF(COUNTA(A341:I341)=0,"",IF(N(IFERROR(INDEX(art_rate,MATCH(E341,art_ref,0)),0))&gt;0,N(IFERROR(INDEX(art_rate,MATCH(E341,art_ref,0)),0)),N(IFERROR(INDEX(po_rate,MATCH(C341,po_code,0)),0))))</f>
        <v/>
      </c>
      <c r="R341" s="55" t="str">
        <f>IF(AC341=1,P341*60/Q341,"")</f>
        <v/>
      </c>
      <c r="S341" s="55" t="str">
        <f>IF(AC341=1,N(G341)*60/Q341,"")</f>
        <v/>
      </c>
      <c r="T341" s="57" t="str">
        <f>IF(AC341=1,O341/M341,"")</f>
        <v/>
      </c>
      <c r="U341" s="57" t="str">
        <f>IF(AC341=1,IF(O341&gt;0,R341/O341,""),"")</f>
        <v/>
      </c>
      <c r="V341" s="57" t="str">
        <f>IF(AC341=1,IF(P341&gt;0,N(G341)/P341,""),"")</f>
        <v/>
      </c>
      <c r="W341" s="57" t="str">
        <f>IF(AC341=1,S341/M341,"")</f>
        <v/>
      </c>
      <c r="X341" s="57" t="str">
        <f>IF(AC341=1,S341/K341,"")</f>
        <v/>
      </c>
      <c r="Y341" s="58" t="str">
        <f>IF(W341="","",IF(W341&gt;=p_target,"Bon",IF(W341&gt;=p_alert,"À surveiller","Faible")))</f>
        <v/>
      </c>
      <c r="Z341" s="58" t="str">
        <f>IF(W341="","",IF(MIN(IF(T341="",1,T341),IF(U341="",1,U341),IF(V341="",1,V341))&gt;=1,"Aucune",IF(IF(T341="",1,T341)&lt;=MIN(IF(U341="",1,U341),IF(V341="",1,V341)),"Disponibilité",IF(IF(U341="",1,U341)&lt;=IF(V341="",1,V341),"Performance","Qualité"))))</f>
        <v/>
      </c>
      <c r="AA341" s="59" t="str">
        <f>IF(AC341=1,N(H341)*N(IFERROR(INDEX(art_cost,MATCH(E341,art_ref,0)),0)),"")</f>
        <v/>
      </c>
      <c r="AB341" s="58" t="str">
        <f>IF(COUNTA(A341:I341)=0,"",IF(N(A341)&lt;=0,"Date manquante ou invalide",IF(B341="","Équipe manquante",IF(ISNA(MATCH(B341,eq_code,0)),"Équipe inconnue",IF(INDEX(eq_check,MATCH(B341,eq_code,0))&lt;&gt;"OK","Équipe à corriger dans Paramètres",IF(C341="","Poste manquant",IF(ISNA(MATCH(C341,po_code,0)),"Poste inconnu",IF(AND(E341&lt;&gt;"",ISNA(MATCH(E341,art_ref,0))),"Article inconnu",IF(IF(E341="",FALSE,INDEX(art_check,MATCH(E341,art_ref,0))&lt;&gt;"OK"),"Article à corriger (feuille Articles)",IF(COUNTIFS(sj_date,A341,sj_eq,B341,sj_po,C341)&gt;1,"Ligne en double (même jour, équipe et poste)",IF(OR(NOT(ISNUMBER(K341)),N(K341)&lt;=0,N(K341)&gt;1440),"Temps d'ouverture invalide",IF(OR(AND(G341&lt;&gt;"",NOT(ISNUMBER(G341))),N(G341)&lt;0,N(G341)&lt;&gt;INT(N(G341)),AND(H341&lt;&gt;"",NOT(ISNUMBER(H341))),N(H341)&lt;0,N(H341)&lt;&gt;INT(N(H341)),AND(I341&lt;&gt;"",NOT(ISNUMBER(I341))),N(I341)&lt;0,N(I341)&lt;&gt;INT(N(I341))),"Quantité invalide",IF(Q341&lt;=0,"Cadence manquante (poste ou article)",IF(M341&lt;=0,"Arrêts planifiés supérieurs au temps d'ouverture",IF(O341&lt;0,"Arrêts supérieurs au temps requis",IF(AND(P341&gt;0,O341=0),"Pièces déclarées sans temps de marche",IF(AND(P341=0,O341&gt;0),"Aucune pièce déclarée",IF(P341*60/Q341&gt;O341+0.001,"Cadence dépassée : vérifiez la cadence","OK"))))))))))))))))))</f>
        <v/>
      </c>
      <c r="AC341">
        <f>IF(OR(AB341="OK",AB341="Aucune pièce déclarée",AB341="Cadence dépassée : vérifiez la cadence"),1,0)</f>
        <v>0.0</v>
      </c>
      <c r="AD341">
        <f>IF(AND(AC341=1,A341&gt;=p_from,A341&lt;=p_to),1,0)</f>
        <v>0.0</v>
      </c>
      <c r="AE341">
        <f>IF(AD341=1,IF(COUNTIFS($A$6:A341,A341,$AD$6:AD341,1)=1,1,0),0)</f>
        <v>0.0</v>
      </c>
      <c r="AF341" t="str">
        <f>IF(AE341=1,COUNTIFS(sj_first,1,sj_date,"&lt;"&amp;A341)+1,"")</f>
        <v/>
      </c>
      <c r="AG341" t="str">
        <f>IF(AND(AD341=1,N(W341)&lt;p_alert),ROUND(W341,4),"")</f>
        <v/>
      </c>
      <c r="AH341" t="str">
        <f>IF(AG341="","",COUNTIF(sj_akey,"&lt;"&amp;AG341)+COUNTIF($AG$6:AG341,AG341))</f>
        <v/>
      </c>
    </row>
    <row r="342">
      <c r="A342" s="51" t="n"/>
      <c r="B342" s="52" t="n"/>
      <c r="C342" s="52" t="n"/>
      <c r="D342" s="53" t="n"/>
      <c r="E342" s="53" t="n"/>
      <c r="F342" s="54" t="n"/>
      <c r="G342" s="54" t="n"/>
      <c r="H342" s="54" t="n"/>
      <c r="I342" s="54" t="n"/>
      <c r="J342" s="53" t="n"/>
      <c r="K342" s="55" t="str">
        <f>IF(COUNTA(A342:I342)=0,"",IF(F342="",IFERROR(INDEX(eq_dur,MATCH(B342,eq_code,0)),""),F342))</f>
        <v/>
      </c>
      <c r="L342" s="55" t="str">
        <f>IF(ISNUMBER(K342),N(IFERROR(INDEX(eq_pause,MATCH(B342,eq_code,0)),0))+SUMIFS(st_min,st_date,A342,st_eq,B342,st_po,C342,st_type,"Planifié"),"")</f>
        <v/>
      </c>
      <c r="M342" s="55" t="str">
        <f>IF(ISNUMBER(K342),K342-L342,"")</f>
        <v/>
      </c>
      <c r="N342" s="55" t="str">
        <f>IF(ISNUMBER(K342),SUMIFS(st_min,st_date,A342,st_eq,B342,st_po,C342,st_type,"Non planifié"),"")</f>
        <v/>
      </c>
      <c r="O342" s="55" t="str">
        <f>IF(ISNUMBER(K342),M342-N342,"")</f>
        <v/>
      </c>
      <c r="P342" s="55" t="str">
        <f>IF(COUNTA(A342:I342)=0,"",N(G342)+N(H342)+N(I342))</f>
        <v/>
      </c>
      <c r="Q342" s="56" t="str">
        <f>IF(COUNTA(A342:I342)=0,"",IF(N(IFERROR(INDEX(art_rate,MATCH(E342,art_ref,0)),0))&gt;0,N(IFERROR(INDEX(art_rate,MATCH(E342,art_ref,0)),0)),N(IFERROR(INDEX(po_rate,MATCH(C342,po_code,0)),0))))</f>
        <v/>
      </c>
      <c r="R342" s="55" t="str">
        <f>IF(AC342=1,P342*60/Q342,"")</f>
        <v/>
      </c>
      <c r="S342" s="55" t="str">
        <f>IF(AC342=1,N(G342)*60/Q342,"")</f>
        <v/>
      </c>
      <c r="T342" s="57" t="str">
        <f>IF(AC342=1,O342/M342,"")</f>
        <v/>
      </c>
      <c r="U342" s="57" t="str">
        <f>IF(AC342=1,IF(O342&gt;0,R342/O342,""),"")</f>
        <v/>
      </c>
      <c r="V342" s="57" t="str">
        <f>IF(AC342=1,IF(P342&gt;0,N(G342)/P342,""),"")</f>
        <v/>
      </c>
      <c r="W342" s="57" t="str">
        <f>IF(AC342=1,S342/M342,"")</f>
        <v/>
      </c>
      <c r="X342" s="57" t="str">
        <f>IF(AC342=1,S342/K342,"")</f>
        <v/>
      </c>
      <c r="Y342" s="58" t="str">
        <f>IF(W342="","",IF(W342&gt;=p_target,"Bon",IF(W342&gt;=p_alert,"À surveiller","Faible")))</f>
        <v/>
      </c>
      <c r="Z342" s="58" t="str">
        <f>IF(W342="","",IF(MIN(IF(T342="",1,T342),IF(U342="",1,U342),IF(V342="",1,V342))&gt;=1,"Aucune",IF(IF(T342="",1,T342)&lt;=MIN(IF(U342="",1,U342),IF(V342="",1,V342)),"Disponibilité",IF(IF(U342="",1,U342)&lt;=IF(V342="",1,V342),"Performance","Qualité"))))</f>
        <v/>
      </c>
      <c r="AA342" s="59" t="str">
        <f>IF(AC342=1,N(H342)*N(IFERROR(INDEX(art_cost,MATCH(E342,art_ref,0)),0)),"")</f>
        <v/>
      </c>
      <c r="AB342" s="58" t="str">
        <f>IF(COUNTA(A342:I342)=0,"",IF(N(A342)&lt;=0,"Date manquante ou invalide",IF(B342="","Équipe manquante",IF(ISNA(MATCH(B342,eq_code,0)),"Équipe inconnue",IF(INDEX(eq_check,MATCH(B342,eq_code,0))&lt;&gt;"OK","Équipe à corriger dans Paramètres",IF(C342="","Poste manquant",IF(ISNA(MATCH(C342,po_code,0)),"Poste inconnu",IF(AND(E342&lt;&gt;"",ISNA(MATCH(E342,art_ref,0))),"Article inconnu",IF(IF(E342="",FALSE,INDEX(art_check,MATCH(E342,art_ref,0))&lt;&gt;"OK"),"Article à corriger (feuille Articles)",IF(COUNTIFS(sj_date,A342,sj_eq,B342,sj_po,C342)&gt;1,"Ligne en double (même jour, équipe et poste)",IF(OR(NOT(ISNUMBER(K342)),N(K342)&lt;=0,N(K342)&gt;1440),"Temps d'ouverture invalide",IF(OR(AND(G342&lt;&gt;"",NOT(ISNUMBER(G342))),N(G342)&lt;0,N(G342)&lt;&gt;INT(N(G342)),AND(H342&lt;&gt;"",NOT(ISNUMBER(H342))),N(H342)&lt;0,N(H342)&lt;&gt;INT(N(H342)),AND(I342&lt;&gt;"",NOT(ISNUMBER(I342))),N(I342)&lt;0,N(I342)&lt;&gt;INT(N(I342))),"Quantité invalide",IF(Q342&lt;=0,"Cadence manquante (poste ou article)",IF(M342&lt;=0,"Arrêts planifiés supérieurs au temps d'ouverture",IF(O342&lt;0,"Arrêts supérieurs au temps requis",IF(AND(P342&gt;0,O342=0),"Pièces déclarées sans temps de marche",IF(AND(P342=0,O342&gt;0),"Aucune pièce déclarée",IF(P342*60/Q342&gt;O342+0.001,"Cadence dépassée : vérifiez la cadence","OK"))))))))))))))))))</f>
        <v/>
      </c>
      <c r="AC342">
        <f>IF(OR(AB342="OK",AB342="Aucune pièce déclarée",AB342="Cadence dépassée : vérifiez la cadence"),1,0)</f>
        <v>0.0</v>
      </c>
      <c r="AD342">
        <f>IF(AND(AC342=1,A342&gt;=p_from,A342&lt;=p_to),1,0)</f>
        <v>0.0</v>
      </c>
      <c r="AE342">
        <f>IF(AD342=1,IF(COUNTIFS($A$6:A342,A342,$AD$6:AD342,1)=1,1,0),0)</f>
        <v>0.0</v>
      </c>
      <c r="AF342" t="str">
        <f>IF(AE342=1,COUNTIFS(sj_first,1,sj_date,"&lt;"&amp;A342)+1,"")</f>
        <v/>
      </c>
      <c r="AG342" t="str">
        <f>IF(AND(AD342=1,N(W342)&lt;p_alert),ROUND(W342,4),"")</f>
        <v/>
      </c>
      <c r="AH342" t="str">
        <f>IF(AG342="","",COUNTIF(sj_akey,"&lt;"&amp;AG342)+COUNTIF($AG$6:AG342,AG342))</f>
        <v/>
      </c>
    </row>
    <row r="343">
      <c r="A343" s="51" t="n"/>
      <c r="B343" s="52" t="n"/>
      <c r="C343" s="52" t="n"/>
      <c r="D343" s="53" t="n"/>
      <c r="E343" s="53" t="n"/>
      <c r="F343" s="54" t="n"/>
      <c r="G343" s="54" t="n"/>
      <c r="H343" s="54" t="n"/>
      <c r="I343" s="54" t="n"/>
      <c r="J343" s="53" t="n"/>
      <c r="K343" s="55" t="str">
        <f>IF(COUNTA(A343:I343)=0,"",IF(F343="",IFERROR(INDEX(eq_dur,MATCH(B343,eq_code,0)),""),F343))</f>
        <v/>
      </c>
      <c r="L343" s="55" t="str">
        <f>IF(ISNUMBER(K343),N(IFERROR(INDEX(eq_pause,MATCH(B343,eq_code,0)),0))+SUMIFS(st_min,st_date,A343,st_eq,B343,st_po,C343,st_type,"Planifié"),"")</f>
        <v/>
      </c>
      <c r="M343" s="55" t="str">
        <f>IF(ISNUMBER(K343),K343-L343,"")</f>
        <v/>
      </c>
      <c r="N343" s="55" t="str">
        <f>IF(ISNUMBER(K343),SUMIFS(st_min,st_date,A343,st_eq,B343,st_po,C343,st_type,"Non planifié"),"")</f>
        <v/>
      </c>
      <c r="O343" s="55" t="str">
        <f>IF(ISNUMBER(K343),M343-N343,"")</f>
        <v/>
      </c>
      <c r="P343" s="55" t="str">
        <f>IF(COUNTA(A343:I343)=0,"",N(G343)+N(H343)+N(I343))</f>
        <v/>
      </c>
      <c r="Q343" s="56" t="str">
        <f>IF(COUNTA(A343:I343)=0,"",IF(N(IFERROR(INDEX(art_rate,MATCH(E343,art_ref,0)),0))&gt;0,N(IFERROR(INDEX(art_rate,MATCH(E343,art_ref,0)),0)),N(IFERROR(INDEX(po_rate,MATCH(C343,po_code,0)),0))))</f>
        <v/>
      </c>
      <c r="R343" s="55" t="str">
        <f>IF(AC343=1,P343*60/Q343,"")</f>
        <v/>
      </c>
      <c r="S343" s="55" t="str">
        <f>IF(AC343=1,N(G343)*60/Q343,"")</f>
        <v/>
      </c>
      <c r="T343" s="57" t="str">
        <f>IF(AC343=1,O343/M343,"")</f>
        <v/>
      </c>
      <c r="U343" s="57" t="str">
        <f>IF(AC343=1,IF(O343&gt;0,R343/O343,""),"")</f>
        <v/>
      </c>
      <c r="V343" s="57" t="str">
        <f>IF(AC343=1,IF(P343&gt;0,N(G343)/P343,""),"")</f>
        <v/>
      </c>
      <c r="W343" s="57" t="str">
        <f>IF(AC343=1,S343/M343,"")</f>
        <v/>
      </c>
      <c r="X343" s="57" t="str">
        <f>IF(AC343=1,S343/K343,"")</f>
        <v/>
      </c>
      <c r="Y343" s="58" t="str">
        <f>IF(W343="","",IF(W343&gt;=p_target,"Bon",IF(W343&gt;=p_alert,"À surveiller","Faible")))</f>
        <v/>
      </c>
      <c r="Z343" s="58" t="str">
        <f>IF(W343="","",IF(MIN(IF(T343="",1,T343),IF(U343="",1,U343),IF(V343="",1,V343))&gt;=1,"Aucune",IF(IF(T343="",1,T343)&lt;=MIN(IF(U343="",1,U343),IF(V343="",1,V343)),"Disponibilité",IF(IF(U343="",1,U343)&lt;=IF(V343="",1,V343),"Performance","Qualité"))))</f>
        <v/>
      </c>
      <c r="AA343" s="59" t="str">
        <f>IF(AC343=1,N(H343)*N(IFERROR(INDEX(art_cost,MATCH(E343,art_ref,0)),0)),"")</f>
        <v/>
      </c>
      <c r="AB343" s="58" t="str">
        <f>IF(COUNTA(A343:I343)=0,"",IF(N(A343)&lt;=0,"Date manquante ou invalide",IF(B343="","Équipe manquante",IF(ISNA(MATCH(B343,eq_code,0)),"Équipe inconnue",IF(INDEX(eq_check,MATCH(B343,eq_code,0))&lt;&gt;"OK","Équipe à corriger dans Paramètres",IF(C343="","Poste manquant",IF(ISNA(MATCH(C343,po_code,0)),"Poste inconnu",IF(AND(E343&lt;&gt;"",ISNA(MATCH(E343,art_ref,0))),"Article inconnu",IF(IF(E343="",FALSE,INDEX(art_check,MATCH(E343,art_ref,0))&lt;&gt;"OK"),"Article à corriger (feuille Articles)",IF(COUNTIFS(sj_date,A343,sj_eq,B343,sj_po,C343)&gt;1,"Ligne en double (même jour, équipe et poste)",IF(OR(NOT(ISNUMBER(K343)),N(K343)&lt;=0,N(K343)&gt;1440),"Temps d'ouverture invalide",IF(OR(AND(G343&lt;&gt;"",NOT(ISNUMBER(G343))),N(G343)&lt;0,N(G343)&lt;&gt;INT(N(G343)),AND(H343&lt;&gt;"",NOT(ISNUMBER(H343))),N(H343)&lt;0,N(H343)&lt;&gt;INT(N(H343)),AND(I343&lt;&gt;"",NOT(ISNUMBER(I343))),N(I343)&lt;0,N(I343)&lt;&gt;INT(N(I343))),"Quantité invalide",IF(Q343&lt;=0,"Cadence manquante (poste ou article)",IF(M343&lt;=0,"Arrêts planifiés supérieurs au temps d'ouverture",IF(O343&lt;0,"Arrêts supérieurs au temps requis",IF(AND(P343&gt;0,O343=0),"Pièces déclarées sans temps de marche",IF(AND(P343=0,O343&gt;0),"Aucune pièce déclarée",IF(P343*60/Q343&gt;O343+0.001,"Cadence dépassée : vérifiez la cadence","OK"))))))))))))))))))</f>
        <v/>
      </c>
      <c r="AC343">
        <f>IF(OR(AB343="OK",AB343="Aucune pièce déclarée",AB343="Cadence dépassée : vérifiez la cadence"),1,0)</f>
        <v>0.0</v>
      </c>
      <c r="AD343">
        <f>IF(AND(AC343=1,A343&gt;=p_from,A343&lt;=p_to),1,0)</f>
        <v>0.0</v>
      </c>
      <c r="AE343">
        <f>IF(AD343=1,IF(COUNTIFS($A$6:A343,A343,$AD$6:AD343,1)=1,1,0),0)</f>
        <v>0.0</v>
      </c>
      <c r="AF343" t="str">
        <f>IF(AE343=1,COUNTIFS(sj_first,1,sj_date,"&lt;"&amp;A343)+1,"")</f>
        <v/>
      </c>
      <c r="AG343" t="str">
        <f>IF(AND(AD343=1,N(W343)&lt;p_alert),ROUND(W343,4),"")</f>
        <v/>
      </c>
      <c r="AH343" t="str">
        <f>IF(AG343="","",COUNTIF(sj_akey,"&lt;"&amp;AG343)+COUNTIF($AG$6:AG343,AG343))</f>
        <v/>
      </c>
    </row>
    <row r="344">
      <c r="A344" s="51" t="n"/>
      <c r="B344" s="52" t="n"/>
      <c r="C344" s="52" t="n"/>
      <c r="D344" s="53" t="n"/>
      <c r="E344" s="53" t="n"/>
      <c r="F344" s="54" t="n"/>
      <c r="G344" s="54" t="n"/>
      <c r="H344" s="54" t="n"/>
      <c r="I344" s="54" t="n"/>
      <c r="J344" s="53" t="n"/>
      <c r="K344" s="55" t="str">
        <f>IF(COUNTA(A344:I344)=0,"",IF(F344="",IFERROR(INDEX(eq_dur,MATCH(B344,eq_code,0)),""),F344))</f>
        <v/>
      </c>
      <c r="L344" s="55" t="str">
        <f>IF(ISNUMBER(K344),N(IFERROR(INDEX(eq_pause,MATCH(B344,eq_code,0)),0))+SUMIFS(st_min,st_date,A344,st_eq,B344,st_po,C344,st_type,"Planifié"),"")</f>
        <v/>
      </c>
      <c r="M344" s="55" t="str">
        <f>IF(ISNUMBER(K344),K344-L344,"")</f>
        <v/>
      </c>
      <c r="N344" s="55" t="str">
        <f>IF(ISNUMBER(K344),SUMIFS(st_min,st_date,A344,st_eq,B344,st_po,C344,st_type,"Non planifié"),"")</f>
        <v/>
      </c>
      <c r="O344" s="55" t="str">
        <f>IF(ISNUMBER(K344),M344-N344,"")</f>
        <v/>
      </c>
      <c r="P344" s="55" t="str">
        <f>IF(COUNTA(A344:I344)=0,"",N(G344)+N(H344)+N(I344))</f>
        <v/>
      </c>
      <c r="Q344" s="56" t="str">
        <f>IF(COUNTA(A344:I344)=0,"",IF(N(IFERROR(INDEX(art_rate,MATCH(E344,art_ref,0)),0))&gt;0,N(IFERROR(INDEX(art_rate,MATCH(E344,art_ref,0)),0)),N(IFERROR(INDEX(po_rate,MATCH(C344,po_code,0)),0))))</f>
        <v/>
      </c>
      <c r="R344" s="55" t="str">
        <f>IF(AC344=1,P344*60/Q344,"")</f>
        <v/>
      </c>
      <c r="S344" s="55" t="str">
        <f>IF(AC344=1,N(G344)*60/Q344,"")</f>
        <v/>
      </c>
      <c r="T344" s="57" t="str">
        <f>IF(AC344=1,O344/M344,"")</f>
        <v/>
      </c>
      <c r="U344" s="57" t="str">
        <f>IF(AC344=1,IF(O344&gt;0,R344/O344,""),"")</f>
        <v/>
      </c>
      <c r="V344" s="57" t="str">
        <f>IF(AC344=1,IF(P344&gt;0,N(G344)/P344,""),"")</f>
        <v/>
      </c>
      <c r="W344" s="57" t="str">
        <f>IF(AC344=1,S344/M344,"")</f>
        <v/>
      </c>
      <c r="X344" s="57" t="str">
        <f>IF(AC344=1,S344/K344,"")</f>
        <v/>
      </c>
      <c r="Y344" s="58" t="str">
        <f>IF(W344="","",IF(W344&gt;=p_target,"Bon",IF(W344&gt;=p_alert,"À surveiller","Faible")))</f>
        <v/>
      </c>
      <c r="Z344" s="58" t="str">
        <f>IF(W344="","",IF(MIN(IF(T344="",1,T344),IF(U344="",1,U344),IF(V344="",1,V344))&gt;=1,"Aucune",IF(IF(T344="",1,T344)&lt;=MIN(IF(U344="",1,U344),IF(V344="",1,V344)),"Disponibilité",IF(IF(U344="",1,U344)&lt;=IF(V344="",1,V344),"Performance","Qualité"))))</f>
        <v/>
      </c>
      <c r="AA344" s="59" t="str">
        <f>IF(AC344=1,N(H344)*N(IFERROR(INDEX(art_cost,MATCH(E344,art_ref,0)),0)),"")</f>
        <v/>
      </c>
      <c r="AB344" s="58" t="str">
        <f>IF(COUNTA(A344:I344)=0,"",IF(N(A344)&lt;=0,"Date manquante ou invalide",IF(B344="","Équipe manquante",IF(ISNA(MATCH(B344,eq_code,0)),"Équipe inconnue",IF(INDEX(eq_check,MATCH(B344,eq_code,0))&lt;&gt;"OK","Équipe à corriger dans Paramètres",IF(C344="","Poste manquant",IF(ISNA(MATCH(C344,po_code,0)),"Poste inconnu",IF(AND(E344&lt;&gt;"",ISNA(MATCH(E344,art_ref,0))),"Article inconnu",IF(IF(E344="",FALSE,INDEX(art_check,MATCH(E344,art_ref,0))&lt;&gt;"OK"),"Article à corriger (feuille Articles)",IF(COUNTIFS(sj_date,A344,sj_eq,B344,sj_po,C344)&gt;1,"Ligne en double (même jour, équipe et poste)",IF(OR(NOT(ISNUMBER(K344)),N(K344)&lt;=0,N(K344)&gt;1440),"Temps d'ouverture invalide",IF(OR(AND(G344&lt;&gt;"",NOT(ISNUMBER(G344))),N(G344)&lt;0,N(G344)&lt;&gt;INT(N(G344)),AND(H344&lt;&gt;"",NOT(ISNUMBER(H344))),N(H344)&lt;0,N(H344)&lt;&gt;INT(N(H344)),AND(I344&lt;&gt;"",NOT(ISNUMBER(I344))),N(I344)&lt;0,N(I344)&lt;&gt;INT(N(I344))),"Quantité invalide",IF(Q344&lt;=0,"Cadence manquante (poste ou article)",IF(M344&lt;=0,"Arrêts planifiés supérieurs au temps d'ouverture",IF(O344&lt;0,"Arrêts supérieurs au temps requis",IF(AND(P344&gt;0,O344=0),"Pièces déclarées sans temps de marche",IF(AND(P344=0,O344&gt;0),"Aucune pièce déclarée",IF(P344*60/Q344&gt;O344+0.001,"Cadence dépassée : vérifiez la cadence","OK"))))))))))))))))))</f>
        <v/>
      </c>
      <c r="AC344">
        <f>IF(OR(AB344="OK",AB344="Aucune pièce déclarée",AB344="Cadence dépassée : vérifiez la cadence"),1,0)</f>
        <v>0.0</v>
      </c>
      <c r="AD344">
        <f>IF(AND(AC344=1,A344&gt;=p_from,A344&lt;=p_to),1,0)</f>
        <v>0.0</v>
      </c>
      <c r="AE344">
        <f>IF(AD344=1,IF(COUNTIFS($A$6:A344,A344,$AD$6:AD344,1)=1,1,0),0)</f>
        <v>0.0</v>
      </c>
      <c r="AF344" t="str">
        <f>IF(AE344=1,COUNTIFS(sj_first,1,sj_date,"&lt;"&amp;A344)+1,"")</f>
        <v/>
      </c>
      <c r="AG344" t="str">
        <f>IF(AND(AD344=1,N(W344)&lt;p_alert),ROUND(W344,4),"")</f>
        <v/>
      </c>
      <c r="AH344" t="str">
        <f>IF(AG344="","",COUNTIF(sj_akey,"&lt;"&amp;AG344)+COUNTIF($AG$6:AG344,AG344))</f>
        <v/>
      </c>
    </row>
    <row r="345">
      <c r="A345" s="51" t="n"/>
      <c r="B345" s="52" t="n"/>
      <c r="C345" s="52" t="n"/>
      <c r="D345" s="53" t="n"/>
      <c r="E345" s="53" t="n"/>
      <c r="F345" s="54" t="n"/>
      <c r="G345" s="54" t="n"/>
      <c r="H345" s="54" t="n"/>
      <c r="I345" s="54" t="n"/>
      <c r="J345" s="53" t="n"/>
      <c r="K345" s="55" t="str">
        <f>IF(COUNTA(A345:I345)=0,"",IF(F345="",IFERROR(INDEX(eq_dur,MATCH(B345,eq_code,0)),""),F345))</f>
        <v/>
      </c>
      <c r="L345" s="55" t="str">
        <f>IF(ISNUMBER(K345),N(IFERROR(INDEX(eq_pause,MATCH(B345,eq_code,0)),0))+SUMIFS(st_min,st_date,A345,st_eq,B345,st_po,C345,st_type,"Planifié"),"")</f>
        <v/>
      </c>
      <c r="M345" s="55" t="str">
        <f>IF(ISNUMBER(K345),K345-L345,"")</f>
        <v/>
      </c>
      <c r="N345" s="55" t="str">
        <f>IF(ISNUMBER(K345),SUMIFS(st_min,st_date,A345,st_eq,B345,st_po,C345,st_type,"Non planifié"),"")</f>
        <v/>
      </c>
      <c r="O345" s="55" t="str">
        <f>IF(ISNUMBER(K345),M345-N345,"")</f>
        <v/>
      </c>
      <c r="P345" s="55" t="str">
        <f>IF(COUNTA(A345:I345)=0,"",N(G345)+N(H345)+N(I345))</f>
        <v/>
      </c>
      <c r="Q345" s="56" t="str">
        <f>IF(COUNTA(A345:I345)=0,"",IF(N(IFERROR(INDEX(art_rate,MATCH(E345,art_ref,0)),0))&gt;0,N(IFERROR(INDEX(art_rate,MATCH(E345,art_ref,0)),0)),N(IFERROR(INDEX(po_rate,MATCH(C345,po_code,0)),0))))</f>
        <v/>
      </c>
      <c r="R345" s="55" t="str">
        <f>IF(AC345=1,P345*60/Q345,"")</f>
        <v/>
      </c>
      <c r="S345" s="55" t="str">
        <f>IF(AC345=1,N(G345)*60/Q345,"")</f>
        <v/>
      </c>
      <c r="T345" s="57" t="str">
        <f>IF(AC345=1,O345/M345,"")</f>
        <v/>
      </c>
      <c r="U345" s="57" t="str">
        <f>IF(AC345=1,IF(O345&gt;0,R345/O345,""),"")</f>
        <v/>
      </c>
      <c r="V345" s="57" t="str">
        <f>IF(AC345=1,IF(P345&gt;0,N(G345)/P345,""),"")</f>
        <v/>
      </c>
      <c r="W345" s="57" t="str">
        <f>IF(AC345=1,S345/M345,"")</f>
        <v/>
      </c>
      <c r="X345" s="57" t="str">
        <f>IF(AC345=1,S345/K345,"")</f>
        <v/>
      </c>
      <c r="Y345" s="58" t="str">
        <f>IF(W345="","",IF(W345&gt;=p_target,"Bon",IF(W345&gt;=p_alert,"À surveiller","Faible")))</f>
        <v/>
      </c>
      <c r="Z345" s="58" t="str">
        <f>IF(W345="","",IF(MIN(IF(T345="",1,T345),IF(U345="",1,U345),IF(V345="",1,V345))&gt;=1,"Aucune",IF(IF(T345="",1,T345)&lt;=MIN(IF(U345="",1,U345),IF(V345="",1,V345)),"Disponibilité",IF(IF(U345="",1,U345)&lt;=IF(V345="",1,V345),"Performance","Qualité"))))</f>
        <v/>
      </c>
      <c r="AA345" s="59" t="str">
        <f>IF(AC345=1,N(H345)*N(IFERROR(INDEX(art_cost,MATCH(E345,art_ref,0)),0)),"")</f>
        <v/>
      </c>
      <c r="AB345" s="58" t="str">
        <f>IF(COUNTA(A345:I345)=0,"",IF(N(A345)&lt;=0,"Date manquante ou invalide",IF(B345="","Équipe manquante",IF(ISNA(MATCH(B345,eq_code,0)),"Équipe inconnue",IF(INDEX(eq_check,MATCH(B345,eq_code,0))&lt;&gt;"OK","Équipe à corriger dans Paramètres",IF(C345="","Poste manquant",IF(ISNA(MATCH(C345,po_code,0)),"Poste inconnu",IF(AND(E345&lt;&gt;"",ISNA(MATCH(E345,art_ref,0))),"Article inconnu",IF(IF(E345="",FALSE,INDEX(art_check,MATCH(E345,art_ref,0))&lt;&gt;"OK"),"Article à corriger (feuille Articles)",IF(COUNTIFS(sj_date,A345,sj_eq,B345,sj_po,C345)&gt;1,"Ligne en double (même jour, équipe et poste)",IF(OR(NOT(ISNUMBER(K345)),N(K345)&lt;=0,N(K345)&gt;1440),"Temps d'ouverture invalide",IF(OR(AND(G345&lt;&gt;"",NOT(ISNUMBER(G345))),N(G345)&lt;0,N(G345)&lt;&gt;INT(N(G345)),AND(H345&lt;&gt;"",NOT(ISNUMBER(H345))),N(H345)&lt;0,N(H345)&lt;&gt;INT(N(H345)),AND(I345&lt;&gt;"",NOT(ISNUMBER(I345))),N(I345)&lt;0,N(I345)&lt;&gt;INT(N(I345))),"Quantité invalide",IF(Q345&lt;=0,"Cadence manquante (poste ou article)",IF(M345&lt;=0,"Arrêts planifiés supérieurs au temps d'ouverture",IF(O345&lt;0,"Arrêts supérieurs au temps requis",IF(AND(P345&gt;0,O345=0),"Pièces déclarées sans temps de marche",IF(AND(P345=0,O345&gt;0),"Aucune pièce déclarée",IF(P345*60/Q345&gt;O345+0.001,"Cadence dépassée : vérifiez la cadence","OK"))))))))))))))))))</f>
        <v/>
      </c>
      <c r="AC345">
        <f>IF(OR(AB345="OK",AB345="Aucune pièce déclarée",AB345="Cadence dépassée : vérifiez la cadence"),1,0)</f>
        <v>0.0</v>
      </c>
      <c r="AD345">
        <f>IF(AND(AC345=1,A345&gt;=p_from,A345&lt;=p_to),1,0)</f>
        <v>0.0</v>
      </c>
      <c r="AE345">
        <f>IF(AD345=1,IF(COUNTIFS($A$6:A345,A345,$AD$6:AD345,1)=1,1,0),0)</f>
        <v>0.0</v>
      </c>
      <c r="AF345" t="str">
        <f>IF(AE345=1,COUNTIFS(sj_first,1,sj_date,"&lt;"&amp;A345)+1,"")</f>
        <v/>
      </c>
      <c r="AG345" t="str">
        <f>IF(AND(AD345=1,N(W345)&lt;p_alert),ROUND(W345,4),"")</f>
        <v/>
      </c>
      <c r="AH345" t="str">
        <f>IF(AG345="","",COUNTIF(sj_akey,"&lt;"&amp;AG345)+COUNTIF($AG$6:AG345,AG345))</f>
        <v/>
      </c>
    </row>
    <row r="346">
      <c r="A346" s="51" t="n"/>
      <c r="B346" s="52" t="n"/>
      <c r="C346" s="52" t="n"/>
      <c r="D346" s="53" t="n"/>
      <c r="E346" s="53" t="n"/>
      <c r="F346" s="54" t="n"/>
      <c r="G346" s="54" t="n"/>
      <c r="H346" s="54" t="n"/>
      <c r="I346" s="54" t="n"/>
      <c r="J346" s="53" t="n"/>
      <c r="K346" s="55" t="str">
        <f>IF(COUNTA(A346:I346)=0,"",IF(F346="",IFERROR(INDEX(eq_dur,MATCH(B346,eq_code,0)),""),F346))</f>
        <v/>
      </c>
      <c r="L346" s="55" t="str">
        <f>IF(ISNUMBER(K346),N(IFERROR(INDEX(eq_pause,MATCH(B346,eq_code,0)),0))+SUMIFS(st_min,st_date,A346,st_eq,B346,st_po,C346,st_type,"Planifié"),"")</f>
        <v/>
      </c>
      <c r="M346" s="55" t="str">
        <f>IF(ISNUMBER(K346),K346-L346,"")</f>
        <v/>
      </c>
      <c r="N346" s="55" t="str">
        <f>IF(ISNUMBER(K346),SUMIFS(st_min,st_date,A346,st_eq,B346,st_po,C346,st_type,"Non planifié"),"")</f>
        <v/>
      </c>
      <c r="O346" s="55" t="str">
        <f>IF(ISNUMBER(K346),M346-N346,"")</f>
        <v/>
      </c>
      <c r="P346" s="55" t="str">
        <f>IF(COUNTA(A346:I346)=0,"",N(G346)+N(H346)+N(I346))</f>
        <v/>
      </c>
      <c r="Q346" s="56" t="str">
        <f>IF(COUNTA(A346:I346)=0,"",IF(N(IFERROR(INDEX(art_rate,MATCH(E346,art_ref,0)),0))&gt;0,N(IFERROR(INDEX(art_rate,MATCH(E346,art_ref,0)),0)),N(IFERROR(INDEX(po_rate,MATCH(C346,po_code,0)),0))))</f>
        <v/>
      </c>
      <c r="R346" s="55" t="str">
        <f>IF(AC346=1,P346*60/Q346,"")</f>
        <v/>
      </c>
      <c r="S346" s="55" t="str">
        <f>IF(AC346=1,N(G346)*60/Q346,"")</f>
        <v/>
      </c>
      <c r="T346" s="57" t="str">
        <f>IF(AC346=1,O346/M346,"")</f>
        <v/>
      </c>
      <c r="U346" s="57" t="str">
        <f>IF(AC346=1,IF(O346&gt;0,R346/O346,""),"")</f>
        <v/>
      </c>
      <c r="V346" s="57" t="str">
        <f>IF(AC346=1,IF(P346&gt;0,N(G346)/P346,""),"")</f>
        <v/>
      </c>
      <c r="W346" s="57" t="str">
        <f>IF(AC346=1,S346/M346,"")</f>
        <v/>
      </c>
      <c r="X346" s="57" t="str">
        <f>IF(AC346=1,S346/K346,"")</f>
        <v/>
      </c>
      <c r="Y346" s="58" t="str">
        <f>IF(W346="","",IF(W346&gt;=p_target,"Bon",IF(W346&gt;=p_alert,"À surveiller","Faible")))</f>
        <v/>
      </c>
      <c r="Z346" s="58" t="str">
        <f>IF(W346="","",IF(MIN(IF(T346="",1,T346),IF(U346="",1,U346),IF(V346="",1,V346))&gt;=1,"Aucune",IF(IF(T346="",1,T346)&lt;=MIN(IF(U346="",1,U346),IF(V346="",1,V346)),"Disponibilité",IF(IF(U346="",1,U346)&lt;=IF(V346="",1,V346),"Performance","Qualité"))))</f>
        <v/>
      </c>
      <c r="AA346" s="59" t="str">
        <f>IF(AC346=1,N(H346)*N(IFERROR(INDEX(art_cost,MATCH(E346,art_ref,0)),0)),"")</f>
        <v/>
      </c>
      <c r="AB346" s="58" t="str">
        <f>IF(COUNTA(A346:I346)=0,"",IF(N(A346)&lt;=0,"Date manquante ou invalide",IF(B346="","Équipe manquante",IF(ISNA(MATCH(B346,eq_code,0)),"Équipe inconnue",IF(INDEX(eq_check,MATCH(B346,eq_code,0))&lt;&gt;"OK","Équipe à corriger dans Paramètres",IF(C346="","Poste manquant",IF(ISNA(MATCH(C346,po_code,0)),"Poste inconnu",IF(AND(E346&lt;&gt;"",ISNA(MATCH(E346,art_ref,0))),"Article inconnu",IF(IF(E346="",FALSE,INDEX(art_check,MATCH(E346,art_ref,0))&lt;&gt;"OK"),"Article à corriger (feuille Articles)",IF(COUNTIFS(sj_date,A346,sj_eq,B346,sj_po,C346)&gt;1,"Ligne en double (même jour, équipe et poste)",IF(OR(NOT(ISNUMBER(K346)),N(K346)&lt;=0,N(K346)&gt;1440),"Temps d'ouverture invalide",IF(OR(AND(G346&lt;&gt;"",NOT(ISNUMBER(G346))),N(G346)&lt;0,N(G346)&lt;&gt;INT(N(G346)),AND(H346&lt;&gt;"",NOT(ISNUMBER(H346))),N(H346)&lt;0,N(H346)&lt;&gt;INT(N(H346)),AND(I346&lt;&gt;"",NOT(ISNUMBER(I346))),N(I346)&lt;0,N(I346)&lt;&gt;INT(N(I346))),"Quantité invalide",IF(Q346&lt;=0,"Cadence manquante (poste ou article)",IF(M346&lt;=0,"Arrêts planifiés supérieurs au temps d'ouverture",IF(O346&lt;0,"Arrêts supérieurs au temps requis",IF(AND(P346&gt;0,O346=0),"Pièces déclarées sans temps de marche",IF(AND(P346=0,O346&gt;0),"Aucune pièce déclarée",IF(P346*60/Q346&gt;O346+0.001,"Cadence dépassée : vérifiez la cadence","OK"))))))))))))))))))</f>
        <v/>
      </c>
      <c r="AC346">
        <f>IF(OR(AB346="OK",AB346="Aucune pièce déclarée",AB346="Cadence dépassée : vérifiez la cadence"),1,0)</f>
        <v>0.0</v>
      </c>
      <c r="AD346">
        <f>IF(AND(AC346=1,A346&gt;=p_from,A346&lt;=p_to),1,0)</f>
        <v>0.0</v>
      </c>
      <c r="AE346">
        <f>IF(AD346=1,IF(COUNTIFS($A$6:A346,A346,$AD$6:AD346,1)=1,1,0),0)</f>
        <v>0.0</v>
      </c>
      <c r="AF346" t="str">
        <f>IF(AE346=1,COUNTIFS(sj_first,1,sj_date,"&lt;"&amp;A346)+1,"")</f>
        <v/>
      </c>
      <c r="AG346" t="str">
        <f>IF(AND(AD346=1,N(W346)&lt;p_alert),ROUND(W346,4),"")</f>
        <v/>
      </c>
      <c r="AH346" t="str">
        <f>IF(AG346="","",COUNTIF(sj_akey,"&lt;"&amp;AG346)+COUNTIF($AG$6:AG346,AG346))</f>
        <v/>
      </c>
    </row>
    <row r="347">
      <c r="A347" s="51" t="n"/>
      <c r="B347" s="52" t="n"/>
      <c r="C347" s="52" t="n"/>
      <c r="D347" s="53" t="n"/>
      <c r="E347" s="53" t="n"/>
      <c r="F347" s="54" t="n"/>
      <c r="G347" s="54" t="n"/>
      <c r="H347" s="54" t="n"/>
      <c r="I347" s="54" t="n"/>
      <c r="J347" s="53" t="n"/>
      <c r="K347" s="55" t="str">
        <f>IF(COUNTA(A347:I347)=0,"",IF(F347="",IFERROR(INDEX(eq_dur,MATCH(B347,eq_code,0)),""),F347))</f>
        <v/>
      </c>
      <c r="L347" s="55" t="str">
        <f>IF(ISNUMBER(K347),N(IFERROR(INDEX(eq_pause,MATCH(B347,eq_code,0)),0))+SUMIFS(st_min,st_date,A347,st_eq,B347,st_po,C347,st_type,"Planifié"),"")</f>
        <v/>
      </c>
      <c r="M347" s="55" t="str">
        <f>IF(ISNUMBER(K347),K347-L347,"")</f>
        <v/>
      </c>
      <c r="N347" s="55" t="str">
        <f>IF(ISNUMBER(K347),SUMIFS(st_min,st_date,A347,st_eq,B347,st_po,C347,st_type,"Non planifié"),"")</f>
        <v/>
      </c>
      <c r="O347" s="55" t="str">
        <f>IF(ISNUMBER(K347),M347-N347,"")</f>
        <v/>
      </c>
      <c r="P347" s="55" t="str">
        <f>IF(COUNTA(A347:I347)=0,"",N(G347)+N(H347)+N(I347))</f>
        <v/>
      </c>
      <c r="Q347" s="56" t="str">
        <f>IF(COUNTA(A347:I347)=0,"",IF(N(IFERROR(INDEX(art_rate,MATCH(E347,art_ref,0)),0))&gt;0,N(IFERROR(INDEX(art_rate,MATCH(E347,art_ref,0)),0)),N(IFERROR(INDEX(po_rate,MATCH(C347,po_code,0)),0))))</f>
        <v/>
      </c>
      <c r="R347" s="55" t="str">
        <f>IF(AC347=1,P347*60/Q347,"")</f>
        <v/>
      </c>
      <c r="S347" s="55" t="str">
        <f>IF(AC347=1,N(G347)*60/Q347,"")</f>
        <v/>
      </c>
      <c r="T347" s="57" t="str">
        <f>IF(AC347=1,O347/M347,"")</f>
        <v/>
      </c>
      <c r="U347" s="57" t="str">
        <f>IF(AC347=1,IF(O347&gt;0,R347/O347,""),"")</f>
        <v/>
      </c>
      <c r="V347" s="57" t="str">
        <f>IF(AC347=1,IF(P347&gt;0,N(G347)/P347,""),"")</f>
        <v/>
      </c>
      <c r="W347" s="57" t="str">
        <f>IF(AC347=1,S347/M347,"")</f>
        <v/>
      </c>
      <c r="X347" s="57" t="str">
        <f>IF(AC347=1,S347/K347,"")</f>
        <v/>
      </c>
      <c r="Y347" s="58" t="str">
        <f>IF(W347="","",IF(W347&gt;=p_target,"Bon",IF(W347&gt;=p_alert,"À surveiller","Faible")))</f>
        <v/>
      </c>
      <c r="Z347" s="58" t="str">
        <f>IF(W347="","",IF(MIN(IF(T347="",1,T347),IF(U347="",1,U347),IF(V347="",1,V347))&gt;=1,"Aucune",IF(IF(T347="",1,T347)&lt;=MIN(IF(U347="",1,U347),IF(V347="",1,V347)),"Disponibilité",IF(IF(U347="",1,U347)&lt;=IF(V347="",1,V347),"Performance","Qualité"))))</f>
        <v/>
      </c>
      <c r="AA347" s="59" t="str">
        <f>IF(AC347=1,N(H347)*N(IFERROR(INDEX(art_cost,MATCH(E347,art_ref,0)),0)),"")</f>
        <v/>
      </c>
      <c r="AB347" s="58" t="str">
        <f>IF(COUNTA(A347:I347)=0,"",IF(N(A347)&lt;=0,"Date manquante ou invalide",IF(B347="","Équipe manquante",IF(ISNA(MATCH(B347,eq_code,0)),"Équipe inconnue",IF(INDEX(eq_check,MATCH(B347,eq_code,0))&lt;&gt;"OK","Équipe à corriger dans Paramètres",IF(C347="","Poste manquant",IF(ISNA(MATCH(C347,po_code,0)),"Poste inconnu",IF(AND(E347&lt;&gt;"",ISNA(MATCH(E347,art_ref,0))),"Article inconnu",IF(IF(E347="",FALSE,INDEX(art_check,MATCH(E347,art_ref,0))&lt;&gt;"OK"),"Article à corriger (feuille Articles)",IF(COUNTIFS(sj_date,A347,sj_eq,B347,sj_po,C347)&gt;1,"Ligne en double (même jour, équipe et poste)",IF(OR(NOT(ISNUMBER(K347)),N(K347)&lt;=0,N(K347)&gt;1440),"Temps d'ouverture invalide",IF(OR(AND(G347&lt;&gt;"",NOT(ISNUMBER(G347))),N(G347)&lt;0,N(G347)&lt;&gt;INT(N(G347)),AND(H347&lt;&gt;"",NOT(ISNUMBER(H347))),N(H347)&lt;0,N(H347)&lt;&gt;INT(N(H347)),AND(I347&lt;&gt;"",NOT(ISNUMBER(I347))),N(I347)&lt;0,N(I347)&lt;&gt;INT(N(I347))),"Quantité invalide",IF(Q347&lt;=0,"Cadence manquante (poste ou article)",IF(M347&lt;=0,"Arrêts planifiés supérieurs au temps d'ouverture",IF(O347&lt;0,"Arrêts supérieurs au temps requis",IF(AND(P347&gt;0,O347=0),"Pièces déclarées sans temps de marche",IF(AND(P347=0,O347&gt;0),"Aucune pièce déclarée",IF(P347*60/Q347&gt;O347+0.001,"Cadence dépassée : vérifiez la cadence","OK"))))))))))))))))))</f>
        <v/>
      </c>
      <c r="AC347">
        <f>IF(OR(AB347="OK",AB347="Aucune pièce déclarée",AB347="Cadence dépassée : vérifiez la cadence"),1,0)</f>
        <v>0.0</v>
      </c>
      <c r="AD347">
        <f>IF(AND(AC347=1,A347&gt;=p_from,A347&lt;=p_to),1,0)</f>
        <v>0.0</v>
      </c>
      <c r="AE347">
        <f>IF(AD347=1,IF(COUNTIFS($A$6:A347,A347,$AD$6:AD347,1)=1,1,0),0)</f>
        <v>0.0</v>
      </c>
      <c r="AF347" t="str">
        <f>IF(AE347=1,COUNTIFS(sj_first,1,sj_date,"&lt;"&amp;A347)+1,"")</f>
        <v/>
      </c>
      <c r="AG347" t="str">
        <f>IF(AND(AD347=1,N(W347)&lt;p_alert),ROUND(W347,4),"")</f>
        <v/>
      </c>
      <c r="AH347" t="str">
        <f>IF(AG347="","",COUNTIF(sj_akey,"&lt;"&amp;AG347)+COUNTIF($AG$6:AG347,AG347))</f>
        <v/>
      </c>
    </row>
    <row r="348">
      <c r="A348" s="51" t="n"/>
      <c r="B348" s="52" t="n"/>
      <c r="C348" s="52" t="n"/>
      <c r="D348" s="53" t="n"/>
      <c r="E348" s="53" t="n"/>
      <c r="F348" s="54" t="n"/>
      <c r="G348" s="54" t="n"/>
      <c r="H348" s="54" t="n"/>
      <c r="I348" s="54" t="n"/>
      <c r="J348" s="53" t="n"/>
      <c r="K348" s="55" t="str">
        <f>IF(COUNTA(A348:I348)=0,"",IF(F348="",IFERROR(INDEX(eq_dur,MATCH(B348,eq_code,0)),""),F348))</f>
        <v/>
      </c>
      <c r="L348" s="55" t="str">
        <f>IF(ISNUMBER(K348),N(IFERROR(INDEX(eq_pause,MATCH(B348,eq_code,0)),0))+SUMIFS(st_min,st_date,A348,st_eq,B348,st_po,C348,st_type,"Planifié"),"")</f>
        <v/>
      </c>
      <c r="M348" s="55" t="str">
        <f>IF(ISNUMBER(K348),K348-L348,"")</f>
        <v/>
      </c>
      <c r="N348" s="55" t="str">
        <f>IF(ISNUMBER(K348),SUMIFS(st_min,st_date,A348,st_eq,B348,st_po,C348,st_type,"Non planifié"),"")</f>
        <v/>
      </c>
      <c r="O348" s="55" t="str">
        <f>IF(ISNUMBER(K348),M348-N348,"")</f>
        <v/>
      </c>
      <c r="P348" s="55" t="str">
        <f>IF(COUNTA(A348:I348)=0,"",N(G348)+N(H348)+N(I348))</f>
        <v/>
      </c>
      <c r="Q348" s="56" t="str">
        <f>IF(COUNTA(A348:I348)=0,"",IF(N(IFERROR(INDEX(art_rate,MATCH(E348,art_ref,0)),0))&gt;0,N(IFERROR(INDEX(art_rate,MATCH(E348,art_ref,0)),0)),N(IFERROR(INDEX(po_rate,MATCH(C348,po_code,0)),0))))</f>
        <v/>
      </c>
      <c r="R348" s="55" t="str">
        <f>IF(AC348=1,P348*60/Q348,"")</f>
        <v/>
      </c>
      <c r="S348" s="55" t="str">
        <f>IF(AC348=1,N(G348)*60/Q348,"")</f>
        <v/>
      </c>
      <c r="T348" s="57" t="str">
        <f>IF(AC348=1,O348/M348,"")</f>
        <v/>
      </c>
      <c r="U348" s="57" t="str">
        <f>IF(AC348=1,IF(O348&gt;0,R348/O348,""),"")</f>
        <v/>
      </c>
      <c r="V348" s="57" t="str">
        <f>IF(AC348=1,IF(P348&gt;0,N(G348)/P348,""),"")</f>
        <v/>
      </c>
      <c r="W348" s="57" t="str">
        <f>IF(AC348=1,S348/M348,"")</f>
        <v/>
      </c>
      <c r="X348" s="57" t="str">
        <f>IF(AC348=1,S348/K348,"")</f>
        <v/>
      </c>
      <c r="Y348" s="58" t="str">
        <f>IF(W348="","",IF(W348&gt;=p_target,"Bon",IF(W348&gt;=p_alert,"À surveiller","Faible")))</f>
        <v/>
      </c>
      <c r="Z348" s="58" t="str">
        <f>IF(W348="","",IF(MIN(IF(T348="",1,T348),IF(U348="",1,U348),IF(V348="",1,V348))&gt;=1,"Aucune",IF(IF(T348="",1,T348)&lt;=MIN(IF(U348="",1,U348),IF(V348="",1,V348)),"Disponibilité",IF(IF(U348="",1,U348)&lt;=IF(V348="",1,V348),"Performance","Qualité"))))</f>
        <v/>
      </c>
      <c r="AA348" s="59" t="str">
        <f>IF(AC348=1,N(H348)*N(IFERROR(INDEX(art_cost,MATCH(E348,art_ref,0)),0)),"")</f>
        <v/>
      </c>
      <c r="AB348" s="58" t="str">
        <f>IF(COUNTA(A348:I348)=0,"",IF(N(A348)&lt;=0,"Date manquante ou invalide",IF(B348="","Équipe manquante",IF(ISNA(MATCH(B348,eq_code,0)),"Équipe inconnue",IF(INDEX(eq_check,MATCH(B348,eq_code,0))&lt;&gt;"OK","Équipe à corriger dans Paramètres",IF(C348="","Poste manquant",IF(ISNA(MATCH(C348,po_code,0)),"Poste inconnu",IF(AND(E348&lt;&gt;"",ISNA(MATCH(E348,art_ref,0))),"Article inconnu",IF(IF(E348="",FALSE,INDEX(art_check,MATCH(E348,art_ref,0))&lt;&gt;"OK"),"Article à corriger (feuille Articles)",IF(COUNTIFS(sj_date,A348,sj_eq,B348,sj_po,C348)&gt;1,"Ligne en double (même jour, équipe et poste)",IF(OR(NOT(ISNUMBER(K348)),N(K348)&lt;=0,N(K348)&gt;1440),"Temps d'ouverture invalide",IF(OR(AND(G348&lt;&gt;"",NOT(ISNUMBER(G348))),N(G348)&lt;0,N(G348)&lt;&gt;INT(N(G348)),AND(H348&lt;&gt;"",NOT(ISNUMBER(H348))),N(H348)&lt;0,N(H348)&lt;&gt;INT(N(H348)),AND(I348&lt;&gt;"",NOT(ISNUMBER(I348))),N(I348)&lt;0,N(I348)&lt;&gt;INT(N(I348))),"Quantité invalide",IF(Q348&lt;=0,"Cadence manquante (poste ou article)",IF(M348&lt;=0,"Arrêts planifiés supérieurs au temps d'ouverture",IF(O348&lt;0,"Arrêts supérieurs au temps requis",IF(AND(P348&gt;0,O348=0),"Pièces déclarées sans temps de marche",IF(AND(P348=0,O348&gt;0),"Aucune pièce déclarée",IF(P348*60/Q348&gt;O348+0.001,"Cadence dépassée : vérifiez la cadence","OK"))))))))))))))))))</f>
        <v/>
      </c>
      <c r="AC348">
        <f>IF(OR(AB348="OK",AB348="Aucune pièce déclarée",AB348="Cadence dépassée : vérifiez la cadence"),1,0)</f>
        <v>0.0</v>
      </c>
      <c r="AD348">
        <f>IF(AND(AC348=1,A348&gt;=p_from,A348&lt;=p_to),1,0)</f>
        <v>0.0</v>
      </c>
      <c r="AE348">
        <f>IF(AD348=1,IF(COUNTIFS($A$6:A348,A348,$AD$6:AD348,1)=1,1,0),0)</f>
        <v>0.0</v>
      </c>
      <c r="AF348" t="str">
        <f>IF(AE348=1,COUNTIFS(sj_first,1,sj_date,"&lt;"&amp;A348)+1,"")</f>
        <v/>
      </c>
      <c r="AG348" t="str">
        <f>IF(AND(AD348=1,N(W348)&lt;p_alert),ROUND(W348,4),"")</f>
        <v/>
      </c>
      <c r="AH348" t="str">
        <f>IF(AG348="","",COUNTIF(sj_akey,"&lt;"&amp;AG348)+COUNTIF($AG$6:AG348,AG348))</f>
        <v/>
      </c>
    </row>
    <row r="349">
      <c r="A349" s="51" t="n"/>
      <c r="B349" s="52" t="n"/>
      <c r="C349" s="52" t="n"/>
      <c r="D349" s="53" t="n"/>
      <c r="E349" s="53" t="n"/>
      <c r="F349" s="54" t="n"/>
      <c r="G349" s="54" t="n"/>
      <c r="H349" s="54" t="n"/>
      <c r="I349" s="54" t="n"/>
      <c r="J349" s="53" t="n"/>
      <c r="K349" s="55" t="str">
        <f>IF(COUNTA(A349:I349)=0,"",IF(F349="",IFERROR(INDEX(eq_dur,MATCH(B349,eq_code,0)),""),F349))</f>
        <v/>
      </c>
      <c r="L349" s="55" t="str">
        <f>IF(ISNUMBER(K349),N(IFERROR(INDEX(eq_pause,MATCH(B349,eq_code,0)),0))+SUMIFS(st_min,st_date,A349,st_eq,B349,st_po,C349,st_type,"Planifié"),"")</f>
        <v/>
      </c>
      <c r="M349" s="55" t="str">
        <f>IF(ISNUMBER(K349),K349-L349,"")</f>
        <v/>
      </c>
      <c r="N349" s="55" t="str">
        <f>IF(ISNUMBER(K349),SUMIFS(st_min,st_date,A349,st_eq,B349,st_po,C349,st_type,"Non planifié"),"")</f>
        <v/>
      </c>
      <c r="O349" s="55" t="str">
        <f>IF(ISNUMBER(K349),M349-N349,"")</f>
        <v/>
      </c>
      <c r="P349" s="55" t="str">
        <f>IF(COUNTA(A349:I349)=0,"",N(G349)+N(H349)+N(I349))</f>
        <v/>
      </c>
      <c r="Q349" s="56" t="str">
        <f>IF(COUNTA(A349:I349)=0,"",IF(N(IFERROR(INDEX(art_rate,MATCH(E349,art_ref,0)),0))&gt;0,N(IFERROR(INDEX(art_rate,MATCH(E349,art_ref,0)),0)),N(IFERROR(INDEX(po_rate,MATCH(C349,po_code,0)),0))))</f>
        <v/>
      </c>
      <c r="R349" s="55" t="str">
        <f>IF(AC349=1,P349*60/Q349,"")</f>
        <v/>
      </c>
      <c r="S349" s="55" t="str">
        <f>IF(AC349=1,N(G349)*60/Q349,"")</f>
        <v/>
      </c>
      <c r="T349" s="57" t="str">
        <f>IF(AC349=1,O349/M349,"")</f>
        <v/>
      </c>
      <c r="U349" s="57" t="str">
        <f>IF(AC349=1,IF(O349&gt;0,R349/O349,""),"")</f>
        <v/>
      </c>
      <c r="V349" s="57" t="str">
        <f>IF(AC349=1,IF(P349&gt;0,N(G349)/P349,""),"")</f>
        <v/>
      </c>
      <c r="W349" s="57" t="str">
        <f>IF(AC349=1,S349/M349,"")</f>
        <v/>
      </c>
      <c r="X349" s="57" t="str">
        <f>IF(AC349=1,S349/K349,"")</f>
        <v/>
      </c>
      <c r="Y349" s="58" t="str">
        <f>IF(W349="","",IF(W349&gt;=p_target,"Bon",IF(W349&gt;=p_alert,"À surveiller","Faible")))</f>
        <v/>
      </c>
      <c r="Z349" s="58" t="str">
        <f>IF(W349="","",IF(MIN(IF(T349="",1,T349),IF(U349="",1,U349),IF(V349="",1,V349))&gt;=1,"Aucune",IF(IF(T349="",1,T349)&lt;=MIN(IF(U349="",1,U349),IF(V349="",1,V349)),"Disponibilité",IF(IF(U349="",1,U349)&lt;=IF(V349="",1,V349),"Performance","Qualité"))))</f>
        <v/>
      </c>
      <c r="AA349" s="59" t="str">
        <f>IF(AC349=1,N(H349)*N(IFERROR(INDEX(art_cost,MATCH(E349,art_ref,0)),0)),"")</f>
        <v/>
      </c>
      <c r="AB349" s="58" t="str">
        <f>IF(COUNTA(A349:I349)=0,"",IF(N(A349)&lt;=0,"Date manquante ou invalide",IF(B349="","Équipe manquante",IF(ISNA(MATCH(B349,eq_code,0)),"Équipe inconnue",IF(INDEX(eq_check,MATCH(B349,eq_code,0))&lt;&gt;"OK","Équipe à corriger dans Paramètres",IF(C349="","Poste manquant",IF(ISNA(MATCH(C349,po_code,0)),"Poste inconnu",IF(AND(E349&lt;&gt;"",ISNA(MATCH(E349,art_ref,0))),"Article inconnu",IF(IF(E349="",FALSE,INDEX(art_check,MATCH(E349,art_ref,0))&lt;&gt;"OK"),"Article à corriger (feuille Articles)",IF(COUNTIFS(sj_date,A349,sj_eq,B349,sj_po,C349)&gt;1,"Ligne en double (même jour, équipe et poste)",IF(OR(NOT(ISNUMBER(K349)),N(K349)&lt;=0,N(K349)&gt;1440),"Temps d'ouverture invalide",IF(OR(AND(G349&lt;&gt;"",NOT(ISNUMBER(G349))),N(G349)&lt;0,N(G349)&lt;&gt;INT(N(G349)),AND(H349&lt;&gt;"",NOT(ISNUMBER(H349))),N(H349)&lt;0,N(H349)&lt;&gt;INT(N(H349)),AND(I349&lt;&gt;"",NOT(ISNUMBER(I349))),N(I349)&lt;0,N(I349)&lt;&gt;INT(N(I349))),"Quantité invalide",IF(Q349&lt;=0,"Cadence manquante (poste ou article)",IF(M349&lt;=0,"Arrêts planifiés supérieurs au temps d'ouverture",IF(O349&lt;0,"Arrêts supérieurs au temps requis",IF(AND(P349&gt;0,O349=0),"Pièces déclarées sans temps de marche",IF(AND(P349=0,O349&gt;0),"Aucune pièce déclarée",IF(P349*60/Q349&gt;O349+0.001,"Cadence dépassée : vérifiez la cadence","OK"))))))))))))))))))</f>
        <v/>
      </c>
      <c r="AC349">
        <f>IF(OR(AB349="OK",AB349="Aucune pièce déclarée",AB349="Cadence dépassée : vérifiez la cadence"),1,0)</f>
        <v>0.0</v>
      </c>
      <c r="AD349">
        <f>IF(AND(AC349=1,A349&gt;=p_from,A349&lt;=p_to),1,0)</f>
        <v>0.0</v>
      </c>
      <c r="AE349">
        <f>IF(AD349=1,IF(COUNTIFS($A$6:A349,A349,$AD$6:AD349,1)=1,1,0),0)</f>
        <v>0.0</v>
      </c>
      <c r="AF349" t="str">
        <f>IF(AE349=1,COUNTIFS(sj_first,1,sj_date,"&lt;"&amp;A349)+1,"")</f>
        <v/>
      </c>
      <c r="AG349" t="str">
        <f>IF(AND(AD349=1,N(W349)&lt;p_alert),ROUND(W349,4),"")</f>
        <v/>
      </c>
      <c r="AH349" t="str">
        <f>IF(AG349="","",COUNTIF(sj_akey,"&lt;"&amp;AG349)+COUNTIF($AG$6:AG349,AG349))</f>
        <v/>
      </c>
    </row>
    <row r="350">
      <c r="A350" s="51" t="n"/>
      <c r="B350" s="52" t="n"/>
      <c r="C350" s="52" t="n"/>
      <c r="D350" s="53" t="n"/>
      <c r="E350" s="53" t="n"/>
      <c r="F350" s="54" t="n"/>
      <c r="G350" s="54" t="n"/>
      <c r="H350" s="54" t="n"/>
      <c r="I350" s="54" t="n"/>
      <c r="J350" s="53" t="n"/>
      <c r="K350" s="55" t="str">
        <f>IF(COUNTA(A350:I350)=0,"",IF(F350="",IFERROR(INDEX(eq_dur,MATCH(B350,eq_code,0)),""),F350))</f>
        <v/>
      </c>
      <c r="L350" s="55" t="str">
        <f>IF(ISNUMBER(K350),N(IFERROR(INDEX(eq_pause,MATCH(B350,eq_code,0)),0))+SUMIFS(st_min,st_date,A350,st_eq,B350,st_po,C350,st_type,"Planifié"),"")</f>
        <v/>
      </c>
      <c r="M350" s="55" t="str">
        <f>IF(ISNUMBER(K350),K350-L350,"")</f>
        <v/>
      </c>
      <c r="N350" s="55" t="str">
        <f>IF(ISNUMBER(K350),SUMIFS(st_min,st_date,A350,st_eq,B350,st_po,C350,st_type,"Non planifié"),"")</f>
        <v/>
      </c>
      <c r="O350" s="55" t="str">
        <f>IF(ISNUMBER(K350),M350-N350,"")</f>
        <v/>
      </c>
      <c r="P350" s="55" t="str">
        <f>IF(COUNTA(A350:I350)=0,"",N(G350)+N(H350)+N(I350))</f>
        <v/>
      </c>
      <c r="Q350" s="56" t="str">
        <f>IF(COUNTA(A350:I350)=0,"",IF(N(IFERROR(INDEX(art_rate,MATCH(E350,art_ref,0)),0))&gt;0,N(IFERROR(INDEX(art_rate,MATCH(E350,art_ref,0)),0)),N(IFERROR(INDEX(po_rate,MATCH(C350,po_code,0)),0))))</f>
        <v/>
      </c>
      <c r="R350" s="55" t="str">
        <f>IF(AC350=1,P350*60/Q350,"")</f>
        <v/>
      </c>
      <c r="S350" s="55" t="str">
        <f>IF(AC350=1,N(G350)*60/Q350,"")</f>
        <v/>
      </c>
      <c r="T350" s="57" t="str">
        <f>IF(AC350=1,O350/M350,"")</f>
        <v/>
      </c>
      <c r="U350" s="57" t="str">
        <f>IF(AC350=1,IF(O350&gt;0,R350/O350,""),"")</f>
        <v/>
      </c>
      <c r="V350" s="57" t="str">
        <f>IF(AC350=1,IF(P350&gt;0,N(G350)/P350,""),"")</f>
        <v/>
      </c>
      <c r="W350" s="57" t="str">
        <f>IF(AC350=1,S350/M350,"")</f>
        <v/>
      </c>
      <c r="X350" s="57" t="str">
        <f>IF(AC350=1,S350/K350,"")</f>
        <v/>
      </c>
      <c r="Y350" s="58" t="str">
        <f>IF(W350="","",IF(W350&gt;=p_target,"Bon",IF(W350&gt;=p_alert,"À surveiller","Faible")))</f>
        <v/>
      </c>
      <c r="Z350" s="58" t="str">
        <f>IF(W350="","",IF(MIN(IF(T350="",1,T350),IF(U350="",1,U350),IF(V350="",1,V350))&gt;=1,"Aucune",IF(IF(T350="",1,T350)&lt;=MIN(IF(U350="",1,U350),IF(V350="",1,V350)),"Disponibilité",IF(IF(U350="",1,U350)&lt;=IF(V350="",1,V350),"Performance","Qualité"))))</f>
        <v/>
      </c>
      <c r="AA350" s="59" t="str">
        <f>IF(AC350=1,N(H350)*N(IFERROR(INDEX(art_cost,MATCH(E350,art_ref,0)),0)),"")</f>
        <v/>
      </c>
      <c r="AB350" s="58" t="str">
        <f>IF(COUNTA(A350:I350)=0,"",IF(N(A350)&lt;=0,"Date manquante ou invalide",IF(B350="","Équipe manquante",IF(ISNA(MATCH(B350,eq_code,0)),"Équipe inconnue",IF(INDEX(eq_check,MATCH(B350,eq_code,0))&lt;&gt;"OK","Équipe à corriger dans Paramètres",IF(C350="","Poste manquant",IF(ISNA(MATCH(C350,po_code,0)),"Poste inconnu",IF(AND(E350&lt;&gt;"",ISNA(MATCH(E350,art_ref,0))),"Article inconnu",IF(IF(E350="",FALSE,INDEX(art_check,MATCH(E350,art_ref,0))&lt;&gt;"OK"),"Article à corriger (feuille Articles)",IF(COUNTIFS(sj_date,A350,sj_eq,B350,sj_po,C350)&gt;1,"Ligne en double (même jour, équipe et poste)",IF(OR(NOT(ISNUMBER(K350)),N(K350)&lt;=0,N(K350)&gt;1440),"Temps d'ouverture invalide",IF(OR(AND(G350&lt;&gt;"",NOT(ISNUMBER(G350))),N(G350)&lt;0,N(G350)&lt;&gt;INT(N(G350)),AND(H350&lt;&gt;"",NOT(ISNUMBER(H350))),N(H350)&lt;0,N(H350)&lt;&gt;INT(N(H350)),AND(I350&lt;&gt;"",NOT(ISNUMBER(I350))),N(I350)&lt;0,N(I350)&lt;&gt;INT(N(I350))),"Quantité invalide",IF(Q350&lt;=0,"Cadence manquante (poste ou article)",IF(M350&lt;=0,"Arrêts planifiés supérieurs au temps d'ouverture",IF(O350&lt;0,"Arrêts supérieurs au temps requis",IF(AND(P350&gt;0,O350=0),"Pièces déclarées sans temps de marche",IF(AND(P350=0,O350&gt;0),"Aucune pièce déclarée",IF(P350*60/Q350&gt;O350+0.001,"Cadence dépassée : vérifiez la cadence","OK"))))))))))))))))))</f>
        <v/>
      </c>
      <c r="AC350">
        <f>IF(OR(AB350="OK",AB350="Aucune pièce déclarée",AB350="Cadence dépassée : vérifiez la cadence"),1,0)</f>
        <v>0.0</v>
      </c>
      <c r="AD350">
        <f>IF(AND(AC350=1,A350&gt;=p_from,A350&lt;=p_to),1,0)</f>
        <v>0.0</v>
      </c>
      <c r="AE350">
        <f>IF(AD350=1,IF(COUNTIFS($A$6:A350,A350,$AD$6:AD350,1)=1,1,0),0)</f>
        <v>0.0</v>
      </c>
      <c r="AF350" t="str">
        <f>IF(AE350=1,COUNTIFS(sj_first,1,sj_date,"&lt;"&amp;A350)+1,"")</f>
        <v/>
      </c>
      <c r="AG350" t="str">
        <f>IF(AND(AD350=1,N(W350)&lt;p_alert),ROUND(W350,4),"")</f>
        <v/>
      </c>
      <c r="AH350" t="str">
        <f>IF(AG350="","",COUNTIF(sj_akey,"&lt;"&amp;AG350)+COUNTIF($AG$6:AG350,AG350))</f>
        <v/>
      </c>
    </row>
    <row r="351">
      <c r="A351" s="51" t="n"/>
      <c r="B351" s="52" t="n"/>
      <c r="C351" s="52" t="n"/>
      <c r="D351" s="53" t="n"/>
      <c r="E351" s="53" t="n"/>
      <c r="F351" s="54" t="n"/>
      <c r="G351" s="54" t="n"/>
      <c r="H351" s="54" t="n"/>
      <c r="I351" s="54" t="n"/>
      <c r="J351" s="53" t="n"/>
      <c r="K351" s="55" t="str">
        <f>IF(COUNTA(A351:I351)=0,"",IF(F351="",IFERROR(INDEX(eq_dur,MATCH(B351,eq_code,0)),""),F351))</f>
        <v/>
      </c>
      <c r="L351" s="55" t="str">
        <f>IF(ISNUMBER(K351),N(IFERROR(INDEX(eq_pause,MATCH(B351,eq_code,0)),0))+SUMIFS(st_min,st_date,A351,st_eq,B351,st_po,C351,st_type,"Planifié"),"")</f>
        <v/>
      </c>
      <c r="M351" s="55" t="str">
        <f>IF(ISNUMBER(K351),K351-L351,"")</f>
        <v/>
      </c>
      <c r="N351" s="55" t="str">
        <f>IF(ISNUMBER(K351),SUMIFS(st_min,st_date,A351,st_eq,B351,st_po,C351,st_type,"Non planifié"),"")</f>
        <v/>
      </c>
      <c r="O351" s="55" t="str">
        <f>IF(ISNUMBER(K351),M351-N351,"")</f>
        <v/>
      </c>
      <c r="P351" s="55" t="str">
        <f>IF(COUNTA(A351:I351)=0,"",N(G351)+N(H351)+N(I351))</f>
        <v/>
      </c>
      <c r="Q351" s="56" t="str">
        <f>IF(COUNTA(A351:I351)=0,"",IF(N(IFERROR(INDEX(art_rate,MATCH(E351,art_ref,0)),0))&gt;0,N(IFERROR(INDEX(art_rate,MATCH(E351,art_ref,0)),0)),N(IFERROR(INDEX(po_rate,MATCH(C351,po_code,0)),0))))</f>
        <v/>
      </c>
      <c r="R351" s="55" t="str">
        <f>IF(AC351=1,P351*60/Q351,"")</f>
        <v/>
      </c>
      <c r="S351" s="55" t="str">
        <f>IF(AC351=1,N(G351)*60/Q351,"")</f>
        <v/>
      </c>
      <c r="T351" s="57" t="str">
        <f>IF(AC351=1,O351/M351,"")</f>
        <v/>
      </c>
      <c r="U351" s="57" t="str">
        <f>IF(AC351=1,IF(O351&gt;0,R351/O351,""),"")</f>
        <v/>
      </c>
      <c r="V351" s="57" t="str">
        <f>IF(AC351=1,IF(P351&gt;0,N(G351)/P351,""),"")</f>
        <v/>
      </c>
      <c r="W351" s="57" t="str">
        <f>IF(AC351=1,S351/M351,"")</f>
        <v/>
      </c>
      <c r="X351" s="57" t="str">
        <f>IF(AC351=1,S351/K351,"")</f>
        <v/>
      </c>
      <c r="Y351" s="58" t="str">
        <f>IF(W351="","",IF(W351&gt;=p_target,"Bon",IF(W351&gt;=p_alert,"À surveiller","Faible")))</f>
        <v/>
      </c>
      <c r="Z351" s="58" t="str">
        <f>IF(W351="","",IF(MIN(IF(T351="",1,T351),IF(U351="",1,U351),IF(V351="",1,V351))&gt;=1,"Aucune",IF(IF(T351="",1,T351)&lt;=MIN(IF(U351="",1,U351),IF(V351="",1,V351)),"Disponibilité",IF(IF(U351="",1,U351)&lt;=IF(V351="",1,V351),"Performance","Qualité"))))</f>
        <v/>
      </c>
      <c r="AA351" s="59" t="str">
        <f>IF(AC351=1,N(H351)*N(IFERROR(INDEX(art_cost,MATCH(E351,art_ref,0)),0)),"")</f>
        <v/>
      </c>
      <c r="AB351" s="58" t="str">
        <f>IF(COUNTA(A351:I351)=0,"",IF(N(A351)&lt;=0,"Date manquante ou invalide",IF(B351="","Équipe manquante",IF(ISNA(MATCH(B351,eq_code,0)),"Équipe inconnue",IF(INDEX(eq_check,MATCH(B351,eq_code,0))&lt;&gt;"OK","Équipe à corriger dans Paramètres",IF(C351="","Poste manquant",IF(ISNA(MATCH(C351,po_code,0)),"Poste inconnu",IF(AND(E351&lt;&gt;"",ISNA(MATCH(E351,art_ref,0))),"Article inconnu",IF(IF(E351="",FALSE,INDEX(art_check,MATCH(E351,art_ref,0))&lt;&gt;"OK"),"Article à corriger (feuille Articles)",IF(COUNTIFS(sj_date,A351,sj_eq,B351,sj_po,C351)&gt;1,"Ligne en double (même jour, équipe et poste)",IF(OR(NOT(ISNUMBER(K351)),N(K351)&lt;=0,N(K351)&gt;1440),"Temps d'ouverture invalide",IF(OR(AND(G351&lt;&gt;"",NOT(ISNUMBER(G351))),N(G351)&lt;0,N(G351)&lt;&gt;INT(N(G351)),AND(H351&lt;&gt;"",NOT(ISNUMBER(H351))),N(H351)&lt;0,N(H351)&lt;&gt;INT(N(H351)),AND(I351&lt;&gt;"",NOT(ISNUMBER(I351))),N(I351)&lt;0,N(I351)&lt;&gt;INT(N(I351))),"Quantité invalide",IF(Q351&lt;=0,"Cadence manquante (poste ou article)",IF(M351&lt;=0,"Arrêts planifiés supérieurs au temps d'ouverture",IF(O351&lt;0,"Arrêts supérieurs au temps requis",IF(AND(P351&gt;0,O351=0),"Pièces déclarées sans temps de marche",IF(AND(P351=0,O351&gt;0),"Aucune pièce déclarée",IF(P351*60/Q351&gt;O351+0.001,"Cadence dépassée : vérifiez la cadence","OK"))))))))))))))))))</f>
        <v/>
      </c>
      <c r="AC351">
        <f>IF(OR(AB351="OK",AB351="Aucune pièce déclarée",AB351="Cadence dépassée : vérifiez la cadence"),1,0)</f>
        <v>0.0</v>
      </c>
      <c r="AD351">
        <f>IF(AND(AC351=1,A351&gt;=p_from,A351&lt;=p_to),1,0)</f>
        <v>0.0</v>
      </c>
      <c r="AE351">
        <f>IF(AD351=1,IF(COUNTIFS($A$6:A351,A351,$AD$6:AD351,1)=1,1,0),0)</f>
        <v>0.0</v>
      </c>
      <c r="AF351" t="str">
        <f>IF(AE351=1,COUNTIFS(sj_first,1,sj_date,"&lt;"&amp;A351)+1,"")</f>
        <v/>
      </c>
      <c r="AG351" t="str">
        <f>IF(AND(AD351=1,N(W351)&lt;p_alert),ROUND(W351,4),"")</f>
        <v/>
      </c>
      <c r="AH351" t="str">
        <f>IF(AG351="","",COUNTIF(sj_akey,"&lt;"&amp;AG351)+COUNTIF($AG$6:AG351,AG351))</f>
        <v/>
      </c>
    </row>
    <row r="352">
      <c r="A352" s="51" t="n"/>
      <c r="B352" s="52" t="n"/>
      <c r="C352" s="52" t="n"/>
      <c r="D352" s="53" t="n"/>
      <c r="E352" s="53" t="n"/>
      <c r="F352" s="54" t="n"/>
      <c r="G352" s="54" t="n"/>
      <c r="H352" s="54" t="n"/>
      <c r="I352" s="54" t="n"/>
      <c r="J352" s="53" t="n"/>
      <c r="K352" s="55" t="str">
        <f>IF(COUNTA(A352:I352)=0,"",IF(F352="",IFERROR(INDEX(eq_dur,MATCH(B352,eq_code,0)),""),F352))</f>
        <v/>
      </c>
      <c r="L352" s="55" t="str">
        <f>IF(ISNUMBER(K352),N(IFERROR(INDEX(eq_pause,MATCH(B352,eq_code,0)),0))+SUMIFS(st_min,st_date,A352,st_eq,B352,st_po,C352,st_type,"Planifié"),"")</f>
        <v/>
      </c>
      <c r="M352" s="55" t="str">
        <f>IF(ISNUMBER(K352),K352-L352,"")</f>
        <v/>
      </c>
      <c r="N352" s="55" t="str">
        <f>IF(ISNUMBER(K352),SUMIFS(st_min,st_date,A352,st_eq,B352,st_po,C352,st_type,"Non planifié"),"")</f>
        <v/>
      </c>
      <c r="O352" s="55" t="str">
        <f>IF(ISNUMBER(K352),M352-N352,"")</f>
        <v/>
      </c>
      <c r="P352" s="55" t="str">
        <f>IF(COUNTA(A352:I352)=0,"",N(G352)+N(H352)+N(I352))</f>
        <v/>
      </c>
      <c r="Q352" s="56" t="str">
        <f>IF(COUNTA(A352:I352)=0,"",IF(N(IFERROR(INDEX(art_rate,MATCH(E352,art_ref,0)),0))&gt;0,N(IFERROR(INDEX(art_rate,MATCH(E352,art_ref,0)),0)),N(IFERROR(INDEX(po_rate,MATCH(C352,po_code,0)),0))))</f>
        <v/>
      </c>
      <c r="R352" s="55" t="str">
        <f>IF(AC352=1,P352*60/Q352,"")</f>
        <v/>
      </c>
      <c r="S352" s="55" t="str">
        <f>IF(AC352=1,N(G352)*60/Q352,"")</f>
        <v/>
      </c>
      <c r="T352" s="57" t="str">
        <f>IF(AC352=1,O352/M352,"")</f>
        <v/>
      </c>
      <c r="U352" s="57" t="str">
        <f>IF(AC352=1,IF(O352&gt;0,R352/O352,""),"")</f>
        <v/>
      </c>
      <c r="V352" s="57" t="str">
        <f>IF(AC352=1,IF(P352&gt;0,N(G352)/P352,""),"")</f>
        <v/>
      </c>
      <c r="W352" s="57" t="str">
        <f>IF(AC352=1,S352/M352,"")</f>
        <v/>
      </c>
      <c r="X352" s="57" t="str">
        <f>IF(AC352=1,S352/K352,"")</f>
        <v/>
      </c>
      <c r="Y352" s="58" t="str">
        <f>IF(W352="","",IF(W352&gt;=p_target,"Bon",IF(W352&gt;=p_alert,"À surveiller","Faible")))</f>
        <v/>
      </c>
      <c r="Z352" s="58" t="str">
        <f>IF(W352="","",IF(MIN(IF(T352="",1,T352),IF(U352="",1,U352),IF(V352="",1,V352))&gt;=1,"Aucune",IF(IF(T352="",1,T352)&lt;=MIN(IF(U352="",1,U352),IF(V352="",1,V352)),"Disponibilité",IF(IF(U352="",1,U352)&lt;=IF(V352="",1,V352),"Performance","Qualité"))))</f>
        <v/>
      </c>
      <c r="AA352" s="59" t="str">
        <f>IF(AC352=1,N(H352)*N(IFERROR(INDEX(art_cost,MATCH(E352,art_ref,0)),0)),"")</f>
        <v/>
      </c>
      <c r="AB352" s="58" t="str">
        <f>IF(COUNTA(A352:I352)=0,"",IF(N(A352)&lt;=0,"Date manquante ou invalide",IF(B352="","Équipe manquante",IF(ISNA(MATCH(B352,eq_code,0)),"Équipe inconnue",IF(INDEX(eq_check,MATCH(B352,eq_code,0))&lt;&gt;"OK","Équipe à corriger dans Paramètres",IF(C352="","Poste manquant",IF(ISNA(MATCH(C352,po_code,0)),"Poste inconnu",IF(AND(E352&lt;&gt;"",ISNA(MATCH(E352,art_ref,0))),"Article inconnu",IF(IF(E352="",FALSE,INDEX(art_check,MATCH(E352,art_ref,0))&lt;&gt;"OK"),"Article à corriger (feuille Articles)",IF(COUNTIFS(sj_date,A352,sj_eq,B352,sj_po,C352)&gt;1,"Ligne en double (même jour, équipe et poste)",IF(OR(NOT(ISNUMBER(K352)),N(K352)&lt;=0,N(K352)&gt;1440),"Temps d'ouverture invalide",IF(OR(AND(G352&lt;&gt;"",NOT(ISNUMBER(G352))),N(G352)&lt;0,N(G352)&lt;&gt;INT(N(G352)),AND(H352&lt;&gt;"",NOT(ISNUMBER(H352))),N(H352)&lt;0,N(H352)&lt;&gt;INT(N(H352)),AND(I352&lt;&gt;"",NOT(ISNUMBER(I352))),N(I352)&lt;0,N(I352)&lt;&gt;INT(N(I352))),"Quantité invalide",IF(Q352&lt;=0,"Cadence manquante (poste ou article)",IF(M352&lt;=0,"Arrêts planifiés supérieurs au temps d'ouverture",IF(O352&lt;0,"Arrêts supérieurs au temps requis",IF(AND(P352&gt;0,O352=0),"Pièces déclarées sans temps de marche",IF(AND(P352=0,O352&gt;0),"Aucune pièce déclarée",IF(P352*60/Q352&gt;O352+0.001,"Cadence dépassée : vérifiez la cadence","OK"))))))))))))))))))</f>
        <v/>
      </c>
      <c r="AC352">
        <f>IF(OR(AB352="OK",AB352="Aucune pièce déclarée",AB352="Cadence dépassée : vérifiez la cadence"),1,0)</f>
        <v>0.0</v>
      </c>
      <c r="AD352">
        <f>IF(AND(AC352=1,A352&gt;=p_from,A352&lt;=p_to),1,0)</f>
        <v>0.0</v>
      </c>
      <c r="AE352">
        <f>IF(AD352=1,IF(COUNTIFS($A$6:A352,A352,$AD$6:AD352,1)=1,1,0),0)</f>
        <v>0.0</v>
      </c>
      <c r="AF352" t="str">
        <f>IF(AE352=1,COUNTIFS(sj_first,1,sj_date,"&lt;"&amp;A352)+1,"")</f>
        <v/>
      </c>
      <c r="AG352" t="str">
        <f>IF(AND(AD352=1,N(W352)&lt;p_alert),ROUND(W352,4),"")</f>
        <v/>
      </c>
      <c r="AH352" t="str">
        <f>IF(AG352="","",COUNTIF(sj_akey,"&lt;"&amp;AG352)+COUNTIF($AG$6:AG352,AG352))</f>
        <v/>
      </c>
    </row>
    <row r="353">
      <c r="A353" s="51" t="n"/>
      <c r="B353" s="52" t="n"/>
      <c r="C353" s="52" t="n"/>
      <c r="D353" s="53" t="n"/>
      <c r="E353" s="53" t="n"/>
      <c r="F353" s="54" t="n"/>
      <c r="G353" s="54" t="n"/>
      <c r="H353" s="54" t="n"/>
      <c r="I353" s="54" t="n"/>
      <c r="J353" s="53" t="n"/>
      <c r="K353" s="55" t="str">
        <f>IF(COUNTA(A353:I353)=0,"",IF(F353="",IFERROR(INDEX(eq_dur,MATCH(B353,eq_code,0)),""),F353))</f>
        <v/>
      </c>
      <c r="L353" s="55" t="str">
        <f>IF(ISNUMBER(K353),N(IFERROR(INDEX(eq_pause,MATCH(B353,eq_code,0)),0))+SUMIFS(st_min,st_date,A353,st_eq,B353,st_po,C353,st_type,"Planifié"),"")</f>
        <v/>
      </c>
      <c r="M353" s="55" t="str">
        <f>IF(ISNUMBER(K353),K353-L353,"")</f>
        <v/>
      </c>
      <c r="N353" s="55" t="str">
        <f>IF(ISNUMBER(K353),SUMIFS(st_min,st_date,A353,st_eq,B353,st_po,C353,st_type,"Non planifié"),"")</f>
        <v/>
      </c>
      <c r="O353" s="55" t="str">
        <f>IF(ISNUMBER(K353),M353-N353,"")</f>
        <v/>
      </c>
      <c r="P353" s="55" t="str">
        <f>IF(COUNTA(A353:I353)=0,"",N(G353)+N(H353)+N(I353))</f>
        <v/>
      </c>
      <c r="Q353" s="56" t="str">
        <f>IF(COUNTA(A353:I353)=0,"",IF(N(IFERROR(INDEX(art_rate,MATCH(E353,art_ref,0)),0))&gt;0,N(IFERROR(INDEX(art_rate,MATCH(E353,art_ref,0)),0)),N(IFERROR(INDEX(po_rate,MATCH(C353,po_code,0)),0))))</f>
        <v/>
      </c>
      <c r="R353" s="55" t="str">
        <f>IF(AC353=1,P353*60/Q353,"")</f>
        <v/>
      </c>
      <c r="S353" s="55" t="str">
        <f>IF(AC353=1,N(G353)*60/Q353,"")</f>
        <v/>
      </c>
      <c r="T353" s="57" t="str">
        <f>IF(AC353=1,O353/M353,"")</f>
        <v/>
      </c>
      <c r="U353" s="57" t="str">
        <f>IF(AC353=1,IF(O353&gt;0,R353/O353,""),"")</f>
        <v/>
      </c>
      <c r="V353" s="57" t="str">
        <f>IF(AC353=1,IF(P353&gt;0,N(G353)/P353,""),"")</f>
        <v/>
      </c>
      <c r="W353" s="57" t="str">
        <f>IF(AC353=1,S353/M353,"")</f>
        <v/>
      </c>
      <c r="X353" s="57" t="str">
        <f>IF(AC353=1,S353/K353,"")</f>
        <v/>
      </c>
      <c r="Y353" s="58" t="str">
        <f>IF(W353="","",IF(W353&gt;=p_target,"Bon",IF(W353&gt;=p_alert,"À surveiller","Faible")))</f>
        <v/>
      </c>
      <c r="Z353" s="58" t="str">
        <f>IF(W353="","",IF(MIN(IF(T353="",1,T353),IF(U353="",1,U353),IF(V353="",1,V353))&gt;=1,"Aucune",IF(IF(T353="",1,T353)&lt;=MIN(IF(U353="",1,U353),IF(V353="",1,V353)),"Disponibilité",IF(IF(U353="",1,U353)&lt;=IF(V353="",1,V353),"Performance","Qualité"))))</f>
        <v/>
      </c>
      <c r="AA353" s="59" t="str">
        <f>IF(AC353=1,N(H353)*N(IFERROR(INDEX(art_cost,MATCH(E353,art_ref,0)),0)),"")</f>
        <v/>
      </c>
      <c r="AB353" s="58" t="str">
        <f>IF(COUNTA(A353:I353)=0,"",IF(N(A353)&lt;=0,"Date manquante ou invalide",IF(B353="","Équipe manquante",IF(ISNA(MATCH(B353,eq_code,0)),"Équipe inconnue",IF(INDEX(eq_check,MATCH(B353,eq_code,0))&lt;&gt;"OK","Équipe à corriger dans Paramètres",IF(C353="","Poste manquant",IF(ISNA(MATCH(C353,po_code,0)),"Poste inconnu",IF(AND(E353&lt;&gt;"",ISNA(MATCH(E353,art_ref,0))),"Article inconnu",IF(IF(E353="",FALSE,INDEX(art_check,MATCH(E353,art_ref,0))&lt;&gt;"OK"),"Article à corriger (feuille Articles)",IF(COUNTIFS(sj_date,A353,sj_eq,B353,sj_po,C353)&gt;1,"Ligne en double (même jour, équipe et poste)",IF(OR(NOT(ISNUMBER(K353)),N(K353)&lt;=0,N(K353)&gt;1440),"Temps d'ouverture invalide",IF(OR(AND(G353&lt;&gt;"",NOT(ISNUMBER(G353))),N(G353)&lt;0,N(G353)&lt;&gt;INT(N(G353)),AND(H353&lt;&gt;"",NOT(ISNUMBER(H353))),N(H353)&lt;0,N(H353)&lt;&gt;INT(N(H353)),AND(I353&lt;&gt;"",NOT(ISNUMBER(I353))),N(I353)&lt;0,N(I353)&lt;&gt;INT(N(I353))),"Quantité invalide",IF(Q353&lt;=0,"Cadence manquante (poste ou article)",IF(M353&lt;=0,"Arrêts planifiés supérieurs au temps d'ouverture",IF(O353&lt;0,"Arrêts supérieurs au temps requis",IF(AND(P353&gt;0,O353=0),"Pièces déclarées sans temps de marche",IF(AND(P353=0,O353&gt;0),"Aucune pièce déclarée",IF(P353*60/Q353&gt;O353+0.001,"Cadence dépassée : vérifiez la cadence","OK"))))))))))))))))))</f>
        <v/>
      </c>
      <c r="AC353">
        <f>IF(OR(AB353="OK",AB353="Aucune pièce déclarée",AB353="Cadence dépassée : vérifiez la cadence"),1,0)</f>
        <v>0.0</v>
      </c>
      <c r="AD353">
        <f>IF(AND(AC353=1,A353&gt;=p_from,A353&lt;=p_to),1,0)</f>
        <v>0.0</v>
      </c>
      <c r="AE353">
        <f>IF(AD353=1,IF(COUNTIFS($A$6:A353,A353,$AD$6:AD353,1)=1,1,0),0)</f>
        <v>0.0</v>
      </c>
      <c r="AF353" t="str">
        <f>IF(AE353=1,COUNTIFS(sj_first,1,sj_date,"&lt;"&amp;A353)+1,"")</f>
        <v/>
      </c>
      <c r="AG353" t="str">
        <f>IF(AND(AD353=1,N(W353)&lt;p_alert),ROUND(W353,4),"")</f>
        <v/>
      </c>
      <c r="AH353" t="str">
        <f>IF(AG353="","",COUNTIF(sj_akey,"&lt;"&amp;AG353)+COUNTIF($AG$6:AG353,AG353))</f>
        <v/>
      </c>
    </row>
    <row r="354">
      <c r="A354" s="51" t="n"/>
      <c r="B354" s="52" t="n"/>
      <c r="C354" s="52" t="n"/>
      <c r="D354" s="53" t="n"/>
      <c r="E354" s="53" t="n"/>
      <c r="F354" s="54" t="n"/>
      <c r="G354" s="54" t="n"/>
      <c r="H354" s="54" t="n"/>
      <c r="I354" s="54" t="n"/>
      <c r="J354" s="53" t="n"/>
      <c r="K354" s="55" t="str">
        <f>IF(COUNTA(A354:I354)=0,"",IF(F354="",IFERROR(INDEX(eq_dur,MATCH(B354,eq_code,0)),""),F354))</f>
        <v/>
      </c>
      <c r="L354" s="55" t="str">
        <f>IF(ISNUMBER(K354),N(IFERROR(INDEX(eq_pause,MATCH(B354,eq_code,0)),0))+SUMIFS(st_min,st_date,A354,st_eq,B354,st_po,C354,st_type,"Planifié"),"")</f>
        <v/>
      </c>
      <c r="M354" s="55" t="str">
        <f>IF(ISNUMBER(K354),K354-L354,"")</f>
        <v/>
      </c>
      <c r="N354" s="55" t="str">
        <f>IF(ISNUMBER(K354),SUMIFS(st_min,st_date,A354,st_eq,B354,st_po,C354,st_type,"Non planifié"),"")</f>
        <v/>
      </c>
      <c r="O354" s="55" t="str">
        <f>IF(ISNUMBER(K354),M354-N354,"")</f>
        <v/>
      </c>
      <c r="P354" s="55" t="str">
        <f>IF(COUNTA(A354:I354)=0,"",N(G354)+N(H354)+N(I354))</f>
        <v/>
      </c>
      <c r="Q354" s="56" t="str">
        <f>IF(COUNTA(A354:I354)=0,"",IF(N(IFERROR(INDEX(art_rate,MATCH(E354,art_ref,0)),0))&gt;0,N(IFERROR(INDEX(art_rate,MATCH(E354,art_ref,0)),0)),N(IFERROR(INDEX(po_rate,MATCH(C354,po_code,0)),0))))</f>
        <v/>
      </c>
      <c r="R354" s="55" t="str">
        <f>IF(AC354=1,P354*60/Q354,"")</f>
        <v/>
      </c>
      <c r="S354" s="55" t="str">
        <f>IF(AC354=1,N(G354)*60/Q354,"")</f>
        <v/>
      </c>
      <c r="T354" s="57" t="str">
        <f>IF(AC354=1,O354/M354,"")</f>
        <v/>
      </c>
      <c r="U354" s="57" t="str">
        <f>IF(AC354=1,IF(O354&gt;0,R354/O354,""),"")</f>
        <v/>
      </c>
      <c r="V354" s="57" t="str">
        <f>IF(AC354=1,IF(P354&gt;0,N(G354)/P354,""),"")</f>
        <v/>
      </c>
      <c r="W354" s="57" t="str">
        <f>IF(AC354=1,S354/M354,"")</f>
        <v/>
      </c>
      <c r="X354" s="57" t="str">
        <f>IF(AC354=1,S354/K354,"")</f>
        <v/>
      </c>
      <c r="Y354" s="58" t="str">
        <f>IF(W354="","",IF(W354&gt;=p_target,"Bon",IF(W354&gt;=p_alert,"À surveiller","Faible")))</f>
        <v/>
      </c>
      <c r="Z354" s="58" t="str">
        <f>IF(W354="","",IF(MIN(IF(T354="",1,T354),IF(U354="",1,U354),IF(V354="",1,V354))&gt;=1,"Aucune",IF(IF(T354="",1,T354)&lt;=MIN(IF(U354="",1,U354),IF(V354="",1,V354)),"Disponibilité",IF(IF(U354="",1,U354)&lt;=IF(V354="",1,V354),"Performance","Qualité"))))</f>
        <v/>
      </c>
      <c r="AA354" s="59" t="str">
        <f>IF(AC354=1,N(H354)*N(IFERROR(INDEX(art_cost,MATCH(E354,art_ref,0)),0)),"")</f>
        <v/>
      </c>
      <c r="AB354" s="58" t="str">
        <f>IF(COUNTA(A354:I354)=0,"",IF(N(A354)&lt;=0,"Date manquante ou invalide",IF(B354="","Équipe manquante",IF(ISNA(MATCH(B354,eq_code,0)),"Équipe inconnue",IF(INDEX(eq_check,MATCH(B354,eq_code,0))&lt;&gt;"OK","Équipe à corriger dans Paramètres",IF(C354="","Poste manquant",IF(ISNA(MATCH(C354,po_code,0)),"Poste inconnu",IF(AND(E354&lt;&gt;"",ISNA(MATCH(E354,art_ref,0))),"Article inconnu",IF(IF(E354="",FALSE,INDEX(art_check,MATCH(E354,art_ref,0))&lt;&gt;"OK"),"Article à corriger (feuille Articles)",IF(COUNTIFS(sj_date,A354,sj_eq,B354,sj_po,C354)&gt;1,"Ligne en double (même jour, équipe et poste)",IF(OR(NOT(ISNUMBER(K354)),N(K354)&lt;=0,N(K354)&gt;1440),"Temps d'ouverture invalide",IF(OR(AND(G354&lt;&gt;"",NOT(ISNUMBER(G354))),N(G354)&lt;0,N(G354)&lt;&gt;INT(N(G354)),AND(H354&lt;&gt;"",NOT(ISNUMBER(H354))),N(H354)&lt;0,N(H354)&lt;&gt;INT(N(H354)),AND(I354&lt;&gt;"",NOT(ISNUMBER(I354))),N(I354)&lt;0,N(I354)&lt;&gt;INT(N(I354))),"Quantité invalide",IF(Q354&lt;=0,"Cadence manquante (poste ou article)",IF(M354&lt;=0,"Arrêts planifiés supérieurs au temps d'ouverture",IF(O354&lt;0,"Arrêts supérieurs au temps requis",IF(AND(P354&gt;0,O354=0),"Pièces déclarées sans temps de marche",IF(AND(P354=0,O354&gt;0),"Aucune pièce déclarée",IF(P354*60/Q354&gt;O354+0.001,"Cadence dépassée : vérifiez la cadence","OK"))))))))))))))))))</f>
        <v/>
      </c>
      <c r="AC354">
        <f>IF(OR(AB354="OK",AB354="Aucune pièce déclarée",AB354="Cadence dépassée : vérifiez la cadence"),1,0)</f>
        <v>0.0</v>
      </c>
      <c r="AD354">
        <f>IF(AND(AC354=1,A354&gt;=p_from,A354&lt;=p_to),1,0)</f>
        <v>0.0</v>
      </c>
      <c r="AE354">
        <f>IF(AD354=1,IF(COUNTIFS($A$6:A354,A354,$AD$6:AD354,1)=1,1,0),0)</f>
        <v>0.0</v>
      </c>
      <c r="AF354" t="str">
        <f>IF(AE354=1,COUNTIFS(sj_first,1,sj_date,"&lt;"&amp;A354)+1,"")</f>
        <v/>
      </c>
      <c r="AG354" t="str">
        <f>IF(AND(AD354=1,N(W354)&lt;p_alert),ROUND(W354,4),"")</f>
        <v/>
      </c>
      <c r="AH354" t="str">
        <f>IF(AG354="","",COUNTIF(sj_akey,"&lt;"&amp;AG354)+COUNTIF($AG$6:AG354,AG354))</f>
        <v/>
      </c>
    </row>
    <row r="355">
      <c r="A355" s="51" t="n"/>
      <c r="B355" s="52" t="n"/>
      <c r="C355" s="52" t="n"/>
      <c r="D355" s="53" t="n"/>
      <c r="E355" s="53" t="n"/>
      <c r="F355" s="54" t="n"/>
      <c r="G355" s="54" t="n"/>
      <c r="H355" s="54" t="n"/>
      <c r="I355" s="54" t="n"/>
      <c r="J355" s="53" t="n"/>
      <c r="K355" s="55" t="str">
        <f>IF(COUNTA(A355:I355)=0,"",IF(F355="",IFERROR(INDEX(eq_dur,MATCH(B355,eq_code,0)),""),F355))</f>
        <v/>
      </c>
      <c r="L355" s="55" t="str">
        <f>IF(ISNUMBER(K355),N(IFERROR(INDEX(eq_pause,MATCH(B355,eq_code,0)),0))+SUMIFS(st_min,st_date,A355,st_eq,B355,st_po,C355,st_type,"Planifié"),"")</f>
        <v/>
      </c>
      <c r="M355" s="55" t="str">
        <f>IF(ISNUMBER(K355),K355-L355,"")</f>
        <v/>
      </c>
      <c r="N355" s="55" t="str">
        <f>IF(ISNUMBER(K355),SUMIFS(st_min,st_date,A355,st_eq,B355,st_po,C355,st_type,"Non planifié"),"")</f>
        <v/>
      </c>
      <c r="O355" s="55" t="str">
        <f>IF(ISNUMBER(K355),M355-N355,"")</f>
        <v/>
      </c>
      <c r="P355" s="55" t="str">
        <f>IF(COUNTA(A355:I355)=0,"",N(G355)+N(H355)+N(I355))</f>
        <v/>
      </c>
      <c r="Q355" s="56" t="str">
        <f>IF(COUNTA(A355:I355)=0,"",IF(N(IFERROR(INDEX(art_rate,MATCH(E355,art_ref,0)),0))&gt;0,N(IFERROR(INDEX(art_rate,MATCH(E355,art_ref,0)),0)),N(IFERROR(INDEX(po_rate,MATCH(C355,po_code,0)),0))))</f>
        <v/>
      </c>
      <c r="R355" s="55" t="str">
        <f>IF(AC355=1,P355*60/Q355,"")</f>
        <v/>
      </c>
      <c r="S355" s="55" t="str">
        <f>IF(AC355=1,N(G355)*60/Q355,"")</f>
        <v/>
      </c>
      <c r="T355" s="57" t="str">
        <f>IF(AC355=1,O355/M355,"")</f>
        <v/>
      </c>
      <c r="U355" s="57" t="str">
        <f>IF(AC355=1,IF(O355&gt;0,R355/O355,""),"")</f>
        <v/>
      </c>
      <c r="V355" s="57" t="str">
        <f>IF(AC355=1,IF(P355&gt;0,N(G355)/P355,""),"")</f>
        <v/>
      </c>
      <c r="W355" s="57" t="str">
        <f>IF(AC355=1,S355/M355,"")</f>
        <v/>
      </c>
      <c r="X355" s="57" t="str">
        <f>IF(AC355=1,S355/K355,"")</f>
        <v/>
      </c>
      <c r="Y355" s="58" t="str">
        <f>IF(W355="","",IF(W355&gt;=p_target,"Bon",IF(W355&gt;=p_alert,"À surveiller","Faible")))</f>
        <v/>
      </c>
      <c r="Z355" s="58" t="str">
        <f>IF(W355="","",IF(MIN(IF(T355="",1,T355),IF(U355="",1,U355),IF(V355="",1,V355))&gt;=1,"Aucune",IF(IF(T355="",1,T355)&lt;=MIN(IF(U355="",1,U355),IF(V355="",1,V355)),"Disponibilité",IF(IF(U355="",1,U355)&lt;=IF(V355="",1,V355),"Performance","Qualité"))))</f>
        <v/>
      </c>
      <c r="AA355" s="59" t="str">
        <f>IF(AC355=1,N(H355)*N(IFERROR(INDEX(art_cost,MATCH(E355,art_ref,0)),0)),"")</f>
        <v/>
      </c>
      <c r="AB355" s="58" t="str">
        <f>IF(COUNTA(A355:I355)=0,"",IF(N(A355)&lt;=0,"Date manquante ou invalide",IF(B355="","Équipe manquante",IF(ISNA(MATCH(B355,eq_code,0)),"Équipe inconnue",IF(INDEX(eq_check,MATCH(B355,eq_code,0))&lt;&gt;"OK","Équipe à corriger dans Paramètres",IF(C355="","Poste manquant",IF(ISNA(MATCH(C355,po_code,0)),"Poste inconnu",IF(AND(E355&lt;&gt;"",ISNA(MATCH(E355,art_ref,0))),"Article inconnu",IF(IF(E355="",FALSE,INDEX(art_check,MATCH(E355,art_ref,0))&lt;&gt;"OK"),"Article à corriger (feuille Articles)",IF(COUNTIFS(sj_date,A355,sj_eq,B355,sj_po,C355)&gt;1,"Ligne en double (même jour, équipe et poste)",IF(OR(NOT(ISNUMBER(K355)),N(K355)&lt;=0,N(K355)&gt;1440),"Temps d'ouverture invalide",IF(OR(AND(G355&lt;&gt;"",NOT(ISNUMBER(G355))),N(G355)&lt;0,N(G355)&lt;&gt;INT(N(G355)),AND(H355&lt;&gt;"",NOT(ISNUMBER(H355))),N(H355)&lt;0,N(H355)&lt;&gt;INT(N(H355)),AND(I355&lt;&gt;"",NOT(ISNUMBER(I355))),N(I355)&lt;0,N(I355)&lt;&gt;INT(N(I355))),"Quantité invalide",IF(Q355&lt;=0,"Cadence manquante (poste ou article)",IF(M355&lt;=0,"Arrêts planifiés supérieurs au temps d'ouverture",IF(O355&lt;0,"Arrêts supérieurs au temps requis",IF(AND(P355&gt;0,O355=0),"Pièces déclarées sans temps de marche",IF(AND(P355=0,O355&gt;0),"Aucune pièce déclarée",IF(P355*60/Q355&gt;O355+0.001,"Cadence dépassée : vérifiez la cadence","OK"))))))))))))))))))</f>
        <v/>
      </c>
      <c r="AC355">
        <f>IF(OR(AB355="OK",AB355="Aucune pièce déclarée",AB355="Cadence dépassée : vérifiez la cadence"),1,0)</f>
        <v>0.0</v>
      </c>
      <c r="AD355">
        <f>IF(AND(AC355=1,A355&gt;=p_from,A355&lt;=p_to),1,0)</f>
        <v>0.0</v>
      </c>
      <c r="AE355">
        <f>IF(AD355=1,IF(COUNTIFS($A$6:A355,A355,$AD$6:AD355,1)=1,1,0),0)</f>
        <v>0.0</v>
      </c>
      <c r="AF355" t="str">
        <f>IF(AE355=1,COUNTIFS(sj_first,1,sj_date,"&lt;"&amp;A355)+1,"")</f>
        <v/>
      </c>
      <c r="AG355" t="str">
        <f>IF(AND(AD355=1,N(W355)&lt;p_alert),ROUND(W355,4),"")</f>
        <v/>
      </c>
      <c r="AH355" t="str">
        <f>IF(AG355="","",COUNTIF(sj_akey,"&lt;"&amp;AG355)+COUNTIF($AG$6:AG355,AG355))</f>
        <v/>
      </c>
    </row>
    <row r="356">
      <c r="A356" s="51" t="n"/>
      <c r="B356" s="52" t="n"/>
      <c r="C356" s="52" t="n"/>
      <c r="D356" s="53" t="n"/>
      <c r="E356" s="53" t="n"/>
      <c r="F356" s="54" t="n"/>
      <c r="G356" s="54" t="n"/>
      <c r="H356" s="54" t="n"/>
      <c r="I356" s="54" t="n"/>
      <c r="J356" s="53" t="n"/>
      <c r="K356" s="55" t="str">
        <f>IF(COUNTA(A356:I356)=0,"",IF(F356="",IFERROR(INDEX(eq_dur,MATCH(B356,eq_code,0)),""),F356))</f>
        <v/>
      </c>
      <c r="L356" s="55" t="str">
        <f>IF(ISNUMBER(K356),N(IFERROR(INDEX(eq_pause,MATCH(B356,eq_code,0)),0))+SUMIFS(st_min,st_date,A356,st_eq,B356,st_po,C356,st_type,"Planifié"),"")</f>
        <v/>
      </c>
      <c r="M356" s="55" t="str">
        <f>IF(ISNUMBER(K356),K356-L356,"")</f>
        <v/>
      </c>
      <c r="N356" s="55" t="str">
        <f>IF(ISNUMBER(K356),SUMIFS(st_min,st_date,A356,st_eq,B356,st_po,C356,st_type,"Non planifié"),"")</f>
        <v/>
      </c>
      <c r="O356" s="55" t="str">
        <f>IF(ISNUMBER(K356),M356-N356,"")</f>
        <v/>
      </c>
      <c r="P356" s="55" t="str">
        <f>IF(COUNTA(A356:I356)=0,"",N(G356)+N(H356)+N(I356))</f>
        <v/>
      </c>
      <c r="Q356" s="56" t="str">
        <f>IF(COUNTA(A356:I356)=0,"",IF(N(IFERROR(INDEX(art_rate,MATCH(E356,art_ref,0)),0))&gt;0,N(IFERROR(INDEX(art_rate,MATCH(E356,art_ref,0)),0)),N(IFERROR(INDEX(po_rate,MATCH(C356,po_code,0)),0))))</f>
        <v/>
      </c>
      <c r="R356" s="55" t="str">
        <f>IF(AC356=1,P356*60/Q356,"")</f>
        <v/>
      </c>
      <c r="S356" s="55" t="str">
        <f>IF(AC356=1,N(G356)*60/Q356,"")</f>
        <v/>
      </c>
      <c r="T356" s="57" t="str">
        <f>IF(AC356=1,O356/M356,"")</f>
        <v/>
      </c>
      <c r="U356" s="57" t="str">
        <f>IF(AC356=1,IF(O356&gt;0,R356/O356,""),"")</f>
        <v/>
      </c>
      <c r="V356" s="57" t="str">
        <f>IF(AC356=1,IF(P356&gt;0,N(G356)/P356,""),"")</f>
        <v/>
      </c>
      <c r="W356" s="57" t="str">
        <f>IF(AC356=1,S356/M356,"")</f>
        <v/>
      </c>
      <c r="X356" s="57" t="str">
        <f>IF(AC356=1,S356/K356,"")</f>
        <v/>
      </c>
      <c r="Y356" s="58" t="str">
        <f>IF(W356="","",IF(W356&gt;=p_target,"Bon",IF(W356&gt;=p_alert,"À surveiller","Faible")))</f>
        <v/>
      </c>
      <c r="Z356" s="58" t="str">
        <f>IF(W356="","",IF(MIN(IF(T356="",1,T356),IF(U356="",1,U356),IF(V356="",1,V356))&gt;=1,"Aucune",IF(IF(T356="",1,T356)&lt;=MIN(IF(U356="",1,U356),IF(V356="",1,V356)),"Disponibilité",IF(IF(U356="",1,U356)&lt;=IF(V356="",1,V356),"Performance","Qualité"))))</f>
        <v/>
      </c>
      <c r="AA356" s="59" t="str">
        <f>IF(AC356=1,N(H356)*N(IFERROR(INDEX(art_cost,MATCH(E356,art_ref,0)),0)),"")</f>
        <v/>
      </c>
      <c r="AB356" s="58" t="str">
        <f>IF(COUNTA(A356:I356)=0,"",IF(N(A356)&lt;=0,"Date manquante ou invalide",IF(B356="","Équipe manquante",IF(ISNA(MATCH(B356,eq_code,0)),"Équipe inconnue",IF(INDEX(eq_check,MATCH(B356,eq_code,0))&lt;&gt;"OK","Équipe à corriger dans Paramètres",IF(C356="","Poste manquant",IF(ISNA(MATCH(C356,po_code,0)),"Poste inconnu",IF(AND(E356&lt;&gt;"",ISNA(MATCH(E356,art_ref,0))),"Article inconnu",IF(IF(E356="",FALSE,INDEX(art_check,MATCH(E356,art_ref,0))&lt;&gt;"OK"),"Article à corriger (feuille Articles)",IF(COUNTIFS(sj_date,A356,sj_eq,B356,sj_po,C356)&gt;1,"Ligne en double (même jour, équipe et poste)",IF(OR(NOT(ISNUMBER(K356)),N(K356)&lt;=0,N(K356)&gt;1440),"Temps d'ouverture invalide",IF(OR(AND(G356&lt;&gt;"",NOT(ISNUMBER(G356))),N(G356)&lt;0,N(G356)&lt;&gt;INT(N(G356)),AND(H356&lt;&gt;"",NOT(ISNUMBER(H356))),N(H356)&lt;0,N(H356)&lt;&gt;INT(N(H356)),AND(I356&lt;&gt;"",NOT(ISNUMBER(I356))),N(I356)&lt;0,N(I356)&lt;&gt;INT(N(I356))),"Quantité invalide",IF(Q356&lt;=0,"Cadence manquante (poste ou article)",IF(M356&lt;=0,"Arrêts planifiés supérieurs au temps d'ouverture",IF(O356&lt;0,"Arrêts supérieurs au temps requis",IF(AND(P356&gt;0,O356=0),"Pièces déclarées sans temps de marche",IF(AND(P356=0,O356&gt;0),"Aucune pièce déclarée",IF(P356*60/Q356&gt;O356+0.001,"Cadence dépassée : vérifiez la cadence","OK"))))))))))))))))))</f>
        <v/>
      </c>
      <c r="AC356">
        <f>IF(OR(AB356="OK",AB356="Aucune pièce déclarée",AB356="Cadence dépassée : vérifiez la cadence"),1,0)</f>
        <v>0.0</v>
      </c>
      <c r="AD356">
        <f>IF(AND(AC356=1,A356&gt;=p_from,A356&lt;=p_to),1,0)</f>
        <v>0.0</v>
      </c>
      <c r="AE356">
        <f>IF(AD356=1,IF(COUNTIFS($A$6:A356,A356,$AD$6:AD356,1)=1,1,0),0)</f>
        <v>0.0</v>
      </c>
      <c r="AF356" t="str">
        <f>IF(AE356=1,COUNTIFS(sj_first,1,sj_date,"&lt;"&amp;A356)+1,"")</f>
        <v/>
      </c>
      <c r="AG356" t="str">
        <f>IF(AND(AD356=1,N(W356)&lt;p_alert),ROUND(W356,4),"")</f>
        <v/>
      </c>
      <c r="AH356" t="str">
        <f>IF(AG356="","",COUNTIF(sj_akey,"&lt;"&amp;AG356)+COUNTIF($AG$6:AG356,AG356))</f>
        <v/>
      </c>
    </row>
    <row r="357">
      <c r="A357" s="51" t="n"/>
      <c r="B357" s="52" t="n"/>
      <c r="C357" s="52" t="n"/>
      <c r="D357" s="53" t="n"/>
      <c r="E357" s="53" t="n"/>
      <c r="F357" s="54" t="n"/>
      <c r="G357" s="54" t="n"/>
      <c r="H357" s="54" t="n"/>
      <c r="I357" s="54" t="n"/>
      <c r="J357" s="53" t="n"/>
      <c r="K357" s="55" t="str">
        <f>IF(COUNTA(A357:I357)=0,"",IF(F357="",IFERROR(INDEX(eq_dur,MATCH(B357,eq_code,0)),""),F357))</f>
        <v/>
      </c>
      <c r="L357" s="55" t="str">
        <f>IF(ISNUMBER(K357),N(IFERROR(INDEX(eq_pause,MATCH(B357,eq_code,0)),0))+SUMIFS(st_min,st_date,A357,st_eq,B357,st_po,C357,st_type,"Planifié"),"")</f>
        <v/>
      </c>
      <c r="M357" s="55" t="str">
        <f>IF(ISNUMBER(K357),K357-L357,"")</f>
        <v/>
      </c>
      <c r="N357" s="55" t="str">
        <f>IF(ISNUMBER(K357),SUMIFS(st_min,st_date,A357,st_eq,B357,st_po,C357,st_type,"Non planifié"),"")</f>
        <v/>
      </c>
      <c r="O357" s="55" t="str">
        <f>IF(ISNUMBER(K357),M357-N357,"")</f>
        <v/>
      </c>
      <c r="P357" s="55" t="str">
        <f>IF(COUNTA(A357:I357)=0,"",N(G357)+N(H357)+N(I357))</f>
        <v/>
      </c>
      <c r="Q357" s="56" t="str">
        <f>IF(COUNTA(A357:I357)=0,"",IF(N(IFERROR(INDEX(art_rate,MATCH(E357,art_ref,0)),0))&gt;0,N(IFERROR(INDEX(art_rate,MATCH(E357,art_ref,0)),0)),N(IFERROR(INDEX(po_rate,MATCH(C357,po_code,0)),0))))</f>
        <v/>
      </c>
      <c r="R357" s="55" t="str">
        <f>IF(AC357=1,P357*60/Q357,"")</f>
        <v/>
      </c>
      <c r="S357" s="55" t="str">
        <f>IF(AC357=1,N(G357)*60/Q357,"")</f>
        <v/>
      </c>
      <c r="T357" s="57" t="str">
        <f>IF(AC357=1,O357/M357,"")</f>
        <v/>
      </c>
      <c r="U357" s="57" t="str">
        <f>IF(AC357=1,IF(O357&gt;0,R357/O357,""),"")</f>
        <v/>
      </c>
      <c r="V357" s="57" t="str">
        <f>IF(AC357=1,IF(P357&gt;0,N(G357)/P357,""),"")</f>
        <v/>
      </c>
      <c r="W357" s="57" t="str">
        <f>IF(AC357=1,S357/M357,"")</f>
        <v/>
      </c>
      <c r="X357" s="57" t="str">
        <f>IF(AC357=1,S357/K357,"")</f>
        <v/>
      </c>
      <c r="Y357" s="58" t="str">
        <f>IF(W357="","",IF(W357&gt;=p_target,"Bon",IF(W357&gt;=p_alert,"À surveiller","Faible")))</f>
        <v/>
      </c>
      <c r="Z357" s="58" t="str">
        <f>IF(W357="","",IF(MIN(IF(T357="",1,T357),IF(U357="",1,U357),IF(V357="",1,V357))&gt;=1,"Aucune",IF(IF(T357="",1,T357)&lt;=MIN(IF(U357="",1,U357),IF(V357="",1,V357)),"Disponibilité",IF(IF(U357="",1,U357)&lt;=IF(V357="",1,V357),"Performance","Qualité"))))</f>
        <v/>
      </c>
      <c r="AA357" s="59" t="str">
        <f>IF(AC357=1,N(H357)*N(IFERROR(INDEX(art_cost,MATCH(E357,art_ref,0)),0)),"")</f>
        <v/>
      </c>
      <c r="AB357" s="58" t="str">
        <f>IF(COUNTA(A357:I357)=0,"",IF(N(A357)&lt;=0,"Date manquante ou invalide",IF(B357="","Équipe manquante",IF(ISNA(MATCH(B357,eq_code,0)),"Équipe inconnue",IF(INDEX(eq_check,MATCH(B357,eq_code,0))&lt;&gt;"OK","Équipe à corriger dans Paramètres",IF(C357="","Poste manquant",IF(ISNA(MATCH(C357,po_code,0)),"Poste inconnu",IF(AND(E357&lt;&gt;"",ISNA(MATCH(E357,art_ref,0))),"Article inconnu",IF(IF(E357="",FALSE,INDEX(art_check,MATCH(E357,art_ref,0))&lt;&gt;"OK"),"Article à corriger (feuille Articles)",IF(COUNTIFS(sj_date,A357,sj_eq,B357,sj_po,C357)&gt;1,"Ligne en double (même jour, équipe et poste)",IF(OR(NOT(ISNUMBER(K357)),N(K357)&lt;=0,N(K357)&gt;1440),"Temps d'ouverture invalide",IF(OR(AND(G357&lt;&gt;"",NOT(ISNUMBER(G357))),N(G357)&lt;0,N(G357)&lt;&gt;INT(N(G357)),AND(H357&lt;&gt;"",NOT(ISNUMBER(H357))),N(H357)&lt;0,N(H357)&lt;&gt;INT(N(H357)),AND(I357&lt;&gt;"",NOT(ISNUMBER(I357))),N(I357)&lt;0,N(I357)&lt;&gt;INT(N(I357))),"Quantité invalide",IF(Q357&lt;=0,"Cadence manquante (poste ou article)",IF(M357&lt;=0,"Arrêts planifiés supérieurs au temps d'ouverture",IF(O357&lt;0,"Arrêts supérieurs au temps requis",IF(AND(P357&gt;0,O357=0),"Pièces déclarées sans temps de marche",IF(AND(P357=0,O357&gt;0),"Aucune pièce déclarée",IF(P357*60/Q357&gt;O357+0.001,"Cadence dépassée : vérifiez la cadence","OK"))))))))))))))))))</f>
        <v/>
      </c>
      <c r="AC357">
        <f>IF(OR(AB357="OK",AB357="Aucune pièce déclarée",AB357="Cadence dépassée : vérifiez la cadence"),1,0)</f>
        <v>0.0</v>
      </c>
      <c r="AD357">
        <f>IF(AND(AC357=1,A357&gt;=p_from,A357&lt;=p_to),1,0)</f>
        <v>0.0</v>
      </c>
      <c r="AE357">
        <f>IF(AD357=1,IF(COUNTIFS($A$6:A357,A357,$AD$6:AD357,1)=1,1,0),0)</f>
        <v>0.0</v>
      </c>
      <c r="AF357" t="str">
        <f>IF(AE357=1,COUNTIFS(sj_first,1,sj_date,"&lt;"&amp;A357)+1,"")</f>
        <v/>
      </c>
      <c r="AG357" t="str">
        <f>IF(AND(AD357=1,N(W357)&lt;p_alert),ROUND(W357,4),"")</f>
        <v/>
      </c>
      <c r="AH357" t="str">
        <f>IF(AG357="","",COUNTIF(sj_akey,"&lt;"&amp;AG357)+COUNTIF($AG$6:AG357,AG357))</f>
        <v/>
      </c>
    </row>
    <row r="358">
      <c r="A358" s="51" t="n"/>
      <c r="B358" s="52" t="n"/>
      <c r="C358" s="52" t="n"/>
      <c r="D358" s="53" t="n"/>
      <c r="E358" s="53" t="n"/>
      <c r="F358" s="54" t="n"/>
      <c r="G358" s="54" t="n"/>
      <c r="H358" s="54" t="n"/>
      <c r="I358" s="54" t="n"/>
      <c r="J358" s="53" t="n"/>
      <c r="K358" s="55" t="str">
        <f>IF(COUNTA(A358:I358)=0,"",IF(F358="",IFERROR(INDEX(eq_dur,MATCH(B358,eq_code,0)),""),F358))</f>
        <v/>
      </c>
      <c r="L358" s="55" t="str">
        <f>IF(ISNUMBER(K358),N(IFERROR(INDEX(eq_pause,MATCH(B358,eq_code,0)),0))+SUMIFS(st_min,st_date,A358,st_eq,B358,st_po,C358,st_type,"Planifié"),"")</f>
        <v/>
      </c>
      <c r="M358" s="55" t="str">
        <f>IF(ISNUMBER(K358),K358-L358,"")</f>
        <v/>
      </c>
      <c r="N358" s="55" t="str">
        <f>IF(ISNUMBER(K358),SUMIFS(st_min,st_date,A358,st_eq,B358,st_po,C358,st_type,"Non planifié"),"")</f>
        <v/>
      </c>
      <c r="O358" s="55" t="str">
        <f>IF(ISNUMBER(K358),M358-N358,"")</f>
        <v/>
      </c>
      <c r="P358" s="55" t="str">
        <f>IF(COUNTA(A358:I358)=0,"",N(G358)+N(H358)+N(I358))</f>
        <v/>
      </c>
      <c r="Q358" s="56" t="str">
        <f>IF(COUNTA(A358:I358)=0,"",IF(N(IFERROR(INDEX(art_rate,MATCH(E358,art_ref,0)),0))&gt;0,N(IFERROR(INDEX(art_rate,MATCH(E358,art_ref,0)),0)),N(IFERROR(INDEX(po_rate,MATCH(C358,po_code,0)),0))))</f>
        <v/>
      </c>
      <c r="R358" s="55" t="str">
        <f>IF(AC358=1,P358*60/Q358,"")</f>
        <v/>
      </c>
      <c r="S358" s="55" t="str">
        <f>IF(AC358=1,N(G358)*60/Q358,"")</f>
        <v/>
      </c>
      <c r="T358" s="57" t="str">
        <f>IF(AC358=1,O358/M358,"")</f>
        <v/>
      </c>
      <c r="U358" s="57" t="str">
        <f>IF(AC358=1,IF(O358&gt;0,R358/O358,""),"")</f>
        <v/>
      </c>
      <c r="V358" s="57" t="str">
        <f>IF(AC358=1,IF(P358&gt;0,N(G358)/P358,""),"")</f>
        <v/>
      </c>
      <c r="W358" s="57" t="str">
        <f>IF(AC358=1,S358/M358,"")</f>
        <v/>
      </c>
      <c r="X358" s="57" t="str">
        <f>IF(AC358=1,S358/K358,"")</f>
        <v/>
      </c>
      <c r="Y358" s="58" t="str">
        <f>IF(W358="","",IF(W358&gt;=p_target,"Bon",IF(W358&gt;=p_alert,"À surveiller","Faible")))</f>
        <v/>
      </c>
      <c r="Z358" s="58" t="str">
        <f>IF(W358="","",IF(MIN(IF(T358="",1,T358),IF(U358="",1,U358),IF(V358="",1,V358))&gt;=1,"Aucune",IF(IF(T358="",1,T358)&lt;=MIN(IF(U358="",1,U358),IF(V358="",1,V358)),"Disponibilité",IF(IF(U358="",1,U358)&lt;=IF(V358="",1,V358),"Performance","Qualité"))))</f>
        <v/>
      </c>
      <c r="AA358" s="59" t="str">
        <f>IF(AC358=1,N(H358)*N(IFERROR(INDEX(art_cost,MATCH(E358,art_ref,0)),0)),"")</f>
        <v/>
      </c>
      <c r="AB358" s="58" t="str">
        <f>IF(COUNTA(A358:I358)=0,"",IF(N(A358)&lt;=0,"Date manquante ou invalide",IF(B358="","Équipe manquante",IF(ISNA(MATCH(B358,eq_code,0)),"Équipe inconnue",IF(INDEX(eq_check,MATCH(B358,eq_code,0))&lt;&gt;"OK","Équipe à corriger dans Paramètres",IF(C358="","Poste manquant",IF(ISNA(MATCH(C358,po_code,0)),"Poste inconnu",IF(AND(E358&lt;&gt;"",ISNA(MATCH(E358,art_ref,0))),"Article inconnu",IF(IF(E358="",FALSE,INDEX(art_check,MATCH(E358,art_ref,0))&lt;&gt;"OK"),"Article à corriger (feuille Articles)",IF(COUNTIFS(sj_date,A358,sj_eq,B358,sj_po,C358)&gt;1,"Ligne en double (même jour, équipe et poste)",IF(OR(NOT(ISNUMBER(K358)),N(K358)&lt;=0,N(K358)&gt;1440),"Temps d'ouverture invalide",IF(OR(AND(G358&lt;&gt;"",NOT(ISNUMBER(G358))),N(G358)&lt;0,N(G358)&lt;&gt;INT(N(G358)),AND(H358&lt;&gt;"",NOT(ISNUMBER(H358))),N(H358)&lt;0,N(H358)&lt;&gt;INT(N(H358)),AND(I358&lt;&gt;"",NOT(ISNUMBER(I358))),N(I358)&lt;0,N(I358)&lt;&gt;INT(N(I358))),"Quantité invalide",IF(Q358&lt;=0,"Cadence manquante (poste ou article)",IF(M358&lt;=0,"Arrêts planifiés supérieurs au temps d'ouverture",IF(O358&lt;0,"Arrêts supérieurs au temps requis",IF(AND(P358&gt;0,O358=0),"Pièces déclarées sans temps de marche",IF(AND(P358=0,O358&gt;0),"Aucune pièce déclarée",IF(P358*60/Q358&gt;O358+0.001,"Cadence dépassée : vérifiez la cadence","OK"))))))))))))))))))</f>
        <v/>
      </c>
      <c r="AC358">
        <f>IF(OR(AB358="OK",AB358="Aucune pièce déclarée",AB358="Cadence dépassée : vérifiez la cadence"),1,0)</f>
        <v>0.0</v>
      </c>
      <c r="AD358">
        <f>IF(AND(AC358=1,A358&gt;=p_from,A358&lt;=p_to),1,0)</f>
        <v>0.0</v>
      </c>
      <c r="AE358">
        <f>IF(AD358=1,IF(COUNTIFS($A$6:A358,A358,$AD$6:AD358,1)=1,1,0),0)</f>
        <v>0.0</v>
      </c>
      <c r="AF358" t="str">
        <f>IF(AE358=1,COUNTIFS(sj_first,1,sj_date,"&lt;"&amp;A358)+1,"")</f>
        <v/>
      </c>
      <c r="AG358" t="str">
        <f>IF(AND(AD358=1,N(W358)&lt;p_alert),ROUND(W358,4),"")</f>
        <v/>
      </c>
      <c r="AH358" t="str">
        <f>IF(AG358="","",COUNTIF(sj_akey,"&lt;"&amp;AG358)+COUNTIF($AG$6:AG358,AG358))</f>
        <v/>
      </c>
    </row>
    <row r="359">
      <c r="A359" s="51" t="n"/>
      <c r="B359" s="52" t="n"/>
      <c r="C359" s="52" t="n"/>
      <c r="D359" s="53" t="n"/>
      <c r="E359" s="53" t="n"/>
      <c r="F359" s="54" t="n"/>
      <c r="G359" s="54" t="n"/>
      <c r="H359" s="54" t="n"/>
      <c r="I359" s="54" t="n"/>
      <c r="J359" s="53" t="n"/>
      <c r="K359" s="55" t="str">
        <f>IF(COUNTA(A359:I359)=0,"",IF(F359="",IFERROR(INDEX(eq_dur,MATCH(B359,eq_code,0)),""),F359))</f>
        <v/>
      </c>
      <c r="L359" s="55" t="str">
        <f>IF(ISNUMBER(K359),N(IFERROR(INDEX(eq_pause,MATCH(B359,eq_code,0)),0))+SUMIFS(st_min,st_date,A359,st_eq,B359,st_po,C359,st_type,"Planifié"),"")</f>
        <v/>
      </c>
      <c r="M359" s="55" t="str">
        <f>IF(ISNUMBER(K359),K359-L359,"")</f>
        <v/>
      </c>
      <c r="N359" s="55" t="str">
        <f>IF(ISNUMBER(K359),SUMIFS(st_min,st_date,A359,st_eq,B359,st_po,C359,st_type,"Non planifié"),"")</f>
        <v/>
      </c>
      <c r="O359" s="55" t="str">
        <f>IF(ISNUMBER(K359),M359-N359,"")</f>
        <v/>
      </c>
      <c r="P359" s="55" t="str">
        <f>IF(COUNTA(A359:I359)=0,"",N(G359)+N(H359)+N(I359))</f>
        <v/>
      </c>
      <c r="Q359" s="56" t="str">
        <f>IF(COUNTA(A359:I359)=0,"",IF(N(IFERROR(INDEX(art_rate,MATCH(E359,art_ref,0)),0))&gt;0,N(IFERROR(INDEX(art_rate,MATCH(E359,art_ref,0)),0)),N(IFERROR(INDEX(po_rate,MATCH(C359,po_code,0)),0))))</f>
        <v/>
      </c>
      <c r="R359" s="55" t="str">
        <f>IF(AC359=1,P359*60/Q359,"")</f>
        <v/>
      </c>
      <c r="S359" s="55" t="str">
        <f>IF(AC359=1,N(G359)*60/Q359,"")</f>
        <v/>
      </c>
      <c r="T359" s="57" t="str">
        <f>IF(AC359=1,O359/M359,"")</f>
        <v/>
      </c>
      <c r="U359" s="57" t="str">
        <f>IF(AC359=1,IF(O359&gt;0,R359/O359,""),"")</f>
        <v/>
      </c>
      <c r="V359" s="57" t="str">
        <f>IF(AC359=1,IF(P359&gt;0,N(G359)/P359,""),"")</f>
        <v/>
      </c>
      <c r="W359" s="57" t="str">
        <f>IF(AC359=1,S359/M359,"")</f>
        <v/>
      </c>
      <c r="X359" s="57" t="str">
        <f>IF(AC359=1,S359/K359,"")</f>
        <v/>
      </c>
      <c r="Y359" s="58" t="str">
        <f>IF(W359="","",IF(W359&gt;=p_target,"Bon",IF(W359&gt;=p_alert,"À surveiller","Faible")))</f>
        <v/>
      </c>
      <c r="Z359" s="58" t="str">
        <f>IF(W359="","",IF(MIN(IF(T359="",1,T359),IF(U359="",1,U359),IF(V359="",1,V359))&gt;=1,"Aucune",IF(IF(T359="",1,T359)&lt;=MIN(IF(U359="",1,U359),IF(V359="",1,V359)),"Disponibilité",IF(IF(U359="",1,U359)&lt;=IF(V359="",1,V359),"Performance","Qualité"))))</f>
        <v/>
      </c>
      <c r="AA359" s="59" t="str">
        <f>IF(AC359=1,N(H359)*N(IFERROR(INDEX(art_cost,MATCH(E359,art_ref,0)),0)),"")</f>
        <v/>
      </c>
      <c r="AB359" s="58" t="str">
        <f>IF(COUNTA(A359:I359)=0,"",IF(N(A359)&lt;=0,"Date manquante ou invalide",IF(B359="","Équipe manquante",IF(ISNA(MATCH(B359,eq_code,0)),"Équipe inconnue",IF(INDEX(eq_check,MATCH(B359,eq_code,0))&lt;&gt;"OK","Équipe à corriger dans Paramètres",IF(C359="","Poste manquant",IF(ISNA(MATCH(C359,po_code,0)),"Poste inconnu",IF(AND(E359&lt;&gt;"",ISNA(MATCH(E359,art_ref,0))),"Article inconnu",IF(IF(E359="",FALSE,INDEX(art_check,MATCH(E359,art_ref,0))&lt;&gt;"OK"),"Article à corriger (feuille Articles)",IF(COUNTIFS(sj_date,A359,sj_eq,B359,sj_po,C359)&gt;1,"Ligne en double (même jour, équipe et poste)",IF(OR(NOT(ISNUMBER(K359)),N(K359)&lt;=0,N(K359)&gt;1440),"Temps d'ouverture invalide",IF(OR(AND(G359&lt;&gt;"",NOT(ISNUMBER(G359))),N(G359)&lt;0,N(G359)&lt;&gt;INT(N(G359)),AND(H359&lt;&gt;"",NOT(ISNUMBER(H359))),N(H359)&lt;0,N(H359)&lt;&gt;INT(N(H359)),AND(I359&lt;&gt;"",NOT(ISNUMBER(I359))),N(I359)&lt;0,N(I359)&lt;&gt;INT(N(I359))),"Quantité invalide",IF(Q359&lt;=0,"Cadence manquante (poste ou article)",IF(M359&lt;=0,"Arrêts planifiés supérieurs au temps d'ouverture",IF(O359&lt;0,"Arrêts supérieurs au temps requis",IF(AND(P359&gt;0,O359=0),"Pièces déclarées sans temps de marche",IF(AND(P359=0,O359&gt;0),"Aucune pièce déclarée",IF(P359*60/Q359&gt;O359+0.001,"Cadence dépassée : vérifiez la cadence","OK"))))))))))))))))))</f>
        <v/>
      </c>
      <c r="AC359">
        <f>IF(OR(AB359="OK",AB359="Aucune pièce déclarée",AB359="Cadence dépassée : vérifiez la cadence"),1,0)</f>
        <v>0.0</v>
      </c>
      <c r="AD359">
        <f>IF(AND(AC359=1,A359&gt;=p_from,A359&lt;=p_to),1,0)</f>
        <v>0.0</v>
      </c>
      <c r="AE359">
        <f>IF(AD359=1,IF(COUNTIFS($A$6:A359,A359,$AD$6:AD359,1)=1,1,0),0)</f>
        <v>0.0</v>
      </c>
      <c r="AF359" t="str">
        <f>IF(AE359=1,COUNTIFS(sj_first,1,sj_date,"&lt;"&amp;A359)+1,"")</f>
        <v/>
      </c>
      <c r="AG359" t="str">
        <f>IF(AND(AD359=1,N(W359)&lt;p_alert),ROUND(W359,4),"")</f>
        <v/>
      </c>
      <c r="AH359" t="str">
        <f>IF(AG359="","",COUNTIF(sj_akey,"&lt;"&amp;AG359)+COUNTIF($AG$6:AG359,AG359))</f>
        <v/>
      </c>
    </row>
    <row r="360">
      <c r="A360" s="51" t="n"/>
      <c r="B360" s="52" t="n"/>
      <c r="C360" s="52" t="n"/>
      <c r="D360" s="53" t="n"/>
      <c r="E360" s="53" t="n"/>
      <c r="F360" s="54" t="n"/>
      <c r="G360" s="54" t="n"/>
      <c r="H360" s="54" t="n"/>
      <c r="I360" s="54" t="n"/>
      <c r="J360" s="53" t="n"/>
      <c r="K360" s="55" t="str">
        <f>IF(COUNTA(A360:I360)=0,"",IF(F360="",IFERROR(INDEX(eq_dur,MATCH(B360,eq_code,0)),""),F360))</f>
        <v/>
      </c>
      <c r="L360" s="55" t="str">
        <f>IF(ISNUMBER(K360),N(IFERROR(INDEX(eq_pause,MATCH(B360,eq_code,0)),0))+SUMIFS(st_min,st_date,A360,st_eq,B360,st_po,C360,st_type,"Planifié"),"")</f>
        <v/>
      </c>
      <c r="M360" s="55" t="str">
        <f>IF(ISNUMBER(K360),K360-L360,"")</f>
        <v/>
      </c>
      <c r="N360" s="55" t="str">
        <f>IF(ISNUMBER(K360),SUMIFS(st_min,st_date,A360,st_eq,B360,st_po,C360,st_type,"Non planifié"),"")</f>
        <v/>
      </c>
      <c r="O360" s="55" t="str">
        <f>IF(ISNUMBER(K360),M360-N360,"")</f>
        <v/>
      </c>
      <c r="P360" s="55" t="str">
        <f>IF(COUNTA(A360:I360)=0,"",N(G360)+N(H360)+N(I360))</f>
        <v/>
      </c>
      <c r="Q360" s="56" t="str">
        <f>IF(COUNTA(A360:I360)=0,"",IF(N(IFERROR(INDEX(art_rate,MATCH(E360,art_ref,0)),0))&gt;0,N(IFERROR(INDEX(art_rate,MATCH(E360,art_ref,0)),0)),N(IFERROR(INDEX(po_rate,MATCH(C360,po_code,0)),0))))</f>
        <v/>
      </c>
      <c r="R360" s="55" t="str">
        <f>IF(AC360=1,P360*60/Q360,"")</f>
        <v/>
      </c>
      <c r="S360" s="55" t="str">
        <f>IF(AC360=1,N(G360)*60/Q360,"")</f>
        <v/>
      </c>
      <c r="T360" s="57" t="str">
        <f>IF(AC360=1,O360/M360,"")</f>
        <v/>
      </c>
      <c r="U360" s="57" t="str">
        <f>IF(AC360=1,IF(O360&gt;0,R360/O360,""),"")</f>
        <v/>
      </c>
      <c r="V360" s="57" t="str">
        <f>IF(AC360=1,IF(P360&gt;0,N(G360)/P360,""),"")</f>
        <v/>
      </c>
      <c r="W360" s="57" t="str">
        <f>IF(AC360=1,S360/M360,"")</f>
        <v/>
      </c>
      <c r="X360" s="57" t="str">
        <f>IF(AC360=1,S360/K360,"")</f>
        <v/>
      </c>
      <c r="Y360" s="58" t="str">
        <f>IF(W360="","",IF(W360&gt;=p_target,"Bon",IF(W360&gt;=p_alert,"À surveiller","Faible")))</f>
        <v/>
      </c>
      <c r="Z360" s="58" t="str">
        <f>IF(W360="","",IF(MIN(IF(T360="",1,T360),IF(U360="",1,U360),IF(V360="",1,V360))&gt;=1,"Aucune",IF(IF(T360="",1,T360)&lt;=MIN(IF(U360="",1,U360),IF(V360="",1,V360)),"Disponibilité",IF(IF(U360="",1,U360)&lt;=IF(V360="",1,V360),"Performance","Qualité"))))</f>
        <v/>
      </c>
      <c r="AA360" s="59" t="str">
        <f>IF(AC360=1,N(H360)*N(IFERROR(INDEX(art_cost,MATCH(E360,art_ref,0)),0)),"")</f>
        <v/>
      </c>
      <c r="AB360" s="58" t="str">
        <f>IF(COUNTA(A360:I360)=0,"",IF(N(A360)&lt;=0,"Date manquante ou invalide",IF(B360="","Équipe manquante",IF(ISNA(MATCH(B360,eq_code,0)),"Équipe inconnue",IF(INDEX(eq_check,MATCH(B360,eq_code,0))&lt;&gt;"OK","Équipe à corriger dans Paramètres",IF(C360="","Poste manquant",IF(ISNA(MATCH(C360,po_code,0)),"Poste inconnu",IF(AND(E360&lt;&gt;"",ISNA(MATCH(E360,art_ref,0))),"Article inconnu",IF(IF(E360="",FALSE,INDEX(art_check,MATCH(E360,art_ref,0))&lt;&gt;"OK"),"Article à corriger (feuille Articles)",IF(COUNTIFS(sj_date,A360,sj_eq,B360,sj_po,C360)&gt;1,"Ligne en double (même jour, équipe et poste)",IF(OR(NOT(ISNUMBER(K360)),N(K360)&lt;=0,N(K360)&gt;1440),"Temps d'ouverture invalide",IF(OR(AND(G360&lt;&gt;"",NOT(ISNUMBER(G360))),N(G360)&lt;0,N(G360)&lt;&gt;INT(N(G360)),AND(H360&lt;&gt;"",NOT(ISNUMBER(H360))),N(H360)&lt;0,N(H360)&lt;&gt;INT(N(H360)),AND(I360&lt;&gt;"",NOT(ISNUMBER(I360))),N(I360)&lt;0,N(I360)&lt;&gt;INT(N(I360))),"Quantité invalide",IF(Q360&lt;=0,"Cadence manquante (poste ou article)",IF(M360&lt;=0,"Arrêts planifiés supérieurs au temps d'ouverture",IF(O360&lt;0,"Arrêts supérieurs au temps requis",IF(AND(P360&gt;0,O360=0),"Pièces déclarées sans temps de marche",IF(AND(P360=0,O360&gt;0),"Aucune pièce déclarée",IF(P360*60/Q360&gt;O360+0.001,"Cadence dépassée : vérifiez la cadence","OK"))))))))))))))))))</f>
        <v/>
      </c>
      <c r="AC360">
        <f>IF(OR(AB360="OK",AB360="Aucune pièce déclarée",AB360="Cadence dépassée : vérifiez la cadence"),1,0)</f>
        <v>0.0</v>
      </c>
      <c r="AD360">
        <f>IF(AND(AC360=1,A360&gt;=p_from,A360&lt;=p_to),1,0)</f>
        <v>0.0</v>
      </c>
      <c r="AE360">
        <f>IF(AD360=1,IF(COUNTIFS($A$6:A360,A360,$AD$6:AD360,1)=1,1,0),0)</f>
        <v>0.0</v>
      </c>
      <c r="AF360" t="str">
        <f>IF(AE360=1,COUNTIFS(sj_first,1,sj_date,"&lt;"&amp;A360)+1,"")</f>
        <v/>
      </c>
      <c r="AG360" t="str">
        <f>IF(AND(AD360=1,N(W360)&lt;p_alert),ROUND(W360,4),"")</f>
        <v/>
      </c>
      <c r="AH360" t="str">
        <f>IF(AG360="","",COUNTIF(sj_akey,"&lt;"&amp;AG360)+COUNTIF($AG$6:AG360,AG360))</f>
        <v/>
      </c>
    </row>
    <row r="361">
      <c r="A361" s="51" t="n"/>
      <c r="B361" s="52" t="n"/>
      <c r="C361" s="52" t="n"/>
      <c r="D361" s="53" t="n"/>
      <c r="E361" s="53" t="n"/>
      <c r="F361" s="54" t="n"/>
      <c r="G361" s="54" t="n"/>
      <c r="H361" s="54" t="n"/>
      <c r="I361" s="54" t="n"/>
      <c r="J361" s="53" t="n"/>
      <c r="K361" s="55" t="str">
        <f>IF(COUNTA(A361:I361)=0,"",IF(F361="",IFERROR(INDEX(eq_dur,MATCH(B361,eq_code,0)),""),F361))</f>
        <v/>
      </c>
      <c r="L361" s="55" t="str">
        <f>IF(ISNUMBER(K361),N(IFERROR(INDEX(eq_pause,MATCH(B361,eq_code,0)),0))+SUMIFS(st_min,st_date,A361,st_eq,B361,st_po,C361,st_type,"Planifié"),"")</f>
        <v/>
      </c>
      <c r="M361" s="55" t="str">
        <f>IF(ISNUMBER(K361),K361-L361,"")</f>
        <v/>
      </c>
      <c r="N361" s="55" t="str">
        <f>IF(ISNUMBER(K361),SUMIFS(st_min,st_date,A361,st_eq,B361,st_po,C361,st_type,"Non planifié"),"")</f>
        <v/>
      </c>
      <c r="O361" s="55" t="str">
        <f>IF(ISNUMBER(K361),M361-N361,"")</f>
        <v/>
      </c>
      <c r="P361" s="55" t="str">
        <f>IF(COUNTA(A361:I361)=0,"",N(G361)+N(H361)+N(I361))</f>
        <v/>
      </c>
      <c r="Q361" s="56" t="str">
        <f>IF(COUNTA(A361:I361)=0,"",IF(N(IFERROR(INDEX(art_rate,MATCH(E361,art_ref,0)),0))&gt;0,N(IFERROR(INDEX(art_rate,MATCH(E361,art_ref,0)),0)),N(IFERROR(INDEX(po_rate,MATCH(C361,po_code,0)),0))))</f>
        <v/>
      </c>
      <c r="R361" s="55" t="str">
        <f>IF(AC361=1,P361*60/Q361,"")</f>
        <v/>
      </c>
      <c r="S361" s="55" t="str">
        <f>IF(AC361=1,N(G361)*60/Q361,"")</f>
        <v/>
      </c>
      <c r="T361" s="57" t="str">
        <f>IF(AC361=1,O361/M361,"")</f>
        <v/>
      </c>
      <c r="U361" s="57" t="str">
        <f>IF(AC361=1,IF(O361&gt;0,R361/O361,""),"")</f>
        <v/>
      </c>
      <c r="V361" s="57" t="str">
        <f>IF(AC361=1,IF(P361&gt;0,N(G361)/P361,""),"")</f>
        <v/>
      </c>
      <c r="W361" s="57" t="str">
        <f>IF(AC361=1,S361/M361,"")</f>
        <v/>
      </c>
      <c r="X361" s="57" t="str">
        <f>IF(AC361=1,S361/K361,"")</f>
        <v/>
      </c>
      <c r="Y361" s="58" t="str">
        <f>IF(W361="","",IF(W361&gt;=p_target,"Bon",IF(W361&gt;=p_alert,"À surveiller","Faible")))</f>
        <v/>
      </c>
      <c r="Z361" s="58" t="str">
        <f>IF(W361="","",IF(MIN(IF(T361="",1,T361),IF(U361="",1,U361),IF(V361="",1,V361))&gt;=1,"Aucune",IF(IF(T361="",1,T361)&lt;=MIN(IF(U361="",1,U361),IF(V361="",1,V361)),"Disponibilité",IF(IF(U361="",1,U361)&lt;=IF(V361="",1,V361),"Performance","Qualité"))))</f>
        <v/>
      </c>
      <c r="AA361" s="59" t="str">
        <f>IF(AC361=1,N(H361)*N(IFERROR(INDEX(art_cost,MATCH(E361,art_ref,0)),0)),"")</f>
        <v/>
      </c>
      <c r="AB361" s="58" t="str">
        <f>IF(COUNTA(A361:I361)=0,"",IF(N(A361)&lt;=0,"Date manquante ou invalide",IF(B361="","Équipe manquante",IF(ISNA(MATCH(B361,eq_code,0)),"Équipe inconnue",IF(INDEX(eq_check,MATCH(B361,eq_code,0))&lt;&gt;"OK","Équipe à corriger dans Paramètres",IF(C361="","Poste manquant",IF(ISNA(MATCH(C361,po_code,0)),"Poste inconnu",IF(AND(E361&lt;&gt;"",ISNA(MATCH(E361,art_ref,0))),"Article inconnu",IF(IF(E361="",FALSE,INDEX(art_check,MATCH(E361,art_ref,0))&lt;&gt;"OK"),"Article à corriger (feuille Articles)",IF(COUNTIFS(sj_date,A361,sj_eq,B361,sj_po,C361)&gt;1,"Ligne en double (même jour, équipe et poste)",IF(OR(NOT(ISNUMBER(K361)),N(K361)&lt;=0,N(K361)&gt;1440),"Temps d'ouverture invalide",IF(OR(AND(G361&lt;&gt;"",NOT(ISNUMBER(G361))),N(G361)&lt;0,N(G361)&lt;&gt;INT(N(G361)),AND(H361&lt;&gt;"",NOT(ISNUMBER(H361))),N(H361)&lt;0,N(H361)&lt;&gt;INT(N(H361)),AND(I361&lt;&gt;"",NOT(ISNUMBER(I361))),N(I361)&lt;0,N(I361)&lt;&gt;INT(N(I361))),"Quantité invalide",IF(Q361&lt;=0,"Cadence manquante (poste ou article)",IF(M361&lt;=0,"Arrêts planifiés supérieurs au temps d'ouverture",IF(O361&lt;0,"Arrêts supérieurs au temps requis",IF(AND(P361&gt;0,O361=0),"Pièces déclarées sans temps de marche",IF(AND(P361=0,O361&gt;0),"Aucune pièce déclarée",IF(P361*60/Q361&gt;O361+0.001,"Cadence dépassée : vérifiez la cadence","OK"))))))))))))))))))</f>
        <v/>
      </c>
      <c r="AC361">
        <f>IF(OR(AB361="OK",AB361="Aucune pièce déclarée",AB361="Cadence dépassée : vérifiez la cadence"),1,0)</f>
        <v>0.0</v>
      </c>
      <c r="AD361">
        <f>IF(AND(AC361=1,A361&gt;=p_from,A361&lt;=p_to),1,0)</f>
        <v>0.0</v>
      </c>
      <c r="AE361">
        <f>IF(AD361=1,IF(COUNTIFS($A$6:A361,A361,$AD$6:AD361,1)=1,1,0),0)</f>
        <v>0.0</v>
      </c>
      <c r="AF361" t="str">
        <f>IF(AE361=1,COUNTIFS(sj_first,1,sj_date,"&lt;"&amp;A361)+1,"")</f>
        <v/>
      </c>
      <c r="AG361" t="str">
        <f>IF(AND(AD361=1,N(W361)&lt;p_alert),ROUND(W361,4),"")</f>
        <v/>
      </c>
      <c r="AH361" t="str">
        <f>IF(AG361="","",COUNTIF(sj_akey,"&lt;"&amp;AG361)+COUNTIF($AG$6:AG361,AG361))</f>
        <v/>
      </c>
    </row>
    <row r="362">
      <c r="A362" s="51" t="n"/>
      <c r="B362" s="52" t="n"/>
      <c r="C362" s="52" t="n"/>
      <c r="D362" s="53" t="n"/>
      <c r="E362" s="53" t="n"/>
      <c r="F362" s="54" t="n"/>
      <c r="G362" s="54" t="n"/>
      <c r="H362" s="54" t="n"/>
      <c r="I362" s="54" t="n"/>
      <c r="J362" s="53" t="n"/>
      <c r="K362" s="55" t="str">
        <f>IF(COUNTA(A362:I362)=0,"",IF(F362="",IFERROR(INDEX(eq_dur,MATCH(B362,eq_code,0)),""),F362))</f>
        <v/>
      </c>
      <c r="L362" s="55" t="str">
        <f>IF(ISNUMBER(K362),N(IFERROR(INDEX(eq_pause,MATCH(B362,eq_code,0)),0))+SUMIFS(st_min,st_date,A362,st_eq,B362,st_po,C362,st_type,"Planifié"),"")</f>
        <v/>
      </c>
      <c r="M362" s="55" t="str">
        <f>IF(ISNUMBER(K362),K362-L362,"")</f>
        <v/>
      </c>
      <c r="N362" s="55" t="str">
        <f>IF(ISNUMBER(K362),SUMIFS(st_min,st_date,A362,st_eq,B362,st_po,C362,st_type,"Non planifié"),"")</f>
        <v/>
      </c>
      <c r="O362" s="55" t="str">
        <f>IF(ISNUMBER(K362),M362-N362,"")</f>
        <v/>
      </c>
      <c r="P362" s="55" t="str">
        <f>IF(COUNTA(A362:I362)=0,"",N(G362)+N(H362)+N(I362))</f>
        <v/>
      </c>
      <c r="Q362" s="56" t="str">
        <f>IF(COUNTA(A362:I362)=0,"",IF(N(IFERROR(INDEX(art_rate,MATCH(E362,art_ref,0)),0))&gt;0,N(IFERROR(INDEX(art_rate,MATCH(E362,art_ref,0)),0)),N(IFERROR(INDEX(po_rate,MATCH(C362,po_code,0)),0))))</f>
        <v/>
      </c>
      <c r="R362" s="55" t="str">
        <f>IF(AC362=1,P362*60/Q362,"")</f>
        <v/>
      </c>
      <c r="S362" s="55" t="str">
        <f>IF(AC362=1,N(G362)*60/Q362,"")</f>
        <v/>
      </c>
      <c r="T362" s="57" t="str">
        <f>IF(AC362=1,O362/M362,"")</f>
        <v/>
      </c>
      <c r="U362" s="57" t="str">
        <f>IF(AC362=1,IF(O362&gt;0,R362/O362,""),"")</f>
        <v/>
      </c>
      <c r="V362" s="57" t="str">
        <f>IF(AC362=1,IF(P362&gt;0,N(G362)/P362,""),"")</f>
        <v/>
      </c>
      <c r="W362" s="57" t="str">
        <f>IF(AC362=1,S362/M362,"")</f>
        <v/>
      </c>
      <c r="X362" s="57" t="str">
        <f>IF(AC362=1,S362/K362,"")</f>
        <v/>
      </c>
      <c r="Y362" s="58" t="str">
        <f>IF(W362="","",IF(W362&gt;=p_target,"Bon",IF(W362&gt;=p_alert,"À surveiller","Faible")))</f>
        <v/>
      </c>
      <c r="Z362" s="58" t="str">
        <f>IF(W362="","",IF(MIN(IF(T362="",1,T362),IF(U362="",1,U362),IF(V362="",1,V362))&gt;=1,"Aucune",IF(IF(T362="",1,T362)&lt;=MIN(IF(U362="",1,U362),IF(V362="",1,V362)),"Disponibilité",IF(IF(U362="",1,U362)&lt;=IF(V362="",1,V362),"Performance","Qualité"))))</f>
        <v/>
      </c>
      <c r="AA362" s="59" t="str">
        <f>IF(AC362=1,N(H362)*N(IFERROR(INDEX(art_cost,MATCH(E362,art_ref,0)),0)),"")</f>
        <v/>
      </c>
      <c r="AB362" s="58" t="str">
        <f>IF(COUNTA(A362:I362)=0,"",IF(N(A362)&lt;=0,"Date manquante ou invalide",IF(B362="","Équipe manquante",IF(ISNA(MATCH(B362,eq_code,0)),"Équipe inconnue",IF(INDEX(eq_check,MATCH(B362,eq_code,0))&lt;&gt;"OK","Équipe à corriger dans Paramètres",IF(C362="","Poste manquant",IF(ISNA(MATCH(C362,po_code,0)),"Poste inconnu",IF(AND(E362&lt;&gt;"",ISNA(MATCH(E362,art_ref,0))),"Article inconnu",IF(IF(E362="",FALSE,INDEX(art_check,MATCH(E362,art_ref,0))&lt;&gt;"OK"),"Article à corriger (feuille Articles)",IF(COUNTIFS(sj_date,A362,sj_eq,B362,sj_po,C362)&gt;1,"Ligne en double (même jour, équipe et poste)",IF(OR(NOT(ISNUMBER(K362)),N(K362)&lt;=0,N(K362)&gt;1440),"Temps d'ouverture invalide",IF(OR(AND(G362&lt;&gt;"",NOT(ISNUMBER(G362))),N(G362)&lt;0,N(G362)&lt;&gt;INT(N(G362)),AND(H362&lt;&gt;"",NOT(ISNUMBER(H362))),N(H362)&lt;0,N(H362)&lt;&gt;INT(N(H362)),AND(I362&lt;&gt;"",NOT(ISNUMBER(I362))),N(I362)&lt;0,N(I362)&lt;&gt;INT(N(I362))),"Quantité invalide",IF(Q362&lt;=0,"Cadence manquante (poste ou article)",IF(M362&lt;=0,"Arrêts planifiés supérieurs au temps d'ouverture",IF(O362&lt;0,"Arrêts supérieurs au temps requis",IF(AND(P362&gt;0,O362=0),"Pièces déclarées sans temps de marche",IF(AND(P362=0,O362&gt;0),"Aucune pièce déclarée",IF(P362*60/Q362&gt;O362+0.001,"Cadence dépassée : vérifiez la cadence","OK"))))))))))))))))))</f>
        <v/>
      </c>
      <c r="AC362">
        <f>IF(OR(AB362="OK",AB362="Aucune pièce déclarée",AB362="Cadence dépassée : vérifiez la cadence"),1,0)</f>
        <v>0.0</v>
      </c>
      <c r="AD362">
        <f>IF(AND(AC362=1,A362&gt;=p_from,A362&lt;=p_to),1,0)</f>
        <v>0.0</v>
      </c>
      <c r="AE362">
        <f>IF(AD362=1,IF(COUNTIFS($A$6:A362,A362,$AD$6:AD362,1)=1,1,0),0)</f>
        <v>0.0</v>
      </c>
      <c r="AF362" t="str">
        <f>IF(AE362=1,COUNTIFS(sj_first,1,sj_date,"&lt;"&amp;A362)+1,"")</f>
        <v/>
      </c>
      <c r="AG362" t="str">
        <f>IF(AND(AD362=1,N(W362)&lt;p_alert),ROUND(W362,4),"")</f>
        <v/>
      </c>
      <c r="AH362" t="str">
        <f>IF(AG362="","",COUNTIF(sj_akey,"&lt;"&amp;AG362)+COUNTIF($AG$6:AG362,AG362))</f>
        <v/>
      </c>
    </row>
    <row r="363">
      <c r="A363" s="51" t="n"/>
      <c r="B363" s="52" t="n"/>
      <c r="C363" s="52" t="n"/>
      <c r="D363" s="53" t="n"/>
      <c r="E363" s="53" t="n"/>
      <c r="F363" s="54" t="n"/>
      <c r="G363" s="54" t="n"/>
      <c r="H363" s="54" t="n"/>
      <c r="I363" s="54" t="n"/>
      <c r="J363" s="53" t="n"/>
      <c r="K363" s="55" t="str">
        <f>IF(COUNTA(A363:I363)=0,"",IF(F363="",IFERROR(INDEX(eq_dur,MATCH(B363,eq_code,0)),""),F363))</f>
        <v/>
      </c>
      <c r="L363" s="55" t="str">
        <f>IF(ISNUMBER(K363),N(IFERROR(INDEX(eq_pause,MATCH(B363,eq_code,0)),0))+SUMIFS(st_min,st_date,A363,st_eq,B363,st_po,C363,st_type,"Planifié"),"")</f>
        <v/>
      </c>
      <c r="M363" s="55" t="str">
        <f>IF(ISNUMBER(K363),K363-L363,"")</f>
        <v/>
      </c>
      <c r="N363" s="55" t="str">
        <f>IF(ISNUMBER(K363),SUMIFS(st_min,st_date,A363,st_eq,B363,st_po,C363,st_type,"Non planifié"),"")</f>
        <v/>
      </c>
      <c r="O363" s="55" t="str">
        <f>IF(ISNUMBER(K363),M363-N363,"")</f>
        <v/>
      </c>
      <c r="P363" s="55" t="str">
        <f>IF(COUNTA(A363:I363)=0,"",N(G363)+N(H363)+N(I363))</f>
        <v/>
      </c>
      <c r="Q363" s="56" t="str">
        <f>IF(COUNTA(A363:I363)=0,"",IF(N(IFERROR(INDEX(art_rate,MATCH(E363,art_ref,0)),0))&gt;0,N(IFERROR(INDEX(art_rate,MATCH(E363,art_ref,0)),0)),N(IFERROR(INDEX(po_rate,MATCH(C363,po_code,0)),0))))</f>
        <v/>
      </c>
      <c r="R363" s="55" t="str">
        <f>IF(AC363=1,P363*60/Q363,"")</f>
        <v/>
      </c>
      <c r="S363" s="55" t="str">
        <f>IF(AC363=1,N(G363)*60/Q363,"")</f>
        <v/>
      </c>
      <c r="T363" s="57" t="str">
        <f>IF(AC363=1,O363/M363,"")</f>
        <v/>
      </c>
      <c r="U363" s="57" t="str">
        <f>IF(AC363=1,IF(O363&gt;0,R363/O363,""),"")</f>
        <v/>
      </c>
      <c r="V363" s="57" t="str">
        <f>IF(AC363=1,IF(P363&gt;0,N(G363)/P363,""),"")</f>
        <v/>
      </c>
      <c r="W363" s="57" t="str">
        <f>IF(AC363=1,S363/M363,"")</f>
        <v/>
      </c>
      <c r="X363" s="57" t="str">
        <f>IF(AC363=1,S363/K363,"")</f>
        <v/>
      </c>
      <c r="Y363" s="58" t="str">
        <f>IF(W363="","",IF(W363&gt;=p_target,"Bon",IF(W363&gt;=p_alert,"À surveiller","Faible")))</f>
        <v/>
      </c>
      <c r="Z363" s="58" t="str">
        <f>IF(W363="","",IF(MIN(IF(T363="",1,T363),IF(U363="",1,U363),IF(V363="",1,V363))&gt;=1,"Aucune",IF(IF(T363="",1,T363)&lt;=MIN(IF(U363="",1,U363),IF(V363="",1,V363)),"Disponibilité",IF(IF(U363="",1,U363)&lt;=IF(V363="",1,V363),"Performance","Qualité"))))</f>
        <v/>
      </c>
      <c r="AA363" s="59" t="str">
        <f>IF(AC363=1,N(H363)*N(IFERROR(INDEX(art_cost,MATCH(E363,art_ref,0)),0)),"")</f>
        <v/>
      </c>
      <c r="AB363" s="58" t="str">
        <f>IF(COUNTA(A363:I363)=0,"",IF(N(A363)&lt;=0,"Date manquante ou invalide",IF(B363="","Équipe manquante",IF(ISNA(MATCH(B363,eq_code,0)),"Équipe inconnue",IF(INDEX(eq_check,MATCH(B363,eq_code,0))&lt;&gt;"OK","Équipe à corriger dans Paramètres",IF(C363="","Poste manquant",IF(ISNA(MATCH(C363,po_code,0)),"Poste inconnu",IF(AND(E363&lt;&gt;"",ISNA(MATCH(E363,art_ref,0))),"Article inconnu",IF(IF(E363="",FALSE,INDEX(art_check,MATCH(E363,art_ref,0))&lt;&gt;"OK"),"Article à corriger (feuille Articles)",IF(COUNTIFS(sj_date,A363,sj_eq,B363,sj_po,C363)&gt;1,"Ligne en double (même jour, équipe et poste)",IF(OR(NOT(ISNUMBER(K363)),N(K363)&lt;=0,N(K363)&gt;1440),"Temps d'ouverture invalide",IF(OR(AND(G363&lt;&gt;"",NOT(ISNUMBER(G363))),N(G363)&lt;0,N(G363)&lt;&gt;INT(N(G363)),AND(H363&lt;&gt;"",NOT(ISNUMBER(H363))),N(H363)&lt;0,N(H363)&lt;&gt;INT(N(H363)),AND(I363&lt;&gt;"",NOT(ISNUMBER(I363))),N(I363)&lt;0,N(I363)&lt;&gt;INT(N(I363))),"Quantité invalide",IF(Q363&lt;=0,"Cadence manquante (poste ou article)",IF(M363&lt;=0,"Arrêts planifiés supérieurs au temps d'ouverture",IF(O363&lt;0,"Arrêts supérieurs au temps requis",IF(AND(P363&gt;0,O363=0),"Pièces déclarées sans temps de marche",IF(AND(P363=0,O363&gt;0),"Aucune pièce déclarée",IF(P363*60/Q363&gt;O363+0.001,"Cadence dépassée : vérifiez la cadence","OK"))))))))))))))))))</f>
        <v/>
      </c>
      <c r="AC363">
        <f>IF(OR(AB363="OK",AB363="Aucune pièce déclarée",AB363="Cadence dépassée : vérifiez la cadence"),1,0)</f>
        <v>0.0</v>
      </c>
      <c r="AD363">
        <f>IF(AND(AC363=1,A363&gt;=p_from,A363&lt;=p_to),1,0)</f>
        <v>0.0</v>
      </c>
      <c r="AE363">
        <f>IF(AD363=1,IF(COUNTIFS($A$6:A363,A363,$AD$6:AD363,1)=1,1,0),0)</f>
        <v>0.0</v>
      </c>
      <c r="AF363" t="str">
        <f>IF(AE363=1,COUNTIFS(sj_first,1,sj_date,"&lt;"&amp;A363)+1,"")</f>
        <v/>
      </c>
      <c r="AG363" t="str">
        <f>IF(AND(AD363=1,N(W363)&lt;p_alert),ROUND(W363,4),"")</f>
        <v/>
      </c>
      <c r="AH363" t="str">
        <f>IF(AG363="","",COUNTIF(sj_akey,"&lt;"&amp;AG363)+COUNTIF($AG$6:AG363,AG363))</f>
        <v/>
      </c>
    </row>
    <row r="364">
      <c r="A364" s="51" t="n"/>
      <c r="B364" s="52" t="n"/>
      <c r="C364" s="52" t="n"/>
      <c r="D364" s="53" t="n"/>
      <c r="E364" s="53" t="n"/>
      <c r="F364" s="54" t="n"/>
      <c r="G364" s="54" t="n"/>
      <c r="H364" s="54" t="n"/>
      <c r="I364" s="54" t="n"/>
      <c r="J364" s="53" t="n"/>
      <c r="K364" s="55" t="str">
        <f>IF(COUNTA(A364:I364)=0,"",IF(F364="",IFERROR(INDEX(eq_dur,MATCH(B364,eq_code,0)),""),F364))</f>
        <v/>
      </c>
      <c r="L364" s="55" t="str">
        <f>IF(ISNUMBER(K364),N(IFERROR(INDEX(eq_pause,MATCH(B364,eq_code,0)),0))+SUMIFS(st_min,st_date,A364,st_eq,B364,st_po,C364,st_type,"Planifié"),"")</f>
        <v/>
      </c>
      <c r="M364" s="55" t="str">
        <f>IF(ISNUMBER(K364),K364-L364,"")</f>
        <v/>
      </c>
      <c r="N364" s="55" t="str">
        <f>IF(ISNUMBER(K364),SUMIFS(st_min,st_date,A364,st_eq,B364,st_po,C364,st_type,"Non planifié"),"")</f>
        <v/>
      </c>
      <c r="O364" s="55" t="str">
        <f>IF(ISNUMBER(K364),M364-N364,"")</f>
        <v/>
      </c>
      <c r="P364" s="55" t="str">
        <f>IF(COUNTA(A364:I364)=0,"",N(G364)+N(H364)+N(I364))</f>
        <v/>
      </c>
      <c r="Q364" s="56" t="str">
        <f>IF(COUNTA(A364:I364)=0,"",IF(N(IFERROR(INDEX(art_rate,MATCH(E364,art_ref,0)),0))&gt;0,N(IFERROR(INDEX(art_rate,MATCH(E364,art_ref,0)),0)),N(IFERROR(INDEX(po_rate,MATCH(C364,po_code,0)),0))))</f>
        <v/>
      </c>
      <c r="R364" s="55" t="str">
        <f>IF(AC364=1,P364*60/Q364,"")</f>
        <v/>
      </c>
      <c r="S364" s="55" t="str">
        <f>IF(AC364=1,N(G364)*60/Q364,"")</f>
        <v/>
      </c>
      <c r="T364" s="57" t="str">
        <f>IF(AC364=1,O364/M364,"")</f>
        <v/>
      </c>
      <c r="U364" s="57" t="str">
        <f>IF(AC364=1,IF(O364&gt;0,R364/O364,""),"")</f>
        <v/>
      </c>
      <c r="V364" s="57" t="str">
        <f>IF(AC364=1,IF(P364&gt;0,N(G364)/P364,""),"")</f>
        <v/>
      </c>
      <c r="W364" s="57" t="str">
        <f>IF(AC364=1,S364/M364,"")</f>
        <v/>
      </c>
      <c r="X364" s="57" t="str">
        <f>IF(AC364=1,S364/K364,"")</f>
        <v/>
      </c>
      <c r="Y364" s="58" t="str">
        <f>IF(W364="","",IF(W364&gt;=p_target,"Bon",IF(W364&gt;=p_alert,"À surveiller","Faible")))</f>
        <v/>
      </c>
      <c r="Z364" s="58" t="str">
        <f>IF(W364="","",IF(MIN(IF(T364="",1,T364),IF(U364="",1,U364),IF(V364="",1,V364))&gt;=1,"Aucune",IF(IF(T364="",1,T364)&lt;=MIN(IF(U364="",1,U364),IF(V364="",1,V364)),"Disponibilité",IF(IF(U364="",1,U364)&lt;=IF(V364="",1,V364),"Performance","Qualité"))))</f>
        <v/>
      </c>
      <c r="AA364" s="59" t="str">
        <f>IF(AC364=1,N(H364)*N(IFERROR(INDEX(art_cost,MATCH(E364,art_ref,0)),0)),"")</f>
        <v/>
      </c>
      <c r="AB364" s="58" t="str">
        <f>IF(COUNTA(A364:I364)=0,"",IF(N(A364)&lt;=0,"Date manquante ou invalide",IF(B364="","Équipe manquante",IF(ISNA(MATCH(B364,eq_code,0)),"Équipe inconnue",IF(INDEX(eq_check,MATCH(B364,eq_code,0))&lt;&gt;"OK","Équipe à corriger dans Paramètres",IF(C364="","Poste manquant",IF(ISNA(MATCH(C364,po_code,0)),"Poste inconnu",IF(AND(E364&lt;&gt;"",ISNA(MATCH(E364,art_ref,0))),"Article inconnu",IF(IF(E364="",FALSE,INDEX(art_check,MATCH(E364,art_ref,0))&lt;&gt;"OK"),"Article à corriger (feuille Articles)",IF(COUNTIFS(sj_date,A364,sj_eq,B364,sj_po,C364)&gt;1,"Ligne en double (même jour, équipe et poste)",IF(OR(NOT(ISNUMBER(K364)),N(K364)&lt;=0,N(K364)&gt;1440),"Temps d'ouverture invalide",IF(OR(AND(G364&lt;&gt;"",NOT(ISNUMBER(G364))),N(G364)&lt;0,N(G364)&lt;&gt;INT(N(G364)),AND(H364&lt;&gt;"",NOT(ISNUMBER(H364))),N(H364)&lt;0,N(H364)&lt;&gt;INT(N(H364)),AND(I364&lt;&gt;"",NOT(ISNUMBER(I364))),N(I364)&lt;0,N(I364)&lt;&gt;INT(N(I364))),"Quantité invalide",IF(Q364&lt;=0,"Cadence manquante (poste ou article)",IF(M364&lt;=0,"Arrêts planifiés supérieurs au temps d'ouverture",IF(O364&lt;0,"Arrêts supérieurs au temps requis",IF(AND(P364&gt;0,O364=0),"Pièces déclarées sans temps de marche",IF(AND(P364=0,O364&gt;0),"Aucune pièce déclarée",IF(P364*60/Q364&gt;O364+0.001,"Cadence dépassée : vérifiez la cadence","OK"))))))))))))))))))</f>
        <v/>
      </c>
      <c r="AC364">
        <f>IF(OR(AB364="OK",AB364="Aucune pièce déclarée",AB364="Cadence dépassée : vérifiez la cadence"),1,0)</f>
        <v>0.0</v>
      </c>
      <c r="AD364">
        <f>IF(AND(AC364=1,A364&gt;=p_from,A364&lt;=p_to),1,0)</f>
        <v>0.0</v>
      </c>
      <c r="AE364">
        <f>IF(AD364=1,IF(COUNTIFS($A$6:A364,A364,$AD$6:AD364,1)=1,1,0),0)</f>
        <v>0.0</v>
      </c>
      <c r="AF364" t="str">
        <f>IF(AE364=1,COUNTIFS(sj_first,1,sj_date,"&lt;"&amp;A364)+1,"")</f>
        <v/>
      </c>
      <c r="AG364" t="str">
        <f>IF(AND(AD364=1,N(W364)&lt;p_alert),ROUND(W364,4),"")</f>
        <v/>
      </c>
      <c r="AH364" t="str">
        <f>IF(AG364="","",COUNTIF(sj_akey,"&lt;"&amp;AG364)+COUNTIF($AG$6:AG364,AG364))</f>
        <v/>
      </c>
    </row>
    <row r="365">
      <c r="A365" s="51" t="n"/>
      <c r="B365" s="52" t="n"/>
      <c r="C365" s="52" t="n"/>
      <c r="D365" s="53" t="n"/>
      <c r="E365" s="53" t="n"/>
      <c r="F365" s="54" t="n"/>
      <c r="G365" s="54" t="n"/>
      <c r="H365" s="54" t="n"/>
      <c r="I365" s="54" t="n"/>
      <c r="J365" s="53" t="n"/>
      <c r="K365" s="55" t="str">
        <f>IF(COUNTA(A365:I365)=0,"",IF(F365="",IFERROR(INDEX(eq_dur,MATCH(B365,eq_code,0)),""),F365))</f>
        <v/>
      </c>
      <c r="L365" s="55" t="str">
        <f>IF(ISNUMBER(K365),N(IFERROR(INDEX(eq_pause,MATCH(B365,eq_code,0)),0))+SUMIFS(st_min,st_date,A365,st_eq,B365,st_po,C365,st_type,"Planifié"),"")</f>
        <v/>
      </c>
      <c r="M365" s="55" t="str">
        <f>IF(ISNUMBER(K365),K365-L365,"")</f>
        <v/>
      </c>
      <c r="N365" s="55" t="str">
        <f>IF(ISNUMBER(K365),SUMIFS(st_min,st_date,A365,st_eq,B365,st_po,C365,st_type,"Non planifié"),"")</f>
        <v/>
      </c>
      <c r="O365" s="55" t="str">
        <f>IF(ISNUMBER(K365),M365-N365,"")</f>
        <v/>
      </c>
      <c r="P365" s="55" t="str">
        <f>IF(COUNTA(A365:I365)=0,"",N(G365)+N(H365)+N(I365))</f>
        <v/>
      </c>
      <c r="Q365" s="56" t="str">
        <f>IF(COUNTA(A365:I365)=0,"",IF(N(IFERROR(INDEX(art_rate,MATCH(E365,art_ref,0)),0))&gt;0,N(IFERROR(INDEX(art_rate,MATCH(E365,art_ref,0)),0)),N(IFERROR(INDEX(po_rate,MATCH(C365,po_code,0)),0))))</f>
        <v/>
      </c>
      <c r="R365" s="55" t="str">
        <f>IF(AC365=1,P365*60/Q365,"")</f>
        <v/>
      </c>
      <c r="S365" s="55" t="str">
        <f>IF(AC365=1,N(G365)*60/Q365,"")</f>
        <v/>
      </c>
      <c r="T365" s="57" t="str">
        <f>IF(AC365=1,O365/M365,"")</f>
        <v/>
      </c>
      <c r="U365" s="57" t="str">
        <f>IF(AC365=1,IF(O365&gt;0,R365/O365,""),"")</f>
        <v/>
      </c>
      <c r="V365" s="57" t="str">
        <f>IF(AC365=1,IF(P365&gt;0,N(G365)/P365,""),"")</f>
        <v/>
      </c>
      <c r="W365" s="57" t="str">
        <f>IF(AC365=1,S365/M365,"")</f>
        <v/>
      </c>
      <c r="X365" s="57" t="str">
        <f>IF(AC365=1,S365/K365,"")</f>
        <v/>
      </c>
      <c r="Y365" s="58" t="str">
        <f>IF(W365="","",IF(W365&gt;=p_target,"Bon",IF(W365&gt;=p_alert,"À surveiller","Faible")))</f>
        <v/>
      </c>
      <c r="Z365" s="58" t="str">
        <f>IF(W365="","",IF(MIN(IF(T365="",1,T365),IF(U365="",1,U365),IF(V365="",1,V365))&gt;=1,"Aucune",IF(IF(T365="",1,T365)&lt;=MIN(IF(U365="",1,U365),IF(V365="",1,V365)),"Disponibilité",IF(IF(U365="",1,U365)&lt;=IF(V365="",1,V365),"Performance","Qualité"))))</f>
        <v/>
      </c>
      <c r="AA365" s="59" t="str">
        <f>IF(AC365=1,N(H365)*N(IFERROR(INDEX(art_cost,MATCH(E365,art_ref,0)),0)),"")</f>
        <v/>
      </c>
      <c r="AB365" s="58" t="str">
        <f>IF(COUNTA(A365:I365)=0,"",IF(N(A365)&lt;=0,"Date manquante ou invalide",IF(B365="","Équipe manquante",IF(ISNA(MATCH(B365,eq_code,0)),"Équipe inconnue",IF(INDEX(eq_check,MATCH(B365,eq_code,0))&lt;&gt;"OK","Équipe à corriger dans Paramètres",IF(C365="","Poste manquant",IF(ISNA(MATCH(C365,po_code,0)),"Poste inconnu",IF(AND(E365&lt;&gt;"",ISNA(MATCH(E365,art_ref,0))),"Article inconnu",IF(IF(E365="",FALSE,INDEX(art_check,MATCH(E365,art_ref,0))&lt;&gt;"OK"),"Article à corriger (feuille Articles)",IF(COUNTIFS(sj_date,A365,sj_eq,B365,sj_po,C365)&gt;1,"Ligne en double (même jour, équipe et poste)",IF(OR(NOT(ISNUMBER(K365)),N(K365)&lt;=0,N(K365)&gt;1440),"Temps d'ouverture invalide",IF(OR(AND(G365&lt;&gt;"",NOT(ISNUMBER(G365))),N(G365)&lt;0,N(G365)&lt;&gt;INT(N(G365)),AND(H365&lt;&gt;"",NOT(ISNUMBER(H365))),N(H365)&lt;0,N(H365)&lt;&gt;INT(N(H365)),AND(I365&lt;&gt;"",NOT(ISNUMBER(I365))),N(I365)&lt;0,N(I365)&lt;&gt;INT(N(I365))),"Quantité invalide",IF(Q365&lt;=0,"Cadence manquante (poste ou article)",IF(M365&lt;=0,"Arrêts planifiés supérieurs au temps d'ouverture",IF(O365&lt;0,"Arrêts supérieurs au temps requis",IF(AND(P365&gt;0,O365=0),"Pièces déclarées sans temps de marche",IF(AND(P365=0,O365&gt;0),"Aucune pièce déclarée",IF(P365*60/Q365&gt;O365+0.001,"Cadence dépassée : vérifiez la cadence","OK"))))))))))))))))))</f>
        <v/>
      </c>
      <c r="AC365">
        <f>IF(OR(AB365="OK",AB365="Aucune pièce déclarée",AB365="Cadence dépassée : vérifiez la cadence"),1,0)</f>
        <v>0.0</v>
      </c>
      <c r="AD365">
        <f>IF(AND(AC365=1,A365&gt;=p_from,A365&lt;=p_to),1,0)</f>
        <v>0.0</v>
      </c>
      <c r="AE365">
        <f>IF(AD365=1,IF(COUNTIFS($A$6:A365,A365,$AD$6:AD365,1)=1,1,0),0)</f>
        <v>0.0</v>
      </c>
      <c r="AF365" t="str">
        <f>IF(AE365=1,COUNTIFS(sj_first,1,sj_date,"&lt;"&amp;A365)+1,"")</f>
        <v/>
      </c>
      <c r="AG365" t="str">
        <f>IF(AND(AD365=1,N(W365)&lt;p_alert),ROUND(W365,4),"")</f>
        <v/>
      </c>
      <c r="AH365" t="str">
        <f>IF(AG365="","",COUNTIF(sj_akey,"&lt;"&amp;AG365)+COUNTIF($AG$6:AG365,AG365))</f>
        <v/>
      </c>
    </row>
    <row r="366">
      <c r="A366" s="51" t="n"/>
      <c r="B366" s="52" t="n"/>
      <c r="C366" s="52" t="n"/>
      <c r="D366" s="53" t="n"/>
      <c r="E366" s="53" t="n"/>
      <c r="F366" s="54" t="n"/>
      <c r="G366" s="54" t="n"/>
      <c r="H366" s="54" t="n"/>
      <c r="I366" s="54" t="n"/>
      <c r="J366" s="53" t="n"/>
      <c r="K366" s="55" t="str">
        <f>IF(COUNTA(A366:I366)=0,"",IF(F366="",IFERROR(INDEX(eq_dur,MATCH(B366,eq_code,0)),""),F366))</f>
        <v/>
      </c>
      <c r="L366" s="55" t="str">
        <f>IF(ISNUMBER(K366),N(IFERROR(INDEX(eq_pause,MATCH(B366,eq_code,0)),0))+SUMIFS(st_min,st_date,A366,st_eq,B366,st_po,C366,st_type,"Planifié"),"")</f>
        <v/>
      </c>
      <c r="M366" s="55" t="str">
        <f>IF(ISNUMBER(K366),K366-L366,"")</f>
        <v/>
      </c>
      <c r="N366" s="55" t="str">
        <f>IF(ISNUMBER(K366),SUMIFS(st_min,st_date,A366,st_eq,B366,st_po,C366,st_type,"Non planifié"),"")</f>
        <v/>
      </c>
      <c r="O366" s="55" t="str">
        <f>IF(ISNUMBER(K366),M366-N366,"")</f>
        <v/>
      </c>
      <c r="P366" s="55" t="str">
        <f>IF(COUNTA(A366:I366)=0,"",N(G366)+N(H366)+N(I366))</f>
        <v/>
      </c>
      <c r="Q366" s="56" t="str">
        <f>IF(COUNTA(A366:I366)=0,"",IF(N(IFERROR(INDEX(art_rate,MATCH(E366,art_ref,0)),0))&gt;0,N(IFERROR(INDEX(art_rate,MATCH(E366,art_ref,0)),0)),N(IFERROR(INDEX(po_rate,MATCH(C366,po_code,0)),0))))</f>
        <v/>
      </c>
      <c r="R366" s="55" t="str">
        <f>IF(AC366=1,P366*60/Q366,"")</f>
        <v/>
      </c>
      <c r="S366" s="55" t="str">
        <f>IF(AC366=1,N(G366)*60/Q366,"")</f>
        <v/>
      </c>
      <c r="T366" s="57" t="str">
        <f>IF(AC366=1,O366/M366,"")</f>
        <v/>
      </c>
      <c r="U366" s="57" t="str">
        <f>IF(AC366=1,IF(O366&gt;0,R366/O366,""),"")</f>
        <v/>
      </c>
      <c r="V366" s="57" t="str">
        <f>IF(AC366=1,IF(P366&gt;0,N(G366)/P366,""),"")</f>
        <v/>
      </c>
      <c r="W366" s="57" t="str">
        <f>IF(AC366=1,S366/M366,"")</f>
        <v/>
      </c>
      <c r="X366" s="57" t="str">
        <f>IF(AC366=1,S366/K366,"")</f>
        <v/>
      </c>
      <c r="Y366" s="58" t="str">
        <f>IF(W366="","",IF(W366&gt;=p_target,"Bon",IF(W366&gt;=p_alert,"À surveiller","Faible")))</f>
        <v/>
      </c>
      <c r="Z366" s="58" t="str">
        <f>IF(W366="","",IF(MIN(IF(T366="",1,T366),IF(U366="",1,U366),IF(V366="",1,V366))&gt;=1,"Aucune",IF(IF(T366="",1,T366)&lt;=MIN(IF(U366="",1,U366),IF(V366="",1,V366)),"Disponibilité",IF(IF(U366="",1,U366)&lt;=IF(V366="",1,V366),"Performance","Qualité"))))</f>
        <v/>
      </c>
      <c r="AA366" s="59" t="str">
        <f>IF(AC366=1,N(H366)*N(IFERROR(INDEX(art_cost,MATCH(E366,art_ref,0)),0)),"")</f>
        <v/>
      </c>
      <c r="AB366" s="58" t="str">
        <f>IF(COUNTA(A366:I366)=0,"",IF(N(A366)&lt;=0,"Date manquante ou invalide",IF(B366="","Équipe manquante",IF(ISNA(MATCH(B366,eq_code,0)),"Équipe inconnue",IF(INDEX(eq_check,MATCH(B366,eq_code,0))&lt;&gt;"OK","Équipe à corriger dans Paramètres",IF(C366="","Poste manquant",IF(ISNA(MATCH(C366,po_code,0)),"Poste inconnu",IF(AND(E366&lt;&gt;"",ISNA(MATCH(E366,art_ref,0))),"Article inconnu",IF(IF(E366="",FALSE,INDEX(art_check,MATCH(E366,art_ref,0))&lt;&gt;"OK"),"Article à corriger (feuille Articles)",IF(COUNTIFS(sj_date,A366,sj_eq,B366,sj_po,C366)&gt;1,"Ligne en double (même jour, équipe et poste)",IF(OR(NOT(ISNUMBER(K366)),N(K366)&lt;=0,N(K366)&gt;1440),"Temps d'ouverture invalide",IF(OR(AND(G366&lt;&gt;"",NOT(ISNUMBER(G366))),N(G366)&lt;0,N(G366)&lt;&gt;INT(N(G366)),AND(H366&lt;&gt;"",NOT(ISNUMBER(H366))),N(H366)&lt;0,N(H366)&lt;&gt;INT(N(H366)),AND(I366&lt;&gt;"",NOT(ISNUMBER(I366))),N(I366)&lt;0,N(I366)&lt;&gt;INT(N(I366))),"Quantité invalide",IF(Q366&lt;=0,"Cadence manquante (poste ou article)",IF(M366&lt;=0,"Arrêts planifiés supérieurs au temps d'ouverture",IF(O366&lt;0,"Arrêts supérieurs au temps requis",IF(AND(P366&gt;0,O366=0),"Pièces déclarées sans temps de marche",IF(AND(P366=0,O366&gt;0),"Aucune pièce déclarée",IF(P366*60/Q366&gt;O366+0.001,"Cadence dépassée : vérifiez la cadence","OK"))))))))))))))))))</f>
        <v/>
      </c>
      <c r="AC366">
        <f>IF(OR(AB366="OK",AB366="Aucune pièce déclarée",AB366="Cadence dépassée : vérifiez la cadence"),1,0)</f>
        <v>0.0</v>
      </c>
      <c r="AD366">
        <f>IF(AND(AC366=1,A366&gt;=p_from,A366&lt;=p_to),1,0)</f>
        <v>0.0</v>
      </c>
      <c r="AE366">
        <f>IF(AD366=1,IF(COUNTIFS($A$6:A366,A366,$AD$6:AD366,1)=1,1,0),0)</f>
        <v>0.0</v>
      </c>
      <c r="AF366" t="str">
        <f>IF(AE366=1,COUNTIFS(sj_first,1,sj_date,"&lt;"&amp;A366)+1,"")</f>
        <v/>
      </c>
      <c r="AG366" t="str">
        <f>IF(AND(AD366=1,N(W366)&lt;p_alert),ROUND(W366,4),"")</f>
        <v/>
      </c>
      <c r="AH366" t="str">
        <f>IF(AG366="","",COUNTIF(sj_akey,"&lt;"&amp;AG366)+COUNTIF($AG$6:AG366,AG366))</f>
        <v/>
      </c>
    </row>
    <row r="367">
      <c r="A367" s="51" t="n"/>
      <c r="B367" s="52" t="n"/>
      <c r="C367" s="52" t="n"/>
      <c r="D367" s="53" t="n"/>
      <c r="E367" s="53" t="n"/>
      <c r="F367" s="54" t="n"/>
      <c r="G367" s="54" t="n"/>
      <c r="H367" s="54" t="n"/>
      <c r="I367" s="54" t="n"/>
      <c r="J367" s="53" t="n"/>
      <c r="K367" s="55" t="str">
        <f>IF(COUNTA(A367:I367)=0,"",IF(F367="",IFERROR(INDEX(eq_dur,MATCH(B367,eq_code,0)),""),F367))</f>
        <v/>
      </c>
      <c r="L367" s="55" t="str">
        <f>IF(ISNUMBER(K367),N(IFERROR(INDEX(eq_pause,MATCH(B367,eq_code,0)),0))+SUMIFS(st_min,st_date,A367,st_eq,B367,st_po,C367,st_type,"Planifié"),"")</f>
        <v/>
      </c>
      <c r="M367" s="55" t="str">
        <f>IF(ISNUMBER(K367),K367-L367,"")</f>
        <v/>
      </c>
      <c r="N367" s="55" t="str">
        <f>IF(ISNUMBER(K367),SUMIFS(st_min,st_date,A367,st_eq,B367,st_po,C367,st_type,"Non planifié"),"")</f>
        <v/>
      </c>
      <c r="O367" s="55" t="str">
        <f>IF(ISNUMBER(K367),M367-N367,"")</f>
        <v/>
      </c>
      <c r="P367" s="55" t="str">
        <f>IF(COUNTA(A367:I367)=0,"",N(G367)+N(H367)+N(I367))</f>
        <v/>
      </c>
      <c r="Q367" s="56" t="str">
        <f>IF(COUNTA(A367:I367)=0,"",IF(N(IFERROR(INDEX(art_rate,MATCH(E367,art_ref,0)),0))&gt;0,N(IFERROR(INDEX(art_rate,MATCH(E367,art_ref,0)),0)),N(IFERROR(INDEX(po_rate,MATCH(C367,po_code,0)),0))))</f>
        <v/>
      </c>
      <c r="R367" s="55" t="str">
        <f>IF(AC367=1,P367*60/Q367,"")</f>
        <v/>
      </c>
      <c r="S367" s="55" t="str">
        <f>IF(AC367=1,N(G367)*60/Q367,"")</f>
        <v/>
      </c>
      <c r="T367" s="57" t="str">
        <f>IF(AC367=1,O367/M367,"")</f>
        <v/>
      </c>
      <c r="U367" s="57" t="str">
        <f>IF(AC367=1,IF(O367&gt;0,R367/O367,""),"")</f>
        <v/>
      </c>
      <c r="V367" s="57" t="str">
        <f>IF(AC367=1,IF(P367&gt;0,N(G367)/P367,""),"")</f>
        <v/>
      </c>
      <c r="W367" s="57" t="str">
        <f>IF(AC367=1,S367/M367,"")</f>
        <v/>
      </c>
      <c r="X367" s="57" t="str">
        <f>IF(AC367=1,S367/K367,"")</f>
        <v/>
      </c>
      <c r="Y367" s="58" t="str">
        <f>IF(W367="","",IF(W367&gt;=p_target,"Bon",IF(W367&gt;=p_alert,"À surveiller","Faible")))</f>
        <v/>
      </c>
      <c r="Z367" s="58" t="str">
        <f>IF(W367="","",IF(MIN(IF(T367="",1,T367),IF(U367="",1,U367),IF(V367="",1,V367))&gt;=1,"Aucune",IF(IF(T367="",1,T367)&lt;=MIN(IF(U367="",1,U367),IF(V367="",1,V367)),"Disponibilité",IF(IF(U367="",1,U367)&lt;=IF(V367="",1,V367),"Performance","Qualité"))))</f>
        <v/>
      </c>
      <c r="AA367" s="59" t="str">
        <f>IF(AC367=1,N(H367)*N(IFERROR(INDEX(art_cost,MATCH(E367,art_ref,0)),0)),"")</f>
        <v/>
      </c>
      <c r="AB367" s="58" t="str">
        <f>IF(COUNTA(A367:I367)=0,"",IF(N(A367)&lt;=0,"Date manquante ou invalide",IF(B367="","Équipe manquante",IF(ISNA(MATCH(B367,eq_code,0)),"Équipe inconnue",IF(INDEX(eq_check,MATCH(B367,eq_code,0))&lt;&gt;"OK","Équipe à corriger dans Paramètres",IF(C367="","Poste manquant",IF(ISNA(MATCH(C367,po_code,0)),"Poste inconnu",IF(AND(E367&lt;&gt;"",ISNA(MATCH(E367,art_ref,0))),"Article inconnu",IF(IF(E367="",FALSE,INDEX(art_check,MATCH(E367,art_ref,0))&lt;&gt;"OK"),"Article à corriger (feuille Articles)",IF(COUNTIFS(sj_date,A367,sj_eq,B367,sj_po,C367)&gt;1,"Ligne en double (même jour, équipe et poste)",IF(OR(NOT(ISNUMBER(K367)),N(K367)&lt;=0,N(K367)&gt;1440),"Temps d'ouverture invalide",IF(OR(AND(G367&lt;&gt;"",NOT(ISNUMBER(G367))),N(G367)&lt;0,N(G367)&lt;&gt;INT(N(G367)),AND(H367&lt;&gt;"",NOT(ISNUMBER(H367))),N(H367)&lt;0,N(H367)&lt;&gt;INT(N(H367)),AND(I367&lt;&gt;"",NOT(ISNUMBER(I367))),N(I367)&lt;0,N(I367)&lt;&gt;INT(N(I367))),"Quantité invalide",IF(Q367&lt;=0,"Cadence manquante (poste ou article)",IF(M367&lt;=0,"Arrêts planifiés supérieurs au temps d'ouverture",IF(O367&lt;0,"Arrêts supérieurs au temps requis",IF(AND(P367&gt;0,O367=0),"Pièces déclarées sans temps de marche",IF(AND(P367=0,O367&gt;0),"Aucune pièce déclarée",IF(P367*60/Q367&gt;O367+0.001,"Cadence dépassée : vérifiez la cadence","OK"))))))))))))))))))</f>
        <v/>
      </c>
      <c r="AC367">
        <f>IF(OR(AB367="OK",AB367="Aucune pièce déclarée",AB367="Cadence dépassée : vérifiez la cadence"),1,0)</f>
        <v>0.0</v>
      </c>
      <c r="AD367">
        <f>IF(AND(AC367=1,A367&gt;=p_from,A367&lt;=p_to),1,0)</f>
        <v>0.0</v>
      </c>
      <c r="AE367">
        <f>IF(AD367=1,IF(COUNTIFS($A$6:A367,A367,$AD$6:AD367,1)=1,1,0),0)</f>
        <v>0.0</v>
      </c>
      <c r="AF367" t="str">
        <f>IF(AE367=1,COUNTIFS(sj_first,1,sj_date,"&lt;"&amp;A367)+1,"")</f>
        <v/>
      </c>
      <c r="AG367" t="str">
        <f>IF(AND(AD367=1,N(W367)&lt;p_alert),ROUND(W367,4),"")</f>
        <v/>
      </c>
      <c r="AH367" t="str">
        <f>IF(AG367="","",COUNTIF(sj_akey,"&lt;"&amp;AG367)+COUNTIF($AG$6:AG367,AG367))</f>
        <v/>
      </c>
    </row>
    <row r="368">
      <c r="A368" s="51" t="n"/>
      <c r="B368" s="52" t="n"/>
      <c r="C368" s="52" t="n"/>
      <c r="D368" s="53" t="n"/>
      <c r="E368" s="53" t="n"/>
      <c r="F368" s="54" t="n"/>
      <c r="G368" s="54" t="n"/>
      <c r="H368" s="54" t="n"/>
      <c r="I368" s="54" t="n"/>
      <c r="J368" s="53" t="n"/>
      <c r="K368" s="55" t="str">
        <f>IF(COUNTA(A368:I368)=0,"",IF(F368="",IFERROR(INDEX(eq_dur,MATCH(B368,eq_code,0)),""),F368))</f>
        <v/>
      </c>
      <c r="L368" s="55" t="str">
        <f>IF(ISNUMBER(K368),N(IFERROR(INDEX(eq_pause,MATCH(B368,eq_code,0)),0))+SUMIFS(st_min,st_date,A368,st_eq,B368,st_po,C368,st_type,"Planifié"),"")</f>
        <v/>
      </c>
      <c r="M368" s="55" t="str">
        <f>IF(ISNUMBER(K368),K368-L368,"")</f>
        <v/>
      </c>
      <c r="N368" s="55" t="str">
        <f>IF(ISNUMBER(K368),SUMIFS(st_min,st_date,A368,st_eq,B368,st_po,C368,st_type,"Non planifié"),"")</f>
        <v/>
      </c>
      <c r="O368" s="55" t="str">
        <f>IF(ISNUMBER(K368),M368-N368,"")</f>
        <v/>
      </c>
      <c r="P368" s="55" t="str">
        <f>IF(COUNTA(A368:I368)=0,"",N(G368)+N(H368)+N(I368))</f>
        <v/>
      </c>
      <c r="Q368" s="56" t="str">
        <f>IF(COUNTA(A368:I368)=0,"",IF(N(IFERROR(INDEX(art_rate,MATCH(E368,art_ref,0)),0))&gt;0,N(IFERROR(INDEX(art_rate,MATCH(E368,art_ref,0)),0)),N(IFERROR(INDEX(po_rate,MATCH(C368,po_code,0)),0))))</f>
        <v/>
      </c>
      <c r="R368" s="55" t="str">
        <f>IF(AC368=1,P368*60/Q368,"")</f>
        <v/>
      </c>
      <c r="S368" s="55" t="str">
        <f>IF(AC368=1,N(G368)*60/Q368,"")</f>
        <v/>
      </c>
      <c r="T368" s="57" t="str">
        <f>IF(AC368=1,O368/M368,"")</f>
        <v/>
      </c>
      <c r="U368" s="57" t="str">
        <f>IF(AC368=1,IF(O368&gt;0,R368/O368,""),"")</f>
        <v/>
      </c>
      <c r="V368" s="57" t="str">
        <f>IF(AC368=1,IF(P368&gt;0,N(G368)/P368,""),"")</f>
        <v/>
      </c>
      <c r="W368" s="57" t="str">
        <f>IF(AC368=1,S368/M368,"")</f>
        <v/>
      </c>
      <c r="X368" s="57" t="str">
        <f>IF(AC368=1,S368/K368,"")</f>
        <v/>
      </c>
      <c r="Y368" s="58" t="str">
        <f>IF(W368="","",IF(W368&gt;=p_target,"Bon",IF(W368&gt;=p_alert,"À surveiller","Faible")))</f>
        <v/>
      </c>
      <c r="Z368" s="58" t="str">
        <f>IF(W368="","",IF(MIN(IF(T368="",1,T368),IF(U368="",1,U368),IF(V368="",1,V368))&gt;=1,"Aucune",IF(IF(T368="",1,T368)&lt;=MIN(IF(U368="",1,U368),IF(V368="",1,V368)),"Disponibilité",IF(IF(U368="",1,U368)&lt;=IF(V368="",1,V368),"Performance","Qualité"))))</f>
        <v/>
      </c>
      <c r="AA368" s="59" t="str">
        <f>IF(AC368=1,N(H368)*N(IFERROR(INDEX(art_cost,MATCH(E368,art_ref,0)),0)),"")</f>
        <v/>
      </c>
      <c r="AB368" s="58" t="str">
        <f>IF(COUNTA(A368:I368)=0,"",IF(N(A368)&lt;=0,"Date manquante ou invalide",IF(B368="","Équipe manquante",IF(ISNA(MATCH(B368,eq_code,0)),"Équipe inconnue",IF(INDEX(eq_check,MATCH(B368,eq_code,0))&lt;&gt;"OK","Équipe à corriger dans Paramètres",IF(C368="","Poste manquant",IF(ISNA(MATCH(C368,po_code,0)),"Poste inconnu",IF(AND(E368&lt;&gt;"",ISNA(MATCH(E368,art_ref,0))),"Article inconnu",IF(IF(E368="",FALSE,INDEX(art_check,MATCH(E368,art_ref,0))&lt;&gt;"OK"),"Article à corriger (feuille Articles)",IF(COUNTIFS(sj_date,A368,sj_eq,B368,sj_po,C368)&gt;1,"Ligne en double (même jour, équipe et poste)",IF(OR(NOT(ISNUMBER(K368)),N(K368)&lt;=0,N(K368)&gt;1440),"Temps d'ouverture invalide",IF(OR(AND(G368&lt;&gt;"",NOT(ISNUMBER(G368))),N(G368)&lt;0,N(G368)&lt;&gt;INT(N(G368)),AND(H368&lt;&gt;"",NOT(ISNUMBER(H368))),N(H368)&lt;0,N(H368)&lt;&gt;INT(N(H368)),AND(I368&lt;&gt;"",NOT(ISNUMBER(I368))),N(I368)&lt;0,N(I368)&lt;&gt;INT(N(I368))),"Quantité invalide",IF(Q368&lt;=0,"Cadence manquante (poste ou article)",IF(M368&lt;=0,"Arrêts planifiés supérieurs au temps d'ouverture",IF(O368&lt;0,"Arrêts supérieurs au temps requis",IF(AND(P368&gt;0,O368=0),"Pièces déclarées sans temps de marche",IF(AND(P368=0,O368&gt;0),"Aucune pièce déclarée",IF(P368*60/Q368&gt;O368+0.001,"Cadence dépassée : vérifiez la cadence","OK"))))))))))))))))))</f>
        <v/>
      </c>
      <c r="AC368">
        <f>IF(OR(AB368="OK",AB368="Aucune pièce déclarée",AB368="Cadence dépassée : vérifiez la cadence"),1,0)</f>
        <v>0.0</v>
      </c>
      <c r="AD368">
        <f>IF(AND(AC368=1,A368&gt;=p_from,A368&lt;=p_to),1,0)</f>
        <v>0.0</v>
      </c>
      <c r="AE368">
        <f>IF(AD368=1,IF(COUNTIFS($A$6:A368,A368,$AD$6:AD368,1)=1,1,0),0)</f>
        <v>0.0</v>
      </c>
      <c r="AF368" t="str">
        <f>IF(AE368=1,COUNTIFS(sj_first,1,sj_date,"&lt;"&amp;A368)+1,"")</f>
        <v/>
      </c>
      <c r="AG368" t="str">
        <f>IF(AND(AD368=1,N(W368)&lt;p_alert),ROUND(W368,4),"")</f>
        <v/>
      </c>
      <c r="AH368" t="str">
        <f>IF(AG368="","",COUNTIF(sj_akey,"&lt;"&amp;AG368)+COUNTIF($AG$6:AG368,AG368))</f>
        <v/>
      </c>
    </row>
    <row r="369">
      <c r="A369" s="51" t="n"/>
      <c r="B369" s="52" t="n"/>
      <c r="C369" s="52" t="n"/>
      <c r="D369" s="53" t="n"/>
      <c r="E369" s="53" t="n"/>
      <c r="F369" s="54" t="n"/>
      <c r="G369" s="54" t="n"/>
      <c r="H369" s="54" t="n"/>
      <c r="I369" s="54" t="n"/>
      <c r="J369" s="53" t="n"/>
      <c r="K369" s="55" t="str">
        <f>IF(COUNTA(A369:I369)=0,"",IF(F369="",IFERROR(INDEX(eq_dur,MATCH(B369,eq_code,0)),""),F369))</f>
        <v/>
      </c>
      <c r="L369" s="55" t="str">
        <f>IF(ISNUMBER(K369),N(IFERROR(INDEX(eq_pause,MATCH(B369,eq_code,0)),0))+SUMIFS(st_min,st_date,A369,st_eq,B369,st_po,C369,st_type,"Planifié"),"")</f>
        <v/>
      </c>
      <c r="M369" s="55" t="str">
        <f>IF(ISNUMBER(K369),K369-L369,"")</f>
        <v/>
      </c>
      <c r="N369" s="55" t="str">
        <f>IF(ISNUMBER(K369),SUMIFS(st_min,st_date,A369,st_eq,B369,st_po,C369,st_type,"Non planifié"),"")</f>
        <v/>
      </c>
      <c r="O369" s="55" t="str">
        <f>IF(ISNUMBER(K369),M369-N369,"")</f>
        <v/>
      </c>
      <c r="P369" s="55" t="str">
        <f>IF(COUNTA(A369:I369)=0,"",N(G369)+N(H369)+N(I369))</f>
        <v/>
      </c>
      <c r="Q369" s="56" t="str">
        <f>IF(COUNTA(A369:I369)=0,"",IF(N(IFERROR(INDEX(art_rate,MATCH(E369,art_ref,0)),0))&gt;0,N(IFERROR(INDEX(art_rate,MATCH(E369,art_ref,0)),0)),N(IFERROR(INDEX(po_rate,MATCH(C369,po_code,0)),0))))</f>
        <v/>
      </c>
      <c r="R369" s="55" t="str">
        <f>IF(AC369=1,P369*60/Q369,"")</f>
        <v/>
      </c>
      <c r="S369" s="55" t="str">
        <f>IF(AC369=1,N(G369)*60/Q369,"")</f>
        <v/>
      </c>
      <c r="T369" s="57" t="str">
        <f>IF(AC369=1,O369/M369,"")</f>
        <v/>
      </c>
      <c r="U369" s="57" t="str">
        <f>IF(AC369=1,IF(O369&gt;0,R369/O369,""),"")</f>
        <v/>
      </c>
      <c r="V369" s="57" t="str">
        <f>IF(AC369=1,IF(P369&gt;0,N(G369)/P369,""),"")</f>
        <v/>
      </c>
      <c r="W369" s="57" t="str">
        <f>IF(AC369=1,S369/M369,"")</f>
        <v/>
      </c>
      <c r="X369" s="57" t="str">
        <f>IF(AC369=1,S369/K369,"")</f>
        <v/>
      </c>
      <c r="Y369" s="58" t="str">
        <f>IF(W369="","",IF(W369&gt;=p_target,"Bon",IF(W369&gt;=p_alert,"À surveiller","Faible")))</f>
        <v/>
      </c>
      <c r="Z369" s="58" t="str">
        <f>IF(W369="","",IF(MIN(IF(T369="",1,T369),IF(U369="",1,U369),IF(V369="",1,V369))&gt;=1,"Aucune",IF(IF(T369="",1,T369)&lt;=MIN(IF(U369="",1,U369),IF(V369="",1,V369)),"Disponibilité",IF(IF(U369="",1,U369)&lt;=IF(V369="",1,V369),"Performance","Qualité"))))</f>
        <v/>
      </c>
      <c r="AA369" s="59" t="str">
        <f>IF(AC369=1,N(H369)*N(IFERROR(INDEX(art_cost,MATCH(E369,art_ref,0)),0)),"")</f>
        <v/>
      </c>
      <c r="AB369" s="58" t="str">
        <f>IF(COUNTA(A369:I369)=0,"",IF(N(A369)&lt;=0,"Date manquante ou invalide",IF(B369="","Équipe manquante",IF(ISNA(MATCH(B369,eq_code,0)),"Équipe inconnue",IF(INDEX(eq_check,MATCH(B369,eq_code,0))&lt;&gt;"OK","Équipe à corriger dans Paramètres",IF(C369="","Poste manquant",IF(ISNA(MATCH(C369,po_code,0)),"Poste inconnu",IF(AND(E369&lt;&gt;"",ISNA(MATCH(E369,art_ref,0))),"Article inconnu",IF(IF(E369="",FALSE,INDEX(art_check,MATCH(E369,art_ref,0))&lt;&gt;"OK"),"Article à corriger (feuille Articles)",IF(COUNTIFS(sj_date,A369,sj_eq,B369,sj_po,C369)&gt;1,"Ligne en double (même jour, équipe et poste)",IF(OR(NOT(ISNUMBER(K369)),N(K369)&lt;=0,N(K369)&gt;1440),"Temps d'ouverture invalide",IF(OR(AND(G369&lt;&gt;"",NOT(ISNUMBER(G369))),N(G369)&lt;0,N(G369)&lt;&gt;INT(N(G369)),AND(H369&lt;&gt;"",NOT(ISNUMBER(H369))),N(H369)&lt;0,N(H369)&lt;&gt;INT(N(H369)),AND(I369&lt;&gt;"",NOT(ISNUMBER(I369))),N(I369)&lt;0,N(I369)&lt;&gt;INT(N(I369))),"Quantité invalide",IF(Q369&lt;=0,"Cadence manquante (poste ou article)",IF(M369&lt;=0,"Arrêts planifiés supérieurs au temps d'ouverture",IF(O369&lt;0,"Arrêts supérieurs au temps requis",IF(AND(P369&gt;0,O369=0),"Pièces déclarées sans temps de marche",IF(AND(P369=0,O369&gt;0),"Aucune pièce déclarée",IF(P369*60/Q369&gt;O369+0.001,"Cadence dépassée : vérifiez la cadence","OK"))))))))))))))))))</f>
        <v/>
      </c>
      <c r="AC369">
        <f>IF(OR(AB369="OK",AB369="Aucune pièce déclarée",AB369="Cadence dépassée : vérifiez la cadence"),1,0)</f>
        <v>0.0</v>
      </c>
      <c r="AD369">
        <f>IF(AND(AC369=1,A369&gt;=p_from,A369&lt;=p_to),1,0)</f>
        <v>0.0</v>
      </c>
      <c r="AE369">
        <f>IF(AD369=1,IF(COUNTIFS($A$6:A369,A369,$AD$6:AD369,1)=1,1,0),0)</f>
        <v>0.0</v>
      </c>
      <c r="AF369" t="str">
        <f>IF(AE369=1,COUNTIFS(sj_first,1,sj_date,"&lt;"&amp;A369)+1,"")</f>
        <v/>
      </c>
      <c r="AG369" t="str">
        <f>IF(AND(AD369=1,N(W369)&lt;p_alert),ROUND(W369,4),"")</f>
        <v/>
      </c>
      <c r="AH369" t="str">
        <f>IF(AG369="","",COUNTIF(sj_akey,"&lt;"&amp;AG369)+COUNTIF($AG$6:AG369,AG369))</f>
        <v/>
      </c>
    </row>
    <row r="370">
      <c r="A370" s="51" t="n"/>
      <c r="B370" s="52" t="n"/>
      <c r="C370" s="52" t="n"/>
      <c r="D370" s="53" t="n"/>
      <c r="E370" s="53" t="n"/>
      <c r="F370" s="54" t="n"/>
      <c r="G370" s="54" t="n"/>
      <c r="H370" s="54" t="n"/>
      <c r="I370" s="54" t="n"/>
      <c r="J370" s="53" t="n"/>
      <c r="K370" s="55" t="str">
        <f>IF(COUNTA(A370:I370)=0,"",IF(F370="",IFERROR(INDEX(eq_dur,MATCH(B370,eq_code,0)),""),F370))</f>
        <v/>
      </c>
      <c r="L370" s="55" t="str">
        <f>IF(ISNUMBER(K370),N(IFERROR(INDEX(eq_pause,MATCH(B370,eq_code,0)),0))+SUMIFS(st_min,st_date,A370,st_eq,B370,st_po,C370,st_type,"Planifié"),"")</f>
        <v/>
      </c>
      <c r="M370" s="55" t="str">
        <f>IF(ISNUMBER(K370),K370-L370,"")</f>
        <v/>
      </c>
      <c r="N370" s="55" t="str">
        <f>IF(ISNUMBER(K370),SUMIFS(st_min,st_date,A370,st_eq,B370,st_po,C370,st_type,"Non planifié"),"")</f>
        <v/>
      </c>
      <c r="O370" s="55" t="str">
        <f>IF(ISNUMBER(K370),M370-N370,"")</f>
        <v/>
      </c>
      <c r="P370" s="55" t="str">
        <f>IF(COUNTA(A370:I370)=0,"",N(G370)+N(H370)+N(I370))</f>
        <v/>
      </c>
      <c r="Q370" s="56" t="str">
        <f>IF(COUNTA(A370:I370)=0,"",IF(N(IFERROR(INDEX(art_rate,MATCH(E370,art_ref,0)),0))&gt;0,N(IFERROR(INDEX(art_rate,MATCH(E370,art_ref,0)),0)),N(IFERROR(INDEX(po_rate,MATCH(C370,po_code,0)),0))))</f>
        <v/>
      </c>
      <c r="R370" s="55" t="str">
        <f>IF(AC370=1,P370*60/Q370,"")</f>
        <v/>
      </c>
      <c r="S370" s="55" t="str">
        <f>IF(AC370=1,N(G370)*60/Q370,"")</f>
        <v/>
      </c>
      <c r="T370" s="57" t="str">
        <f>IF(AC370=1,O370/M370,"")</f>
        <v/>
      </c>
      <c r="U370" s="57" t="str">
        <f>IF(AC370=1,IF(O370&gt;0,R370/O370,""),"")</f>
        <v/>
      </c>
      <c r="V370" s="57" t="str">
        <f>IF(AC370=1,IF(P370&gt;0,N(G370)/P370,""),"")</f>
        <v/>
      </c>
      <c r="W370" s="57" t="str">
        <f>IF(AC370=1,S370/M370,"")</f>
        <v/>
      </c>
      <c r="X370" s="57" t="str">
        <f>IF(AC370=1,S370/K370,"")</f>
        <v/>
      </c>
      <c r="Y370" s="58" t="str">
        <f>IF(W370="","",IF(W370&gt;=p_target,"Bon",IF(W370&gt;=p_alert,"À surveiller","Faible")))</f>
        <v/>
      </c>
      <c r="Z370" s="58" t="str">
        <f>IF(W370="","",IF(MIN(IF(T370="",1,T370),IF(U370="",1,U370),IF(V370="",1,V370))&gt;=1,"Aucune",IF(IF(T370="",1,T370)&lt;=MIN(IF(U370="",1,U370),IF(V370="",1,V370)),"Disponibilité",IF(IF(U370="",1,U370)&lt;=IF(V370="",1,V370),"Performance","Qualité"))))</f>
        <v/>
      </c>
      <c r="AA370" s="59" t="str">
        <f>IF(AC370=1,N(H370)*N(IFERROR(INDEX(art_cost,MATCH(E370,art_ref,0)),0)),"")</f>
        <v/>
      </c>
      <c r="AB370" s="58" t="str">
        <f>IF(COUNTA(A370:I370)=0,"",IF(N(A370)&lt;=0,"Date manquante ou invalide",IF(B370="","Équipe manquante",IF(ISNA(MATCH(B370,eq_code,0)),"Équipe inconnue",IF(INDEX(eq_check,MATCH(B370,eq_code,0))&lt;&gt;"OK","Équipe à corriger dans Paramètres",IF(C370="","Poste manquant",IF(ISNA(MATCH(C370,po_code,0)),"Poste inconnu",IF(AND(E370&lt;&gt;"",ISNA(MATCH(E370,art_ref,0))),"Article inconnu",IF(IF(E370="",FALSE,INDEX(art_check,MATCH(E370,art_ref,0))&lt;&gt;"OK"),"Article à corriger (feuille Articles)",IF(COUNTIFS(sj_date,A370,sj_eq,B370,sj_po,C370)&gt;1,"Ligne en double (même jour, équipe et poste)",IF(OR(NOT(ISNUMBER(K370)),N(K370)&lt;=0,N(K370)&gt;1440),"Temps d'ouverture invalide",IF(OR(AND(G370&lt;&gt;"",NOT(ISNUMBER(G370))),N(G370)&lt;0,N(G370)&lt;&gt;INT(N(G370)),AND(H370&lt;&gt;"",NOT(ISNUMBER(H370))),N(H370)&lt;0,N(H370)&lt;&gt;INT(N(H370)),AND(I370&lt;&gt;"",NOT(ISNUMBER(I370))),N(I370)&lt;0,N(I370)&lt;&gt;INT(N(I370))),"Quantité invalide",IF(Q370&lt;=0,"Cadence manquante (poste ou article)",IF(M370&lt;=0,"Arrêts planifiés supérieurs au temps d'ouverture",IF(O370&lt;0,"Arrêts supérieurs au temps requis",IF(AND(P370&gt;0,O370=0),"Pièces déclarées sans temps de marche",IF(AND(P370=0,O370&gt;0),"Aucune pièce déclarée",IF(P370*60/Q370&gt;O370+0.001,"Cadence dépassée : vérifiez la cadence","OK"))))))))))))))))))</f>
        <v/>
      </c>
      <c r="AC370">
        <f>IF(OR(AB370="OK",AB370="Aucune pièce déclarée",AB370="Cadence dépassée : vérifiez la cadence"),1,0)</f>
        <v>0.0</v>
      </c>
      <c r="AD370">
        <f>IF(AND(AC370=1,A370&gt;=p_from,A370&lt;=p_to),1,0)</f>
        <v>0.0</v>
      </c>
      <c r="AE370">
        <f>IF(AD370=1,IF(COUNTIFS($A$6:A370,A370,$AD$6:AD370,1)=1,1,0),0)</f>
        <v>0.0</v>
      </c>
      <c r="AF370" t="str">
        <f>IF(AE370=1,COUNTIFS(sj_first,1,sj_date,"&lt;"&amp;A370)+1,"")</f>
        <v/>
      </c>
      <c r="AG370" t="str">
        <f>IF(AND(AD370=1,N(W370)&lt;p_alert),ROUND(W370,4),"")</f>
        <v/>
      </c>
      <c r="AH370" t="str">
        <f>IF(AG370="","",COUNTIF(sj_akey,"&lt;"&amp;AG370)+COUNTIF($AG$6:AG370,AG370))</f>
        <v/>
      </c>
    </row>
    <row r="371">
      <c r="A371" s="51" t="n"/>
      <c r="B371" s="52" t="n"/>
      <c r="C371" s="52" t="n"/>
      <c r="D371" s="53" t="n"/>
      <c r="E371" s="53" t="n"/>
      <c r="F371" s="54" t="n"/>
      <c r="G371" s="54" t="n"/>
      <c r="H371" s="54" t="n"/>
      <c r="I371" s="54" t="n"/>
      <c r="J371" s="53" t="n"/>
      <c r="K371" s="55" t="str">
        <f>IF(COUNTA(A371:I371)=0,"",IF(F371="",IFERROR(INDEX(eq_dur,MATCH(B371,eq_code,0)),""),F371))</f>
        <v/>
      </c>
      <c r="L371" s="55" t="str">
        <f>IF(ISNUMBER(K371),N(IFERROR(INDEX(eq_pause,MATCH(B371,eq_code,0)),0))+SUMIFS(st_min,st_date,A371,st_eq,B371,st_po,C371,st_type,"Planifié"),"")</f>
        <v/>
      </c>
      <c r="M371" s="55" t="str">
        <f>IF(ISNUMBER(K371),K371-L371,"")</f>
        <v/>
      </c>
      <c r="N371" s="55" t="str">
        <f>IF(ISNUMBER(K371),SUMIFS(st_min,st_date,A371,st_eq,B371,st_po,C371,st_type,"Non planifié"),"")</f>
        <v/>
      </c>
      <c r="O371" s="55" t="str">
        <f>IF(ISNUMBER(K371),M371-N371,"")</f>
        <v/>
      </c>
      <c r="P371" s="55" t="str">
        <f>IF(COUNTA(A371:I371)=0,"",N(G371)+N(H371)+N(I371))</f>
        <v/>
      </c>
      <c r="Q371" s="56" t="str">
        <f>IF(COUNTA(A371:I371)=0,"",IF(N(IFERROR(INDEX(art_rate,MATCH(E371,art_ref,0)),0))&gt;0,N(IFERROR(INDEX(art_rate,MATCH(E371,art_ref,0)),0)),N(IFERROR(INDEX(po_rate,MATCH(C371,po_code,0)),0))))</f>
        <v/>
      </c>
      <c r="R371" s="55" t="str">
        <f>IF(AC371=1,P371*60/Q371,"")</f>
        <v/>
      </c>
      <c r="S371" s="55" t="str">
        <f>IF(AC371=1,N(G371)*60/Q371,"")</f>
        <v/>
      </c>
      <c r="T371" s="57" t="str">
        <f>IF(AC371=1,O371/M371,"")</f>
        <v/>
      </c>
      <c r="U371" s="57" t="str">
        <f>IF(AC371=1,IF(O371&gt;0,R371/O371,""),"")</f>
        <v/>
      </c>
      <c r="V371" s="57" t="str">
        <f>IF(AC371=1,IF(P371&gt;0,N(G371)/P371,""),"")</f>
        <v/>
      </c>
      <c r="W371" s="57" t="str">
        <f>IF(AC371=1,S371/M371,"")</f>
        <v/>
      </c>
      <c r="X371" s="57" t="str">
        <f>IF(AC371=1,S371/K371,"")</f>
        <v/>
      </c>
      <c r="Y371" s="58" t="str">
        <f>IF(W371="","",IF(W371&gt;=p_target,"Bon",IF(W371&gt;=p_alert,"À surveiller","Faible")))</f>
        <v/>
      </c>
      <c r="Z371" s="58" t="str">
        <f>IF(W371="","",IF(MIN(IF(T371="",1,T371),IF(U371="",1,U371),IF(V371="",1,V371))&gt;=1,"Aucune",IF(IF(T371="",1,T371)&lt;=MIN(IF(U371="",1,U371),IF(V371="",1,V371)),"Disponibilité",IF(IF(U371="",1,U371)&lt;=IF(V371="",1,V371),"Performance","Qualité"))))</f>
        <v/>
      </c>
      <c r="AA371" s="59" t="str">
        <f>IF(AC371=1,N(H371)*N(IFERROR(INDEX(art_cost,MATCH(E371,art_ref,0)),0)),"")</f>
        <v/>
      </c>
      <c r="AB371" s="58" t="str">
        <f>IF(COUNTA(A371:I371)=0,"",IF(N(A371)&lt;=0,"Date manquante ou invalide",IF(B371="","Équipe manquante",IF(ISNA(MATCH(B371,eq_code,0)),"Équipe inconnue",IF(INDEX(eq_check,MATCH(B371,eq_code,0))&lt;&gt;"OK","Équipe à corriger dans Paramètres",IF(C371="","Poste manquant",IF(ISNA(MATCH(C371,po_code,0)),"Poste inconnu",IF(AND(E371&lt;&gt;"",ISNA(MATCH(E371,art_ref,0))),"Article inconnu",IF(IF(E371="",FALSE,INDEX(art_check,MATCH(E371,art_ref,0))&lt;&gt;"OK"),"Article à corriger (feuille Articles)",IF(COUNTIFS(sj_date,A371,sj_eq,B371,sj_po,C371)&gt;1,"Ligne en double (même jour, équipe et poste)",IF(OR(NOT(ISNUMBER(K371)),N(K371)&lt;=0,N(K371)&gt;1440),"Temps d'ouverture invalide",IF(OR(AND(G371&lt;&gt;"",NOT(ISNUMBER(G371))),N(G371)&lt;0,N(G371)&lt;&gt;INT(N(G371)),AND(H371&lt;&gt;"",NOT(ISNUMBER(H371))),N(H371)&lt;0,N(H371)&lt;&gt;INT(N(H371)),AND(I371&lt;&gt;"",NOT(ISNUMBER(I371))),N(I371)&lt;0,N(I371)&lt;&gt;INT(N(I371))),"Quantité invalide",IF(Q371&lt;=0,"Cadence manquante (poste ou article)",IF(M371&lt;=0,"Arrêts planifiés supérieurs au temps d'ouverture",IF(O371&lt;0,"Arrêts supérieurs au temps requis",IF(AND(P371&gt;0,O371=0),"Pièces déclarées sans temps de marche",IF(AND(P371=0,O371&gt;0),"Aucune pièce déclarée",IF(P371*60/Q371&gt;O371+0.001,"Cadence dépassée : vérifiez la cadence","OK"))))))))))))))))))</f>
        <v/>
      </c>
      <c r="AC371">
        <f>IF(OR(AB371="OK",AB371="Aucune pièce déclarée",AB371="Cadence dépassée : vérifiez la cadence"),1,0)</f>
        <v>0.0</v>
      </c>
      <c r="AD371">
        <f>IF(AND(AC371=1,A371&gt;=p_from,A371&lt;=p_to),1,0)</f>
        <v>0.0</v>
      </c>
      <c r="AE371">
        <f>IF(AD371=1,IF(COUNTIFS($A$6:A371,A371,$AD$6:AD371,1)=1,1,0),0)</f>
        <v>0.0</v>
      </c>
      <c r="AF371" t="str">
        <f>IF(AE371=1,COUNTIFS(sj_first,1,sj_date,"&lt;"&amp;A371)+1,"")</f>
        <v/>
      </c>
      <c r="AG371" t="str">
        <f>IF(AND(AD371=1,N(W371)&lt;p_alert),ROUND(W371,4),"")</f>
        <v/>
      </c>
      <c r="AH371" t="str">
        <f>IF(AG371="","",COUNTIF(sj_akey,"&lt;"&amp;AG371)+COUNTIF($AG$6:AG371,AG371))</f>
        <v/>
      </c>
    </row>
    <row r="372">
      <c r="A372" s="51" t="n"/>
      <c r="B372" s="52" t="n"/>
      <c r="C372" s="52" t="n"/>
      <c r="D372" s="53" t="n"/>
      <c r="E372" s="53" t="n"/>
      <c r="F372" s="54" t="n"/>
      <c r="G372" s="54" t="n"/>
      <c r="H372" s="54" t="n"/>
      <c r="I372" s="54" t="n"/>
      <c r="J372" s="53" t="n"/>
      <c r="K372" s="55" t="str">
        <f>IF(COUNTA(A372:I372)=0,"",IF(F372="",IFERROR(INDEX(eq_dur,MATCH(B372,eq_code,0)),""),F372))</f>
        <v/>
      </c>
      <c r="L372" s="55" t="str">
        <f>IF(ISNUMBER(K372),N(IFERROR(INDEX(eq_pause,MATCH(B372,eq_code,0)),0))+SUMIFS(st_min,st_date,A372,st_eq,B372,st_po,C372,st_type,"Planifié"),"")</f>
        <v/>
      </c>
      <c r="M372" s="55" t="str">
        <f>IF(ISNUMBER(K372),K372-L372,"")</f>
        <v/>
      </c>
      <c r="N372" s="55" t="str">
        <f>IF(ISNUMBER(K372),SUMIFS(st_min,st_date,A372,st_eq,B372,st_po,C372,st_type,"Non planifié"),"")</f>
        <v/>
      </c>
      <c r="O372" s="55" t="str">
        <f>IF(ISNUMBER(K372),M372-N372,"")</f>
        <v/>
      </c>
      <c r="P372" s="55" t="str">
        <f>IF(COUNTA(A372:I372)=0,"",N(G372)+N(H372)+N(I372))</f>
        <v/>
      </c>
      <c r="Q372" s="56" t="str">
        <f>IF(COUNTA(A372:I372)=0,"",IF(N(IFERROR(INDEX(art_rate,MATCH(E372,art_ref,0)),0))&gt;0,N(IFERROR(INDEX(art_rate,MATCH(E372,art_ref,0)),0)),N(IFERROR(INDEX(po_rate,MATCH(C372,po_code,0)),0))))</f>
        <v/>
      </c>
      <c r="R372" s="55" t="str">
        <f>IF(AC372=1,P372*60/Q372,"")</f>
        <v/>
      </c>
      <c r="S372" s="55" t="str">
        <f>IF(AC372=1,N(G372)*60/Q372,"")</f>
        <v/>
      </c>
      <c r="T372" s="57" t="str">
        <f>IF(AC372=1,O372/M372,"")</f>
        <v/>
      </c>
      <c r="U372" s="57" t="str">
        <f>IF(AC372=1,IF(O372&gt;0,R372/O372,""),"")</f>
        <v/>
      </c>
      <c r="V372" s="57" t="str">
        <f>IF(AC372=1,IF(P372&gt;0,N(G372)/P372,""),"")</f>
        <v/>
      </c>
      <c r="W372" s="57" t="str">
        <f>IF(AC372=1,S372/M372,"")</f>
        <v/>
      </c>
      <c r="X372" s="57" t="str">
        <f>IF(AC372=1,S372/K372,"")</f>
        <v/>
      </c>
      <c r="Y372" s="58" t="str">
        <f>IF(W372="","",IF(W372&gt;=p_target,"Bon",IF(W372&gt;=p_alert,"À surveiller","Faible")))</f>
        <v/>
      </c>
      <c r="Z372" s="58" t="str">
        <f>IF(W372="","",IF(MIN(IF(T372="",1,T372),IF(U372="",1,U372),IF(V372="",1,V372))&gt;=1,"Aucune",IF(IF(T372="",1,T372)&lt;=MIN(IF(U372="",1,U372),IF(V372="",1,V372)),"Disponibilité",IF(IF(U372="",1,U372)&lt;=IF(V372="",1,V372),"Performance","Qualité"))))</f>
        <v/>
      </c>
      <c r="AA372" s="59" t="str">
        <f>IF(AC372=1,N(H372)*N(IFERROR(INDEX(art_cost,MATCH(E372,art_ref,0)),0)),"")</f>
        <v/>
      </c>
      <c r="AB372" s="58" t="str">
        <f>IF(COUNTA(A372:I372)=0,"",IF(N(A372)&lt;=0,"Date manquante ou invalide",IF(B372="","Équipe manquante",IF(ISNA(MATCH(B372,eq_code,0)),"Équipe inconnue",IF(INDEX(eq_check,MATCH(B372,eq_code,0))&lt;&gt;"OK","Équipe à corriger dans Paramètres",IF(C372="","Poste manquant",IF(ISNA(MATCH(C372,po_code,0)),"Poste inconnu",IF(AND(E372&lt;&gt;"",ISNA(MATCH(E372,art_ref,0))),"Article inconnu",IF(IF(E372="",FALSE,INDEX(art_check,MATCH(E372,art_ref,0))&lt;&gt;"OK"),"Article à corriger (feuille Articles)",IF(COUNTIFS(sj_date,A372,sj_eq,B372,sj_po,C372)&gt;1,"Ligne en double (même jour, équipe et poste)",IF(OR(NOT(ISNUMBER(K372)),N(K372)&lt;=0,N(K372)&gt;1440),"Temps d'ouverture invalide",IF(OR(AND(G372&lt;&gt;"",NOT(ISNUMBER(G372))),N(G372)&lt;0,N(G372)&lt;&gt;INT(N(G372)),AND(H372&lt;&gt;"",NOT(ISNUMBER(H372))),N(H372)&lt;0,N(H372)&lt;&gt;INT(N(H372)),AND(I372&lt;&gt;"",NOT(ISNUMBER(I372))),N(I372)&lt;0,N(I372)&lt;&gt;INT(N(I372))),"Quantité invalide",IF(Q372&lt;=0,"Cadence manquante (poste ou article)",IF(M372&lt;=0,"Arrêts planifiés supérieurs au temps d'ouverture",IF(O372&lt;0,"Arrêts supérieurs au temps requis",IF(AND(P372&gt;0,O372=0),"Pièces déclarées sans temps de marche",IF(AND(P372=0,O372&gt;0),"Aucune pièce déclarée",IF(P372*60/Q372&gt;O372+0.001,"Cadence dépassée : vérifiez la cadence","OK"))))))))))))))))))</f>
        <v/>
      </c>
      <c r="AC372">
        <f>IF(OR(AB372="OK",AB372="Aucune pièce déclarée",AB372="Cadence dépassée : vérifiez la cadence"),1,0)</f>
        <v>0.0</v>
      </c>
      <c r="AD372">
        <f>IF(AND(AC372=1,A372&gt;=p_from,A372&lt;=p_to),1,0)</f>
        <v>0.0</v>
      </c>
      <c r="AE372">
        <f>IF(AD372=1,IF(COUNTIFS($A$6:A372,A372,$AD$6:AD372,1)=1,1,0),0)</f>
        <v>0.0</v>
      </c>
      <c r="AF372" t="str">
        <f>IF(AE372=1,COUNTIFS(sj_first,1,sj_date,"&lt;"&amp;A372)+1,"")</f>
        <v/>
      </c>
      <c r="AG372" t="str">
        <f>IF(AND(AD372=1,N(W372)&lt;p_alert),ROUND(W372,4),"")</f>
        <v/>
      </c>
      <c r="AH372" t="str">
        <f>IF(AG372="","",COUNTIF(sj_akey,"&lt;"&amp;AG372)+COUNTIF($AG$6:AG372,AG372))</f>
        <v/>
      </c>
    </row>
    <row r="373">
      <c r="A373" s="51" t="n"/>
      <c r="B373" s="52" t="n"/>
      <c r="C373" s="52" t="n"/>
      <c r="D373" s="53" t="n"/>
      <c r="E373" s="53" t="n"/>
      <c r="F373" s="54" t="n"/>
      <c r="G373" s="54" t="n"/>
      <c r="H373" s="54" t="n"/>
      <c r="I373" s="54" t="n"/>
      <c r="J373" s="53" t="n"/>
      <c r="K373" s="55" t="str">
        <f>IF(COUNTA(A373:I373)=0,"",IF(F373="",IFERROR(INDEX(eq_dur,MATCH(B373,eq_code,0)),""),F373))</f>
        <v/>
      </c>
      <c r="L373" s="55" t="str">
        <f>IF(ISNUMBER(K373),N(IFERROR(INDEX(eq_pause,MATCH(B373,eq_code,0)),0))+SUMIFS(st_min,st_date,A373,st_eq,B373,st_po,C373,st_type,"Planifié"),"")</f>
        <v/>
      </c>
      <c r="M373" s="55" t="str">
        <f>IF(ISNUMBER(K373),K373-L373,"")</f>
        <v/>
      </c>
      <c r="N373" s="55" t="str">
        <f>IF(ISNUMBER(K373),SUMIFS(st_min,st_date,A373,st_eq,B373,st_po,C373,st_type,"Non planifié"),"")</f>
        <v/>
      </c>
      <c r="O373" s="55" t="str">
        <f>IF(ISNUMBER(K373),M373-N373,"")</f>
        <v/>
      </c>
      <c r="P373" s="55" t="str">
        <f>IF(COUNTA(A373:I373)=0,"",N(G373)+N(H373)+N(I373))</f>
        <v/>
      </c>
      <c r="Q373" s="56" t="str">
        <f>IF(COUNTA(A373:I373)=0,"",IF(N(IFERROR(INDEX(art_rate,MATCH(E373,art_ref,0)),0))&gt;0,N(IFERROR(INDEX(art_rate,MATCH(E373,art_ref,0)),0)),N(IFERROR(INDEX(po_rate,MATCH(C373,po_code,0)),0))))</f>
        <v/>
      </c>
      <c r="R373" s="55" t="str">
        <f>IF(AC373=1,P373*60/Q373,"")</f>
        <v/>
      </c>
      <c r="S373" s="55" t="str">
        <f>IF(AC373=1,N(G373)*60/Q373,"")</f>
        <v/>
      </c>
      <c r="T373" s="57" t="str">
        <f>IF(AC373=1,O373/M373,"")</f>
        <v/>
      </c>
      <c r="U373" s="57" t="str">
        <f>IF(AC373=1,IF(O373&gt;0,R373/O373,""),"")</f>
        <v/>
      </c>
      <c r="V373" s="57" t="str">
        <f>IF(AC373=1,IF(P373&gt;0,N(G373)/P373,""),"")</f>
        <v/>
      </c>
      <c r="W373" s="57" t="str">
        <f>IF(AC373=1,S373/M373,"")</f>
        <v/>
      </c>
      <c r="X373" s="57" t="str">
        <f>IF(AC373=1,S373/K373,"")</f>
        <v/>
      </c>
      <c r="Y373" s="58" t="str">
        <f>IF(W373="","",IF(W373&gt;=p_target,"Bon",IF(W373&gt;=p_alert,"À surveiller","Faible")))</f>
        <v/>
      </c>
      <c r="Z373" s="58" t="str">
        <f>IF(W373="","",IF(MIN(IF(T373="",1,T373),IF(U373="",1,U373),IF(V373="",1,V373))&gt;=1,"Aucune",IF(IF(T373="",1,T373)&lt;=MIN(IF(U373="",1,U373),IF(V373="",1,V373)),"Disponibilité",IF(IF(U373="",1,U373)&lt;=IF(V373="",1,V373),"Performance","Qualité"))))</f>
        <v/>
      </c>
      <c r="AA373" s="59" t="str">
        <f>IF(AC373=1,N(H373)*N(IFERROR(INDEX(art_cost,MATCH(E373,art_ref,0)),0)),"")</f>
        <v/>
      </c>
      <c r="AB373" s="58" t="str">
        <f>IF(COUNTA(A373:I373)=0,"",IF(N(A373)&lt;=0,"Date manquante ou invalide",IF(B373="","Équipe manquante",IF(ISNA(MATCH(B373,eq_code,0)),"Équipe inconnue",IF(INDEX(eq_check,MATCH(B373,eq_code,0))&lt;&gt;"OK","Équipe à corriger dans Paramètres",IF(C373="","Poste manquant",IF(ISNA(MATCH(C373,po_code,0)),"Poste inconnu",IF(AND(E373&lt;&gt;"",ISNA(MATCH(E373,art_ref,0))),"Article inconnu",IF(IF(E373="",FALSE,INDEX(art_check,MATCH(E373,art_ref,0))&lt;&gt;"OK"),"Article à corriger (feuille Articles)",IF(COUNTIFS(sj_date,A373,sj_eq,B373,sj_po,C373)&gt;1,"Ligne en double (même jour, équipe et poste)",IF(OR(NOT(ISNUMBER(K373)),N(K373)&lt;=0,N(K373)&gt;1440),"Temps d'ouverture invalide",IF(OR(AND(G373&lt;&gt;"",NOT(ISNUMBER(G373))),N(G373)&lt;0,N(G373)&lt;&gt;INT(N(G373)),AND(H373&lt;&gt;"",NOT(ISNUMBER(H373))),N(H373)&lt;0,N(H373)&lt;&gt;INT(N(H373)),AND(I373&lt;&gt;"",NOT(ISNUMBER(I373))),N(I373)&lt;0,N(I373)&lt;&gt;INT(N(I373))),"Quantité invalide",IF(Q373&lt;=0,"Cadence manquante (poste ou article)",IF(M373&lt;=0,"Arrêts planifiés supérieurs au temps d'ouverture",IF(O373&lt;0,"Arrêts supérieurs au temps requis",IF(AND(P373&gt;0,O373=0),"Pièces déclarées sans temps de marche",IF(AND(P373=0,O373&gt;0),"Aucune pièce déclarée",IF(P373*60/Q373&gt;O373+0.001,"Cadence dépassée : vérifiez la cadence","OK"))))))))))))))))))</f>
        <v/>
      </c>
      <c r="AC373">
        <f>IF(OR(AB373="OK",AB373="Aucune pièce déclarée",AB373="Cadence dépassée : vérifiez la cadence"),1,0)</f>
        <v>0.0</v>
      </c>
      <c r="AD373">
        <f>IF(AND(AC373=1,A373&gt;=p_from,A373&lt;=p_to),1,0)</f>
        <v>0.0</v>
      </c>
      <c r="AE373">
        <f>IF(AD373=1,IF(COUNTIFS($A$6:A373,A373,$AD$6:AD373,1)=1,1,0),0)</f>
        <v>0.0</v>
      </c>
      <c r="AF373" t="str">
        <f>IF(AE373=1,COUNTIFS(sj_first,1,sj_date,"&lt;"&amp;A373)+1,"")</f>
        <v/>
      </c>
      <c r="AG373" t="str">
        <f>IF(AND(AD373=1,N(W373)&lt;p_alert),ROUND(W373,4),"")</f>
        <v/>
      </c>
      <c r="AH373" t="str">
        <f>IF(AG373="","",COUNTIF(sj_akey,"&lt;"&amp;AG373)+COUNTIF($AG$6:AG373,AG373))</f>
        <v/>
      </c>
    </row>
    <row r="374">
      <c r="A374" s="51" t="n"/>
      <c r="B374" s="52" t="n"/>
      <c r="C374" s="52" t="n"/>
      <c r="D374" s="53" t="n"/>
      <c r="E374" s="53" t="n"/>
      <c r="F374" s="54" t="n"/>
      <c r="G374" s="54" t="n"/>
      <c r="H374" s="54" t="n"/>
      <c r="I374" s="54" t="n"/>
      <c r="J374" s="53" t="n"/>
      <c r="K374" s="55" t="str">
        <f>IF(COUNTA(A374:I374)=0,"",IF(F374="",IFERROR(INDEX(eq_dur,MATCH(B374,eq_code,0)),""),F374))</f>
        <v/>
      </c>
      <c r="L374" s="55" t="str">
        <f>IF(ISNUMBER(K374),N(IFERROR(INDEX(eq_pause,MATCH(B374,eq_code,0)),0))+SUMIFS(st_min,st_date,A374,st_eq,B374,st_po,C374,st_type,"Planifié"),"")</f>
        <v/>
      </c>
      <c r="M374" s="55" t="str">
        <f>IF(ISNUMBER(K374),K374-L374,"")</f>
        <v/>
      </c>
      <c r="N374" s="55" t="str">
        <f>IF(ISNUMBER(K374),SUMIFS(st_min,st_date,A374,st_eq,B374,st_po,C374,st_type,"Non planifié"),"")</f>
        <v/>
      </c>
      <c r="O374" s="55" t="str">
        <f>IF(ISNUMBER(K374),M374-N374,"")</f>
        <v/>
      </c>
      <c r="P374" s="55" t="str">
        <f>IF(COUNTA(A374:I374)=0,"",N(G374)+N(H374)+N(I374))</f>
        <v/>
      </c>
      <c r="Q374" s="56" t="str">
        <f>IF(COUNTA(A374:I374)=0,"",IF(N(IFERROR(INDEX(art_rate,MATCH(E374,art_ref,0)),0))&gt;0,N(IFERROR(INDEX(art_rate,MATCH(E374,art_ref,0)),0)),N(IFERROR(INDEX(po_rate,MATCH(C374,po_code,0)),0))))</f>
        <v/>
      </c>
      <c r="R374" s="55" t="str">
        <f>IF(AC374=1,P374*60/Q374,"")</f>
        <v/>
      </c>
      <c r="S374" s="55" t="str">
        <f>IF(AC374=1,N(G374)*60/Q374,"")</f>
        <v/>
      </c>
      <c r="T374" s="57" t="str">
        <f>IF(AC374=1,O374/M374,"")</f>
        <v/>
      </c>
      <c r="U374" s="57" t="str">
        <f>IF(AC374=1,IF(O374&gt;0,R374/O374,""),"")</f>
        <v/>
      </c>
      <c r="V374" s="57" t="str">
        <f>IF(AC374=1,IF(P374&gt;0,N(G374)/P374,""),"")</f>
        <v/>
      </c>
      <c r="W374" s="57" t="str">
        <f>IF(AC374=1,S374/M374,"")</f>
        <v/>
      </c>
      <c r="X374" s="57" t="str">
        <f>IF(AC374=1,S374/K374,"")</f>
        <v/>
      </c>
      <c r="Y374" s="58" t="str">
        <f>IF(W374="","",IF(W374&gt;=p_target,"Bon",IF(W374&gt;=p_alert,"À surveiller","Faible")))</f>
        <v/>
      </c>
      <c r="Z374" s="58" t="str">
        <f>IF(W374="","",IF(MIN(IF(T374="",1,T374),IF(U374="",1,U374),IF(V374="",1,V374))&gt;=1,"Aucune",IF(IF(T374="",1,T374)&lt;=MIN(IF(U374="",1,U374),IF(V374="",1,V374)),"Disponibilité",IF(IF(U374="",1,U374)&lt;=IF(V374="",1,V374),"Performance","Qualité"))))</f>
        <v/>
      </c>
      <c r="AA374" s="59" t="str">
        <f>IF(AC374=1,N(H374)*N(IFERROR(INDEX(art_cost,MATCH(E374,art_ref,0)),0)),"")</f>
        <v/>
      </c>
      <c r="AB374" s="58" t="str">
        <f>IF(COUNTA(A374:I374)=0,"",IF(N(A374)&lt;=0,"Date manquante ou invalide",IF(B374="","Équipe manquante",IF(ISNA(MATCH(B374,eq_code,0)),"Équipe inconnue",IF(INDEX(eq_check,MATCH(B374,eq_code,0))&lt;&gt;"OK","Équipe à corriger dans Paramètres",IF(C374="","Poste manquant",IF(ISNA(MATCH(C374,po_code,0)),"Poste inconnu",IF(AND(E374&lt;&gt;"",ISNA(MATCH(E374,art_ref,0))),"Article inconnu",IF(IF(E374="",FALSE,INDEX(art_check,MATCH(E374,art_ref,0))&lt;&gt;"OK"),"Article à corriger (feuille Articles)",IF(COUNTIFS(sj_date,A374,sj_eq,B374,sj_po,C374)&gt;1,"Ligne en double (même jour, équipe et poste)",IF(OR(NOT(ISNUMBER(K374)),N(K374)&lt;=0,N(K374)&gt;1440),"Temps d'ouverture invalide",IF(OR(AND(G374&lt;&gt;"",NOT(ISNUMBER(G374))),N(G374)&lt;0,N(G374)&lt;&gt;INT(N(G374)),AND(H374&lt;&gt;"",NOT(ISNUMBER(H374))),N(H374)&lt;0,N(H374)&lt;&gt;INT(N(H374)),AND(I374&lt;&gt;"",NOT(ISNUMBER(I374))),N(I374)&lt;0,N(I374)&lt;&gt;INT(N(I374))),"Quantité invalide",IF(Q374&lt;=0,"Cadence manquante (poste ou article)",IF(M374&lt;=0,"Arrêts planifiés supérieurs au temps d'ouverture",IF(O374&lt;0,"Arrêts supérieurs au temps requis",IF(AND(P374&gt;0,O374=0),"Pièces déclarées sans temps de marche",IF(AND(P374=0,O374&gt;0),"Aucune pièce déclarée",IF(P374*60/Q374&gt;O374+0.001,"Cadence dépassée : vérifiez la cadence","OK"))))))))))))))))))</f>
        <v/>
      </c>
      <c r="AC374">
        <f>IF(OR(AB374="OK",AB374="Aucune pièce déclarée",AB374="Cadence dépassée : vérifiez la cadence"),1,0)</f>
        <v>0.0</v>
      </c>
      <c r="AD374">
        <f>IF(AND(AC374=1,A374&gt;=p_from,A374&lt;=p_to),1,0)</f>
        <v>0.0</v>
      </c>
      <c r="AE374">
        <f>IF(AD374=1,IF(COUNTIFS($A$6:A374,A374,$AD$6:AD374,1)=1,1,0),0)</f>
        <v>0.0</v>
      </c>
      <c r="AF374" t="str">
        <f>IF(AE374=1,COUNTIFS(sj_first,1,sj_date,"&lt;"&amp;A374)+1,"")</f>
        <v/>
      </c>
      <c r="AG374" t="str">
        <f>IF(AND(AD374=1,N(W374)&lt;p_alert),ROUND(W374,4),"")</f>
        <v/>
      </c>
      <c r="AH374" t="str">
        <f>IF(AG374="","",COUNTIF(sj_akey,"&lt;"&amp;AG374)+COUNTIF($AG$6:AG374,AG374))</f>
        <v/>
      </c>
    </row>
    <row r="375">
      <c r="A375" s="51" t="n"/>
      <c r="B375" s="52" t="n"/>
      <c r="C375" s="52" t="n"/>
      <c r="D375" s="53" t="n"/>
      <c r="E375" s="53" t="n"/>
      <c r="F375" s="54" t="n"/>
      <c r="G375" s="54" t="n"/>
      <c r="H375" s="54" t="n"/>
      <c r="I375" s="54" t="n"/>
      <c r="J375" s="53" t="n"/>
      <c r="K375" s="55" t="str">
        <f>IF(COUNTA(A375:I375)=0,"",IF(F375="",IFERROR(INDEX(eq_dur,MATCH(B375,eq_code,0)),""),F375))</f>
        <v/>
      </c>
      <c r="L375" s="55" t="str">
        <f>IF(ISNUMBER(K375),N(IFERROR(INDEX(eq_pause,MATCH(B375,eq_code,0)),0))+SUMIFS(st_min,st_date,A375,st_eq,B375,st_po,C375,st_type,"Planifié"),"")</f>
        <v/>
      </c>
      <c r="M375" s="55" t="str">
        <f>IF(ISNUMBER(K375),K375-L375,"")</f>
        <v/>
      </c>
      <c r="N375" s="55" t="str">
        <f>IF(ISNUMBER(K375),SUMIFS(st_min,st_date,A375,st_eq,B375,st_po,C375,st_type,"Non planifié"),"")</f>
        <v/>
      </c>
      <c r="O375" s="55" t="str">
        <f>IF(ISNUMBER(K375),M375-N375,"")</f>
        <v/>
      </c>
      <c r="P375" s="55" t="str">
        <f>IF(COUNTA(A375:I375)=0,"",N(G375)+N(H375)+N(I375))</f>
        <v/>
      </c>
      <c r="Q375" s="56" t="str">
        <f>IF(COUNTA(A375:I375)=0,"",IF(N(IFERROR(INDEX(art_rate,MATCH(E375,art_ref,0)),0))&gt;0,N(IFERROR(INDEX(art_rate,MATCH(E375,art_ref,0)),0)),N(IFERROR(INDEX(po_rate,MATCH(C375,po_code,0)),0))))</f>
        <v/>
      </c>
      <c r="R375" s="55" t="str">
        <f>IF(AC375=1,P375*60/Q375,"")</f>
        <v/>
      </c>
      <c r="S375" s="55" t="str">
        <f>IF(AC375=1,N(G375)*60/Q375,"")</f>
        <v/>
      </c>
      <c r="T375" s="57" t="str">
        <f>IF(AC375=1,O375/M375,"")</f>
        <v/>
      </c>
      <c r="U375" s="57" t="str">
        <f>IF(AC375=1,IF(O375&gt;0,R375/O375,""),"")</f>
        <v/>
      </c>
      <c r="V375" s="57" t="str">
        <f>IF(AC375=1,IF(P375&gt;0,N(G375)/P375,""),"")</f>
        <v/>
      </c>
      <c r="W375" s="57" t="str">
        <f>IF(AC375=1,S375/M375,"")</f>
        <v/>
      </c>
      <c r="X375" s="57" t="str">
        <f>IF(AC375=1,S375/K375,"")</f>
        <v/>
      </c>
      <c r="Y375" s="58" t="str">
        <f>IF(W375="","",IF(W375&gt;=p_target,"Bon",IF(W375&gt;=p_alert,"À surveiller","Faible")))</f>
        <v/>
      </c>
      <c r="Z375" s="58" t="str">
        <f>IF(W375="","",IF(MIN(IF(T375="",1,T375),IF(U375="",1,U375),IF(V375="",1,V375))&gt;=1,"Aucune",IF(IF(T375="",1,T375)&lt;=MIN(IF(U375="",1,U375),IF(V375="",1,V375)),"Disponibilité",IF(IF(U375="",1,U375)&lt;=IF(V375="",1,V375),"Performance","Qualité"))))</f>
        <v/>
      </c>
      <c r="AA375" s="59" t="str">
        <f>IF(AC375=1,N(H375)*N(IFERROR(INDEX(art_cost,MATCH(E375,art_ref,0)),0)),"")</f>
        <v/>
      </c>
      <c r="AB375" s="58" t="str">
        <f>IF(COUNTA(A375:I375)=0,"",IF(N(A375)&lt;=0,"Date manquante ou invalide",IF(B375="","Équipe manquante",IF(ISNA(MATCH(B375,eq_code,0)),"Équipe inconnue",IF(INDEX(eq_check,MATCH(B375,eq_code,0))&lt;&gt;"OK","Équipe à corriger dans Paramètres",IF(C375="","Poste manquant",IF(ISNA(MATCH(C375,po_code,0)),"Poste inconnu",IF(AND(E375&lt;&gt;"",ISNA(MATCH(E375,art_ref,0))),"Article inconnu",IF(IF(E375="",FALSE,INDEX(art_check,MATCH(E375,art_ref,0))&lt;&gt;"OK"),"Article à corriger (feuille Articles)",IF(COUNTIFS(sj_date,A375,sj_eq,B375,sj_po,C375)&gt;1,"Ligne en double (même jour, équipe et poste)",IF(OR(NOT(ISNUMBER(K375)),N(K375)&lt;=0,N(K375)&gt;1440),"Temps d'ouverture invalide",IF(OR(AND(G375&lt;&gt;"",NOT(ISNUMBER(G375))),N(G375)&lt;0,N(G375)&lt;&gt;INT(N(G375)),AND(H375&lt;&gt;"",NOT(ISNUMBER(H375))),N(H375)&lt;0,N(H375)&lt;&gt;INT(N(H375)),AND(I375&lt;&gt;"",NOT(ISNUMBER(I375))),N(I375)&lt;0,N(I375)&lt;&gt;INT(N(I375))),"Quantité invalide",IF(Q375&lt;=0,"Cadence manquante (poste ou article)",IF(M375&lt;=0,"Arrêts planifiés supérieurs au temps d'ouverture",IF(O375&lt;0,"Arrêts supérieurs au temps requis",IF(AND(P375&gt;0,O375=0),"Pièces déclarées sans temps de marche",IF(AND(P375=0,O375&gt;0),"Aucune pièce déclarée",IF(P375*60/Q375&gt;O375+0.001,"Cadence dépassée : vérifiez la cadence","OK"))))))))))))))))))</f>
        <v/>
      </c>
      <c r="AC375">
        <f>IF(OR(AB375="OK",AB375="Aucune pièce déclarée",AB375="Cadence dépassée : vérifiez la cadence"),1,0)</f>
        <v>0.0</v>
      </c>
      <c r="AD375">
        <f>IF(AND(AC375=1,A375&gt;=p_from,A375&lt;=p_to),1,0)</f>
        <v>0.0</v>
      </c>
      <c r="AE375">
        <f>IF(AD375=1,IF(COUNTIFS($A$6:A375,A375,$AD$6:AD375,1)=1,1,0),0)</f>
        <v>0.0</v>
      </c>
      <c r="AF375" t="str">
        <f>IF(AE375=1,COUNTIFS(sj_first,1,sj_date,"&lt;"&amp;A375)+1,"")</f>
        <v/>
      </c>
      <c r="AG375" t="str">
        <f>IF(AND(AD375=1,N(W375)&lt;p_alert),ROUND(W375,4),"")</f>
        <v/>
      </c>
      <c r="AH375" t="str">
        <f>IF(AG375="","",COUNTIF(sj_akey,"&lt;"&amp;AG375)+COUNTIF($AG$6:AG375,AG375))</f>
        <v/>
      </c>
    </row>
    <row r="376">
      <c r="A376" s="51" t="n"/>
      <c r="B376" s="52" t="n"/>
      <c r="C376" s="52" t="n"/>
      <c r="D376" s="53" t="n"/>
      <c r="E376" s="53" t="n"/>
      <c r="F376" s="54" t="n"/>
      <c r="G376" s="54" t="n"/>
      <c r="H376" s="54" t="n"/>
      <c r="I376" s="54" t="n"/>
      <c r="J376" s="53" t="n"/>
      <c r="K376" s="55" t="str">
        <f>IF(COUNTA(A376:I376)=0,"",IF(F376="",IFERROR(INDEX(eq_dur,MATCH(B376,eq_code,0)),""),F376))</f>
        <v/>
      </c>
      <c r="L376" s="55" t="str">
        <f>IF(ISNUMBER(K376),N(IFERROR(INDEX(eq_pause,MATCH(B376,eq_code,0)),0))+SUMIFS(st_min,st_date,A376,st_eq,B376,st_po,C376,st_type,"Planifié"),"")</f>
        <v/>
      </c>
      <c r="M376" s="55" t="str">
        <f>IF(ISNUMBER(K376),K376-L376,"")</f>
        <v/>
      </c>
      <c r="N376" s="55" t="str">
        <f>IF(ISNUMBER(K376),SUMIFS(st_min,st_date,A376,st_eq,B376,st_po,C376,st_type,"Non planifié"),"")</f>
        <v/>
      </c>
      <c r="O376" s="55" t="str">
        <f>IF(ISNUMBER(K376),M376-N376,"")</f>
        <v/>
      </c>
      <c r="P376" s="55" t="str">
        <f>IF(COUNTA(A376:I376)=0,"",N(G376)+N(H376)+N(I376))</f>
        <v/>
      </c>
      <c r="Q376" s="56" t="str">
        <f>IF(COUNTA(A376:I376)=0,"",IF(N(IFERROR(INDEX(art_rate,MATCH(E376,art_ref,0)),0))&gt;0,N(IFERROR(INDEX(art_rate,MATCH(E376,art_ref,0)),0)),N(IFERROR(INDEX(po_rate,MATCH(C376,po_code,0)),0))))</f>
        <v/>
      </c>
      <c r="R376" s="55" t="str">
        <f>IF(AC376=1,P376*60/Q376,"")</f>
        <v/>
      </c>
      <c r="S376" s="55" t="str">
        <f>IF(AC376=1,N(G376)*60/Q376,"")</f>
        <v/>
      </c>
      <c r="T376" s="57" t="str">
        <f>IF(AC376=1,O376/M376,"")</f>
        <v/>
      </c>
      <c r="U376" s="57" t="str">
        <f>IF(AC376=1,IF(O376&gt;0,R376/O376,""),"")</f>
        <v/>
      </c>
      <c r="V376" s="57" t="str">
        <f>IF(AC376=1,IF(P376&gt;0,N(G376)/P376,""),"")</f>
        <v/>
      </c>
      <c r="W376" s="57" t="str">
        <f>IF(AC376=1,S376/M376,"")</f>
        <v/>
      </c>
      <c r="X376" s="57" t="str">
        <f>IF(AC376=1,S376/K376,"")</f>
        <v/>
      </c>
      <c r="Y376" s="58" t="str">
        <f>IF(W376="","",IF(W376&gt;=p_target,"Bon",IF(W376&gt;=p_alert,"À surveiller","Faible")))</f>
        <v/>
      </c>
      <c r="Z376" s="58" t="str">
        <f>IF(W376="","",IF(MIN(IF(T376="",1,T376),IF(U376="",1,U376),IF(V376="",1,V376))&gt;=1,"Aucune",IF(IF(T376="",1,T376)&lt;=MIN(IF(U376="",1,U376),IF(V376="",1,V376)),"Disponibilité",IF(IF(U376="",1,U376)&lt;=IF(V376="",1,V376),"Performance","Qualité"))))</f>
        <v/>
      </c>
      <c r="AA376" s="59" t="str">
        <f>IF(AC376=1,N(H376)*N(IFERROR(INDEX(art_cost,MATCH(E376,art_ref,0)),0)),"")</f>
        <v/>
      </c>
      <c r="AB376" s="58" t="str">
        <f>IF(COUNTA(A376:I376)=0,"",IF(N(A376)&lt;=0,"Date manquante ou invalide",IF(B376="","Équipe manquante",IF(ISNA(MATCH(B376,eq_code,0)),"Équipe inconnue",IF(INDEX(eq_check,MATCH(B376,eq_code,0))&lt;&gt;"OK","Équipe à corriger dans Paramètres",IF(C376="","Poste manquant",IF(ISNA(MATCH(C376,po_code,0)),"Poste inconnu",IF(AND(E376&lt;&gt;"",ISNA(MATCH(E376,art_ref,0))),"Article inconnu",IF(IF(E376="",FALSE,INDEX(art_check,MATCH(E376,art_ref,0))&lt;&gt;"OK"),"Article à corriger (feuille Articles)",IF(COUNTIFS(sj_date,A376,sj_eq,B376,sj_po,C376)&gt;1,"Ligne en double (même jour, équipe et poste)",IF(OR(NOT(ISNUMBER(K376)),N(K376)&lt;=0,N(K376)&gt;1440),"Temps d'ouverture invalide",IF(OR(AND(G376&lt;&gt;"",NOT(ISNUMBER(G376))),N(G376)&lt;0,N(G376)&lt;&gt;INT(N(G376)),AND(H376&lt;&gt;"",NOT(ISNUMBER(H376))),N(H376)&lt;0,N(H376)&lt;&gt;INT(N(H376)),AND(I376&lt;&gt;"",NOT(ISNUMBER(I376))),N(I376)&lt;0,N(I376)&lt;&gt;INT(N(I376))),"Quantité invalide",IF(Q376&lt;=0,"Cadence manquante (poste ou article)",IF(M376&lt;=0,"Arrêts planifiés supérieurs au temps d'ouverture",IF(O376&lt;0,"Arrêts supérieurs au temps requis",IF(AND(P376&gt;0,O376=0),"Pièces déclarées sans temps de marche",IF(AND(P376=0,O376&gt;0),"Aucune pièce déclarée",IF(P376*60/Q376&gt;O376+0.001,"Cadence dépassée : vérifiez la cadence","OK"))))))))))))))))))</f>
        <v/>
      </c>
      <c r="AC376">
        <f>IF(OR(AB376="OK",AB376="Aucune pièce déclarée",AB376="Cadence dépassée : vérifiez la cadence"),1,0)</f>
        <v>0.0</v>
      </c>
      <c r="AD376">
        <f>IF(AND(AC376=1,A376&gt;=p_from,A376&lt;=p_to),1,0)</f>
        <v>0.0</v>
      </c>
      <c r="AE376">
        <f>IF(AD376=1,IF(COUNTIFS($A$6:A376,A376,$AD$6:AD376,1)=1,1,0),0)</f>
        <v>0.0</v>
      </c>
      <c r="AF376" t="str">
        <f>IF(AE376=1,COUNTIFS(sj_first,1,sj_date,"&lt;"&amp;A376)+1,"")</f>
        <v/>
      </c>
      <c r="AG376" t="str">
        <f>IF(AND(AD376=1,N(W376)&lt;p_alert),ROUND(W376,4),"")</f>
        <v/>
      </c>
      <c r="AH376" t="str">
        <f>IF(AG376="","",COUNTIF(sj_akey,"&lt;"&amp;AG376)+COUNTIF($AG$6:AG376,AG376))</f>
        <v/>
      </c>
    </row>
    <row r="377">
      <c r="A377" s="51" t="n"/>
      <c r="B377" s="52" t="n"/>
      <c r="C377" s="52" t="n"/>
      <c r="D377" s="53" t="n"/>
      <c r="E377" s="53" t="n"/>
      <c r="F377" s="54" t="n"/>
      <c r="G377" s="54" t="n"/>
      <c r="H377" s="54" t="n"/>
      <c r="I377" s="54" t="n"/>
      <c r="J377" s="53" t="n"/>
      <c r="K377" s="55" t="str">
        <f>IF(COUNTA(A377:I377)=0,"",IF(F377="",IFERROR(INDEX(eq_dur,MATCH(B377,eq_code,0)),""),F377))</f>
        <v/>
      </c>
      <c r="L377" s="55" t="str">
        <f>IF(ISNUMBER(K377),N(IFERROR(INDEX(eq_pause,MATCH(B377,eq_code,0)),0))+SUMIFS(st_min,st_date,A377,st_eq,B377,st_po,C377,st_type,"Planifié"),"")</f>
        <v/>
      </c>
      <c r="M377" s="55" t="str">
        <f>IF(ISNUMBER(K377),K377-L377,"")</f>
        <v/>
      </c>
      <c r="N377" s="55" t="str">
        <f>IF(ISNUMBER(K377),SUMIFS(st_min,st_date,A377,st_eq,B377,st_po,C377,st_type,"Non planifié"),"")</f>
        <v/>
      </c>
      <c r="O377" s="55" t="str">
        <f>IF(ISNUMBER(K377),M377-N377,"")</f>
        <v/>
      </c>
      <c r="P377" s="55" t="str">
        <f>IF(COUNTA(A377:I377)=0,"",N(G377)+N(H377)+N(I377))</f>
        <v/>
      </c>
      <c r="Q377" s="56" t="str">
        <f>IF(COUNTA(A377:I377)=0,"",IF(N(IFERROR(INDEX(art_rate,MATCH(E377,art_ref,0)),0))&gt;0,N(IFERROR(INDEX(art_rate,MATCH(E377,art_ref,0)),0)),N(IFERROR(INDEX(po_rate,MATCH(C377,po_code,0)),0))))</f>
        <v/>
      </c>
      <c r="R377" s="55" t="str">
        <f>IF(AC377=1,P377*60/Q377,"")</f>
        <v/>
      </c>
      <c r="S377" s="55" t="str">
        <f>IF(AC377=1,N(G377)*60/Q377,"")</f>
        <v/>
      </c>
      <c r="T377" s="57" t="str">
        <f>IF(AC377=1,O377/M377,"")</f>
        <v/>
      </c>
      <c r="U377" s="57" t="str">
        <f>IF(AC377=1,IF(O377&gt;0,R377/O377,""),"")</f>
        <v/>
      </c>
      <c r="V377" s="57" t="str">
        <f>IF(AC377=1,IF(P377&gt;0,N(G377)/P377,""),"")</f>
        <v/>
      </c>
      <c r="W377" s="57" t="str">
        <f>IF(AC377=1,S377/M377,"")</f>
        <v/>
      </c>
      <c r="X377" s="57" t="str">
        <f>IF(AC377=1,S377/K377,"")</f>
        <v/>
      </c>
      <c r="Y377" s="58" t="str">
        <f>IF(W377="","",IF(W377&gt;=p_target,"Bon",IF(W377&gt;=p_alert,"À surveiller","Faible")))</f>
        <v/>
      </c>
      <c r="Z377" s="58" t="str">
        <f>IF(W377="","",IF(MIN(IF(T377="",1,T377),IF(U377="",1,U377),IF(V377="",1,V377))&gt;=1,"Aucune",IF(IF(T377="",1,T377)&lt;=MIN(IF(U377="",1,U377),IF(V377="",1,V377)),"Disponibilité",IF(IF(U377="",1,U377)&lt;=IF(V377="",1,V377),"Performance","Qualité"))))</f>
        <v/>
      </c>
      <c r="AA377" s="59" t="str">
        <f>IF(AC377=1,N(H377)*N(IFERROR(INDEX(art_cost,MATCH(E377,art_ref,0)),0)),"")</f>
        <v/>
      </c>
      <c r="AB377" s="58" t="str">
        <f>IF(COUNTA(A377:I377)=0,"",IF(N(A377)&lt;=0,"Date manquante ou invalide",IF(B377="","Équipe manquante",IF(ISNA(MATCH(B377,eq_code,0)),"Équipe inconnue",IF(INDEX(eq_check,MATCH(B377,eq_code,0))&lt;&gt;"OK","Équipe à corriger dans Paramètres",IF(C377="","Poste manquant",IF(ISNA(MATCH(C377,po_code,0)),"Poste inconnu",IF(AND(E377&lt;&gt;"",ISNA(MATCH(E377,art_ref,0))),"Article inconnu",IF(IF(E377="",FALSE,INDEX(art_check,MATCH(E377,art_ref,0))&lt;&gt;"OK"),"Article à corriger (feuille Articles)",IF(COUNTIFS(sj_date,A377,sj_eq,B377,sj_po,C377)&gt;1,"Ligne en double (même jour, équipe et poste)",IF(OR(NOT(ISNUMBER(K377)),N(K377)&lt;=0,N(K377)&gt;1440),"Temps d'ouverture invalide",IF(OR(AND(G377&lt;&gt;"",NOT(ISNUMBER(G377))),N(G377)&lt;0,N(G377)&lt;&gt;INT(N(G377)),AND(H377&lt;&gt;"",NOT(ISNUMBER(H377))),N(H377)&lt;0,N(H377)&lt;&gt;INT(N(H377)),AND(I377&lt;&gt;"",NOT(ISNUMBER(I377))),N(I377)&lt;0,N(I377)&lt;&gt;INT(N(I377))),"Quantité invalide",IF(Q377&lt;=0,"Cadence manquante (poste ou article)",IF(M377&lt;=0,"Arrêts planifiés supérieurs au temps d'ouverture",IF(O377&lt;0,"Arrêts supérieurs au temps requis",IF(AND(P377&gt;0,O377=0),"Pièces déclarées sans temps de marche",IF(AND(P377=0,O377&gt;0),"Aucune pièce déclarée",IF(P377*60/Q377&gt;O377+0.001,"Cadence dépassée : vérifiez la cadence","OK"))))))))))))))))))</f>
        <v/>
      </c>
      <c r="AC377">
        <f>IF(OR(AB377="OK",AB377="Aucune pièce déclarée",AB377="Cadence dépassée : vérifiez la cadence"),1,0)</f>
        <v>0.0</v>
      </c>
      <c r="AD377">
        <f>IF(AND(AC377=1,A377&gt;=p_from,A377&lt;=p_to),1,0)</f>
        <v>0.0</v>
      </c>
      <c r="AE377">
        <f>IF(AD377=1,IF(COUNTIFS($A$6:A377,A377,$AD$6:AD377,1)=1,1,0),0)</f>
        <v>0.0</v>
      </c>
      <c r="AF377" t="str">
        <f>IF(AE377=1,COUNTIFS(sj_first,1,sj_date,"&lt;"&amp;A377)+1,"")</f>
        <v/>
      </c>
      <c r="AG377" t="str">
        <f>IF(AND(AD377=1,N(W377)&lt;p_alert),ROUND(W377,4),"")</f>
        <v/>
      </c>
      <c r="AH377" t="str">
        <f>IF(AG377="","",COUNTIF(sj_akey,"&lt;"&amp;AG377)+COUNTIF($AG$6:AG377,AG377))</f>
        <v/>
      </c>
    </row>
    <row r="378">
      <c r="A378" s="51" t="n"/>
      <c r="B378" s="52" t="n"/>
      <c r="C378" s="52" t="n"/>
      <c r="D378" s="53" t="n"/>
      <c r="E378" s="53" t="n"/>
      <c r="F378" s="54" t="n"/>
      <c r="G378" s="54" t="n"/>
      <c r="H378" s="54" t="n"/>
      <c r="I378" s="54" t="n"/>
      <c r="J378" s="53" t="n"/>
      <c r="K378" s="55" t="str">
        <f>IF(COUNTA(A378:I378)=0,"",IF(F378="",IFERROR(INDEX(eq_dur,MATCH(B378,eq_code,0)),""),F378))</f>
        <v/>
      </c>
      <c r="L378" s="55" t="str">
        <f>IF(ISNUMBER(K378),N(IFERROR(INDEX(eq_pause,MATCH(B378,eq_code,0)),0))+SUMIFS(st_min,st_date,A378,st_eq,B378,st_po,C378,st_type,"Planifié"),"")</f>
        <v/>
      </c>
      <c r="M378" s="55" t="str">
        <f>IF(ISNUMBER(K378),K378-L378,"")</f>
        <v/>
      </c>
      <c r="N378" s="55" t="str">
        <f>IF(ISNUMBER(K378),SUMIFS(st_min,st_date,A378,st_eq,B378,st_po,C378,st_type,"Non planifié"),"")</f>
        <v/>
      </c>
      <c r="O378" s="55" t="str">
        <f>IF(ISNUMBER(K378),M378-N378,"")</f>
        <v/>
      </c>
      <c r="P378" s="55" t="str">
        <f>IF(COUNTA(A378:I378)=0,"",N(G378)+N(H378)+N(I378))</f>
        <v/>
      </c>
      <c r="Q378" s="56" t="str">
        <f>IF(COUNTA(A378:I378)=0,"",IF(N(IFERROR(INDEX(art_rate,MATCH(E378,art_ref,0)),0))&gt;0,N(IFERROR(INDEX(art_rate,MATCH(E378,art_ref,0)),0)),N(IFERROR(INDEX(po_rate,MATCH(C378,po_code,0)),0))))</f>
        <v/>
      </c>
      <c r="R378" s="55" t="str">
        <f>IF(AC378=1,P378*60/Q378,"")</f>
        <v/>
      </c>
      <c r="S378" s="55" t="str">
        <f>IF(AC378=1,N(G378)*60/Q378,"")</f>
        <v/>
      </c>
      <c r="T378" s="57" t="str">
        <f>IF(AC378=1,O378/M378,"")</f>
        <v/>
      </c>
      <c r="U378" s="57" t="str">
        <f>IF(AC378=1,IF(O378&gt;0,R378/O378,""),"")</f>
        <v/>
      </c>
      <c r="V378" s="57" t="str">
        <f>IF(AC378=1,IF(P378&gt;0,N(G378)/P378,""),"")</f>
        <v/>
      </c>
      <c r="W378" s="57" t="str">
        <f>IF(AC378=1,S378/M378,"")</f>
        <v/>
      </c>
      <c r="X378" s="57" t="str">
        <f>IF(AC378=1,S378/K378,"")</f>
        <v/>
      </c>
      <c r="Y378" s="58" t="str">
        <f>IF(W378="","",IF(W378&gt;=p_target,"Bon",IF(W378&gt;=p_alert,"À surveiller","Faible")))</f>
        <v/>
      </c>
      <c r="Z378" s="58" t="str">
        <f>IF(W378="","",IF(MIN(IF(T378="",1,T378),IF(U378="",1,U378),IF(V378="",1,V378))&gt;=1,"Aucune",IF(IF(T378="",1,T378)&lt;=MIN(IF(U378="",1,U378),IF(V378="",1,V378)),"Disponibilité",IF(IF(U378="",1,U378)&lt;=IF(V378="",1,V378),"Performance","Qualité"))))</f>
        <v/>
      </c>
      <c r="AA378" s="59" t="str">
        <f>IF(AC378=1,N(H378)*N(IFERROR(INDEX(art_cost,MATCH(E378,art_ref,0)),0)),"")</f>
        <v/>
      </c>
      <c r="AB378" s="58" t="str">
        <f>IF(COUNTA(A378:I378)=0,"",IF(N(A378)&lt;=0,"Date manquante ou invalide",IF(B378="","Équipe manquante",IF(ISNA(MATCH(B378,eq_code,0)),"Équipe inconnue",IF(INDEX(eq_check,MATCH(B378,eq_code,0))&lt;&gt;"OK","Équipe à corriger dans Paramètres",IF(C378="","Poste manquant",IF(ISNA(MATCH(C378,po_code,0)),"Poste inconnu",IF(AND(E378&lt;&gt;"",ISNA(MATCH(E378,art_ref,0))),"Article inconnu",IF(IF(E378="",FALSE,INDEX(art_check,MATCH(E378,art_ref,0))&lt;&gt;"OK"),"Article à corriger (feuille Articles)",IF(COUNTIFS(sj_date,A378,sj_eq,B378,sj_po,C378)&gt;1,"Ligne en double (même jour, équipe et poste)",IF(OR(NOT(ISNUMBER(K378)),N(K378)&lt;=0,N(K378)&gt;1440),"Temps d'ouverture invalide",IF(OR(AND(G378&lt;&gt;"",NOT(ISNUMBER(G378))),N(G378)&lt;0,N(G378)&lt;&gt;INT(N(G378)),AND(H378&lt;&gt;"",NOT(ISNUMBER(H378))),N(H378)&lt;0,N(H378)&lt;&gt;INT(N(H378)),AND(I378&lt;&gt;"",NOT(ISNUMBER(I378))),N(I378)&lt;0,N(I378)&lt;&gt;INT(N(I378))),"Quantité invalide",IF(Q378&lt;=0,"Cadence manquante (poste ou article)",IF(M378&lt;=0,"Arrêts planifiés supérieurs au temps d'ouverture",IF(O378&lt;0,"Arrêts supérieurs au temps requis",IF(AND(P378&gt;0,O378=0),"Pièces déclarées sans temps de marche",IF(AND(P378=0,O378&gt;0),"Aucune pièce déclarée",IF(P378*60/Q378&gt;O378+0.001,"Cadence dépassée : vérifiez la cadence","OK"))))))))))))))))))</f>
        <v/>
      </c>
      <c r="AC378">
        <f>IF(OR(AB378="OK",AB378="Aucune pièce déclarée",AB378="Cadence dépassée : vérifiez la cadence"),1,0)</f>
        <v>0.0</v>
      </c>
      <c r="AD378">
        <f>IF(AND(AC378=1,A378&gt;=p_from,A378&lt;=p_to),1,0)</f>
        <v>0.0</v>
      </c>
      <c r="AE378">
        <f>IF(AD378=1,IF(COUNTIFS($A$6:A378,A378,$AD$6:AD378,1)=1,1,0),0)</f>
        <v>0.0</v>
      </c>
      <c r="AF378" t="str">
        <f>IF(AE378=1,COUNTIFS(sj_first,1,sj_date,"&lt;"&amp;A378)+1,"")</f>
        <v/>
      </c>
      <c r="AG378" t="str">
        <f>IF(AND(AD378=1,N(W378)&lt;p_alert),ROUND(W378,4),"")</f>
        <v/>
      </c>
      <c r="AH378" t="str">
        <f>IF(AG378="","",COUNTIF(sj_akey,"&lt;"&amp;AG378)+COUNTIF($AG$6:AG378,AG378))</f>
        <v/>
      </c>
    </row>
    <row r="379">
      <c r="A379" s="51" t="n"/>
      <c r="B379" s="52" t="n"/>
      <c r="C379" s="52" t="n"/>
      <c r="D379" s="53" t="n"/>
      <c r="E379" s="53" t="n"/>
      <c r="F379" s="54" t="n"/>
      <c r="G379" s="54" t="n"/>
      <c r="H379" s="54" t="n"/>
      <c r="I379" s="54" t="n"/>
      <c r="J379" s="53" t="n"/>
      <c r="K379" s="55" t="str">
        <f>IF(COUNTA(A379:I379)=0,"",IF(F379="",IFERROR(INDEX(eq_dur,MATCH(B379,eq_code,0)),""),F379))</f>
        <v/>
      </c>
      <c r="L379" s="55" t="str">
        <f>IF(ISNUMBER(K379),N(IFERROR(INDEX(eq_pause,MATCH(B379,eq_code,0)),0))+SUMIFS(st_min,st_date,A379,st_eq,B379,st_po,C379,st_type,"Planifié"),"")</f>
        <v/>
      </c>
      <c r="M379" s="55" t="str">
        <f>IF(ISNUMBER(K379),K379-L379,"")</f>
        <v/>
      </c>
      <c r="N379" s="55" t="str">
        <f>IF(ISNUMBER(K379),SUMIFS(st_min,st_date,A379,st_eq,B379,st_po,C379,st_type,"Non planifié"),"")</f>
        <v/>
      </c>
      <c r="O379" s="55" t="str">
        <f>IF(ISNUMBER(K379),M379-N379,"")</f>
        <v/>
      </c>
      <c r="P379" s="55" t="str">
        <f>IF(COUNTA(A379:I379)=0,"",N(G379)+N(H379)+N(I379))</f>
        <v/>
      </c>
      <c r="Q379" s="56" t="str">
        <f>IF(COUNTA(A379:I379)=0,"",IF(N(IFERROR(INDEX(art_rate,MATCH(E379,art_ref,0)),0))&gt;0,N(IFERROR(INDEX(art_rate,MATCH(E379,art_ref,0)),0)),N(IFERROR(INDEX(po_rate,MATCH(C379,po_code,0)),0))))</f>
        <v/>
      </c>
      <c r="R379" s="55" t="str">
        <f>IF(AC379=1,P379*60/Q379,"")</f>
        <v/>
      </c>
      <c r="S379" s="55" t="str">
        <f>IF(AC379=1,N(G379)*60/Q379,"")</f>
        <v/>
      </c>
      <c r="T379" s="57" t="str">
        <f>IF(AC379=1,O379/M379,"")</f>
        <v/>
      </c>
      <c r="U379" s="57" t="str">
        <f>IF(AC379=1,IF(O379&gt;0,R379/O379,""),"")</f>
        <v/>
      </c>
      <c r="V379" s="57" t="str">
        <f>IF(AC379=1,IF(P379&gt;0,N(G379)/P379,""),"")</f>
        <v/>
      </c>
      <c r="W379" s="57" t="str">
        <f>IF(AC379=1,S379/M379,"")</f>
        <v/>
      </c>
      <c r="X379" s="57" t="str">
        <f>IF(AC379=1,S379/K379,"")</f>
        <v/>
      </c>
      <c r="Y379" s="58" t="str">
        <f>IF(W379="","",IF(W379&gt;=p_target,"Bon",IF(W379&gt;=p_alert,"À surveiller","Faible")))</f>
        <v/>
      </c>
      <c r="Z379" s="58" t="str">
        <f>IF(W379="","",IF(MIN(IF(T379="",1,T379),IF(U379="",1,U379),IF(V379="",1,V379))&gt;=1,"Aucune",IF(IF(T379="",1,T379)&lt;=MIN(IF(U379="",1,U379),IF(V379="",1,V379)),"Disponibilité",IF(IF(U379="",1,U379)&lt;=IF(V379="",1,V379),"Performance","Qualité"))))</f>
        <v/>
      </c>
      <c r="AA379" s="59" t="str">
        <f>IF(AC379=1,N(H379)*N(IFERROR(INDEX(art_cost,MATCH(E379,art_ref,0)),0)),"")</f>
        <v/>
      </c>
      <c r="AB379" s="58" t="str">
        <f>IF(COUNTA(A379:I379)=0,"",IF(N(A379)&lt;=0,"Date manquante ou invalide",IF(B379="","Équipe manquante",IF(ISNA(MATCH(B379,eq_code,0)),"Équipe inconnue",IF(INDEX(eq_check,MATCH(B379,eq_code,0))&lt;&gt;"OK","Équipe à corriger dans Paramètres",IF(C379="","Poste manquant",IF(ISNA(MATCH(C379,po_code,0)),"Poste inconnu",IF(AND(E379&lt;&gt;"",ISNA(MATCH(E379,art_ref,0))),"Article inconnu",IF(IF(E379="",FALSE,INDEX(art_check,MATCH(E379,art_ref,0))&lt;&gt;"OK"),"Article à corriger (feuille Articles)",IF(COUNTIFS(sj_date,A379,sj_eq,B379,sj_po,C379)&gt;1,"Ligne en double (même jour, équipe et poste)",IF(OR(NOT(ISNUMBER(K379)),N(K379)&lt;=0,N(K379)&gt;1440),"Temps d'ouverture invalide",IF(OR(AND(G379&lt;&gt;"",NOT(ISNUMBER(G379))),N(G379)&lt;0,N(G379)&lt;&gt;INT(N(G379)),AND(H379&lt;&gt;"",NOT(ISNUMBER(H379))),N(H379)&lt;0,N(H379)&lt;&gt;INT(N(H379)),AND(I379&lt;&gt;"",NOT(ISNUMBER(I379))),N(I379)&lt;0,N(I379)&lt;&gt;INT(N(I379))),"Quantité invalide",IF(Q379&lt;=0,"Cadence manquante (poste ou article)",IF(M379&lt;=0,"Arrêts planifiés supérieurs au temps d'ouverture",IF(O379&lt;0,"Arrêts supérieurs au temps requis",IF(AND(P379&gt;0,O379=0),"Pièces déclarées sans temps de marche",IF(AND(P379=0,O379&gt;0),"Aucune pièce déclarée",IF(P379*60/Q379&gt;O379+0.001,"Cadence dépassée : vérifiez la cadence","OK"))))))))))))))))))</f>
        <v/>
      </c>
      <c r="AC379">
        <f>IF(OR(AB379="OK",AB379="Aucune pièce déclarée",AB379="Cadence dépassée : vérifiez la cadence"),1,0)</f>
        <v>0.0</v>
      </c>
      <c r="AD379">
        <f>IF(AND(AC379=1,A379&gt;=p_from,A379&lt;=p_to),1,0)</f>
        <v>0.0</v>
      </c>
      <c r="AE379">
        <f>IF(AD379=1,IF(COUNTIFS($A$6:A379,A379,$AD$6:AD379,1)=1,1,0),0)</f>
        <v>0.0</v>
      </c>
      <c r="AF379" t="str">
        <f>IF(AE379=1,COUNTIFS(sj_first,1,sj_date,"&lt;"&amp;A379)+1,"")</f>
        <v/>
      </c>
      <c r="AG379" t="str">
        <f>IF(AND(AD379=1,N(W379)&lt;p_alert),ROUND(W379,4),"")</f>
        <v/>
      </c>
      <c r="AH379" t="str">
        <f>IF(AG379="","",COUNTIF(sj_akey,"&lt;"&amp;AG379)+COUNTIF($AG$6:AG379,AG379))</f>
        <v/>
      </c>
    </row>
    <row r="380">
      <c r="A380" s="51" t="n"/>
      <c r="B380" s="52" t="n"/>
      <c r="C380" s="52" t="n"/>
      <c r="D380" s="53" t="n"/>
      <c r="E380" s="53" t="n"/>
      <c r="F380" s="54" t="n"/>
      <c r="G380" s="54" t="n"/>
      <c r="H380" s="54" t="n"/>
      <c r="I380" s="54" t="n"/>
      <c r="J380" s="53" t="n"/>
      <c r="K380" s="55" t="str">
        <f>IF(COUNTA(A380:I380)=0,"",IF(F380="",IFERROR(INDEX(eq_dur,MATCH(B380,eq_code,0)),""),F380))</f>
        <v/>
      </c>
      <c r="L380" s="55" t="str">
        <f>IF(ISNUMBER(K380),N(IFERROR(INDEX(eq_pause,MATCH(B380,eq_code,0)),0))+SUMIFS(st_min,st_date,A380,st_eq,B380,st_po,C380,st_type,"Planifié"),"")</f>
        <v/>
      </c>
      <c r="M380" s="55" t="str">
        <f>IF(ISNUMBER(K380),K380-L380,"")</f>
        <v/>
      </c>
      <c r="N380" s="55" t="str">
        <f>IF(ISNUMBER(K380),SUMIFS(st_min,st_date,A380,st_eq,B380,st_po,C380,st_type,"Non planifié"),"")</f>
        <v/>
      </c>
      <c r="O380" s="55" t="str">
        <f>IF(ISNUMBER(K380),M380-N380,"")</f>
        <v/>
      </c>
      <c r="P380" s="55" t="str">
        <f>IF(COUNTA(A380:I380)=0,"",N(G380)+N(H380)+N(I380))</f>
        <v/>
      </c>
      <c r="Q380" s="56" t="str">
        <f>IF(COUNTA(A380:I380)=0,"",IF(N(IFERROR(INDEX(art_rate,MATCH(E380,art_ref,0)),0))&gt;0,N(IFERROR(INDEX(art_rate,MATCH(E380,art_ref,0)),0)),N(IFERROR(INDEX(po_rate,MATCH(C380,po_code,0)),0))))</f>
        <v/>
      </c>
      <c r="R380" s="55" t="str">
        <f>IF(AC380=1,P380*60/Q380,"")</f>
        <v/>
      </c>
      <c r="S380" s="55" t="str">
        <f>IF(AC380=1,N(G380)*60/Q380,"")</f>
        <v/>
      </c>
      <c r="T380" s="57" t="str">
        <f>IF(AC380=1,O380/M380,"")</f>
        <v/>
      </c>
      <c r="U380" s="57" t="str">
        <f>IF(AC380=1,IF(O380&gt;0,R380/O380,""),"")</f>
        <v/>
      </c>
      <c r="V380" s="57" t="str">
        <f>IF(AC380=1,IF(P380&gt;0,N(G380)/P380,""),"")</f>
        <v/>
      </c>
      <c r="W380" s="57" t="str">
        <f>IF(AC380=1,S380/M380,"")</f>
        <v/>
      </c>
      <c r="X380" s="57" t="str">
        <f>IF(AC380=1,S380/K380,"")</f>
        <v/>
      </c>
      <c r="Y380" s="58" t="str">
        <f>IF(W380="","",IF(W380&gt;=p_target,"Bon",IF(W380&gt;=p_alert,"À surveiller","Faible")))</f>
        <v/>
      </c>
      <c r="Z380" s="58" t="str">
        <f>IF(W380="","",IF(MIN(IF(T380="",1,T380),IF(U380="",1,U380),IF(V380="",1,V380))&gt;=1,"Aucune",IF(IF(T380="",1,T380)&lt;=MIN(IF(U380="",1,U380),IF(V380="",1,V380)),"Disponibilité",IF(IF(U380="",1,U380)&lt;=IF(V380="",1,V380),"Performance","Qualité"))))</f>
        <v/>
      </c>
      <c r="AA380" s="59" t="str">
        <f>IF(AC380=1,N(H380)*N(IFERROR(INDEX(art_cost,MATCH(E380,art_ref,0)),0)),"")</f>
        <v/>
      </c>
      <c r="AB380" s="58" t="str">
        <f>IF(COUNTA(A380:I380)=0,"",IF(N(A380)&lt;=0,"Date manquante ou invalide",IF(B380="","Équipe manquante",IF(ISNA(MATCH(B380,eq_code,0)),"Équipe inconnue",IF(INDEX(eq_check,MATCH(B380,eq_code,0))&lt;&gt;"OK","Équipe à corriger dans Paramètres",IF(C380="","Poste manquant",IF(ISNA(MATCH(C380,po_code,0)),"Poste inconnu",IF(AND(E380&lt;&gt;"",ISNA(MATCH(E380,art_ref,0))),"Article inconnu",IF(IF(E380="",FALSE,INDEX(art_check,MATCH(E380,art_ref,0))&lt;&gt;"OK"),"Article à corriger (feuille Articles)",IF(COUNTIFS(sj_date,A380,sj_eq,B380,sj_po,C380)&gt;1,"Ligne en double (même jour, équipe et poste)",IF(OR(NOT(ISNUMBER(K380)),N(K380)&lt;=0,N(K380)&gt;1440),"Temps d'ouverture invalide",IF(OR(AND(G380&lt;&gt;"",NOT(ISNUMBER(G380))),N(G380)&lt;0,N(G380)&lt;&gt;INT(N(G380)),AND(H380&lt;&gt;"",NOT(ISNUMBER(H380))),N(H380)&lt;0,N(H380)&lt;&gt;INT(N(H380)),AND(I380&lt;&gt;"",NOT(ISNUMBER(I380))),N(I380)&lt;0,N(I380)&lt;&gt;INT(N(I380))),"Quantité invalide",IF(Q380&lt;=0,"Cadence manquante (poste ou article)",IF(M380&lt;=0,"Arrêts planifiés supérieurs au temps d'ouverture",IF(O380&lt;0,"Arrêts supérieurs au temps requis",IF(AND(P380&gt;0,O380=0),"Pièces déclarées sans temps de marche",IF(AND(P380=0,O380&gt;0),"Aucune pièce déclarée",IF(P380*60/Q380&gt;O380+0.001,"Cadence dépassée : vérifiez la cadence","OK"))))))))))))))))))</f>
        <v/>
      </c>
      <c r="AC380">
        <f>IF(OR(AB380="OK",AB380="Aucune pièce déclarée",AB380="Cadence dépassée : vérifiez la cadence"),1,0)</f>
        <v>0.0</v>
      </c>
      <c r="AD380">
        <f>IF(AND(AC380=1,A380&gt;=p_from,A380&lt;=p_to),1,0)</f>
        <v>0.0</v>
      </c>
      <c r="AE380">
        <f>IF(AD380=1,IF(COUNTIFS($A$6:A380,A380,$AD$6:AD380,1)=1,1,0),0)</f>
        <v>0.0</v>
      </c>
      <c r="AF380" t="str">
        <f>IF(AE380=1,COUNTIFS(sj_first,1,sj_date,"&lt;"&amp;A380)+1,"")</f>
        <v/>
      </c>
      <c r="AG380" t="str">
        <f>IF(AND(AD380=1,N(W380)&lt;p_alert),ROUND(W380,4),"")</f>
        <v/>
      </c>
      <c r="AH380" t="str">
        <f>IF(AG380="","",COUNTIF(sj_akey,"&lt;"&amp;AG380)+COUNTIF($AG$6:AG380,AG380))</f>
        <v/>
      </c>
    </row>
    <row r="381">
      <c r="A381" s="51" t="n"/>
      <c r="B381" s="52" t="n"/>
      <c r="C381" s="52" t="n"/>
      <c r="D381" s="53" t="n"/>
      <c r="E381" s="53" t="n"/>
      <c r="F381" s="54" t="n"/>
      <c r="G381" s="54" t="n"/>
      <c r="H381" s="54" t="n"/>
      <c r="I381" s="54" t="n"/>
      <c r="J381" s="53" t="n"/>
      <c r="K381" s="55" t="str">
        <f>IF(COUNTA(A381:I381)=0,"",IF(F381="",IFERROR(INDEX(eq_dur,MATCH(B381,eq_code,0)),""),F381))</f>
        <v/>
      </c>
      <c r="L381" s="55" t="str">
        <f>IF(ISNUMBER(K381),N(IFERROR(INDEX(eq_pause,MATCH(B381,eq_code,0)),0))+SUMIFS(st_min,st_date,A381,st_eq,B381,st_po,C381,st_type,"Planifié"),"")</f>
        <v/>
      </c>
      <c r="M381" s="55" t="str">
        <f>IF(ISNUMBER(K381),K381-L381,"")</f>
        <v/>
      </c>
      <c r="N381" s="55" t="str">
        <f>IF(ISNUMBER(K381),SUMIFS(st_min,st_date,A381,st_eq,B381,st_po,C381,st_type,"Non planifié"),"")</f>
        <v/>
      </c>
      <c r="O381" s="55" t="str">
        <f>IF(ISNUMBER(K381),M381-N381,"")</f>
        <v/>
      </c>
      <c r="P381" s="55" t="str">
        <f>IF(COUNTA(A381:I381)=0,"",N(G381)+N(H381)+N(I381))</f>
        <v/>
      </c>
      <c r="Q381" s="56" t="str">
        <f>IF(COUNTA(A381:I381)=0,"",IF(N(IFERROR(INDEX(art_rate,MATCH(E381,art_ref,0)),0))&gt;0,N(IFERROR(INDEX(art_rate,MATCH(E381,art_ref,0)),0)),N(IFERROR(INDEX(po_rate,MATCH(C381,po_code,0)),0))))</f>
        <v/>
      </c>
      <c r="R381" s="55" t="str">
        <f>IF(AC381=1,P381*60/Q381,"")</f>
        <v/>
      </c>
      <c r="S381" s="55" t="str">
        <f>IF(AC381=1,N(G381)*60/Q381,"")</f>
        <v/>
      </c>
      <c r="T381" s="57" t="str">
        <f>IF(AC381=1,O381/M381,"")</f>
        <v/>
      </c>
      <c r="U381" s="57" t="str">
        <f>IF(AC381=1,IF(O381&gt;0,R381/O381,""),"")</f>
        <v/>
      </c>
      <c r="V381" s="57" t="str">
        <f>IF(AC381=1,IF(P381&gt;0,N(G381)/P381,""),"")</f>
        <v/>
      </c>
      <c r="W381" s="57" t="str">
        <f>IF(AC381=1,S381/M381,"")</f>
        <v/>
      </c>
      <c r="X381" s="57" t="str">
        <f>IF(AC381=1,S381/K381,"")</f>
        <v/>
      </c>
      <c r="Y381" s="58" t="str">
        <f>IF(W381="","",IF(W381&gt;=p_target,"Bon",IF(W381&gt;=p_alert,"À surveiller","Faible")))</f>
        <v/>
      </c>
      <c r="Z381" s="58" t="str">
        <f>IF(W381="","",IF(MIN(IF(T381="",1,T381),IF(U381="",1,U381),IF(V381="",1,V381))&gt;=1,"Aucune",IF(IF(T381="",1,T381)&lt;=MIN(IF(U381="",1,U381),IF(V381="",1,V381)),"Disponibilité",IF(IF(U381="",1,U381)&lt;=IF(V381="",1,V381),"Performance","Qualité"))))</f>
        <v/>
      </c>
      <c r="AA381" s="59" t="str">
        <f>IF(AC381=1,N(H381)*N(IFERROR(INDEX(art_cost,MATCH(E381,art_ref,0)),0)),"")</f>
        <v/>
      </c>
      <c r="AB381" s="58" t="str">
        <f>IF(COUNTA(A381:I381)=0,"",IF(N(A381)&lt;=0,"Date manquante ou invalide",IF(B381="","Équipe manquante",IF(ISNA(MATCH(B381,eq_code,0)),"Équipe inconnue",IF(INDEX(eq_check,MATCH(B381,eq_code,0))&lt;&gt;"OK","Équipe à corriger dans Paramètres",IF(C381="","Poste manquant",IF(ISNA(MATCH(C381,po_code,0)),"Poste inconnu",IF(AND(E381&lt;&gt;"",ISNA(MATCH(E381,art_ref,0))),"Article inconnu",IF(IF(E381="",FALSE,INDEX(art_check,MATCH(E381,art_ref,0))&lt;&gt;"OK"),"Article à corriger (feuille Articles)",IF(COUNTIFS(sj_date,A381,sj_eq,B381,sj_po,C381)&gt;1,"Ligne en double (même jour, équipe et poste)",IF(OR(NOT(ISNUMBER(K381)),N(K381)&lt;=0,N(K381)&gt;1440),"Temps d'ouverture invalide",IF(OR(AND(G381&lt;&gt;"",NOT(ISNUMBER(G381))),N(G381)&lt;0,N(G381)&lt;&gt;INT(N(G381)),AND(H381&lt;&gt;"",NOT(ISNUMBER(H381))),N(H381)&lt;0,N(H381)&lt;&gt;INT(N(H381)),AND(I381&lt;&gt;"",NOT(ISNUMBER(I381))),N(I381)&lt;0,N(I381)&lt;&gt;INT(N(I381))),"Quantité invalide",IF(Q381&lt;=0,"Cadence manquante (poste ou article)",IF(M381&lt;=0,"Arrêts planifiés supérieurs au temps d'ouverture",IF(O381&lt;0,"Arrêts supérieurs au temps requis",IF(AND(P381&gt;0,O381=0),"Pièces déclarées sans temps de marche",IF(AND(P381=0,O381&gt;0),"Aucune pièce déclarée",IF(P381*60/Q381&gt;O381+0.001,"Cadence dépassée : vérifiez la cadence","OK"))))))))))))))))))</f>
        <v/>
      </c>
      <c r="AC381">
        <f>IF(OR(AB381="OK",AB381="Aucune pièce déclarée",AB381="Cadence dépassée : vérifiez la cadence"),1,0)</f>
        <v>0.0</v>
      </c>
      <c r="AD381">
        <f>IF(AND(AC381=1,A381&gt;=p_from,A381&lt;=p_to),1,0)</f>
        <v>0.0</v>
      </c>
      <c r="AE381">
        <f>IF(AD381=1,IF(COUNTIFS($A$6:A381,A381,$AD$6:AD381,1)=1,1,0),0)</f>
        <v>0.0</v>
      </c>
      <c r="AF381" t="str">
        <f>IF(AE381=1,COUNTIFS(sj_first,1,sj_date,"&lt;"&amp;A381)+1,"")</f>
        <v/>
      </c>
      <c r="AG381" t="str">
        <f>IF(AND(AD381=1,N(W381)&lt;p_alert),ROUND(W381,4),"")</f>
        <v/>
      </c>
      <c r="AH381" t="str">
        <f>IF(AG381="","",COUNTIF(sj_akey,"&lt;"&amp;AG381)+COUNTIF($AG$6:AG381,AG381))</f>
        <v/>
      </c>
    </row>
    <row r="382">
      <c r="A382" s="51" t="n"/>
      <c r="B382" s="52" t="n"/>
      <c r="C382" s="52" t="n"/>
      <c r="D382" s="53" t="n"/>
      <c r="E382" s="53" t="n"/>
      <c r="F382" s="54" t="n"/>
      <c r="G382" s="54" t="n"/>
      <c r="H382" s="54" t="n"/>
      <c r="I382" s="54" t="n"/>
      <c r="J382" s="53" t="n"/>
      <c r="K382" s="55" t="str">
        <f>IF(COUNTA(A382:I382)=0,"",IF(F382="",IFERROR(INDEX(eq_dur,MATCH(B382,eq_code,0)),""),F382))</f>
        <v/>
      </c>
      <c r="L382" s="55" t="str">
        <f>IF(ISNUMBER(K382),N(IFERROR(INDEX(eq_pause,MATCH(B382,eq_code,0)),0))+SUMIFS(st_min,st_date,A382,st_eq,B382,st_po,C382,st_type,"Planifié"),"")</f>
        <v/>
      </c>
      <c r="M382" s="55" t="str">
        <f>IF(ISNUMBER(K382),K382-L382,"")</f>
        <v/>
      </c>
      <c r="N382" s="55" t="str">
        <f>IF(ISNUMBER(K382),SUMIFS(st_min,st_date,A382,st_eq,B382,st_po,C382,st_type,"Non planifié"),"")</f>
        <v/>
      </c>
      <c r="O382" s="55" t="str">
        <f>IF(ISNUMBER(K382),M382-N382,"")</f>
        <v/>
      </c>
      <c r="P382" s="55" t="str">
        <f>IF(COUNTA(A382:I382)=0,"",N(G382)+N(H382)+N(I382))</f>
        <v/>
      </c>
      <c r="Q382" s="56" t="str">
        <f>IF(COUNTA(A382:I382)=0,"",IF(N(IFERROR(INDEX(art_rate,MATCH(E382,art_ref,0)),0))&gt;0,N(IFERROR(INDEX(art_rate,MATCH(E382,art_ref,0)),0)),N(IFERROR(INDEX(po_rate,MATCH(C382,po_code,0)),0))))</f>
        <v/>
      </c>
      <c r="R382" s="55" t="str">
        <f>IF(AC382=1,P382*60/Q382,"")</f>
        <v/>
      </c>
      <c r="S382" s="55" t="str">
        <f>IF(AC382=1,N(G382)*60/Q382,"")</f>
        <v/>
      </c>
      <c r="T382" s="57" t="str">
        <f>IF(AC382=1,O382/M382,"")</f>
        <v/>
      </c>
      <c r="U382" s="57" t="str">
        <f>IF(AC382=1,IF(O382&gt;0,R382/O382,""),"")</f>
        <v/>
      </c>
      <c r="V382" s="57" t="str">
        <f>IF(AC382=1,IF(P382&gt;0,N(G382)/P382,""),"")</f>
        <v/>
      </c>
      <c r="W382" s="57" t="str">
        <f>IF(AC382=1,S382/M382,"")</f>
        <v/>
      </c>
      <c r="X382" s="57" t="str">
        <f>IF(AC382=1,S382/K382,"")</f>
        <v/>
      </c>
      <c r="Y382" s="58" t="str">
        <f>IF(W382="","",IF(W382&gt;=p_target,"Bon",IF(W382&gt;=p_alert,"À surveiller","Faible")))</f>
        <v/>
      </c>
      <c r="Z382" s="58" t="str">
        <f>IF(W382="","",IF(MIN(IF(T382="",1,T382),IF(U382="",1,U382),IF(V382="",1,V382))&gt;=1,"Aucune",IF(IF(T382="",1,T382)&lt;=MIN(IF(U382="",1,U382),IF(V382="",1,V382)),"Disponibilité",IF(IF(U382="",1,U382)&lt;=IF(V382="",1,V382),"Performance","Qualité"))))</f>
        <v/>
      </c>
      <c r="AA382" s="59" t="str">
        <f>IF(AC382=1,N(H382)*N(IFERROR(INDEX(art_cost,MATCH(E382,art_ref,0)),0)),"")</f>
        <v/>
      </c>
      <c r="AB382" s="58" t="str">
        <f>IF(COUNTA(A382:I382)=0,"",IF(N(A382)&lt;=0,"Date manquante ou invalide",IF(B382="","Équipe manquante",IF(ISNA(MATCH(B382,eq_code,0)),"Équipe inconnue",IF(INDEX(eq_check,MATCH(B382,eq_code,0))&lt;&gt;"OK","Équipe à corriger dans Paramètres",IF(C382="","Poste manquant",IF(ISNA(MATCH(C382,po_code,0)),"Poste inconnu",IF(AND(E382&lt;&gt;"",ISNA(MATCH(E382,art_ref,0))),"Article inconnu",IF(IF(E382="",FALSE,INDEX(art_check,MATCH(E382,art_ref,0))&lt;&gt;"OK"),"Article à corriger (feuille Articles)",IF(COUNTIFS(sj_date,A382,sj_eq,B382,sj_po,C382)&gt;1,"Ligne en double (même jour, équipe et poste)",IF(OR(NOT(ISNUMBER(K382)),N(K382)&lt;=0,N(K382)&gt;1440),"Temps d'ouverture invalide",IF(OR(AND(G382&lt;&gt;"",NOT(ISNUMBER(G382))),N(G382)&lt;0,N(G382)&lt;&gt;INT(N(G382)),AND(H382&lt;&gt;"",NOT(ISNUMBER(H382))),N(H382)&lt;0,N(H382)&lt;&gt;INT(N(H382)),AND(I382&lt;&gt;"",NOT(ISNUMBER(I382))),N(I382)&lt;0,N(I382)&lt;&gt;INT(N(I382))),"Quantité invalide",IF(Q382&lt;=0,"Cadence manquante (poste ou article)",IF(M382&lt;=0,"Arrêts planifiés supérieurs au temps d'ouverture",IF(O382&lt;0,"Arrêts supérieurs au temps requis",IF(AND(P382&gt;0,O382=0),"Pièces déclarées sans temps de marche",IF(AND(P382=0,O382&gt;0),"Aucune pièce déclarée",IF(P382*60/Q382&gt;O382+0.001,"Cadence dépassée : vérifiez la cadence","OK"))))))))))))))))))</f>
        <v/>
      </c>
      <c r="AC382">
        <f>IF(OR(AB382="OK",AB382="Aucune pièce déclarée",AB382="Cadence dépassée : vérifiez la cadence"),1,0)</f>
        <v>0.0</v>
      </c>
      <c r="AD382">
        <f>IF(AND(AC382=1,A382&gt;=p_from,A382&lt;=p_to),1,0)</f>
        <v>0.0</v>
      </c>
      <c r="AE382">
        <f>IF(AD382=1,IF(COUNTIFS($A$6:A382,A382,$AD$6:AD382,1)=1,1,0),0)</f>
        <v>0.0</v>
      </c>
      <c r="AF382" t="str">
        <f>IF(AE382=1,COUNTIFS(sj_first,1,sj_date,"&lt;"&amp;A382)+1,"")</f>
        <v/>
      </c>
      <c r="AG382" t="str">
        <f>IF(AND(AD382=1,N(W382)&lt;p_alert),ROUND(W382,4),"")</f>
        <v/>
      </c>
      <c r="AH382" t="str">
        <f>IF(AG382="","",COUNTIF(sj_akey,"&lt;"&amp;AG382)+COUNTIF($AG$6:AG382,AG382))</f>
        <v/>
      </c>
    </row>
    <row r="383">
      <c r="A383" s="51" t="n"/>
      <c r="B383" s="52" t="n"/>
      <c r="C383" s="52" t="n"/>
      <c r="D383" s="53" t="n"/>
      <c r="E383" s="53" t="n"/>
      <c r="F383" s="54" t="n"/>
      <c r="G383" s="54" t="n"/>
      <c r="H383" s="54" t="n"/>
      <c r="I383" s="54" t="n"/>
      <c r="J383" s="53" t="n"/>
      <c r="K383" s="55" t="str">
        <f>IF(COUNTA(A383:I383)=0,"",IF(F383="",IFERROR(INDEX(eq_dur,MATCH(B383,eq_code,0)),""),F383))</f>
        <v/>
      </c>
      <c r="L383" s="55" t="str">
        <f>IF(ISNUMBER(K383),N(IFERROR(INDEX(eq_pause,MATCH(B383,eq_code,0)),0))+SUMIFS(st_min,st_date,A383,st_eq,B383,st_po,C383,st_type,"Planifié"),"")</f>
        <v/>
      </c>
      <c r="M383" s="55" t="str">
        <f>IF(ISNUMBER(K383),K383-L383,"")</f>
        <v/>
      </c>
      <c r="N383" s="55" t="str">
        <f>IF(ISNUMBER(K383),SUMIFS(st_min,st_date,A383,st_eq,B383,st_po,C383,st_type,"Non planifié"),"")</f>
        <v/>
      </c>
      <c r="O383" s="55" t="str">
        <f>IF(ISNUMBER(K383),M383-N383,"")</f>
        <v/>
      </c>
      <c r="P383" s="55" t="str">
        <f>IF(COUNTA(A383:I383)=0,"",N(G383)+N(H383)+N(I383))</f>
        <v/>
      </c>
      <c r="Q383" s="56" t="str">
        <f>IF(COUNTA(A383:I383)=0,"",IF(N(IFERROR(INDEX(art_rate,MATCH(E383,art_ref,0)),0))&gt;0,N(IFERROR(INDEX(art_rate,MATCH(E383,art_ref,0)),0)),N(IFERROR(INDEX(po_rate,MATCH(C383,po_code,0)),0))))</f>
        <v/>
      </c>
      <c r="R383" s="55" t="str">
        <f>IF(AC383=1,P383*60/Q383,"")</f>
        <v/>
      </c>
      <c r="S383" s="55" t="str">
        <f>IF(AC383=1,N(G383)*60/Q383,"")</f>
        <v/>
      </c>
      <c r="T383" s="57" t="str">
        <f>IF(AC383=1,O383/M383,"")</f>
        <v/>
      </c>
      <c r="U383" s="57" t="str">
        <f>IF(AC383=1,IF(O383&gt;0,R383/O383,""),"")</f>
        <v/>
      </c>
      <c r="V383" s="57" t="str">
        <f>IF(AC383=1,IF(P383&gt;0,N(G383)/P383,""),"")</f>
        <v/>
      </c>
      <c r="W383" s="57" t="str">
        <f>IF(AC383=1,S383/M383,"")</f>
        <v/>
      </c>
      <c r="X383" s="57" t="str">
        <f>IF(AC383=1,S383/K383,"")</f>
        <v/>
      </c>
      <c r="Y383" s="58" t="str">
        <f>IF(W383="","",IF(W383&gt;=p_target,"Bon",IF(W383&gt;=p_alert,"À surveiller","Faible")))</f>
        <v/>
      </c>
      <c r="Z383" s="58" t="str">
        <f>IF(W383="","",IF(MIN(IF(T383="",1,T383),IF(U383="",1,U383),IF(V383="",1,V383))&gt;=1,"Aucune",IF(IF(T383="",1,T383)&lt;=MIN(IF(U383="",1,U383),IF(V383="",1,V383)),"Disponibilité",IF(IF(U383="",1,U383)&lt;=IF(V383="",1,V383),"Performance","Qualité"))))</f>
        <v/>
      </c>
      <c r="AA383" s="59" t="str">
        <f>IF(AC383=1,N(H383)*N(IFERROR(INDEX(art_cost,MATCH(E383,art_ref,0)),0)),"")</f>
        <v/>
      </c>
      <c r="AB383" s="58" t="str">
        <f>IF(COUNTA(A383:I383)=0,"",IF(N(A383)&lt;=0,"Date manquante ou invalide",IF(B383="","Équipe manquante",IF(ISNA(MATCH(B383,eq_code,0)),"Équipe inconnue",IF(INDEX(eq_check,MATCH(B383,eq_code,0))&lt;&gt;"OK","Équipe à corriger dans Paramètres",IF(C383="","Poste manquant",IF(ISNA(MATCH(C383,po_code,0)),"Poste inconnu",IF(AND(E383&lt;&gt;"",ISNA(MATCH(E383,art_ref,0))),"Article inconnu",IF(IF(E383="",FALSE,INDEX(art_check,MATCH(E383,art_ref,0))&lt;&gt;"OK"),"Article à corriger (feuille Articles)",IF(COUNTIFS(sj_date,A383,sj_eq,B383,sj_po,C383)&gt;1,"Ligne en double (même jour, équipe et poste)",IF(OR(NOT(ISNUMBER(K383)),N(K383)&lt;=0,N(K383)&gt;1440),"Temps d'ouverture invalide",IF(OR(AND(G383&lt;&gt;"",NOT(ISNUMBER(G383))),N(G383)&lt;0,N(G383)&lt;&gt;INT(N(G383)),AND(H383&lt;&gt;"",NOT(ISNUMBER(H383))),N(H383)&lt;0,N(H383)&lt;&gt;INT(N(H383)),AND(I383&lt;&gt;"",NOT(ISNUMBER(I383))),N(I383)&lt;0,N(I383)&lt;&gt;INT(N(I383))),"Quantité invalide",IF(Q383&lt;=0,"Cadence manquante (poste ou article)",IF(M383&lt;=0,"Arrêts planifiés supérieurs au temps d'ouverture",IF(O383&lt;0,"Arrêts supérieurs au temps requis",IF(AND(P383&gt;0,O383=0),"Pièces déclarées sans temps de marche",IF(AND(P383=0,O383&gt;0),"Aucune pièce déclarée",IF(P383*60/Q383&gt;O383+0.001,"Cadence dépassée : vérifiez la cadence","OK"))))))))))))))))))</f>
        <v/>
      </c>
      <c r="AC383">
        <f>IF(OR(AB383="OK",AB383="Aucune pièce déclarée",AB383="Cadence dépassée : vérifiez la cadence"),1,0)</f>
        <v>0.0</v>
      </c>
      <c r="AD383">
        <f>IF(AND(AC383=1,A383&gt;=p_from,A383&lt;=p_to),1,0)</f>
        <v>0.0</v>
      </c>
      <c r="AE383">
        <f>IF(AD383=1,IF(COUNTIFS($A$6:A383,A383,$AD$6:AD383,1)=1,1,0),0)</f>
        <v>0.0</v>
      </c>
      <c r="AF383" t="str">
        <f>IF(AE383=1,COUNTIFS(sj_first,1,sj_date,"&lt;"&amp;A383)+1,"")</f>
        <v/>
      </c>
      <c r="AG383" t="str">
        <f>IF(AND(AD383=1,N(W383)&lt;p_alert),ROUND(W383,4),"")</f>
        <v/>
      </c>
      <c r="AH383" t="str">
        <f>IF(AG383="","",COUNTIF(sj_akey,"&lt;"&amp;AG383)+COUNTIF($AG$6:AG383,AG383))</f>
        <v/>
      </c>
    </row>
    <row r="384">
      <c r="A384" s="51" t="n"/>
      <c r="B384" s="52" t="n"/>
      <c r="C384" s="52" t="n"/>
      <c r="D384" s="53" t="n"/>
      <c r="E384" s="53" t="n"/>
      <c r="F384" s="54" t="n"/>
      <c r="G384" s="54" t="n"/>
      <c r="H384" s="54" t="n"/>
      <c r="I384" s="54" t="n"/>
      <c r="J384" s="53" t="n"/>
      <c r="K384" s="55" t="str">
        <f>IF(COUNTA(A384:I384)=0,"",IF(F384="",IFERROR(INDEX(eq_dur,MATCH(B384,eq_code,0)),""),F384))</f>
        <v/>
      </c>
      <c r="L384" s="55" t="str">
        <f>IF(ISNUMBER(K384),N(IFERROR(INDEX(eq_pause,MATCH(B384,eq_code,0)),0))+SUMIFS(st_min,st_date,A384,st_eq,B384,st_po,C384,st_type,"Planifié"),"")</f>
        <v/>
      </c>
      <c r="M384" s="55" t="str">
        <f>IF(ISNUMBER(K384),K384-L384,"")</f>
        <v/>
      </c>
      <c r="N384" s="55" t="str">
        <f>IF(ISNUMBER(K384),SUMIFS(st_min,st_date,A384,st_eq,B384,st_po,C384,st_type,"Non planifié"),"")</f>
        <v/>
      </c>
      <c r="O384" s="55" t="str">
        <f>IF(ISNUMBER(K384),M384-N384,"")</f>
        <v/>
      </c>
      <c r="P384" s="55" t="str">
        <f>IF(COUNTA(A384:I384)=0,"",N(G384)+N(H384)+N(I384))</f>
        <v/>
      </c>
      <c r="Q384" s="56" t="str">
        <f>IF(COUNTA(A384:I384)=0,"",IF(N(IFERROR(INDEX(art_rate,MATCH(E384,art_ref,0)),0))&gt;0,N(IFERROR(INDEX(art_rate,MATCH(E384,art_ref,0)),0)),N(IFERROR(INDEX(po_rate,MATCH(C384,po_code,0)),0))))</f>
        <v/>
      </c>
      <c r="R384" s="55" t="str">
        <f>IF(AC384=1,P384*60/Q384,"")</f>
        <v/>
      </c>
      <c r="S384" s="55" t="str">
        <f>IF(AC384=1,N(G384)*60/Q384,"")</f>
        <v/>
      </c>
      <c r="T384" s="57" t="str">
        <f>IF(AC384=1,O384/M384,"")</f>
        <v/>
      </c>
      <c r="U384" s="57" t="str">
        <f>IF(AC384=1,IF(O384&gt;0,R384/O384,""),"")</f>
        <v/>
      </c>
      <c r="V384" s="57" t="str">
        <f>IF(AC384=1,IF(P384&gt;0,N(G384)/P384,""),"")</f>
        <v/>
      </c>
      <c r="W384" s="57" t="str">
        <f>IF(AC384=1,S384/M384,"")</f>
        <v/>
      </c>
      <c r="X384" s="57" t="str">
        <f>IF(AC384=1,S384/K384,"")</f>
        <v/>
      </c>
      <c r="Y384" s="58" t="str">
        <f>IF(W384="","",IF(W384&gt;=p_target,"Bon",IF(W384&gt;=p_alert,"À surveiller","Faible")))</f>
        <v/>
      </c>
      <c r="Z384" s="58" t="str">
        <f>IF(W384="","",IF(MIN(IF(T384="",1,T384),IF(U384="",1,U384),IF(V384="",1,V384))&gt;=1,"Aucune",IF(IF(T384="",1,T384)&lt;=MIN(IF(U384="",1,U384),IF(V384="",1,V384)),"Disponibilité",IF(IF(U384="",1,U384)&lt;=IF(V384="",1,V384),"Performance","Qualité"))))</f>
        <v/>
      </c>
      <c r="AA384" s="59" t="str">
        <f>IF(AC384=1,N(H384)*N(IFERROR(INDEX(art_cost,MATCH(E384,art_ref,0)),0)),"")</f>
        <v/>
      </c>
      <c r="AB384" s="58" t="str">
        <f>IF(COUNTA(A384:I384)=0,"",IF(N(A384)&lt;=0,"Date manquante ou invalide",IF(B384="","Équipe manquante",IF(ISNA(MATCH(B384,eq_code,0)),"Équipe inconnue",IF(INDEX(eq_check,MATCH(B384,eq_code,0))&lt;&gt;"OK","Équipe à corriger dans Paramètres",IF(C384="","Poste manquant",IF(ISNA(MATCH(C384,po_code,0)),"Poste inconnu",IF(AND(E384&lt;&gt;"",ISNA(MATCH(E384,art_ref,0))),"Article inconnu",IF(IF(E384="",FALSE,INDEX(art_check,MATCH(E384,art_ref,0))&lt;&gt;"OK"),"Article à corriger (feuille Articles)",IF(COUNTIFS(sj_date,A384,sj_eq,B384,sj_po,C384)&gt;1,"Ligne en double (même jour, équipe et poste)",IF(OR(NOT(ISNUMBER(K384)),N(K384)&lt;=0,N(K384)&gt;1440),"Temps d'ouverture invalide",IF(OR(AND(G384&lt;&gt;"",NOT(ISNUMBER(G384))),N(G384)&lt;0,N(G384)&lt;&gt;INT(N(G384)),AND(H384&lt;&gt;"",NOT(ISNUMBER(H384))),N(H384)&lt;0,N(H384)&lt;&gt;INT(N(H384)),AND(I384&lt;&gt;"",NOT(ISNUMBER(I384))),N(I384)&lt;0,N(I384)&lt;&gt;INT(N(I384))),"Quantité invalide",IF(Q384&lt;=0,"Cadence manquante (poste ou article)",IF(M384&lt;=0,"Arrêts planifiés supérieurs au temps d'ouverture",IF(O384&lt;0,"Arrêts supérieurs au temps requis",IF(AND(P384&gt;0,O384=0),"Pièces déclarées sans temps de marche",IF(AND(P384=0,O384&gt;0),"Aucune pièce déclarée",IF(P384*60/Q384&gt;O384+0.001,"Cadence dépassée : vérifiez la cadence","OK"))))))))))))))))))</f>
        <v/>
      </c>
      <c r="AC384">
        <f>IF(OR(AB384="OK",AB384="Aucune pièce déclarée",AB384="Cadence dépassée : vérifiez la cadence"),1,0)</f>
        <v>0.0</v>
      </c>
      <c r="AD384">
        <f>IF(AND(AC384=1,A384&gt;=p_from,A384&lt;=p_to),1,0)</f>
        <v>0.0</v>
      </c>
      <c r="AE384">
        <f>IF(AD384=1,IF(COUNTIFS($A$6:A384,A384,$AD$6:AD384,1)=1,1,0),0)</f>
        <v>0.0</v>
      </c>
      <c r="AF384" t="str">
        <f>IF(AE384=1,COUNTIFS(sj_first,1,sj_date,"&lt;"&amp;A384)+1,"")</f>
        <v/>
      </c>
      <c r="AG384" t="str">
        <f>IF(AND(AD384=1,N(W384)&lt;p_alert),ROUND(W384,4),"")</f>
        <v/>
      </c>
      <c r="AH384" t="str">
        <f>IF(AG384="","",COUNTIF(sj_akey,"&lt;"&amp;AG384)+COUNTIF($AG$6:AG384,AG384))</f>
        <v/>
      </c>
    </row>
    <row r="385">
      <c r="A385" s="51" t="n"/>
      <c r="B385" s="52" t="n"/>
      <c r="C385" s="52" t="n"/>
      <c r="D385" s="53" t="n"/>
      <c r="E385" s="53" t="n"/>
      <c r="F385" s="54" t="n"/>
      <c r="G385" s="54" t="n"/>
      <c r="H385" s="54" t="n"/>
      <c r="I385" s="54" t="n"/>
      <c r="J385" s="53" t="n"/>
      <c r="K385" s="55" t="str">
        <f>IF(COUNTA(A385:I385)=0,"",IF(F385="",IFERROR(INDEX(eq_dur,MATCH(B385,eq_code,0)),""),F385))</f>
        <v/>
      </c>
      <c r="L385" s="55" t="str">
        <f>IF(ISNUMBER(K385),N(IFERROR(INDEX(eq_pause,MATCH(B385,eq_code,0)),0))+SUMIFS(st_min,st_date,A385,st_eq,B385,st_po,C385,st_type,"Planifié"),"")</f>
        <v/>
      </c>
      <c r="M385" s="55" t="str">
        <f>IF(ISNUMBER(K385),K385-L385,"")</f>
        <v/>
      </c>
      <c r="N385" s="55" t="str">
        <f>IF(ISNUMBER(K385),SUMIFS(st_min,st_date,A385,st_eq,B385,st_po,C385,st_type,"Non planifié"),"")</f>
        <v/>
      </c>
      <c r="O385" s="55" t="str">
        <f>IF(ISNUMBER(K385),M385-N385,"")</f>
        <v/>
      </c>
      <c r="P385" s="55" t="str">
        <f>IF(COUNTA(A385:I385)=0,"",N(G385)+N(H385)+N(I385))</f>
        <v/>
      </c>
      <c r="Q385" s="56" t="str">
        <f>IF(COUNTA(A385:I385)=0,"",IF(N(IFERROR(INDEX(art_rate,MATCH(E385,art_ref,0)),0))&gt;0,N(IFERROR(INDEX(art_rate,MATCH(E385,art_ref,0)),0)),N(IFERROR(INDEX(po_rate,MATCH(C385,po_code,0)),0))))</f>
        <v/>
      </c>
      <c r="R385" s="55" t="str">
        <f>IF(AC385=1,P385*60/Q385,"")</f>
        <v/>
      </c>
      <c r="S385" s="55" t="str">
        <f>IF(AC385=1,N(G385)*60/Q385,"")</f>
        <v/>
      </c>
      <c r="T385" s="57" t="str">
        <f>IF(AC385=1,O385/M385,"")</f>
        <v/>
      </c>
      <c r="U385" s="57" t="str">
        <f>IF(AC385=1,IF(O385&gt;0,R385/O385,""),"")</f>
        <v/>
      </c>
      <c r="V385" s="57" t="str">
        <f>IF(AC385=1,IF(P385&gt;0,N(G385)/P385,""),"")</f>
        <v/>
      </c>
      <c r="W385" s="57" t="str">
        <f>IF(AC385=1,S385/M385,"")</f>
        <v/>
      </c>
      <c r="X385" s="57" t="str">
        <f>IF(AC385=1,S385/K385,"")</f>
        <v/>
      </c>
      <c r="Y385" s="58" t="str">
        <f>IF(W385="","",IF(W385&gt;=p_target,"Bon",IF(W385&gt;=p_alert,"À surveiller","Faible")))</f>
        <v/>
      </c>
      <c r="Z385" s="58" t="str">
        <f>IF(W385="","",IF(MIN(IF(T385="",1,T385),IF(U385="",1,U385),IF(V385="",1,V385))&gt;=1,"Aucune",IF(IF(T385="",1,T385)&lt;=MIN(IF(U385="",1,U385),IF(V385="",1,V385)),"Disponibilité",IF(IF(U385="",1,U385)&lt;=IF(V385="",1,V385),"Performance","Qualité"))))</f>
        <v/>
      </c>
      <c r="AA385" s="59" t="str">
        <f>IF(AC385=1,N(H385)*N(IFERROR(INDEX(art_cost,MATCH(E385,art_ref,0)),0)),"")</f>
        <v/>
      </c>
      <c r="AB385" s="58" t="str">
        <f>IF(COUNTA(A385:I385)=0,"",IF(N(A385)&lt;=0,"Date manquante ou invalide",IF(B385="","Équipe manquante",IF(ISNA(MATCH(B385,eq_code,0)),"Équipe inconnue",IF(INDEX(eq_check,MATCH(B385,eq_code,0))&lt;&gt;"OK","Équipe à corriger dans Paramètres",IF(C385="","Poste manquant",IF(ISNA(MATCH(C385,po_code,0)),"Poste inconnu",IF(AND(E385&lt;&gt;"",ISNA(MATCH(E385,art_ref,0))),"Article inconnu",IF(IF(E385="",FALSE,INDEX(art_check,MATCH(E385,art_ref,0))&lt;&gt;"OK"),"Article à corriger (feuille Articles)",IF(COUNTIFS(sj_date,A385,sj_eq,B385,sj_po,C385)&gt;1,"Ligne en double (même jour, équipe et poste)",IF(OR(NOT(ISNUMBER(K385)),N(K385)&lt;=0,N(K385)&gt;1440),"Temps d'ouverture invalide",IF(OR(AND(G385&lt;&gt;"",NOT(ISNUMBER(G385))),N(G385)&lt;0,N(G385)&lt;&gt;INT(N(G385)),AND(H385&lt;&gt;"",NOT(ISNUMBER(H385))),N(H385)&lt;0,N(H385)&lt;&gt;INT(N(H385)),AND(I385&lt;&gt;"",NOT(ISNUMBER(I385))),N(I385)&lt;0,N(I385)&lt;&gt;INT(N(I385))),"Quantité invalide",IF(Q385&lt;=0,"Cadence manquante (poste ou article)",IF(M385&lt;=0,"Arrêts planifiés supérieurs au temps d'ouverture",IF(O385&lt;0,"Arrêts supérieurs au temps requis",IF(AND(P385&gt;0,O385=0),"Pièces déclarées sans temps de marche",IF(AND(P385=0,O385&gt;0),"Aucune pièce déclarée",IF(P385*60/Q385&gt;O385+0.001,"Cadence dépassée : vérifiez la cadence","OK"))))))))))))))))))</f>
        <v/>
      </c>
      <c r="AC385">
        <f>IF(OR(AB385="OK",AB385="Aucune pièce déclarée",AB385="Cadence dépassée : vérifiez la cadence"),1,0)</f>
        <v>0.0</v>
      </c>
      <c r="AD385">
        <f>IF(AND(AC385=1,A385&gt;=p_from,A385&lt;=p_to),1,0)</f>
        <v>0.0</v>
      </c>
      <c r="AE385">
        <f>IF(AD385=1,IF(COUNTIFS($A$6:A385,A385,$AD$6:AD385,1)=1,1,0),0)</f>
        <v>0.0</v>
      </c>
      <c r="AF385" t="str">
        <f>IF(AE385=1,COUNTIFS(sj_first,1,sj_date,"&lt;"&amp;A385)+1,"")</f>
        <v/>
      </c>
      <c r="AG385" t="str">
        <f>IF(AND(AD385=1,N(W385)&lt;p_alert),ROUND(W385,4),"")</f>
        <v/>
      </c>
      <c r="AH385" t="str">
        <f>IF(AG385="","",COUNTIF(sj_akey,"&lt;"&amp;AG385)+COUNTIF($AG$6:AG385,AG385))</f>
        <v/>
      </c>
    </row>
    <row r="386">
      <c r="A386" s="51" t="n"/>
      <c r="B386" s="52" t="n"/>
      <c r="C386" s="52" t="n"/>
      <c r="D386" s="53" t="n"/>
      <c r="E386" s="53" t="n"/>
      <c r="F386" s="54" t="n"/>
      <c r="G386" s="54" t="n"/>
      <c r="H386" s="54" t="n"/>
      <c r="I386" s="54" t="n"/>
      <c r="J386" s="53" t="n"/>
      <c r="K386" s="55" t="str">
        <f>IF(COUNTA(A386:I386)=0,"",IF(F386="",IFERROR(INDEX(eq_dur,MATCH(B386,eq_code,0)),""),F386))</f>
        <v/>
      </c>
      <c r="L386" s="55" t="str">
        <f>IF(ISNUMBER(K386),N(IFERROR(INDEX(eq_pause,MATCH(B386,eq_code,0)),0))+SUMIFS(st_min,st_date,A386,st_eq,B386,st_po,C386,st_type,"Planifié"),"")</f>
        <v/>
      </c>
      <c r="M386" s="55" t="str">
        <f>IF(ISNUMBER(K386),K386-L386,"")</f>
        <v/>
      </c>
      <c r="N386" s="55" t="str">
        <f>IF(ISNUMBER(K386),SUMIFS(st_min,st_date,A386,st_eq,B386,st_po,C386,st_type,"Non planifié"),"")</f>
        <v/>
      </c>
      <c r="O386" s="55" t="str">
        <f>IF(ISNUMBER(K386),M386-N386,"")</f>
        <v/>
      </c>
      <c r="P386" s="55" t="str">
        <f>IF(COUNTA(A386:I386)=0,"",N(G386)+N(H386)+N(I386))</f>
        <v/>
      </c>
      <c r="Q386" s="56" t="str">
        <f>IF(COUNTA(A386:I386)=0,"",IF(N(IFERROR(INDEX(art_rate,MATCH(E386,art_ref,0)),0))&gt;0,N(IFERROR(INDEX(art_rate,MATCH(E386,art_ref,0)),0)),N(IFERROR(INDEX(po_rate,MATCH(C386,po_code,0)),0))))</f>
        <v/>
      </c>
      <c r="R386" s="55" t="str">
        <f>IF(AC386=1,P386*60/Q386,"")</f>
        <v/>
      </c>
      <c r="S386" s="55" t="str">
        <f>IF(AC386=1,N(G386)*60/Q386,"")</f>
        <v/>
      </c>
      <c r="T386" s="57" t="str">
        <f>IF(AC386=1,O386/M386,"")</f>
        <v/>
      </c>
      <c r="U386" s="57" t="str">
        <f>IF(AC386=1,IF(O386&gt;0,R386/O386,""),"")</f>
        <v/>
      </c>
      <c r="V386" s="57" t="str">
        <f>IF(AC386=1,IF(P386&gt;0,N(G386)/P386,""),"")</f>
        <v/>
      </c>
      <c r="W386" s="57" t="str">
        <f>IF(AC386=1,S386/M386,"")</f>
        <v/>
      </c>
      <c r="X386" s="57" t="str">
        <f>IF(AC386=1,S386/K386,"")</f>
        <v/>
      </c>
      <c r="Y386" s="58" t="str">
        <f>IF(W386="","",IF(W386&gt;=p_target,"Bon",IF(W386&gt;=p_alert,"À surveiller","Faible")))</f>
        <v/>
      </c>
      <c r="Z386" s="58" t="str">
        <f>IF(W386="","",IF(MIN(IF(T386="",1,T386),IF(U386="",1,U386),IF(V386="",1,V386))&gt;=1,"Aucune",IF(IF(T386="",1,T386)&lt;=MIN(IF(U386="",1,U386),IF(V386="",1,V386)),"Disponibilité",IF(IF(U386="",1,U386)&lt;=IF(V386="",1,V386),"Performance","Qualité"))))</f>
        <v/>
      </c>
      <c r="AA386" s="59" t="str">
        <f>IF(AC386=1,N(H386)*N(IFERROR(INDEX(art_cost,MATCH(E386,art_ref,0)),0)),"")</f>
        <v/>
      </c>
      <c r="AB386" s="58" t="str">
        <f>IF(COUNTA(A386:I386)=0,"",IF(N(A386)&lt;=0,"Date manquante ou invalide",IF(B386="","Équipe manquante",IF(ISNA(MATCH(B386,eq_code,0)),"Équipe inconnue",IF(INDEX(eq_check,MATCH(B386,eq_code,0))&lt;&gt;"OK","Équipe à corriger dans Paramètres",IF(C386="","Poste manquant",IF(ISNA(MATCH(C386,po_code,0)),"Poste inconnu",IF(AND(E386&lt;&gt;"",ISNA(MATCH(E386,art_ref,0))),"Article inconnu",IF(IF(E386="",FALSE,INDEX(art_check,MATCH(E386,art_ref,0))&lt;&gt;"OK"),"Article à corriger (feuille Articles)",IF(COUNTIFS(sj_date,A386,sj_eq,B386,sj_po,C386)&gt;1,"Ligne en double (même jour, équipe et poste)",IF(OR(NOT(ISNUMBER(K386)),N(K386)&lt;=0,N(K386)&gt;1440),"Temps d'ouverture invalide",IF(OR(AND(G386&lt;&gt;"",NOT(ISNUMBER(G386))),N(G386)&lt;0,N(G386)&lt;&gt;INT(N(G386)),AND(H386&lt;&gt;"",NOT(ISNUMBER(H386))),N(H386)&lt;0,N(H386)&lt;&gt;INT(N(H386)),AND(I386&lt;&gt;"",NOT(ISNUMBER(I386))),N(I386)&lt;0,N(I386)&lt;&gt;INT(N(I386))),"Quantité invalide",IF(Q386&lt;=0,"Cadence manquante (poste ou article)",IF(M386&lt;=0,"Arrêts planifiés supérieurs au temps d'ouverture",IF(O386&lt;0,"Arrêts supérieurs au temps requis",IF(AND(P386&gt;0,O386=0),"Pièces déclarées sans temps de marche",IF(AND(P386=0,O386&gt;0),"Aucune pièce déclarée",IF(P386*60/Q386&gt;O386+0.001,"Cadence dépassée : vérifiez la cadence","OK"))))))))))))))))))</f>
        <v/>
      </c>
      <c r="AC386">
        <f>IF(OR(AB386="OK",AB386="Aucune pièce déclarée",AB386="Cadence dépassée : vérifiez la cadence"),1,0)</f>
        <v>0.0</v>
      </c>
      <c r="AD386">
        <f>IF(AND(AC386=1,A386&gt;=p_from,A386&lt;=p_to),1,0)</f>
        <v>0.0</v>
      </c>
      <c r="AE386">
        <f>IF(AD386=1,IF(COUNTIFS($A$6:A386,A386,$AD$6:AD386,1)=1,1,0),0)</f>
        <v>0.0</v>
      </c>
      <c r="AF386" t="str">
        <f>IF(AE386=1,COUNTIFS(sj_first,1,sj_date,"&lt;"&amp;A386)+1,"")</f>
        <v/>
      </c>
      <c r="AG386" t="str">
        <f>IF(AND(AD386=1,N(W386)&lt;p_alert),ROUND(W386,4),"")</f>
        <v/>
      </c>
      <c r="AH386" t="str">
        <f>IF(AG386="","",COUNTIF(sj_akey,"&lt;"&amp;AG386)+COUNTIF($AG$6:AG386,AG386))</f>
        <v/>
      </c>
    </row>
    <row r="387">
      <c r="A387" s="51" t="n"/>
      <c r="B387" s="52" t="n"/>
      <c r="C387" s="52" t="n"/>
      <c r="D387" s="53" t="n"/>
      <c r="E387" s="53" t="n"/>
      <c r="F387" s="54" t="n"/>
      <c r="G387" s="54" t="n"/>
      <c r="H387" s="54" t="n"/>
      <c r="I387" s="54" t="n"/>
      <c r="J387" s="53" t="n"/>
      <c r="K387" s="55" t="str">
        <f>IF(COUNTA(A387:I387)=0,"",IF(F387="",IFERROR(INDEX(eq_dur,MATCH(B387,eq_code,0)),""),F387))</f>
        <v/>
      </c>
      <c r="L387" s="55" t="str">
        <f>IF(ISNUMBER(K387),N(IFERROR(INDEX(eq_pause,MATCH(B387,eq_code,0)),0))+SUMIFS(st_min,st_date,A387,st_eq,B387,st_po,C387,st_type,"Planifié"),"")</f>
        <v/>
      </c>
      <c r="M387" s="55" t="str">
        <f>IF(ISNUMBER(K387),K387-L387,"")</f>
        <v/>
      </c>
      <c r="N387" s="55" t="str">
        <f>IF(ISNUMBER(K387),SUMIFS(st_min,st_date,A387,st_eq,B387,st_po,C387,st_type,"Non planifié"),"")</f>
        <v/>
      </c>
      <c r="O387" s="55" t="str">
        <f>IF(ISNUMBER(K387),M387-N387,"")</f>
        <v/>
      </c>
      <c r="P387" s="55" t="str">
        <f>IF(COUNTA(A387:I387)=0,"",N(G387)+N(H387)+N(I387))</f>
        <v/>
      </c>
      <c r="Q387" s="56" t="str">
        <f>IF(COUNTA(A387:I387)=0,"",IF(N(IFERROR(INDEX(art_rate,MATCH(E387,art_ref,0)),0))&gt;0,N(IFERROR(INDEX(art_rate,MATCH(E387,art_ref,0)),0)),N(IFERROR(INDEX(po_rate,MATCH(C387,po_code,0)),0))))</f>
        <v/>
      </c>
      <c r="R387" s="55" t="str">
        <f>IF(AC387=1,P387*60/Q387,"")</f>
        <v/>
      </c>
      <c r="S387" s="55" t="str">
        <f>IF(AC387=1,N(G387)*60/Q387,"")</f>
        <v/>
      </c>
      <c r="T387" s="57" t="str">
        <f>IF(AC387=1,O387/M387,"")</f>
        <v/>
      </c>
      <c r="U387" s="57" t="str">
        <f>IF(AC387=1,IF(O387&gt;0,R387/O387,""),"")</f>
        <v/>
      </c>
      <c r="V387" s="57" t="str">
        <f>IF(AC387=1,IF(P387&gt;0,N(G387)/P387,""),"")</f>
        <v/>
      </c>
      <c r="W387" s="57" t="str">
        <f>IF(AC387=1,S387/M387,"")</f>
        <v/>
      </c>
      <c r="X387" s="57" t="str">
        <f>IF(AC387=1,S387/K387,"")</f>
        <v/>
      </c>
      <c r="Y387" s="58" t="str">
        <f>IF(W387="","",IF(W387&gt;=p_target,"Bon",IF(W387&gt;=p_alert,"À surveiller","Faible")))</f>
        <v/>
      </c>
      <c r="Z387" s="58" t="str">
        <f>IF(W387="","",IF(MIN(IF(T387="",1,T387),IF(U387="",1,U387),IF(V387="",1,V387))&gt;=1,"Aucune",IF(IF(T387="",1,T387)&lt;=MIN(IF(U387="",1,U387),IF(V387="",1,V387)),"Disponibilité",IF(IF(U387="",1,U387)&lt;=IF(V387="",1,V387),"Performance","Qualité"))))</f>
        <v/>
      </c>
      <c r="AA387" s="59" t="str">
        <f>IF(AC387=1,N(H387)*N(IFERROR(INDEX(art_cost,MATCH(E387,art_ref,0)),0)),"")</f>
        <v/>
      </c>
      <c r="AB387" s="58" t="str">
        <f>IF(COUNTA(A387:I387)=0,"",IF(N(A387)&lt;=0,"Date manquante ou invalide",IF(B387="","Équipe manquante",IF(ISNA(MATCH(B387,eq_code,0)),"Équipe inconnue",IF(INDEX(eq_check,MATCH(B387,eq_code,0))&lt;&gt;"OK","Équipe à corriger dans Paramètres",IF(C387="","Poste manquant",IF(ISNA(MATCH(C387,po_code,0)),"Poste inconnu",IF(AND(E387&lt;&gt;"",ISNA(MATCH(E387,art_ref,0))),"Article inconnu",IF(IF(E387="",FALSE,INDEX(art_check,MATCH(E387,art_ref,0))&lt;&gt;"OK"),"Article à corriger (feuille Articles)",IF(COUNTIFS(sj_date,A387,sj_eq,B387,sj_po,C387)&gt;1,"Ligne en double (même jour, équipe et poste)",IF(OR(NOT(ISNUMBER(K387)),N(K387)&lt;=0,N(K387)&gt;1440),"Temps d'ouverture invalide",IF(OR(AND(G387&lt;&gt;"",NOT(ISNUMBER(G387))),N(G387)&lt;0,N(G387)&lt;&gt;INT(N(G387)),AND(H387&lt;&gt;"",NOT(ISNUMBER(H387))),N(H387)&lt;0,N(H387)&lt;&gt;INT(N(H387)),AND(I387&lt;&gt;"",NOT(ISNUMBER(I387))),N(I387)&lt;0,N(I387)&lt;&gt;INT(N(I387))),"Quantité invalide",IF(Q387&lt;=0,"Cadence manquante (poste ou article)",IF(M387&lt;=0,"Arrêts planifiés supérieurs au temps d'ouverture",IF(O387&lt;0,"Arrêts supérieurs au temps requis",IF(AND(P387&gt;0,O387=0),"Pièces déclarées sans temps de marche",IF(AND(P387=0,O387&gt;0),"Aucune pièce déclarée",IF(P387*60/Q387&gt;O387+0.001,"Cadence dépassée : vérifiez la cadence","OK"))))))))))))))))))</f>
        <v/>
      </c>
      <c r="AC387">
        <f>IF(OR(AB387="OK",AB387="Aucune pièce déclarée",AB387="Cadence dépassée : vérifiez la cadence"),1,0)</f>
        <v>0.0</v>
      </c>
      <c r="AD387">
        <f>IF(AND(AC387=1,A387&gt;=p_from,A387&lt;=p_to),1,0)</f>
        <v>0.0</v>
      </c>
      <c r="AE387">
        <f>IF(AD387=1,IF(COUNTIFS($A$6:A387,A387,$AD$6:AD387,1)=1,1,0),0)</f>
        <v>0.0</v>
      </c>
      <c r="AF387" t="str">
        <f>IF(AE387=1,COUNTIFS(sj_first,1,sj_date,"&lt;"&amp;A387)+1,"")</f>
        <v/>
      </c>
      <c r="AG387" t="str">
        <f>IF(AND(AD387=1,N(W387)&lt;p_alert),ROUND(W387,4),"")</f>
        <v/>
      </c>
      <c r="AH387" t="str">
        <f>IF(AG387="","",COUNTIF(sj_akey,"&lt;"&amp;AG387)+COUNTIF($AG$6:AG387,AG387))</f>
        <v/>
      </c>
    </row>
    <row r="388">
      <c r="A388" s="51" t="n"/>
      <c r="B388" s="52" t="n"/>
      <c r="C388" s="52" t="n"/>
      <c r="D388" s="53" t="n"/>
      <c r="E388" s="53" t="n"/>
      <c r="F388" s="54" t="n"/>
      <c r="G388" s="54" t="n"/>
      <c r="H388" s="54" t="n"/>
      <c r="I388" s="54" t="n"/>
      <c r="J388" s="53" t="n"/>
      <c r="K388" s="55" t="str">
        <f>IF(COUNTA(A388:I388)=0,"",IF(F388="",IFERROR(INDEX(eq_dur,MATCH(B388,eq_code,0)),""),F388))</f>
        <v/>
      </c>
      <c r="L388" s="55" t="str">
        <f>IF(ISNUMBER(K388),N(IFERROR(INDEX(eq_pause,MATCH(B388,eq_code,0)),0))+SUMIFS(st_min,st_date,A388,st_eq,B388,st_po,C388,st_type,"Planifié"),"")</f>
        <v/>
      </c>
      <c r="M388" s="55" t="str">
        <f>IF(ISNUMBER(K388),K388-L388,"")</f>
        <v/>
      </c>
      <c r="N388" s="55" t="str">
        <f>IF(ISNUMBER(K388),SUMIFS(st_min,st_date,A388,st_eq,B388,st_po,C388,st_type,"Non planifié"),"")</f>
        <v/>
      </c>
      <c r="O388" s="55" t="str">
        <f>IF(ISNUMBER(K388),M388-N388,"")</f>
        <v/>
      </c>
      <c r="P388" s="55" t="str">
        <f>IF(COUNTA(A388:I388)=0,"",N(G388)+N(H388)+N(I388))</f>
        <v/>
      </c>
      <c r="Q388" s="56" t="str">
        <f>IF(COUNTA(A388:I388)=0,"",IF(N(IFERROR(INDEX(art_rate,MATCH(E388,art_ref,0)),0))&gt;0,N(IFERROR(INDEX(art_rate,MATCH(E388,art_ref,0)),0)),N(IFERROR(INDEX(po_rate,MATCH(C388,po_code,0)),0))))</f>
        <v/>
      </c>
      <c r="R388" s="55" t="str">
        <f>IF(AC388=1,P388*60/Q388,"")</f>
        <v/>
      </c>
      <c r="S388" s="55" t="str">
        <f>IF(AC388=1,N(G388)*60/Q388,"")</f>
        <v/>
      </c>
      <c r="T388" s="57" t="str">
        <f>IF(AC388=1,O388/M388,"")</f>
        <v/>
      </c>
      <c r="U388" s="57" t="str">
        <f>IF(AC388=1,IF(O388&gt;0,R388/O388,""),"")</f>
        <v/>
      </c>
      <c r="V388" s="57" t="str">
        <f>IF(AC388=1,IF(P388&gt;0,N(G388)/P388,""),"")</f>
        <v/>
      </c>
      <c r="W388" s="57" t="str">
        <f>IF(AC388=1,S388/M388,"")</f>
        <v/>
      </c>
      <c r="X388" s="57" t="str">
        <f>IF(AC388=1,S388/K388,"")</f>
        <v/>
      </c>
      <c r="Y388" s="58" t="str">
        <f>IF(W388="","",IF(W388&gt;=p_target,"Bon",IF(W388&gt;=p_alert,"À surveiller","Faible")))</f>
        <v/>
      </c>
      <c r="Z388" s="58" t="str">
        <f>IF(W388="","",IF(MIN(IF(T388="",1,T388),IF(U388="",1,U388),IF(V388="",1,V388))&gt;=1,"Aucune",IF(IF(T388="",1,T388)&lt;=MIN(IF(U388="",1,U388),IF(V388="",1,V388)),"Disponibilité",IF(IF(U388="",1,U388)&lt;=IF(V388="",1,V388),"Performance","Qualité"))))</f>
        <v/>
      </c>
      <c r="AA388" s="59" t="str">
        <f>IF(AC388=1,N(H388)*N(IFERROR(INDEX(art_cost,MATCH(E388,art_ref,0)),0)),"")</f>
        <v/>
      </c>
      <c r="AB388" s="58" t="str">
        <f>IF(COUNTA(A388:I388)=0,"",IF(N(A388)&lt;=0,"Date manquante ou invalide",IF(B388="","Équipe manquante",IF(ISNA(MATCH(B388,eq_code,0)),"Équipe inconnue",IF(INDEX(eq_check,MATCH(B388,eq_code,0))&lt;&gt;"OK","Équipe à corriger dans Paramètres",IF(C388="","Poste manquant",IF(ISNA(MATCH(C388,po_code,0)),"Poste inconnu",IF(AND(E388&lt;&gt;"",ISNA(MATCH(E388,art_ref,0))),"Article inconnu",IF(IF(E388="",FALSE,INDEX(art_check,MATCH(E388,art_ref,0))&lt;&gt;"OK"),"Article à corriger (feuille Articles)",IF(COUNTIFS(sj_date,A388,sj_eq,B388,sj_po,C388)&gt;1,"Ligne en double (même jour, équipe et poste)",IF(OR(NOT(ISNUMBER(K388)),N(K388)&lt;=0,N(K388)&gt;1440),"Temps d'ouverture invalide",IF(OR(AND(G388&lt;&gt;"",NOT(ISNUMBER(G388))),N(G388)&lt;0,N(G388)&lt;&gt;INT(N(G388)),AND(H388&lt;&gt;"",NOT(ISNUMBER(H388))),N(H388)&lt;0,N(H388)&lt;&gt;INT(N(H388)),AND(I388&lt;&gt;"",NOT(ISNUMBER(I388))),N(I388)&lt;0,N(I388)&lt;&gt;INT(N(I388))),"Quantité invalide",IF(Q388&lt;=0,"Cadence manquante (poste ou article)",IF(M388&lt;=0,"Arrêts planifiés supérieurs au temps d'ouverture",IF(O388&lt;0,"Arrêts supérieurs au temps requis",IF(AND(P388&gt;0,O388=0),"Pièces déclarées sans temps de marche",IF(AND(P388=0,O388&gt;0),"Aucune pièce déclarée",IF(P388*60/Q388&gt;O388+0.001,"Cadence dépassée : vérifiez la cadence","OK"))))))))))))))))))</f>
        <v/>
      </c>
      <c r="AC388">
        <f>IF(OR(AB388="OK",AB388="Aucune pièce déclarée",AB388="Cadence dépassée : vérifiez la cadence"),1,0)</f>
        <v>0.0</v>
      </c>
      <c r="AD388">
        <f>IF(AND(AC388=1,A388&gt;=p_from,A388&lt;=p_to),1,0)</f>
        <v>0.0</v>
      </c>
      <c r="AE388">
        <f>IF(AD388=1,IF(COUNTIFS($A$6:A388,A388,$AD$6:AD388,1)=1,1,0),0)</f>
        <v>0.0</v>
      </c>
      <c r="AF388" t="str">
        <f>IF(AE388=1,COUNTIFS(sj_first,1,sj_date,"&lt;"&amp;A388)+1,"")</f>
        <v/>
      </c>
      <c r="AG388" t="str">
        <f>IF(AND(AD388=1,N(W388)&lt;p_alert),ROUND(W388,4),"")</f>
        <v/>
      </c>
      <c r="AH388" t="str">
        <f>IF(AG388="","",COUNTIF(sj_akey,"&lt;"&amp;AG388)+COUNTIF($AG$6:AG388,AG388))</f>
        <v/>
      </c>
    </row>
    <row r="389">
      <c r="A389" s="51" t="n"/>
      <c r="B389" s="52" t="n"/>
      <c r="C389" s="52" t="n"/>
      <c r="D389" s="53" t="n"/>
      <c r="E389" s="53" t="n"/>
      <c r="F389" s="54" t="n"/>
      <c r="G389" s="54" t="n"/>
      <c r="H389" s="54" t="n"/>
      <c r="I389" s="54" t="n"/>
      <c r="J389" s="53" t="n"/>
      <c r="K389" s="55" t="str">
        <f>IF(COUNTA(A389:I389)=0,"",IF(F389="",IFERROR(INDEX(eq_dur,MATCH(B389,eq_code,0)),""),F389))</f>
        <v/>
      </c>
      <c r="L389" s="55" t="str">
        <f>IF(ISNUMBER(K389),N(IFERROR(INDEX(eq_pause,MATCH(B389,eq_code,0)),0))+SUMIFS(st_min,st_date,A389,st_eq,B389,st_po,C389,st_type,"Planifié"),"")</f>
        <v/>
      </c>
      <c r="M389" s="55" t="str">
        <f>IF(ISNUMBER(K389),K389-L389,"")</f>
        <v/>
      </c>
      <c r="N389" s="55" t="str">
        <f>IF(ISNUMBER(K389),SUMIFS(st_min,st_date,A389,st_eq,B389,st_po,C389,st_type,"Non planifié"),"")</f>
        <v/>
      </c>
      <c r="O389" s="55" t="str">
        <f>IF(ISNUMBER(K389),M389-N389,"")</f>
        <v/>
      </c>
      <c r="P389" s="55" t="str">
        <f>IF(COUNTA(A389:I389)=0,"",N(G389)+N(H389)+N(I389))</f>
        <v/>
      </c>
      <c r="Q389" s="56" t="str">
        <f>IF(COUNTA(A389:I389)=0,"",IF(N(IFERROR(INDEX(art_rate,MATCH(E389,art_ref,0)),0))&gt;0,N(IFERROR(INDEX(art_rate,MATCH(E389,art_ref,0)),0)),N(IFERROR(INDEX(po_rate,MATCH(C389,po_code,0)),0))))</f>
        <v/>
      </c>
      <c r="R389" s="55" t="str">
        <f>IF(AC389=1,P389*60/Q389,"")</f>
        <v/>
      </c>
      <c r="S389" s="55" t="str">
        <f>IF(AC389=1,N(G389)*60/Q389,"")</f>
        <v/>
      </c>
      <c r="T389" s="57" t="str">
        <f>IF(AC389=1,O389/M389,"")</f>
        <v/>
      </c>
      <c r="U389" s="57" t="str">
        <f>IF(AC389=1,IF(O389&gt;0,R389/O389,""),"")</f>
        <v/>
      </c>
      <c r="V389" s="57" t="str">
        <f>IF(AC389=1,IF(P389&gt;0,N(G389)/P389,""),"")</f>
        <v/>
      </c>
      <c r="W389" s="57" t="str">
        <f>IF(AC389=1,S389/M389,"")</f>
        <v/>
      </c>
      <c r="X389" s="57" t="str">
        <f>IF(AC389=1,S389/K389,"")</f>
        <v/>
      </c>
      <c r="Y389" s="58" t="str">
        <f>IF(W389="","",IF(W389&gt;=p_target,"Bon",IF(W389&gt;=p_alert,"À surveiller","Faible")))</f>
        <v/>
      </c>
      <c r="Z389" s="58" t="str">
        <f>IF(W389="","",IF(MIN(IF(T389="",1,T389),IF(U389="",1,U389),IF(V389="",1,V389))&gt;=1,"Aucune",IF(IF(T389="",1,T389)&lt;=MIN(IF(U389="",1,U389),IF(V389="",1,V389)),"Disponibilité",IF(IF(U389="",1,U389)&lt;=IF(V389="",1,V389),"Performance","Qualité"))))</f>
        <v/>
      </c>
      <c r="AA389" s="59" t="str">
        <f>IF(AC389=1,N(H389)*N(IFERROR(INDEX(art_cost,MATCH(E389,art_ref,0)),0)),"")</f>
        <v/>
      </c>
      <c r="AB389" s="58" t="str">
        <f>IF(COUNTA(A389:I389)=0,"",IF(N(A389)&lt;=0,"Date manquante ou invalide",IF(B389="","Équipe manquante",IF(ISNA(MATCH(B389,eq_code,0)),"Équipe inconnue",IF(INDEX(eq_check,MATCH(B389,eq_code,0))&lt;&gt;"OK","Équipe à corriger dans Paramètres",IF(C389="","Poste manquant",IF(ISNA(MATCH(C389,po_code,0)),"Poste inconnu",IF(AND(E389&lt;&gt;"",ISNA(MATCH(E389,art_ref,0))),"Article inconnu",IF(IF(E389="",FALSE,INDEX(art_check,MATCH(E389,art_ref,0))&lt;&gt;"OK"),"Article à corriger (feuille Articles)",IF(COUNTIFS(sj_date,A389,sj_eq,B389,sj_po,C389)&gt;1,"Ligne en double (même jour, équipe et poste)",IF(OR(NOT(ISNUMBER(K389)),N(K389)&lt;=0,N(K389)&gt;1440),"Temps d'ouverture invalide",IF(OR(AND(G389&lt;&gt;"",NOT(ISNUMBER(G389))),N(G389)&lt;0,N(G389)&lt;&gt;INT(N(G389)),AND(H389&lt;&gt;"",NOT(ISNUMBER(H389))),N(H389)&lt;0,N(H389)&lt;&gt;INT(N(H389)),AND(I389&lt;&gt;"",NOT(ISNUMBER(I389))),N(I389)&lt;0,N(I389)&lt;&gt;INT(N(I389))),"Quantité invalide",IF(Q389&lt;=0,"Cadence manquante (poste ou article)",IF(M389&lt;=0,"Arrêts planifiés supérieurs au temps d'ouverture",IF(O389&lt;0,"Arrêts supérieurs au temps requis",IF(AND(P389&gt;0,O389=0),"Pièces déclarées sans temps de marche",IF(AND(P389=0,O389&gt;0),"Aucune pièce déclarée",IF(P389*60/Q389&gt;O389+0.001,"Cadence dépassée : vérifiez la cadence","OK"))))))))))))))))))</f>
        <v/>
      </c>
      <c r="AC389">
        <f>IF(OR(AB389="OK",AB389="Aucune pièce déclarée",AB389="Cadence dépassée : vérifiez la cadence"),1,0)</f>
        <v>0.0</v>
      </c>
      <c r="AD389">
        <f>IF(AND(AC389=1,A389&gt;=p_from,A389&lt;=p_to),1,0)</f>
        <v>0.0</v>
      </c>
      <c r="AE389">
        <f>IF(AD389=1,IF(COUNTIFS($A$6:A389,A389,$AD$6:AD389,1)=1,1,0),0)</f>
        <v>0.0</v>
      </c>
      <c r="AF389" t="str">
        <f>IF(AE389=1,COUNTIFS(sj_first,1,sj_date,"&lt;"&amp;A389)+1,"")</f>
        <v/>
      </c>
      <c r="AG389" t="str">
        <f>IF(AND(AD389=1,N(W389)&lt;p_alert),ROUND(W389,4),"")</f>
        <v/>
      </c>
      <c r="AH389" t="str">
        <f>IF(AG389="","",COUNTIF(sj_akey,"&lt;"&amp;AG389)+COUNTIF($AG$6:AG389,AG389))</f>
        <v/>
      </c>
    </row>
    <row r="390">
      <c r="A390" s="51" t="n"/>
      <c r="B390" s="52" t="n"/>
      <c r="C390" s="52" t="n"/>
      <c r="D390" s="53" t="n"/>
      <c r="E390" s="53" t="n"/>
      <c r="F390" s="54" t="n"/>
      <c r="G390" s="54" t="n"/>
      <c r="H390" s="54" t="n"/>
      <c r="I390" s="54" t="n"/>
      <c r="J390" s="53" t="n"/>
      <c r="K390" s="55" t="str">
        <f>IF(COUNTA(A390:I390)=0,"",IF(F390="",IFERROR(INDEX(eq_dur,MATCH(B390,eq_code,0)),""),F390))</f>
        <v/>
      </c>
      <c r="L390" s="55" t="str">
        <f>IF(ISNUMBER(K390),N(IFERROR(INDEX(eq_pause,MATCH(B390,eq_code,0)),0))+SUMIFS(st_min,st_date,A390,st_eq,B390,st_po,C390,st_type,"Planifié"),"")</f>
        <v/>
      </c>
      <c r="M390" s="55" t="str">
        <f>IF(ISNUMBER(K390),K390-L390,"")</f>
        <v/>
      </c>
      <c r="N390" s="55" t="str">
        <f>IF(ISNUMBER(K390),SUMIFS(st_min,st_date,A390,st_eq,B390,st_po,C390,st_type,"Non planifié"),"")</f>
        <v/>
      </c>
      <c r="O390" s="55" t="str">
        <f>IF(ISNUMBER(K390),M390-N390,"")</f>
        <v/>
      </c>
      <c r="P390" s="55" t="str">
        <f>IF(COUNTA(A390:I390)=0,"",N(G390)+N(H390)+N(I390))</f>
        <v/>
      </c>
      <c r="Q390" s="56" t="str">
        <f>IF(COUNTA(A390:I390)=0,"",IF(N(IFERROR(INDEX(art_rate,MATCH(E390,art_ref,0)),0))&gt;0,N(IFERROR(INDEX(art_rate,MATCH(E390,art_ref,0)),0)),N(IFERROR(INDEX(po_rate,MATCH(C390,po_code,0)),0))))</f>
        <v/>
      </c>
      <c r="R390" s="55" t="str">
        <f>IF(AC390=1,P390*60/Q390,"")</f>
        <v/>
      </c>
      <c r="S390" s="55" t="str">
        <f>IF(AC390=1,N(G390)*60/Q390,"")</f>
        <v/>
      </c>
      <c r="T390" s="57" t="str">
        <f>IF(AC390=1,O390/M390,"")</f>
        <v/>
      </c>
      <c r="U390" s="57" t="str">
        <f>IF(AC390=1,IF(O390&gt;0,R390/O390,""),"")</f>
        <v/>
      </c>
      <c r="V390" s="57" t="str">
        <f>IF(AC390=1,IF(P390&gt;0,N(G390)/P390,""),"")</f>
        <v/>
      </c>
      <c r="W390" s="57" t="str">
        <f>IF(AC390=1,S390/M390,"")</f>
        <v/>
      </c>
      <c r="X390" s="57" t="str">
        <f>IF(AC390=1,S390/K390,"")</f>
        <v/>
      </c>
      <c r="Y390" s="58" t="str">
        <f>IF(W390="","",IF(W390&gt;=p_target,"Bon",IF(W390&gt;=p_alert,"À surveiller","Faible")))</f>
        <v/>
      </c>
      <c r="Z390" s="58" t="str">
        <f>IF(W390="","",IF(MIN(IF(T390="",1,T390),IF(U390="",1,U390),IF(V390="",1,V390))&gt;=1,"Aucune",IF(IF(T390="",1,T390)&lt;=MIN(IF(U390="",1,U390),IF(V390="",1,V390)),"Disponibilité",IF(IF(U390="",1,U390)&lt;=IF(V390="",1,V390),"Performance","Qualité"))))</f>
        <v/>
      </c>
      <c r="AA390" s="59" t="str">
        <f>IF(AC390=1,N(H390)*N(IFERROR(INDEX(art_cost,MATCH(E390,art_ref,0)),0)),"")</f>
        <v/>
      </c>
      <c r="AB390" s="58" t="str">
        <f>IF(COUNTA(A390:I390)=0,"",IF(N(A390)&lt;=0,"Date manquante ou invalide",IF(B390="","Équipe manquante",IF(ISNA(MATCH(B390,eq_code,0)),"Équipe inconnue",IF(INDEX(eq_check,MATCH(B390,eq_code,0))&lt;&gt;"OK","Équipe à corriger dans Paramètres",IF(C390="","Poste manquant",IF(ISNA(MATCH(C390,po_code,0)),"Poste inconnu",IF(AND(E390&lt;&gt;"",ISNA(MATCH(E390,art_ref,0))),"Article inconnu",IF(IF(E390="",FALSE,INDEX(art_check,MATCH(E390,art_ref,0))&lt;&gt;"OK"),"Article à corriger (feuille Articles)",IF(COUNTIFS(sj_date,A390,sj_eq,B390,sj_po,C390)&gt;1,"Ligne en double (même jour, équipe et poste)",IF(OR(NOT(ISNUMBER(K390)),N(K390)&lt;=0,N(K390)&gt;1440),"Temps d'ouverture invalide",IF(OR(AND(G390&lt;&gt;"",NOT(ISNUMBER(G390))),N(G390)&lt;0,N(G390)&lt;&gt;INT(N(G390)),AND(H390&lt;&gt;"",NOT(ISNUMBER(H390))),N(H390)&lt;0,N(H390)&lt;&gt;INT(N(H390)),AND(I390&lt;&gt;"",NOT(ISNUMBER(I390))),N(I390)&lt;0,N(I390)&lt;&gt;INT(N(I390))),"Quantité invalide",IF(Q390&lt;=0,"Cadence manquante (poste ou article)",IF(M390&lt;=0,"Arrêts planifiés supérieurs au temps d'ouverture",IF(O390&lt;0,"Arrêts supérieurs au temps requis",IF(AND(P390&gt;0,O390=0),"Pièces déclarées sans temps de marche",IF(AND(P390=0,O390&gt;0),"Aucune pièce déclarée",IF(P390*60/Q390&gt;O390+0.001,"Cadence dépassée : vérifiez la cadence","OK"))))))))))))))))))</f>
        <v/>
      </c>
      <c r="AC390">
        <f>IF(OR(AB390="OK",AB390="Aucune pièce déclarée",AB390="Cadence dépassée : vérifiez la cadence"),1,0)</f>
        <v>0.0</v>
      </c>
      <c r="AD390">
        <f>IF(AND(AC390=1,A390&gt;=p_from,A390&lt;=p_to),1,0)</f>
        <v>0.0</v>
      </c>
      <c r="AE390">
        <f>IF(AD390=1,IF(COUNTIFS($A$6:A390,A390,$AD$6:AD390,1)=1,1,0),0)</f>
        <v>0.0</v>
      </c>
      <c r="AF390" t="str">
        <f>IF(AE390=1,COUNTIFS(sj_first,1,sj_date,"&lt;"&amp;A390)+1,"")</f>
        <v/>
      </c>
      <c r="AG390" t="str">
        <f>IF(AND(AD390=1,N(W390)&lt;p_alert),ROUND(W390,4),"")</f>
        <v/>
      </c>
      <c r="AH390" t="str">
        <f>IF(AG390="","",COUNTIF(sj_akey,"&lt;"&amp;AG390)+COUNTIF($AG$6:AG390,AG390))</f>
        <v/>
      </c>
    </row>
    <row r="391">
      <c r="A391" s="51" t="n"/>
      <c r="B391" s="52" t="n"/>
      <c r="C391" s="52" t="n"/>
      <c r="D391" s="53" t="n"/>
      <c r="E391" s="53" t="n"/>
      <c r="F391" s="54" t="n"/>
      <c r="G391" s="54" t="n"/>
      <c r="H391" s="54" t="n"/>
      <c r="I391" s="54" t="n"/>
      <c r="J391" s="53" t="n"/>
      <c r="K391" s="55" t="str">
        <f>IF(COUNTA(A391:I391)=0,"",IF(F391="",IFERROR(INDEX(eq_dur,MATCH(B391,eq_code,0)),""),F391))</f>
        <v/>
      </c>
      <c r="L391" s="55" t="str">
        <f>IF(ISNUMBER(K391),N(IFERROR(INDEX(eq_pause,MATCH(B391,eq_code,0)),0))+SUMIFS(st_min,st_date,A391,st_eq,B391,st_po,C391,st_type,"Planifié"),"")</f>
        <v/>
      </c>
      <c r="M391" s="55" t="str">
        <f>IF(ISNUMBER(K391),K391-L391,"")</f>
        <v/>
      </c>
      <c r="N391" s="55" t="str">
        <f>IF(ISNUMBER(K391),SUMIFS(st_min,st_date,A391,st_eq,B391,st_po,C391,st_type,"Non planifié"),"")</f>
        <v/>
      </c>
      <c r="O391" s="55" t="str">
        <f>IF(ISNUMBER(K391),M391-N391,"")</f>
        <v/>
      </c>
      <c r="P391" s="55" t="str">
        <f>IF(COUNTA(A391:I391)=0,"",N(G391)+N(H391)+N(I391))</f>
        <v/>
      </c>
      <c r="Q391" s="56" t="str">
        <f>IF(COUNTA(A391:I391)=0,"",IF(N(IFERROR(INDEX(art_rate,MATCH(E391,art_ref,0)),0))&gt;0,N(IFERROR(INDEX(art_rate,MATCH(E391,art_ref,0)),0)),N(IFERROR(INDEX(po_rate,MATCH(C391,po_code,0)),0))))</f>
        <v/>
      </c>
      <c r="R391" s="55" t="str">
        <f>IF(AC391=1,P391*60/Q391,"")</f>
        <v/>
      </c>
      <c r="S391" s="55" t="str">
        <f>IF(AC391=1,N(G391)*60/Q391,"")</f>
        <v/>
      </c>
      <c r="T391" s="57" t="str">
        <f>IF(AC391=1,O391/M391,"")</f>
        <v/>
      </c>
      <c r="U391" s="57" t="str">
        <f>IF(AC391=1,IF(O391&gt;0,R391/O391,""),"")</f>
        <v/>
      </c>
      <c r="V391" s="57" t="str">
        <f>IF(AC391=1,IF(P391&gt;0,N(G391)/P391,""),"")</f>
        <v/>
      </c>
      <c r="W391" s="57" t="str">
        <f>IF(AC391=1,S391/M391,"")</f>
        <v/>
      </c>
      <c r="X391" s="57" t="str">
        <f>IF(AC391=1,S391/K391,"")</f>
        <v/>
      </c>
      <c r="Y391" s="58" t="str">
        <f>IF(W391="","",IF(W391&gt;=p_target,"Bon",IF(W391&gt;=p_alert,"À surveiller","Faible")))</f>
        <v/>
      </c>
      <c r="Z391" s="58" t="str">
        <f>IF(W391="","",IF(MIN(IF(T391="",1,T391),IF(U391="",1,U391),IF(V391="",1,V391))&gt;=1,"Aucune",IF(IF(T391="",1,T391)&lt;=MIN(IF(U391="",1,U391),IF(V391="",1,V391)),"Disponibilité",IF(IF(U391="",1,U391)&lt;=IF(V391="",1,V391),"Performance","Qualité"))))</f>
        <v/>
      </c>
      <c r="AA391" s="59" t="str">
        <f>IF(AC391=1,N(H391)*N(IFERROR(INDEX(art_cost,MATCH(E391,art_ref,0)),0)),"")</f>
        <v/>
      </c>
      <c r="AB391" s="58" t="str">
        <f>IF(COUNTA(A391:I391)=0,"",IF(N(A391)&lt;=0,"Date manquante ou invalide",IF(B391="","Équipe manquante",IF(ISNA(MATCH(B391,eq_code,0)),"Équipe inconnue",IF(INDEX(eq_check,MATCH(B391,eq_code,0))&lt;&gt;"OK","Équipe à corriger dans Paramètres",IF(C391="","Poste manquant",IF(ISNA(MATCH(C391,po_code,0)),"Poste inconnu",IF(AND(E391&lt;&gt;"",ISNA(MATCH(E391,art_ref,0))),"Article inconnu",IF(IF(E391="",FALSE,INDEX(art_check,MATCH(E391,art_ref,0))&lt;&gt;"OK"),"Article à corriger (feuille Articles)",IF(COUNTIFS(sj_date,A391,sj_eq,B391,sj_po,C391)&gt;1,"Ligne en double (même jour, équipe et poste)",IF(OR(NOT(ISNUMBER(K391)),N(K391)&lt;=0,N(K391)&gt;1440),"Temps d'ouverture invalide",IF(OR(AND(G391&lt;&gt;"",NOT(ISNUMBER(G391))),N(G391)&lt;0,N(G391)&lt;&gt;INT(N(G391)),AND(H391&lt;&gt;"",NOT(ISNUMBER(H391))),N(H391)&lt;0,N(H391)&lt;&gt;INT(N(H391)),AND(I391&lt;&gt;"",NOT(ISNUMBER(I391))),N(I391)&lt;0,N(I391)&lt;&gt;INT(N(I391))),"Quantité invalide",IF(Q391&lt;=0,"Cadence manquante (poste ou article)",IF(M391&lt;=0,"Arrêts planifiés supérieurs au temps d'ouverture",IF(O391&lt;0,"Arrêts supérieurs au temps requis",IF(AND(P391&gt;0,O391=0),"Pièces déclarées sans temps de marche",IF(AND(P391=0,O391&gt;0),"Aucune pièce déclarée",IF(P391*60/Q391&gt;O391+0.001,"Cadence dépassée : vérifiez la cadence","OK"))))))))))))))))))</f>
        <v/>
      </c>
      <c r="AC391">
        <f>IF(OR(AB391="OK",AB391="Aucune pièce déclarée",AB391="Cadence dépassée : vérifiez la cadence"),1,0)</f>
        <v>0.0</v>
      </c>
      <c r="AD391">
        <f>IF(AND(AC391=1,A391&gt;=p_from,A391&lt;=p_to),1,0)</f>
        <v>0.0</v>
      </c>
      <c r="AE391">
        <f>IF(AD391=1,IF(COUNTIFS($A$6:A391,A391,$AD$6:AD391,1)=1,1,0),0)</f>
        <v>0.0</v>
      </c>
      <c r="AF391" t="str">
        <f>IF(AE391=1,COUNTIFS(sj_first,1,sj_date,"&lt;"&amp;A391)+1,"")</f>
        <v/>
      </c>
      <c r="AG391" t="str">
        <f>IF(AND(AD391=1,N(W391)&lt;p_alert),ROUND(W391,4),"")</f>
        <v/>
      </c>
      <c r="AH391" t="str">
        <f>IF(AG391="","",COUNTIF(sj_akey,"&lt;"&amp;AG391)+COUNTIF($AG$6:AG391,AG391))</f>
        <v/>
      </c>
    </row>
    <row r="392">
      <c r="A392" s="51" t="n"/>
      <c r="B392" s="52" t="n"/>
      <c r="C392" s="52" t="n"/>
      <c r="D392" s="53" t="n"/>
      <c r="E392" s="53" t="n"/>
      <c r="F392" s="54" t="n"/>
      <c r="G392" s="54" t="n"/>
      <c r="H392" s="54" t="n"/>
      <c r="I392" s="54" t="n"/>
      <c r="J392" s="53" t="n"/>
      <c r="K392" s="55" t="str">
        <f>IF(COUNTA(A392:I392)=0,"",IF(F392="",IFERROR(INDEX(eq_dur,MATCH(B392,eq_code,0)),""),F392))</f>
        <v/>
      </c>
      <c r="L392" s="55" t="str">
        <f>IF(ISNUMBER(K392),N(IFERROR(INDEX(eq_pause,MATCH(B392,eq_code,0)),0))+SUMIFS(st_min,st_date,A392,st_eq,B392,st_po,C392,st_type,"Planifié"),"")</f>
        <v/>
      </c>
      <c r="M392" s="55" t="str">
        <f>IF(ISNUMBER(K392),K392-L392,"")</f>
        <v/>
      </c>
      <c r="N392" s="55" t="str">
        <f>IF(ISNUMBER(K392),SUMIFS(st_min,st_date,A392,st_eq,B392,st_po,C392,st_type,"Non planifié"),"")</f>
        <v/>
      </c>
      <c r="O392" s="55" t="str">
        <f>IF(ISNUMBER(K392),M392-N392,"")</f>
        <v/>
      </c>
      <c r="P392" s="55" t="str">
        <f>IF(COUNTA(A392:I392)=0,"",N(G392)+N(H392)+N(I392))</f>
        <v/>
      </c>
      <c r="Q392" s="56" t="str">
        <f>IF(COUNTA(A392:I392)=0,"",IF(N(IFERROR(INDEX(art_rate,MATCH(E392,art_ref,0)),0))&gt;0,N(IFERROR(INDEX(art_rate,MATCH(E392,art_ref,0)),0)),N(IFERROR(INDEX(po_rate,MATCH(C392,po_code,0)),0))))</f>
        <v/>
      </c>
      <c r="R392" s="55" t="str">
        <f>IF(AC392=1,P392*60/Q392,"")</f>
        <v/>
      </c>
      <c r="S392" s="55" t="str">
        <f>IF(AC392=1,N(G392)*60/Q392,"")</f>
        <v/>
      </c>
      <c r="T392" s="57" t="str">
        <f>IF(AC392=1,O392/M392,"")</f>
        <v/>
      </c>
      <c r="U392" s="57" t="str">
        <f>IF(AC392=1,IF(O392&gt;0,R392/O392,""),"")</f>
        <v/>
      </c>
      <c r="V392" s="57" t="str">
        <f>IF(AC392=1,IF(P392&gt;0,N(G392)/P392,""),"")</f>
        <v/>
      </c>
      <c r="W392" s="57" t="str">
        <f>IF(AC392=1,S392/M392,"")</f>
        <v/>
      </c>
      <c r="X392" s="57" t="str">
        <f>IF(AC392=1,S392/K392,"")</f>
        <v/>
      </c>
      <c r="Y392" s="58" t="str">
        <f>IF(W392="","",IF(W392&gt;=p_target,"Bon",IF(W392&gt;=p_alert,"À surveiller","Faible")))</f>
        <v/>
      </c>
      <c r="Z392" s="58" t="str">
        <f>IF(W392="","",IF(MIN(IF(T392="",1,T392),IF(U392="",1,U392),IF(V392="",1,V392))&gt;=1,"Aucune",IF(IF(T392="",1,T392)&lt;=MIN(IF(U392="",1,U392),IF(V392="",1,V392)),"Disponibilité",IF(IF(U392="",1,U392)&lt;=IF(V392="",1,V392),"Performance","Qualité"))))</f>
        <v/>
      </c>
      <c r="AA392" s="59" t="str">
        <f>IF(AC392=1,N(H392)*N(IFERROR(INDEX(art_cost,MATCH(E392,art_ref,0)),0)),"")</f>
        <v/>
      </c>
      <c r="AB392" s="58" t="str">
        <f>IF(COUNTA(A392:I392)=0,"",IF(N(A392)&lt;=0,"Date manquante ou invalide",IF(B392="","Équipe manquante",IF(ISNA(MATCH(B392,eq_code,0)),"Équipe inconnue",IF(INDEX(eq_check,MATCH(B392,eq_code,0))&lt;&gt;"OK","Équipe à corriger dans Paramètres",IF(C392="","Poste manquant",IF(ISNA(MATCH(C392,po_code,0)),"Poste inconnu",IF(AND(E392&lt;&gt;"",ISNA(MATCH(E392,art_ref,0))),"Article inconnu",IF(IF(E392="",FALSE,INDEX(art_check,MATCH(E392,art_ref,0))&lt;&gt;"OK"),"Article à corriger (feuille Articles)",IF(COUNTIFS(sj_date,A392,sj_eq,B392,sj_po,C392)&gt;1,"Ligne en double (même jour, équipe et poste)",IF(OR(NOT(ISNUMBER(K392)),N(K392)&lt;=0,N(K392)&gt;1440),"Temps d'ouverture invalide",IF(OR(AND(G392&lt;&gt;"",NOT(ISNUMBER(G392))),N(G392)&lt;0,N(G392)&lt;&gt;INT(N(G392)),AND(H392&lt;&gt;"",NOT(ISNUMBER(H392))),N(H392)&lt;0,N(H392)&lt;&gt;INT(N(H392)),AND(I392&lt;&gt;"",NOT(ISNUMBER(I392))),N(I392)&lt;0,N(I392)&lt;&gt;INT(N(I392))),"Quantité invalide",IF(Q392&lt;=0,"Cadence manquante (poste ou article)",IF(M392&lt;=0,"Arrêts planifiés supérieurs au temps d'ouverture",IF(O392&lt;0,"Arrêts supérieurs au temps requis",IF(AND(P392&gt;0,O392=0),"Pièces déclarées sans temps de marche",IF(AND(P392=0,O392&gt;0),"Aucune pièce déclarée",IF(P392*60/Q392&gt;O392+0.001,"Cadence dépassée : vérifiez la cadence","OK"))))))))))))))))))</f>
        <v/>
      </c>
      <c r="AC392">
        <f>IF(OR(AB392="OK",AB392="Aucune pièce déclarée",AB392="Cadence dépassée : vérifiez la cadence"),1,0)</f>
        <v>0.0</v>
      </c>
      <c r="AD392">
        <f>IF(AND(AC392=1,A392&gt;=p_from,A392&lt;=p_to),1,0)</f>
        <v>0.0</v>
      </c>
      <c r="AE392">
        <f>IF(AD392=1,IF(COUNTIFS($A$6:A392,A392,$AD$6:AD392,1)=1,1,0),0)</f>
        <v>0.0</v>
      </c>
      <c r="AF392" t="str">
        <f>IF(AE392=1,COUNTIFS(sj_first,1,sj_date,"&lt;"&amp;A392)+1,"")</f>
        <v/>
      </c>
      <c r="AG392" t="str">
        <f>IF(AND(AD392=1,N(W392)&lt;p_alert),ROUND(W392,4),"")</f>
        <v/>
      </c>
      <c r="AH392" t="str">
        <f>IF(AG392="","",COUNTIF(sj_akey,"&lt;"&amp;AG392)+COUNTIF($AG$6:AG392,AG392))</f>
        <v/>
      </c>
    </row>
    <row r="393">
      <c r="A393" s="51" t="n"/>
      <c r="B393" s="52" t="n"/>
      <c r="C393" s="52" t="n"/>
      <c r="D393" s="53" t="n"/>
      <c r="E393" s="53" t="n"/>
      <c r="F393" s="54" t="n"/>
      <c r="G393" s="54" t="n"/>
      <c r="H393" s="54" t="n"/>
      <c r="I393" s="54" t="n"/>
      <c r="J393" s="53" t="n"/>
      <c r="K393" s="55" t="str">
        <f>IF(COUNTA(A393:I393)=0,"",IF(F393="",IFERROR(INDEX(eq_dur,MATCH(B393,eq_code,0)),""),F393))</f>
        <v/>
      </c>
      <c r="L393" s="55" t="str">
        <f>IF(ISNUMBER(K393),N(IFERROR(INDEX(eq_pause,MATCH(B393,eq_code,0)),0))+SUMIFS(st_min,st_date,A393,st_eq,B393,st_po,C393,st_type,"Planifié"),"")</f>
        <v/>
      </c>
      <c r="M393" s="55" t="str">
        <f>IF(ISNUMBER(K393),K393-L393,"")</f>
        <v/>
      </c>
      <c r="N393" s="55" t="str">
        <f>IF(ISNUMBER(K393),SUMIFS(st_min,st_date,A393,st_eq,B393,st_po,C393,st_type,"Non planifié"),"")</f>
        <v/>
      </c>
      <c r="O393" s="55" t="str">
        <f>IF(ISNUMBER(K393),M393-N393,"")</f>
        <v/>
      </c>
      <c r="P393" s="55" t="str">
        <f>IF(COUNTA(A393:I393)=0,"",N(G393)+N(H393)+N(I393))</f>
        <v/>
      </c>
      <c r="Q393" s="56" t="str">
        <f>IF(COUNTA(A393:I393)=0,"",IF(N(IFERROR(INDEX(art_rate,MATCH(E393,art_ref,0)),0))&gt;0,N(IFERROR(INDEX(art_rate,MATCH(E393,art_ref,0)),0)),N(IFERROR(INDEX(po_rate,MATCH(C393,po_code,0)),0))))</f>
        <v/>
      </c>
      <c r="R393" s="55" t="str">
        <f>IF(AC393=1,P393*60/Q393,"")</f>
        <v/>
      </c>
      <c r="S393" s="55" t="str">
        <f>IF(AC393=1,N(G393)*60/Q393,"")</f>
        <v/>
      </c>
      <c r="T393" s="57" t="str">
        <f>IF(AC393=1,O393/M393,"")</f>
        <v/>
      </c>
      <c r="U393" s="57" t="str">
        <f>IF(AC393=1,IF(O393&gt;0,R393/O393,""),"")</f>
        <v/>
      </c>
      <c r="V393" s="57" t="str">
        <f>IF(AC393=1,IF(P393&gt;0,N(G393)/P393,""),"")</f>
        <v/>
      </c>
      <c r="W393" s="57" t="str">
        <f>IF(AC393=1,S393/M393,"")</f>
        <v/>
      </c>
      <c r="X393" s="57" t="str">
        <f>IF(AC393=1,S393/K393,"")</f>
        <v/>
      </c>
      <c r="Y393" s="58" t="str">
        <f>IF(W393="","",IF(W393&gt;=p_target,"Bon",IF(W393&gt;=p_alert,"À surveiller","Faible")))</f>
        <v/>
      </c>
      <c r="Z393" s="58" t="str">
        <f>IF(W393="","",IF(MIN(IF(T393="",1,T393),IF(U393="",1,U393),IF(V393="",1,V393))&gt;=1,"Aucune",IF(IF(T393="",1,T393)&lt;=MIN(IF(U393="",1,U393),IF(V393="",1,V393)),"Disponibilité",IF(IF(U393="",1,U393)&lt;=IF(V393="",1,V393),"Performance","Qualité"))))</f>
        <v/>
      </c>
      <c r="AA393" s="59" t="str">
        <f>IF(AC393=1,N(H393)*N(IFERROR(INDEX(art_cost,MATCH(E393,art_ref,0)),0)),"")</f>
        <v/>
      </c>
      <c r="AB393" s="58" t="str">
        <f>IF(COUNTA(A393:I393)=0,"",IF(N(A393)&lt;=0,"Date manquante ou invalide",IF(B393="","Équipe manquante",IF(ISNA(MATCH(B393,eq_code,0)),"Équipe inconnue",IF(INDEX(eq_check,MATCH(B393,eq_code,0))&lt;&gt;"OK","Équipe à corriger dans Paramètres",IF(C393="","Poste manquant",IF(ISNA(MATCH(C393,po_code,0)),"Poste inconnu",IF(AND(E393&lt;&gt;"",ISNA(MATCH(E393,art_ref,0))),"Article inconnu",IF(IF(E393="",FALSE,INDEX(art_check,MATCH(E393,art_ref,0))&lt;&gt;"OK"),"Article à corriger (feuille Articles)",IF(COUNTIFS(sj_date,A393,sj_eq,B393,sj_po,C393)&gt;1,"Ligne en double (même jour, équipe et poste)",IF(OR(NOT(ISNUMBER(K393)),N(K393)&lt;=0,N(K393)&gt;1440),"Temps d'ouverture invalide",IF(OR(AND(G393&lt;&gt;"",NOT(ISNUMBER(G393))),N(G393)&lt;0,N(G393)&lt;&gt;INT(N(G393)),AND(H393&lt;&gt;"",NOT(ISNUMBER(H393))),N(H393)&lt;0,N(H393)&lt;&gt;INT(N(H393)),AND(I393&lt;&gt;"",NOT(ISNUMBER(I393))),N(I393)&lt;0,N(I393)&lt;&gt;INT(N(I393))),"Quantité invalide",IF(Q393&lt;=0,"Cadence manquante (poste ou article)",IF(M393&lt;=0,"Arrêts planifiés supérieurs au temps d'ouverture",IF(O393&lt;0,"Arrêts supérieurs au temps requis",IF(AND(P393&gt;0,O393=0),"Pièces déclarées sans temps de marche",IF(AND(P393=0,O393&gt;0),"Aucune pièce déclarée",IF(P393*60/Q393&gt;O393+0.001,"Cadence dépassée : vérifiez la cadence","OK"))))))))))))))))))</f>
        <v/>
      </c>
      <c r="AC393">
        <f>IF(OR(AB393="OK",AB393="Aucune pièce déclarée",AB393="Cadence dépassée : vérifiez la cadence"),1,0)</f>
        <v>0.0</v>
      </c>
      <c r="AD393">
        <f>IF(AND(AC393=1,A393&gt;=p_from,A393&lt;=p_to),1,0)</f>
        <v>0.0</v>
      </c>
      <c r="AE393">
        <f>IF(AD393=1,IF(COUNTIFS($A$6:A393,A393,$AD$6:AD393,1)=1,1,0),0)</f>
        <v>0.0</v>
      </c>
      <c r="AF393" t="str">
        <f>IF(AE393=1,COUNTIFS(sj_first,1,sj_date,"&lt;"&amp;A393)+1,"")</f>
        <v/>
      </c>
      <c r="AG393" t="str">
        <f>IF(AND(AD393=1,N(W393)&lt;p_alert),ROUND(W393,4),"")</f>
        <v/>
      </c>
      <c r="AH393" t="str">
        <f>IF(AG393="","",COUNTIF(sj_akey,"&lt;"&amp;AG393)+COUNTIF($AG$6:AG393,AG393))</f>
        <v/>
      </c>
    </row>
    <row r="394">
      <c r="A394" s="51" t="n"/>
      <c r="B394" s="52" t="n"/>
      <c r="C394" s="52" t="n"/>
      <c r="D394" s="53" t="n"/>
      <c r="E394" s="53" t="n"/>
      <c r="F394" s="54" t="n"/>
      <c r="G394" s="54" t="n"/>
      <c r="H394" s="54" t="n"/>
      <c r="I394" s="54" t="n"/>
      <c r="J394" s="53" t="n"/>
      <c r="K394" s="55" t="str">
        <f>IF(COUNTA(A394:I394)=0,"",IF(F394="",IFERROR(INDEX(eq_dur,MATCH(B394,eq_code,0)),""),F394))</f>
        <v/>
      </c>
      <c r="L394" s="55" t="str">
        <f>IF(ISNUMBER(K394),N(IFERROR(INDEX(eq_pause,MATCH(B394,eq_code,0)),0))+SUMIFS(st_min,st_date,A394,st_eq,B394,st_po,C394,st_type,"Planifié"),"")</f>
        <v/>
      </c>
      <c r="M394" s="55" t="str">
        <f>IF(ISNUMBER(K394),K394-L394,"")</f>
        <v/>
      </c>
      <c r="N394" s="55" t="str">
        <f>IF(ISNUMBER(K394),SUMIFS(st_min,st_date,A394,st_eq,B394,st_po,C394,st_type,"Non planifié"),"")</f>
        <v/>
      </c>
      <c r="O394" s="55" t="str">
        <f>IF(ISNUMBER(K394),M394-N394,"")</f>
        <v/>
      </c>
      <c r="P394" s="55" t="str">
        <f>IF(COUNTA(A394:I394)=0,"",N(G394)+N(H394)+N(I394))</f>
        <v/>
      </c>
      <c r="Q394" s="56" t="str">
        <f>IF(COUNTA(A394:I394)=0,"",IF(N(IFERROR(INDEX(art_rate,MATCH(E394,art_ref,0)),0))&gt;0,N(IFERROR(INDEX(art_rate,MATCH(E394,art_ref,0)),0)),N(IFERROR(INDEX(po_rate,MATCH(C394,po_code,0)),0))))</f>
        <v/>
      </c>
      <c r="R394" s="55" t="str">
        <f>IF(AC394=1,P394*60/Q394,"")</f>
        <v/>
      </c>
      <c r="S394" s="55" t="str">
        <f>IF(AC394=1,N(G394)*60/Q394,"")</f>
        <v/>
      </c>
      <c r="T394" s="57" t="str">
        <f>IF(AC394=1,O394/M394,"")</f>
        <v/>
      </c>
      <c r="U394" s="57" t="str">
        <f>IF(AC394=1,IF(O394&gt;0,R394/O394,""),"")</f>
        <v/>
      </c>
      <c r="V394" s="57" t="str">
        <f>IF(AC394=1,IF(P394&gt;0,N(G394)/P394,""),"")</f>
        <v/>
      </c>
      <c r="W394" s="57" t="str">
        <f>IF(AC394=1,S394/M394,"")</f>
        <v/>
      </c>
      <c r="X394" s="57" t="str">
        <f>IF(AC394=1,S394/K394,"")</f>
        <v/>
      </c>
      <c r="Y394" s="58" t="str">
        <f>IF(W394="","",IF(W394&gt;=p_target,"Bon",IF(W394&gt;=p_alert,"À surveiller","Faible")))</f>
        <v/>
      </c>
      <c r="Z394" s="58" t="str">
        <f>IF(W394="","",IF(MIN(IF(T394="",1,T394),IF(U394="",1,U394),IF(V394="",1,V394))&gt;=1,"Aucune",IF(IF(T394="",1,T394)&lt;=MIN(IF(U394="",1,U394),IF(V394="",1,V394)),"Disponibilité",IF(IF(U394="",1,U394)&lt;=IF(V394="",1,V394),"Performance","Qualité"))))</f>
        <v/>
      </c>
      <c r="AA394" s="59" t="str">
        <f>IF(AC394=1,N(H394)*N(IFERROR(INDEX(art_cost,MATCH(E394,art_ref,0)),0)),"")</f>
        <v/>
      </c>
      <c r="AB394" s="58" t="str">
        <f>IF(COUNTA(A394:I394)=0,"",IF(N(A394)&lt;=0,"Date manquante ou invalide",IF(B394="","Équipe manquante",IF(ISNA(MATCH(B394,eq_code,0)),"Équipe inconnue",IF(INDEX(eq_check,MATCH(B394,eq_code,0))&lt;&gt;"OK","Équipe à corriger dans Paramètres",IF(C394="","Poste manquant",IF(ISNA(MATCH(C394,po_code,0)),"Poste inconnu",IF(AND(E394&lt;&gt;"",ISNA(MATCH(E394,art_ref,0))),"Article inconnu",IF(IF(E394="",FALSE,INDEX(art_check,MATCH(E394,art_ref,0))&lt;&gt;"OK"),"Article à corriger (feuille Articles)",IF(COUNTIFS(sj_date,A394,sj_eq,B394,sj_po,C394)&gt;1,"Ligne en double (même jour, équipe et poste)",IF(OR(NOT(ISNUMBER(K394)),N(K394)&lt;=0,N(K394)&gt;1440),"Temps d'ouverture invalide",IF(OR(AND(G394&lt;&gt;"",NOT(ISNUMBER(G394))),N(G394)&lt;0,N(G394)&lt;&gt;INT(N(G394)),AND(H394&lt;&gt;"",NOT(ISNUMBER(H394))),N(H394)&lt;0,N(H394)&lt;&gt;INT(N(H394)),AND(I394&lt;&gt;"",NOT(ISNUMBER(I394))),N(I394)&lt;0,N(I394)&lt;&gt;INT(N(I394))),"Quantité invalide",IF(Q394&lt;=0,"Cadence manquante (poste ou article)",IF(M394&lt;=0,"Arrêts planifiés supérieurs au temps d'ouverture",IF(O394&lt;0,"Arrêts supérieurs au temps requis",IF(AND(P394&gt;0,O394=0),"Pièces déclarées sans temps de marche",IF(AND(P394=0,O394&gt;0),"Aucune pièce déclarée",IF(P394*60/Q394&gt;O394+0.001,"Cadence dépassée : vérifiez la cadence","OK"))))))))))))))))))</f>
        <v/>
      </c>
      <c r="AC394">
        <f>IF(OR(AB394="OK",AB394="Aucune pièce déclarée",AB394="Cadence dépassée : vérifiez la cadence"),1,0)</f>
        <v>0.0</v>
      </c>
      <c r="AD394">
        <f>IF(AND(AC394=1,A394&gt;=p_from,A394&lt;=p_to),1,0)</f>
        <v>0.0</v>
      </c>
      <c r="AE394">
        <f>IF(AD394=1,IF(COUNTIFS($A$6:A394,A394,$AD$6:AD394,1)=1,1,0),0)</f>
        <v>0.0</v>
      </c>
      <c r="AF394" t="str">
        <f>IF(AE394=1,COUNTIFS(sj_first,1,sj_date,"&lt;"&amp;A394)+1,"")</f>
        <v/>
      </c>
      <c r="AG394" t="str">
        <f>IF(AND(AD394=1,N(W394)&lt;p_alert),ROUND(W394,4),"")</f>
        <v/>
      </c>
      <c r="AH394" t="str">
        <f>IF(AG394="","",COUNTIF(sj_akey,"&lt;"&amp;AG394)+COUNTIF($AG$6:AG394,AG394))</f>
        <v/>
      </c>
    </row>
    <row r="395">
      <c r="A395" s="51" t="n"/>
      <c r="B395" s="52" t="n"/>
      <c r="C395" s="52" t="n"/>
      <c r="D395" s="53" t="n"/>
      <c r="E395" s="53" t="n"/>
      <c r="F395" s="54" t="n"/>
      <c r="G395" s="54" t="n"/>
      <c r="H395" s="54" t="n"/>
      <c r="I395" s="54" t="n"/>
      <c r="J395" s="53" t="n"/>
      <c r="K395" s="55" t="str">
        <f>IF(COUNTA(A395:I395)=0,"",IF(F395="",IFERROR(INDEX(eq_dur,MATCH(B395,eq_code,0)),""),F395))</f>
        <v/>
      </c>
      <c r="L395" s="55" t="str">
        <f>IF(ISNUMBER(K395),N(IFERROR(INDEX(eq_pause,MATCH(B395,eq_code,0)),0))+SUMIFS(st_min,st_date,A395,st_eq,B395,st_po,C395,st_type,"Planifié"),"")</f>
        <v/>
      </c>
      <c r="M395" s="55" t="str">
        <f>IF(ISNUMBER(K395),K395-L395,"")</f>
        <v/>
      </c>
      <c r="N395" s="55" t="str">
        <f>IF(ISNUMBER(K395),SUMIFS(st_min,st_date,A395,st_eq,B395,st_po,C395,st_type,"Non planifié"),"")</f>
        <v/>
      </c>
      <c r="O395" s="55" t="str">
        <f>IF(ISNUMBER(K395),M395-N395,"")</f>
        <v/>
      </c>
      <c r="P395" s="55" t="str">
        <f>IF(COUNTA(A395:I395)=0,"",N(G395)+N(H395)+N(I395))</f>
        <v/>
      </c>
      <c r="Q395" s="56" t="str">
        <f>IF(COUNTA(A395:I395)=0,"",IF(N(IFERROR(INDEX(art_rate,MATCH(E395,art_ref,0)),0))&gt;0,N(IFERROR(INDEX(art_rate,MATCH(E395,art_ref,0)),0)),N(IFERROR(INDEX(po_rate,MATCH(C395,po_code,0)),0))))</f>
        <v/>
      </c>
      <c r="R395" s="55" t="str">
        <f>IF(AC395=1,P395*60/Q395,"")</f>
        <v/>
      </c>
      <c r="S395" s="55" t="str">
        <f>IF(AC395=1,N(G395)*60/Q395,"")</f>
        <v/>
      </c>
      <c r="T395" s="57" t="str">
        <f>IF(AC395=1,O395/M395,"")</f>
        <v/>
      </c>
      <c r="U395" s="57" t="str">
        <f>IF(AC395=1,IF(O395&gt;0,R395/O395,""),"")</f>
        <v/>
      </c>
      <c r="V395" s="57" t="str">
        <f>IF(AC395=1,IF(P395&gt;0,N(G395)/P395,""),"")</f>
        <v/>
      </c>
      <c r="W395" s="57" t="str">
        <f>IF(AC395=1,S395/M395,"")</f>
        <v/>
      </c>
      <c r="X395" s="57" t="str">
        <f>IF(AC395=1,S395/K395,"")</f>
        <v/>
      </c>
      <c r="Y395" s="58" t="str">
        <f>IF(W395="","",IF(W395&gt;=p_target,"Bon",IF(W395&gt;=p_alert,"À surveiller","Faible")))</f>
        <v/>
      </c>
      <c r="Z395" s="58" t="str">
        <f>IF(W395="","",IF(MIN(IF(T395="",1,T395),IF(U395="",1,U395),IF(V395="",1,V395))&gt;=1,"Aucune",IF(IF(T395="",1,T395)&lt;=MIN(IF(U395="",1,U395),IF(V395="",1,V395)),"Disponibilité",IF(IF(U395="",1,U395)&lt;=IF(V395="",1,V395),"Performance","Qualité"))))</f>
        <v/>
      </c>
      <c r="AA395" s="59" t="str">
        <f>IF(AC395=1,N(H395)*N(IFERROR(INDEX(art_cost,MATCH(E395,art_ref,0)),0)),"")</f>
        <v/>
      </c>
      <c r="AB395" s="58" t="str">
        <f>IF(COUNTA(A395:I395)=0,"",IF(N(A395)&lt;=0,"Date manquante ou invalide",IF(B395="","Équipe manquante",IF(ISNA(MATCH(B395,eq_code,0)),"Équipe inconnue",IF(INDEX(eq_check,MATCH(B395,eq_code,0))&lt;&gt;"OK","Équipe à corriger dans Paramètres",IF(C395="","Poste manquant",IF(ISNA(MATCH(C395,po_code,0)),"Poste inconnu",IF(AND(E395&lt;&gt;"",ISNA(MATCH(E395,art_ref,0))),"Article inconnu",IF(IF(E395="",FALSE,INDEX(art_check,MATCH(E395,art_ref,0))&lt;&gt;"OK"),"Article à corriger (feuille Articles)",IF(COUNTIFS(sj_date,A395,sj_eq,B395,sj_po,C395)&gt;1,"Ligne en double (même jour, équipe et poste)",IF(OR(NOT(ISNUMBER(K395)),N(K395)&lt;=0,N(K395)&gt;1440),"Temps d'ouverture invalide",IF(OR(AND(G395&lt;&gt;"",NOT(ISNUMBER(G395))),N(G395)&lt;0,N(G395)&lt;&gt;INT(N(G395)),AND(H395&lt;&gt;"",NOT(ISNUMBER(H395))),N(H395)&lt;0,N(H395)&lt;&gt;INT(N(H395)),AND(I395&lt;&gt;"",NOT(ISNUMBER(I395))),N(I395)&lt;0,N(I395)&lt;&gt;INT(N(I395))),"Quantité invalide",IF(Q395&lt;=0,"Cadence manquante (poste ou article)",IF(M395&lt;=0,"Arrêts planifiés supérieurs au temps d'ouverture",IF(O395&lt;0,"Arrêts supérieurs au temps requis",IF(AND(P395&gt;0,O395=0),"Pièces déclarées sans temps de marche",IF(AND(P395=0,O395&gt;0),"Aucune pièce déclarée",IF(P395*60/Q395&gt;O395+0.001,"Cadence dépassée : vérifiez la cadence","OK"))))))))))))))))))</f>
        <v/>
      </c>
      <c r="AC395">
        <f>IF(OR(AB395="OK",AB395="Aucune pièce déclarée",AB395="Cadence dépassée : vérifiez la cadence"),1,0)</f>
        <v>0.0</v>
      </c>
      <c r="AD395">
        <f>IF(AND(AC395=1,A395&gt;=p_from,A395&lt;=p_to),1,0)</f>
        <v>0.0</v>
      </c>
      <c r="AE395">
        <f>IF(AD395=1,IF(COUNTIFS($A$6:A395,A395,$AD$6:AD395,1)=1,1,0),0)</f>
        <v>0.0</v>
      </c>
      <c r="AF395" t="str">
        <f>IF(AE395=1,COUNTIFS(sj_first,1,sj_date,"&lt;"&amp;A395)+1,"")</f>
        <v/>
      </c>
      <c r="AG395" t="str">
        <f>IF(AND(AD395=1,N(W395)&lt;p_alert),ROUND(W395,4),"")</f>
        <v/>
      </c>
      <c r="AH395" t="str">
        <f>IF(AG395="","",COUNTIF(sj_akey,"&lt;"&amp;AG395)+COUNTIF($AG$6:AG395,AG395))</f>
        <v/>
      </c>
    </row>
    <row r="396">
      <c r="A396" s="51" t="n"/>
      <c r="B396" s="52" t="n"/>
      <c r="C396" s="52" t="n"/>
      <c r="D396" s="53" t="n"/>
      <c r="E396" s="53" t="n"/>
      <c r="F396" s="54" t="n"/>
      <c r="G396" s="54" t="n"/>
      <c r="H396" s="54" t="n"/>
      <c r="I396" s="54" t="n"/>
      <c r="J396" s="53" t="n"/>
      <c r="K396" s="55" t="str">
        <f>IF(COUNTA(A396:I396)=0,"",IF(F396="",IFERROR(INDEX(eq_dur,MATCH(B396,eq_code,0)),""),F396))</f>
        <v/>
      </c>
      <c r="L396" s="55" t="str">
        <f>IF(ISNUMBER(K396),N(IFERROR(INDEX(eq_pause,MATCH(B396,eq_code,0)),0))+SUMIFS(st_min,st_date,A396,st_eq,B396,st_po,C396,st_type,"Planifié"),"")</f>
        <v/>
      </c>
      <c r="M396" s="55" t="str">
        <f>IF(ISNUMBER(K396),K396-L396,"")</f>
        <v/>
      </c>
      <c r="N396" s="55" t="str">
        <f>IF(ISNUMBER(K396),SUMIFS(st_min,st_date,A396,st_eq,B396,st_po,C396,st_type,"Non planifié"),"")</f>
        <v/>
      </c>
      <c r="O396" s="55" t="str">
        <f>IF(ISNUMBER(K396),M396-N396,"")</f>
        <v/>
      </c>
      <c r="P396" s="55" t="str">
        <f>IF(COUNTA(A396:I396)=0,"",N(G396)+N(H396)+N(I396))</f>
        <v/>
      </c>
      <c r="Q396" s="56" t="str">
        <f>IF(COUNTA(A396:I396)=0,"",IF(N(IFERROR(INDEX(art_rate,MATCH(E396,art_ref,0)),0))&gt;0,N(IFERROR(INDEX(art_rate,MATCH(E396,art_ref,0)),0)),N(IFERROR(INDEX(po_rate,MATCH(C396,po_code,0)),0))))</f>
        <v/>
      </c>
      <c r="R396" s="55" t="str">
        <f>IF(AC396=1,P396*60/Q396,"")</f>
        <v/>
      </c>
      <c r="S396" s="55" t="str">
        <f>IF(AC396=1,N(G396)*60/Q396,"")</f>
        <v/>
      </c>
      <c r="T396" s="57" t="str">
        <f>IF(AC396=1,O396/M396,"")</f>
        <v/>
      </c>
      <c r="U396" s="57" t="str">
        <f>IF(AC396=1,IF(O396&gt;0,R396/O396,""),"")</f>
        <v/>
      </c>
      <c r="V396" s="57" t="str">
        <f>IF(AC396=1,IF(P396&gt;0,N(G396)/P396,""),"")</f>
        <v/>
      </c>
      <c r="W396" s="57" t="str">
        <f>IF(AC396=1,S396/M396,"")</f>
        <v/>
      </c>
      <c r="X396" s="57" t="str">
        <f>IF(AC396=1,S396/K396,"")</f>
        <v/>
      </c>
      <c r="Y396" s="58" t="str">
        <f>IF(W396="","",IF(W396&gt;=p_target,"Bon",IF(W396&gt;=p_alert,"À surveiller","Faible")))</f>
        <v/>
      </c>
      <c r="Z396" s="58" t="str">
        <f>IF(W396="","",IF(MIN(IF(T396="",1,T396),IF(U396="",1,U396),IF(V396="",1,V396))&gt;=1,"Aucune",IF(IF(T396="",1,T396)&lt;=MIN(IF(U396="",1,U396),IF(V396="",1,V396)),"Disponibilité",IF(IF(U396="",1,U396)&lt;=IF(V396="",1,V396),"Performance","Qualité"))))</f>
        <v/>
      </c>
      <c r="AA396" s="59" t="str">
        <f>IF(AC396=1,N(H396)*N(IFERROR(INDEX(art_cost,MATCH(E396,art_ref,0)),0)),"")</f>
        <v/>
      </c>
      <c r="AB396" s="58" t="str">
        <f>IF(COUNTA(A396:I396)=0,"",IF(N(A396)&lt;=0,"Date manquante ou invalide",IF(B396="","Équipe manquante",IF(ISNA(MATCH(B396,eq_code,0)),"Équipe inconnue",IF(INDEX(eq_check,MATCH(B396,eq_code,0))&lt;&gt;"OK","Équipe à corriger dans Paramètres",IF(C396="","Poste manquant",IF(ISNA(MATCH(C396,po_code,0)),"Poste inconnu",IF(AND(E396&lt;&gt;"",ISNA(MATCH(E396,art_ref,0))),"Article inconnu",IF(IF(E396="",FALSE,INDEX(art_check,MATCH(E396,art_ref,0))&lt;&gt;"OK"),"Article à corriger (feuille Articles)",IF(COUNTIFS(sj_date,A396,sj_eq,B396,sj_po,C396)&gt;1,"Ligne en double (même jour, équipe et poste)",IF(OR(NOT(ISNUMBER(K396)),N(K396)&lt;=0,N(K396)&gt;1440),"Temps d'ouverture invalide",IF(OR(AND(G396&lt;&gt;"",NOT(ISNUMBER(G396))),N(G396)&lt;0,N(G396)&lt;&gt;INT(N(G396)),AND(H396&lt;&gt;"",NOT(ISNUMBER(H396))),N(H396)&lt;0,N(H396)&lt;&gt;INT(N(H396)),AND(I396&lt;&gt;"",NOT(ISNUMBER(I396))),N(I396)&lt;0,N(I396)&lt;&gt;INT(N(I396))),"Quantité invalide",IF(Q396&lt;=0,"Cadence manquante (poste ou article)",IF(M396&lt;=0,"Arrêts planifiés supérieurs au temps d'ouverture",IF(O396&lt;0,"Arrêts supérieurs au temps requis",IF(AND(P396&gt;0,O396=0),"Pièces déclarées sans temps de marche",IF(AND(P396=0,O396&gt;0),"Aucune pièce déclarée",IF(P396*60/Q396&gt;O396+0.001,"Cadence dépassée : vérifiez la cadence","OK"))))))))))))))))))</f>
        <v/>
      </c>
      <c r="AC396">
        <f>IF(OR(AB396="OK",AB396="Aucune pièce déclarée",AB396="Cadence dépassée : vérifiez la cadence"),1,0)</f>
        <v>0.0</v>
      </c>
      <c r="AD396">
        <f>IF(AND(AC396=1,A396&gt;=p_from,A396&lt;=p_to),1,0)</f>
        <v>0.0</v>
      </c>
      <c r="AE396">
        <f>IF(AD396=1,IF(COUNTIFS($A$6:A396,A396,$AD$6:AD396,1)=1,1,0),0)</f>
        <v>0.0</v>
      </c>
      <c r="AF396" t="str">
        <f>IF(AE396=1,COUNTIFS(sj_first,1,sj_date,"&lt;"&amp;A396)+1,"")</f>
        <v/>
      </c>
      <c r="AG396" t="str">
        <f>IF(AND(AD396=1,N(W396)&lt;p_alert),ROUND(W396,4),"")</f>
        <v/>
      </c>
      <c r="AH396" t="str">
        <f>IF(AG396="","",COUNTIF(sj_akey,"&lt;"&amp;AG396)+COUNTIF($AG$6:AG396,AG396))</f>
        <v/>
      </c>
    </row>
    <row r="397">
      <c r="A397" s="51" t="n"/>
      <c r="B397" s="52" t="n"/>
      <c r="C397" s="52" t="n"/>
      <c r="D397" s="53" t="n"/>
      <c r="E397" s="53" t="n"/>
      <c r="F397" s="54" t="n"/>
      <c r="G397" s="54" t="n"/>
      <c r="H397" s="54" t="n"/>
      <c r="I397" s="54" t="n"/>
      <c r="J397" s="53" t="n"/>
      <c r="K397" s="55" t="str">
        <f>IF(COUNTA(A397:I397)=0,"",IF(F397="",IFERROR(INDEX(eq_dur,MATCH(B397,eq_code,0)),""),F397))</f>
        <v/>
      </c>
      <c r="L397" s="55" t="str">
        <f>IF(ISNUMBER(K397),N(IFERROR(INDEX(eq_pause,MATCH(B397,eq_code,0)),0))+SUMIFS(st_min,st_date,A397,st_eq,B397,st_po,C397,st_type,"Planifié"),"")</f>
        <v/>
      </c>
      <c r="M397" s="55" t="str">
        <f>IF(ISNUMBER(K397),K397-L397,"")</f>
        <v/>
      </c>
      <c r="N397" s="55" t="str">
        <f>IF(ISNUMBER(K397),SUMIFS(st_min,st_date,A397,st_eq,B397,st_po,C397,st_type,"Non planifié"),"")</f>
        <v/>
      </c>
      <c r="O397" s="55" t="str">
        <f>IF(ISNUMBER(K397),M397-N397,"")</f>
        <v/>
      </c>
      <c r="P397" s="55" t="str">
        <f>IF(COUNTA(A397:I397)=0,"",N(G397)+N(H397)+N(I397))</f>
        <v/>
      </c>
      <c r="Q397" s="56" t="str">
        <f>IF(COUNTA(A397:I397)=0,"",IF(N(IFERROR(INDEX(art_rate,MATCH(E397,art_ref,0)),0))&gt;0,N(IFERROR(INDEX(art_rate,MATCH(E397,art_ref,0)),0)),N(IFERROR(INDEX(po_rate,MATCH(C397,po_code,0)),0))))</f>
        <v/>
      </c>
      <c r="R397" s="55" t="str">
        <f>IF(AC397=1,P397*60/Q397,"")</f>
        <v/>
      </c>
      <c r="S397" s="55" t="str">
        <f>IF(AC397=1,N(G397)*60/Q397,"")</f>
        <v/>
      </c>
      <c r="T397" s="57" t="str">
        <f>IF(AC397=1,O397/M397,"")</f>
        <v/>
      </c>
      <c r="U397" s="57" t="str">
        <f>IF(AC397=1,IF(O397&gt;0,R397/O397,""),"")</f>
        <v/>
      </c>
      <c r="V397" s="57" t="str">
        <f>IF(AC397=1,IF(P397&gt;0,N(G397)/P397,""),"")</f>
        <v/>
      </c>
      <c r="W397" s="57" t="str">
        <f>IF(AC397=1,S397/M397,"")</f>
        <v/>
      </c>
      <c r="X397" s="57" t="str">
        <f>IF(AC397=1,S397/K397,"")</f>
        <v/>
      </c>
      <c r="Y397" s="58" t="str">
        <f>IF(W397="","",IF(W397&gt;=p_target,"Bon",IF(W397&gt;=p_alert,"À surveiller","Faible")))</f>
        <v/>
      </c>
      <c r="Z397" s="58" t="str">
        <f>IF(W397="","",IF(MIN(IF(T397="",1,T397),IF(U397="",1,U397),IF(V397="",1,V397))&gt;=1,"Aucune",IF(IF(T397="",1,T397)&lt;=MIN(IF(U397="",1,U397),IF(V397="",1,V397)),"Disponibilité",IF(IF(U397="",1,U397)&lt;=IF(V397="",1,V397),"Performance","Qualité"))))</f>
        <v/>
      </c>
      <c r="AA397" s="59" t="str">
        <f>IF(AC397=1,N(H397)*N(IFERROR(INDEX(art_cost,MATCH(E397,art_ref,0)),0)),"")</f>
        <v/>
      </c>
      <c r="AB397" s="58" t="str">
        <f>IF(COUNTA(A397:I397)=0,"",IF(N(A397)&lt;=0,"Date manquante ou invalide",IF(B397="","Équipe manquante",IF(ISNA(MATCH(B397,eq_code,0)),"Équipe inconnue",IF(INDEX(eq_check,MATCH(B397,eq_code,0))&lt;&gt;"OK","Équipe à corriger dans Paramètres",IF(C397="","Poste manquant",IF(ISNA(MATCH(C397,po_code,0)),"Poste inconnu",IF(AND(E397&lt;&gt;"",ISNA(MATCH(E397,art_ref,0))),"Article inconnu",IF(IF(E397="",FALSE,INDEX(art_check,MATCH(E397,art_ref,0))&lt;&gt;"OK"),"Article à corriger (feuille Articles)",IF(COUNTIFS(sj_date,A397,sj_eq,B397,sj_po,C397)&gt;1,"Ligne en double (même jour, équipe et poste)",IF(OR(NOT(ISNUMBER(K397)),N(K397)&lt;=0,N(K397)&gt;1440),"Temps d'ouverture invalide",IF(OR(AND(G397&lt;&gt;"",NOT(ISNUMBER(G397))),N(G397)&lt;0,N(G397)&lt;&gt;INT(N(G397)),AND(H397&lt;&gt;"",NOT(ISNUMBER(H397))),N(H397)&lt;0,N(H397)&lt;&gt;INT(N(H397)),AND(I397&lt;&gt;"",NOT(ISNUMBER(I397))),N(I397)&lt;0,N(I397)&lt;&gt;INT(N(I397))),"Quantité invalide",IF(Q397&lt;=0,"Cadence manquante (poste ou article)",IF(M397&lt;=0,"Arrêts planifiés supérieurs au temps d'ouverture",IF(O397&lt;0,"Arrêts supérieurs au temps requis",IF(AND(P397&gt;0,O397=0),"Pièces déclarées sans temps de marche",IF(AND(P397=0,O397&gt;0),"Aucune pièce déclarée",IF(P397*60/Q397&gt;O397+0.001,"Cadence dépassée : vérifiez la cadence","OK"))))))))))))))))))</f>
        <v/>
      </c>
      <c r="AC397">
        <f>IF(OR(AB397="OK",AB397="Aucune pièce déclarée",AB397="Cadence dépassée : vérifiez la cadence"),1,0)</f>
        <v>0.0</v>
      </c>
      <c r="AD397">
        <f>IF(AND(AC397=1,A397&gt;=p_from,A397&lt;=p_to),1,0)</f>
        <v>0.0</v>
      </c>
      <c r="AE397">
        <f>IF(AD397=1,IF(COUNTIFS($A$6:A397,A397,$AD$6:AD397,1)=1,1,0),0)</f>
        <v>0.0</v>
      </c>
      <c r="AF397" t="str">
        <f>IF(AE397=1,COUNTIFS(sj_first,1,sj_date,"&lt;"&amp;A397)+1,"")</f>
        <v/>
      </c>
      <c r="AG397" t="str">
        <f>IF(AND(AD397=1,N(W397)&lt;p_alert),ROUND(W397,4),"")</f>
        <v/>
      </c>
      <c r="AH397" t="str">
        <f>IF(AG397="","",COUNTIF(sj_akey,"&lt;"&amp;AG397)+COUNTIF($AG$6:AG397,AG397))</f>
        <v/>
      </c>
    </row>
    <row r="398">
      <c r="A398" s="51" t="n"/>
      <c r="B398" s="52" t="n"/>
      <c r="C398" s="52" t="n"/>
      <c r="D398" s="53" t="n"/>
      <c r="E398" s="53" t="n"/>
      <c r="F398" s="54" t="n"/>
      <c r="G398" s="54" t="n"/>
      <c r="H398" s="54" t="n"/>
      <c r="I398" s="54" t="n"/>
      <c r="J398" s="53" t="n"/>
      <c r="K398" s="55" t="str">
        <f>IF(COUNTA(A398:I398)=0,"",IF(F398="",IFERROR(INDEX(eq_dur,MATCH(B398,eq_code,0)),""),F398))</f>
        <v/>
      </c>
      <c r="L398" s="55" t="str">
        <f>IF(ISNUMBER(K398),N(IFERROR(INDEX(eq_pause,MATCH(B398,eq_code,0)),0))+SUMIFS(st_min,st_date,A398,st_eq,B398,st_po,C398,st_type,"Planifié"),"")</f>
        <v/>
      </c>
      <c r="M398" s="55" t="str">
        <f>IF(ISNUMBER(K398),K398-L398,"")</f>
        <v/>
      </c>
      <c r="N398" s="55" t="str">
        <f>IF(ISNUMBER(K398),SUMIFS(st_min,st_date,A398,st_eq,B398,st_po,C398,st_type,"Non planifié"),"")</f>
        <v/>
      </c>
      <c r="O398" s="55" t="str">
        <f>IF(ISNUMBER(K398),M398-N398,"")</f>
        <v/>
      </c>
      <c r="P398" s="55" t="str">
        <f>IF(COUNTA(A398:I398)=0,"",N(G398)+N(H398)+N(I398))</f>
        <v/>
      </c>
      <c r="Q398" s="56" t="str">
        <f>IF(COUNTA(A398:I398)=0,"",IF(N(IFERROR(INDEX(art_rate,MATCH(E398,art_ref,0)),0))&gt;0,N(IFERROR(INDEX(art_rate,MATCH(E398,art_ref,0)),0)),N(IFERROR(INDEX(po_rate,MATCH(C398,po_code,0)),0))))</f>
        <v/>
      </c>
      <c r="R398" s="55" t="str">
        <f>IF(AC398=1,P398*60/Q398,"")</f>
        <v/>
      </c>
      <c r="S398" s="55" t="str">
        <f>IF(AC398=1,N(G398)*60/Q398,"")</f>
        <v/>
      </c>
      <c r="T398" s="57" t="str">
        <f>IF(AC398=1,O398/M398,"")</f>
        <v/>
      </c>
      <c r="U398" s="57" t="str">
        <f>IF(AC398=1,IF(O398&gt;0,R398/O398,""),"")</f>
        <v/>
      </c>
      <c r="V398" s="57" t="str">
        <f>IF(AC398=1,IF(P398&gt;0,N(G398)/P398,""),"")</f>
        <v/>
      </c>
      <c r="W398" s="57" t="str">
        <f>IF(AC398=1,S398/M398,"")</f>
        <v/>
      </c>
      <c r="X398" s="57" t="str">
        <f>IF(AC398=1,S398/K398,"")</f>
        <v/>
      </c>
      <c r="Y398" s="58" t="str">
        <f>IF(W398="","",IF(W398&gt;=p_target,"Bon",IF(W398&gt;=p_alert,"À surveiller","Faible")))</f>
        <v/>
      </c>
      <c r="Z398" s="58" t="str">
        <f>IF(W398="","",IF(MIN(IF(T398="",1,T398),IF(U398="",1,U398),IF(V398="",1,V398))&gt;=1,"Aucune",IF(IF(T398="",1,T398)&lt;=MIN(IF(U398="",1,U398),IF(V398="",1,V398)),"Disponibilité",IF(IF(U398="",1,U398)&lt;=IF(V398="",1,V398),"Performance","Qualité"))))</f>
        <v/>
      </c>
      <c r="AA398" s="59" t="str">
        <f>IF(AC398=1,N(H398)*N(IFERROR(INDEX(art_cost,MATCH(E398,art_ref,0)),0)),"")</f>
        <v/>
      </c>
      <c r="AB398" s="58" t="str">
        <f>IF(COUNTA(A398:I398)=0,"",IF(N(A398)&lt;=0,"Date manquante ou invalide",IF(B398="","Équipe manquante",IF(ISNA(MATCH(B398,eq_code,0)),"Équipe inconnue",IF(INDEX(eq_check,MATCH(B398,eq_code,0))&lt;&gt;"OK","Équipe à corriger dans Paramètres",IF(C398="","Poste manquant",IF(ISNA(MATCH(C398,po_code,0)),"Poste inconnu",IF(AND(E398&lt;&gt;"",ISNA(MATCH(E398,art_ref,0))),"Article inconnu",IF(IF(E398="",FALSE,INDEX(art_check,MATCH(E398,art_ref,0))&lt;&gt;"OK"),"Article à corriger (feuille Articles)",IF(COUNTIFS(sj_date,A398,sj_eq,B398,sj_po,C398)&gt;1,"Ligne en double (même jour, équipe et poste)",IF(OR(NOT(ISNUMBER(K398)),N(K398)&lt;=0,N(K398)&gt;1440),"Temps d'ouverture invalide",IF(OR(AND(G398&lt;&gt;"",NOT(ISNUMBER(G398))),N(G398)&lt;0,N(G398)&lt;&gt;INT(N(G398)),AND(H398&lt;&gt;"",NOT(ISNUMBER(H398))),N(H398)&lt;0,N(H398)&lt;&gt;INT(N(H398)),AND(I398&lt;&gt;"",NOT(ISNUMBER(I398))),N(I398)&lt;0,N(I398)&lt;&gt;INT(N(I398))),"Quantité invalide",IF(Q398&lt;=0,"Cadence manquante (poste ou article)",IF(M398&lt;=0,"Arrêts planifiés supérieurs au temps d'ouverture",IF(O398&lt;0,"Arrêts supérieurs au temps requis",IF(AND(P398&gt;0,O398=0),"Pièces déclarées sans temps de marche",IF(AND(P398=0,O398&gt;0),"Aucune pièce déclarée",IF(P398*60/Q398&gt;O398+0.001,"Cadence dépassée : vérifiez la cadence","OK"))))))))))))))))))</f>
        <v/>
      </c>
      <c r="AC398">
        <f>IF(OR(AB398="OK",AB398="Aucune pièce déclarée",AB398="Cadence dépassée : vérifiez la cadence"),1,0)</f>
        <v>0.0</v>
      </c>
      <c r="AD398">
        <f>IF(AND(AC398=1,A398&gt;=p_from,A398&lt;=p_to),1,0)</f>
        <v>0.0</v>
      </c>
      <c r="AE398">
        <f>IF(AD398=1,IF(COUNTIFS($A$6:A398,A398,$AD$6:AD398,1)=1,1,0),0)</f>
        <v>0.0</v>
      </c>
      <c r="AF398" t="str">
        <f>IF(AE398=1,COUNTIFS(sj_first,1,sj_date,"&lt;"&amp;A398)+1,"")</f>
        <v/>
      </c>
      <c r="AG398" t="str">
        <f>IF(AND(AD398=1,N(W398)&lt;p_alert),ROUND(W398,4),"")</f>
        <v/>
      </c>
      <c r="AH398" t="str">
        <f>IF(AG398="","",COUNTIF(sj_akey,"&lt;"&amp;AG398)+COUNTIF($AG$6:AG398,AG398))</f>
        <v/>
      </c>
    </row>
    <row r="399">
      <c r="A399" s="51" t="n"/>
      <c r="B399" s="52" t="n"/>
      <c r="C399" s="52" t="n"/>
      <c r="D399" s="53" t="n"/>
      <c r="E399" s="53" t="n"/>
      <c r="F399" s="54" t="n"/>
      <c r="G399" s="54" t="n"/>
      <c r="H399" s="54" t="n"/>
      <c r="I399" s="54" t="n"/>
      <c r="J399" s="53" t="n"/>
      <c r="K399" s="55" t="str">
        <f>IF(COUNTA(A399:I399)=0,"",IF(F399="",IFERROR(INDEX(eq_dur,MATCH(B399,eq_code,0)),""),F399))</f>
        <v/>
      </c>
      <c r="L399" s="55" t="str">
        <f>IF(ISNUMBER(K399),N(IFERROR(INDEX(eq_pause,MATCH(B399,eq_code,0)),0))+SUMIFS(st_min,st_date,A399,st_eq,B399,st_po,C399,st_type,"Planifié"),"")</f>
        <v/>
      </c>
      <c r="M399" s="55" t="str">
        <f>IF(ISNUMBER(K399),K399-L399,"")</f>
        <v/>
      </c>
      <c r="N399" s="55" t="str">
        <f>IF(ISNUMBER(K399),SUMIFS(st_min,st_date,A399,st_eq,B399,st_po,C399,st_type,"Non planifié"),"")</f>
        <v/>
      </c>
      <c r="O399" s="55" t="str">
        <f>IF(ISNUMBER(K399),M399-N399,"")</f>
        <v/>
      </c>
      <c r="P399" s="55" t="str">
        <f>IF(COUNTA(A399:I399)=0,"",N(G399)+N(H399)+N(I399))</f>
        <v/>
      </c>
      <c r="Q399" s="56" t="str">
        <f>IF(COUNTA(A399:I399)=0,"",IF(N(IFERROR(INDEX(art_rate,MATCH(E399,art_ref,0)),0))&gt;0,N(IFERROR(INDEX(art_rate,MATCH(E399,art_ref,0)),0)),N(IFERROR(INDEX(po_rate,MATCH(C399,po_code,0)),0))))</f>
        <v/>
      </c>
      <c r="R399" s="55" t="str">
        <f>IF(AC399=1,P399*60/Q399,"")</f>
        <v/>
      </c>
      <c r="S399" s="55" t="str">
        <f>IF(AC399=1,N(G399)*60/Q399,"")</f>
        <v/>
      </c>
      <c r="T399" s="57" t="str">
        <f>IF(AC399=1,O399/M399,"")</f>
        <v/>
      </c>
      <c r="U399" s="57" t="str">
        <f>IF(AC399=1,IF(O399&gt;0,R399/O399,""),"")</f>
        <v/>
      </c>
      <c r="V399" s="57" t="str">
        <f>IF(AC399=1,IF(P399&gt;0,N(G399)/P399,""),"")</f>
        <v/>
      </c>
      <c r="W399" s="57" t="str">
        <f>IF(AC399=1,S399/M399,"")</f>
        <v/>
      </c>
      <c r="X399" s="57" t="str">
        <f>IF(AC399=1,S399/K399,"")</f>
        <v/>
      </c>
      <c r="Y399" s="58" t="str">
        <f>IF(W399="","",IF(W399&gt;=p_target,"Bon",IF(W399&gt;=p_alert,"À surveiller","Faible")))</f>
        <v/>
      </c>
      <c r="Z399" s="58" t="str">
        <f>IF(W399="","",IF(MIN(IF(T399="",1,T399),IF(U399="",1,U399),IF(V399="",1,V399))&gt;=1,"Aucune",IF(IF(T399="",1,T399)&lt;=MIN(IF(U399="",1,U399),IF(V399="",1,V399)),"Disponibilité",IF(IF(U399="",1,U399)&lt;=IF(V399="",1,V399),"Performance","Qualité"))))</f>
        <v/>
      </c>
      <c r="AA399" s="59" t="str">
        <f>IF(AC399=1,N(H399)*N(IFERROR(INDEX(art_cost,MATCH(E399,art_ref,0)),0)),"")</f>
        <v/>
      </c>
      <c r="AB399" s="58" t="str">
        <f>IF(COUNTA(A399:I399)=0,"",IF(N(A399)&lt;=0,"Date manquante ou invalide",IF(B399="","Équipe manquante",IF(ISNA(MATCH(B399,eq_code,0)),"Équipe inconnue",IF(INDEX(eq_check,MATCH(B399,eq_code,0))&lt;&gt;"OK","Équipe à corriger dans Paramètres",IF(C399="","Poste manquant",IF(ISNA(MATCH(C399,po_code,0)),"Poste inconnu",IF(AND(E399&lt;&gt;"",ISNA(MATCH(E399,art_ref,0))),"Article inconnu",IF(IF(E399="",FALSE,INDEX(art_check,MATCH(E399,art_ref,0))&lt;&gt;"OK"),"Article à corriger (feuille Articles)",IF(COUNTIFS(sj_date,A399,sj_eq,B399,sj_po,C399)&gt;1,"Ligne en double (même jour, équipe et poste)",IF(OR(NOT(ISNUMBER(K399)),N(K399)&lt;=0,N(K399)&gt;1440),"Temps d'ouverture invalide",IF(OR(AND(G399&lt;&gt;"",NOT(ISNUMBER(G399))),N(G399)&lt;0,N(G399)&lt;&gt;INT(N(G399)),AND(H399&lt;&gt;"",NOT(ISNUMBER(H399))),N(H399)&lt;0,N(H399)&lt;&gt;INT(N(H399)),AND(I399&lt;&gt;"",NOT(ISNUMBER(I399))),N(I399)&lt;0,N(I399)&lt;&gt;INT(N(I399))),"Quantité invalide",IF(Q399&lt;=0,"Cadence manquante (poste ou article)",IF(M399&lt;=0,"Arrêts planifiés supérieurs au temps d'ouverture",IF(O399&lt;0,"Arrêts supérieurs au temps requis",IF(AND(P399&gt;0,O399=0),"Pièces déclarées sans temps de marche",IF(AND(P399=0,O399&gt;0),"Aucune pièce déclarée",IF(P399*60/Q399&gt;O399+0.001,"Cadence dépassée : vérifiez la cadence","OK"))))))))))))))))))</f>
        <v/>
      </c>
      <c r="AC399">
        <f>IF(OR(AB399="OK",AB399="Aucune pièce déclarée",AB399="Cadence dépassée : vérifiez la cadence"),1,0)</f>
        <v>0.0</v>
      </c>
      <c r="AD399">
        <f>IF(AND(AC399=1,A399&gt;=p_from,A399&lt;=p_to),1,0)</f>
        <v>0.0</v>
      </c>
      <c r="AE399">
        <f>IF(AD399=1,IF(COUNTIFS($A$6:A399,A399,$AD$6:AD399,1)=1,1,0),0)</f>
        <v>0.0</v>
      </c>
      <c r="AF399" t="str">
        <f>IF(AE399=1,COUNTIFS(sj_first,1,sj_date,"&lt;"&amp;A399)+1,"")</f>
        <v/>
      </c>
      <c r="AG399" t="str">
        <f>IF(AND(AD399=1,N(W399)&lt;p_alert),ROUND(W399,4),"")</f>
        <v/>
      </c>
      <c r="AH399" t="str">
        <f>IF(AG399="","",COUNTIF(sj_akey,"&lt;"&amp;AG399)+COUNTIF($AG$6:AG399,AG399))</f>
        <v/>
      </c>
    </row>
    <row r="400">
      <c r="A400" s="51" t="n"/>
      <c r="B400" s="52" t="n"/>
      <c r="C400" s="52" t="n"/>
      <c r="D400" s="53" t="n"/>
      <c r="E400" s="53" t="n"/>
      <c r="F400" s="54" t="n"/>
      <c r="G400" s="54" t="n"/>
      <c r="H400" s="54" t="n"/>
      <c r="I400" s="54" t="n"/>
      <c r="J400" s="53" t="n"/>
      <c r="K400" s="55" t="str">
        <f>IF(COUNTA(A400:I400)=0,"",IF(F400="",IFERROR(INDEX(eq_dur,MATCH(B400,eq_code,0)),""),F400))</f>
        <v/>
      </c>
      <c r="L400" s="55" t="str">
        <f>IF(ISNUMBER(K400),N(IFERROR(INDEX(eq_pause,MATCH(B400,eq_code,0)),0))+SUMIFS(st_min,st_date,A400,st_eq,B400,st_po,C400,st_type,"Planifié"),"")</f>
        <v/>
      </c>
      <c r="M400" s="55" t="str">
        <f>IF(ISNUMBER(K400),K400-L400,"")</f>
        <v/>
      </c>
      <c r="N400" s="55" t="str">
        <f>IF(ISNUMBER(K400),SUMIFS(st_min,st_date,A400,st_eq,B400,st_po,C400,st_type,"Non planifié"),"")</f>
        <v/>
      </c>
      <c r="O400" s="55" t="str">
        <f>IF(ISNUMBER(K400),M400-N400,"")</f>
        <v/>
      </c>
      <c r="P400" s="55" t="str">
        <f>IF(COUNTA(A400:I400)=0,"",N(G400)+N(H400)+N(I400))</f>
        <v/>
      </c>
      <c r="Q400" s="56" t="str">
        <f>IF(COUNTA(A400:I400)=0,"",IF(N(IFERROR(INDEX(art_rate,MATCH(E400,art_ref,0)),0))&gt;0,N(IFERROR(INDEX(art_rate,MATCH(E400,art_ref,0)),0)),N(IFERROR(INDEX(po_rate,MATCH(C400,po_code,0)),0))))</f>
        <v/>
      </c>
      <c r="R400" s="55" t="str">
        <f>IF(AC400=1,P400*60/Q400,"")</f>
        <v/>
      </c>
      <c r="S400" s="55" t="str">
        <f>IF(AC400=1,N(G400)*60/Q400,"")</f>
        <v/>
      </c>
      <c r="T400" s="57" t="str">
        <f>IF(AC400=1,O400/M400,"")</f>
        <v/>
      </c>
      <c r="U400" s="57" t="str">
        <f>IF(AC400=1,IF(O400&gt;0,R400/O400,""),"")</f>
        <v/>
      </c>
      <c r="V400" s="57" t="str">
        <f>IF(AC400=1,IF(P400&gt;0,N(G400)/P400,""),"")</f>
        <v/>
      </c>
      <c r="W400" s="57" t="str">
        <f>IF(AC400=1,S400/M400,"")</f>
        <v/>
      </c>
      <c r="X400" s="57" t="str">
        <f>IF(AC400=1,S400/K400,"")</f>
        <v/>
      </c>
      <c r="Y400" s="58" t="str">
        <f>IF(W400="","",IF(W400&gt;=p_target,"Bon",IF(W400&gt;=p_alert,"À surveiller","Faible")))</f>
        <v/>
      </c>
      <c r="Z400" s="58" t="str">
        <f>IF(W400="","",IF(MIN(IF(T400="",1,T400),IF(U400="",1,U400),IF(V400="",1,V400))&gt;=1,"Aucune",IF(IF(T400="",1,T400)&lt;=MIN(IF(U400="",1,U400),IF(V400="",1,V400)),"Disponibilité",IF(IF(U400="",1,U400)&lt;=IF(V400="",1,V400),"Performance","Qualité"))))</f>
        <v/>
      </c>
      <c r="AA400" s="59" t="str">
        <f>IF(AC400=1,N(H400)*N(IFERROR(INDEX(art_cost,MATCH(E400,art_ref,0)),0)),"")</f>
        <v/>
      </c>
      <c r="AB400" s="58" t="str">
        <f>IF(COUNTA(A400:I400)=0,"",IF(N(A400)&lt;=0,"Date manquante ou invalide",IF(B400="","Équipe manquante",IF(ISNA(MATCH(B400,eq_code,0)),"Équipe inconnue",IF(INDEX(eq_check,MATCH(B400,eq_code,0))&lt;&gt;"OK","Équipe à corriger dans Paramètres",IF(C400="","Poste manquant",IF(ISNA(MATCH(C400,po_code,0)),"Poste inconnu",IF(AND(E400&lt;&gt;"",ISNA(MATCH(E400,art_ref,0))),"Article inconnu",IF(IF(E400="",FALSE,INDEX(art_check,MATCH(E400,art_ref,0))&lt;&gt;"OK"),"Article à corriger (feuille Articles)",IF(COUNTIFS(sj_date,A400,sj_eq,B400,sj_po,C400)&gt;1,"Ligne en double (même jour, équipe et poste)",IF(OR(NOT(ISNUMBER(K400)),N(K400)&lt;=0,N(K400)&gt;1440),"Temps d'ouverture invalide",IF(OR(AND(G400&lt;&gt;"",NOT(ISNUMBER(G400))),N(G400)&lt;0,N(G400)&lt;&gt;INT(N(G400)),AND(H400&lt;&gt;"",NOT(ISNUMBER(H400))),N(H400)&lt;0,N(H400)&lt;&gt;INT(N(H400)),AND(I400&lt;&gt;"",NOT(ISNUMBER(I400))),N(I400)&lt;0,N(I400)&lt;&gt;INT(N(I400))),"Quantité invalide",IF(Q400&lt;=0,"Cadence manquante (poste ou article)",IF(M400&lt;=0,"Arrêts planifiés supérieurs au temps d'ouverture",IF(O400&lt;0,"Arrêts supérieurs au temps requis",IF(AND(P400&gt;0,O400=0),"Pièces déclarées sans temps de marche",IF(AND(P400=0,O400&gt;0),"Aucune pièce déclarée",IF(P400*60/Q400&gt;O400+0.001,"Cadence dépassée : vérifiez la cadence","OK"))))))))))))))))))</f>
        <v/>
      </c>
      <c r="AC400">
        <f>IF(OR(AB400="OK",AB400="Aucune pièce déclarée",AB400="Cadence dépassée : vérifiez la cadence"),1,0)</f>
        <v>0.0</v>
      </c>
      <c r="AD400">
        <f>IF(AND(AC400=1,A400&gt;=p_from,A400&lt;=p_to),1,0)</f>
        <v>0.0</v>
      </c>
      <c r="AE400">
        <f>IF(AD400=1,IF(COUNTIFS($A$6:A400,A400,$AD$6:AD400,1)=1,1,0),0)</f>
        <v>0.0</v>
      </c>
      <c r="AF400" t="str">
        <f>IF(AE400=1,COUNTIFS(sj_first,1,sj_date,"&lt;"&amp;A400)+1,"")</f>
        <v/>
      </c>
      <c r="AG400" t="str">
        <f>IF(AND(AD400=1,N(W400)&lt;p_alert),ROUND(W400,4),"")</f>
        <v/>
      </c>
      <c r="AH400" t="str">
        <f>IF(AG400="","",COUNTIF(sj_akey,"&lt;"&amp;AG400)+COUNTIF($AG$6:AG400,AG400))</f>
        <v/>
      </c>
    </row>
    <row r="401">
      <c r="A401" s="51" t="n"/>
      <c r="B401" s="52" t="n"/>
      <c r="C401" s="52" t="n"/>
      <c r="D401" s="53" t="n"/>
      <c r="E401" s="53" t="n"/>
      <c r="F401" s="54" t="n"/>
      <c r="G401" s="54" t="n"/>
      <c r="H401" s="54" t="n"/>
      <c r="I401" s="54" t="n"/>
      <c r="J401" s="53" t="n"/>
      <c r="K401" s="55" t="str">
        <f>IF(COUNTA(A401:I401)=0,"",IF(F401="",IFERROR(INDEX(eq_dur,MATCH(B401,eq_code,0)),""),F401))</f>
        <v/>
      </c>
      <c r="L401" s="55" t="str">
        <f>IF(ISNUMBER(K401),N(IFERROR(INDEX(eq_pause,MATCH(B401,eq_code,0)),0))+SUMIFS(st_min,st_date,A401,st_eq,B401,st_po,C401,st_type,"Planifié"),"")</f>
        <v/>
      </c>
      <c r="M401" s="55" t="str">
        <f>IF(ISNUMBER(K401),K401-L401,"")</f>
        <v/>
      </c>
      <c r="N401" s="55" t="str">
        <f>IF(ISNUMBER(K401),SUMIFS(st_min,st_date,A401,st_eq,B401,st_po,C401,st_type,"Non planifié"),"")</f>
        <v/>
      </c>
      <c r="O401" s="55" t="str">
        <f>IF(ISNUMBER(K401),M401-N401,"")</f>
        <v/>
      </c>
      <c r="P401" s="55" t="str">
        <f>IF(COUNTA(A401:I401)=0,"",N(G401)+N(H401)+N(I401))</f>
        <v/>
      </c>
      <c r="Q401" s="56" t="str">
        <f>IF(COUNTA(A401:I401)=0,"",IF(N(IFERROR(INDEX(art_rate,MATCH(E401,art_ref,0)),0))&gt;0,N(IFERROR(INDEX(art_rate,MATCH(E401,art_ref,0)),0)),N(IFERROR(INDEX(po_rate,MATCH(C401,po_code,0)),0))))</f>
        <v/>
      </c>
      <c r="R401" s="55" t="str">
        <f>IF(AC401=1,P401*60/Q401,"")</f>
        <v/>
      </c>
      <c r="S401" s="55" t="str">
        <f>IF(AC401=1,N(G401)*60/Q401,"")</f>
        <v/>
      </c>
      <c r="T401" s="57" t="str">
        <f>IF(AC401=1,O401/M401,"")</f>
        <v/>
      </c>
      <c r="U401" s="57" t="str">
        <f>IF(AC401=1,IF(O401&gt;0,R401/O401,""),"")</f>
        <v/>
      </c>
      <c r="V401" s="57" t="str">
        <f>IF(AC401=1,IF(P401&gt;0,N(G401)/P401,""),"")</f>
        <v/>
      </c>
      <c r="W401" s="57" t="str">
        <f>IF(AC401=1,S401/M401,"")</f>
        <v/>
      </c>
      <c r="X401" s="57" t="str">
        <f>IF(AC401=1,S401/K401,"")</f>
        <v/>
      </c>
      <c r="Y401" s="58" t="str">
        <f>IF(W401="","",IF(W401&gt;=p_target,"Bon",IF(W401&gt;=p_alert,"À surveiller","Faible")))</f>
        <v/>
      </c>
      <c r="Z401" s="58" t="str">
        <f>IF(W401="","",IF(MIN(IF(T401="",1,T401),IF(U401="",1,U401),IF(V401="",1,V401))&gt;=1,"Aucune",IF(IF(T401="",1,T401)&lt;=MIN(IF(U401="",1,U401),IF(V401="",1,V401)),"Disponibilité",IF(IF(U401="",1,U401)&lt;=IF(V401="",1,V401),"Performance","Qualité"))))</f>
        <v/>
      </c>
      <c r="AA401" s="59" t="str">
        <f>IF(AC401=1,N(H401)*N(IFERROR(INDEX(art_cost,MATCH(E401,art_ref,0)),0)),"")</f>
        <v/>
      </c>
      <c r="AB401" s="58" t="str">
        <f>IF(COUNTA(A401:I401)=0,"",IF(N(A401)&lt;=0,"Date manquante ou invalide",IF(B401="","Équipe manquante",IF(ISNA(MATCH(B401,eq_code,0)),"Équipe inconnue",IF(INDEX(eq_check,MATCH(B401,eq_code,0))&lt;&gt;"OK","Équipe à corriger dans Paramètres",IF(C401="","Poste manquant",IF(ISNA(MATCH(C401,po_code,0)),"Poste inconnu",IF(AND(E401&lt;&gt;"",ISNA(MATCH(E401,art_ref,0))),"Article inconnu",IF(IF(E401="",FALSE,INDEX(art_check,MATCH(E401,art_ref,0))&lt;&gt;"OK"),"Article à corriger (feuille Articles)",IF(COUNTIFS(sj_date,A401,sj_eq,B401,sj_po,C401)&gt;1,"Ligne en double (même jour, équipe et poste)",IF(OR(NOT(ISNUMBER(K401)),N(K401)&lt;=0,N(K401)&gt;1440),"Temps d'ouverture invalide",IF(OR(AND(G401&lt;&gt;"",NOT(ISNUMBER(G401))),N(G401)&lt;0,N(G401)&lt;&gt;INT(N(G401)),AND(H401&lt;&gt;"",NOT(ISNUMBER(H401))),N(H401)&lt;0,N(H401)&lt;&gt;INT(N(H401)),AND(I401&lt;&gt;"",NOT(ISNUMBER(I401))),N(I401)&lt;0,N(I401)&lt;&gt;INT(N(I401))),"Quantité invalide",IF(Q401&lt;=0,"Cadence manquante (poste ou article)",IF(M401&lt;=0,"Arrêts planifiés supérieurs au temps d'ouverture",IF(O401&lt;0,"Arrêts supérieurs au temps requis",IF(AND(P401&gt;0,O401=0),"Pièces déclarées sans temps de marche",IF(AND(P401=0,O401&gt;0),"Aucune pièce déclarée",IF(P401*60/Q401&gt;O401+0.001,"Cadence dépassée : vérifiez la cadence","OK"))))))))))))))))))</f>
        <v/>
      </c>
      <c r="AC401">
        <f>IF(OR(AB401="OK",AB401="Aucune pièce déclarée",AB401="Cadence dépassée : vérifiez la cadence"),1,0)</f>
        <v>0.0</v>
      </c>
      <c r="AD401">
        <f>IF(AND(AC401=1,A401&gt;=p_from,A401&lt;=p_to),1,0)</f>
        <v>0.0</v>
      </c>
      <c r="AE401">
        <f>IF(AD401=1,IF(COUNTIFS($A$6:A401,A401,$AD$6:AD401,1)=1,1,0),0)</f>
        <v>0.0</v>
      </c>
      <c r="AF401" t="str">
        <f>IF(AE401=1,COUNTIFS(sj_first,1,sj_date,"&lt;"&amp;A401)+1,"")</f>
        <v/>
      </c>
      <c r="AG401" t="str">
        <f>IF(AND(AD401=1,N(W401)&lt;p_alert),ROUND(W401,4),"")</f>
        <v/>
      </c>
      <c r="AH401" t="str">
        <f>IF(AG401="","",COUNTIF(sj_akey,"&lt;"&amp;AG401)+COUNTIF($AG$6:AG401,AG401))</f>
        <v/>
      </c>
    </row>
    <row r="402">
      <c r="A402" s="51" t="n"/>
      <c r="B402" s="52" t="n"/>
      <c r="C402" s="52" t="n"/>
      <c r="D402" s="53" t="n"/>
      <c r="E402" s="53" t="n"/>
      <c r="F402" s="54" t="n"/>
      <c r="G402" s="54" t="n"/>
      <c r="H402" s="54" t="n"/>
      <c r="I402" s="54" t="n"/>
      <c r="J402" s="53" t="n"/>
      <c r="K402" s="55" t="str">
        <f>IF(COUNTA(A402:I402)=0,"",IF(F402="",IFERROR(INDEX(eq_dur,MATCH(B402,eq_code,0)),""),F402))</f>
        <v/>
      </c>
      <c r="L402" s="55" t="str">
        <f>IF(ISNUMBER(K402),N(IFERROR(INDEX(eq_pause,MATCH(B402,eq_code,0)),0))+SUMIFS(st_min,st_date,A402,st_eq,B402,st_po,C402,st_type,"Planifié"),"")</f>
        <v/>
      </c>
      <c r="M402" s="55" t="str">
        <f>IF(ISNUMBER(K402),K402-L402,"")</f>
        <v/>
      </c>
      <c r="N402" s="55" t="str">
        <f>IF(ISNUMBER(K402),SUMIFS(st_min,st_date,A402,st_eq,B402,st_po,C402,st_type,"Non planifié"),"")</f>
        <v/>
      </c>
      <c r="O402" s="55" t="str">
        <f>IF(ISNUMBER(K402),M402-N402,"")</f>
        <v/>
      </c>
      <c r="P402" s="55" t="str">
        <f>IF(COUNTA(A402:I402)=0,"",N(G402)+N(H402)+N(I402))</f>
        <v/>
      </c>
      <c r="Q402" s="56" t="str">
        <f>IF(COUNTA(A402:I402)=0,"",IF(N(IFERROR(INDEX(art_rate,MATCH(E402,art_ref,0)),0))&gt;0,N(IFERROR(INDEX(art_rate,MATCH(E402,art_ref,0)),0)),N(IFERROR(INDEX(po_rate,MATCH(C402,po_code,0)),0))))</f>
        <v/>
      </c>
      <c r="R402" s="55" t="str">
        <f>IF(AC402=1,P402*60/Q402,"")</f>
        <v/>
      </c>
      <c r="S402" s="55" t="str">
        <f>IF(AC402=1,N(G402)*60/Q402,"")</f>
        <v/>
      </c>
      <c r="T402" s="57" t="str">
        <f>IF(AC402=1,O402/M402,"")</f>
        <v/>
      </c>
      <c r="U402" s="57" t="str">
        <f>IF(AC402=1,IF(O402&gt;0,R402/O402,""),"")</f>
        <v/>
      </c>
      <c r="V402" s="57" t="str">
        <f>IF(AC402=1,IF(P402&gt;0,N(G402)/P402,""),"")</f>
        <v/>
      </c>
      <c r="W402" s="57" t="str">
        <f>IF(AC402=1,S402/M402,"")</f>
        <v/>
      </c>
      <c r="X402" s="57" t="str">
        <f>IF(AC402=1,S402/K402,"")</f>
        <v/>
      </c>
      <c r="Y402" s="58" t="str">
        <f>IF(W402="","",IF(W402&gt;=p_target,"Bon",IF(W402&gt;=p_alert,"À surveiller","Faible")))</f>
        <v/>
      </c>
      <c r="Z402" s="58" t="str">
        <f>IF(W402="","",IF(MIN(IF(T402="",1,T402),IF(U402="",1,U402),IF(V402="",1,V402))&gt;=1,"Aucune",IF(IF(T402="",1,T402)&lt;=MIN(IF(U402="",1,U402),IF(V402="",1,V402)),"Disponibilité",IF(IF(U402="",1,U402)&lt;=IF(V402="",1,V402),"Performance","Qualité"))))</f>
        <v/>
      </c>
      <c r="AA402" s="59" t="str">
        <f>IF(AC402=1,N(H402)*N(IFERROR(INDEX(art_cost,MATCH(E402,art_ref,0)),0)),"")</f>
        <v/>
      </c>
      <c r="AB402" s="58" t="str">
        <f>IF(COUNTA(A402:I402)=0,"",IF(N(A402)&lt;=0,"Date manquante ou invalide",IF(B402="","Équipe manquante",IF(ISNA(MATCH(B402,eq_code,0)),"Équipe inconnue",IF(INDEX(eq_check,MATCH(B402,eq_code,0))&lt;&gt;"OK","Équipe à corriger dans Paramètres",IF(C402="","Poste manquant",IF(ISNA(MATCH(C402,po_code,0)),"Poste inconnu",IF(AND(E402&lt;&gt;"",ISNA(MATCH(E402,art_ref,0))),"Article inconnu",IF(IF(E402="",FALSE,INDEX(art_check,MATCH(E402,art_ref,0))&lt;&gt;"OK"),"Article à corriger (feuille Articles)",IF(COUNTIFS(sj_date,A402,sj_eq,B402,sj_po,C402)&gt;1,"Ligne en double (même jour, équipe et poste)",IF(OR(NOT(ISNUMBER(K402)),N(K402)&lt;=0,N(K402)&gt;1440),"Temps d'ouverture invalide",IF(OR(AND(G402&lt;&gt;"",NOT(ISNUMBER(G402))),N(G402)&lt;0,N(G402)&lt;&gt;INT(N(G402)),AND(H402&lt;&gt;"",NOT(ISNUMBER(H402))),N(H402)&lt;0,N(H402)&lt;&gt;INT(N(H402)),AND(I402&lt;&gt;"",NOT(ISNUMBER(I402))),N(I402)&lt;0,N(I402)&lt;&gt;INT(N(I402))),"Quantité invalide",IF(Q402&lt;=0,"Cadence manquante (poste ou article)",IF(M402&lt;=0,"Arrêts planifiés supérieurs au temps d'ouverture",IF(O402&lt;0,"Arrêts supérieurs au temps requis",IF(AND(P402&gt;0,O402=0),"Pièces déclarées sans temps de marche",IF(AND(P402=0,O402&gt;0),"Aucune pièce déclarée",IF(P402*60/Q402&gt;O402+0.001,"Cadence dépassée : vérifiez la cadence","OK"))))))))))))))))))</f>
        <v/>
      </c>
      <c r="AC402">
        <f>IF(OR(AB402="OK",AB402="Aucune pièce déclarée",AB402="Cadence dépassée : vérifiez la cadence"),1,0)</f>
        <v>0.0</v>
      </c>
      <c r="AD402">
        <f>IF(AND(AC402=1,A402&gt;=p_from,A402&lt;=p_to),1,0)</f>
        <v>0.0</v>
      </c>
      <c r="AE402">
        <f>IF(AD402=1,IF(COUNTIFS($A$6:A402,A402,$AD$6:AD402,1)=1,1,0),0)</f>
        <v>0.0</v>
      </c>
      <c r="AF402" t="str">
        <f>IF(AE402=1,COUNTIFS(sj_first,1,sj_date,"&lt;"&amp;A402)+1,"")</f>
        <v/>
      </c>
      <c r="AG402" t="str">
        <f>IF(AND(AD402=1,N(W402)&lt;p_alert),ROUND(W402,4),"")</f>
        <v/>
      </c>
      <c r="AH402" t="str">
        <f>IF(AG402="","",COUNTIF(sj_akey,"&lt;"&amp;AG402)+COUNTIF($AG$6:AG402,AG402))</f>
        <v/>
      </c>
    </row>
    <row r="403">
      <c r="A403" s="51" t="n"/>
      <c r="B403" s="52" t="n"/>
      <c r="C403" s="52" t="n"/>
      <c r="D403" s="53" t="n"/>
      <c r="E403" s="53" t="n"/>
      <c r="F403" s="54" t="n"/>
      <c r="G403" s="54" t="n"/>
      <c r="H403" s="54" t="n"/>
      <c r="I403" s="54" t="n"/>
      <c r="J403" s="53" t="n"/>
      <c r="K403" s="55" t="str">
        <f>IF(COUNTA(A403:I403)=0,"",IF(F403="",IFERROR(INDEX(eq_dur,MATCH(B403,eq_code,0)),""),F403))</f>
        <v/>
      </c>
      <c r="L403" s="55" t="str">
        <f>IF(ISNUMBER(K403),N(IFERROR(INDEX(eq_pause,MATCH(B403,eq_code,0)),0))+SUMIFS(st_min,st_date,A403,st_eq,B403,st_po,C403,st_type,"Planifié"),"")</f>
        <v/>
      </c>
      <c r="M403" s="55" t="str">
        <f>IF(ISNUMBER(K403),K403-L403,"")</f>
        <v/>
      </c>
      <c r="N403" s="55" t="str">
        <f>IF(ISNUMBER(K403),SUMIFS(st_min,st_date,A403,st_eq,B403,st_po,C403,st_type,"Non planifié"),"")</f>
        <v/>
      </c>
      <c r="O403" s="55" t="str">
        <f>IF(ISNUMBER(K403),M403-N403,"")</f>
        <v/>
      </c>
      <c r="P403" s="55" t="str">
        <f>IF(COUNTA(A403:I403)=0,"",N(G403)+N(H403)+N(I403))</f>
        <v/>
      </c>
      <c r="Q403" s="56" t="str">
        <f>IF(COUNTA(A403:I403)=0,"",IF(N(IFERROR(INDEX(art_rate,MATCH(E403,art_ref,0)),0))&gt;0,N(IFERROR(INDEX(art_rate,MATCH(E403,art_ref,0)),0)),N(IFERROR(INDEX(po_rate,MATCH(C403,po_code,0)),0))))</f>
        <v/>
      </c>
      <c r="R403" s="55" t="str">
        <f>IF(AC403=1,P403*60/Q403,"")</f>
        <v/>
      </c>
      <c r="S403" s="55" t="str">
        <f>IF(AC403=1,N(G403)*60/Q403,"")</f>
        <v/>
      </c>
      <c r="T403" s="57" t="str">
        <f>IF(AC403=1,O403/M403,"")</f>
        <v/>
      </c>
      <c r="U403" s="57" t="str">
        <f>IF(AC403=1,IF(O403&gt;0,R403/O403,""),"")</f>
        <v/>
      </c>
      <c r="V403" s="57" t="str">
        <f>IF(AC403=1,IF(P403&gt;0,N(G403)/P403,""),"")</f>
        <v/>
      </c>
      <c r="W403" s="57" t="str">
        <f>IF(AC403=1,S403/M403,"")</f>
        <v/>
      </c>
      <c r="X403" s="57" t="str">
        <f>IF(AC403=1,S403/K403,"")</f>
        <v/>
      </c>
      <c r="Y403" s="58" t="str">
        <f>IF(W403="","",IF(W403&gt;=p_target,"Bon",IF(W403&gt;=p_alert,"À surveiller","Faible")))</f>
        <v/>
      </c>
      <c r="Z403" s="58" t="str">
        <f>IF(W403="","",IF(MIN(IF(T403="",1,T403),IF(U403="",1,U403),IF(V403="",1,V403))&gt;=1,"Aucune",IF(IF(T403="",1,T403)&lt;=MIN(IF(U403="",1,U403),IF(V403="",1,V403)),"Disponibilité",IF(IF(U403="",1,U403)&lt;=IF(V403="",1,V403),"Performance","Qualité"))))</f>
        <v/>
      </c>
      <c r="AA403" s="59" t="str">
        <f>IF(AC403=1,N(H403)*N(IFERROR(INDEX(art_cost,MATCH(E403,art_ref,0)),0)),"")</f>
        <v/>
      </c>
      <c r="AB403" s="58" t="str">
        <f>IF(COUNTA(A403:I403)=0,"",IF(N(A403)&lt;=0,"Date manquante ou invalide",IF(B403="","Équipe manquante",IF(ISNA(MATCH(B403,eq_code,0)),"Équipe inconnue",IF(INDEX(eq_check,MATCH(B403,eq_code,0))&lt;&gt;"OK","Équipe à corriger dans Paramètres",IF(C403="","Poste manquant",IF(ISNA(MATCH(C403,po_code,0)),"Poste inconnu",IF(AND(E403&lt;&gt;"",ISNA(MATCH(E403,art_ref,0))),"Article inconnu",IF(IF(E403="",FALSE,INDEX(art_check,MATCH(E403,art_ref,0))&lt;&gt;"OK"),"Article à corriger (feuille Articles)",IF(COUNTIFS(sj_date,A403,sj_eq,B403,sj_po,C403)&gt;1,"Ligne en double (même jour, équipe et poste)",IF(OR(NOT(ISNUMBER(K403)),N(K403)&lt;=0,N(K403)&gt;1440),"Temps d'ouverture invalide",IF(OR(AND(G403&lt;&gt;"",NOT(ISNUMBER(G403))),N(G403)&lt;0,N(G403)&lt;&gt;INT(N(G403)),AND(H403&lt;&gt;"",NOT(ISNUMBER(H403))),N(H403)&lt;0,N(H403)&lt;&gt;INT(N(H403)),AND(I403&lt;&gt;"",NOT(ISNUMBER(I403))),N(I403)&lt;0,N(I403)&lt;&gt;INT(N(I403))),"Quantité invalide",IF(Q403&lt;=0,"Cadence manquante (poste ou article)",IF(M403&lt;=0,"Arrêts planifiés supérieurs au temps d'ouverture",IF(O403&lt;0,"Arrêts supérieurs au temps requis",IF(AND(P403&gt;0,O403=0),"Pièces déclarées sans temps de marche",IF(AND(P403=0,O403&gt;0),"Aucune pièce déclarée",IF(P403*60/Q403&gt;O403+0.001,"Cadence dépassée : vérifiez la cadence","OK"))))))))))))))))))</f>
        <v/>
      </c>
      <c r="AC403">
        <f>IF(OR(AB403="OK",AB403="Aucune pièce déclarée",AB403="Cadence dépassée : vérifiez la cadence"),1,0)</f>
        <v>0.0</v>
      </c>
      <c r="AD403">
        <f>IF(AND(AC403=1,A403&gt;=p_from,A403&lt;=p_to),1,0)</f>
        <v>0.0</v>
      </c>
      <c r="AE403">
        <f>IF(AD403=1,IF(COUNTIFS($A$6:A403,A403,$AD$6:AD403,1)=1,1,0),0)</f>
        <v>0.0</v>
      </c>
      <c r="AF403" t="str">
        <f>IF(AE403=1,COUNTIFS(sj_first,1,sj_date,"&lt;"&amp;A403)+1,"")</f>
        <v/>
      </c>
      <c r="AG403" t="str">
        <f>IF(AND(AD403=1,N(W403)&lt;p_alert),ROUND(W403,4),"")</f>
        <v/>
      </c>
      <c r="AH403" t="str">
        <f>IF(AG403="","",COUNTIF(sj_akey,"&lt;"&amp;AG403)+COUNTIF($AG$6:AG403,AG403))</f>
        <v/>
      </c>
    </row>
    <row r="404">
      <c r="A404" s="51" t="n"/>
      <c r="B404" s="52" t="n"/>
      <c r="C404" s="52" t="n"/>
      <c r="D404" s="53" t="n"/>
      <c r="E404" s="53" t="n"/>
      <c r="F404" s="54" t="n"/>
      <c r="G404" s="54" t="n"/>
      <c r="H404" s="54" t="n"/>
      <c r="I404" s="54" t="n"/>
      <c r="J404" s="53" t="n"/>
      <c r="K404" s="55" t="str">
        <f>IF(COUNTA(A404:I404)=0,"",IF(F404="",IFERROR(INDEX(eq_dur,MATCH(B404,eq_code,0)),""),F404))</f>
        <v/>
      </c>
      <c r="L404" s="55" t="str">
        <f>IF(ISNUMBER(K404),N(IFERROR(INDEX(eq_pause,MATCH(B404,eq_code,0)),0))+SUMIFS(st_min,st_date,A404,st_eq,B404,st_po,C404,st_type,"Planifié"),"")</f>
        <v/>
      </c>
      <c r="M404" s="55" t="str">
        <f>IF(ISNUMBER(K404),K404-L404,"")</f>
        <v/>
      </c>
      <c r="N404" s="55" t="str">
        <f>IF(ISNUMBER(K404),SUMIFS(st_min,st_date,A404,st_eq,B404,st_po,C404,st_type,"Non planifié"),"")</f>
        <v/>
      </c>
      <c r="O404" s="55" t="str">
        <f>IF(ISNUMBER(K404),M404-N404,"")</f>
        <v/>
      </c>
      <c r="P404" s="55" t="str">
        <f>IF(COUNTA(A404:I404)=0,"",N(G404)+N(H404)+N(I404))</f>
        <v/>
      </c>
      <c r="Q404" s="56" t="str">
        <f>IF(COUNTA(A404:I404)=0,"",IF(N(IFERROR(INDEX(art_rate,MATCH(E404,art_ref,0)),0))&gt;0,N(IFERROR(INDEX(art_rate,MATCH(E404,art_ref,0)),0)),N(IFERROR(INDEX(po_rate,MATCH(C404,po_code,0)),0))))</f>
        <v/>
      </c>
      <c r="R404" s="55" t="str">
        <f>IF(AC404=1,P404*60/Q404,"")</f>
        <v/>
      </c>
      <c r="S404" s="55" t="str">
        <f>IF(AC404=1,N(G404)*60/Q404,"")</f>
        <v/>
      </c>
      <c r="T404" s="57" t="str">
        <f>IF(AC404=1,O404/M404,"")</f>
        <v/>
      </c>
      <c r="U404" s="57" t="str">
        <f>IF(AC404=1,IF(O404&gt;0,R404/O404,""),"")</f>
        <v/>
      </c>
      <c r="V404" s="57" t="str">
        <f>IF(AC404=1,IF(P404&gt;0,N(G404)/P404,""),"")</f>
        <v/>
      </c>
      <c r="W404" s="57" t="str">
        <f>IF(AC404=1,S404/M404,"")</f>
        <v/>
      </c>
      <c r="X404" s="57" t="str">
        <f>IF(AC404=1,S404/K404,"")</f>
        <v/>
      </c>
      <c r="Y404" s="58" t="str">
        <f>IF(W404="","",IF(W404&gt;=p_target,"Bon",IF(W404&gt;=p_alert,"À surveiller","Faible")))</f>
        <v/>
      </c>
      <c r="Z404" s="58" t="str">
        <f>IF(W404="","",IF(MIN(IF(T404="",1,T404),IF(U404="",1,U404),IF(V404="",1,V404))&gt;=1,"Aucune",IF(IF(T404="",1,T404)&lt;=MIN(IF(U404="",1,U404),IF(V404="",1,V404)),"Disponibilité",IF(IF(U404="",1,U404)&lt;=IF(V404="",1,V404),"Performance","Qualité"))))</f>
        <v/>
      </c>
      <c r="AA404" s="59" t="str">
        <f>IF(AC404=1,N(H404)*N(IFERROR(INDEX(art_cost,MATCH(E404,art_ref,0)),0)),"")</f>
        <v/>
      </c>
      <c r="AB404" s="58" t="str">
        <f>IF(COUNTA(A404:I404)=0,"",IF(N(A404)&lt;=0,"Date manquante ou invalide",IF(B404="","Équipe manquante",IF(ISNA(MATCH(B404,eq_code,0)),"Équipe inconnue",IF(INDEX(eq_check,MATCH(B404,eq_code,0))&lt;&gt;"OK","Équipe à corriger dans Paramètres",IF(C404="","Poste manquant",IF(ISNA(MATCH(C404,po_code,0)),"Poste inconnu",IF(AND(E404&lt;&gt;"",ISNA(MATCH(E404,art_ref,0))),"Article inconnu",IF(IF(E404="",FALSE,INDEX(art_check,MATCH(E404,art_ref,0))&lt;&gt;"OK"),"Article à corriger (feuille Articles)",IF(COUNTIFS(sj_date,A404,sj_eq,B404,sj_po,C404)&gt;1,"Ligne en double (même jour, équipe et poste)",IF(OR(NOT(ISNUMBER(K404)),N(K404)&lt;=0,N(K404)&gt;1440),"Temps d'ouverture invalide",IF(OR(AND(G404&lt;&gt;"",NOT(ISNUMBER(G404))),N(G404)&lt;0,N(G404)&lt;&gt;INT(N(G404)),AND(H404&lt;&gt;"",NOT(ISNUMBER(H404))),N(H404)&lt;0,N(H404)&lt;&gt;INT(N(H404)),AND(I404&lt;&gt;"",NOT(ISNUMBER(I404))),N(I404)&lt;0,N(I404)&lt;&gt;INT(N(I404))),"Quantité invalide",IF(Q404&lt;=0,"Cadence manquante (poste ou article)",IF(M404&lt;=0,"Arrêts planifiés supérieurs au temps d'ouverture",IF(O404&lt;0,"Arrêts supérieurs au temps requis",IF(AND(P404&gt;0,O404=0),"Pièces déclarées sans temps de marche",IF(AND(P404=0,O404&gt;0),"Aucune pièce déclarée",IF(P404*60/Q404&gt;O404+0.001,"Cadence dépassée : vérifiez la cadence","OK"))))))))))))))))))</f>
        <v/>
      </c>
      <c r="AC404">
        <f>IF(OR(AB404="OK",AB404="Aucune pièce déclarée",AB404="Cadence dépassée : vérifiez la cadence"),1,0)</f>
        <v>0.0</v>
      </c>
      <c r="AD404">
        <f>IF(AND(AC404=1,A404&gt;=p_from,A404&lt;=p_to),1,0)</f>
        <v>0.0</v>
      </c>
      <c r="AE404">
        <f>IF(AD404=1,IF(COUNTIFS($A$6:A404,A404,$AD$6:AD404,1)=1,1,0),0)</f>
        <v>0.0</v>
      </c>
      <c r="AF404" t="str">
        <f>IF(AE404=1,COUNTIFS(sj_first,1,sj_date,"&lt;"&amp;A404)+1,"")</f>
        <v/>
      </c>
      <c r="AG404" t="str">
        <f>IF(AND(AD404=1,N(W404)&lt;p_alert),ROUND(W404,4),"")</f>
        <v/>
      </c>
      <c r="AH404" t="str">
        <f>IF(AG404="","",COUNTIF(sj_akey,"&lt;"&amp;AG404)+COUNTIF($AG$6:AG404,AG404))</f>
        <v/>
      </c>
    </row>
    <row r="405">
      <c r="A405" s="51" t="n"/>
      <c r="B405" s="52" t="n"/>
      <c r="C405" s="52" t="n"/>
      <c r="D405" s="53" t="n"/>
      <c r="E405" s="53" t="n"/>
      <c r="F405" s="54" t="n"/>
      <c r="G405" s="54" t="n"/>
      <c r="H405" s="54" t="n"/>
      <c r="I405" s="54" t="n"/>
      <c r="J405" s="53" t="n"/>
      <c r="K405" s="55" t="str">
        <f>IF(COUNTA(A405:I405)=0,"",IF(F405="",IFERROR(INDEX(eq_dur,MATCH(B405,eq_code,0)),""),F405))</f>
        <v/>
      </c>
      <c r="L405" s="55" t="str">
        <f>IF(ISNUMBER(K405),N(IFERROR(INDEX(eq_pause,MATCH(B405,eq_code,0)),0))+SUMIFS(st_min,st_date,A405,st_eq,B405,st_po,C405,st_type,"Planifié"),"")</f>
        <v/>
      </c>
      <c r="M405" s="55" t="str">
        <f>IF(ISNUMBER(K405),K405-L405,"")</f>
        <v/>
      </c>
      <c r="N405" s="55" t="str">
        <f>IF(ISNUMBER(K405),SUMIFS(st_min,st_date,A405,st_eq,B405,st_po,C405,st_type,"Non planifié"),"")</f>
        <v/>
      </c>
      <c r="O405" s="55" t="str">
        <f>IF(ISNUMBER(K405),M405-N405,"")</f>
        <v/>
      </c>
      <c r="P405" s="55" t="str">
        <f>IF(COUNTA(A405:I405)=0,"",N(G405)+N(H405)+N(I405))</f>
        <v/>
      </c>
      <c r="Q405" s="56" t="str">
        <f>IF(COUNTA(A405:I405)=0,"",IF(N(IFERROR(INDEX(art_rate,MATCH(E405,art_ref,0)),0))&gt;0,N(IFERROR(INDEX(art_rate,MATCH(E405,art_ref,0)),0)),N(IFERROR(INDEX(po_rate,MATCH(C405,po_code,0)),0))))</f>
        <v/>
      </c>
      <c r="R405" s="55" t="str">
        <f>IF(AC405=1,P405*60/Q405,"")</f>
        <v/>
      </c>
      <c r="S405" s="55" t="str">
        <f>IF(AC405=1,N(G405)*60/Q405,"")</f>
        <v/>
      </c>
      <c r="T405" s="57" t="str">
        <f>IF(AC405=1,O405/M405,"")</f>
        <v/>
      </c>
      <c r="U405" s="57" t="str">
        <f>IF(AC405=1,IF(O405&gt;0,R405/O405,""),"")</f>
        <v/>
      </c>
      <c r="V405" s="57" t="str">
        <f>IF(AC405=1,IF(P405&gt;0,N(G405)/P405,""),"")</f>
        <v/>
      </c>
      <c r="W405" s="57" t="str">
        <f>IF(AC405=1,S405/M405,"")</f>
        <v/>
      </c>
      <c r="X405" s="57" t="str">
        <f>IF(AC405=1,S405/K405,"")</f>
        <v/>
      </c>
      <c r="Y405" s="58" t="str">
        <f>IF(W405="","",IF(W405&gt;=p_target,"Bon",IF(W405&gt;=p_alert,"À surveiller","Faible")))</f>
        <v/>
      </c>
      <c r="Z405" s="58" t="str">
        <f>IF(W405="","",IF(MIN(IF(T405="",1,T405),IF(U405="",1,U405),IF(V405="",1,V405))&gt;=1,"Aucune",IF(IF(T405="",1,T405)&lt;=MIN(IF(U405="",1,U405),IF(V405="",1,V405)),"Disponibilité",IF(IF(U405="",1,U405)&lt;=IF(V405="",1,V405),"Performance","Qualité"))))</f>
        <v/>
      </c>
      <c r="AA405" s="59" t="str">
        <f>IF(AC405=1,N(H405)*N(IFERROR(INDEX(art_cost,MATCH(E405,art_ref,0)),0)),"")</f>
        <v/>
      </c>
      <c r="AB405" s="58" t="str">
        <f>IF(COUNTA(A405:I405)=0,"",IF(N(A405)&lt;=0,"Date manquante ou invalide",IF(B405="","Équipe manquante",IF(ISNA(MATCH(B405,eq_code,0)),"Équipe inconnue",IF(INDEX(eq_check,MATCH(B405,eq_code,0))&lt;&gt;"OK","Équipe à corriger dans Paramètres",IF(C405="","Poste manquant",IF(ISNA(MATCH(C405,po_code,0)),"Poste inconnu",IF(AND(E405&lt;&gt;"",ISNA(MATCH(E405,art_ref,0))),"Article inconnu",IF(IF(E405="",FALSE,INDEX(art_check,MATCH(E405,art_ref,0))&lt;&gt;"OK"),"Article à corriger (feuille Articles)",IF(COUNTIFS(sj_date,A405,sj_eq,B405,sj_po,C405)&gt;1,"Ligne en double (même jour, équipe et poste)",IF(OR(NOT(ISNUMBER(K405)),N(K405)&lt;=0,N(K405)&gt;1440),"Temps d'ouverture invalide",IF(OR(AND(G405&lt;&gt;"",NOT(ISNUMBER(G405))),N(G405)&lt;0,N(G405)&lt;&gt;INT(N(G405)),AND(H405&lt;&gt;"",NOT(ISNUMBER(H405))),N(H405)&lt;0,N(H405)&lt;&gt;INT(N(H405)),AND(I405&lt;&gt;"",NOT(ISNUMBER(I405))),N(I405)&lt;0,N(I405)&lt;&gt;INT(N(I405))),"Quantité invalide",IF(Q405&lt;=0,"Cadence manquante (poste ou article)",IF(M405&lt;=0,"Arrêts planifiés supérieurs au temps d'ouverture",IF(O405&lt;0,"Arrêts supérieurs au temps requis",IF(AND(P405&gt;0,O405=0),"Pièces déclarées sans temps de marche",IF(AND(P405=0,O405&gt;0),"Aucune pièce déclarée",IF(P405*60/Q405&gt;O405+0.001,"Cadence dépassée : vérifiez la cadence","OK"))))))))))))))))))</f>
        <v/>
      </c>
      <c r="AC405">
        <f>IF(OR(AB405="OK",AB405="Aucune pièce déclarée",AB405="Cadence dépassée : vérifiez la cadence"),1,0)</f>
        <v>0.0</v>
      </c>
      <c r="AD405">
        <f>IF(AND(AC405=1,A405&gt;=p_from,A405&lt;=p_to),1,0)</f>
        <v>0.0</v>
      </c>
      <c r="AE405">
        <f>IF(AD405=1,IF(COUNTIFS($A$6:A405,A405,$AD$6:AD405,1)=1,1,0),0)</f>
        <v>0.0</v>
      </c>
      <c r="AF405" t="str">
        <f>IF(AE405=1,COUNTIFS(sj_first,1,sj_date,"&lt;"&amp;A405)+1,"")</f>
        <v/>
      </c>
      <c r="AG405" t="str">
        <f>IF(AND(AD405=1,N(W405)&lt;p_alert),ROUND(W405,4),"")</f>
        <v/>
      </c>
      <c r="AH405" t="str">
        <f>IF(AG405="","",COUNTIF(sj_akey,"&lt;"&amp;AG405)+COUNTIF($AG$6:AG405,AG405))</f>
        <v/>
      </c>
    </row>
    <row r="406">
      <c r="A406" s="51" t="n"/>
      <c r="B406" s="52" t="n"/>
      <c r="C406" s="52" t="n"/>
      <c r="D406" s="53" t="n"/>
      <c r="E406" s="53" t="n"/>
      <c r="F406" s="54" t="n"/>
      <c r="G406" s="54" t="n"/>
      <c r="H406" s="54" t="n"/>
      <c r="I406" s="54" t="n"/>
      <c r="J406" s="53" t="n"/>
      <c r="K406" s="55" t="str">
        <f>IF(COUNTA(A406:I406)=0,"",IF(F406="",IFERROR(INDEX(eq_dur,MATCH(B406,eq_code,0)),""),F406))</f>
        <v/>
      </c>
      <c r="L406" s="55" t="str">
        <f>IF(ISNUMBER(K406),N(IFERROR(INDEX(eq_pause,MATCH(B406,eq_code,0)),0))+SUMIFS(st_min,st_date,A406,st_eq,B406,st_po,C406,st_type,"Planifié"),"")</f>
        <v/>
      </c>
      <c r="M406" s="55" t="str">
        <f>IF(ISNUMBER(K406),K406-L406,"")</f>
        <v/>
      </c>
      <c r="N406" s="55" t="str">
        <f>IF(ISNUMBER(K406),SUMIFS(st_min,st_date,A406,st_eq,B406,st_po,C406,st_type,"Non planifié"),"")</f>
        <v/>
      </c>
      <c r="O406" s="55" t="str">
        <f>IF(ISNUMBER(K406),M406-N406,"")</f>
        <v/>
      </c>
      <c r="P406" s="55" t="str">
        <f>IF(COUNTA(A406:I406)=0,"",N(G406)+N(H406)+N(I406))</f>
        <v/>
      </c>
      <c r="Q406" s="56" t="str">
        <f>IF(COUNTA(A406:I406)=0,"",IF(N(IFERROR(INDEX(art_rate,MATCH(E406,art_ref,0)),0))&gt;0,N(IFERROR(INDEX(art_rate,MATCH(E406,art_ref,0)),0)),N(IFERROR(INDEX(po_rate,MATCH(C406,po_code,0)),0))))</f>
        <v/>
      </c>
      <c r="R406" s="55" t="str">
        <f>IF(AC406=1,P406*60/Q406,"")</f>
        <v/>
      </c>
      <c r="S406" s="55" t="str">
        <f>IF(AC406=1,N(G406)*60/Q406,"")</f>
        <v/>
      </c>
      <c r="T406" s="57" t="str">
        <f>IF(AC406=1,O406/M406,"")</f>
        <v/>
      </c>
      <c r="U406" s="57" t="str">
        <f>IF(AC406=1,IF(O406&gt;0,R406/O406,""),"")</f>
        <v/>
      </c>
      <c r="V406" s="57" t="str">
        <f>IF(AC406=1,IF(P406&gt;0,N(G406)/P406,""),"")</f>
        <v/>
      </c>
      <c r="W406" s="57" t="str">
        <f>IF(AC406=1,S406/M406,"")</f>
        <v/>
      </c>
      <c r="X406" s="57" t="str">
        <f>IF(AC406=1,S406/K406,"")</f>
        <v/>
      </c>
      <c r="Y406" s="58" t="str">
        <f>IF(W406="","",IF(W406&gt;=p_target,"Bon",IF(W406&gt;=p_alert,"À surveiller","Faible")))</f>
        <v/>
      </c>
      <c r="Z406" s="58" t="str">
        <f>IF(W406="","",IF(MIN(IF(T406="",1,T406),IF(U406="",1,U406),IF(V406="",1,V406))&gt;=1,"Aucune",IF(IF(T406="",1,T406)&lt;=MIN(IF(U406="",1,U406),IF(V406="",1,V406)),"Disponibilité",IF(IF(U406="",1,U406)&lt;=IF(V406="",1,V406),"Performance","Qualité"))))</f>
        <v/>
      </c>
      <c r="AA406" s="59" t="str">
        <f>IF(AC406=1,N(H406)*N(IFERROR(INDEX(art_cost,MATCH(E406,art_ref,0)),0)),"")</f>
        <v/>
      </c>
      <c r="AB406" s="58" t="str">
        <f>IF(COUNTA(A406:I406)=0,"",IF(N(A406)&lt;=0,"Date manquante ou invalide",IF(B406="","Équipe manquante",IF(ISNA(MATCH(B406,eq_code,0)),"Équipe inconnue",IF(INDEX(eq_check,MATCH(B406,eq_code,0))&lt;&gt;"OK","Équipe à corriger dans Paramètres",IF(C406="","Poste manquant",IF(ISNA(MATCH(C406,po_code,0)),"Poste inconnu",IF(AND(E406&lt;&gt;"",ISNA(MATCH(E406,art_ref,0))),"Article inconnu",IF(IF(E406="",FALSE,INDEX(art_check,MATCH(E406,art_ref,0))&lt;&gt;"OK"),"Article à corriger (feuille Articles)",IF(COUNTIFS(sj_date,A406,sj_eq,B406,sj_po,C406)&gt;1,"Ligne en double (même jour, équipe et poste)",IF(OR(NOT(ISNUMBER(K406)),N(K406)&lt;=0,N(K406)&gt;1440),"Temps d'ouverture invalide",IF(OR(AND(G406&lt;&gt;"",NOT(ISNUMBER(G406))),N(G406)&lt;0,N(G406)&lt;&gt;INT(N(G406)),AND(H406&lt;&gt;"",NOT(ISNUMBER(H406))),N(H406)&lt;0,N(H406)&lt;&gt;INT(N(H406)),AND(I406&lt;&gt;"",NOT(ISNUMBER(I406))),N(I406)&lt;0,N(I406)&lt;&gt;INT(N(I406))),"Quantité invalide",IF(Q406&lt;=0,"Cadence manquante (poste ou article)",IF(M406&lt;=0,"Arrêts planifiés supérieurs au temps d'ouverture",IF(O406&lt;0,"Arrêts supérieurs au temps requis",IF(AND(P406&gt;0,O406=0),"Pièces déclarées sans temps de marche",IF(AND(P406=0,O406&gt;0),"Aucune pièce déclarée",IF(P406*60/Q406&gt;O406+0.001,"Cadence dépassée : vérifiez la cadence","OK"))))))))))))))))))</f>
        <v/>
      </c>
      <c r="AC406">
        <f>IF(OR(AB406="OK",AB406="Aucune pièce déclarée",AB406="Cadence dépassée : vérifiez la cadence"),1,0)</f>
        <v>0.0</v>
      </c>
      <c r="AD406">
        <f>IF(AND(AC406=1,A406&gt;=p_from,A406&lt;=p_to),1,0)</f>
        <v>0.0</v>
      </c>
      <c r="AE406">
        <f>IF(AD406=1,IF(COUNTIFS($A$6:A406,A406,$AD$6:AD406,1)=1,1,0),0)</f>
        <v>0.0</v>
      </c>
      <c r="AF406" t="str">
        <f>IF(AE406=1,COUNTIFS(sj_first,1,sj_date,"&lt;"&amp;A406)+1,"")</f>
        <v/>
      </c>
      <c r="AG406" t="str">
        <f>IF(AND(AD406=1,N(W406)&lt;p_alert),ROUND(W406,4),"")</f>
        <v/>
      </c>
      <c r="AH406" t="str">
        <f>IF(AG406="","",COUNTIF(sj_akey,"&lt;"&amp;AG406)+COUNTIF($AG$6:AG406,AG406))</f>
        <v/>
      </c>
    </row>
    <row r="407">
      <c r="A407" s="51" t="n"/>
      <c r="B407" s="52" t="n"/>
      <c r="C407" s="52" t="n"/>
      <c r="D407" s="53" t="n"/>
      <c r="E407" s="53" t="n"/>
      <c r="F407" s="54" t="n"/>
      <c r="G407" s="54" t="n"/>
      <c r="H407" s="54" t="n"/>
      <c r="I407" s="54" t="n"/>
      <c r="J407" s="53" t="n"/>
      <c r="K407" s="55" t="str">
        <f>IF(COUNTA(A407:I407)=0,"",IF(F407="",IFERROR(INDEX(eq_dur,MATCH(B407,eq_code,0)),""),F407))</f>
        <v/>
      </c>
      <c r="L407" s="55" t="str">
        <f>IF(ISNUMBER(K407),N(IFERROR(INDEX(eq_pause,MATCH(B407,eq_code,0)),0))+SUMIFS(st_min,st_date,A407,st_eq,B407,st_po,C407,st_type,"Planifié"),"")</f>
        <v/>
      </c>
      <c r="M407" s="55" t="str">
        <f>IF(ISNUMBER(K407),K407-L407,"")</f>
        <v/>
      </c>
      <c r="N407" s="55" t="str">
        <f>IF(ISNUMBER(K407),SUMIFS(st_min,st_date,A407,st_eq,B407,st_po,C407,st_type,"Non planifié"),"")</f>
        <v/>
      </c>
      <c r="O407" s="55" t="str">
        <f>IF(ISNUMBER(K407),M407-N407,"")</f>
        <v/>
      </c>
      <c r="P407" s="55" t="str">
        <f>IF(COUNTA(A407:I407)=0,"",N(G407)+N(H407)+N(I407))</f>
        <v/>
      </c>
      <c r="Q407" s="56" t="str">
        <f>IF(COUNTA(A407:I407)=0,"",IF(N(IFERROR(INDEX(art_rate,MATCH(E407,art_ref,0)),0))&gt;0,N(IFERROR(INDEX(art_rate,MATCH(E407,art_ref,0)),0)),N(IFERROR(INDEX(po_rate,MATCH(C407,po_code,0)),0))))</f>
        <v/>
      </c>
      <c r="R407" s="55" t="str">
        <f>IF(AC407=1,P407*60/Q407,"")</f>
        <v/>
      </c>
      <c r="S407" s="55" t="str">
        <f>IF(AC407=1,N(G407)*60/Q407,"")</f>
        <v/>
      </c>
      <c r="T407" s="57" t="str">
        <f>IF(AC407=1,O407/M407,"")</f>
        <v/>
      </c>
      <c r="U407" s="57" t="str">
        <f>IF(AC407=1,IF(O407&gt;0,R407/O407,""),"")</f>
        <v/>
      </c>
      <c r="V407" s="57" t="str">
        <f>IF(AC407=1,IF(P407&gt;0,N(G407)/P407,""),"")</f>
        <v/>
      </c>
      <c r="W407" s="57" t="str">
        <f>IF(AC407=1,S407/M407,"")</f>
        <v/>
      </c>
      <c r="X407" s="57" t="str">
        <f>IF(AC407=1,S407/K407,"")</f>
        <v/>
      </c>
      <c r="Y407" s="58" t="str">
        <f>IF(W407="","",IF(W407&gt;=p_target,"Bon",IF(W407&gt;=p_alert,"À surveiller","Faible")))</f>
        <v/>
      </c>
      <c r="Z407" s="58" t="str">
        <f>IF(W407="","",IF(MIN(IF(T407="",1,T407),IF(U407="",1,U407),IF(V407="",1,V407))&gt;=1,"Aucune",IF(IF(T407="",1,T407)&lt;=MIN(IF(U407="",1,U407),IF(V407="",1,V407)),"Disponibilité",IF(IF(U407="",1,U407)&lt;=IF(V407="",1,V407),"Performance","Qualité"))))</f>
        <v/>
      </c>
      <c r="AA407" s="59" t="str">
        <f>IF(AC407=1,N(H407)*N(IFERROR(INDEX(art_cost,MATCH(E407,art_ref,0)),0)),"")</f>
        <v/>
      </c>
      <c r="AB407" s="58" t="str">
        <f>IF(COUNTA(A407:I407)=0,"",IF(N(A407)&lt;=0,"Date manquante ou invalide",IF(B407="","Équipe manquante",IF(ISNA(MATCH(B407,eq_code,0)),"Équipe inconnue",IF(INDEX(eq_check,MATCH(B407,eq_code,0))&lt;&gt;"OK","Équipe à corriger dans Paramètres",IF(C407="","Poste manquant",IF(ISNA(MATCH(C407,po_code,0)),"Poste inconnu",IF(AND(E407&lt;&gt;"",ISNA(MATCH(E407,art_ref,0))),"Article inconnu",IF(IF(E407="",FALSE,INDEX(art_check,MATCH(E407,art_ref,0))&lt;&gt;"OK"),"Article à corriger (feuille Articles)",IF(COUNTIFS(sj_date,A407,sj_eq,B407,sj_po,C407)&gt;1,"Ligne en double (même jour, équipe et poste)",IF(OR(NOT(ISNUMBER(K407)),N(K407)&lt;=0,N(K407)&gt;1440),"Temps d'ouverture invalide",IF(OR(AND(G407&lt;&gt;"",NOT(ISNUMBER(G407))),N(G407)&lt;0,N(G407)&lt;&gt;INT(N(G407)),AND(H407&lt;&gt;"",NOT(ISNUMBER(H407))),N(H407)&lt;0,N(H407)&lt;&gt;INT(N(H407)),AND(I407&lt;&gt;"",NOT(ISNUMBER(I407))),N(I407)&lt;0,N(I407)&lt;&gt;INT(N(I407))),"Quantité invalide",IF(Q407&lt;=0,"Cadence manquante (poste ou article)",IF(M407&lt;=0,"Arrêts planifiés supérieurs au temps d'ouverture",IF(O407&lt;0,"Arrêts supérieurs au temps requis",IF(AND(P407&gt;0,O407=0),"Pièces déclarées sans temps de marche",IF(AND(P407=0,O407&gt;0),"Aucune pièce déclarée",IF(P407*60/Q407&gt;O407+0.001,"Cadence dépassée : vérifiez la cadence","OK"))))))))))))))))))</f>
        <v/>
      </c>
      <c r="AC407">
        <f>IF(OR(AB407="OK",AB407="Aucune pièce déclarée",AB407="Cadence dépassée : vérifiez la cadence"),1,0)</f>
        <v>0.0</v>
      </c>
      <c r="AD407">
        <f>IF(AND(AC407=1,A407&gt;=p_from,A407&lt;=p_to),1,0)</f>
        <v>0.0</v>
      </c>
      <c r="AE407">
        <f>IF(AD407=1,IF(COUNTIFS($A$6:A407,A407,$AD$6:AD407,1)=1,1,0),0)</f>
        <v>0.0</v>
      </c>
      <c r="AF407" t="str">
        <f>IF(AE407=1,COUNTIFS(sj_first,1,sj_date,"&lt;"&amp;A407)+1,"")</f>
        <v/>
      </c>
      <c r="AG407" t="str">
        <f>IF(AND(AD407=1,N(W407)&lt;p_alert),ROUND(W407,4),"")</f>
        <v/>
      </c>
      <c r="AH407" t="str">
        <f>IF(AG407="","",COUNTIF(sj_akey,"&lt;"&amp;AG407)+COUNTIF($AG$6:AG407,AG407))</f>
        <v/>
      </c>
    </row>
    <row r="408">
      <c r="A408" s="51" t="n"/>
      <c r="B408" s="52" t="n"/>
      <c r="C408" s="52" t="n"/>
      <c r="D408" s="53" t="n"/>
      <c r="E408" s="53" t="n"/>
      <c r="F408" s="54" t="n"/>
      <c r="G408" s="54" t="n"/>
      <c r="H408" s="54" t="n"/>
      <c r="I408" s="54" t="n"/>
      <c r="J408" s="53" t="n"/>
      <c r="K408" s="55" t="str">
        <f>IF(COUNTA(A408:I408)=0,"",IF(F408="",IFERROR(INDEX(eq_dur,MATCH(B408,eq_code,0)),""),F408))</f>
        <v/>
      </c>
      <c r="L408" s="55" t="str">
        <f>IF(ISNUMBER(K408),N(IFERROR(INDEX(eq_pause,MATCH(B408,eq_code,0)),0))+SUMIFS(st_min,st_date,A408,st_eq,B408,st_po,C408,st_type,"Planifié"),"")</f>
        <v/>
      </c>
      <c r="M408" s="55" t="str">
        <f>IF(ISNUMBER(K408),K408-L408,"")</f>
        <v/>
      </c>
      <c r="N408" s="55" t="str">
        <f>IF(ISNUMBER(K408),SUMIFS(st_min,st_date,A408,st_eq,B408,st_po,C408,st_type,"Non planifié"),"")</f>
        <v/>
      </c>
      <c r="O408" s="55" t="str">
        <f>IF(ISNUMBER(K408),M408-N408,"")</f>
        <v/>
      </c>
      <c r="P408" s="55" t="str">
        <f>IF(COUNTA(A408:I408)=0,"",N(G408)+N(H408)+N(I408))</f>
        <v/>
      </c>
      <c r="Q408" s="56" t="str">
        <f>IF(COUNTA(A408:I408)=0,"",IF(N(IFERROR(INDEX(art_rate,MATCH(E408,art_ref,0)),0))&gt;0,N(IFERROR(INDEX(art_rate,MATCH(E408,art_ref,0)),0)),N(IFERROR(INDEX(po_rate,MATCH(C408,po_code,0)),0))))</f>
        <v/>
      </c>
      <c r="R408" s="55" t="str">
        <f>IF(AC408=1,P408*60/Q408,"")</f>
        <v/>
      </c>
      <c r="S408" s="55" t="str">
        <f>IF(AC408=1,N(G408)*60/Q408,"")</f>
        <v/>
      </c>
      <c r="T408" s="57" t="str">
        <f>IF(AC408=1,O408/M408,"")</f>
        <v/>
      </c>
      <c r="U408" s="57" t="str">
        <f>IF(AC408=1,IF(O408&gt;0,R408/O408,""),"")</f>
        <v/>
      </c>
      <c r="V408" s="57" t="str">
        <f>IF(AC408=1,IF(P408&gt;0,N(G408)/P408,""),"")</f>
        <v/>
      </c>
      <c r="W408" s="57" t="str">
        <f>IF(AC408=1,S408/M408,"")</f>
        <v/>
      </c>
      <c r="X408" s="57" t="str">
        <f>IF(AC408=1,S408/K408,"")</f>
        <v/>
      </c>
      <c r="Y408" s="58" t="str">
        <f>IF(W408="","",IF(W408&gt;=p_target,"Bon",IF(W408&gt;=p_alert,"À surveiller","Faible")))</f>
        <v/>
      </c>
      <c r="Z408" s="58" t="str">
        <f>IF(W408="","",IF(MIN(IF(T408="",1,T408),IF(U408="",1,U408),IF(V408="",1,V408))&gt;=1,"Aucune",IF(IF(T408="",1,T408)&lt;=MIN(IF(U408="",1,U408),IF(V408="",1,V408)),"Disponibilité",IF(IF(U408="",1,U408)&lt;=IF(V408="",1,V408),"Performance","Qualité"))))</f>
        <v/>
      </c>
      <c r="AA408" s="59" t="str">
        <f>IF(AC408=1,N(H408)*N(IFERROR(INDEX(art_cost,MATCH(E408,art_ref,0)),0)),"")</f>
        <v/>
      </c>
      <c r="AB408" s="58" t="str">
        <f>IF(COUNTA(A408:I408)=0,"",IF(N(A408)&lt;=0,"Date manquante ou invalide",IF(B408="","Équipe manquante",IF(ISNA(MATCH(B408,eq_code,0)),"Équipe inconnue",IF(INDEX(eq_check,MATCH(B408,eq_code,0))&lt;&gt;"OK","Équipe à corriger dans Paramètres",IF(C408="","Poste manquant",IF(ISNA(MATCH(C408,po_code,0)),"Poste inconnu",IF(AND(E408&lt;&gt;"",ISNA(MATCH(E408,art_ref,0))),"Article inconnu",IF(IF(E408="",FALSE,INDEX(art_check,MATCH(E408,art_ref,0))&lt;&gt;"OK"),"Article à corriger (feuille Articles)",IF(COUNTIFS(sj_date,A408,sj_eq,B408,sj_po,C408)&gt;1,"Ligne en double (même jour, équipe et poste)",IF(OR(NOT(ISNUMBER(K408)),N(K408)&lt;=0,N(K408)&gt;1440),"Temps d'ouverture invalide",IF(OR(AND(G408&lt;&gt;"",NOT(ISNUMBER(G408))),N(G408)&lt;0,N(G408)&lt;&gt;INT(N(G408)),AND(H408&lt;&gt;"",NOT(ISNUMBER(H408))),N(H408)&lt;0,N(H408)&lt;&gt;INT(N(H408)),AND(I408&lt;&gt;"",NOT(ISNUMBER(I408))),N(I408)&lt;0,N(I408)&lt;&gt;INT(N(I408))),"Quantité invalide",IF(Q408&lt;=0,"Cadence manquante (poste ou article)",IF(M408&lt;=0,"Arrêts planifiés supérieurs au temps d'ouverture",IF(O408&lt;0,"Arrêts supérieurs au temps requis",IF(AND(P408&gt;0,O408=0),"Pièces déclarées sans temps de marche",IF(AND(P408=0,O408&gt;0),"Aucune pièce déclarée",IF(P408*60/Q408&gt;O408+0.001,"Cadence dépassée : vérifiez la cadence","OK"))))))))))))))))))</f>
        <v/>
      </c>
      <c r="AC408">
        <f>IF(OR(AB408="OK",AB408="Aucune pièce déclarée",AB408="Cadence dépassée : vérifiez la cadence"),1,0)</f>
        <v>0.0</v>
      </c>
      <c r="AD408">
        <f>IF(AND(AC408=1,A408&gt;=p_from,A408&lt;=p_to),1,0)</f>
        <v>0.0</v>
      </c>
      <c r="AE408">
        <f>IF(AD408=1,IF(COUNTIFS($A$6:A408,A408,$AD$6:AD408,1)=1,1,0),0)</f>
        <v>0.0</v>
      </c>
      <c r="AF408" t="str">
        <f>IF(AE408=1,COUNTIFS(sj_first,1,sj_date,"&lt;"&amp;A408)+1,"")</f>
        <v/>
      </c>
      <c r="AG408" t="str">
        <f>IF(AND(AD408=1,N(W408)&lt;p_alert),ROUND(W408,4),"")</f>
        <v/>
      </c>
      <c r="AH408" t="str">
        <f>IF(AG408="","",COUNTIF(sj_akey,"&lt;"&amp;AG408)+COUNTIF($AG$6:AG408,AG408))</f>
        <v/>
      </c>
    </row>
    <row r="409">
      <c r="A409" s="51" t="n"/>
      <c r="B409" s="52" t="n"/>
      <c r="C409" s="52" t="n"/>
      <c r="D409" s="53" t="n"/>
      <c r="E409" s="53" t="n"/>
      <c r="F409" s="54" t="n"/>
      <c r="G409" s="54" t="n"/>
      <c r="H409" s="54" t="n"/>
      <c r="I409" s="54" t="n"/>
      <c r="J409" s="53" t="n"/>
      <c r="K409" s="55" t="str">
        <f>IF(COUNTA(A409:I409)=0,"",IF(F409="",IFERROR(INDEX(eq_dur,MATCH(B409,eq_code,0)),""),F409))</f>
        <v/>
      </c>
      <c r="L409" s="55" t="str">
        <f>IF(ISNUMBER(K409),N(IFERROR(INDEX(eq_pause,MATCH(B409,eq_code,0)),0))+SUMIFS(st_min,st_date,A409,st_eq,B409,st_po,C409,st_type,"Planifié"),"")</f>
        <v/>
      </c>
      <c r="M409" s="55" t="str">
        <f>IF(ISNUMBER(K409),K409-L409,"")</f>
        <v/>
      </c>
      <c r="N409" s="55" t="str">
        <f>IF(ISNUMBER(K409),SUMIFS(st_min,st_date,A409,st_eq,B409,st_po,C409,st_type,"Non planifié"),"")</f>
        <v/>
      </c>
      <c r="O409" s="55" t="str">
        <f>IF(ISNUMBER(K409),M409-N409,"")</f>
        <v/>
      </c>
      <c r="P409" s="55" t="str">
        <f>IF(COUNTA(A409:I409)=0,"",N(G409)+N(H409)+N(I409))</f>
        <v/>
      </c>
      <c r="Q409" s="56" t="str">
        <f>IF(COUNTA(A409:I409)=0,"",IF(N(IFERROR(INDEX(art_rate,MATCH(E409,art_ref,0)),0))&gt;0,N(IFERROR(INDEX(art_rate,MATCH(E409,art_ref,0)),0)),N(IFERROR(INDEX(po_rate,MATCH(C409,po_code,0)),0))))</f>
        <v/>
      </c>
      <c r="R409" s="55" t="str">
        <f>IF(AC409=1,P409*60/Q409,"")</f>
        <v/>
      </c>
      <c r="S409" s="55" t="str">
        <f>IF(AC409=1,N(G409)*60/Q409,"")</f>
        <v/>
      </c>
      <c r="T409" s="57" t="str">
        <f>IF(AC409=1,O409/M409,"")</f>
        <v/>
      </c>
      <c r="U409" s="57" t="str">
        <f>IF(AC409=1,IF(O409&gt;0,R409/O409,""),"")</f>
        <v/>
      </c>
      <c r="V409" s="57" t="str">
        <f>IF(AC409=1,IF(P409&gt;0,N(G409)/P409,""),"")</f>
        <v/>
      </c>
      <c r="W409" s="57" t="str">
        <f>IF(AC409=1,S409/M409,"")</f>
        <v/>
      </c>
      <c r="X409" s="57" t="str">
        <f>IF(AC409=1,S409/K409,"")</f>
        <v/>
      </c>
      <c r="Y409" s="58" t="str">
        <f>IF(W409="","",IF(W409&gt;=p_target,"Bon",IF(W409&gt;=p_alert,"À surveiller","Faible")))</f>
        <v/>
      </c>
      <c r="Z409" s="58" t="str">
        <f>IF(W409="","",IF(MIN(IF(T409="",1,T409),IF(U409="",1,U409),IF(V409="",1,V409))&gt;=1,"Aucune",IF(IF(T409="",1,T409)&lt;=MIN(IF(U409="",1,U409),IF(V409="",1,V409)),"Disponibilité",IF(IF(U409="",1,U409)&lt;=IF(V409="",1,V409),"Performance","Qualité"))))</f>
        <v/>
      </c>
      <c r="AA409" s="59" t="str">
        <f>IF(AC409=1,N(H409)*N(IFERROR(INDEX(art_cost,MATCH(E409,art_ref,0)),0)),"")</f>
        <v/>
      </c>
      <c r="AB409" s="58" t="str">
        <f>IF(COUNTA(A409:I409)=0,"",IF(N(A409)&lt;=0,"Date manquante ou invalide",IF(B409="","Équipe manquante",IF(ISNA(MATCH(B409,eq_code,0)),"Équipe inconnue",IF(INDEX(eq_check,MATCH(B409,eq_code,0))&lt;&gt;"OK","Équipe à corriger dans Paramètres",IF(C409="","Poste manquant",IF(ISNA(MATCH(C409,po_code,0)),"Poste inconnu",IF(AND(E409&lt;&gt;"",ISNA(MATCH(E409,art_ref,0))),"Article inconnu",IF(IF(E409="",FALSE,INDEX(art_check,MATCH(E409,art_ref,0))&lt;&gt;"OK"),"Article à corriger (feuille Articles)",IF(COUNTIFS(sj_date,A409,sj_eq,B409,sj_po,C409)&gt;1,"Ligne en double (même jour, équipe et poste)",IF(OR(NOT(ISNUMBER(K409)),N(K409)&lt;=0,N(K409)&gt;1440),"Temps d'ouverture invalide",IF(OR(AND(G409&lt;&gt;"",NOT(ISNUMBER(G409))),N(G409)&lt;0,N(G409)&lt;&gt;INT(N(G409)),AND(H409&lt;&gt;"",NOT(ISNUMBER(H409))),N(H409)&lt;0,N(H409)&lt;&gt;INT(N(H409)),AND(I409&lt;&gt;"",NOT(ISNUMBER(I409))),N(I409)&lt;0,N(I409)&lt;&gt;INT(N(I409))),"Quantité invalide",IF(Q409&lt;=0,"Cadence manquante (poste ou article)",IF(M409&lt;=0,"Arrêts planifiés supérieurs au temps d'ouverture",IF(O409&lt;0,"Arrêts supérieurs au temps requis",IF(AND(P409&gt;0,O409=0),"Pièces déclarées sans temps de marche",IF(AND(P409=0,O409&gt;0),"Aucune pièce déclarée",IF(P409*60/Q409&gt;O409+0.001,"Cadence dépassée : vérifiez la cadence","OK"))))))))))))))))))</f>
        <v/>
      </c>
      <c r="AC409">
        <f>IF(OR(AB409="OK",AB409="Aucune pièce déclarée",AB409="Cadence dépassée : vérifiez la cadence"),1,0)</f>
        <v>0.0</v>
      </c>
      <c r="AD409">
        <f>IF(AND(AC409=1,A409&gt;=p_from,A409&lt;=p_to),1,0)</f>
        <v>0.0</v>
      </c>
      <c r="AE409">
        <f>IF(AD409=1,IF(COUNTIFS($A$6:A409,A409,$AD$6:AD409,1)=1,1,0),0)</f>
        <v>0.0</v>
      </c>
      <c r="AF409" t="str">
        <f>IF(AE409=1,COUNTIFS(sj_first,1,sj_date,"&lt;"&amp;A409)+1,"")</f>
        <v/>
      </c>
      <c r="AG409" t="str">
        <f>IF(AND(AD409=1,N(W409)&lt;p_alert),ROUND(W409,4),"")</f>
        <v/>
      </c>
      <c r="AH409" t="str">
        <f>IF(AG409="","",COUNTIF(sj_akey,"&lt;"&amp;AG409)+COUNTIF($AG$6:AG409,AG409))</f>
        <v/>
      </c>
    </row>
    <row r="410">
      <c r="A410" s="51" t="n"/>
      <c r="B410" s="52" t="n"/>
      <c r="C410" s="52" t="n"/>
      <c r="D410" s="53" t="n"/>
      <c r="E410" s="53" t="n"/>
      <c r="F410" s="54" t="n"/>
      <c r="G410" s="54" t="n"/>
      <c r="H410" s="54" t="n"/>
      <c r="I410" s="54" t="n"/>
      <c r="J410" s="53" t="n"/>
      <c r="K410" s="55" t="str">
        <f>IF(COUNTA(A410:I410)=0,"",IF(F410="",IFERROR(INDEX(eq_dur,MATCH(B410,eq_code,0)),""),F410))</f>
        <v/>
      </c>
      <c r="L410" s="55" t="str">
        <f>IF(ISNUMBER(K410),N(IFERROR(INDEX(eq_pause,MATCH(B410,eq_code,0)),0))+SUMIFS(st_min,st_date,A410,st_eq,B410,st_po,C410,st_type,"Planifié"),"")</f>
        <v/>
      </c>
      <c r="M410" s="55" t="str">
        <f>IF(ISNUMBER(K410),K410-L410,"")</f>
        <v/>
      </c>
      <c r="N410" s="55" t="str">
        <f>IF(ISNUMBER(K410),SUMIFS(st_min,st_date,A410,st_eq,B410,st_po,C410,st_type,"Non planifié"),"")</f>
        <v/>
      </c>
      <c r="O410" s="55" t="str">
        <f>IF(ISNUMBER(K410),M410-N410,"")</f>
        <v/>
      </c>
      <c r="P410" s="55" t="str">
        <f>IF(COUNTA(A410:I410)=0,"",N(G410)+N(H410)+N(I410))</f>
        <v/>
      </c>
      <c r="Q410" s="56" t="str">
        <f>IF(COUNTA(A410:I410)=0,"",IF(N(IFERROR(INDEX(art_rate,MATCH(E410,art_ref,0)),0))&gt;0,N(IFERROR(INDEX(art_rate,MATCH(E410,art_ref,0)),0)),N(IFERROR(INDEX(po_rate,MATCH(C410,po_code,0)),0))))</f>
        <v/>
      </c>
      <c r="R410" s="55" t="str">
        <f>IF(AC410=1,P410*60/Q410,"")</f>
        <v/>
      </c>
      <c r="S410" s="55" t="str">
        <f>IF(AC410=1,N(G410)*60/Q410,"")</f>
        <v/>
      </c>
      <c r="T410" s="57" t="str">
        <f>IF(AC410=1,O410/M410,"")</f>
        <v/>
      </c>
      <c r="U410" s="57" t="str">
        <f>IF(AC410=1,IF(O410&gt;0,R410/O410,""),"")</f>
        <v/>
      </c>
      <c r="V410" s="57" t="str">
        <f>IF(AC410=1,IF(P410&gt;0,N(G410)/P410,""),"")</f>
        <v/>
      </c>
      <c r="W410" s="57" t="str">
        <f>IF(AC410=1,S410/M410,"")</f>
        <v/>
      </c>
      <c r="X410" s="57" t="str">
        <f>IF(AC410=1,S410/K410,"")</f>
        <v/>
      </c>
      <c r="Y410" s="58" t="str">
        <f>IF(W410="","",IF(W410&gt;=p_target,"Bon",IF(W410&gt;=p_alert,"À surveiller","Faible")))</f>
        <v/>
      </c>
      <c r="Z410" s="58" t="str">
        <f>IF(W410="","",IF(MIN(IF(T410="",1,T410),IF(U410="",1,U410),IF(V410="",1,V410))&gt;=1,"Aucune",IF(IF(T410="",1,T410)&lt;=MIN(IF(U410="",1,U410),IF(V410="",1,V410)),"Disponibilité",IF(IF(U410="",1,U410)&lt;=IF(V410="",1,V410),"Performance","Qualité"))))</f>
        <v/>
      </c>
      <c r="AA410" s="59" t="str">
        <f>IF(AC410=1,N(H410)*N(IFERROR(INDEX(art_cost,MATCH(E410,art_ref,0)),0)),"")</f>
        <v/>
      </c>
      <c r="AB410" s="58" t="str">
        <f>IF(COUNTA(A410:I410)=0,"",IF(N(A410)&lt;=0,"Date manquante ou invalide",IF(B410="","Équipe manquante",IF(ISNA(MATCH(B410,eq_code,0)),"Équipe inconnue",IF(INDEX(eq_check,MATCH(B410,eq_code,0))&lt;&gt;"OK","Équipe à corriger dans Paramètres",IF(C410="","Poste manquant",IF(ISNA(MATCH(C410,po_code,0)),"Poste inconnu",IF(AND(E410&lt;&gt;"",ISNA(MATCH(E410,art_ref,0))),"Article inconnu",IF(IF(E410="",FALSE,INDEX(art_check,MATCH(E410,art_ref,0))&lt;&gt;"OK"),"Article à corriger (feuille Articles)",IF(COUNTIFS(sj_date,A410,sj_eq,B410,sj_po,C410)&gt;1,"Ligne en double (même jour, équipe et poste)",IF(OR(NOT(ISNUMBER(K410)),N(K410)&lt;=0,N(K410)&gt;1440),"Temps d'ouverture invalide",IF(OR(AND(G410&lt;&gt;"",NOT(ISNUMBER(G410))),N(G410)&lt;0,N(G410)&lt;&gt;INT(N(G410)),AND(H410&lt;&gt;"",NOT(ISNUMBER(H410))),N(H410)&lt;0,N(H410)&lt;&gt;INT(N(H410)),AND(I410&lt;&gt;"",NOT(ISNUMBER(I410))),N(I410)&lt;0,N(I410)&lt;&gt;INT(N(I410))),"Quantité invalide",IF(Q410&lt;=0,"Cadence manquante (poste ou article)",IF(M410&lt;=0,"Arrêts planifiés supérieurs au temps d'ouverture",IF(O410&lt;0,"Arrêts supérieurs au temps requis",IF(AND(P410&gt;0,O410=0),"Pièces déclarées sans temps de marche",IF(AND(P410=0,O410&gt;0),"Aucune pièce déclarée",IF(P410*60/Q410&gt;O410+0.001,"Cadence dépassée : vérifiez la cadence","OK"))))))))))))))))))</f>
        <v/>
      </c>
      <c r="AC410">
        <f>IF(OR(AB410="OK",AB410="Aucune pièce déclarée",AB410="Cadence dépassée : vérifiez la cadence"),1,0)</f>
        <v>0.0</v>
      </c>
      <c r="AD410">
        <f>IF(AND(AC410=1,A410&gt;=p_from,A410&lt;=p_to),1,0)</f>
        <v>0.0</v>
      </c>
      <c r="AE410">
        <f>IF(AD410=1,IF(COUNTIFS($A$6:A410,A410,$AD$6:AD410,1)=1,1,0),0)</f>
        <v>0.0</v>
      </c>
      <c r="AF410" t="str">
        <f>IF(AE410=1,COUNTIFS(sj_first,1,sj_date,"&lt;"&amp;A410)+1,"")</f>
        <v/>
      </c>
      <c r="AG410" t="str">
        <f>IF(AND(AD410=1,N(W410)&lt;p_alert),ROUND(W410,4),"")</f>
        <v/>
      </c>
      <c r="AH410" t="str">
        <f>IF(AG410="","",COUNTIF(sj_akey,"&lt;"&amp;AG410)+COUNTIF($AG$6:AG410,AG410))</f>
        <v/>
      </c>
    </row>
    <row r="411">
      <c r="A411" s="51" t="n"/>
      <c r="B411" s="52" t="n"/>
      <c r="C411" s="52" t="n"/>
      <c r="D411" s="53" t="n"/>
      <c r="E411" s="53" t="n"/>
      <c r="F411" s="54" t="n"/>
      <c r="G411" s="54" t="n"/>
      <c r="H411" s="54" t="n"/>
      <c r="I411" s="54" t="n"/>
      <c r="J411" s="53" t="n"/>
      <c r="K411" s="55" t="str">
        <f>IF(COUNTA(A411:I411)=0,"",IF(F411="",IFERROR(INDEX(eq_dur,MATCH(B411,eq_code,0)),""),F411))</f>
        <v/>
      </c>
      <c r="L411" s="55" t="str">
        <f>IF(ISNUMBER(K411),N(IFERROR(INDEX(eq_pause,MATCH(B411,eq_code,0)),0))+SUMIFS(st_min,st_date,A411,st_eq,B411,st_po,C411,st_type,"Planifié"),"")</f>
        <v/>
      </c>
      <c r="M411" s="55" t="str">
        <f>IF(ISNUMBER(K411),K411-L411,"")</f>
        <v/>
      </c>
      <c r="N411" s="55" t="str">
        <f>IF(ISNUMBER(K411),SUMIFS(st_min,st_date,A411,st_eq,B411,st_po,C411,st_type,"Non planifié"),"")</f>
        <v/>
      </c>
      <c r="O411" s="55" t="str">
        <f>IF(ISNUMBER(K411),M411-N411,"")</f>
        <v/>
      </c>
      <c r="P411" s="55" t="str">
        <f>IF(COUNTA(A411:I411)=0,"",N(G411)+N(H411)+N(I411))</f>
        <v/>
      </c>
      <c r="Q411" s="56" t="str">
        <f>IF(COUNTA(A411:I411)=0,"",IF(N(IFERROR(INDEX(art_rate,MATCH(E411,art_ref,0)),0))&gt;0,N(IFERROR(INDEX(art_rate,MATCH(E411,art_ref,0)),0)),N(IFERROR(INDEX(po_rate,MATCH(C411,po_code,0)),0))))</f>
        <v/>
      </c>
      <c r="R411" s="55" t="str">
        <f>IF(AC411=1,P411*60/Q411,"")</f>
        <v/>
      </c>
      <c r="S411" s="55" t="str">
        <f>IF(AC411=1,N(G411)*60/Q411,"")</f>
        <v/>
      </c>
      <c r="T411" s="57" t="str">
        <f>IF(AC411=1,O411/M411,"")</f>
        <v/>
      </c>
      <c r="U411" s="57" t="str">
        <f>IF(AC411=1,IF(O411&gt;0,R411/O411,""),"")</f>
        <v/>
      </c>
      <c r="V411" s="57" t="str">
        <f>IF(AC411=1,IF(P411&gt;0,N(G411)/P411,""),"")</f>
        <v/>
      </c>
      <c r="W411" s="57" t="str">
        <f>IF(AC411=1,S411/M411,"")</f>
        <v/>
      </c>
      <c r="X411" s="57" t="str">
        <f>IF(AC411=1,S411/K411,"")</f>
        <v/>
      </c>
      <c r="Y411" s="58" t="str">
        <f>IF(W411="","",IF(W411&gt;=p_target,"Bon",IF(W411&gt;=p_alert,"À surveiller","Faible")))</f>
        <v/>
      </c>
      <c r="Z411" s="58" t="str">
        <f>IF(W411="","",IF(MIN(IF(T411="",1,T411),IF(U411="",1,U411),IF(V411="",1,V411))&gt;=1,"Aucune",IF(IF(T411="",1,T411)&lt;=MIN(IF(U411="",1,U411),IF(V411="",1,V411)),"Disponibilité",IF(IF(U411="",1,U411)&lt;=IF(V411="",1,V411),"Performance","Qualité"))))</f>
        <v/>
      </c>
      <c r="AA411" s="59" t="str">
        <f>IF(AC411=1,N(H411)*N(IFERROR(INDEX(art_cost,MATCH(E411,art_ref,0)),0)),"")</f>
        <v/>
      </c>
      <c r="AB411" s="58" t="str">
        <f>IF(COUNTA(A411:I411)=0,"",IF(N(A411)&lt;=0,"Date manquante ou invalide",IF(B411="","Équipe manquante",IF(ISNA(MATCH(B411,eq_code,0)),"Équipe inconnue",IF(INDEX(eq_check,MATCH(B411,eq_code,0))&lt;&gt;"OK","Équipe à corriger dans Paramètres",IF(C411="","Poste manquant",IF(ISNA(MATCH(C411,po_code,0)),"Poste inconnu",IF(AND(E411&lt;&gt;"",ISNA(MATCH(E411,art_ref,0))),"Article inconnu",IF(IF(E411="",FALSE,INDEX(art_check,MATCH(E411,art_ref,0))&lt;&gt;"OK"),"Article à corriger (feuille Articles)",IF(COUNTIFS(sj_date,A411,sj_eq,B411,sj_po,C411)&gt;1,"Ligne en double (même jour, équipe et poste)",IF(OR(NOT(ISNUMBER(K411)),N(K411)&lt;=0,N(K411)&gt;1440),"Temps d'ouverture invalide",IF(OR(AND(G411&lt;&gt;"",NOT(ISNUMBER(G411))),N(G411)&lt;0,N(G411)&lt;&gt;INT(N(G411)),AND(H411&lt;&gt;"",NOT(ISNUMBER(H411))),N(H411)&lt;0,N(H411)&lt;&gt;INT(N(H411)),AND(I411&lt;&gt;"",NOT(ISNUMBER(I411))),N(I411)&lt;0,N(I411)&lt;&gt;INT(N(I411))),"Quantité invalide",IF(Q411&lt;=0,"Cadence manquante (poste ou article)",IF(M411&lt;=0,"Arrêts planifiés supérieurs au temps d'ouverture",IF(O411&lt;0,"Arrêts supérieurs au temps requis",IF(AND(P411&gt;0,O411=0),"Pièces déclarées sans temps de marche",IF(AND(P411=0,O411&gt;0),"Aucune pièce déclarée",IF(P411*60/Q411&gt;O411+0.001,"Cadence dépassée : vérifiez la cadence","OK"))))))))))))))))))</f>
        <v/>
      </c>
      <c r="AC411">
        <f>IF(OR(AB411="OK",AB411="Aucune pièce déclarée",AB411="Cadence dépassée : vérifiez la cadence"),1,0)</f>
        <v>0.0</v>
      </c>
      <c r="AD411">
        <f>IF(AND(AC411=1,A411&gt;=p_from,A411&lt;=p_to),1,0)</f>
        <v>0.0</v>
      </c>
      <c r="AE411">
        <f>IF(AD411=1,IF(COUNTIFS($A$6:A411,A411,$AD$6:AD411,1)=1,1,0),0)</f>
        <v>0.0</v>
      </c>
      <c r="AF411" t="str">
        <f>IF(AE411=1,COUNTIFS(sj_first,1,sj_date,"&lt;"&amp;A411)+1,"")</f>
        <v/>
      </c>
      <c r="AG411" t="str">
        <f>IF(AND(AD411=1,N(W411)&lt;p_alert),ROUND(W411,4),"")</f>
        <v/>
      </c>
      <c r="AH411" t="str">
        <f>IF(AG411="","",COUNTIF(sj_akey,"&lt;"&amp;AG411)+COUNTIF($AG$6:AG411,AG411))</f>
        <v/>
      </c>
    </row>
    <row r="412">
      <c r="A412" s="51" t="n"/>
      <c r="B412" s="52" t="n"/>
      <c r="C412" s="52" t="n"/>
      <c r="D412" s="53" t="n"/>
      <c r="E412" s="53" t="n"/>
      <c r="F412" s="54" t="n"/>
      <c r="G412" s="54" t="n"/>
      <c r="H412" s="54" t="n"/>
      <c r="I412" s="54" t="n"/>
      <c r="J412" s="53" t="n"/>
      <c r="K412" s="55" t="str">
        <f>IF(COUNTA(A412:I412)=0,"",IF(F412="",IFERROR(INDEX(eq_dur,MATCH(B412,eq_code,0)),""),F412))</f>
        <v/>
      </c>
      <c r="L412" s="55" t="str">
        <f>IF(ISNUMBER(K412),N(IFERROR(INDEX(eq_pause,MATCH(B412,eq_code,0)),0))+SUMIFS(st_min,st_date,A412,st_eq,B412,st_po,C412,st_type,"Planifié"),"")</f>
        <v/>
      </c>
      <c r="M412" s="55" t="str">
        <f>IF(ISNUMBER(K412),K412-L412,"")</f>
        <v/>
      </c>
      <c r="N412" s="55" t="str">
        <f>IF(ISNUMBER(K412),SUMIFS(st_min,st_date,A412,st_eq,B412,st_po,C412,st_type,"Non planifié"),"")</f>
        <v/>
      </c>
      <c r="O412" s="55" t="str">
        <f>IF(ISNUMBER(K412),M412-N412,"")</f>
        <v/>
      </c>
      <c r="P412" s="55" t="str">
        <f>IF(COUNTA(A412:I412)=0,"",N(G412)+N(H412)+N(I412))</f>
        <v/>
      </c>
      <c r="Q412" s="56" t="str">
        <f>IF(COUNTA(A412:I412)=0,"",IF(N(IFERROR(INDEX(art_rate,MATCH(E412,art_ref,0)),0))&gt;0,N(IFERROR(INDEX(art_rate,MATCH(E412,art_ref,0)),0)),N(IFERROR(INDEX(po_rate,MATCH(C412,po_code,0)),0))))</f>
        <v/>
      </c>
      <c r="R412" s="55" t="str">
        <f>IF(AC412=1,P412*60/Q412,"")</f>
        <v/>
      </c>
      <c r="S412" s="55" t="str">
        <f>IF(AC412=1,N(G412)*60/Q412,"")</f>
        <v/>
      </c>
      <c r="T412" s="57" t="str">
        <f>IF(AC412=1,O412/M412,"")</f>
        <v/>
      </c>
      <c r="U412" s="57" t="str">
        <f>IF(AC412=1,IF(O412&gt;0,R412/O412,""),"")</f>
        <v/>
      </c>
      <c r="V412" s="57" t="str">
        <f>IF(AC412=1,IF(P412&gt;0,N(G412)/P412,""),"")</f>
        <v/>
      </c>
      <c r="W412" s="57" t="str">
        <f>IF(AC412=1,S412/M412,"")</f>
        <v/>
      </c>
      <c r="X412" s="57" t="str">
        <f>IF(AC412=1,S412/K412,"")</f>
        <v/>
      </c>
      <c r="Y412" s="58" t="str">
        <f>IF(W412="","",IF(W412&gt;=p_target,"Bon",IF(W412&gt;=p_alert,"À surveiller","Faible")))</f>
        <v/>
      </c>
      <c r="Z412" s="58" t="str">
        <f>IF(W412="","",IF(MIN(IF(T412="",1,T412),IF(U412="",1,U412),IF(V412="",1,V412))&gt;=1,"Aucune",IF(IF(T412="",1,T412)&lt;=MIN(IF(U412="",1,U412),IF(V412="",1,V412)),"Disponibilité",IF(IF(U412="",1,U412)&lt;=IF(V412="",1,V412),"Performance","Qualité"))))</f>
        <v/>
      </c>
      <c r="AA412" s="59" t="str">
        <f>IF(AC412=1,N(H412)*N(IFERROR(INDEX(art_cost,MATCH(E412,art_ref,0)),0)),"")</f>
        <v/>
      </c>
      <c r="AB412" s="58" t="str">
        <f>IF(COUNTA(A412:I412)=0,"",IF(N(A412)&lt;=0,"Date manquante ou invalide",IF(B412="","Équipe manquante",IF(ISNA(MATCH(B412,eq_code,0)),"Équipe inconnue",IF(INDEX(eq_check,MATCH(B412,eq_code,0))&lt;&gt;"OK","Équipe à corriger dans Paramètres",IF(C412="","Poste manquant",IF(ISNA(MATCH(C412,po_code,0)),"Poste inconnu",IF(AND(E412&lt;&gt;"",ISNA(MATCH(E412,art_ref,0))),"Article inconnu",IF(IF(E412="",FALSE,INDEX(art_check,MATCH(E412,art_ref,0))&lt;&gt;"OK"),"Article à corriger (feuille Articles)",IF(COUNTIFS(sj_date,A412,sj_eq,B412,sj_po,C412)&gt;1,"Ligne en double (même jour, équipe et poste)",IF(OR(NOT(ISNUMBER(K412)),N(K412)&lt;=0,N(K412)&gt;1440),"Temps d'ouverture invalide",IF(OR(AND(G412&lt;&gt;"",NOT(ISNUMBER(G412))),N(G412)&lt;0,N(G412)&lt;&gt;INT(N(G412)),AND(H412&lt;&gt;"",NOT(ISNUMBER(H412))),N(H412)&lt;0,N(H412)&lt;&gt;INT(N(H412)),AND(I412&lt;&gt;"",NOT(ISNUMBER(I412))),N(I412)&lt;0,N(I412)&lt;&gt;INT(N(I412))),"Quantité invalide",IF(Q412&lt;=0,"Cadence manquante (poste ou article)",IF(M412&lt;=0,"Arrêts planifiés supérieurs au temps d'ouverture",IF(O412&lt;0,"Arrêts supérieurs au temps requis",IF(AND(P412&gt;0,O412=0),"Pièces déclarées sans temps de marche",IF(AND(P412=0,O412&gt;0),"Aucune pièce déclarée",IF(P412*60/Q412&gt;O412+0.001,"Cadence dépassée : vérifiez la cadence","OK"))))))))))))))))))</f>
        <v/>
      </c>
      <c r="AC412">
        <f>IF(OR(AB412="OK",AB412="Aucune pièce déclarée",AB412="Cadence dépassée : vérifiez la cadence"),1,0)</f>
        <v>0.0</v>
      </c>
      <c r="AD412">
        <f>IF(AND(AC412=1,A412&gt;=p_from,A412&lt;=p_to),1,0)</f>
        <v>0.0</v>
      </c>
      <c r="AE412">
        <f>IF(AD412=1,IF(COUNTIFS($A$6:A412,A412,$AD$6:AD412,1)=1,1,0),0)</f>
        <v>0.0</v>
      </c>
      <c r="AF412" t="str">
        <f>IF(AE412=1,COUNTIFS(sj_first,1,sj_date,"&lt;"&amp;A412)+1,"")</f>
        <v/>
      </c>
      <c r="AG412" t="str">
        <f>IF(AND(AD412=1,N(W412)&lt;p_alert),ROUND(W412,4),"")</f>
        <v/>
      </c>
      <c r="AH412" t="str">
        <f>IF(AG412="","",COUNTIF(sj_akey,"&lt;"&amp;AG412)+COUNTIF($AG$6:AG412,AG412))</f>
        <v/>
      </c>
    </row>
    <row r="413">
      <c r="A413" s="51" t="n"/>
      <c r="B413" s="52" t="n"/>
      <c r="C413" s="52" t="n"/>
      <c r="D413" s="53" t="n"/>
      <c r="E413" s="53" t="n"/>
      <c r="F413" s="54" t="n"/>
      <c r="G413" s="54" t="n"/>
      <c r="H413" s="54" t="n"/>
      <c r="I413" s="54" t="n"/>
      <c r="J413" s="53" t="n"/>
      <c r="K413" s="55" t="str">
        <f>IF(COUNTA(A413:I413)=0,"",IF(F413="",IFERROR(INDEX(eq_dur,MATCH(B413,eq_code,0)),""),F413))</f>
        <v/>
      </c>
      <c r="L413" s="55" t="str">
        <f>IF(ISNUMBER(K413),N(IFERROR(INDEX(eq_pause,MATCH(B413,eq_code,0)),0))+SUMIFS(st_min,st_date,A413,st_eq,B413,st_po,C413,st_type,"Planifié"),"")</f>
        <v/>
      </c>
      <c r="M413" s="55" t="str">
        <f>IF(ISNUMBER(K413),K413-L413,"")</f>
        <v/>
      </c>
      <c r="N413" s="55" t="str">
        <f>IF(ISNUMBER(K413),SUMIFS(st_min,st_date,A413,st_eq,B413,st_po,C413,st_type,"Non planifié"),"")</f>
        <v/>
      </c>
      <c r="O413" s="55" t="str">
        <f>IF(ISNUMBER(K413),M413-N413,"")</f>
        <v/>
      </c>
      <c r="P413" s="55" t="str">
        <f>IF(COUNTA(A413:I413)=0,"",N(G413)+N(H413)+N(I413))</f>
        <v/>
      </c>
      <c r="Q413" s="56" t="str">
        <f>IF(COUNTA(A413:I413)=0,"",IF(N(IFERROR(INDEX(art_rate,MATCH(E413,art_ref,0)),0))&gt;0,N(IFERROR(INDEX(art_rate,MATCH(E413,art_ref,0)),0)),N(IFERROR(INDEX(po_rate,MATCH(C413,po_code,0)),0))))</f>
        <v/>
      </c>
      <c r="R413" s="55" t="str">
        <f>IF(AC413=1,P413*60/Q413,"")</f>
        <v/>
      </c>
      <c r="S413" s="55" t="str">
        <f>IF(AC413=1,N(G413)*60/Q413,"")</f>
        <v/>
      </c>
      <c r="T413" s="57" t="str">
        <f>IF(AC413=1,O413/M413,"")</f>
        <v/>
      </c>
      <c r="U413" s="57" t="str">
        <f>IF(AC413=1,IF(O413&gt;0,R413/O413,""),"")</f>
        <v/>
      </c>
      <c r="V413" s="57" t="str">
        <f>IF(AC413=1,IF(P413&gt;0,N(G413)/P413,""),"")</f>
        <v/>
      </c>
      <c r="W413" s="57" t="str">
        <f>IF(AC413=1,S413/M413,"")</f>
        <v/>
      </c>
      <c r="X413" s="57" t="str">
        <f>IF(AC413=1,S413/K413,"")</f>
        <v/>
      </c>
      <c r="Y413" s="58" t="str">
        <f>IF(W413="","",IF(W413&gt;=p_target,"Bon",IF(W413&gt;=p_alert,"À surveiller","Faible")))</f>
        <v/>
      </c>
      <c r="Z413" s="58" t="str">
        <f>IF(W413="","",IF(MIN(IF(T413="",1,T413),IF(U413="",1,U413),IF(V413="",1,V413))&gt;=1,"Aucune",IF(IF(T413="",1,T413)&lt;=MIN(IF(U413="",1,U413),IF(V413="",1,V413)),"Disponibilité",IF(IF(U413="",1,U413)&lt;=IF(V413="",1,V413),"Performance","Qualité"))))</f>
        <v/>
      </c>
      <c r="AA413" s="59" t="str">
        <f>IF(AC413=1,N(H413)*N(IFERROR(INDEX(art_cost,MATCH(E413,art_ref,0)),0)),"")</f>
        <v/>
      </c>
      <c r="AB413" s="58" t="str">
        <f>IF(COUNTA(A413:I413)=0,"",IF(N(A413)&lt;=0,"Date manquante ou invalide",IF(B413="","Équipe manquante",IF(ISNA(MATCH(B413,eq_code,0)),"Équipe inconnue",IF(INDEX(eq_check,MATCH(B413,eq_code,0))&lt;&gt;"OK","Équipe à corriger dans Paramètres",IF(C413="","Poste manquant",IF(ISNA(MATCH(C413,po_code,0)),"Poste inconnu",IF(AND(E413&lt;&gt;"",ISNA(MATCH(E413,art_ref,0))),"Article inconnu",IF(IF(E413="",FALSE,INDEX(art_check,MATCH(E413,art_ref,0))&lt;&gt;"OK"),"Article à corriger (feuille Articles)",IF(COUNTIFS(sj_date,A413,sj_eq,B413,sj_po,C413)&gt;1,"Ligne en double (même jour, équipe et poste)",IF(OR(NOT(ISNUMBER(K413)),N(K413)&lt;=0,N(K413)&gt;1440),"Temps d'ouverture invalide",IF(OR(AND(G413&lt;&gt;"",NOT(ISNUMBER(G413))),N(G413)&lt;0,N(G413)&lt;&gt;INT(N(G413)),AND(H413&lt;&gt;"",NOT(ISNUMBER(H413))),N(H413)&lt;0,N(H413)&lt;&gt;INT(N(H413)),AND(I413&lt;&gt;"",NOT(ISNUMBER(I413))),N(I413)&lt;0,N(I413)&lt;&gt;INT(N(I413))),"Quantité invalide",IF(Q413&lt;=0,"Cadence manquante (poste ou article)",IF(M413&lt;=0,"Arrêts planifiés supérieurs au temps d'ouverture",IF(O413&lt;0,"Arrêts supérieurs au temps requis",IF(AND(P413&gt;0,O413=0),"Pièces déclarées sans temps de marche",IF(AND(P413=0,O413&gt;0),"Aucune pièce déclarée",IF(P413*60/Q413&gt;O413+0.001,"Cadence dépassée : vérifiez la cadence","OK"))))))))))))))))))</f>
        <v/>
      </c>
      <c r="AC413">
        <f>IF(OR(AB413="OK",AB413="Aucune pièce déclarée",AB413="Cadence dépassée : vérifiez la cadence"),1,0)</f>
        <v>0.0</v>
      </c>
      <c r="AD413">
        <f>IF(AND(AC413=1,A413&gt;=p_from,A413&lt;=p_to),1,0)</f>
        <v>0.0</v>
      </c>
      <c r="AE413">
        <f>IF(AD413=1,IF(COUNTIFS($A$6:A413,A413,$AD$6:AD413,1)=1,1,0),0)</f>
        <v>0.0</v>
      </c>
      <c r="AF413" t="str">
        <f>IF(AE413=1,COUNTIFS(sj_first,1,sj_date,"&lt;"&amp;A413)+1,"")</f>
        <v/>
      </c>
      <c r="AG413" t="str">
        <f>IF(AND(AD413=1,N(W413)&lt;p_alert),ROUND(W413,4),"")</f>
        <v/>
      </c>
      <c r="AH413" t="str">
        <f>IF(AG413="","",COUNTIF(sj_akey,"&lt;"&amp;AG413)+COUNTIF($AG$6:AG413,AG413))</f>
        <v/>
      </c>
    </row>
    <row r="414">
      <c r="A414" s="51" t="n"/>
      <c r="B414" s="52" t="n"/>
      <c r="C414" s="52" t="n"/>
      <c r="D414" s="53" t="n"/>
      <c r="E414" s="53" t="n"/>
      <c r="F414" s="54" t="n"/>
      <c r="G414" s="54" t="n"/>
      <c r="H414" s="54" t="n"/>
      <c r="I414" s="54" t="n"/>
      <c r="J414" s="53" t="n"/>
      <c r="K414" s="55" t="str">
        <f>IF(COUNTA(A414:I414)=0,"",IF(F414="",IFERROR(INDEX(eq_dur,MATCH(B414,eq_code,0)),""),F414))</f>
        <v/>
      </c>
      <c r="L414" s="55" t="str">
        <f>IF(ISNUMBER(K414),N(IFERROR(INDEX(eq_pause,MATCH(B414,eq_code,0)),0))+SUMIFS(st_min,st_date,A414,st_eq,B414,st_po,C414,st_type,"Planifié"),"")</f>
        <v/>
      </c>
      <c r="M414" s="55" t="str">
        <f>IF(ISNUMBER(K414),K414-L414,"")</f>
        <v/>
      </c>
      <c r="N414" s="55" t="str">
        <f>IF(ISNUMBER(K414),SUMIFS(st_min,st_date,A414,st_eq,B414,st_po,C414,st_type,"Non planifié"),"")</f>
        <v/>
      </c>
      <c r="O414" s="55" t="str">
        <f>IF(ISNUMBER(K414),M414-N414,"")</f>
        <v/>
      </c>
      <c r="P414" s="55" t="str">
        <f>IF(COUNTA(A414:I414)=0,"",N(G414)+N(H414)+N(I414))</f>
        <v/>
      </c>
      <c r="Q414" s="56" t="str">
        <f>IF(COUNTA(A414:I414)=0,"",IF(N(IFERROR(INDEX(art_rate,MATCH(E414,art_ref,0)),0))&gt;0,N(IFERROR(INDEX(art_rate,MATCH(E414,art_ref,0)),0)),N(IFERROR(INDEX(po_rate,MATCH(C414,po_code,0)),0))))</f>
        <v/>
      </c>
      <c r="R414" s="55" t="str">
        <f>IF(AC414=1,P414*60/Q414,"")</f>
        <v/>
      </c>
      <c r="S414" s="55" t="str">
        <f>IF(AC414=1,N(G414)*60/Q414,"")</f>
        <v/>
      </c>
      <c r="T414" s="57" t="str">
        <f>IF(AC414=1,O414/M414,"")</f>
        <v/>
      </c>
      <c r="U414" s="57" t="str">
        <f>IF(AC414=1,IF(O414&gt;0,R414/O414,""),"")</f>
        <v/>
      </c>
      <c r="V414" s="57" t="str">
        <f>IF(AC414=1,IF(P414&gt;0,N(G414)/P414,""),"")</f>
        <v/>
      </c>
      <c r="W414" s="57" t="str">
        <f>IF(AC414=1,S414/M414,"")</f>
        <v/>
      </c>
      <c r="X414" s="57" t="str">
        <f>IF(AC414=1,S414/K414,"")</f>
        <v/>
      </c>
      <c r="Y414" s="58" t="str">
        <f>IF(W414="","",IF(W414&gt;=p_target,"Bon",IF(W414&gt;=p_alert,"À surveiller","Faible")))</f>
        <v/>
      </c>
      <c r="Z414" s="58" t="str">
        <f>IF(W414="","",IF(MIN(IF(T414="",1,T414),IF(U414="",1,U414),IF(V414="",1,V414))&gt;=1,"Aucune",IF(IF(T414="",1,T414)&lt;=MIN(IF(U414="",1,U414),IF(V414="",1,V414)),"Disponibilité",IF(IF(U414="",1,U414)&lt;=IF(V414="",1,V414),"Performance","Qualité"))))</f>
        <v/>
      </c>
      <c r="AA414" s="59" t="str">
        <f>IF(AC414=1,N(H414)*N(IFERROR(INDEX(art_cost,MATCH(E414,art_ref,0)),0)),"")</f>
        <v/>
      </c>
      <c r="AB414" s="58" t="str">
        <f>IF(COUNTA(A414:I414)=0,"",IF(N(A414)&lt;=0,"Date manquante ou invalide",IF(B414="","Équipe manquante",IF(ISNA(MATCH(B414,eq_code,0)),"Équipe inconnue",IF(INDEX(eq_check,MATCH(B414,eq_code,0))&lt;&gt;"OK","Équipe à corriger dans Paramètres",IF(C414="","Poste manquant",IF(ISNA(MATCH(C414,po_code,0)),"Poste inconnu",IF(AND(E414&lt;&gt;"",ISNA(MATCH(E414,art_ref,0))),"Article inconnu",IF(IF(E414="",FALSE,INDEX(art_check,MATCH(E414,art_ref,0))&lt;&gt;"OK"),"Article à corriger (feuille Articles)",IF(COUNTIFS(sj_date,A414,sj_eq,B414,sj_po,C414)&gt;1,"Ligne en double (même jour, équipe et poste)",IF(OR(NOT(ISNUMBER(K414)),N(K414)&lt;=0,N(K414)&gt;1440),"Temps d'ouverture invalide",IF(OR(AND(G414&lt;&gt;"",NOT(ISNUMBER(G414))),N(G414)&lt;0,N(G414)&lt;&gt;INT(N(G414)),AND(H414&lt;&gt;"",NOT(ISNUMBER(H414))),N(H414)&lt;0,N(H414)&lt;&gt;INT(N(H414)),AND(I414&lt;&gt;"",NOT(ISNUMBER(I414))),N(I414)&lt;0,N(I414)&lt;&gt;INT(N(I414))),"Quantité invalide",IF(Q414&lt;=0,"Cadence manquante (poste ou article)",IF(M414&lt;=0,"Arrêts planifiés supérieurs au temps d'ouverture",IF(O414&lt;0,"Arrêts supérieurs au temps requis",IF(AND(P414&gt;0,O414=0),"Pièces déclarées sans temps de marche",IF(AND(P414=0,O414&gt;0),"Aucune pièce déclarée",IF(P414*60/Q414&gt;O414+0.001,"Cadence dépassée : vérifiez la cadence","OK"))))))))))))))))))</f>
        <v/>
      </c>
      <c r="AC414">
        <f>IF(OR(AB414="OK",AB414="Aucune pièce déclarée",AB414="Cadence dépassée : vérifiez la cadence"),1,0)</f>
        <v>0.0</v>
      </c>
      <c r="AD414">
        <f>IF(AND(AC414=1,A414&gt;=p_from,A414&lt;=p_to),1,0)</f>
        <v>0.0</v>
      </c>
      <c r="AE414">
        <f>IF(AD414=1,IF(COUNTIFS($A$6:A414,A414,$AD$6:AD414,1)=1,1,0),0)</f>
        <v>0.0</v>
      </c>
      <c r="AF414" t="str">
        <f>IF(AE414=1,COUNTIFS(sj_first,1,sj_date,"&lt;"&amp;A414)+1,"")</f>
        <v/>
      </c>
      <c r="AG414" t="str">
        <f>IF(AND(AD414=1,N(W414)&lt;p_alert),ROUND(W414,4),"")</f>
        <v/>
      </c>
      <c r="AH414" t="str">
        <f>IF(AG414="","",COUNTIF(sj_akey,"&lt;"&amp;AG414)+COUNTIF($AG$6:AG414,AG414))</f>
        <v/>
      </c>
    </row>
    <row r="415">
      <c r="A415" s="51" t="n"/>
      <c r="B415" s="52" t="n"/>
      <c r="C415" s="52" t="n"/>
      <c r="D415" s="53" t="n"/>
      <c r="E415" s="53" t="n"/>
      <c r="F415" s="54" t="n"/>
      <c r="G415" s="54" t="n"/>
      <c r="H415" s="54" t="n"/>
      <c r="I415" s="54" t="n"/>
      <c r="J415" s="53" t="n"/>
      <c r="K415" s="55" t="str">
        <f>IF(COUNTA(A415:I415)=0,"",IF(F415="",IFERROR(INDEX(eq_dur,MATCH(B415,eq_code,0)),""),F415))</f>
        <v/>
      </c>
      <c r="L415" s="55" t="str">
        <f>IF(ISNUMBER(K415),N(IFERROR(INDEX(eq_pause,MATCH(B415,eq_code,0)),0))+SUMIFS(st_min,st_date,A415,st_eq,B415,st_po,C415,st_type,"Planifié"),"")</f>
        <v/>
      </c>
      <c r="M415" s="55" t="str">
        <f>IF(ISNUMBER(K415),K415-L415,"")</f>
        <v/>
      </c>
      <c r="N415" s="55" t="str">
        <f>IF(ISNUMBER(K415),SUMIFS(st_min,st_date,A415,st_eq,B415,st_po,C415,st_type,"Non planifié"),"")</f>
        <v/>
      </c>
      <c r="O415" s="55" t="str">
        <f>IF(ISNUMBER(K415),M415-N415,"")</f>
        <v/>
      </c>
      <c r="P415" s="55" t="str">
        <f>IF(COUNTA(A415:I415)=0,"",N(G415)+N(H415)+N(I415))</f>
        <v/>
      </c>
      <c r="Q415" s="56" t="str">
        <f>IF(COUNTA(A415:I415)=0,"",IF(N(IFERROR(INDEX(art_rate,MATCH(E415,art_ref,0)),0))&gt;0,N(IFERROR(INDEX(art_rate,MATCH(E415,art_ref,0)),0)),N(IFERROR(INDEX(po_rate,MATCH(C415,po_code,0)),0))))</f>
        <v/>
      </c>
      <c r="R415" s="55" t="str">
        <f>IF(AC415=1,P415*60/Q415,"")</f>
        <v/>
      </c>
      <c r="S415" s="55" t="str">
        <f>IF(AC415=1,N(G415)*60/Q415,"")</f>
        <v/>
      </c>
      <c r="T415" s="57" t="str">
        <f>IF(AC415=1,O415/M415,"")</f>
        <v/>
      </c>
      <c r="U415" s="57" t="str">
        <f>IF(AC415=1,IF(O415&gt;0,R415/O415,""),"")</f>
        <v/>
      </c>
      <c r="V415" s="57" t="str">
        <f>IF(AC415=1,IF(P415&gt;0,N(G415)/P415,""),"")</f>
        <v/>
      </c>
      <c r="W415" s="57" t="str">
        <f>IF(AC415=1,S415/M415,"")</f>
        <v/>
      </c>
      <c r="X415" s="57" t="str">
        <f>IF(AC415=1,S415/K415,"")</f>
        <v/>
      </c>
      <c r="Y415" s="58" t="str">
        <f>IF(W415="","",IF(W415&gt;=p_target,"Bon",IF(W415&gt;=p_alert,"À surveiller","Faible")))</f>
        <v/>
      </c>
      <c r="Z415" s="58" t="str">
        <f>IF(W415="","",IF(MIN(IF(T415="",1,T415),IF(U415="",1,U415),IF(V415="",1,V415))&gt;=1,"Aucune",IF(IF(T415="",1,T415)&lt;=MIN(IF(U415="",1,U415),IF(V415="",1,V415)),"Disponibilité",IF(IF(U415="",1,U415)&lt;=IF(V415="",1,V415),"Performance","Qualité"))))</f>
        <v/>
      </c>
      <c r="AA415" s="59" t="str">
        <f>IF(AC415=1,N(H415)*N(IFERROR(INDEX(art_cost,MATCH(E415,art_ref,0)),0)),"")</f>
        <v/>
      </c>
      <c r="AB415" s="58" t="str">
        <f>IF(COUNTA(A415:I415)=0,"",IF(N(A415)&lt;=0,"Date manquante ou invalide",IF(B415="","Équipe manquante",IF(ISNA(MATCH(B415,eq_code,0)),"Équipe inconnue",IF(INDEX(eq_check,MATCH(B415,eq_code,0))&lt;&gt;"OK","Équipe à corriger dans Paramètres",IF(C415="","Poste manquant",IF(ISNA(MATCH(C415,po_code,0)),"Poste inconnu",IF(AND(E415&lt;&gt;"",ISNA(MATCH(E415,art_ref,0))),"Article inconnu",IF(IF(E415="",FALSE,INDEX(art_check,MATCH(E415,art_ref,0))&lt;&gt;"OK"),"Article à corriger (feuille Articles)",IF(COUNTIFS(sj_date,A415,sj_eq,B415,sj_po,C415)&gt;1,"Ligne en double (même jour, équipe et poste)",IF(OR(NOT(ISNUMBER(K415)),N(K415)&lt;=0,N(K415)&gt;1440),"Temps d'ouverture invalide",IF(OR(AND(G415&lt;&gt;"",NOT(ISNUMBER(G415))),N(G415)&lt;0,N(G415)&lt;&gt;INT(N(G415)),AND(H415&lt;&gt;"",NOT(ISNUMBER(H415))),N(H415)&lt;0,N(H415)&lt;&gt;INT(N(H415)),AND(I415&lt;&gt;"",NOT(ISNUMBER(I415))),N(I415)&lt;0,N(I415)&lt;&gt;INT(N(I415))),"Quantité invalide",IF(Q415&lt;=0,"Cadence manquante (poste ou article)",IF(M415&lt;=0,"Arrêts planifiés supérieurs au temps d'ouverture",IF(O415&lt;0,"Arrêts supérieurs au temps requis",IF(AND(P415&gt;0,O415=0),"Pièces déclarées sans temps de marche",IF(AND(P415=0,O415&gt;0),"Aucune pièce déclarée",IF(P415*60/Q415&gt;O415+0.001,"Cadence dépassée : vérifiez la cadence","OK"))))))))))))))))))</f>
        <v/>
      </c>
      <c r="AC415">
        <f>IF(OR(AB415="OK",AB415="Aucune pièce déclarée",AB415="Cadence dépassée : vérifiez la cadence"),1,0)</f>
        <v>0.0</v>
      </c>
      <c r="AD415">
        <f>IF(AND(AC415=1,A415&gt;=p_from,A415&lt;=p_to),1,0)</f>
        <v>0.0</v>
      </c>
      <c r="AE415">
        <f>IF(AD415=1,IF(COUNTIFS($A$6:A415,A415,$AD$6:AD415,1)=1,1,0),0)</f>
        <v>0.0</v>
      </c>
      <c r="AF415" t="str">
        <f>IF(AE415=1,COUNTIFS(sj_first,1,sj_date,"&lt;"&amp;A415)+1,"")</f>
        <v/>
      </c>
      <c r="AG415" t="str">
        <f>IF(AND(AD415=1,N(W415)&lt;p_alert),ROUND(W415,4),"")</f>
        <v/>
      </c>
      <c r="AH415" t="str">
        <f>IF(AG415="","",COUNTIF(sj_akey,"&lt;"&amp;AG415)+COUNTIF($AG$6:AG415,AG415))</f>
        <v/>
      </c>
    </row>
    <row r="416">
      <c r="A416" s="51" t="n"/>
      <c r="B416" s="52" t="n"/>
      <c r="C416" s="52" t="n"/>
      <c r="D416" s="53" t="n"/>
      <c r="E416" s="53" t="n"/>
      <c r="F416" s="54" t="n"/>
      <c r="G416" s="54" t="n"/>
      <c r="H416" s="54" t="n"/>
      <c r="I416" s="54" t="n"/>
      <c r="J416" s="53" t="n"/>
      <c r="K416" s="55" t="str">
        <f>IF(COUNTA(A416:I416)=0,"",IF(F416="",IFERROR(INDEX(eq_dur,MATCH(B416,eq_code,0)),""),F416))</f>
        <v/>
      </c>
      <c r="L416" s="55" t="str">
        <f>IF(ISNUMBER(K416),N(IFERROR(INDEX(eq_pause,MATCH(B416,eq_code,0)),0))+SUMIFS(st_min,st_date,A416,st_eq,B416,st_po,C416,st_type,"Planifié"),"")</f>
        <v/>
      </c>
      <c r="M416" s="55" t="str">
        <f>IF(ISNUMBER(K416),K416-L416,"")</f>
        <v/>
      </c>
      <c r="N416" s="55" t="str">
        <f>IF(ISNUMBER(K416),SUMIFS(st_min,st_date,A416,st_eq,B416,st_po,C416,st_type,"Non planifié"),"")</f>
        <v/>
      </c>
      <c r="O416" s="55" t="str">
        <f>IF(ISNUMBER(K416),M416-N416,"")</f>
        <v/>
      </c>
      <c r="P416" s="55" t="str">
        <f>IF(COUNTA(A416:I416)=0,"",N(G416)+N(H416)+N(I416))</f>
        <v/>
      </c>
      <c r="Q416" s="56" t="str">
        <f>IF(COUNTA(A416:I416)=0,"",IF(N(IFERROR(INDEX(art_rate,MATCH(E416,art_ref,0)),0))&gt;0,N(IFERROR(INDEX(art_rate,MATCH(E416,art_ref,0)),0)),N(IFERROR(INDEX(po_rate,MATCH(C416,po_code,0)),0))))</f>
        <v/>
      </c>
      <c r="R416" s="55" t="str">
        <f>IF(AC416=1,P416*60/Q416,"")</f>
        <v/>
      </c>
      <c r="S416" s="55" t="str">
        <f>IF(AC416=1,N(G416)*60/Q416,"")</f>
        <v/>
      </c>
      <c r="T416" s="57" t="str">
        <f>IF(AC416=1,O416/M416,"")</f>
        <v/>
      </c>
      <c r="U416" s="57" t="str">
        <f>IF(AC416=1,IF(O416&gt;0,R416/O416,""),"")</f>
        <v/>
      </c>
      <c r="V416" s="57" t="str">
        <f>IF(AC416=1,IF(P416&gt;0,N(G416)/P416,""),"")</f>
        <v/>
      </c>
      <c r="W416" s="57" t="str">
        <f>IF(AC416=1,S416/M416,"")</f>
        <v/>
      </c>
      <c r="X416" s="57" t="str">
        <f>IF(AC416=1,S416/K416,"")</f>
        <v/>
      </c>
      <c r="Y416" s="58" t="str">
        <f>IF(W416="","",IF(W416&gt;=p_target,"Bon",IF(W416&gt;=p_alert,"À surveiller","Faible")))</f>
        <v/>
      </c>
      <c r="Z416" s="58" t="str">
        <f>IF(W416="","",IF(MIN(IF(T416="",1,T416),IF(U416="",1,U416),IF(V416="",1,V416))&gt;=1,"Aucune",IF(IF(T416="",1,T416)&lt;=MIN(IF(U416="",1,U416),IF(V416="",1,V416)),"Disponibilité",IF(IF(U416="",1,U416)&lt;=IF(V416="",1,V416),"Performance","Qualité"))))</f>
        <v/>
      </c>
      <c r="AA416" s="59" t="str">
        <f>IF(AC416=1,N(H416)*N(IFERROR(INDEX(art_cost,MATCH(E416,art_ref,0)),0)),"")</f>
        <v/>
      </c>
      <c r="AB416" s="58" t="str">
        <f>IF(COUNTA(A416:I416)=0,"",IF(N(A416)&lt;=0,"Date manquante ou invalide",IF(B416="","Équipe manquante",IF(ISNA(MATCH(B416,eq_code,0)),"Équipe inconnue",IF(INDEX(eq_check,MATCH(B416,eq_code,0))&lt;&gt;"OK","Équipe à corriger dans Paramètres",IF(C416="","Poste manquant",IF(ISNA(MATCH(C416,po_code,0)),"Poste inconnu",IF(AND(E416&lt;&gt;"",ISNA(MATCH(E416,art_ref,0))),"Article inconnu",IF(IF(E416="",FALSE,INDEX(art_check,MATCH(E416,art_ref,0))&lt;&gt;"OK"),"Article à corriger (feuille Articles)",IF(COUNTIFS(sj_date,A416,sj_eq,B416,sj_po,C416)&gt;1,"Ligne en double (même jour, équipe et poste)",IF(OR(NOT(ISNUMBER(K416)),N(K416)&lt;=0,N(K416)&gt;1440),"Temps d'ouverture invalide",IF(OR(AND(G416&lt;&gt;"",NOT(ISNUMBER(G416))),N(G416)&lt;0,N(G416)&lt;&gt;INT(N(G416)),AND(H416&lt;&gt;"",NOT(ISNUMBER(H416))),N(H416)&lt;0,N(H416)&lt;&gt;INT(N(H416)),AND(I416&lt;&gt;"",NOT(ISNUMBER(I416))),N(I416)&lt;0,N(I416)&lt;&gt;INT(N(I416))),"Quantité invalide",IF(Q416&lt;=0,"Cadence manquante (poste ou article)",IF(M416&lt;=0,"Arrêts planifiés supérieurs au temps d'ouverture",IF(O416&lt;0,"Arrêts supérieurs au temps requis",IF(AND(P416&gt;0,O416=0),"Pièces déclarées sans temps de marche",IF(AND(P416=0,O416&gt;0),"Aucune pièce déclarée",IF(P416*60/Q416&gt;O416+0.001,"Cadence dépassée : vérifiez la cadence","OK"))))))))))))))))))</f>
        <v/>
      </c>
      <c r="AC416">
        <f>IF(OR(AB416="OK",AB416="Aucune pièce déclarée",AB416="Cadence dépassée : vérifiez la cadence"),1,0)</f>
        <v>0.0</v>
      </c>
      <c r="AD416">
        <f>IF(AND(AC416=1,A416&gt;=p_from,A416&lt;=p_to),1,0)</f>
        <v>0.0</v>
      </c>
      <c r="AE416">
        <f>IF(AD416=1,IF(COUNTIFS($A$6:A416,A416,$AD$6:AD416,1)=1,1,0),0)</f>
        <v>0.0</v>
      </c>
      <c r="AF416" t="str">
        <f>IF(AE416=1,COUNTIFS(sj_first,1,sj_date,"&lt;"&amp;A416)+1,"")</f>
        <v/>
      </c>
      <c r="AG416" t="str">
        <f>IF(AND(AD416=1,N(W416)&lt;p_alert),ROUND(W416,4),"")</f>
        <v/>
      </c>
      <c r="AH416" t="str">
        <f>IF(AG416="","",COUNTIF(sj_akey,"&lt;"&amp;AG416)+COUNTIF($AG$6:AG416,AG416))</f>
        <v/>
      </c>
    </row>
    <row r="417">
      <c r="A417" s="51" t="n"/>
      <c r="B417" s="52" t="n"/>
      <c r="C417" s="52" t="n"/>
      <c r="D417" s="53" t="n"/>
      <c r="E417" s="53" t="n"/>
      <c r="F417" s="54" t="n"/>
      <c r="G417" s="54" t="n"/>
      <c r="H417" s="54" t="n"/>
      <c r="I417" s="54" t="n"/>
      <c r="J417" s="53" t="n"/>
      <c r="K417" s="55" t="str">
        <f>IF(COUNTA(A417:I417)=0,"",IF(F417="",IFERROR(INDEX(eq_dur,MATCH(B417,eq_code,0)),""),F417))</f>
        <v/>
      </c>
      <c r="L417" s="55" t="str">
        <f>IF(ISNUMBER(K417),N(IFERROR(INDEX(eq_pause,MATCH(B417,eq_code,0)),0))+SUMIFS(st_min,st_date,A417,st_eq,B417,st_po,C417,st_type,"Planifié"),"")</f>
        <v/>
      </c>
      <c r="M417" s="55" t="str">
        <f>IF(ISNUMBER(K417),K417-L417,"")</f>
        <v/>
      </c>
      <c r="N417" s="55" t="str">
        <f>IF(ISNUMBER(K417),SUMIFS(st_min,st_date,A417,st_eq,B417,st_po,C417,st_type,"Non planifié"),"")</f>
        <v/>
      </c>
      <c r="O417" s="55" t="str">
        <f>IF(ISNUMBER(K417),M417-N417,"")</f>
        <v/>
      </c>
      <c r="P417" s="55" t="str">
        <f>IF(COUNTA(A417:I417)=0,"",N(G417)+N(H417)+N(I417))</f>
        <v/>
      </c>
      <c r="Q417" s="56" t="str">
        <f>IF(COUNTA(A417:I417)=0,"",IF(N(IFERROR(INDEX(art_rate,MATCH(E417,art_ref,0)),0))&gt;0,N(IFERROR(INDEX(art_rate,MATCH(E417,art_ref,0)),0)),N(IFERROR(INDEX(po_rate,MATCH(C417,po_code,0)),0))))</f>
        <v/>
      </c>
      <c r="R417" s="55" t="str">
        <f>IF(AC417=1,P417*60/Q417,"")</f>
        <v/>
      </c>
      <c r="S417" s="55" t="str">
        <f>IF(AC417=1,N(G417)*60/Q417,"")</f>
        <v/>
      </c>
      <c r="T417" s="57" t="str">
        <f>IF(AC417=1,O417/M417,"")</f>
        <v/>
      </c>
      <c r="U417" s="57" t="str">
        <f>IF(AC417=1,IF(O417&gt;0,R417/O417,""),"")</f>
        <v/>
      </c>
      <c r="V417" s="57" t="str">
        <f>IF(AC417=1,IF(P417&gt;0,N(G417)/P417,""),"")</f>
        <v/>
      </c>
      <c r="W417" s="57" t="str">
        <f>IF(AC417=1,S417/M417,"")</f>
        <v/>
      </c>
      <c r="X417" s="57" t="str">
        <f>IF(AC417=1,S417/K417,"")</f>
        <v/>
      </c>
      <c r="Y417" s="58" t="str">
        <f>IF(W417="","",IF(W417&gt;=p_target,"Bon",IF(W417&gt;=p_alert,"À surveiller","Faible")))</f>
        <v/>
      </c>
      <c r="Z417" s="58" t="str">
        <f>IF(W417="","",IF(MIN(IF(T417="",1,T417),IF(U417="",1,U417),IF(V417="",1,V417))&gt;=1,"Aucune",IF(IF(T417="",1,T417)&lt;=MIN(IF(U417="",1,U417),IF(V417="",1,V417)),"Disponibilité",IF(IF(U417="",1,U417)&lt;=IF(V417="",1,V417),"Performance","Qualité"))))</f>
        <v/>
      </c>
      <c r="AA417" s="59" t="str">
        <f>IF(AC417=1,N(H417)*N(IFERROR(INDEX(art_cost,MATCH(E417,art_ref,0)),0)),"")</f>
        <v/>
      </c>
      <c r="AB417" s="58" t="str">
        <f>IF(COUNTA(A417:I417)=0,"",IF(N(A417)&lt;=0,"Date manquante ou invalide",IF(B417="","Équipe manquante",IF(ISNA(MATCH(B417,eq_code,0)),"Équipe inconnue",IF(INDEX(eq_check,MATCH(B417,eq_code,0))&lt;&gt;"OK","Équipe à corriger dans Paramètres",IF(C417="","Poste manquant",IF(ISNA(MATCH(C417,po_code,0)),"Poste inconnu",IF(AND(E417&lt;&gt;"",ISNA(MATCH(E417,art_ref,0))),"Article inconnu",IF(IF(E417="",FALSE,INDEX(art_check,MATCH(E417,art_ref,0))&lt;&gt;"OK"),"Article à corriger (feuille Articles)",IF(COUNTIFS(sj_date,A417,sj_eq,B417,sj_po,C417)&gt;1,"Ligne en double (même jour, équipe et poste)",IF(OR(NOT(ISNUMBER(K417)),N(K417)&lt;=0,N(K417)&gt;1440),"Temps d'ouverture invalide",IF(OR(AND(G417&lt;&gt;"",NOT(ISNUMBER(G417))),N(G417)&lt;0,N(G417)&lt;&gt;INT(N(G417)),AND(H417&lt;&gt;"",NOT(ISNUMBER(H417))),N(H417)&lt;0,N(H417)&lt;&gt;INT(N(H417)),AND(I417&lt;&gt;"",NOT(ISNUMBER(I417))),N(I417)&lt;0,N(I417)&lt;&gt;INT(N(I417))),"Quantité invalide",IF(Q417&lt;=0,"Cadence manquante (poste ou article)",IF(M417&lt;=0,"Arrêts planifiés supérieurs au temps d'ouverture",IF(O417&lt;0,"Arrêts supérieurs au temps requis",IF(AND(P417&gt;0,O417=0),"Pièces déclarées sans temps de marche",IF(AND(P417=0,O417&gt;0),"Aucune pièce déclarée",IF(P417*60/Q417&gt;O417+0.001,"Cadence dépassée : vérifiez la cadence","OK"))))))))))))))))))</f>
        <v/>
      </c>
      <c r="AC417">
        <f>IF(OR(AB417="OK",AB417="Aucune pièce déclarée",AB417="Cadence dépassée : vérifiez la cadence"),1,0)</f>
        <v>0.0</v>
      </c>
      <c r="AD417">
        <f>IF(AND(AC417=1,A417&gt;=p_from,A417&lt;=p_to),1,0)</f>
        <v>0.0</v>
      </c>
      <c r="AE417">
        <f>IF(AD417=1,IF(COUNTIFS($A$6:A417,A417,$AD$6:AD417,1)=1,1,0),0)</f>
        <v>0.0</v>
      </c>
      <c r="AF417" t="str">
        <f>IF(AE417=1,COUNTIFS(sj_first,1,sj_date,"&lt;"&amp;A417)+1,"")</f>
        <v/>
      </c>
      <c r="AG417" t="str">
        <f>IF(AND(AD417=1,N(W417)&lt;p_alert),ROUND(W417,4),"")</f>
        <v/>
      </c>
      <c r="AH417" t="str">
        <f>IF(AG417="","",COUNTIF(sj_akey,"&lt;"&amp;AG417)+COUNTIF($AG$6:AG417,AG417))</f>
        <v/>
      </c>
    </row>
    <row r="418">
      <c r="A418" s="51" t="n"/>
      <c r="B418" s="52" t="n"/>
      <c r="C418" s="52" t="n"/>
      <c r="D418" s="53" t="n"/>
      <c r="E418" s="53" t="n"/>
      <c r="F418" s="54" t="n"/>
      <c r="G418" s="54" t="n"/>
      <c r="H418" s="54" t="n"/>
      <c r="I418" s="54" t="n"/>
      <c r="J418" s="53" t="n"/>
      <c r="K418" s="55" t="str">
        <f>IF(COUNTA(A418:I418)=0,"",IF(F418="",IFERROR(INDEX(eq_dur,MATCH(B418,eq_code,0)),""),F418))</f>
        <v/>
      </c>
      <c r="L418" s="55" t="str">
        <f>IF(ISNUMBER(K418),N(IFERROR(INDEX(eq_pause,MATCH(B418,eq_code,0)),0))+SUMIFS(st_min,st_date,A418,st_eq,B418,st_po,C418,st_type,"Planifié"),"")</f>
        <v/>
      </c>
      <c r="M418" s="55" t="str">
        <f>IF(ISNUMBER(K418),K418-L418,"")</f>
        <v/>
      </c>
      <c r="N418" s="55" t="str">
        <f>IF(ISNUMBER(K418),SUMIFS(st_min,st_date,A418,st_eq,B418,st_po,C418,st_type,"Non planifié"),"")</f>
        <v/>
      </c>
      <c r="O418" s="55" t="str">
        <f>IF(ISNUMBER(K418),M418-N418,"")</f>
        <v/>
      </c>
      <c r="P418" s="55" t="str">
        <f>IF(COUNTA(A418:I418)=0,"",N(G418)+N(H418)+N(I418))</f>
        <v/>
      </c>
      <c r="Q418" s="56" t="str">
        <f>IF(COUNTA(A418:I418)=0,"",IF(N(IFERROR(INDEX(art_rate,MATCH(E418,art_ref,0)),0))&gt;0,N(IFERROR(INDEX(art_rate,MATCH(E418,art_ref,0)),0)),N(IFERROR(INDEX(po_rate,MATCH(C418,po_code,0)),0))))</f>
        <v/>
      </c>
      <c r="R418" s="55" t="str">
        <f>IF(AC418=1,P418*60/Q418,"")</f>
        <v/>
      </c>
      <c r="S418" s="55" t="str">
        <f>IF(AC418=1,N(G418)*60/Q418,"")</f>
        <v/>
      </c>
      <c r="T418" s="57" t="str">
        <f>IF(AC418=1,O418/M418,"")</f>
        <v/>
      </c>
      <c r="U418" s="57" t="str">
        <f>IF(AC418=1,IF(O418&gt;0,R418/O418,""),"")</f>
        <v/>
      </c>
      <c r="V418" s="57" t="str">
        <f>IF(AC418=1,IF(P418&gt;0,N(G418)/P418,""),"")</f>
        <v/>
      </c>
      <c r="W418" s="57" t="str">
        <f>IF(AC418=1,S418/M418,"")</f>
        <v/>
      </c>
      <c r="X418" s="57" t="str">
        <f>IF(AC418=1,S418/K418,"")</f>
        <v/>
      </c>
      <c r="Y418" s="58" t="str">
        <f>IF(W418="","",IF(W418&gt;=p_target,"Bon",IF(W418&gt;=p_alert,"À surveiller","Faible")))</f>
        <v/>
      </c>
      <c r="Z418" s="58" t="str">
        <f>IF(W418="","",IF(MIN(IF(T418="",1,T418),IF(U418="",1,U418),IF(V418="",1,V418))&gt;=1,"Aucune",IF(IF(T418="",1,T418)&lt;=MIN(IF(U418="",1,U418),IF(V418="",1,V418)),"Disponibilité",IF(IF(U418="",1,U418)&lt;=IF(V418="",1,V418),"Performance","Qualité"))))</f>
        <v/>
      </c>
      <c r="AA418" s="59" t="str">
        <f>IF(AC418=1,N(H418)*N(IFERROR(INDEX(art_cost,MATCH(E418,art_ref,0)),0)),"")</f>
        <v/>
      </c>
      <c r="AB418" s="58" t="str">
        <f>IF(COUNTA(A418:I418)=0,"",IF(N(A418)&lt;=0,"Date manquante ou invalide",IF(B418="","Équipe manquante",IF(ISNA(MATCH(B418,eq_code,0)),"Équipe inconnue",IF(INDEX(eq_check,MATCH(B418,eq_code,0))&lt;&gt;"OK","Équipe à corriger dans Paramètres",IF(C418="","Poste manquant",IF(ISNA(MATCH(C418,po_code,0)),"Poste inconnu",IF(AND(E418&lt;&gt;"",ISNA(MATCH(E418,art_ref,0))),"Article inconnu",IF(IF(E418="",FALSE,INDEX(art_check,MATCH(E418,art_ref,0))&lt;&gt;"OK"),"Article à corriger (feuille Articles)",IF(COUNTIFS(sj_date,A418,sj_eq,B418,sj_po,C418)&gt;1,"Ligne en double (même jour, équipe et poste)",IF(OR(NOT(ISNUMBER(K418)),N(K418)&lt;=0,N(K418)&gt;1440),"Temps d'ouverture invalide",IF(OR(AND(G418&lt;&gt;"",NOT(ISNUMBER(G418))),N(G418)&lt;0,N(G418)&lt;&gt;INT(N(G418)),AND(H418&lt;&gt;"",NOT(ISNUMBER(H418))),N(H418)&lt;0,N(H418)&lt;&gt;INT(N(H418)),AND(I418&lt;&gt;"",NOT(ISNUMBER(I418))),N(I418)&lt;0,N(I418)&lt;&gt;INT(N(I418))),"Quantité invalide",IF(Q418&lt;=0,"Cadence manquante (poste ou article)",IF(M418&lt;=0,"Arrêts planifiés supérieurs au temps d'ouverture",IF(O418&lt;0,"Arrêts supérieurs au temps requis",IF(AND(P418&gt;0,O418=0),"Pièces déclarées sans temps de marche",IF(AND(P418=0,O418&gt;0),"Aucune pièce déclarée",IF(P418*60/Q418&gt;O418+0.001,"Cadence dépassée : vérifiez la cadence","OK"))))))))))))))))))</f>
        <v/>
      </c>
      <c r="AC418">
        <f>IF(OR(AB418="OK",AB418="Aucune pièce déclarée",AB418="Cadence dépassée : vérifiez la cadence"),1,0)</f>
        <v>0.0</v>
      </c>
      <c r="AD418">
        <f>IF(AND(AC418=1,A418&gt;=p_from,A418&lt;=p_to),1,0)</f>
        <v>0.0</v>
      </c>
      <c r="AE418">
        <f>IF(AD418=1,IF(COUNTIFS($A$6:A418,A418,$AD$6:AD418,1)=1,1,0),0)</f>
        <v>0.0</v>
      </c>
      <c r="AF418" t="str">
        <f>IF(AE418=1,COUNTIFS(sj_first,1,sj_date,"&lt;"&amp;A418)+1,"")</f>
        <v/>
      </c>
      <c r="AG418" t="str">
        <f>IF(AND(AD418=1,N(W418)&lt;p_alert),ROUND(W418,4),"")</f>
        <v/>
      </c>
      <c r="AH418" t="str">
        <f>IF(AG418="","",COUNTIF(sj_akey,"&lt;"&amp;AG418)+COUNTIF($AG$6:AG418,AG418))</f>
        <v/>
      </c>
    </row>
    <row r="419">
      <c r="A419" s="51" t="n"/>
      <c r="B419" s="52" t="n"/>
      <c r="C419" s="52" t="n"/>
      <c r="D419" s="53" t="n"/>
      <c r="E419" s="53" t="n"/>
      <c r="F419" s="54" t="n"/>
      <c r="G419" s="54" t="n"/>
      <c r="H419" s="54" t="n"/>
      <c r="I419" s="54" t="n"/>
      <c r="J419" s="53" t="n"/>
      <c r="K419" s="55" t="str">
        <f>IF(COUNTA(A419:I419)=0,"",IF(F419="",IFERROR(INDEX(eq_dur,MATCH(B419,eq_code,0)),""),F419))</f>
        <v/>
      </c>
      <c r="L419" s="55" t="str">
        <f>IF(ISNUMBER(K419),N(IFERROR(INDEX(eq_pause,MATCH(B419,eq_code,0)),0))+SUMIFS(st_min,st_date,A419,st_eq,B419,st_po,C419,st_type,"Planifié"),"")</f>
        <v/>
      </c>
      <c r="M419" s="55" t="str">
        <f>IF(ISNUMBER(K419),K419-L419,"")</f>
        <v/>
      </c>
      <c r="N419" s="55" t="str">
        <f>IF(ISNUMBER(K419),SUMIFS(st_min,st_date,A419,st_eq,B419,st_po,C419,st_type,"Non planifié"),"")</f>
        <v/>
      </c>
      <c r="O419" s="55" t="str">
        <f>IF(ISNUMBER(K419),M419-N419,"")</f>
        <v/>
      </c>
      <c r="P419" s="55" t="str">
        <f>IF(COUNTA(A419:I419)=0,"",N(G419)+N(H419)+N(I419))</f>
        <v/>
      </c>
      <c r="Q419" s="56" t="str">
        <f>IF(COUNTA(A419:I419)=0,"",IF(N(IFERROR(INDEX(art_rate,MATCH(E419,art_ref,0)),0))&gt;0,N(IFERROR(INDEX(art_rate,MATCH(E419,art_ref,0)),0)),N(IFERROR(INDEX(po_rate,MATCH(C419,po_code,0)),0))))</f>
        <v/>
      </c>
      <c r="R419" s="55" t="str">
        <f>IF(AC419=1,P419*60/Q419,"")</f>
        <v/>
      </c>
      <c r="S419" s="55" t="str">
        <f>IF(AC419=1,N(G419)*60/Q419,"")</f>
        <v/>
      </c>
      <c r="T419" s="57" t="str">
        <f>IF(AC419=1,O419/M419,"")</f>
        <v/>
      </c>
      <c r="U419" s="57" t="str">
        <f>IF(AC419=1,IF(O419&gt;0,R419/O419,""),"")</f>
        <v/>
      </c>
      <c r="V419" s="57" t="str">
        <f>IF(AC419=1,IF(P419&gt;0,N(G419)/P419,""),"")</f>
        <v/>
      </c>
      <c r="W419" s="57" t="str">
        <f>IF(AC419=1,S419/M419,"")</f>
        <v/>
      </c>
      <c r="X419" s="57" t="str">
        <f>IF(AC419=1,S419/K419,"")</f>
        <v/>
      </c>
      <c r="Y419" s="58" t="str">
        <f>IF(W419="","",IF(W419&gt;=p_target,"Bon",IF(W419&gt;=p_alert,"À surveiller","Faible")))</f>
        <v/>
      </c>
      <c r="Z419" s="58" t="str">
        <f>IF(W419="","",IF(MIN(IF(T419="",1,T419),IF(U419="",1,U419),IF(V419="",1,V419))&gt;=1,"Aucune",IF(IF(T419="",1,T419)&lt;=MIN(IF(U419="",1,U419),IF(V419="",1,V419)),"Disponibilité",IF(IF(U419="",1,U419)&lt;=IF(V419="",1,V419),"Performance","Qualité"))))</f>
        <v/>
      </c>
      <c r="AA419" s="59" t="str">
        <f>IF(AC419=1,N(H419)*N(IFERROR(INDEX(art_cost,MATCH(E419,art_ref,0)),0)),"")</f>
        <v/>
      </c>
      <c r="AB419" s="58" t="str">
        <f>IF(COUNTA(A419:I419)=0,"",IF(N(A419)&lt;=0,"Date manquante ou invalide",IF(B419="","Équipe manquante",IF(ISNA(MATCH(B419,eq_code,0)),"Équipe inconnue",IF(INDEX(eq_check,MATCH(B419,eq_code,0))&lt;&gt;"OK","Équipe à corriger dans Paramètres",IF(C419="","Poste manquant",IF(ISNA(MATCH(C419,po_code,0)),"Poste inconnu",IF(AND(E419&lt;&gt;"",ISNA(MATCH(E419,art_ref,0))),"Article inconnu",IF(IF(E419="",FALSE,INDEX(art_check,MATCH(E419,art_ref,0))&lt;&gt;"OK"),"Article à corriger (feuille Articles)",IF(COUNTIFS(sj_date,A419,sj_eq,B419,sj_po,C419)&gt;1,"Ligne en double (même jour, équipe et poste)",IF(OR(NOT(ISNUMBER(K419)),N(K419)&lt;=0,N(K419)&gt;1440),"Temps d'ouverture invalide",IF(OR(AND(G419&lt;&gt;"",NOT(ISNUMBER(G419))),N(G419)&lt;0,N(G419)&lt;&gt;INT(N(G419)),AND(H419&lt;&gt;"",NOT(ISNUMBER(H419))),N(H419)&lt;0,N(H419)&lt;&gt;INT(N(H419)),AND(I419&lt;&gt;"",NOT(ISNUMBER(I419))),N(I419)&lt;0,N(I419)&lt;&gt;INT(N(I419))),"Quantité invalide",IF(Q419&lt;=0,"Cadence manquante (poste ou article)",IF(M419&lt;=0,"Arrêts planifiés supérieurs au temps d'ouverture",IF(O419&lt;0,"Arrêts supérieurs au temps requis",IF(AND(P419&gt;0,O419=0),"Pièces déclarées sans temps de marche",IF(AND(P419=0,O419&gt;0),"Aucune pièce déclarée",IF(P419*60/Q419&gt;O419+0.001,"Cadence dépassée : vérifiez la cadence","OK"))))))))))))))))))</f>
        <v/>
      </c>
      <c r="AC419">
        <f>IF(OR(AB419="OK",AB419="Aucune pièce déclarée",AB419="Cadence dépassée : vérifiez la cadence"),1,0)</f>
        <v>0.0</v>
      </c>
      <c r="AD419">
        <f>IF(AND(AC419=1,A419&gt;=p_from,A419&lt;=p_to),1,0)</f>
        <v>0.0</v>
      </c>
      <c r="AE419">
        <f>IF(AD419=1,IF(COUNTIFS($A$6:A419,A419,$AD$6:AD419,1)=1,1,0),0)</f>
        <v>0.0</v>
      </c>
      <c r="AF419" t="str">
        <f>IF(AE419=1,COUNTIFS(sj_first,1,sj_date,"&lt;"&amp;A419)+1,"")</f>
        <v/>
      </c>
      <c r="AG419" t="str">
        <f>IF(AND(AD419=1,N(W419)&lt;p_alert),ROUND(W419,4),"")</f>
        <v/>
      </c>
      <c r="AH419" t="str">
        <f>IF(AG419="","",COUNTIF(sj_akey,"&lt;"&amp;AG419)+COUNTIF($AG$6:AG419,AG419))</f>
        <v/>
      </c>
    </row>
    <row r="420">
      <c r="A420" s="51" t="n"/>
      <c r="B420" s="52" t="n"/>
      <c r="C420" s="52" t="n"/>
      <c r="D420" s="53" t="n"/>
      <c r="E420" s="53" t="n"/>
      <c r="F420" s="54" t="n"/>
      <c r="G420" s="54" t="n"/>
      <c r="H420" s="54" t="n"/>
      <c r="I420" s="54" t="n"/>
      <c r="J420" s="53" t="n"/>
      <c r="K420" s="55" t="str">
        <f>IF(COUNTA(A420:I420)=0,"",IF(F420="",IFERROR(INDEX(eq_dur,MATCH(B420,eq_code,0)),""),F420))</f>
        <v/>
      </c>
      <c r="L420" s="55" t="str">
        <f>IF(ISNUMBER(K420),N(IFERROR(INDEX(eq_pause,MATCH(B420,eq_code,0)),0))+SUMIFS(st_min,st_date,A420,st_eq,B420,st_po,C420,st_type,"Planifié"),"")</f>
        <v/>
      </c>
      <c r="M420" s="55" t="str">
        <f>IF(ISNUMBER(K420),K420-L420,"")</f>
        <v/>
      </c>
      <c r="N420" s="55" t="str">
        <f>IF(ISNUMBER(K420),SUMIFS(st_min,st_date,A420,st_eq,B420,st_po,C420,st_type,"Non planifié"),"")</f>
        <v/>
      </c>
      <c r="O420" s="55" t="str">
        <f>IF(ISNUMBER(K420),M420-N420,"")</f>
        <v/>
      </c>
      <c r="P420" s="55" t="str">
        <f>IF(COUNTA(A420:I420)=0,"",N(G420)+N(H420)+N(I420))</f>
        <v/>
      </c>
      <c r="Q420" s="56" t="str">
        <f>IF(COUNTA(A420:I420)=0,"",IF(N(IFERROR(INDEX(art_rate,MATCH(E420,art_ref,0)),0))&gt;0,N(IFERROR(INDEX(art_rate,MATCH(E420,art_ref,0)),0)),N(IFERROR(INDEX(po_rate,MATCH(C420,po_code,0)),0))))</f>
        <v/>
      </c>
      <c r="R420" s="55" t="str">
        <f>IF(AC420=1,P420*60/Q420,"")</f>
        <v/>
      </c>
      <c r="S420" s="55" t="str">
        <f>IF(AC420=1,N(G420)*60/Q420,"")</f>
        <v/>
      </c>
      <c r="T420" s="57" t="str">
        <f>IF(AC420=1,O420/M420,"")</f>
        <v/>
      </c>
      <c r="U420" s="57" t="str">
        <f>IF(AC420=1,IF(O420&gt;0,R420/O420,""),"")</f>
        <v/>
      </c>
      <c r="V420" s="57" t="str">
        <f>IF(AC420=1,IF(P420&gt;0,N(G420)/P420,""),"")</f>
        <v/>
      </c>
      <c r="W420" s="57" t="str">
        <f>IF(AC420=1,S420/M420,"")</f>
        <v/>
      </c>
      <c r="X420" s="57" t="str">
        <f>IF(AC420=1,S420/K420,"")</f>
        <v/>
      </c>
      <c r="Y420" s="58" t="str">
        <f>IF(W420="","",IF(W420&gt;=p_target,"Bon",IF(W420&gt;=p_alert,"À surveiller","Faible")))</f>
        <v/>
      </c>
      <c r="Z420" s="58" t="str">
        <f>IF(W420="","",IF(MIN(IF(T420="",1,T420),IF(U420="",1,U420),IF(V420="",1,V420))&gt;=1,"Aucune",IF(IF(T420="",1,T420)&lt;=MIN(IF(U420="",1,U420),IF(V420="",1,V420)),"Disponibilité",IF(IF(U420="",1,U420)&lt;=IF(V420="",1,V420),"Performance","Qualité"))))</f>
        <v/>
      </c>
      <c r="AA420" s="59" t="str">
        <f>IF(AC420=1,N(H420)*N(IFERROR(INDEX(art_cost,MATCH(E420,art_ref,0)),0)),"")</f>
        <v/>
      </c>
      <c r="AB420" s="58" t="str">
        <f>IF(COUNTA(A420:I420)=0,"",IF(N(A420)&lt;=0,"Date manquante ou invalide",IF(B420="","Équipe manquante",IF(ISNA(MATCH(B420,eq_code,0)),"Équipe inconnue",IF(INDEX(eq_check,MATCH(B420,eq_code,0))&lt;&gt;"OK","Équipe à corriger dans Paramètres",IF(C420="","Poste manquant",IF(ISNA(MATCH(C420,po_code,0)),"Poste inconnu",IF(AND(E420&lt;&gt;"",ISNA(MATCH(E420,art_ref,0))),"Article inconnu",IF(IF(E420="",FALSE,INDEX(art_check,MATCH(E420,art_ref,0))&lt;&gt;"OK"),"Article à corriger (feuille Articles)",IF(COUNTIFS(sj_date,A420,sj_eq,B420,sj_po,C420)&gt;1,"Ligne en double (même jour, équipe et poste)",IF(OR(NOT(ISNUMBER(K420)),N(K420)&lt;=0,N(K420)&gt;1440),"Temps d'ouverture invalide",IF(OR(AND(G420&lt;&gt;"",NOT(ISNUMBER(G420))),N(G420)&lt;0,N(G420)&lt;&gt;INT(N(G420)),AND(H420&lt;&gt;"",NOT(ISNUMBER(H420))),N(H420)&lt;0,N(H420)&lt;&gt;INT(N(H420)),AND(I420&lt;&gt;"",NOT(ISNUMBER(I420))),N(I420)&lt;0,N(I420)&lt;&gt;INT(N(I420))),"Quantité invalide",IF(Q420&lt;=0,"Cadence manquante (poste ou article)",IF(M420&lt;=0,"Arrêts planifiés supérieurs au temps d'ouverture",IF(O420&lt;0,"Arrêts supérieurs au temps requis",IF(AND(P420&gt;0,O420=0),"Pièces déclarées sans temps de marche",IF(AND(P420=0,O420&gt;0),"Aucune pièce déclarée",IF(P420*60/Q420&gt;O420+0.001,"Cadence dépassée : vérifiez la cadence","OK"))))))))))))))))))</f>
        <v/>
      </c>
      <c r="AC420">
        <f>IF(OR(AB420="OK",AB420="Aucune pièce déclarée",AB420="Cadence dépassée : vérifiez la cadence"),1,0)</f>
        <v>0.0</v>
      </c>
      <c r="AD420">
        <f>IF(AND(AC420=1,A420&gt;=p_from,A420&lt;=p_to),1,0)</f>
        <v>0.0</v>
      </c>
      <c r="AE420">
        <f>IF(AD420=1,IF(COUNTIFS($A$6:A420,A420,$AD$6:AD420,1)=1,1,0),0)</f>
        <v>0.0</v>
      </c>
      <c r="AF420" t="str">
        <f>IF(AE420=1,COUNTIFS(sj_first,1,sj_date,"&lt;"&amp;A420)+1,"")</f>
        <v/>
      </c>
      <c r="AG420" t="str">
        <f>IF(AND(AD420=1,N(W420)&lt;p_alert),ROUND(W420,4),"")</f>
        <v/>
      </c>
      <c r="AH420" t="str">
        <f>IF(AG420="","",COUNTIF(sj_akey,"&lt;"&amp;AG420)+COUNTIF($AG$6:AG420,AG420))</f>
        <v/>
      </c>
    </row>
    <row r="421">
      <c r="A421" s="51" t="n"/>
      <c r="B421" s="52" t="n"/>
      <c r="C421" s="52" t="n"/>
      <c r="D421" s="53" t="n"/>
      <c r="E421" s="53" t="n"/>
      <c r="F421" s="54" t="n"/>
      <c r="G421" s="54" t="n"/>
      <c r="H421" s="54" t="n"/>
      <c r="I421" s="54" t="n"/>
      <c r="J421" s="53" t="n"/>
      <c r="K421" s="55" t="str">
        <f>IF(COUNTA(A421:I421)=0,"",IF(F421="",IFERROR(INDEX(eq_dur,MATCH(B421,eq_code,0)),""),F421))</f>
        <v/>
      </c>
      <c r="L421" s="55" t="str">
        <f>IF(ISNUMBER(K421),N(IFERROR(INDEX(eq_pause,MATCH(B421,eq_code,0)),0))+SUMIFS(st_min,st_date,A421,st_eq,B421,st_po,C421,st_type,"Planifié"),"")</f>
        <v/>
      </c>
      <c r="M421" s="55" t="str">
        <f>IF(ISNUMBER(K421),K421-L421,"")</f>
        <v/>
      </c>
      <c r="N421" s="55" t="str">
        <f>IF(ISNUMBER(K421),SUMIFS(st_min,st_date,A421,st_eq,B421,st_po,C421,st_type,"Non planifié"),"")</f>
        <v/>
      </c>
      <c r="O421" s="55" t="str">
        <f>IF(ISNUMBER(K421),M421-N421,"")</f>
        <v/>
      </c>
      <c r="P421" s="55" t="str">
        <f>IF(COUNTA(A421:I421)=0,"",N(G421)+N(H421)+N(I421))</f>
        <v/>
      </c>
      <c r="Q421" s="56" t="str">
        <f>IF(COUNTA(A421:I421)=0,"",IF(N(IFERROR(INDEX(art_rate,MATCH(E421,art_ref,0)),0))&gt;0,N(IFERROR(INDEX(art_rate,MATCH(E421,art_ref,0)),0)),N(IFERROR(INDEX(po_rate,MATCH(C421,po_code,0)),0))))</f>
        <v/>
      </c>
      <c r="R421" s="55" t="str">
        <f>IF(AC421=1,P421*60/Q421,"")</f>
        <v/>
      </c>
      <c r="S421" s="55" t="str">
        <f>IF(AC421=1,N(G421)*60/Q421,"")</f>
        <v/>
      </c>
      <c r="T421" s="57" t="str">
        <f>IF(AC421=1,O421/M421,"")</f>
        <v/>
      </c>
      <c r="U421" s="57" t="str">
        <f>IF(AC421=1,IF(O421&gt;0,R421/O421,""),"")</f>
        <v/>
      </c>
      <c r="V421" s="57" t="str">
        <f>IF(AC421=1,IF(P421&gt;0,N(G421)/P421,""),"")</f>
        <v/>
      </c>
      <c r="W421" s="57" t="str">
        <f>IF(AC421=1,S421/M421,"")</f>
        <v/>
      </c>
      <c r="X421" s="57" t="str">
        <f>IF(AC421=1,S421/K421,"")</f>
        <v/>
      </c>
      <c r="Y421" s="58" t="str">
        <f>IF(W421="","",IF(W421&gt;=p_target,"Bon",IF(W421&gt;=p_alert,"À surveiller","Faible")))</f>
        <v/>
      </c>
      <c r="Z421" s="58" t="str">
        <f>IF(W421="","",IF(MIN(IF(T421="",1,T421),IF(U421="",1,U421),IF(V421="",1,V421))&gt;=1,"Aucune",IF(IF(T421="",1,T421)&lt;=MIN(IF(U421="",1,U421),IF(V421="",1,V421)),"Disponibilité",IF(IF(U421="",1,U421)&lt;=IF(V421="",1,V421),"Performance","Qualité"))))</f>
        <v/>
      </c>
      <c r="AA421" s="59" t="str">
        <f>IF(AC421=1,N(H421)*N(IFERROR(INDEX(art_cost,MATCH(E421,art_ref,0)),0)),"")</f>
        <v/>
      </c>
      <c r="AB421" s="58" t="str">
        <f>IF(COUNTA(A421:I421)=0,"",IF(N(A421)&lt;=0,"Date manquante ou invalide",IF(B421="","Équipe manquante",IF(ISNA(MATCH(B421,eq_code,0)),"Équipe inconnue",IF(INDEX(eq_check,MATCH(B421,eq_code,0))&lt;&gt;"OK","Équipe à corriger dans Paramètres",IF(C421="","Poste manquant",IF(ISNA(MATCH(C421,po_code,0)),"Poste inconnu",IF(AND(E421&lt;&gt;"",ISNA(MATCH(E421,art_ref,0))),"Article inconnu",IF(IF(E421="",FALSE,INDEX(art_check,MATCH(E421,art_ref,0))&lt;&gt;"OK"),"Article à corriger (feuille Articles)",IF(COUNTIFS(sj_date,A421,sj_eq,B421,sj_po,C421)&gt;1,"Ligne en double (même jour, équipe et poste)",IF(OR(NOT(ISNUMBER(K421)),N(K421)&lt;=0,N(K421)&gt;1440),"Temps d'ouverture invalide",IF(OR(AND(G421&lt;&gt;"",NOT(ISNUMBER(G421))),N(G421)&lt;0,N(G421)&lt;&gt;INT(N(G421)),AND(H421&lt;&gt;"",NOT(ISNUMBER(H421))),N(H421)&lt;0,N(H421)&lt;&gt;INT(N(H421)),AND(I421&lt;&gt;"",NOT(ISNUMBER(I421))),N(I421)&lt;0,N(I421)&lt;&gt;INT(N(I421))),"Quantité invalide",IF(Q421&lt;=0,"Cadence manquante (poste ou article)",IF(M421&lt;=0,"Arrêts planifiés supérieurs au temps d'ouverture",IF(O421&lt;0,"Arrêts supérieurs au temps requis",IF(AND(P421&gt;0,O421=0),"Pièces déclarées sans temps de marche",IF(AND(P421=0,O421&gt;0),"Aucune pièce déclarée",IF(P421*60/Q421&gt;O421+0.001,"Cadence dépassée : vérifiez la cadence","OK"))))))))))))))))))</f>
        <v/>
      </c>
      <c r="AC421">
        <f>IF(OR(AB421="OK",AB421="Aucune pièce déclarée",AB421="Cadence dépassée : vérifiez la cadence"),1,0)</f>
        <v>0.0</v>
      </c>
      <c r="AD421">
        <f>IF(AND(AC421=1,A421&gt;=p_from,A421&lt;=p_to),1,0)</f>
        <v>0.0</v>
      </c>
      <c r="AE421">
        <f>IF(AD421=1,IF(COUNTIFS($A$6:A421,A421,$AD$6:AD421,1)=1,1,0),0)</f>
        <v>0.0</v>
      </c>
      <c r="AF421" t="str">
        <f>IF(AE421=1,COUNTIFS(sj_first,1,sj_date,"&lt;"&amp;A421)+1,"")</f>
        <v/>
      </c>
      <c r="AG421" t="str">
        <f>IF(AND(AD421=1,N(W421)&lt;p_alert),ROUND(W421,4),"")</f>
        <v/>
      </c>
      <c r="AH421" t="str">
        <f>IF(AG421="","",COUNTIF(sj_akey,"&lt;"&amp;AG421)+COUNTIF($AG$6:AG421,AG421))</f>
        <v/>
      </c>
    </row>
    <row r="422">
      <c r="A422" s="51" t="n"/>
      <c r="B422" s="52" t="n"/>
      <c r="C422" s="52" t="n"/>
      <c r="D422" s="53" t="n"/>
      <c r="E422" s="53" t="n"/>
      <c r="F422" s="54" t="n"/>
      <c r="G422" s="54" t="n"/>
      <c r="H422" s="54" t="n"/>
      <c r="I422" s="54" t="n"/>
      <c r="J422" s="53" t="n"/>
      <c r="K422" s="55" t="str">
        <f>IF(COUNTA(A422:I422)=0,"",IF(F422="",IFERROR(INDEX(eq_dur,MATCH(B422,eq_code,0)),""),F422))</f>
        <v/>
      </c>
      <c r="L422" s="55" t="str">
        <f>IF(ISNUMBER(K422),N(IFERROR(INDEX(eq_pause,MATCH(B422,eq_code,0)),0))+SUMIFS(st_min,st_date,A422,st_eq,B422,st_po,C422,st_type,"Planifié"),"")</f>
        <v/>
      </c>
      <c r="M422" s="55" t="str">
        <f>IF(ISNUMBER(K422),K422-L422,"")</f>
        <v/>
      </c>
      <c r="N422" s="55" t="str">
        <f>IF(ISNUMBER(K422),SUMIFS(st_min,st_date,A422,st_eq,B422,st_po,C422,st_type,"Non planifié"),"")</f>
        <v/>
      </c>
      <c r="O422" s="55" t="str">
        <f>IF(ISNUMBER(K422),M422-N422,"")</f>
        <v/>
      </c>
      <c r="P422" s="55" t="str">
        <f>IF(COUNTA(A422:I422)=0,"",N(G422)+N(H422)+N(I422))</f>
        <v/>
      </c>
      <c r="Q422" s="56" t="str">
        <f>IF(COUNTA(A422:I422)=0,"",IF(N(IFERROR(INDEX(art_rate,MATCH(E422,art_ref,0)),0))&gt;0,N(IFERROR(INDEX(art_rate,MATCH(E422,art_ref,0)),0)),N(IFERROR(INDEX(po_rate,MATCH(C422,po_code,0)),0))))</f>
        <v/>
      </c>
      <c r="R422" s="55" t="str">
        <f>IF(AC422=1,P422*60/Q422,"")</f>
        <v/>
      </c>
      <c r="S422" s="55" t="str">
        <f>IF(AC422=1,N(G422)*60/Q422,"")</f>
        <v/>
      </c>
      <c r="T422" s="57" t="str">
        <f>IF(AC422=1,O422/M422,"")</f>
        <v/>
      </c>
      <c r="U422" s="57" t="str">
        <f>IF(AC422=1,IF(O422&gt;0,R422/O422,""),"")</f>
        <v/>
      </c>
      <c r="V422" s="57" t="str">
        <f>IF(AC422=1,IF(P422&gt;0,N(G422)/P422,""),"")</f>
        <v/>
      </c>
      <c r="W422" s="57" t="str">
        <f>IF(AC422=1,S422/M422,"")</f>
        <v/>
      </c>
      <c r="X422" s="57" t="str">
        <f>IF(AC422=1,S422/K422,"")</f>
        <v/>
      </c>
      <c r="Y422" s="58" t="str">
        <f>IF(W422="","",IF(W422&gt;=p_target,"Bon",IF(W422&gt;=p_alert,"À surveiller","Faible")))</f>
        <v/>
      </c>
      <c r="Z422" s="58" t="str">
        <f>IF(W422="","",IF(MIN(IF(T422="",1,T422),IF(U422="",1,U422),IF(V422="",1,V422))&gt;=1,"Aucune",IF(IF(T422="",1,T422)&lt;=MIN(IF(U422="",1,U422),IF(V422="",1,V422)),"Disponibilité",IF(IF(U422="",1,U422)&lt;=IF(V422="",1,V422),"Performance","Qualité"))))</f>
        <v/>
      </c>
      <c r="AA422" s="59" t="str">
        <f>IF(AC422=1,N(H422)*N(IFERROR(INDEX(art_cost,MATCH(E422,art_ref,0)),0)),"")</f>
        <v/>
      </c>
      <c r="AB422" s="58" t="str">
        <f>IF(COUNTA(A422:I422)=0,"",IF(N(A422)&lt;=0,"Date manquante ou invalide",IF(B422="","Équipe manquante",IF(ISNA(MATCH(B422,eq_code,0)),"Équipe inconnue",IF(INDEX(eq_check,MATCH(B422,eq_code,0))&lt;&gt;"OK","Équipe à corriger dans Paramètres",IF(C422="","Poste manquant",IF(ISNA(MATCH(C422,po_code,0)),"Poste inconnu",IF(AND(E422&lt;&gt;"",ISNA(MATCH(E422,art_ref,0))),"Article inconnu",IF(IF(E422="",FALSE,INDEX(art_check,MATCH(E422,art_ref,0))&lt;&gt;"OK"),"Article à corriger (feuille Articles)",IF(COUNTIFS(sj_date,A422,sj_eq,B422,sj_po,C422)&gt;1,"Ligne en double (même jour, équipe et poste)",IF(OR(NOT(ISNUMBER(K422)),N(K422)&lt;=0,N(K422)&gt;1440),"Temps d'ouverture invalide",IF(OR(AND(G422&lt;&gt;"",NOT(ISNUMBER(G422))),N(G422)&lt;0,N(G422)&lt;&gt;INT(N(G422)),AND(H422&lt;&gt;"",NOT(ISNUMBER(H422))),N(H422)&lt;0,N(H422)&lt;&gt;INT(N(H422)),AND(I422&lt;&gt;"",NOT(ISNUMBER(I422))),N(I422)&lt;0,N(I422)&lt;&gt;INT(N(I422))),"Quantité invalide",IF(Q422&lt;=0,"Cadence manquante (poste ou article)",IF(M422&lt;=0,"Arrêts planifiés supérieurs au temps d'ouverture",IF(O422&lt;0,"Arrêts supérieurs au temps requis",IF(AND(P422&gt;0,O422=0),"Pièces déclarées sans temps de marche",IF(AND(P422=0,O422&gt;0),"Aucune pièce déclarée",IF(P422*60/Q422&gt;O422+0.001,"Cadence dépassée : vérifiez la cadence","OK"))))))))))))))))))</f>
        <v/>
      </c>
      <c r="AC422">
        <f>IF(OR(AB422="OK",AB422="Aucune pièce déclarée",AB422="Cadence dépassée : vérifiez la cadence"),1,0)</f>
        <v>0.0</v>
      </c>
      <c r="AD422">
        <f>IF(AND(AC422=1,A422&gt;=p_from,A422&lt;=p_to),1,0)</f>
        <v>0.0</v>
      </c>
      <c r="AE422">
        <f>IF(AD422=1,IF(COUNTIFS($A$6:A422,A422,$AD$6:AD422,1)=1,1,0),0)</f>
        <v>0.0</v>
      </c>
      <c r="AF422" t="str">
        <f>IF(AE422=1,COUNTIFS(sj_first,1,sj_date,"&lt;"&amp;A422)+1,"")</f>
        <v/>
      </c>
      <c r="AG422" t="str">
        <f>IF(AND(AD422=1,N(W422)&lt;p_alert),ROUND(W422,4),"")</f>
        <v/>
      </c>
      <c r="AH422" t="str">
        <f>IF(AG422="","",COUNTIF(sj_akey,"&lt;"&amp;AG422)+COUNTIF($AG$6:AG422,AG422))</f>
        <v/>
      </c>
    </row>
    <row r="423">
      <c r="A423" s="51" t="n"/>
      <c r="B423" s="52" t="n"/>
      <c r="C423" s="52" t="n"/>
      <c r="D423" s="53" t="n"/>
      <c r="E423" s="53" t="n"/>
      <c r="F423" s="54" t="n"/>
      <c r="G423" s="54" t="n"/>
      <c r="H423" s="54" t="n"/>
      <c r="I423" s="54" t="n"/>
      <c r="J423" s="53" t="n"/>
      <c r="K423" s="55" t="str">
        <f>IF(COUNTA(A423:I423)=0,"",IF(F423="",IFERROR(INDEX(eq_dur,MATCH(B423,eq_code,0)),""),F423))</f>
        <v/>
      </c>
      <c r="L423" s="55" t="str">
        <f>IF(ISNUMBER(K423),N(IFERROR(INDEX(eq_pause,MATCH(B423,eq_code,0)),0))+SUMIFS(st_min,st_date,A423,st_eq,B423,st_po,C423,st_type,"Planifié"),"")</f>
        <v/>
      </c>
      <c r="M423" s="55" t="str">
        <f>IF(ISNUMBER(K423),K423-L423,"")</f>
        <v/>
      </c>
      <c r="N423" s="55" t="str">
        <f>IF(ISNUMBER(K423),SUMIFS(st_min,st_date,A423,st_eq,B423,st_po,C423,st_type,"Non planifié"),"")</f>
        <v/>
      </c>
      <c r="O423" s="55" t="str">
        <f>IF(ISNUMBER(K423),M423-N423,"")</f>
        <v/>
      </c>
      <c r="P423" s="55" t="str">
        <f>IF(COUNTA(A423:I423)=0,"",N(G423)+N(H423)+N(I423))</f>
        <v/>
      </c>
      <c r="Q423" s="56" t="str">
        <f>IF(COUNTA(A423:I423)=0,"",IF(N(IFERROR(INDEX(art_rate,MATCH(E423,art_ref,0)),0))&gt;0,N(IFERROR(INDEX(art_rate,MATCH(E423,art_ref,0)),0)),N(IFERROR(INDEX(po_rate,MATCH(C423,po_code,0)),0))))</f>
        <v/>
      </c>
      <c r="R423" s="55" t="str">
        <f>IF(AC423=1,P423*60/Q423,"")</f>
        <v/>
      </c>
      <c r="S423" s="55" t="str">
        <f>IF(AC423=1,N(G423)*60/Q423,"")</f>
        <v/>
      </c>
      <c r="T423" s="57" t="str">
        <f>IF(AC423=1,O423/M423,"")</f>
        <v/>
      </c>
      <c r="U423" s="57" t="str">
        <f>IF(AC423=1,IF(O423&gt;0,R423/O423,""),"")</f>
        <v/>
      </c>
      <c r="V423" s="57" t="str">
        <f>IF(AC423=1,IF(P423&gt;0,N(G423)/P423,""),"")</f>
        <v/>
      </c>
      <c r="W423" s="57" t="str">
        <f>IF(AC423=1,S423/M423,"")</f>
        <v/>
      </c>
      <c r="X423" s="57" t="str">
        <f>IF(AC423=1,S423/K423,"")</f>
        <v/>
      </c>
      <c r="Y423" s="58" t="str">
        <f>IF(W423="","",IF(W423&gt;=p_target,"Bon",IF(W423&gt;=p_alert,"À surveiller","Faible")))</f>
        <v/>
      </c>
      <c r="Z423" s="58" t="str">
        <f>IF(W423="","",IF(MIN(IF(T423="",1,T423),IF(U423="",1,U423),IF(V423="",1,V423))&gt;=1,"Aucune",IF(IF(T423="",1,T423)&lt;=MIN(IF(U423="",1,U423),IF(V423="",1,V423)),"Disponibilité",IF(IF(U423="",1,U423)&lt;=IF(V423="",1,V423),"Performance","Qualité"))))</f>
        <v/>
      </c>
      <c r="AA423" s="59" t="str">
        <f>IF(AC423=1,N(H423)*N(IFERROR(INDEX(art_cost,MATCH(E423,art_ref,0)),0)),"")</f>
        <v/>
      </c>
      <c r="AB423" s="58" t="str">
        <f>IF(COUNTA(A423:I423)=0,"",IF(N(A423)&lt;=0,"Date manquante ou invalide",IF(B423="","Équipe manquante",IF(ISNA(MATCH(B423,eq_code,0)),"Équipe inconnue",IF(INDEX(eq_check,MATCH(B423,eq_code,0))&lt;&gt;"OK","Équipe à corriger dans Paramètres",IF(C423="","Poste manquant",IF(ISNA(MATCH(C423,po_code,0)),"Poste inconnu",IF(AND(E423&lt;&gt;"",ISNA(MATCH(E423,art_ref,0))),"Article inconnu",IF(IF(E423="",FALSE,INDEX(art_check,MATCH(E423,art_ref,0))&lt;&gt;"OK"),"Article à corriger (feuille Articles)",IF(COUNTIFS(sj_date,A423,sj_eq,B423,sj_po,C423)&gt;1,"Ligne en double (même jour, équipe et poste)",IF(OR(NOT(ISNUMBER(K423)),N(K423)&lt;=0,N(K423)&gt;1440),"Temps d'ouverture invalide",IF(OR(AND(G423&lt;&gt;"",NOT(ISNUMBER(G423))),N(G423)&lt;0,N(G423)&lt;&gt;INT(N(G423)),AND(H423&lt;&gt;"",NOT(ISNUMBER(H423))),N(H423)&lt;0,N(H423)&lt;&gt;INT(N(H423)),AND(I423&lt;&gt;"",NOT(ISNUMBER(I423))),N(I423)&lt;0,N(I423)&lt;&gt;INT(N(I423))),"Quantité invalide",IF(Q423&lt;=0,"Cadence manquante (poste ou article)",IF(M423&lt;=0,"Arrêts planifiés supérieurs au temps d'ouverture",IF(O423&lt;0,"Arrêts supérieurs au temps requis",IF(AND(P423&gt;0,O423=0),"Pièces déclarées sans temps de marche",IF(AND(P423=0,O423&gt;0),"Aucune pièce déclarée",IF(P423*60/Q423&gt;O423+0.001,"Cadence dépassée : vérifiez la cadence","OK"))))))))))))))))))</f>
        <v/>
      </c>
      <c r="AC423">
        <f>IF(OR(AB423="OK",AB423="Aucune pièce déclarée",AB423="Cadence dépassée : vérifiez la cadence"),1,0)</f>
        <v>0.0</v>
      </c>
      <c r="AD423">
        <f>IF(AND(AC423=1,A423&gt;=p_from,A423&lt;=p_to),1,0)</f>
        <v>0.0</v>
      </c>
      <c r="AE423">
        <f>IF(AD423=1,IF(COUNTIFS($A$6:A423,A423,$AD$6:AD423,1)=1,1,0),0)</f>
        <v>0.0</v>
      </c>
      <c r="AF423" t="str">
        <f>IF(AE423=1,COUNTIFS(sj_first,1,sj_date,"&lt;"&amp;A423)+1,"")</f>
        <v/>
      </c>
      <c r="AG423" t="str">
        <f>IF(AND(AD423=1,N(W423)&lt;p_alert),ROUND(W423,4),"")</f>
        <v/>
      </c>
      <c r="AH423" t="str">
        <f>IF(AG423="","",COUNTIF(sj_akey,"&lt;"&amp;AG423)+COUNTIF($AG$6:AG423,AG423))</f>
        <v/>
      </c>
    </row>
    <row r="424">
      <c r="A424" s="51" t="n"/>
      <c r="B424" s="52" t="n"/>
      <c r="C424" s="52" t="n"/>
      <c r="D424" s="53" t="n"/>
      <c r="E424" s="53" t="n"/>
      <c r="F424" s="54" t="n"/>
      <c r="G424" s="54" t="n"/>
      <c r="H424" s="54" t="n"/>
      <c r="I424" s="54" t="n"/>
      <c r="J424" s="53" t="n"/>
      <c r="K424" s="55" t="str">
        <f>IF(COUNTA(A424:I424)=0,"",IF(F424="",IFERROR(INDEX(eq_dur,MATCH(B424,eq_code,0)),""),F424))</f>
        <v/>
      </c>
      <c r="L424" s="55" t="str">
        <f>IF(ISNUMBER(K424),N(IFERROR(INDEX(eq_pause,MATCH(B424,eq_code,0)),0))+SUMIFS(st_min,st_date,A424,st_eq,B424,st_po,C424,st_type,"Planifié"),"")</f>
        <v/>
      </c>
      <c r="M424" s="55" t="str">
        <f>IF(ISNUMBER(K424),K424-L424,"")</f>
        <v/>
      </c>
      <c r="N424" s="55" t="str">
        <f>IF(ISNUMBER(K424),SUMIFS(st_min,st_date,A424,st_eq,B424,st_po,C424,st_type,"Non planifié"),"")</f>
        <v/>
      </c>
      <c r="O424" s="55" t="str">
        <f>IF(ISNUMBER(K424),M424-N424,"")</f>
        <v/>
      </c>
      <c r="P424" s="55" t="str">
        <f>IF(COUNTA(A424:I424)=0,"",N(G424)+N(H424)+N(I424))</f>
        <v/>
      </c>
      <c r="Q424" s="56" t="str">
        <f>IF(COUNTA(A424:I424)=0,"",IF(N(IFERROR(INDEX(art_rate,MATCH(E424,art_ref,0)),0))&gt;0,N(IFERROR(INDEX(art_rate,MATCH(E424,art_ref,0)),0)),N(IFERROR(INDEX(po_rate,MATCH(C424,po_code,0)),0))))</f>
        <v/>
      </c>
      <c r="R424" s="55" t="str">
        <f>IF(AC424=1,P424*60/Q424,"")</f>
        <v/>
      </c>
      <c r="S424" s="55" t="str">
        <f>IF(AC424=1,N(G424)*60/Q424,"")</f>
        <v/>
      </c>
      <c r="T424" s="57" t="str">
        <f>IF(AC424=1,O424/M424,"")</f>
        <v/>
      </c>
      <c r="U424" s="57" t="str">
        <f>IF(AC424=1,IF(O424&gt;0,R424/O424,""),"")</f>
        <v/>
      </c>
      <c r="V424" s="57" t="str">
        <f>IF(AC424=1,IF(P424&gt;0,N(G424)/P424,""),"")</f>
        <v/>
      </c>
      <c r="W424" s="57" t="str">
        <f>IF(AC424=1,S424/M424,"")</f>
        <v/>
      </c>
      <c r="X424" s="57" t="str">
        <f>IF(AC424=1,S424/K424,"")</f>
        <v/>
      </c>
      <c r="Y424" s="58" t="str">
        <f>IF(W424="","",IF(W424&gt;=p_target,"Bon",IF(W424&gt;=p_alert,"À surveiller","Faible")))</f>
        <v/>
      </c>
      <c r="Z424" s="58" t="str">
        <f>IF(W424="","",IF(MIN(IF(T424="",1,T424),IF(U424="",1,U424),IF(V424="",1,V424))&gt;=1,"Aucune",IF(IF(T424="",1,T424)&lt;=MIN(IF(U424="",1,U424),IF(V424="",1,V424)),"Disponibilité",IF(IF(U424="",1,U424)&lt;=IF(V424="",1,V424),"Performance","Qualité"))))</f>
        <v/>
      </c>
      <c r="AA424" s="59" t="str">
        <f>IF(AC424=1,N(H424)*N(IFERROR(INDEX(art_cost,MATCH(E424,art_ref,0)),0)),"")</f>
        <v/>
      </c>
      <c r="AB424" s="58" t="str">
        <f>IF(COUNTA(A424:I424)=0,"",IF(N(A424)&lt;=0,"Date manquante ou invalide",IF(B424="","Équipe manquante",IF(ISNA(MATCH(B424,eq_code,0)),"Équipe inconnue",IF(INDEX(eq_check,MATCH(B424,eq_code,0))&lt;&gt;"OK","Équipe à corriger dans Paramètres",IF(C424="","Poste manquant",IF(ISNA(MATCH(C424,po_code,0)),"Poste inconnu",IF(AND(E424&lt;&gt;"",ISNA(MATCH(E424,art_ref,0))),"Article inconnu",IF(IF(E424="",FALSE,INDEX(art_check,MATCH(E424,art_ref,0))&lt;&gt;"OK"),"Article à corriger (feuille Articles)",IF(COUNTIFS(sj_date,A424,sj_eq,B424,sj_po,C424)&gt;1,"Ligne en double (même jour, équipe et poste)",IF(OR(NOT(ISNUMBER(K424)),N(K424)&lt;=0,N(K424)&gt;1440),"Temps d'ouverture invalide",IF(OR(AND(G424&lt;&gt;"",NOT(ISNUMBER(G424))),N(G424)&lt;0,N(G424)&lt;&gt;INT(N(G424)),AND(H424&lt;&gt;"",NOT(ISNUMBER(H424))),N(H424)&lt;0,N(H424)&lt;&gt;INT(N(H424)),AND(I424&lt;&gt;"",NOT(ISNUMBER(I424))),N(I424)&lt;0,N(I424)&lt;&gt;INT(N(I424))),"Quantité invalide",IF(Q424&lt;=0,"Cadence manquante (poste ou article)",IF(M424&lt;=0,"Arrêts planifiés supérieurs au temps d'ouverture",IF(O424&lt;0,"Arrêts supérieurs au temps requis",IF(AND(P424&gt;0,O424=0),"Pièces déclarées sans temps de marche",IF(AND(P424=0,O424&gt;0),"Aucune pièce déclarée",IF(P424*60/Q424&gt;O424+0.001,"Cadence dépassée : vérifiez la cadence","OK"))))))))))))))))))</f>
        <v/>
      </c>
      <c r="AC424">
        <f>IF(OR(AB424="OK",AB424="Aucune pièce déclarée",AB424="Cadence dépassée : vérifiez la cadence"),1,0)</f>
        <v>0.0</v>
      </c>
      <c r="AD424">
        <f>IF(AND(AC424=1,A424&gt;=p_from,A424&lt;=p_to),1,0)</f>
        <v>0.0</v>
      </c>
      <c r="AE424">
        <f>IF(AD424=1,IF(COUNTIFS($A$6:A424,A424,$AD$6:AD424,1)=1,1,0),0)</f>
        <v>0.0</v>
      </c>
      <c r="AF424" t="str">
        <f>IF(AE424=1,COUNTIFS(sj_first,1,sj_date,"&lt;"&amp;A424)+1,"")</f>
        <v/>
      </c>
      <c r="AG424" t="str">
        <f>IF(AND(AD424=1,N(W424)&lt;p_alert),ROUND(W424,4),"")</f>
        <v/>
      </c>
      <c r="AH424" t="str">
        <f>IF(AG424="","",COUNTIF(sj_akey,"&lt;"&amp;AG424)+COUNTIF($AG$6:AG424,AG424))</f>
        <v/>
      </c>
    </row>
    <row r="425">
      <c r="A425" s="51" t="n"/>
      <c r="B425" s="52" t="n"/>
      <c r="C425" s="52" t="n"/>
      <c r="D425" s="53" t="n"/>
      <c r="E425" s="53" t="n"/>
      <c r="F425" s="54" t="n"/>
      <c r="G425" s="54" t="n"/>
      <c r="H425" s="54" t="n"/>
      <c r="I425" s="54" t="n"/>
      <c r="J425" s="53" t="n"/>
      <c r="K425" s="55" t="str">
        <f>IF(COUNTA(A425:I425)=0,"",IF(F425="",IFERROR(INDEX(eq_dur,MATCH(B425,eq_code,0)),""),F425))</f>
        <v/>
      </c>
      <c r="L425" s="55" t="str">
        <f>IF(ISNUMBER(K425),N(IFERROR(INDEX(eq_pause,MATCH(B425,eq_code,0)),0))+SUMIFS(st_min,st_date,A425,st_eq,B425,st_po,C425,st_type,"Planifié"),"")</f>
        <v/>
      </c>
      <c r="M425" s="55" t="str">
        <f>IF(ISNUMBER(K425),K425-L425,"")</f>
        <v/>
      </c>
      <c r="N425" s="55" t="str">
        <f>IF(ISNUMBER(K425),SUMIFS(st_min,st_date,A425,st_eq,B425,st_po,C425,st_type,"Non planifié"),"")</f>
        <v/>
      </c>
      <c r="O425" s="55" t="str">
        <f>IF(ISNUMBER(K425),M425-N425,"")</f>
        <v/>
      </c>
      <c r="P425" s="55" t="str">
        <f>IF(COUNTA(A425:I425)=0,"",N(G425)+N(H425)+N(I425))</f>
        <v/>
      </c>
      <c r="Q425" s="56" t="str">
        <f>IF(COUNTA(A425:I425)=0,"",IF(N(IFERROR(INDEX(art_rate,MATCH(E425,art_ref,0)),0))&gt;0,N(IFERROR(INDEX(art_rate,MATCH(E425,art_ref,0)),0)),N(IFERROR(INDEX(po_rate,MATCH(C425,po_code,0)),0))))</f>
        <v/>
      </c>
      <c r="R425" s="55" t="str">
        <f>IF(AC425=1,P425*60/Q425,"")</f>
        <v/>
      </c>
      <c r="S425" s="55" t="str">
        <f>IF(AC425=1,N(G425)*60/Q425,"")</f>
        <v/>
      </c>
      <c r="T425" s="57" t="str">
        <f>IF(AC425=1,O425/M425,"")</f>
        <v/>
      </c>
      <c r="U425" s="57" t="str">
        <f>IF(AC425=1,IF(O425&gt;0,R425/O425,""),"")</f>
        <v/>
      </c>
      <c r="V425" s="57" t="str">
        <f>IF(AC425=1,IF(P425&gt;0,N(G425)/P425,""),"")</f>
        <v/>
      </c>
      <c r="W425" s="57" t="str">
        <f>IF(AC425=1,S425/M425,"")</f>
        <v/>
      </c>
      <c r="X425" s="57" t="str">
        <f>IF(AC425=1,S425/K425,"")</f>
        <v/>
      </c>
      <c r="Y425" s="58" t="str">
        <f>IF(W425="","",IF(W425&gt;=p_target,"Bon",IF(W425&gt;=p_alert,"À surveiller","Faible")))</f>
        <v/>
      </c>
      <c r="Z425" s="58" t="str">
        <f>IF(W425="","",IF(MIN(IF(T425="",1,T425),IF(U425="",1,U425),IF(V425="",1,V425))&gt;=1,"Aucune",IF(IF(T425="",1,T425)&lt;=MIN(IF(U425="",1,U425),IF(V425="",1,V425)),"Disponibilité",IF(IF(U425="",1,U425)&lt;=IF(V425="",1,V425),"Performance","Qualité"))))</f>
        <v/>
      </c>
      <c r="AA425" s="59" t="str">
        <f>IF(AC425=1,N(H425)*N(IFERROR(INDEX(art_cost,MATCH(E425,art_ref,0)),0)),"")</f>
        <v/>
      </c>
      <c r="AB425" s="58" t="str">
        <f>IF(COUNTA(A425:I425)=0,"",IF(N(A425)&lt;=0,"Date manquante ou invalide",IF(B425="","Équipe manquante",IF(ISNA(MATCH(B425,eq_code,0)),"Équipe inconnue",IF(INDEX(eq_check,MATCH(B425,eq_code,0))&lt;&gt;"OK","Équipe à corriger dans Paramètres",IF(C425="","Poste manquant",IF(ISNA(MATCH(C425,po_code,0)),"Poste inconnu",IF(AND(E425&lt;&gt;"",ISNA(MATCH(E425,art_ref,0))),"Article inconnu",IF(IF(E425="",FALSE,INDEX(art_check,MATCH(E425,art_ref,0))&lt;&gt;"OK"),"Article à corriger (feuille Articles)",IF(COUNTIFS(sj_date,A425,sj_eq,B425,sj_po,C425)&gt;1,"Ligne en double (même jour, équipe et poste)",IF(OR(NOT(ISNUMBER(K425)),N(K425)&lt;=0,N(K425)&gt;1440),"Temps d'ouverture invalide",IF(OR(AND(G425&lt;&gt;"",NOT(ISNUMBER(G425))),N(G425)&lt;0,N(G425)&lt;&gt;INT(N(G425)),AND(H425&lt;&gt;"",NOT(ISNUMBER(H425))),N(H425)&lt;0,N(H425)&lt;&gt;INT(N(H425)),AND(I425&lt;&gt;"",NOT(ISNUMBER(I425))),N(I425)&lt;0,N(I425)&lt;&gt;INT(N(I425))),"Quantité invalide",IF(Q425&lt;=0,"Cadence manquante (poste ou article)",IF(M425&lt;=0,"Arrêts planifiés supérieurs au temps d'ouverture",IF(O425&lt;0,"Arrêts supérieurs au temps requis",IF(AND(P425&gt;0,O425=0),"Pièces déclarées sans temps de marche",IF(AND(P425=0,O425&gt;0),"Aucune pièce déclarée",IF(P425*60/Q425&gt;O425+0.001,"Cadence dépassée : vérifiez la cadence","OK"))))))))))))))))))</f>
        <v/>
      </c>
      <c r="AC425">
        <f>IF(OR(AB425="OK",AB425="Aucune pièce déclarée",AB425="Cadence dépassée : vérifiez la cadence"),1,0)</f>
        <v>0.0</v>
      </c>
      <c r="AD425">
        <f>IF(AND(AC425=1,A425&gt;=p_from,A425&lt;=p_to),1,0)</f>
        <v>0.0</v>
      </c>
      <c r="AE425">
        <f>IF(AD425=1,IF(COUNTIFS($A$6:A425,A425,$AD$6:AD425,1)=1,1,0),0)</f>
        <v>0.0</v>
      </c>
      <c r="AF425" t="str">
        <f>IF(AE425=1,COUNTIFS(sj_first,1,sj_date,"&lt;"&amp;A425)+1,"")</f>
        <v/>
      </c>
      <c r="AG425" t="str">
        <f>IF(AND(AD425=1,N(W425)&lt;p_alert),ROUND(W425,4),"")</f>
        <v/>
      </c>
      <c r="AH425" t="str">
        <f>IF(AG425="","",COUNTIF(sj_akey,"&lt;"&amp;AG425)+COUNTIF($AG$6:AG425,AG425))</f>
        <v/>
      </c>
    </row>
    <row r="426">
      <c r="A426" s="51" t="n"/>
      <c r="B426" s="52" t="n"/>
      <c r="C426" s="52" t="n"/>
      <c r="D426" s="53" t="n"/>
      <c r="E426" s="53" t="n"/>
      <c r="F426" s="54" t="n"/>
      <c r="G426" s="54" t="n"/>
      <c r="H426" s="54" t="n"/>
      <c r="I426" s="54" t="n"/>
      <c r="J426" s="53" t="n"/>
      <c r="K426" s="55" t="str">
        <f>IF(COUNTA(A426:I426)=0,"",IF(F426="",IFERROR(INDEX(eq_dur,MATCH(B426,eq_code,0)),""),F426))</f>
        <v/>
      </c>
      <c r="L426" s="55" t="str">
        <f>IF(ISNUMBER(K426),N(IFERROR(INDEX(eq_pause,MATCH(B426,eq_code,0)),0))+SUMIFS(st_min,st_date,A426,st_eq,B426,st_po,C426,st_type,"Planifié"),"")</f>
        <v/>
      </c>
      <c r="M426" s="55" t="str">
        <f>IF(ISNUMBER(K426),K426-L426,"")</f>
        <v/>
      </c>
      <c r="N426" s="55" t="str">
        <f>IF(ISNUMBER(K426),SUMIFS(st_min,st_date,A426,st_eq,B426,st_po,C426,st_type,"Non planifié"),"")</f>
        <v/>
      </c>
      <c r="O426" s="55" t="str">
        <f>IF(ISNUMBER(K426),M426-N426,"")</f>
        <v/>
      </c>
      <c r="P426" s="55" t="str">
        <f>IF(COUNTA(A426:I426)=0,"",N(G426)+N(H426)+N(I426))</f>
        <v/>
      </c>
      <c r="Q426" s="56" t="str">
        <f>IF(COUNTA(A426:I426)=0,"",IF(N(IFERROR(INDEX(art_rate,MATCH(E426,art_ref,0)),0))&gt;0,N(IFERROR(INDEX(art_rate,MATCH(E426,art_ref,0)),0)),N(IFERROR(INDEX(po_rate,MATCH(C426,po_code,0)),0))))</f>
        <v/>
      </c>
      <c r="R426" s="55" t="str">
        <f>IF(AC426=1,P426*60/Q426,"")</f>
        <v/>
      </c>
      <c r="S426" s="55" t="str">
        <f>IF(AC426=1,N(G426)*60/Q426,"")</f>
        <v/>
      </c>
      <c r="T426" s="57" t="str">
        <f>IF(AC426=1,O426/M426,"")</f>
        <v/>
      </c>
      <c r="U426" s="57" t="str">
        <f>IF(AC426=1,IF(O426&gt;0,R426/O426,""),"")</f>
        <v/>
      </c>
      <c r="V426" s="57" t="str">
        <f>IF(AC426=1,IF(P426&gt;0,N(G426)/P426,""),"")</f>
        <v/>
      </c>
      <c r="W426" s="57" t="str">
        <f>IF(AC426=1,S426/M426,"")</f>
        <v/>
      </c>
      <c r="X426" s="57" t="str">
        <f>IF(AC426=1,S426/K426,"")</f>
        <v/>
      </c>
      <c r="Y426" s="58" t="str">
        <f>IF(W426="","",IF(W426&gt;=p_target,"Bon",IF(W426&gt;=p_alert,"À surveiller","Faible")))</f>
        <v/>
      </c>
      <c r="Z426" s="58" t="str">
        <f>IF(W426="","",IF(MIN(IF(T426="",1,T426),IF(U426="",1,U426),IF(V426="",1,V426))&gt;=1,"Aucune",IF(IF(T426="",1,T426)&lt;=MIN(IF(U426="",1,U426),IF(V426="",1,V426)),"Disponibilité",IF(IF(U426="",1,U426)&lt;=IF(V426="",1,V426),"Performance","Qualité"))))</f>
        <v/>
      </c>
      <c r="AA426" s="59" t="str">
        <f>IF(AC426=1,N(H426)*N(IFERROR(INDEX(art_cost,MATCH(E426,art_ref,0)),0)),"")</f>
        <v/>
      </c>
      <c r="AB426" s="58" t="str">
        <f>IF(COUNTA(A426:I426)=0,"",IF(N(A426)&lt;=0,"Date manquante ou invalide",IF(B426="","Équipe manquante",IF(ISNA(MATCH(B426,eq_code,0)),"Équipe inconnue",IF(INDEX(eq_check,MATCH(B426,eq_code,0))&lt;&gt;"OK","Équipe à corriger dans Paramètres",IF(C426="","Poste manquant",IF(ISNA(MATCH(C426,po_code,0)),"Poste inconnu",IF(AND(E426&lt;&gt;"",ISNA(MATCH(E426,art_ref,0))),"Article inconnu",IF(IF(E426="",FALSE,INDEX(art_check,MATCH(E426,art_ref,0))&lt;&gt;"OK"),"Article à corriger (feuille Articles)",IF(COUNTIFS(sj_date,A426,sj_eq,B426,sj_po,C426)&gt;1,"Ligne en double (même jour, équipe et poste)",IF(OR(NOT(ISNUMBER(K426)),N(K426)&lt;=0,N(K426)&gt;1440),"Temps d'ouverture invalide",IF(OR(AND(G426&lt;&gt;"",NOT(ISNUMBER(G426))),N(G426)&lt;0,N(G426)&lt;&gt;INT(N(G426)),AND(H426&lt;&gt;"",NOT(ISNUMBER(H426))),N(H426)&lt;0,N(H426)&lt;&gt;INT(N(H426)),AND(I426&lt;&gt;"",NOT(ISNUMBER(I426))),N(I426)&lt;0,N(I426)&lt;&gt;INT(N(I426))),"Quantité invalide",IF(Q426&lt;=0,"Cadence manquante (poste ou article)",IF(M426&lt;=0,"Arrêts planifiés supérieurs au temps d'ouverture",IF(O426&lt;0,"Arrêts supérieurs au temps requis",IF(AND(P426&gt;0,O426=0),"Pièces déclarées sans temps de marche",IF(AND(P426=0,O426&gt;0),"Aucune pièce déclarée",IF(P426*60/Q426&gt;O426+0.001,"Cadence dépassée : vérifiez la cadence","OK"))))))))))))))))))</f>
        <v/>
      </c>
      <c r="AC426">
        <f>IF(OR(AB426="OK",AB426="Aucune pièce déclarée",AB426="Cadence dépassée : vérifiez la cadence"),1,0)</f>
        <v>0.0</v>
      </c>
      <c r="AD426">
        <f>IF(AND(AC426=1,A426&gt;=p_from,A426&lt;=p_to),1,0)</f>
        <v>0.0</v>
      </c>
      <c r="AE426">
        <f>IF(AD426=1,IF(COUNTIFS($A$6:A426,A426,$AD$6:AD426,1)=1,1,0),0)</f>
        <v>0.0</v>
      </c>
      <c r="AF426" t="str">
        <f>IF(AE426=1,COUNTIFS(sj_first,1,sj_date,"&lt;"&amp;A426)+1,"")</f>
        <v/>
      </c>
      <c r="AG426" t="str">
        <f>IF(AND(AD426=1,N(W426)&lt;p_alert),ROUND(W426,4),"")</f>
        <v/>
      </c>
      <c r="AH426" t="str">
        <f>IF(AG426="","",COUNTIF(sj_akey,"&lt;"&amp;AG426)+COUNTIF($AG$6:AG426,AG426))</f>
        <v/>
      </c>
    </row>
    <row r="427">
      <c r="A427" s="51" t="n"/>
      <c r="B427" s="52" t="n"/>
      <c r="C427" s="52" t="n"/>
      <c r="D427" s="53" t="n"/>
      <c r="E427" s="53" t="n"/>
      <c r="F427" s="54" t="n"/>
      <c r="G427" s="54" t="n"/>
      <c r="H427" s="54" t="n"/>
      <c r="I427" s="54" t="n"/>
      <c r="J427" s="53" t="n"/>
      <c r="K427" s="55" t="str">
        <f>IF(COUNTA(A427:I427)=0,"",IF(F427="",IFERROR(INDEX(eq_dur,MATCH(B427,eq_code,0)),""),F427))</f>
        <v/>
      </c>
      <c r="L427" s="55" t="str">
        <f>IF(ISNUMBER(K427),N(IFERROR(INDEX(eq_pause,MATCH(B427,eq_code,0)),0))+SUMIFS(st_min,st_date,A427,st_eq,B427,st_po,C427,st_type,"Planifié"),"")</f>
        <v/>
      </c>
      <c r="M427" s="55" t="str">
        <f>IF(ISNUMBER(K427),K427-L427,"")</f>
        <v/>
      </c>
      <c r="N427" s="55" t="str">
        <f>IF(ISNUMBER(K427),SUMIFS(st_min,st_date,A427,st_eq,B427,st_po,C427,st_type,"Non planifié"),"")</f>
        <v/>
      </c>
      <c r="O427" s="55" t="str">
        <f>IF(ISNUMBER(K427),M427-N427,"")</f>
        <v/>
      </c>
      <c r="P427" s="55" t="str">
        <f>IF(COUNTA(A427:I427)=0,"",N(G427)+N(H427)+N(I427))</f>
        <v/>
      </c>
      <c r="Q427" s="56" t="str">
        <f>IF(COUNTA(A427:I427)=0,"",IF(N(IFERROR(INDEX(art_rate,MATCH(E427,art_ref,0)),0))&gt;0,N(IFERROR(INDEX(art_rate,MATCH(E427,art_ref,0)),0)),N(IFERROR(INDEX(po_rate,MATCH(C427,po_code,0)),0))))</f>
        <v/>
      </c>
      <c r="R427" s="55" t="str">
        <f>IF(AC427=1,P427*60/Q427,"")</f>
        <v/>
      </c>
      <c r="S427" s="55" t="str">
        <f>IF(AC427=1,N(G427)*60/Q427,"")</f>
        <v/>
      </c>
      <c r="T427" s="57" t="str">
        <f>IF(AC427=1,O427/M427,"")</f>
        <v/>
      </c>
      <c r="U427" s="57" t="str">
        <f>IF(AC427=1,IF(O427&gt;0,R427/O427,""),"")</f>
        <v/>
      </c>
      <c r="V427" s="57" t="str">
        <f>IF(AC427=1,IF(P427&gt;0,N(G427)/P427,""),"")</f>
        <v/>
      </c>
      <c r="W427" s="57" t="str">
        <f>IF(AC427=1,S427/M427,"")</f>
        <v/>
      </c>
      <c r="X427" s="57" t="str">
        <f>IF(AC427=1,S427/K427,"")</f>
        <v/>
      </c>
      <c r="Y427" s="58" t="str">
        <f>IF(W427="","",IF(W427&gt;=p_target,"Bon",IF(W427&gt;=p_alert,"À surveiller","Faible")))</f>
        <v/>
      </c>
      <c r="Z427" s="58" t="str">
        <f>IF(W427="","",IF(MIN(IF(T427="",1,T427),IF(U427="",1,U427),IF(V427="",1,V427))&gt;=1,"Aucune",IF(IF(T427="",1,T427)&lt;=MIN(IF(U427="",1,U427),IF(V427="",1,V427)),"Disponibilité",IF(IF(U427="",1,U427)&lt;=IF(V427="",1,V427),"Performance","Qualité"))))</f>
        <v/>
      </c>
      <c r="AA427" s="59" t="str">
        <f>IF(AC427=1,N(H427)*N(IFERROR(INDEX(art_cost,MATCH(E427,art_ref,0)),0)),"")</f>
        <v/>
      </c>
      <c r="AB427" s="58" t="str">
        <f>IF(COUNTA(A427:I427)=0,"",IF(N(A427)&lt;=0,"Date manquante ou invalide",IF(B427="","Équipe manquante",IF(ISNA(MATCH(B427,eq_code,0)),"Équipe inconnue",IF(INDEX(eq_check,MATCH(B427,eq_code,0))&lt;&gt;"OK","Équipe à corriger dans Paramètres",IF(C427="","Poste manquant",IF(ISNA(MATCH(C427,po_code,0)),"Poste inconnu",IF(AND(E427&lt;&gt;"",ISNA(MATCH(E427,art_ref,0))),"Article inconnu",IF(IF(E427="",FALSE,INDEX(art_check,MATCH(E427,art_ref,0))&lt;&gt;"OK"),"Article à corriger (feuille Articles)",IF(COUNTIFS(sj_date,A427,sj_eq,B427,sj_po,C427)&gt;1,"Ligne en double (même jour, équipe et poste)",IF(OR(NOT(ISNUMBER(K427)),N(K427)&lt;=0,N(K427)&gt;1440),"Temps d'ouverture invalide",IF(OR(AND(G427&lt;&gt;"",NOT(ISNUMBER(G427))),N(G427)&lt;0,N(G427)&lt;&gt;INT(N(G427)),AND(H427&lt;&gt;"",NOT(ISNUMBER(H427))),N(H427)&lt;0,N(H427)&lt;&gt;INT(N(H427)),AND(I427&lt;&gt;"",NOT(ISNUMBER(I427))),N(I427)&lt;0,N(I427)&lt;&gt;INT(N(I427))),"Quantité invalide",IF(Q427&lt;=0,"Cadence manquante (poste ou article)",IF(M427&lt;=0,"Arrêts planifiés supérieurs au temps d'ouverture",IF(O427&lt;0,"Arrêts supérieurs au temps requis",IF(AND(P427&gt;0,O427=0),"Pièces déclarées sans temps de marche",IF(AND(P427=0,O427&gt;0),"Aucune pièce déclarée",IF(P427*60/Q427&gt;O427+0.001,"Cadence dépassée : vérifiez la cadence","OK"))))))))))))))))))</f>
        <v/>
      </c>
      <c r="AC427">
        <f>IF(OR(AB427="OK",AB427="Aucune pièce déclarée",AB427="Cadence dépassée : vérifiez la cadence"),1,0)</f>
        <v>0.0</v>
      </c>
      <c r="AD427">
        <f>IF(AND(AC427=1,A427&gt;=p_from,A427&lt;=p_to),1,0)</f>
        <v>0.0</v>
      </c>
      <c r="AE427">
        <f>IF(AD427=1,IF(COUNTIFS($A$6:A427,A427,$AD$6:AD427,1)=1,1,0),0)</f>
        <v>0.0</v>
      </c>
      <c r="AF427" t="str">
        <f>IF(AE427=1,COUNTIFS(sj_first,1,sj_date,"&lt;"&amp;A427)+1,"")</f>
        <v/>
      </c>
      <c r="AG427" t="str">
        <f>IF(AND(AD427=1,N(W427)&lt;p_alert),ROUND(W427,4),"")</f>
        <v/>
      </c>
      <c r="AH427" t="str">
        <f>IF(AG427="","",COUNTIF(sj_akey,"&lt;"&amp;AG427)+COUNTIF($AG$6:AG427,AG427))</f>
        <v/>
      </c>
    </row>
    <row r="428">
      <c r="A428" s="51" t="n"/>
      <c r="B428" s="52" t="n"/>
      <c r="C428" s="52" t="n"/>
      <c r="D428" s="53" t="n"/>
      <c r="E428" s="53" t="n"/>
      <c r="F428" s="54" t="n"/>
      <c r="G428" s="54" t="n"/>
      <c r="H428" s="54" t="n"/>
      <c r="I428" s="54" t="n"/>
      <c r="J428" s="53" t="n"/>
      <c r="K428" s="55" t="str">
        <f>IF(COUNTA(A428:I428)=0,"",IF(F428="",IFERROR(INDEX(eq_dur,MATCH(B428,eq_code,0)),""),F428))</f>
        <v/>
      </c>
      <c r="L428" s="55" t="str">
        <f>IF(ISNUMBER(K428),N(IFERROR(INDEX(eq_pause,MATCH(B428,eq_code,0)),0))+SUMIFS(st_min,st_date,A428,st_eq,B428,st_po,C428,st_type,"Planifié"),"")</f>
        <v/>
      </c>
      <c r="M428" s="55" t="str">
        <f>IF(ISNUMBER(K428),K428-L428,"")</f>
        <v/>
      </c>
      <c r="N428" s="55" t="str">
        <f>IF(ISNUMBER(K428),SUMIFS(st_min,st_date,A428,st_eq,B428,st_po,C428,st_type,"Non planifié"),"")</f>
        <v/>
      </c>
      <c r="O428" s="55" t="str">
        <f>IF(ISNUMBER(K428),M428-N428,"")</f>
        <v/>
      </c>
      <c r="P428" s="55" t="str">
        <f>IF(COUNTA(A428:I428)=0,"",N(G428)+N(H428)+N(I428))</f>
        <v/>
      </c>
      <c r="Q428" s="56" t="str">
        <f>IF(COUNTA(A428:I428)=0,"",IF(N(IFERROR(INDEX(art_rate,MATCH(E428,art_ref,0)),0))&gt;0,N(IFERROR(INDEX(art_rate,MATCH(E428,art_ref,0)),0)),N(IFERROR(INDEX(po_rate,MATCH(C428,po_code,0)),0))))</f>
        <v/>
      </c>
      <c r="R428" s="55" t="str">
        <f>IF(AC428=1,P428*60/Q428,"")</f>
        <v/>
      </c>
      <c r="S428" s="55" t="str">
        <f>IF(AC428=1,N(G428)*60/Q428,"")</f>
        <v/>
      </c>
      <c r="T428" s="57" t="str">
        <f>IF(AC428=1,O428/M428,"")</f>
        <v/>
      </c>
      <c r="U428" s="57" t="str">
        <f>IF(AC428=1,IF(O428&gt;0,R428/O428,""),"")</f>
        <v/>
      </c>
      <c r="V428" s="57" t="str">
        <f>IF(AC428=1,IF(P428&gt;0,N(G428)/P428,""),"")</f>
        <v/>
      </c>
      <c r="W428" s="57" t="str">
        <f>IF(AC428=1,S428/M428,"")</f>
        <v/>
      </c>
      <c r="X428" s="57" t="str">
        <f>IF(AC428=1,S428/K428,"")</f>
        <v/>
      </c>
      <c r="Y428" s="58" t="str">
        <f>IF(W428="","",IF(W428&gt;=p_target,"Bon",IF(W428&gt;=p_alert,"À surveiller","Faible")))</f>
        <v/>
      </c>
      <c r="Z428" s="58" t="str">
        <f>IF(W428="","",IF(MIN(IF(T428="",1,T428),IF(U428="",1,U428),IF(V428="",1,V428))&gt;=1,"Aucune",IF(IF(T428="",1,T428)&lt;=MIN(IF(U428="",1,U428),IF(V428="",1,V428)),"Disponibilité",IF(IF(U428="",1,U428)&lt;=IF(V428="",1,V428),"Performance","Qualité"))))</f>
        <v/>
      </c>
      <c r="AA428" s="59" t="str">
        <f>IF(AC428=1,N(H428)*N(IFERROR(INDEX(art_cost,MATCH(E428,art_ref,0)),0)),"")</f>
        <v/>
      </c>
      <c r="AB428" s="58" t="str">
        <f>IF(COUNTA(A428:I428)=0,"",IF(N(A428)&lt;=0,"Date manquante ou invalide",IF(B428="","Équipe manquante",IF(ISNA(MATCH(B428,eq_code,0)),"Équipe inconnue",IF(INDEX(eq_check,MATCH(B428,eq_code,0))&lt;&gt;"OK","Équipe à corriger dans Paramètres",IF(C428="","Poste manquant",IF(ISNA(MATCH(C428,po_code,0)),"Poste inconnu",IF(AND(E428&lt;&gt;"",ISNA(MATCH(E428,art_ref,0))),"Article inconnu",IF(IF(E428="",FALSE,INDEX(art_check,MATCH(E428,art_ref,0))&lt;&gt;"OK"),"Article à corriger (feuille Articles)",IF(COUNTIFS(sj_date,A428,sj_eq,B428,sj_po,C428)&gt;1,"Ligne en double (même jour, équipe et poste)",IF(OR(NOT(ISNUMBER(K428)),N(K428)&lt;=0,N(K428)&gt;1440),"Temps d'ouverture invalide",IF(OR(AND(G428&lt;&gt;"",NOT(ISNUMBER(G428))),N(G428)&lt;0,N(G428)&lt;&gt;INT(N(G428)),AND(H428&lt;&gt;"",NOT(ISNUMBER(H428))),N(H428)&lt;0,N(H428)&lt;&gt;INT(N(H428)),AND(I428&lt;&gt;"",NOT(ISNUMBER(I428))),N(I428)&lt;0,N(I428)&lt;&gt;INT(N(I428))),"Quantité invalide",IF(Q428&lt;=0,"Cadence manquante (poste ou article)",IF(M428&lt;=0,"Arrêts planifiés supérieurs au temps d'ouverture",IF(O428&lt;0,"Arrêts supérieurs au temps requis",IF(AND(P428&gt;0,O428=0),"Pièces déclarées sans temps de marche",IF(AND(P428=0,O428&gt;0),"Aucune pièce déclarée",IF(P428*60/Q428&gt;O428+0.001,"Cadence dépassée : vérifiez la cadence","OK"))))))))))))))))))</f>
        <v/>
      </c>
      <c r="AC428">
        <f>IF(OR(AB428="OK",AB428="Aucune pièce déclarée",AB428="Cadence dépassée : vérifiez la cadence"),1,0)</f>
        <v>0.0</v>
      </c>
      <c r="AD428">
        <f>IF(AND(AC428=1,A428&gt;=p_from,A428&lt;=p_to),1,0)</f>
        <v>0.0</v>
      </c>
      <c r="AE428">
        <f>IF(AD428=1,IF(COUNTIFS($A$6:A428,A428,$AD$6:AD428,1)=1,1,0),0)</f>
        <v>0.0</v>
      </c>
      <c r="AF428" t="str">
        <f>IF(AE428=1,COUNTIFS(sj_first,1,sj_date,"&lt;"&amp;A428)+1,"")</f>
        <v/>
      </c>
      <c r="AG428" t="str">
        <f>IF(AND(AD428=1,N(W428)&lt;p_alert),ROUND(W428,4),"")</f>
        <v/>
      </c>
      <c r="AH428" t="str">
        <f>IF(AG428="","",COUNTIF(sj_akey,"&lt;"&amp;AG428)+COUNTIF($AG$6:AG428,AG428))</f>
        <v/>
      </c>
    </row>
    <row r="429">
      <c r="A429" s="51" t="n"/>
      <c r="B429" s="52" t="n"/>
      <c r="C429" s="52" t="n"/>
      <c r="D429" s="53" t="n"/>
      <c r="E429" s="53" t="n"/>
      <c r="F429" s="54" t="n"/>
      <c r="G429" s="54" t="n"/>
      <c r="H429" s="54" t="n"/>
      <c r="I429" s="54" t="n"/>
      <c r="J429" s="53" t="n"/>
      <c r="K429" s="55" t="str">
        <f>IF(COUNTA(A429:I429)=0,"",IF(F429="",IFERROR(INDEX(eq_dur,MATCH(B429,eq_code,0)),""),F429))</f>
        <v/>
      </c>
      <c r="L429" s="55" t="str">
        <f>IF(ISNUMBER(K429),N(IFERROR(INDEX(eq_pause,MATCH(B429,eq_code,0)),0))+SUMIFS(st_min,st_date,A429,st_eq,B429,st_po,C429,st_type,"Planifié"),"")</f>
        <v/>
      </c>
      <c r="M429" s="55" t="str">
        <f>IF(ISNUMBER(K429),K429-L429,"")</f>
        <v/>
      </c>
      <c r="N429" s="55" t="str">
        <f>IF(ISNUMBER(K429),SUMIFS(st_min,st_date,A429,st_eq,B429,st_po,C429,st_type,"Non planifié"),"")</f>
        <v/>
      </c>
      <c r="O429" s="55" t="str">
        <f>IF(ISNUMBER(K429),M429-N429,"")</f>
        <v/>
      </c>
      <c r="P429" s="55" t="str">
        <f>IF(COUNTA(A429:I429)=0,"",N(G429)+N(H429)+N(I429))</f>
        <v/>
      </c>
      <c r="Q429" s="56" t="str">
        <f>IF(COUNTA(A429:I429)=0,"",IF(N(IFERROR(INDEX(art_rate,MATCH(E429,art_ref,0)),0))&gt;0,N(IFERROR(INDEX(art_rate,MATCH(E429,art_ref,0)),0)),N(IFERROR(INDEX(po_rate,MATCH(C429,po_code,0)),0))))</f>
        <v/>
      </c>
      <c r="R429" s="55" t="str">
        <f>IF(AC429=1,P429*60/Q429,"")</f>
        <v/>
      </c>
      <c r="S429" s="55" t="str">
        <f>IF(AC429=1,N(G429)*60/Q429,"")</f>
        <v/>
      </c>
      <c r="T429" s="57" t="str">
        <f>IF(AC429=1,O429/M429,"")</f>
        <v/>
      </c>
      <c r="U429" s="57" t="str">
        <f>IF(AC429=1,IF(O429&gt;0,R429/O429,""),"")</f>
        <v/>
      </c>
      <c r="V429" s="57" t="str">
        <f>IF(AC429=1,IF(P429&gt;0,N(G429)/P429,""),"")</f>
        <v/>
      </c>
      <c r="W429" s="57" t="str">
        <f>IF(AC429=1,S429/M429,"")</f>
        <v/>
      </c>
      <c r="X429" s="57" t="str">
        <f>IF(AC429=1,S429/K429,"")</f>
        <v/>
      </c>
      <c r="Y429" s="58" t="str">
        <f>IF(W429="","",IF(W429&gt;=p_target,"Bon",IF(W429&gt;=p_alert,"À surveiller","Faible")))</f>
        <v/>
      </c>
      <c r="Z429" s="58" t="str">
        <f>IF(W429="","",IF(MIN(IF(T429="",1,T429),IF(U429="",1,U429),IF(V429="",1,V429))&gt;=1,"Aucune",IF(IF(T429="",1,T429)&lt;=MIN(IF(U429="",1,U429),IF(V429="",1,V429)),"Disponibilité",IF(IF(U429="",1,U429)&lt;=IF(V429="",1,V429),"Performance","Qualité"))))</f>
        <v/>
      </c>
      <c r="AA429" s="59" t="str">
        <f>IF(AC429=1,N(H429)*N(IFERROR(INDEX(art_cost,MATCH(E429,art_ref,0)),0)),"")</f>
        <v/>
      </c>
      <c r="AB429" s="58" t="str">
        <f>IF(COUNTA(A429:I429)=0,"",IF(N(A429)&lt;=0,"Date manquante ou invalide",IF(B429="","Équipe manquante",IF(ISNA(MATCH(B429,eq_code,0)),"Équipe inconnue",IF(INDEX(eq_check,MATCH(B429,eq_code,0))&lt;&gt;"OK","Équipe à corriger dans Paramètres",IF(C429="","Poste manquant",IF(ISNA(MATCH(C429,po_code,0)),"Poste inconnu",IF(AND(E429&lt;&gt;"",ISNA(MATCH(E429,art_ref,0))),"Article inconnu",IF(IF(E429="",FALSE,INDEX(art_check,MATCH(E429,art_ref,0))&lt;&gt;"OK"),"Article à corriger (feuille Articles)",IF(COUNTIFS(sj_date,A429,sj_eq,B429,sj_po,C429)&gt;1,"Ligne en double (même jour, équipe et poste)",IF(OR(NOT(ISNUMBER(K429)),N(K429)&lt;=0,N(K429)&gt;1440),"Temps d'ouverture invalide",IF(OR(AND(G429&lt;&gt;"",NOT(ISNUMBER(G429))),N(G429)&lt;0,N(G429)&lt;&gt;INT(N(G429)),AND(H429&lt;&gt;"",NOT(ISNUMBER(H429))),N(H429)&lt;0,N(H429)&lt;&gt;INT(N(H429)),AND(I429&lt;&gt;"",NOT(ISNUMBER(I429))),N(I429)&lt;0,N(I429)&lt;&gt;INT(N(I429))),"Quantité invalide",IF(Q429&lt;=0,"Cadence manquante (poste ou article)",IF(M429&lt;=0,"Arrêts planifiés supérieurs au temps d'ouverture",IF(O429&lt;0,"Arrêts supérieurs au temps requis",IF(AND(P429&gt;0,O429=0),"Pièces déclarées sans temps de marche",IF(AND(P429=0,O429&gt;0),"Aucune pièce déclarée",IF(P429*60/Q429&gt;O429+0.001,"Cadence dépassée : vérifiez la cadence","OK"))))))))))))))))))</f>
        <v/>
      </c>
      <c r="AC429">
        <f>IF(OR(AB429="OK",AB429="Aucune pièce déclarée",AB429="Cadence dépassée : vérifiez la cadence"),1,0)</f>
        <v>0.0</v>
      </c>
      <c r="AD429">
        <f>IF(AND(AC429=1,A429&gt;=p_from,A429&lt;=p_to),1,0)</f>
        <v>0.0</v>
      </c>
      <c r="AE429">
        <f>IF(AD429=1,IF(COUNTIFS($A$6:A429,A429,$AD$6:AD429,1)=1,1,0),0)</f>
        <v>0.0</v>
      </c>
      <c r="AF429" t="str">
        <f>IF(AE429=1,COUNTIFS(sj_first,1,sj_date,"&lt;"&amp;A429)+1,"")</f>
        <v/>
      </c>
      <c r="AG429" t="str">
        <f>IF(AND(AD429=1,N(W429)&lt;p_alert),ROUND(W429,4),"")</f>
        <v/>
      </c>
      <c r="AH429" t="str">
        <f>IF(AG429="","",COUNTIF(sj_akey,"&lt;"&amp;AG429)+COUNTIF($AG$6:AG429,AG429))</f>
        <v/>
      </c>
    </row>
    <row r="430">
      <c r="A430" s="51" t="n"/>
      <c r="B430" s="52" t="n"/>
      <c r="C430" s="52" t="n"/>
      <c r="D430" s="53" t="n"/>
      <c r="E430" s="53" t="n"/>
      <c r="F430" s="54" t="n"/>
      <c r="G430" s="54" t="n"/>
      <c r="H430" s="54" t="n"/>
      <c r="I430" s="54" t="n"/>
      <c r="J430" s="53" t="n"/>
      <c r="K430" s="55" t="str">
        <f>IF(COUNTA(A430:I430)=0,"",IF(F430="",IFERROR(INDEX(eq_dur,MATCH(B430,eq_code,0)),""),F430))</f>
        <v/>
      </c>
      <c r="L430" s="55" t="str">
        <f>IF(ISNUMBER(K430),N(IFERROR(INDEX(eq_pause,MATCH(B430,eq_code,0)),0))+SUMIFS(st_min,st_date,A430,st_eq,B430,st_po,C430,st_type,"Planifié"),"")</f>
        <v/>
      </c>
      <c r="M430" s="55" t="str">
        <f>IF(ISNUMBER(K430),K430-L430,"")</f>
        <v/>
      </c>
      <c r="N430" s="55" t="str">
        <f>IF(ISNUMBER(K430),SUMIFS(st_min,st_date,A430,st_eq,B430,st_po,C430,st_type,"Non planifié"),"")</f>
        <v/>
      </c>
      <c r="O430" s="55" t="str">
        <f>IF(ISNUMBER(K430),M430-N430,"")</f>
        <v/>
      </c>
      <c r="P430" s="55" t="str">
        <f>IF(COUNTA(A430:I430)=0,"",N(G430)+N(H430)+N(I430))</f>
        <v/>
      </c>
      <c r="Q430" s="56" t="str">
        <f>IF(COUNTA(A430:I430)=0,"",IF(N(IFERROR(INDEX(art_rate,MATCH(E430,art_ref,0)),0))&gt;0,N(IFERROR(INDEX(art_rate,MATCH(E430,art_ref,0)),0)),N(IFERROR(INDEX(po_rate,MATCH(C430,po_code,0)),0))))</f>
        <v/>
      </c>
      <c r="R430" s="55" t="str">
        <f>IF(AC430=1,P430*60/Q430,"")</f>
        <v/>
      </c>
      <c r="S430" s="55" t="str">
        <f>IF(AC430=1,N(G430)*60/Q430,"")</f>
        <v/>
      </c>
      <c r="T430" s="57" t="str">
        <f>IF(AC430=1,O430/M430,"")</f>
        <v/>
      </c>
      <c r="U430" s="57" t="str">
        <f>IF(AC430=1,IF(O430&gt;0,R430/O430,""),"")</f>
        <v/>
      </c>
      <c r="V430" s="57" t="str">
        <f>IF(AC430=1,IF(P430&gt;0,N(G430)/P430,""),"")</f>
        <v/>
      </c>
      <c r="W430" s="57" t="str">
        <f>IF(AC430=1,S430/M430,"")</f>
        <v/>
      </c>
      <c r="X430" s="57" t="str">
        <f>IF(AC430=1,S430/K430,"")</f>
        <v/>
      </c>
      <c r="Y430" s="58" t="str">
        <f>IF(W430="","",IF(W430&gt;=p_target,"Bon",IF(W430&gt;=p_alert,"À surveiller","Faible")))</f>
        <v/>
      </c>
      <c r="Z430" s="58" t="str">
        <f>IF(W430="","",IF(MIN(IF(T430="",1,T430),IF(U430="",1,U430),IF(V430="",1,V430))&gt;=1,"Aucune",IF(IF(T430="",1,T430)&lt;=MIN(IF(U430="",1,U430),IF(V430="",1,V430)),"Disponibilité",IF(IF(U430="",1,U430)&lt;=IF(V430="",1,V430),"Performance","Qualité"))))</f>
        <v/>
      </c>
      <c r="AA430" s="59" t="str">
        <f>IF(AC430=1,N(H430)*N(IFERROR(INDEX(art_cost,MATCH(E430,art_ref,0)),0)),"")</f>
        <v/>
      </c>
      <c r="AB430" s="58" t="str">
        <f>IF(COUNTA(A430:I430)=0,"",IF(N(A430)&lt;=0,"Date manquante ou invalide",IF(B430="","Équipe manquante",IF(ISNA(MATCH(B430,eq_code,0)),"Équipe inconnue",IF(INDEX(eq_check,MATCH(B430,eq_code,0))&lt;&gt;"OK","Équipe à corriger dans Paramètres",IF(C430="","Poste manquant",IF(ISNA(MATCH(C430,po_code,0)),"Poste inconnu",IF(AND(E430&lt;&gt;"",ISNA(MATCH(E430,art_ref,0))),"Article inconnu",IF(IF(E430="",FALSE,INDEX(art_check,MATCH(E430,art_ref,0))&lt;&gt;"OK"),"Article à corriger (feuille Articles)",IF(COUNTIFS(sj_date,A430,sj_eq,B430,sj_po,C430)&gt;1,"Ligne en double (même jour, équipe et poste)",IF(OR(NOT(ISNUMBER(K430)),N(K430)&lt;=0,N(K430)&gt;1440),"Temps d'ouverture invalide",IF(OR(AND(G430&lt;&gt;"",NOT(ISNUMBER(G430))),N(G430)&lt;0,N(G430)&lt;&gt;INT(N(G430)),AND(H430&lt;&gt;"",NOT(ISNUMBER(H430))),N(H430)&lt;0,N(H430)&lt;&gt;INT(N(H430)),AND(I430&lt;&gt;"",NOT(ISNUMBER(I430))),N(I430)&lt;0,N(I430)&lt;&gt;INT(N(I430))),"Quantité invalide",IF(Q430&lt;=0,"Cadence manquante (poste ou article)",IF(M430&lt;=0,"Arrêts planifiés supérieurs au temps d'ouverture",IF(O430&lt;0,"Arrêts supérieurs au temps requis",IF(AND(P430&gt;0,O430=0),"Pièces déclarées sans temps de marche",IF(AND(P430=0,O430&gt;0),"Aucune pièce déclarée",IF(P430*60/Q430&gt;O430+0.001,"Cadence dépassée : vérifiez la cadence","OK"))))))))))))))))))</f>
        <v/>
      </c>
      <c r="AC430">
        <f>IF(OR(AB430="OK",AB430="Aucune pièce déclarée",AB430="Cadence dépassée : vérifiez la cadence"),1,0)</f>
        <v>0.0</v>
      </c>
      <c r="AD430">
        <f>IF(AND(AC430=1,A430&gt;=p_from,A430&lt;=p_to),1,0)</f>
        <v>0.0</v>
      </c>
      <c r="AE430">
        <f>IF(AD430=1,IF(COUNTIFS($A$6:A430,A430,$AD$6:AD430,1)=1,1,0),0)</f>
        <v>0.0</v>
      </c>
      <c r="AF430" t="str">
        <f>IF(AE430=1,COUNTIFS(sj_first,1,sj_date,"&lt;"&amp;A430)+1,"")</f>
        <v/>
      </c>
      <c r="AG430" t="str">
        <f>IF(AND(AD430=1,N(W430)&lt;p_alert),ROUND(W430,4),"")</f>
        <v/>
      </c>
      <c r="AH430" t="str">
        <f>IF(AG430="","",COUNTIF(sj_akey,"&lt;"&amp;AG430)+COUNTIF($AG$6:AG430,AG430))</f>
        <v/>
      </c>
    </row>
    <row r="431">
      <c r="A431" s="51" t="n"/>
      <c r="B431" s="52" t="n"/>
      <c r="C431" s="52" t="n"/>
      <c r="D431" s="53" t="n"/>
      <c r="E431" s="53" t="n"/>
      <c r="F431" s="54" t="n"/>
      <c r="G431" s="54" t="n"/>
      <c r="H431" s="54" t="n"/>
      <c r="I431" s="54" t="n"/>
      <c r="J431" s="53" t="n"/>
      <c r="K431" s="55" t="str">
        <f>IF(COUNTA(A431:I431)=0,"",IF(F431="",IFERROR(INDEX(eq_dur,MATCH(B431,eq_code,0)),""),F431))</f>
        <v/>
      </c>
      <c r="L431" s="55" t="str">
        <f>IF(ISNUMBER(K431),N(IFERROR(INDEX(eq_pause,MATCH(B431,eq_code,0)),0))+SUMIFS(st_min,st_date,A431,st_eq,B431,st_po,C431,st_type,"Planifié"),"")</f>
        <v/>
      </c>
      <c r="M431" s="55" t="str">
        <f>IF(ISNUMBER(K431),K431-L431,"")</f>
        <v/>
      </c>
      <c r="N431" s="55" t="str">
        <f>IF(ISNUMBER(K431),SUMIFS(st_min,st_date,A431,st_eq,B431,st_po,C431,st_type,"Non planifié"),"")</f>
        <v/>
      </c>
      <c r="O431" s="55" t="str">
        <f>IF(ISNUMBER(K431),M431-N431,"")</f>
        <v/>
      </c>
      <c r="P431" s="55" t="str">
        <f>IF(COUNTA(A431:I431)=0,"",N(G431)+N(H431)+N(I431))</f>
        <v/>
      </c>
      <c r="Q431" s="56" t="str">
        <f>IF(COUNTA(A431:I431)=0,"",IF(N(IFERROR(INDEX(art_rate,MATCH(E431,art_ref,0)),0))&gt;0,N(IFERROR(INDEX(art_rate,MATCH(E431,art_ref,0)),0)),N(IFERROR(INDEX(po_rate,MATCH(C431,po_code,0)),0))))</f>
        <v/>
      </c>
      <c r="R431" s="55" t="str">
        <f>IF(AC431=1,P431*60/Q431,"")</f>
        <v/>
      </c>
      <c r="S431" s="55" t="str">
        <f>IF(AC431=1,N(G431)*60/Q431,"")</f>
        <v/>
      </c>
      <c r="T431" s="57" t="str">
        <f>IF(AC431=1,O431/M431,"")</f>
        <v/>
      </c>
      <c r="U431" s="57" t="str">
        <f>IF(AC431=1,IF(O431&gt;0,R431/O431,""),"")</f>
        <v/>
      </c>
      <c r="V431" s="57" t="str">
        <f>IF(AC431=1,IF(P431&gt;0,N(G431)/P431,""),"")</f>
        <v/>
      </c>
      <c r="W431" s="57" t="str">
        <f>IF(AC431=1,S431/M431,"")</f>
        <v/>
      </c>
      <c r="X431" s="57" t="str">
        <f>IF(AC431=1,S431/K431,"")</f>
        <v/>
      </c>
      <c r="Y431" s="58" t="str">
        <f>IF(W431="","",IF(W431&gt;=p_target,"Bon",IF(W431&gt;=p_alert,"À surveiller","Faible")))</f>
        <v/>
      </c>
      <c r="Z431" s="58" t="str">
        <f>IF(W431="","",IF(MIN(IF(T431="",1,T431),IF(U431="",1,U431),IF(V431="",1,V431))&gt;=1,"Aucune",IF(IF(T431="",1,T431)&lt;=MIN(IF(U431="",1,U431),IF(V431="",1,V431)),"Disponibilité",IF(IF(U431="",1,U431)&lt;=IF(V431="",1,V431),"Performance","Qualité"))))</f>
        <v/>
      </c>
      <c r="AA431" s="59" t="str">
        <f>IF(AC431=1,N(H431)*N(IFERROR(INDEX(art_cost,MATCH(E431,art_ref,0)),0)),"")</f>
        <v/>
      </c>
      <c r="AB431" s="58" t="str">
        <f>IF(COUNTA(A431:I431)=0,"",IF(N(A431)&lt;=0,"Date manquante ou invalide",IF(B431="","Équipe manquante",IF(ISNA(MATCH(B431,eq_code,0)),"Équipe inconnue",IF(INDEX(eq_check,MATCH(B431,eq_code,0))&lt;&gt;"OK","Équipe à corriger dans Paramètres",IF(C431="","Poste manquant",IF(ISNA(MATCH(C431,po_code,0)),"Poste inconnu",IF(AND(E431&lt;&gt;"",ISNA(MATCH(E431,art_ref,0))),"Article inconnu",IF(IF(E431="",FALSE,INDEX(art_check,MATCH(E431,art_ref,0))&lt;&gt;"OK"),"Article à corriger (feuille Articles)",IF(COUNTIFS(sj_date,A431,sj_eq,B431,sj_po,C431)&gt;1,"Ligne en double (même jour, équipe et poste)",IF(OR(NOT(ISNUMBER(K431)),N(K431)&lt;=0,N(K431)&gt;1440),"Temps d'ouverture invalide",IF(OR(AND(G431&lt;&gt;"",NOT(ISNUMBER(G431))),N(G431)&lt;0,N(G431)&lt;&gt;INT(N(G431)),AND(H431&lt;&gt;"",NOT(ISNUMBER(H431))),N(H431)&lt;0,N(H431)&lt;&gt;INT(N(H431)),AND(I431&lt;&gt;"",NOT(ISNUMBER(I431))),N(I431)&lt;0,N(I431)&lt;&gt;INT(N(I431))),"Quantité invalide",IF(Q431&lt;=0,"Cadence manquante (poste ou article)",IF(M431&lt;=0,"Arrêts planifiés supérieurs au temps d'ouverture",IF(O431&lt;0,"Arrêts supérieurs au temps requis",IF(AND(P431&gt;0,O431=0),"Pièces déclarées sans temps de marche",IF(AND(P431=0,O431&gt;0),"Aucune pièce déclarée",IF(P431*60/Q431&gt;O431+0.001,"Cadence dépassée : vérifiez la cadence","OK"))))))))))))))))))</f>
        <v/>
      </c>
      <c r="AC431">
        <f>IF(OR(AB431="OK",AB431="Aucune pièce déclarée",AB431="Cadence dépassée : vérifiez la cadence"),1,0)</f>
        <v>0.0</v>
      </c>
      <c r="AD431">
        <f>IF(AND(AC431=1,A431&gt;=p_from,A431&lt;=p_to),1,0)</f>
        <v>0.0</v>
      </c>
      <c r="AE431">
        <f>IF(AD431=1,IF(COUNTIFS($A$6:A431,A431,$AD$6:AD431,1)=1,1,0),0)</f>
        <v>0.0</v>
      </c>
      <c r="AF431" t="str">
        <f>IF(AE431=1,COUNTIFS(sj_first,1,sj_date,"&lt;"&amp;A431)+1,"")</f>
        <v/>
      </c>
      <c r="AG431" t="str">
        <f>IF(AND(AD431=1,N(W431)&lt;p_alert),ROUND(W431,4),"")</f>
        <v/>
      </c>
      <c r="AH431" t="str">
        <f>IF(AG431="","",COUNTIF(sj_akey,"&lt;"&amp;AG431)+COUNTIF($AG$6:AG431,AG431))</f>
        <v/>
      </c>
    </row>
    <row r="432">
      <c r="A432" s="51" t="n"/>
      <c r="B432" s="52" t="n"/>
      <c r="C432" s="52" t="n"/>
      <c r="D432" s="53" t="n"/>
      <c r="E432" s="53" t="n"/>
      <c r="F432" s="54" t="n"/>
      <c r="G432" s="54" t="n"/>
      <c r="H432" s="54" t="n"/>
      <c r="I432" s="54" t="n"/>
      <c r="J432" s="53" t="n"/>
      <c r="K432" s="55" t="str">
        <f>IF(COUNTA(A432:I432)=0,"",IF(F432="",IFERROR(INDEX(eq_dur,MATCH(B432,eq_code,0)),""),F432))</f>
        <v/>
      </c>
      <c r="L432" s="55" t="str">
        <f>IF(ISNUMBER(K432),N(IFERROR(INDEX(eq_pause,MATCH(B432,eq_code,0)),0))+SUMIFS(st_min,st_date,A432,st_eq,B432,st_po,C432,st_type,"Planifié"),"")</f>
        <v/>
      </c>
      <c r="M432" s="55" t="str">
        <f>IF(ISNUMBER(K432),K432-L432,"")</f>
        <v/>
      </c>
      <c r="N432" s="55" t="str">
        <f>IF(ISNUMBER(K432),SUMIFS(st_min,st_date,A432,st_eq,B432,st_po,C432,st_type,"Non planifié"),"")</f>
        <v/>
      </c>
      <c r="O432" s="55" t="str">
        <f>IF(ISNUMBER(K432),M432-N432,"")</f>
        <v/>
      </c>
      <c r="P432" s="55" t="str">
        <f>IF(COUNTA(A432:I432)=0,"",N(G432)+N(H432)+N(I432))</f>
        <v/>
      </c>
      <c r="Q432" s="56" t="str">
        <f>IF(COUNTA(A432:I432)=0,"",IF(N(IFERROR(INDEX(art_rate,MATCH(E432,art_ref,0)),0))&gt;0,N(IFERROR(INDEX(art_rate,MATCH(E432,art_ref,0)),0)),N(IFERROR(INDEX(po_rate,MATCH(C432,po_code,0)),0))))</f>
        <v/>
      </c>
      <c r="R432" s="55" t="str">
        <f>IF(AC432=1,P432*60/Q432,"")</f>
        <v/>
      </c>
      <c r="S432" s="55" t="str">
        <f>IF(AC432=1,N(G432)*60/Q432,"")</f>
        <v/>
      </c>
      <c r="T432" s="57" t="str">
        <f>IF(AC432=1,O432/M432,"")</f>
        <v/>
      </c>
      <c r="U432" s="57" t="str">
        <f>IF(AC432=1,IF(O432&gt;0,R432/O432,""),"")</f>
        <v/>
      </c>
      <c r="V432" s="57" t="str">
        <f>IF(AC432=1,IF(P432&gt;0,N(G432)/P432,""),"")</f>
        <v/>
      </c>
      <c r="W432" s="57" t="str">
        <f>IF(AC432=1,S432/M432,"")</f>
        <v/>
      </c>
      <c r="X432" s="57" t="str">
        <f>IF(AC432=1,S432/K432,"")</f>
        <v/>
      </c>
      <c r="Y432" s="58" t="str">
        <f>IF(W432="","",IF(W432&gt;=p_target,"Bon",IF(W432&gt;=p_alert,"À surveiller","Faible")))</f>
        <v/>
      </c>
      <c r="Z432" s="58" t="str">
        <f>IF(W432="","",IF(MIN(IF(T432="",1,T432),IF(U432="",1,U432),IF(V432="",1,V432))&gt;=1,"Aucune",IF(IF(T432="",1,T432)&lt;=MIN(IF(U432="",1,U432),IF(V432="",1,V432)),"Disponibilité",IF(IF(U432="",1,U432)&lt;=IF(V432="",1,V432),"Performance","Qualité"))))</f>
        <v/>
      </c>
      <c r="AA432" s="59" t="str">
        <f>IF(AC432=1,N(H432)*N(IFERROR(INDEX(art_cost,MATCH(E432,art_ref,0)),0)),"")</f>
        <v/>
      </c>
      <c r="AB432" s="58" t="str">
        <f>IF(COUNTA(A432:I432)=0,"",IF(N(A432)&lt;=0,"Date manquante ou invalide",IF(B432="","Équipe manquante",IF(ISNA(MATCH(B432,eq_code,0)),"Équipe inconnue",IF(INDEX(eq_check,MATCH(B432,eq_code,0))&lt;&gt;"OK","Équipe à corriger dans Paramètres",IF(C432="","Poste manquant",IF(ISNA(MATCH(C432,po_code,0)),"Poste inconnu",IF(AND(E432&lt;&gt;"",ISNA(MATCH(E432,art_ref,0))),"Article inconnu",IF(IF(E432="",FALSE,INDEX(art_check,MATCH(E432,art_ref,0))&lt;&gt;"OK"),"Article à corriger (feuille Articles)",IF(COUNTIFS(sj_date,A432,sj_eq,B432,sj_po,C432)&gt;1,"Ligne en double (même jour, équipe et poste)",IF(OR(NOT(ISNUMBER(K432)),N(K432)&lt;=0,N(K432)&gt;1440),"Temps d'ouverture invalide",IF(OR(AND(G432&lt;&gt;"",NOT(ISNUMBER(G432))),N(G432)&lt;0,N(G432)&lt;&gt;INT(N(G432)),AND(H432&lt;&gt;"",NOT(ISNUMBER(H432))),N(H432)&lt;0,N(H432)&lt;&gt;INT(N(H432)),AND(I432&lt;&gt;"",NOT(ISNUMBER(I432))),N(I432)&lt;0,N(I432)&lt;&gt;INT(N(I432))),"Quantité invalide",IF(Q432&lt;=0,"Cadence manquante (poste ou article)",IF(M432&lt;=0,"Arrêts planifiés supérieurs au temps d'ouverture",IF(O432&lt;0,"Arrêts supérieurs au temps requis",IF(AND(P432&gt;0,O432=0),"Pièces déclarées sans temps de marche",IF(AND(P432=0,O432&gt;0),"Aucune pièce déclarée",IF(P432*60/Q432&gt;O432+0.001,"Cadence dépassée : vérifiez la cadence","OK"))))))))))))))))))</f>
        <v/>
      </c>
      <c r="AC432">
        <f>IF(OR(AB432="OK",AB432="Aucune pièce déclarée",AB432="Cadence dépassée : vérifiez la cadence"),1,0)</f>
        <v>0.0</v>
      </c>
      <c r="AD432">
        <f>IF(AND(AC432=1,A432&gt;=p_from,A432&lt;=p_to),1,0)</f>
        <v>0.0</v>
      </c>
      <c r="AE432">
        <f>IF(AD432=1,IF(COUNTIFS($A$6:A432,A432,$AD$6:AD432,1)=1,1,0),0)</f>
        <v>0.0</v>
      </c>
      <c r="AF432" t="str">
        <f>IF(AE432=1,COUNTIFS(sj_first,1,sj_date,"&lt;"&amp;A432)+1,"")</f>
        <v/>
      </c>
      <c r="AG432" t="str">
        <f>IF(AND(AD432=1,N(W432)&lt;p_alert),ROUND(W432,4),"")</f>
        <v/>
      </c>
      <c r="AH432" t="str">
        <f>IF(AG432="","",COUNTIF(sj_akey,"&lt;"&amp;AG432)+COUNTIF($AG$6:AG432,AG432))</f>
        <v/>
      </c>
    </row>
    <row r="433">
      <c r="A433" s="51" t="n"/>
      <c r="B433" s="52" t="n"/>
      <c r="C433" s="52" t="n"/>
      <c r="D433" s="53" t="n"/>
      <c r="E433" s="53" t="n"/>
      <c r="F433" s="54" t="n"/>
      <c r="G433" s="54" t="n"/>
      <c r="H433" s="54" t="n"/>
      <c r="I433" s="54" t="n"/>
      <c r="J433" s="53" t="n"/>
      <c r="K433" s="55" t="str">
        <f>IF(COUNTA(A433:I433)=0,"",IF(F433="",IFERROR(INDEX(eq_dur,MATCH(B433,eq_code,0)),""),F433))</f>
        <v/>
      </c>
      <c r="L433" s="55" t="str">
        <f>IF(ISNUMBER(K433),N(IFERROR(INDEX(eq_pause,MATCH(B433,eq_code,0)),0))+SUMIFS(st_min,st_date,A433,st_eq,B433,st_po,C433,st_type,"Planifié"),"")</f>
        <v/>
      </c>
      <c r="M433" s="55" t="str">
        <f>IF(ISNUMBER(K433),K433-L433,"")</f>
        <v/>
      </c>
      <c r="N433" s="55" t="str">
        <f>IF(ISNUMBER(K433),SUMIFS(st_min,st_date,A433,st_eq,B433,st_po,C433,st_type,"Non planifié"),"")</f>
        <v/>
      </c>
      <c r="O433" s="55" t="str">
        <f>IF(ISNUMBER(K433),M433-N433,"")</f>
        <v/>
      </c>
      <c r="P433" s="55" t="str">
        <f>IF(COUNTA(A433:I433)=0,"",N(G433)+N(H433)+N(I433))</f>
        <v/>
      </c>
      <c r="Q433" s="56" t="str">
        <f>IF(COUNTA(A433:I433)=0,"",IF(N(IFERROR(INDEX(art_rate,MATCH(E433,art_ref,0)),0))&gt;0,N(IFERROR(INDEX(art_rate,MATCH(E433,art_ref,0)),0)),N(IFERROR(INDEX(po_rate,MATCH(C433,po_code,0)),0))))</f>
        <v/>
      </c>
      <c r="R433" s="55" t="str">
        <f>IF(AC433=1,P433*60/Q433,"")</f>
        <v/>
      </c>
      <c r="S433" s="55" t="str">
        <f>IF(AC433=1,N(G433)*60/Q433,"")</f>
        <v/>
      </c>
      <c r="T433" s="57" t="str">
        <f>IF(AC433=1,O433/M433,"")</f>
        <v/>
      </c>
      <c r="U433" s="57" t="str">
        <f>IF(AC433=1,IF(O433&gt;0,R433/O433,""),"")</f>
        <v/>
      </c>
      <c r="V433" s="57" t="str">
        <f>IF(AC433=1,IF(P433&gt;0,N(G433)/P433,""),"")</f>
        <v/>
      </c>
      <c r="W433" s="57" t="str">
        <f>IF(AC433=1,S433/M433,"")</f>
        <v/>
      </c>
      <c r="X433" s="57" t="str">
        <f>IF(AC433=1,S433/K433,"")</f>
        <v/>
      </c>
      <c r="Y433" s="58" t="str">
        <f>IF(W433="","",IF(W433&gt;=p_target,"Bon",IF(W433&gt;=p_alert,"À surveiller","Faible")))</f>
        <v/>
      </c>
      <c r="Z433" s="58" t="str">
        <f>IF(W433="","",IF(MIN(IF(T433="",1,T433),IF(U433="",1,U433),IF(V433="",1,V433))&gt;=1,"Aucune",IF(IF(T433="",1,T433)&lt;=MIN(IF(U433="",1,U433),IF(V433="",1,V433)),"Disponibilité",IF(IF(U433="",1,U433)&lt;=IF(V433="",1,V433),"Performance","Qualité"))))</f>
        <v/>
      </c>
      <c r="AA433" s="59" t="str">
        <f>IF(AC433=1,N(H433)*N(IFERROR(INDEX(art_cost,MATCH(E433,art_ref,0)),0)),"")</f>
        <v/>
      </c>
      <c r="AB433" s="58" t="str">
        <f>IF(COUNTA(A433:I433)=0,"",IF(N(A433)&lt;=0,"Date manquante ou invalide",IF(B433="","Équipe manquante",IF(ISNA(MATCH(B433,eq_code,0)),"Équipe inconnue",IF(INDEX(eq_check,MATCH(B433,eq_code,0))&lt;&gt;"OK","Équipe à corriger dans Paramètres",IF(C433="","Poste manquant",IF(ISNA(MATCH(C433,po_code,0)),"Poste inconnu",IF(AND(E433&lt;&gt;"",ISNA(MATCH(E433,art_ref,0))),"Article inconnu",IF(IF(E433="",FALSE,INDEX(art_check,MATCH(E433,art_ref,0))&lt;&gt;"OK"),"Article à corriger (feuille Articles)",IF(COUNTIFS(sj_date,A433,sj_eq,B433,sj_po,C433)&gt;1,"Ligne en double (même jour, équipe et poste)",IF(OR(NOT(ISNUMBER(K433)),N(K433)&lt;=0,N(K433)&gt;1440),"Temps d'ouverture invalide",IF(OR(AND(G433&lt;&gt;"",NOT(ISNUMBER(G433))),N(G433)&lt;0,N(G433)&lt;&gt;INT(N(G433)),AND(H433&lt;&gt;"",NOT(ISNUMBER(H433))),N(H433)&lt;0,N(H433)&lt;&gt;INT(N(H433)),AND(I433&lt;&gt;"",NOT(ISNUMBER(I433))),N(I433)&lt;0,N(I433)&lt;&gt;INT(N(I433))),"Quantité invalide",IF(Q433&lt;=0,"Cadence manquante (poste ou article)",IF(M433&lt;=0,"Arrêts planifiés supérieurs au temps d'ouverture",IF(O433&lt;0,"Arrêts supérieurs au temps requis",IF(AND(P433&gt;0,O433=0),"Pièces déclarées sans temps de marche",IF(AND(P433=0,O433&gt;0),"Aucune pièce déclarée",IF(P433*60/Q433&gt;O433+0.001,"Cadence dépassée : vérifiez la cadence","OK"))))))))))))))))))</f>
        <v/>
      </c>
      <c r="AC433">
        <f>IF(OR(AB433="OK",AB433="Aucune pièce déclarée",AB433="Cadence dépassée : vérifiez la cadence"),1,0)</f>
        <v>0.0</v>
      </c>
      <c r="AD433">
        <f>IF(AND(AC433=1,A433&gt;=p_from,A433&lt;=p_to),1,0)</f>
        <v>0.0</v>
      </c>
      <c r="AE433">
        <f>IF(AD433=1,IF(COUNTIFS($A$6:A433,A433,$AD$6:AD433,1)=1,1,0),0)</f>
        <v>0.0</v>
      </c>
      <c r="AF433" t="str">
        <f>IF(AE433=1,COUNTIFS(sj_first,1,sj_date,"&lt;"&amp;A433)+1,"")</f>
        <v/>
      </c>
      <c r="AG433" t="str">
        <f>IF(AND(AD433=1,N(W433)&lt;p_alert),ROUND(W433,4),"")</f>
        <v/>
      </c>
      <c r="AH433" t="str">
        <f>IF(AG433="","",COUNTIF(sj_akey,"&lt;"&amp;AG433)+COUNTIF($AG$6:AG433,AG433))</f>
        <v/>
      </c>
    </row>
    <row r="434">
      <c r="A434" s="51" t="n"/>
      <c r="B434" s="52" t="n"/>
      <c r="C434" s="52" t="n"/>
      <c r="D434" s="53" t="n"/>
      <c r="E434" s="53" t="n"/>
      <c r="F434" s="54" t="n"/>
      <c r="G434" s="54" t="n"/>
      <c r="H434" s="54" t="n"/>
      <c r="I434" s="54" t="n"/>
      <c r="J434" s="53" t="n"/>
      <c r="K434" s="55" t="str">
        <f>IF(COUNTA(A434:I434)=0,"",IF(F434="",IFERROR(INDEX(eq_dur,MATCH(B434,eq_code,0)),""),F434))</f>
        <v/>
      </c>
      <c r="L434" s="55" t="str">
        <f>IF(ISNUMBER(K434),N(IFERROR(INDEX(eq_pause,MATCH(B434,eq_code,0)),0))+SUMIFS(st_min,st_date,A434,st_eq,B434,st_po,C434,st_type,"Planifié"),"")</f>
        <v/>
      </c>
      <c r="M434" s="55" t="str">
        <f>IF(ISNUMBER(K434),K434-L434,"")</f>
        <v/>
      </c>
      <c r="N434" s="55" t="str">
        <f>IF(ISNUMBER(K434),SUMIFS(st_min,st_date,A434,st_eq,B434,st_po,C434,st_type,"Non planifié"),"")</f>
        <v/>
      </c>
      <c r="O434" s="55" t="str">
        <f>IF(ISNUMBER(K434),M434-N434,"")</f>
        <v/>
      </c>
      <c r="P434" s="55" t="str">
        <f>IF(COUNTA(A434:I434)=0,"",N(G434)+N(H434)+N(I434))</f>
        <v/>
      </c>
      <c r="Q434" s="56" t="str">
        <f>IF(COUNTA(A434:I434)=0,"",IF(N(IFERROR(INDEX(art_rate,MATCH(E434,art_ref,0)),0))&gt;0,N(IFERROR(INDEX(art_rate,MATCH(E434,art_ref,0)),0)),N(IFERROR(INDEX(po_rate,MATCH(C434,po_code,0)),0))))</f>
        <v/>
      </c>
      <c r="R434" s="55" t="str">
        <f>IF(AC434=1,P434*60/Q434,"")</f>
        <v/>
      </c>
      <c r="S434" s="55" t="str">
        <f>IF(AC434=1,N(G434)*60/Q434,"")</f>
        <v/>
      </c>
      <c r="T434" s="57" t="str">
        <f>IF(AC434=1,O434/M434,"")</f>
        <v/>
      </c>
      <c r="U434" s="57" t="str">
        <f>IF(AC434=1,IF(O434&gt;0,R434/O434,""),"")</f>
        <v/>
      </c>
      <c r="V434" s="57" t="str">
        <f>IF(AC434=1,IF(P434&gt;0,N(G434)/P434,""),"")</f>
        <v/>
      </c>
      <c r="W434" s="57" t="str">
        <f>IF(AC434=1,S434/M434,"")</f>
        <v/>
      </c>
      <c r="X434" s="57" t="str">
        <f>IF(AC434=1,S434/K434,"")</f>
        <v/>
      </c>
      <c r="Y434" s="58" t="str">
        <f>IF(W434="","",IF(W434&gt;=p_target,"Bon",IF(W434&gt;=p_alert,"À surveiller","Faible")))</f>
        <v/>
      </c>
      <c r="Z434" s="58" t="str">
        <f>IF(W434="","",IF(MIN(IF(T434="",1,T434),IF(U434="",1,U434),IF(V434="",1,V434))&gt;=1,"Aucune",IF(IF(T434="",1,T434)&lt;=MIN(IF(U434="",1,U434),IF(V434="",1,V434)),"Disponibilité",IF(IF(U434="",1,U434)&lt;=IF(V434="",1,V434),"Performance","Qualité"))))</f>
        <v/>
      </c>
      <c r="AA434" s="59" t="str">
        <f>IF(AC434=1,N(H434)*N(IFERROR(INDEX(art_cost,MATCH(E434,art_ref,0)),0)),"")</f>
        <v/>
      </c>
      <c r="AB434" s="58" t="str">
        <f>IF(COUNTA(A434:I434)=0,"",IF(N(A434)&lt;=0,"Date manquante ou invalide",IF(B434="","Équipe manquante",IF(ISNA(MATCH(B434,eq_code,0)),"Équipe inconnue",IF(INDEX(eq_check,MATCH(B434,eq_code,0))&lt;&gt;"OK","Équipe à corriger dans Paramètres",IF(C434="","Poste manquant",IF(ISNA(MATCH(C434,po_code,0)),"Poste inconnu",IF(AND(E434&lt;&gt;"",ISNA(MATCH(E434,art_ref,0))),"Article inconnu",IF(IF(E434="",FALSE,INDEX(art_check,MATCH(E434,art_ref,0))&lt;&gt;"OK"),"Article à corriger (feuille Articles)",IF(COUNTIFS(sj_date,A434,sj_eq,B434,sj_po,C434)&gt;1,"Ligne en double (même jour, équipe et poste)",IF(OR(NOT(ISNUMBER(K434)),N(K434)&lt;=0,N(K434)&gt;1440),"Temps d'ouverture invalide",IF(OR(AND(G434&lt;&gt;"",NOT(ISNUMBER(G434))),N(G434)&lt;0,N(G434)&lt;&gt;INT(N(G434)),AND(H434&lt;&gt;"",NOT(ISNUMBER(H434))),N(H434)&lt;0,N(H434)&lt;&gt;INT(N(H434)),AND(I434&lt;&gt;"",NOT(ISNUMBER(I434))),N(I434)&lt;0,N(I434)&lt;&gt;INT(N(I434))),"Quantité invalide",IF(Q434&lt;=0,"Cadence manquante (poste ou article)",IF(M434&lt;=0,"Arrêts planifiés supérieurs au temps d'ouverture",IF(O434&lt;0,"Arrêts supérieurs au temps requis",IF(AND(P434&gt;0,O434=0),"Pièces déclarées sans temps de marche",IF(AND(P434=0,O434&gt;0),"Aucune pièce déclarée",IF(P434*60/Q434&gt;O434+0.001,"Cadence dépassée : vérifiez la cadence","OK"))))))))))))))))))</f>
        <v/>
      </c>
      <c r="AC434">
        <f>IF(OR(AB434="OK",AB434="Aucune pièce déclarée",AB434="Cadence dépassée : vérifiez la cadence"),1,0)</f>
        <v>0.0</v>
      </c>
      <c r="AD434">
        <f>IF(AND(AC434=1,A434&gt;=p_from,A434&lt;=p_to),1,0)</f>
        <v>0.0</v>
      </c>
      <c r="AE434">
        <f>IF(AD434=1,IF(COUNTIFS($A$6:A434,A434,$AD$6:AD434,1)=1,1,0),0)</f>
        <v>0.0</v>
      </c>
      <c r="AF434" t="str">
        <f>IF(AE434=1,COUNTIFS(sj_first,1,sj_date,"&lt;"&amp;A434)+1,"")</f>
        <v/>
      </c>
      <c r="AG434" t="str">
        <f>IF(AND(AD434=1,N(W434)&lt;p_alert),ROUND(W434,4),"")</f>
        <v/>
      </c>
      <c r="AH434" t="str">
        <f>IF(AG434="","",COUNTIF(sj_akey,"&lt;"&amp;AG434)+COUNTIF($AG$6:AG434,AG434))</f>
        <v/>
      </c>
    </row>
    <row r="435">
      <c r="A435" s="51" t="n"/>
      <c r="B435" s="52" t="n"/>
      <c r="C435" s="52" t="n"/>
      <c r="D435" s="53" t="n"/>
      <c r="E435" s="53" t="n"/>
      <c r="F435" s="54" t="n"/>
      <c r="G435" s="54" t="n"/>
      <c r="H435" s="54" t="n"/>
      <c r="I435" s="54" t="n"/>
      <c r="J435" s="53" t="n"/>
      <c r="K435" s="55" t="str">
        <f>IF(COUNTA(A435:I435)=0,"",IF(F435="",IFERROR(INDEX(eq_dur,MATCH(B435,eq_code,0)),""),F435))</f>
        <v/>
      </c>
      <c r="L435" s="55" t="str">
        <f>IF(ISNUMBER(K435),N(IFERROR(INDEX(eq_pause,MATCH(B435,eq_code,0)),0))+SUMIFS(st_min,st_date,A435,st_eq,B435,st_po,C435,st_type,"Planifié"),"")</f>
        <v/>
      </c>
      <c r="M435" s="55" t="str">
        <f>IF(ISNUMBER(K435),K435-L435,"")</f>
        <v/>
      </c>
      <c r="N435" s="55" t="str">
        <f>IF(ISNUMBER(K435),SUMIFS(st_min,st_date,A435,st_eq,B435,st_po,C435,st_type,"Non planifié"),"")</f>
        <v/>
      </c>
      <c r="O435" s="55" t="str">
        <f>IF(ISNUMBER(K435),M435-N435,"")</f>
        <v/>
      </c>
      <c r="P435" s="55" t="str">
        <f>IF(COUNTA(A435:I435)=0,"",N(G435)+N(H435)+N(I435))</f>
        <v/>
      </c>
      <c r="Q435" s="56" t="str">
        <f>IF(COUNTA(A435:I435)=0,"",IF(N(IFERROR(INDEX(art_rate,MATCH(E435,art_ref,0)),0))&gt;0,N(IFERROR(INDEX(art_rate,MATCH(E435,art_ref,0)),0)),N(IFERROR(INDEX(po_rate,MATCH(C435,po_code,0)),0))))</f>
        <v/>
      </c>
      <c r="R435" s="55" t="str">
        <f>IF(AC435=1,P435*60/Q435,"")</f>
        <v/>
      </c>
      <c r="S435" s="55" t="str">
        <f>IF(AC435=1,N(G435)*60/Q435,"")</f>
        <v/>
      </c>
      <c r="T435" s="57" t="str">
        <f>IF(AC435=1,O435/M435,"")</f>
        <v/>
      </c>
      <c r="U435" s="57" t="str">
        <f>IF(AC435=1,IF(O435&gt;0,R435/O435,""),"")</f>
        <v/>
      </c>
      <c r="V435" s="57" t="str">
        <f>IF(AC435=1,IF(P435&gt;0,N(G435)/P435,""),"")</f>
        <v/>
      </c>
      <c r="W435" s="57" t="str">
        <f>IF(AC435=1,S435/M435,"")</f>
        <v/>
      </c>
      <c r="X435" s="57" t="str">
        <f>IF(AC435=1,S435/K435,"")</f>
        <v/>
      </c>
      <c r="Y435" s="58" t="str">
        <f>IF(W435="","",IF(W435&gt;=p_target,"Bon",IF(W435&gt;=p_alert,"À surveiller","Faible")))</f>
        <v/>
      </c>
      <c r="Z435" s="58" t="str">
        <f>IF(W435="","",IF(MIN(IF(T435="",1,T435),IF(U435="",1,U435),IF(V435="",1,V435))&gt;=1,"Aucune",IF(IF(T435="",1,T435)&lt;=MIN(IF(U435="",1,U435),IF(V435="",1,V435)),"Disponibilité",IF(IF(U435="",1,U435)&lt;=IF(V435="",1,V435),"Performance","Qualité"))))</f>
        <v/>
      </c>
      <c r="AA435" s="59" t="str">
        <f>IF(AC435=1,N(H435)*N(IFERROR(INDEX(art_cost,MATCH(E435,art_ref,0)),0)),"")</f>
        <v/>
      </c>
      <c r="AB435" s="58" t="str">
        <f>IF(COUNTA(A435:I435)=0,"",IF(N(A435)&lt;=0,"Date manquante ou invalide",IF(B435="","Équipe manquante",IF(ISNA(MATCH(B435,eq_code,0)),"Équipe inconnue",IF(INDEX(eq_check,MATCH(B435,eq_code,0))&lt;&gt;"OK","Équipe à corriger dans Paramètres",IF(C435="","Poste manquant",IF(ISNA(MATCH(C435,po_code,0)),"Poste inconnu",IF(AND(E435&lt;&gt;"",ISNA(MATCH(E435,art_ref,0))),"Article inconnu",IF(IF(E435="",FALSE,INDEX(art_check,MATCH(E435,art_ref,0))&lt;&gt;"OK"),"Article à corriger (feuille Articles)",IF(COUNTIFS(sj_date,A435,sj_eq,B435,sj_po,C435)&gt;1,"Ligne en double (même jour, équipe et poste)",IF(OR(NOT(ISNUMBER(K435)),N(K435)&lt;=0,N(K435)&gt;1440),"Temps d'ouverture invalide",IF(OR(AND(G435&lt;&gt;"",NOT(ISNUMBER(G435))),N(G435)&lt;0,N(G435)&lt;&gt;INT(N(G435)),AND(H435&lt;&gt;"",NOT(ISNUMBER(H435))),N(H435)&lt;0,N(H435)&lt;&gt;INT(N(H435)),AND(I435&lt;&gt;"",NOT(ISNUMBER(I435))),N(I435)&lt;0,N(I435)&lt;&gt;INT(N(I435))),"Quantité invalide",IF(Q435&lt;=0,"Cadence manquante (poste ou article)",IF(M435&lt;=0,"Arrêts planifiés supérieurs au temps d'ouverture",IF(O435&lt;0,"Arrêts supérieurs au temps requis",IF(AND(P435&gt;0,O435=0),"Pièces déclarées sans temps de marche",IF(AND(P435=0,O435&gt;0),"Aucune pièce déclarée",IF(P435*60/Q435&gt;O435+0.001,"Cadence dépassée : vérifiez la cadence","OK"))))))))))))))))))</f>
        <v/>
      </c>
      <c r="AC435">
        <f>IF(OR(AB435="OK",AB435="Aucune pièce déclarée",AB435="Cadence dépassée : vérifiez la cadence"),1,0)</f>
        <v>0.0</v>
      </c>
      <c r="AD435">
        <f>IF(AND(AC435=1,A435&gt;=p_from,A435&lt;=p_to),1,0)</f>
        <v>0.0</v>
      </c>
      <c r="AE435">
        <f>IF(AD435=1,IF(COUNTIFS($A$6:A435,A435,$AD$6:AD435,1)=1,1,0),0)</f>
        <v>0.0</v>
      </c>
      <c r="AF435" t="str">
        <f>IF(AE435=1,COUNTIFS(sj_first,1,sj_date,"&lt;"&amp;A435)+1,"")</f>
        <v/>
      </c>
      <c r="AG435" t="str">
        <f>IF(AND(AD435=1,N(W435)&lt;p_alert),ROUND(W435,4),"")</f>
        <v/>
      </c>
      <c r="AH435" t="str">
        <f>IF(AG435="","",COUNTIF(sj_akey,"&lt;"&amp;AG435)+COUNTIF($AG$6:AG435,AG435))</f>
        <v/>
      </c>
    </row>
    <row r="436">
      <c r="A436" s="51" t="n"/>
      <c r="B436" s="52" t="n"/>
      <c r="C436" s="52" t="n"/>
      <c r="D436" s="53" t="n"/>
      <c r="E436" s="53" t="n"/>
      <c r="F436" s="54" t="n"/>
      <c r="G436" s="54" t="n"/>
      <c r="H436" s="54" t="n"/>
      <c r="I436" s="54" t="n"/>
      <c r="J436" s="53" t="n"/>
      <c r="K436" s="55" t="str">
        <f>IF(COUNTA(A436:I436)=0,"",IF(F436="",IFERROR(INDEX(eq_dur,MATCH(B436,eq_code,0)),""),F436))</f>
        <v/>
      </c>
      <c r="L436" s="55" t="str">
        <f>IF(ISNUMBER(K436),N(IFERROR(INDEX(eq_pause,MATCH(B436,eq_code,0)),0))+SUMIFS(st_min,st_date,A436,st_eq,B436,st_po,C436,st_type,"Planifié"),"")</f>
        <v/>
      </c>
      <c r="M436" s="55" t="str">
        <f>IF(ISNUMBER(K436),K436-L436,"")</f>
        <v/>
      </c>
      <c r="N436" s="55" t="str">
        <f>IF(ISNUMBER(K436),SUMIFS(st_min,st_date,A436,st_eq,B436,st_po,C436,st_type,"Non planifié"),"")</f>
        <v/>
      </c>
      <c r="O436" s="55" t="str">
        <f>IF(ISNUMBER(K436),M436-N436,"")</f>
        <v/>
      </c>
      <c r="P436" s="55" t="str">
        <f>IF(COUNTA(A436:I436)=0,"",N(G436)+N(H436)+N(I436))</f>
        <v/>
      </c>
      <c r="Q436" s="56" t="str">
        <f>IF(COUNTA(A436:I436)=0,"",IF(N(IFERROR(INDEX(art_rate,MATCH(E436,art_ref,0)),0))&gt;0,N(IFERROR(INDEX(art_rate,MATCH(E436,art_ref,0)),0)),N(IFERROR(INDEX(po_rate,MATCH(C436,po_code,0)),0))))</f>
        <v/>
      </c>
      <c r="R436" s="55" t="str">
        <f>IF(AC436=1,P436*60/Q436,"")</f>
        <v/>
      </c>
      <c r="S436" s="55" t="str">
        <f>IF(AC436=1,N(G436)*60/Q436,"")</f>
        <v/>
      </c>
      <c r="T436" s="57" t="str">
        <f>IF(AC436=1,O436/M436,"")</f>
        <v/>
      </c>
      <c r="U436" s="57" t="str">
        <f>IF(AC436=1,IF(O436&gt;0,R436/O436,""),"")</f>
        <v/>
      </c>
      <c r="V436" s="57" t="str">
        <f>IF(AC436=1,IF(P436&gt;0,N(G436)/P436,""),"")</f>
        <v/>
      </c>
      <c r="W436" s="57" t="str">
        <f>IF(AC436=1,S436/M436,"")</f>
        <v/>
      </c>
      <c r="X436" s="57" t="str">
        <f>IF(AC436=1,S436/K436,"")</f>
        <v/>
      </c>
      <c r="Y436" s="58" t="str">
        <f>IF(W436="","",IF(W436&gt;=p_target,"Bon",IF(W436&gt;=p_alert,"À surveiller","Faible")))</f>
        <v/>
      </c>
      <c r="Z436" s="58" t="str">
        <f>IF(W436="","",IF(MIN(IF(T436="",1,T436),IF(U436="",1,U436),IF(V436="",1,V436))&gt;=1,"Aucune",IF(IF(T436="",1,T436)&lt;=MIN(IF(U436="",1,U436),IF(V436="",1,V436)),"Disponibilité",IF(IF(U436="",1,U436)&lt;=IF(V436="",1,V436),"Performance","Qualité"))))</f>
        <v/>
      </c>
      <c r="AA436" s="59" t="str">
        <f>IF(AC436=1,N(H436)*N(IFERROR(INDEX(art_cost,MATCH(E436,art_ref,0)),0)),"")</f>
        <v/>
      </c>
      <c r="AB436" s="58" t="str">
        <f>IF(COUNTA(A436:I436)=0,"",IF(N(A436)&lt;=0,"Date manquante ou invalide",IF(B436="","Équipe manquante",IF(ISNA(MATCH(B436,eq_code,0)),"Équipe inconnue",IF(INDEX(eq_check,MATCH(B436,eq_code,0))&lt;&gt;"OK","Équipe à corriger dans Paramètres",IF(C436="","Poste manquant",IF(ISNA(MATCH(C436,po_code,0)),"Poste inconnu",IF(AND(E436&lt;&gt;"",ISNA(MATCH(E436,art_ref,0))),"Article inconnu",IF(IF(E436="",FALSE,INDEX(art_check,MATCH(E436,art_ref,0))&lt;&gt;"OK"),"Article à corriger (feuille Articles)",IF(COUNTIFS(sj_date,A436,sj_eq,B436,sj_po,C436)&gt;1,"Ligne en double (même jour, équipe et poste)",IF(OR(NOT(ISNUMBER(K436)),N(K436)&lt;=0,N(K436)&gt;1440),"Temps d'ouverture invalide",IF(OR(AND(G436&lt;&gt;"",NOT(ISNUMBER(G436))),N(G436)&lt;0,N(G436)&lt;&gt;INT(N(G436)),AND(H436&lt;&gt;"",NOT(ISNUMBER(H436))),N(H436)&lt;0,N(H436)&lt;&gt;INT(N(H436)),AND(I436&lt;&gt;"",NOT(ISNUMBER(I436))),N(I436)&lt;0,N(I436)&lt;&gt;INT(N(I436))),"Quantité invalide",IF(Q436&lt;=0,"Cadence manquante (poste ou article)",IF(M436&lt;=0,"Arrêts planifiés supérieurs au temps d'ouverture",IF(O436&lt;0,"Arrêts supérieurs au temps requis",IF(AND(P436&gt;0,O436=0),"Pièces déclarées sans temps de marche",IF(AND(P436=0,O436&gt;0),"Aucune pièce déclarée",IF(P436*60/Q436&gt;O436+0.001,"Cadence dépassée : vérifiez la cadence","OK"))))))))))))))))))</f>
        <v/>
      </c>
      <c r="AC436">
        <f>IF(OR(AB436="OK",AB436="Aucune pièce déclarée",AB436="Cadence dépassée : vérifiez la cadence"),1,0)</f>
        <v>0.0</v>
      </c>
      <c r="AD436">
        <f>IF(AND(AC436=1,A436&gt;=p_from,A436&lt;=p_to),1,0)</f>
        <v>0.0</v>
      </c>
      <c r="AE436">
        <f>IF(AD436=1,IF(COUNTIFS($A$6:A436,A436,$AD$6:AD436,1)=1,1,0),0)</f>
        <v>0.0</v>
      </c>
      <c r="AF436" t="str">
        <f>IF(AE436=1,COUNTIFS(sj_first,1,sj_date,"&lt;"&amp;A436)+1,"")</f>
        <v/>
      </c>
      <c r="AG436" t="str">
        <f>IF(AND(AD436=1,N(W436)&lt;p_alert),ROUND(W436,4),"")</f>
        <v/>
      </c>
      <c r="AH436" t="str">
        <f>IF(AG436="","",COUNTIF(sj_akey,"&lt;"&amp;AG436)+COUNTIF($AG$6:AG436,AG436))</f>
        <v/>
      </c>
    </row>
    <row r="437">
      <c r="A437" s="51" t="n"/>
      <c r="B437" s="52" t="n"/>
      <c r="C437" s="52" t="n"/>
      <c r="D437" s="53" t="n"/>
      <c r="E437" s="53" t="n"/>
      <c r="F437" s="54" t="n"/>
      <c r="G437" s="54" t="n"/>
      <c r="H437" s="54" t="n"/>
      <c r="I437" s="54" t="n"/>
      <c r="J437" s="53" t="n"/>
      <c r="K437" s="55" t="str">
        <f>IF(COUNTA(A437:I437)=0,"",IF(F437="",IFERROR(INDEX(eq_dur,MATCH(B437,eq_code,0)),""),F437))</f>
        <v/>
      </c>
      <c r="L437" s="55" t="str">
        <f>IF(ISNUMBER(K437),N(IFERROR(INDEX(eq_pause,MATCH(B437,eq_code,0)),0))+SUMIFS(st_min,st_date,A437,st_eq,B437,st_po,C437,st_type,"Planifié"),"")</f>
        <v/>
      </c>
      <c r="M437" s="55" t="str">
        <f>IF(ISNUMBER(K437),K437-L437,"")</f>
        <v/>
      </c>
      <c r="N437" s="55" t="str">
        <f>IF(ISNUMBER(K437),SUMIFS(st_min,st_date,A437,st_eq,B437,st_po,C437,st_type,"Non planifié"),"")</f>
        <v/>
      </c>
      <c r="O437" s="55" t="str">
        <f>IF(ISNUMBER(K437),M437-N437,"")</f>
        <v/>
      </c>
      <c r="P437" s="55" t="str">
        <f>IF(COUNTA(A437:I437)=0,"",N(G437)+N(H437)+N(I437))</f>
        <v/>
      </c>
      <c r="Q437" s="56" t="str">
        <f>IF(COUNTA(A437:I437)=0,"",IF(N(IFERROR(INDEX(art_rate,MATCH(E437,art_ref,0)),0))&gt;0,N(IFERROR(INDEX(art_rate,MATCH(E437,art_ref,0)),0)),N(IFERROR(INDEX(po_rate,MATCH(C437,po_code,0)),0))))</f>
        <v/>
      </c>
      <c r="R437" s="55" t="str">
        <f>IF(AC437=1,P437*60/Q437,"")</f>
        <v/>
      </c>
      <c r="S437" s="55" t="str">
        <f>IF(AC437=1,N(G437)*60/Q437,"")</f>
        <v/>
      </c>
      <c r="T437" s="57" t="str">
        <f>IF(AC437=1,O437/M437,"")</f>
        <v/>
      </c>
      <c r="U437" s="57" t="str">
        <f>IF(AC437=1,IF(O437&gt;0,R437/O437,""),"")</f>
        <v/>
      </c>
      <c r="V437" s="57" t="str">
        <f>IF(AC437=1,IF(P437&gt;0,N(G437)/P437,""),"")</f>
        <v/>
      </c>
      <c r="W437" s="57" t="str">
        <f>IF(AC437=1,S437/M437,"")</f>
        <v/>
      </c>
      <c r="X437" s="57" t="str">
        <f>IF(AC437=1,S437/K437,"")</f>
        <v/>
      </c>
      <c r="Y437" s="58" t="str">
        <f>IF(W437="","",IF(W437&gt;=p_target,"Bon",IF(W437&gt;=p_alert,"À surveiller","Faible")))</f>
        <v/>
      </c>
      <c r="Z437" s="58" t="str">
        <f>IF(W437="","",IF(MIN(IF(T437="",1,T437),IF(U437="",1,U437),IF(V437="",1,V437))&gt;=1,"Aucune",IF(IF(T437="",1,T437)&lt;=MIN(IF(U437="",1,U437),IF(V437="",1,V437)),"Disponibilité",IF(IF(U437="",1,U437)&lt;=IF(V437="",1,V437),"Performance","Qualité"))))</f>
        <v/>
      </c>
      <c r="AA437" s="59" t="str">
        <f>IF(AC437=1,N(H437)*N(IFERROR(INDEX(art_cost,MATCH(E437,art_ref,0)),0)),"")</f>
        <v/>
      </c>
      <c r="AB437" s="58" t="str">
        <f>IF(COUNTA(A437:I437)=0,"",IF(N(A437)&lt;=0,"Date manquante ou invalide",IF(B437="","Équipe manquante",IF(ISNA(MATCH(B437,eq_code,0)),"Équipe inconnue",IF(INDEX(eq_check,MATCH(B437,eq_code,0))&lt;&gt;"OK","Équipe à corriger dans Paramètres",IF(C437="","Poste manquant",IF(ISNA(MATCH(C437,po_code,0)),"Poste inconnu",IF(AND(E437&lt;&gt;"",ISNA(MATCH(E437,art_ref,0))),"Article inconnu",IF(IF(E437="",FALSE,INDEX(art_check,MATCH(E437,art_ref,0))&lt;&gt;"OK"),"Article à corriger (feuille Articles)",IF(COUNTIFS(sj_date,A437,sj_eq,B437,sj_po,C437)&gt;1,"Ligne en double (même jour, équipe et poste)",IF(OR(NOT(ISNUMBER(K437)),N(K437)&lt;=0,N(K437)&gt;1440),"Temps d'ouverture invalide",IF(OR(AND(G437&lt;&gt;"",NOT(ISNUMBER(G437))),N(G437)&lt;0,N(G437)&lt;&gt;INT(N(G437)),AND(H437&lt;&gt;"",NOT(ISNUMBER(H437))),N(H437)&lt;0,N(H437)&lt;&gt;INT(N(H437)),AND(I437&lt;&gt;"",NOT(ISNUMBER(I437))),N(I437)&lt;0,N(I437)&lt;&gt;INT(N(I437))),"Quantité invalide",IF(Q437&lt;=0,"Cadence manquante (poste ou article)",IF(M437&lt;=0,"Arrêts planifiés supérieurs au temps d'ouverture",IF(O437&lt;0,"Arrêts supérieurs au temps requis",IF(AND(P437&gt;0,O437=0),"Pièces déclarées sans temps de marche",IF(AND(P437=0,O437&gt;0),"Aucune pièce déclarée",IF(P437*60/Q437&gt;O437+0.001,"Cadence dépassée : vérifiez la cadence","OK"))))))))))))))))))</f>
        <v/>
      </c>
      <c r="AC437">
        <f>IF(OR(AB437="OK",AB437="Aucune pièce déclarée",AB437="Cadence dépassée : vérifiez la cadence"),1,0)</f>
        <v>0.0</v>
      </c>
      <c r="AD437">
        <f>IF(AND(AC437=1,A437&gt;=p_from,A437&lt;=p_to),1,0)</f>
        <v>0.0</v>
      </c>
      <c r="AE437">
        <f>IF(AD437=1,IF(COUNTIFS($A$6:A437,A437,$AD$6:AD437,1)=1,1,0),0)</f>
        <v>0.0</v>
      </c>
      <c r="AF437" t="str">
        <f>IF(AE437=1,COUNTIFS(sj_first,1,sj_date,"&lt;"&amp;A437)+1,"")</f>
        <v/>
      </c>
      <c r="AG437" t="str">
        <f>IF(AND(AD437=1,N(W437)&lt;p_alert),ROUND(W437,4),"")</f>
        <v/>
      </c>
      <c r="AH437" t="str">
        <f>IF(AG437="","",COUNTIF(sj_akey,"&lt;"&amp;AG437)+COUNTIF($AG$6:AG437,AG437))</f>
        <v/>
      </c>
    </row>
    <row r="438">
      <c r="A438" s="51" t="n"/>
      <c r="B438" s="52" t="n"/>
      <c r="C438" s="52" t="n"/>
      <c r="D438" s="53" t="n"/>
      <c r="E438" s="53" t="n"/>
      <c r="F438" s="54" t="n"/>
      <c r="G438" s="54" t="n"/>
      <c r="H438" s="54" t="n"/>
      <c r="I438" s="54" t="n"/>
      <c r="J438" s="53" t="n"/>
      <c r="K438" s="55" t="str">
        <f>IF(COUNTA(A438:I438)=0,"",IF(F438="",IFERROR(INDEX(eq_dur,MATCH(B438,eq_code,0)),""),F438))</f>
        <v/>
      </c>
      <c r="L438" s="55" t="str">
        <f>IF(ISNUMBER(K438),N(IFERROR(INDEX(eq_pause,MATCH(B438,eq_code,0)),0))+SUMIFS(st_min,st_date,A438,st_eq,B438,st_po,C438,st_type,"Planifié"),"")</f>
        <v/>
      </c>
      <c r="M438" s="55" t="str">
        <f>IF(ISNUMBER(K438),K438-L438,"")</f>
        <v/>
      </c>
      <c r="N438" s="55" t="str">
        <f>IF(ISNUMBER(K438),SUMIFS(st_min,st_date,A438,st_eq,B438,st_po,C438,st_type,"Non planifié"),"")</f>
        <v/>
      </c>
      <c r="O438" s="55" t="str">
        <f>IF(ISNUMBER(K438),M438-N438,"")</f>
        <v/>
      </c>
      <c r="P438" s="55" t="str">
        <f>IF(COUNTA(A438:I438)=0,"",N(G438)+N(H438)+N(I438))</f>
        <v/>
      </c>
      <c r="Q438" s="56" t="str">
        <f>IF(COUNTA(A438:I438)=0,"",IF(N(IFERROR(INDEX(art_rate,MATCH(E438,art_ref,0)),0))&gt;0,N(IFERROR(INDEX(art_rate,MATCH(E438,art_ref,0)),0)),N(IFERROR(INDEX(po_rate,MATCH(C438,po_code,0)),0))))</f>
        <v/>
      </c>
      <c r="R438" s="55" t="str">
        <f>IF(AC438=1,P438*60/Q438,"")</f>
        <v/>
      </c>
      <c r="S438" s="55" t="str">
        <f>IF(AC438=1,N(G438)*60/Q438,"")</f>
        <v/>
      </c>
      <c r="T438" s="57" t="str">
        <f>IF(AC438=1,O438/M438,"")</f>
        <v/>
      </c>
      <c r="U438" s="57" t="str">
        <f>IF(AC438=1,IF(O438&gt;0,R438/O438,""),"")</f>
        <v/>
      </c>
      <c r="V438" s="57" t="str">
        <f>IF(AC438=1,IF(P438&gt;0,N(G438)/P438,""),"")</f>
        <v/>
      </c>
      <c r="W438" s="57" t="str">
        <f>IF(AC438=1,S438/M438,"")</f>
        <v/>
      </c>
      <c r="X438" s="57" t="str">
        <f>IF(AC438=1,S438/K438,"")</f>
        <v/>
      </c>
      <c r="Y438" s="58" t="str">
        <f>IF(W438="","",IF(W438&gt;=p_target,"Bon",IF(W438&gt;=p_alert,"À surveiller","Faible")))</f>
        <v/>
      </c>
      <c r="Z438" s="58" t="str">
        <f>IF(W438="","",IF(MIN(IF(T438="",1,T438),IF(U438="",1,U438),IF(V438="",1,V438))&gt;=1,"Aucune",IF(IF(T438="",1,T438)&lt;=MIN(IF(U438="",1,U438),IF(V438="",1,V438)),"Disponibilité",IF(IF(U438="",1,U438)&lt;=IF(V438="",1,V438),"Performance","Qualité"))))</f>
        <v/>
      </c>
      <c r="AA438" s="59" t="str">
        <f>IF(AC438=1,N(H438)*N(IFERROR(INDEX(art_cost,MATCH(E438,art_ref,0)),0)),"")</f>
        <v/>
      </c>
      <c r="AB438" s="58" t="str">
        <f>IF(COUNTA(A438:I438)=0,"",IF(N(A438)&lt;=0,"Date manquante ou invalide",IF(B438="","Équipe manquante",IF(ISNA(MATCH(B438,eq_code,0)),"Équipe inconnue",IF(INDEX(eq_check,MATCH(B438,eq_code,0))&lt;&gt;"OK","Équipe à corriger dans Paramètres",IF(C438="","Poste manquant",IF(ISNA(MATCH(C438,po_code,0)),"Poste inconnu",IF(AND(E438&lt;&gt;"",ISNA(MATCH(E438,art_ref,0))),"Article inconnu",IF(IF(E438="",FALSE,INDEX(art_check,MATCH(E438,art_ref,0))&lt;&gt;"OK"),"Article à corriger (feuille Articles)",IF(COUNTIFS(sj_date,A438,sj_eq,B438,sj_po,C438)&gt;1,"Ligne en double (même jour, équipe et poste)",IF(OR(NOT(ISNUMBER(K438)),N(K438)&lt;=0,N(K438)&gt;1440),"Temps d'ouverture invalide",IF(OR(AND(G438&lt;&gt;"",NOT(ISNUMBER(G438))),N(G438)&lt;0,N(G438)&lt;&gt;INT(N(G438)),AND(H438&lt;&gt;"",NOT(ISNUMBER(H438))),N(H438)&lt;0,N(H438)&lt;&gt;INT(N(H438)),AND(I438&lt;&gt;"",NOT(ISNUMBER(I438))),N(I438)&lt;0,N(I438)&lt;&gt;INT(N(I438))),"Quantité invalide",IF(Q438&lt;=0,"Cadence manquante (poste ou article)",IF(M438&lt;=0,"Arrêts planifiés supérieurs au temps d'ouverture",IF(O438&lt;0,"Arrêts supérieurs au temps requis",IF(AND(P438&gt;0,O438=0),"Pièces déclarées sans temps de marche",IF(AND(P438=0,O438&gt;0),"Aucune pièce déclarée",IF(P438*60/Q438&gt;O438+0.001,"Cadence dépassée : vérifiez la cadence","OK"))))))))))))))))))</f>
        <v/>
      </c>
      <c r="AC438">
        <f>IF(OR(AB438="OK",AB438="Aucune pièce déclarée",AB438="Cadence dépassée : vérifiez la cadence"),1,0)</f>
        <v>0.0</v>
      </c>
      <c r="AD438">
        <f>IF(AND(AC438=1,A438&gt;=p_from,A438&lt;=p_to),1,0)</f>
        <v>0.0</v>
      </c>
      <c r="AE438">
        <f>IF(AD438=1,IF(COUNTIFS($A$6:A438,A438,$AD$6:AD438,1)=1,1,0),0)</f>
        <v>0.0</v>
      </c>
      <c r="AF438" t="str">
        <f>IF(AE438=1,COUNTIFS(sj_first,1,sj_date,"&lt;"&amp;A438)+1,"")</f>
        <v/>
      </c>
      <c r="AG438" t="str">
        <f>IF(AND(AD438=1,N(W438)&lt;p_alert),ROUND(W438,4),"")</f>
        <v/>
      </c>
      <c r="AH438" t="str">
        <f>IF(AG438="","",COUNTIF(sj_akey,"&lt;"&amp;AG438)+COUNTIF($AG$6:AG438,AG438))</f>
        <v/>
      </c>
    </row>
    <row r="439">
      <c r="A439" s="51" t="n"/>
      <c r="B439" s="52" t="n"/>
      <c r="C439" s="52" t="n"/>
      <c r="D439" s="53" t="n"/>
      <c r="E439" s="53" t="n"/>
      <c r="F439" s="54" t="n"/>
      <c r="G439" s="54" t="n"/>
      <c r="H439" s="54" t="n"/>
      <c r="I439" s="54" t="n"/>
      <c r="J439" s="53" t="n"/>
      <c r="K439" s="55" t="str">
        <f>IF(COUNTA(A439:I439)=0,"",IF(F439="",IFERROR(INDEX(eq_dur,MATCH(B439,eq_code,0)),""),F439))</f>
        <v/>
      </c>
      <c r="L439" s="55" t="str">
        <f>IF(ISNUMBER(K439),N(IFERROR(INDEX(eq_pause,MATCH(B439,eq_code,0)),0))+SUMIFS(st_min,st_date,A439,st_eq,B439,st_po,C439,st_type,"Planifié"),"")</f>
        <v/>
      </c>
      <c r="M439" s="55" t="str">
        <f>IF(ISNUMBER(K439),K439-L439,"")</f>
        <v/>
      </c>
      <c r="N439" s="55" t="str">
        <f>IF(ISNUMBER(K439),SUMIFS(st_min,st_date,A439,st_eq,B439,st_po,C439,st_type,"Non planifié"),"")</f>
        <v/>
      </c>
      <c r="O439" s="55" t="str">
        <f>IF(ISNUMBER(K439),M439-N439,"")</f>
        <v/>
      </c>
      <c r="P439" s="55" t="str">
        <f>IF(COUNTA(A439:I439)=0,"",N(G439)+N(H439)+N(I439))</f>
        <v/>
      </c>
      <c r="Q439" s="56" t="str">
        <f>IF(COUNTA(A439:I439)=0,"",IF(N(IFERROR(INDEX(art_rate,MATCH(E439,art_ref,0)),0))&gt;0,N(IFERROR(INDEX(art_rate,MATCH(E439,art_ref,0)),0)),N(IFERROR(INDEX(po_rate,MATCH(C439,po_code,0)),0))))</f>
        <v/>
      </c>
      <c r="R439" s="55" t="str">
        <f>IF(AC439=1,P439*60/Q439,"")</f>
        <v/>
      </c>
      <c r="S439" s="55" t="str">
        <f>IF(AC439=1,N(G439)*60/Q439,"")</f>
        <v/>
      </c>
      <c r="T439" s="57" t="str">
        <f>IF(AC439=1,O439/M439,"")</f>
        <v/>
      </c>
      <c r="U439" s="57" t="str">
        <f>IF(AC439=1,IF(O439&gt;0,R439/O439,""),"")</f>
        <v/>
      </c>
      <c r="V439" s="57" t="str">
        <f>IF(AC439=1,IF(P439&gt;0,N(G439)/P439,""),"")</f>
        <v/>
      </c>
      <c r="W439" s="57" t="str">
        <f>IF(AC439=1,S439/M439,"")</f>
        <v/>
      </c>
      <c r="X439" s="57" t="str">
        <f>IF(AC439=1,S439/K439,"")</f>
        <v/>
      </c>
      <c r="Y439" s="58" t="str">
        <f>IF(W439="","",IF(W439&gt;=p_target,"Bon",IF(W439&gt;=p_alert,"À surveiller","Faible")))</f>
        <v/>
      </c>
      <c r="Z439" s="58" t="str">
        <f>IF(W439="","",IF(MIN(IF(T439="",1,T439),IF(U439="",1,U439),IF(V439="",1,V439))&gt;=1,"Aucune",IF(IF(T439="",1,T439)&lt;=MIN(IF(U439="",1,U439),IF(V439="",1,V439)),"Disponibilité",IF(IF(U439="",1,U439)&lt;=IF(V439="",1,V439),"Performance","Qualité"))))</f>
        <v/>
      </c>
      <c r="AA439" s="59" t="str">
        <f>IF(AC439=1,N(H439)*N(IFERROR(INDEX(art_cost,MATCH(E439,art_ref,0)),0)),"")</f>
        <v/>
      </c>
      <c r="AB439" s="58" t="str">
        <f>IF(COUNTA(A439:I439)=0,"",IF(N(A439)&lt;=0,"Date manquante ou invalide",IF(B439="","Équipe manquante",IF(ISNA(MATCH(B439,eq_code,0)),"Équipe inconnue",IF(INDEX(eq_check,MATCH(B439,eq_code,0))&lt;&gt;"OK","Équipe à corriger dans Paramètres",IF(C439="","Poste manquant",IF(ISNA(MATCH(C439,po_code,0)),"Poste inconnu",IF(AND(E439&lt;&gt;"",ISNA(MATCH(E439,art_ref,0))),"Article inconnu",IF(IF(E439="",FALSE,INDEX(art_check,MATCH(E439,art_ref,0))&lt;&gt;"OK"),"Article à corriger (feuille Articles)",IF(COUNTIFS(sj_date,A439,sj_eq,B439,sj_po,C439)&gt;1,"Ligne en double (même jour, équipe et poste)",IF(OR(NOT(ISNUMBER(K439)),N(K439)&lt;=0,N(K439)&gt;1440),"Temps d'ouverture invalide",IF(OR(AND(G439&lt;&gt;"",NOT(ISNUMBER(G439))),N(G439)&lt;0,N(G439)&lt;&gt;INT(N(G439)),AND(H439&lt;&gt;"",NOT(ISNUMBER(H439))),N(H439)&lt;0,N(H439)&lt;&gt;INT(N(H439)),AND(I439&lt;&gt;"",NOT(ISNUMBER(I439))),N(I439)&lt;0,N(I439)&lt;&gt;INT(N(I439))),"Quantité invalide",IF(Q439&lt;=0,"Cadence manquante (poste ou article)",IF(M439&lt;=0,"Arrêts planifiés supérieurs au temps d'ouverture",IF(O439&lt;0,"Arrêts supérieurs au temps requis",IF(AND(P439&gt;0,O439=0),"Pièces déclarées sans temps de marche",IF(AND(P439=0,O439&gt;0),"Aucune pièce déclarée",IF(P439*60/Q439&gt;O439+0.001,"Cadence dépassée : vérifiez la cadence","OK"))))))))))))))))))</f>
        <v/>
      </c>
      <c r="AC439">
        <f>IF(OR(AB439="OK",AB439="Aucune pièce déclarée",AB439="Cadence dépassée : vérifiez la cadence"),1,0)</f>
        <v>0.0</v>
      </c>
      <c r="AD439">
        <f>IF(AND(AC439=1,A439&gt;=p_from,A439&lt;=p_to),1,0)</f>
        <v>0.0</v>
      </c>
      <c r="AE439">
        <f>IF(AD439=1,IF(COUNTIFS($A$6:A439,A439,$AD$6:AD439,1)=1,1,0),0)</f>
        <v>0.0</v>
      </c>
      <c r="AF439" t="str">
        <f>IF(AE439=1,COUNTIFS(sj_first,1,sj_date,"&lt;"&amp;A439)+1,"")</f>
        <v/>
      </c>
      <c r="AG439" t="str">
        <f>IF(AND(AD439=1,N(W439)&lt;p_alert),ROUND(W439,4),"")</f>
        <v/>
      </c>
      <c r="AH439" t="str">
        <f>IF(AG439="","",COUNTIF(sj_akey,"&lt;"&amp;AG439)+COUNTIF($AG$6:AG439,AG439))</f>
        <v/>
      </c>
    </row>
    <row r="440">
      <c r="A440" s="51" t="n"/>
      <c r="B440" s="52" t="n"/>
      <c r="C440" s="52" t="n"/>
      <c r="D440" s="53" t="n"/>
      <c r="E440" s="53" t="n"/>
      <c r="F440" s="54" t="n"/>
      <c r="G440" s="54" t="n"/>
      <c r="H440" s="54" t="n"/>
      <c r="I440" s="54" t="n"/>
      <c r="J440" s="53" t="n"/>
      <c r="K440" s="55" t="str">
        <f>IF(COUNTA(A440:I440)=0,"",IF(F440="",IFERROR(INDEX(eq_dur,MATCH(B440,eq_code,0)),""),F440))</f>
        <v/>
      </c>
      <c r="L440" s="55" t="str">
        <f>IF(ISNUMBER(K440),N(IFERROR(INDEX(eq_pause,MATCH(B440,eq_code,0)),0))+SUMIFS(st_min,st_date,A440,st_eq,B440,st_po,C440,st_type,"Planifié"),"")</f>
        <v/>
      </c>
      <c r="M440" s="55" t="str">
        <f>IF(ISNUMBER(K440),K440-L440,"")</f>
        <v/>
      </c>
      <c r="N440" s="55" t="str">
        <f>IF(ISNUMBER(K440),SUMIFS(st_min,st_date,A440,st_eq,B440,st_po,C440,st_type,"Non planifié"),"")</f>
        <v/>
      </c>
      <c r="O440" s="55" t="str">
        <f>IF(ISNUMBER(K440),M440-N440,"")</f>
        <v/>
      </c>
      <c r="P440" s="55" t="str">
        <f>IF(COUNTA(A440:I440)=0,"",N(G440)+N(H440)+N(I440))</f>
        <v/>
      </c>
      <c r="Q440" s="56" t="str">
        <f>IF(COUNTA(A440:I440)=0,"",IF(N(IFERROR(INDEX(art_rate,MATCH(E440,art_ref,0)),0))&gt;0,N(IFERROR(INDEX(art_rate,MATCH(E440,art_ref,0)),0)),N(IFERROR(INDEX(po_rate,MATCH(C440,po_code,0)),0))))</f>
        <v/>
      </c>
      <c r="R440" s="55" t="str">
        <f>IF(AC440=1,P440*60/Q440,"")</f>
        <v/>
      </c>
      <c r="S440" s="55" t="str">
        <f>IF(AC440=1,N(G440)*60/Q440,"")</f>
        <v/>
      </c>
      <c r="T440" s="57" t="str">
        <f>IF(AC440=1,O440/M440,"")</f>
        <v/>
      </c>
      <c r="U440" s="57" t="str">
        <f>IF(AC440=1,IF(O440&gt;0,R440/O440,""),"")</f>
        <v/>
      </c>
      <c r="V440" s="57" t="str">
        <f>IF(AC440=1,IF(P440&gt;0,N(G440)/P440,""),"")</f>
        <v/>
      </c>
      <c r="W440" s="57" t="str">
        <f>IF(AC440=1,S440/M440,"")</f>
        <v/>
      </c>
      <c r="X440" s="57" t="str">
        <f>IF(AC440=1,S440/K440,"")</f>
        <v/>
      </c>
      <c r="Y440" s="58" t="str">
        <f>IF(W440="","",IF(W440&gt;=p_target,"Bon",IF(W440&gt;=p_alert,"À surveiller","Faible")))</f>
        <v/>
      </c>
      <c r="Z440" s="58" t="str">
        <f>IF(W440="","",IF(MIN(IF(T440="",1,T440),IF(U440="",1,U440),IF(V440="",1,V440))&gt;=1,"Aucune",IF(IF(T440="",1,T440)&lt;=MIN(IF(U440="",1,U440),IF(V440="",1,V440)),"Disponibilité",IF(IF(U440="",1,U440)&lt;=IF(V440="",1,V440),"Performance","Qualité"))))</f>
        <v/>
      </c>
      <c r="AA440" s="59" t="str">
        <f>IF(AC440=1,N(H440)*N(IFERROR(INDEX(art_cost,MATCH(E440,art_ref,0)),0)),"")</f>
        <v/>
      </c>
      <c r="AB440" s="58" t="str">
        <f>IF(COUNTA(A440:I440)=0,"",IF(N(A440)&lt;=0,"Date manquante ou invalide",IF(B440="","Équipe manquante",IF(ISNA(MATCH(B440,eq_code,0)),"Équipe inconnue",IF(INDEX(eq_check,MATCH(B440,eq_code,0))&lt;&gt;"OK","Équipe à corriger dans Paramètres",IF(C440="","Poste manquant",IF(ISNA(MATCH(C440,po_code,0)),"Poste inconnu",IF(AND(E440&lt;&gt;"",ISNA(MATCH(E440,art_ref,0))),"Article inconnu",IF(IF(E440="",FALSE,INDEX(art_check,MATCH(E440,art_ref,0))&lt;&gt;"OK"),"Article à corriger (feuille Articles)",IF(COUNTIFS(sj_date,A440,sj_eq,B440,sj_po,C440)&gt;1,"Ligne en double (même jour, équipe et poste)",IF(OR(NOT(ISNUMBER(K440)),N(K440)&lt;=0,N(K440)&gt;1440),"Temps d'ouverture invalide",IF(OR(AND(G440&lt;&gt;"",NOT(ISNUMBER(G440))),N(G440)&lt;0,N(G440)&lt;&gt;INT(N(G440)),AND(H440&lt;&gt;"",NOT(ISNUMBER(H440))),N(H440)&lt;0,N(H440)&lt;&gt;INT(N(H440)),AND(I440&lt;&gt;"",NOT(ISNUMBER(I440))),N(I440)&lt;0,N(I440)&lt;&gt;INT(N(I440))),"Quantité invalide",IF(Q440&lt;=0,"Cadence manquante (poste ou article)",IF(M440&lt;=0,"Arrêts planifiés supérieurs au temps d'ouverture",IF(O440&lt;0,"Arrêts supérieurs au temps requis",IF(AND(P440&gt;0,O440=0),"Pièces déclarées sans temps de marche",IF(AND(P440=0,O440&gt;0),"Aucune pièce déclarée",IF(P440*60/Q440&gt;O440+0.001,"Cadence dépassée : vérifiez la cadence","OK"))))))))))))))))))</f>
        <v/>
      </c>
      <c r="AC440">
        <f>IF(OR(AB440="OK",AB440="Aucune pièce déclarée",AB440="Cadence dépassée : vérifiez la cadence"),1,0)</f>
        <v>0.0</v>
      </c>
      <c r="AD440">
        <f>IF(AND(AC440=1,A440&gt;=p_from,A440&lt;=p_to),1,0)</f>
        <v>0.0</v>
      </c>
      <c r="AE440">
        <f>IF(AD440=1,IF(COUNTIFS($A$6:A440,A440,$AD$6:AD440,1)=1,1,0),0)</f>
        <v>0.0</v>
      </c>
      <c r="AF440" t="str">
        <f>IF(AE440=1,COUNTIFS(sj_first,1,sj_date,"&lt;"&amp;A440)+1,"")</f>
        <v/>
      </c>
      <c r="AG440" t="str">
        <f>IF(AND(AD440=1,N(W440)&lt;p_alert),ROUND(W440,4),"")</f>
        <v/>
      </c>
      <c r="AH440" t="str">
        <f>IF(AG440="","",COUNTIF(sj_akey,"&lt;"&amp;AG440)+COUNTIF($AG$6:AG440,AG440))</f>
        <v/>
      </c>
    </row>
    <row r="441">
      <c r="A441" s="51" t="n"/>
      <c r="B441" s="52" t="n"/>
      <c r="C441" s="52" t="n"/>
      <c r="D441" s="53" t="n"/>
      <c r="E441" s="53" t="n"/>
      <c r="F441" s="54" t="n"/>
      <c r="G441" s="54" t="n"/>
      <c r="H441" s="54" t="n"/>
      <c r="I441" s="54" t="n"/>
      <c r="J441" s="53" t="n"/>
      <c r="K441" s="55" t="str">
        <f>IF(COUNTA(A441:I441)=0,"",IF(F441="",IFERROR(INDEX(eq_dur,MATCH(B441,eq_code,0)),""),F441))</f>
        <v/>
      </c>
      <c r="L441" s="55" t="str">
        <f>IF(ISNUMBER(K441),N(IFERROR(INDEX(eq_pause,MATCH(B441,eq_code,0)),0))+SUMIFS(st_min,st_date,A441,st_eq,B441,st_po,C441,st_type,"Planifié"),"")</f>
        <v/>
      </c>
      <c r="M441" s="55" t="str">
        <f>IF(ISNUMBER(K441),K441-L441,"")</f>
        <v/>
      </c>
      <c r="N441" s="55" t="str">
        <f>IF(ISNUMBER(K441),SUMIFS(st_min,st_date,A441,st_eq,B441,st_po,C441,st_type,"Non planifié"),"")</f>
        <v/>
      </c>
      <c r="O441" s="55" t="str">
        <f>IF(ISNUMBER(K441),M441-N441,"")</f>
        <v/>
      </c>
      <c r="P441" s="55" t="str">
        <f>IF(COUNTA(A441:I441)=0,"",N(G441)+N(H441)+N(I441))</f>
        <v/>
      </c>
      <c r="Q441" s="56" t="str">
        <f>IF(COUNTA(A441:I441)=0,"",IF(N(IFERROR(INDEX(art_rate,MATCH(E441,art_ref,0)),0))&gt;0,N(IFERROR(INDEX(art_rate,MATCH(E441,art_ref,0)),0)),N(IFERROR(INDEX(po_rate,MATCH(C441,po_code,0)),0))))</f>
        <v/>
      </c>
      <c r="R441" s="55" t="str">
        <f>IF(AC441=1,P441*60/Q441,"")</f>
        <v/>
      </c>
      <c r="S441" s="55" t="str">
        <f>IF(AC441=1,N(G441)*60/Q441,"")</f>
        <v/>
      </c>
      <c r="T441" s="57" t="str">
        <f>IF(AC441=1,O441/M441,"")</f>
        <v/>
      </c>
      <c r="U441" s="57" t="str">
        <f>IF(AC441=1,IF(O441&gt;0,R441/O441,""),"")</f>
        <v/>
      </c>
      <c r="V441" s="57" t="str">
        <f>IF(AC441=1,IF(P441&gt;0,N(G441)/P441,""),"")</f>
        <v/>
      </c>
      <c r="W441" s="57" t="str">
        <f>IF(AC441=1,S441/M441,"")</f>
        <v/>
      </c>
      <c r="X441" s="57" t="str">
        <f>IF(AC441=1,S441/K441,"")</f>
        <v/>
      </c>
      <c r="Y441" s="58" t="str">
        <f>IF(W441="","",IF(W441&gt;=p_target,"Bon",IF(W441&gt;=p_alert,"À surveiller","Faible")))</f>
        <v/>
      </c>
      <c r="Z441" s="58" t="str">
        <f>IF(W441="","",IF(MIN(IF(T441="",1,T441),IF(U441="",1,U441),IF(V441="",1,V441))&gt;=1,"Aucune",IF(IF(T441="",1,T441)&lt;=MIN(IF(U441="",1,U441),IF(V441="",1,V441)),"Disponibilité",IF(IF(U441="",1,U441)&lt;=IF(V441="",1,V441),"Performance","Qualité"))))</f>
        <v/>
      </c>
      <c r="AA441" s="59" t="str">
        <f>IF(AC441=1,N(H441)*N(IFERROR(INDEX(art_cost,MATCH(E441,art_ref,0)),0)),"")</f>
        <v/>
      </c>
      <c r="AB441" s="58" t="str">
        <f>IF(COUNTA(A441:I441)=0,"",IF(N(A441)&lt;=0,"Date manquante ou invalide",IF(B441="","Équipe manquante",IF(ISNA(MATCH(B441,eq_code,0)),"Équipe inconnue",IF(INDEX(eq_check,MATCH(B441,eq_code,0))&lt;&gt;"OK","Équipe à corriger dans Paramètres",IF(C441="","Poste manquant",IF(ISNA(MATCH(C441,po_code,0)),"Poste inconnu",IF(AND(E441&lt;&gt;"",ISNA(MATCH(E441,art_ref,0))),"Article inconnu",IF(IF(E441="",FALSE,INDEX(art_check,MATCH(E441,art_ref,0))&lt;&gt;"OK"),"Article à corriger (feuille Articles)",IF(COUNTIFS(sj_date,A441,sj_eq,B441,sj_po,C441)&gt;1,"Ligne en double (même jour, équipe et poste)",IF(OR(NOT(ISNUMBER(K441)),N(K441)&lt;=0,N(K441)&gt;1440),"Temps d'ouverture invalide",IF(OR(AND(G441&lt;&gt;"",NOT(ISNUMBER(G441))),N(G441)&lt;0,N(G441)&lt;&gt;INT(N(G441)),AND(H441&lt;&gt;"",NOT(ISNUMBER(H441))),N(H441)&lt;0,N(H441)&lt;&gt;INT(N(H441)),AND(I441&lt;&gt;"",NOT(ISNUMBER(I441))),N(I441)&lt;0,N(I441)&lt;&gt;INT(N(I441))),"Quantité invalide",IF(Q441&lt;=0,"Cadence manquante (poste ou article)",IF(M441&lt;=0,"Arrêts planifiés supérieurs au temps d'ouverture",IF(O441&lt;0,"Arrêts supérieurs au temps requis",IF(AND(P441&gt;0,O441=0),"Pièces déclarées sans temps de marche",IF(AND(P441=0,O441&gt;0),"Aucune pièce déclarée",IF(P441*60/Q441&gt;O441+0.001,"Cadence dépassée : vérifiez la cadence","OK"))))))))))))))))))</f>
        <v/>
      </c>
      <c r="AC441">
        <f>IF(OR(AB441="OK",AB441="Aucune pièce déclarée",AB441="Cadence dépassée : vérifiez la cadence"),1,0)</f>
        <v>0.0</v>
      </c>
      <c r="AD441">
        <f>IF(AND(AC441=1,A441&gt;=p_from,A441&lt;=p_to),1,0)</f>
        <v>0.0</v>
      </c>
      <c r="AE441">
        <f>IF(AD441=1,IF(COUNTIFS($A$6:A441,A441,$AD$6:AD441,1)=1,1,0),0)</f>
        <v>0.0</v>
      </c>
      <c r="AF441" t="str">
        <f>IF(AE441=1,COUNTIFS(sj_first,1,sj_date,"&lt;"&amp;A441)+1,"")</f>
        <v/>
      </c>
      <c r="AG441" t="str">
        <f>IF(AND(AD441=1,N(W441)&lt;p_alert),ROUND(W441,4),"")</f>
        <v/>
      </c>
      <c r="AH441" t="str">
        <f>IF(AG441="","",COUNTIF(sj_akey,"&lt;"&amp;AG441)+COUNTIF($AG$6:AG441,AG441))</f>
        <v/>
      </c>
    </row>
    <row r="442">
      <c r="A442" s="51" t="n"/>
      <c r="B442" s="52" t="n"/>
      <c r="C442" s="52" t="n"/>
      <c r="D442" s="53" t="n"/>
      <c r="E442" s="53" t="n"/>
      <c r="F442" s="54" t="n"/>
      <c r="G442" s="54" t="n"/>
      <c r="H442" s="54" t="n"/>
      <c r="I442" s="54" t="n"/>
      <c r="J442" s="53" t="n"/>
      <c r="K442" s="55" t="str">
        <f>IF(COUNTA(A442:I442)=0,"",IF(F442="",IFERROR(INDEX(eq_dur,MATCH(B442,eq_code,0)),""),F442))</f>
        <v/>
      </c>
      <c r="L442" s="55" t="str">
        <f>IF(ISNUMBER(K442),N(IFERROR(INDEX(eq_pause,MATCH(B442,eq_code,0)),0))+SUMIFS(st_min,st_date,A442,st_eq,B442,st_po,C442,st_type,"Planifié"),"")</f>
        <v/>
      </c>
      <c r="M442" s="55" t="str">
        <f>IF(ISNUMBER(K442),K442-L442,"")</f>
        <v/>
      </c>
      <c r="N442" s="55" t="str">
        <f>IF(ISNUMBER(K442),SUMIFS(st_min,st_date,A442,st_eq,B442,st_po,C442,st_type,"Non planifié"),"")</f>
        <v/>
      </c>
      <c r="O442" s="55" t="str">
        <f>IF(ISNUMBER(K442),M442-N442,"")</f>
        <v/>
      </c>
      <c r="P442" s="55" t="str">
        <f>IF(COUNTA(A442:I442)=0,"",N(G442)+N(H442)+N(I442))</f>
        <v/>
      </c>
      <c r="Q442" s="56" t="str">
        <f>IF(COUNTA(A442:I442)=0,"",IF(N(IFERROR(INDEX(art_rate,MATCH(E442,art_ref,0)),0))&gt;0,N(IFERROR(INDEX(art_rate,MATCH(E442,art_ref,0)),0)),N(IFERROR(INDEX(po_rate,MATCH(C442,po_code,0)),0))))</f>
        <v/>
      </c>
      <c r="R442" s="55" t="str">
        <f>IF(AC442=1,P442*60/Q442,"")</f>
        <v/>
      </c>
      <c r="S442" s="55" t="str">
        <f>IF(AC442=1,N(G442)*60/Q442,"")</f>
        <v/>
      </c>
      <c r="T442" s="57" t="str">
        <f>IF(AC442=1,O442/M442,"")</f>
        <v/>
      </c>
      <c r="U442" s="57" t="str">
        <f>IF(AC442=1,IF(O442&gt;0,R442/O442,""),"")</f>
        <v/>
      </c>
      <c r="V442" s="57" t="str">
        <f>IF(AC442=1,IF(P442&gt;0,N(G442)/P442,""),"")</f>
        <v/>
      </c>
      <c r="W442" s="57" t="str">
        <f>IF(AC442=1,S442/M442,"")</f>
        <v/>
      </c>
      <c r="X442" s="57" t="str">
        <f>IF(AC442=1,S442/K442,"")</f>
        <v/>
      </c>
      <c r="Y442" s="58" t="str">
        <f>IF(W442="","",IF(W442&gt;=p_target,"Bon",IF(W442&gt;=p_alert,"À surveiller","Faible")))</f>
        <v/>
      </c>
      <c r="Z442" s="58" t="str">
        <f>IF(W442="","",IF(MIN(IF(T442="",1,T442),IF(U442="",1,U442),IF(V442="",1,V442))&gt;=1,"Aucune",IF(IF(T442="",1,T442)&lt;=MIN(IF(U442="",1,U442),IF(V442="",1,V442)),"Disponibilité",IF(IF(U442="",1,U442)&lt;=IF(V442="",1,V442),"Performance","Qualité"))))</f>
        <v/>
      </c>
      <c r="AA442" s="59" t="str">
        <f>IF(AC442=1,N(H442)*N(IFERROR(INDEX(art_cost,MATCH(E442,art_ref,0)),0)),"")</f>
        <v/>
      </c>
      <c r="AB442" s="58" t="str">
        <f>IF(COUNTA(A442:I442)=0,"",IF(N(A442)&lt;=0,"Date manquante ou invalide",IF(B442="","Équipe manquante",IF(ISNA(MATCH(B442,eq_code,0)),"Équipe inconnue",IF(INDEX(eq_check,MATCH(B442,eq_code,0))&lt;&gt;"OK","Équipe à corriger dans Paramètres",IF(C442="","Poste manquant",IF(ISNA(MATCH(C442,po_code,0)),"Poste inconnu",IF(AND(E442&lt;&gt;"",ISNA(MATCH(E442,art_ref,0))),"Article inconnu",IF(IF(E442="",FALSE,INDEX(art_check,MATCH(E442,art_ref,0))&lt;&gt;"OK"),"Article à corriger (feuille Articles)",IF(COUNTIFS(sj_date,A442,sj_eq,B442,sj_po,C442)&gt;1,"Ligne en double (même jour, équipe et poste)",IF(OR(NOT(ISNUMBER(K442)),N(K442)&lt;=0,N(K442)&gt;1440),"Temps d'ouverture invalide",IF(OR(AND(G442&lt;&gt;"",NOT(ISNUMBER(G442))),N(G442)&lt;0,N(G442)&lt;&gt;INT(N(G442)),AND(H442&lt;&gt;"",NOT(ISNUMBER(H442))),N(H442)&lt;0,N(H442)&lt;&gt;INT(N(H442)),AND(I442&lt;&gt;"",NOT(ISNUMBER(I442))),N(I442)&lt;0,N(I442)&lt;&gt;INT(N(I442))),"Quantité invalide",IF(Q442&lt;=0,"Cadence manquante (poste ou article)",IF(M442&lt;=0,"Arrêts planifiés supérieurs au temps d'ouverture",IF(O442&lt;0,"Arrêts supérieurs au temps requis",IF(AND(P442&gt;0,O442=0),"Pièces déclarées sans temps de marche",IF(AND(P442=0,O442&gt;0),"Aucune pièce déclarée",IF(P442*60/Q442&gt;O442+0.001,"Cadence dépassée : vérifiez la cadence","OK"))))))))))))))))))</f>
        <v/>
      </c>
      <c r="AC442">
        <f>IF(OR(AB442="OK",AB442="Aucune pièce déclarée",AB442="Cadence dépassée : vérifiez la cadence"),1,0)</f>
        <v>0.0</v>
      </c>
      <c r="AD442">
        <f>IF(AND(AC442=1,A442&gt;=p_from,A442&lt;=p_to),1,0)</f>
        <v>0.0</v>
      </c>
      <c r="AE442">
        <f>IF(AD442=1,IF(COUNTIFS($A$6:A442,A442,$AD$6:AD442,1)=1,1,0),0)</f>
        <v>0.0</v>
      </c>
      <c r="AF442" t="str">
        <f>IF(AE442=1,COUNTIFS(sj_first,1,sj_date,"&lt;"&amp;A442)+1,"")</f>
        <v/>
      </c>
      <c r="AG442" t="str">
        <f>IF(AND(AD442=1,N(W442)&lt;p_alert),ROUND(W442,4),"")</f>
        <v/>
      </c>
      <c r="AH442" t="str">
        <f>IF(AG442="","",COUNTIF(sj_akey,"&lt;"&amp;AG442)+COUNTIF($AG$6:AG442,AG442))</f>
        <v/>
      </c>
    </row>
    <row r="443">
      <c r="A443" s="51" t="n"/>
      <c r="B443" s="52" t="n"/>
      <c r="C443" s="52" t="n"/>
      <c r="D443" s="53" t="n"/>
      <c r="E443" s="53" t="n"/>
      <c r="F443" s="54" t="n"/>
      <c r="G443" s="54" t="n"/>
      <c r="H443" s="54" t="n"/>
      <c r="I443" s="54" t="n"/>
      <c r="J443" s="53" t="n"/>
      <c r="K443" s="55" t="str">
        <f>IF(COUNTA(A443:I443)=0,"",IF(F443="",IFERROR(INDEX(eq_dur,MATCH(B443,eq_code,0)),""),F443))</f>
        <v/>
      </c>
      <c r="L443" s="55" t="str">
        <f>IF(ISNUMBER(K443),N(IFERROR(INDEX(eq_pause,MATCH(B443,eq_code,0)),0))+SUMIFS(st_min,st_date,A443,st_eq,B443,st_po,C443,st_type,"Planifié"),"")</f>
        <v/>
      </c>
      <c r="M443" s="55" t="str">
        <f>IF(ISNUMBER(K443),K443-L443,"")</f>
        <v/>
      </c>
      <c r="N443" s="55" t="str">
        <f>IF(ISNUMBER(K443),SUMIFS(st_min,st_date,A443,st_eq,B443,st_po,C443,st_type,"Non planifié"),"")</f>
        <v/>
      </c>
      <c r="O443" s="55" t="str">
        <f>IF(ISNUMBER(K443),M443-N443,"")</f>
        <v/>
      </c>
      <c r="P443" s="55" t="str">
        <f>IF(COUNTA(A443:I443)=0,"",N(G443)+N(H443)+N(I443))</f>
        <v/>
      </c>
      <c r="Q443" s="56" t="str">
        <f>IF(COUNTA(A443:I443)=0,"",IF(N(IFERROR(INDEX(art_rate,MATCH(E443,art_ref,0)),0))&gt;0,N(IFERROR(INDEX(art_rate,MATCH(E443,art_ref,0)),0)),N(IFERROR(INDEX(po_rate,MATCH(C443,po_code,0)),0))))</f>
        <v/>
      </c>
      <c r="R443" s="55" t="str">
        <f>IF(AC443=1,P443*60/Q443,"")</f>
        <v/>
      </c>
      <c r="S443" s="55" t="str">
        <f>IF(AC443=1,N(G443)*60/Q443,"")</f>
        <v/>
      </c>
      <c r="T443" s="57" t="str">
        <f>IF(AC443=1,O443/M443,"")</f>
        <v/>
      </c>
      <c r="U443" s="57" t="str">
        <f>IF(AC443=1,IF(O443&gt;0,R443/O443,""),"")</f>
        <v/>
      </c>
      <c r="V443" s="57" t="str">
        <f>IF(AC443=1,IF(P443&gt;0,N(G443)/P443,""),"")</f>
        <v/>
      </c>
      <c r="W443" s="57" t="str">
        <f>IF(AC443=1,S443/M443,"")</f>
        <v/>
      </c>
      <c r="X443" s="57" t="str">
        <f>IF(AC443=1,S443/K443,"")</f>
        <v/>
      </c>
      <c r="Y443" s="58" t="str">
        <f>IF(W443="","",IF(W443&gt;=p_target,"Bon",IF(W443&gt;=p_alert,"À surveiller","Faible")))</f>
        <v/>
      </c>
      <c r="Z443" s="58" t="str">
        <f>IF(W443="","",IF(MIN(IF(T443="",1,T443),IF(U443="",1,U443),IF(V443="",1,V443))&gt;=1,"Aucune",IF(IF(T443="",1,T443)&lt;=MIN(IF(U443="",1,U443),IF(V443="",1,V443)),"Disponibilité",IF(IF(U443="",1,U443)&lt;=IF(V443="",1,V443),"Performance","Qualité"))))</f>
        <v/>
      </c>
      <c r="AA443" s="59" t="str">
        <f>IF(AC443=1,N(H443)*N(IFERROR(INDEX(art_cost,MATCH(E443,art_ref,0)),0)),"")</f>
        <v/>
      </c>
      <c r="AB443" s="58" t="str">
        <f>IF(COUNTA(A443:I443)=0,"",IF(N(A443)&lt;=0,"Date manquante ou invalide",IF(B443="","Équipe manquante",IF(ISNA(MATCH(B443,eq_code,0)),"Équipe inconnue",IF(INDEX(eq_check,MATCH(B443,eq_code,0))&lt;&gt;"OK","Équipe à corriger dans Paramètres",IF(C443="","Poste manquant",IF(ISNA(MATCH(C443,po_code,0)),"Poste inconnu",IF(AND(E443&lt;&gt;"",ISNA(MATCH(E443,art_ref,0))),"Article inconnu",IF(IF(E443="",FALSE,INDEX(art_check,MATCH(E443,art_ref,0))&lt;&gt;"OK"),"Article à corriger (feuille Articles)",IF(COUNTIFS(sj_date,A443,sj_eq,B443,sj_po,C443)&gt;1,"Ligne en double (même jour, équipe et poste)",IF(OR(NOT(ISNUMBER(K443)),N(K443)&lt;=0,N(K443)&gt;1440),"Temps d'ouverture invalide",IF(OR(AND(G443&lt;&gt;"",NOT(ISNUMBER(G443))),N(G443)&lt;0,N(G443)&lt;&gt;INT(N(G443)),AND(H443&lt;&gt;"",NOT(ISNUMBER(H443))),N(H443)&lt;0,N(H443)&lt;&gt;INT(N(H443)),AND(I443&lt;&gt;"",NOT(ISNUMBER(I443))),N(I443)&lt;0,N(I443)&lt;&gt;INT(N(I443))),"Quantité invalide",IF(Q443&lt;=0,"Cadence manquante (poste ou article)",IF(M443&lt;=0,"Arrêts planifiés supérieurs au temps d'ouverture",IF(O443&lt;0,"Arrêts supérieurs au temps requis",IF(AND(P443&gt;0,O443=0),"Pièces déclarées sans temps de marche",IF(AND(P443=0,O443&gt;0),"Aucune pièce déclarée",IF(P443*60/Q443&gt;O443+0.001,"Cadence dépassée : vérifiez la cadence","OK"))))))))))))))))))</f>
        <v/>
      </c>
      <c r="AC443">
        <f>IF(OR(AB443="OK",AB443="Aucune pièce déclarée",AB443="Cadence dépassée : vérifiez la cadence"),1,0)</f>
        <v>0.0</v>
      </c>
      <c r="AD443">
        <f>IF(AND(AC443=1,A443&gt;=p_from,A443&lt;=p_to),1,0)</f>
        <v>0.0</v>
      </c>
      <c r="AE443">
        <f>IF(AD443=1,IF(COUNTIFS($A$6:A443,A443,$AD$6:AD443,1)=1,1,0),0)</f>
        <v>0.0</v>
      </c>
      <c r="AF443" t="str">
        <f>IF(AE443=1,COUNTIFS(sj_first,1,sj_date,"&lt;"&amp;A443)+1,"")</f>
        <v/>
      </c>
      <c r="AG443" t="str">
        <f>IF(AND(AD443=1,N(W443)&lt;p_alert),ROUND(W443,4),"")</f>
        <v/>
      </c>
      <c r="AH443" t="str">
        <f>IF(AG443="","",COUNTIF(sj_akey,"&lt;"&amp;AG443)+COUNTIF($AG$6:AG443,AG443))</f>
        <v/>
      </c>
    </row>
    <row r="444">
      <c r="A444" s="51" t="n"/>
      <c r="B444" s="52" t="n"/>
      <c r="C444" s="52" t="n"/>
      <c r="D444" s="53" t="n"/>
      <c r="E444" s="53" t="n"/>
      <c r="F444" s="54" t="n"/>
      <c r="G444" s="54" t="n"/>
      <c r="H444" s="54" t="n"/>
      <c r="I444" s="54" t="n"/>
      <c r="J444" s="53" t="n"/>
      <c r="K444" s="55" t="str">
        <f>IF(COUNTA(A444:I444)=0,"",IF(F444="",IFERROR(INDEX(eq_dur,MATCH(B444,eq_code,0)),""),F444))</f>
        <v/>
      </c>
      <c r="L444" s="55" t="str">
        <f>IF(ISNUMBER(K444),N(IFERROR(INDEX(eq_pause,MATCH(B444,eq_code,0)),0))+SUMIFS(st_min,st_date,A444,st_eq,B444,st_po,C444,st_type,"Planifié"),"")</f>
        <v/>
      </c>
      <c r="M444" s="55" t="str">
        <f>IF(ISNUMBER(K444),K444-L444,"")</f>
        <v/>
      </c>
      <c r="N444" s="55" t="str">
        <f>IF(ISNUMBER(K444),SUMIFS(st_min,st_date,A444,st_eq,B444,st_po,C444,st_type,"Non planifié"),"")</f>
        <v/>
      </c>
      <c r="O444" s="55" t="str">
        <f>IF(ISNUMBER(K444),M444-N444,"")</f>
        <v/>
      </c>
      <c r="P444" s="55" t="str">
        <f>IF(COUNTA(A444:I444)=0,"",N(G444)+N(H444)+N(I444))</f>
        <v/>
      </c>
      <c r="Q444" s="56" t="str">
        <f>IF(COUNTA(A444:I444)=0,"",IF(N(IFERROR(INDEX(art_rate,MATCH(E444,art_ref,0)),0))&gt;0,N(IFERROR(INDEX(art_rate,MATCH(E444,art_ref,0)),0)),N(IFERROR(INDEX(po_rate,MATCH(C444,po_code,0)),0))))</f>
        <v/>
      </c>
      <c r="R444" s="55" t="str">
        <f>IF(AC444=1,P444*60/Q444,"")</f>
        <v/>
      </c>
      <c r="S444" s="55" t="str">
        <f>IF(AC444=1,N(G444)*60/Q444,"")</f>
        <v/>
      </c>
      <c r="T444" s="57" t="str">
        <f>IF(AC444=1,O444/M444,"")</f>
        <v/>
      </c>
      <c r="U444" s="57" t="str">
        <f>IF(AC444=1,IF(O444&gt;0,R444/O444,""),"")</f>
        <v/>
      </c>
      <c r="V444" s="57" t="str">
        <f>IF(AC444=1,IF(P444&gt;0,N(G444)/P444,""),"")</f>
        <v/>
      </c>
      <c r="W444" s="57" t="str">
        <f>IF(AC444=1,S444/M444,"")</f>
        <v/>
      </c>
      <c r="X444" s="57" t="str">
        <f>IF(AC444=1,S444/K444,"")</f>
        <v/>
      </c>
      <c r="Y444" s="58" t="str">
        <f>IF(W444="","",IF(W444&gt;=p_target,"Bon",IF(W444&gt;=p_alert,"À surveiller","Faible")))</f>
        <v/>
      </c>
      <c r="Z444" s="58" t="str">
        <f>IF(W444="","",IF(MIN(IF(T444="",1,T444),IF(U444="",1,U444),IF(V444="",1,V444))&gt;=1,"Aucune",IF(IF(T444="",1,T444)&lt;=MIN(IF(U444="",1,U444),IF(V444="",1,V444)),"Disponibilité",IF(IF(U444="",1,U444)&lt;=IF(V444="",1,V444),"Performance","Qualité"))))</f>
        <v/>
      </c>
      <c r="AA444" s="59" t="str">
        <f>IF(AC444=1,N(H444)*N(IFERROR(INDEX(art_cost,MATCH(E444,art_ref,0)),0)),"")</f>
        <v/>
      </c>
      <c r="AB444" s="58" t="str">
        <f>IF(COUNTA(A444:I444)=0,"",IF(N(A444)&lt;=0,"Date manquante ou invalide",IF(B444="","Équipe manquante",IF(ISNA(MATCH(B444,eq_code,0)),"Équipe inconnue",IF(INDEX(eq_check,MATCH(B444,eq_code,0))&lt;&gt;"OK","Équipe à corriger dans Paramètres",IF(C444="","Poste manquant",IF(ISNA(MATCH(C444,po_code,0)),"Poste inconnu",IF(AND(E444&lt;&gt;"",ISNA(MATCH(E444,art_ref,0))),"Article inconnu",IF(IF(E444="",FALSE,INDEX(art_check,MATCH(E444,art_ref,0))&lt;&gt;"OK"),"Article à corriger (feuille Articles)",IF(COUNTIFS(sj_date,A444,sj_eq,B444,sj_po,C444)&gt;1,"Ligne en double (même jour, équipe et poste)",IF(OR(NOT(ISNUMBER(K444)),N(K444)&lt;=0,N(K444)&gt;1440),"Temps d'ouverture invalide",IF(OR(AND(G444&lt;&gt;"",NOT(ISNUMBER(G444))),N(G444)&lt;0,N(G444)&lt;&gt;INT(N(G444)),AND(H444&lt;&gt;"",NOT(ISNUMBER(H444))),N(H444)&lt;0,N(H444)&lt;&gt;INT(N(H444)),AND(I444&lt;&gt;"",NOT(ISNUMBER(I444))),N(I444)&lt;0,N(I444)&lt;&gt;INT(N(I444))),"Quantité invalide",IF(Q444&lt;=0,"Cadence manquante (poste ou article)",IF(M444&lt;=0,"Arrêts planifiés supérieurs au temps d'ouverture",IF(O444&lt;0,"Arrêts supérieurs au temps requis",IF(AND(P444&gt;0,O444=0),"Pièces déclarées sans temps de marche",IF(AND(P444=0,O444&gt;0),"Aucune pièce déclarée",IF(P444*60/Q444&gt;O444+0.001,"Cadence dépassée : vérifiez la cadence","OK"))))))))))))))))))</f>
        <v/>
      </c>
      <c r="AC444">
        <f>IF(OR(AB444="OK",AB444="Aucune pièce déclarée",AB444="Cadence dépassée : vérifiez la cadence"),1,0)</f>
        <v>0.0</v>
      </c>
      <c r="AD444">
        <f>IF(AND(AC444=1,A444&gt;=p_from,A444&lt;=p_to),1,0)</f>
        <v>0.0</v>
      </c>
      <c r="AE444">
        <f>IF(AD444=1,IF(COUNTIFS($A$6:A444,A444,$AD$6:AD444,1)=1,1,0),0)</f>
        <v>0.0</v>
      </c>
      <c r="AF444" t="str">
        <f>IF(AE444=1,COUNTIFS(sj_first,1,sj_date,"&lt;"&amp;A444)+1,"")</f>
        <v/>
      </c>
      <c r="AG444" t="str">
        <f>IF(AND(AD444=1,N(W444)&lt;p_alert),ROUND(W444,4),"")</f>
        <v/>
      </c>
      <c r="AH444" t="str">
        <f>IF(AG444="","",COUNTIF(sj_akey,"&lt;"&amp;AG444)+COUNTIF($AG$6:AG444,AG444))</f>
        <v/>
      </c>
    </row>
    <row r="445">
      <c r="A445" s="51" t="n"/>
      <c r="B445" s="52" t="n"/>
      <c r="C445" s="52" t="n"/>
      <c r="D445" s="53" t="n"/>
      <c r="E445" s="53" t="n"/>
      <c r="F445" s="54" t="n"/>
      <c r="G445" s="54" t="n"/>
      <c r="H445" s="54" t="n"/>
      <c r="I445" s="54" t="n"/>
      <c r="J445" s="53" t="n"/>
      <c r="K445" s="55" t="str">
        <f>IF(COUNTA(A445:I445)=0,"",IF(F445="",IFERROR(INDEX(eq_dur,MATCH(B445,eq_code,0)),""),F445))</f>
        <v/>
      </c>
      <c r="L445" s="55" t="str">
        <f>IF(ISNUMBER(K445),N(IFERROR(INDEX(eq_pause,MATCH(B445,eq_code,0)),0))+SUMIFS(st_min,st_date,A445,st_eq,B445,st_po,C445,st_type,"Planifié"),"")</f>
        <v/>
      </c>
      <c r="M445" s="55" t="str">
        <f>IF(ISNUMBER(K445),K445-L445,"")</f>
        <v/>
      </c>
      <c r="N445" s="55" t="str">
        <f>IF(ISNUMBER(K445),SUMIFS(st_min,st_date,A445,st_eq,B445,st_po,C445,st_type,"Non planifié"),"")</f>
        <v/>
      </c>
      <c r="O445" s="55" t="str">
        <f>IF(ISNUMBER(K445),M445-N445,"")</f>
        <v/>
      </c>
      <c r="P445" s="55" t="str">
        <f>IF(COUNTA(A445:I445)=0,"",N(G445)+N(H445)+N(I445))</f>
        <v/>
      </c>
      <c r="Q445" s="56" t="str">
        <f>IF(COUNTA(A445:I445)=0,"",IF(N(IFERROR(INDEX(art_rate,MATCH(E445,art_ref,0)),0))&gt;0,N(IFERROR(INDEX(art_rate,MATCH(E445,art_ref,0)),0)),N(IFERROR(INDEX(po_rate,MATCH(C445,po_code,0)),0))))</f>
        <v/>
      </c>
      <c r="R445" s="55" t="str">
        <f>IF(AC445=1,P445*60/Q445,"")</f>
        <v/>
      </c>
      <c r="S445" s="55" t="str">
        <f>IF(AC445=1,N(G445)*60/Q445,"")</f>
        <v/>
      </c>
      <c r="T445" s="57" t="str">
        <f>IF(AC445=1,O445/M445,"")</f>
        <v/>
      </c>
      <c r="U445" s="57" t="str">
        <f>IF(AC445=1,IF(O445&gt;0,R445/O445,""),"")</f>
        <v/>
      </c>
      <c r="V445" s="57" t="str">
        <f>IF(AC445=1,IF(P445&gt;0,N(G445)/P445,""),"")</f>
        <v/>
      </c>
      <c r="W445" s="57" t="str">
        <f>IF(AC445=1,S445/M445,"")</f>
        <v/>
      </c>
      <c r="X445" s="57" t="str">
        <f>IF(AC445=1,S445/K445,"")</f>
        <v/>
      </c>
      <c r="Y445" s="58" t="str">
        <f>IF(W445="","",IF(W445&gt;=p_target,"Bon",IF(W445&gt;=p_alert,"À surveiller","Faible")))</f>
        <v/>
      </c>
      <c r="Z445" s="58" t="str">
        <f>IF(W445="","",IF(MIN(IF(T445="",1,T445),IF(U445="",1,U445),IF(V445="",1,V445))&gt;=1,"Aucune",IF(IF(T445="",1,T445)&lt;=MIN(IF(U445="",1,U445),IF(V445="",1,V445)),"Disponibilité",IF(IF(U445="",1,U445)&lt;=IF(V445="",1,V445),"Performance","Qualité"))))</f>
        <v/>
      </c>
      <c r="AA445" s="59" t="str">
        <f>IF(AC445=1,N(H445)*N(IFERROR(INDEX(art_cost,MATCH(E445,art_ref,0)),0)),"")</f>
        <v/>
      </c>
      <c r="AB445" s="58" t="str">
        <f>IF(COUNTA(A445:I445)=0,"",IF(N(A445)&lt;=0,"Date manquante ou invalide",IF(B445="","Équipe manquante",IF(ISNA(MATCH(B445,eq_code,0)),"Équipe inconnue",IF(INDEX(eq_check,MATCH(B445,eq_code,0))&lt;&gt;"OK","Équipe à corriger dans Paramètres",IF(C445="","Poste manquant",IF(ISNA(MATCH(C445,po_code,0)),"Poste inconnu",IF(AND(E445&lt;&gt;"",ISNA(MATCH(E445,art_ref,0))),"Article inconnu",IF(IF(E445="",FALSE,INDEX(art_check,MATCH(E445,art_ref,0))&lt;&gt;"OK"),"Article à corriger (feuille Articles)",IF(COUNTIFS(sj_date,A445,sj_eq,B445,sj_po,C445)&gt;1,"Ligne en double (même jour, équipe et poste)",IF(OR(NOT(ISNUMBER(K445)),N(K445)&lt;=0,N(K445)&gt;1440),"Temps d'ouverture invalide",IF(OR(AND(G445&lt;&gt;"",NOT(ISNUMBER(G445))),N(G445)&lt;0,N(G445)&lt;&gt;INT(N(G445)),AND(H445&lt;&gt;"",NOT(ISNUMBER(H445))),N(H445)&lt;0,N(H445)&lt;&gt;INT(N(H445)),AND(I445&lt;&gt;"",NOT(ISNUMBER(I445))),N(I445)&lt;0,N(I445)&lt;&gt;INT(N(I445))),"Quantité invalide",IF(Q445&lt;=0,"Cadence manquante (poste ou article)",IF(M445&lt;=0,"Arrêts planifiés supérieurs au temps d'ouverture",IF(O445&lt;0,"Arrêts supérieurs au temps requis",IF(AND(P445&gt;0,O445=0),"Pièces déclarées sans temps de marche",IF(AND(P445=0,O445&gt;0),"Aucune pièce déclarée",IF(P445*60/Q445&gt;O445+0.001,"Cadence dépassée : vérifiez la cadence","OK"))))))))))))))))))</f>
        <v/>
      </c>
      <c r="AC445">
        <f>IF(OR(AB445="OK",AB445="Aucune pièce déclarée",AB445="Cadence dépassée : vérifiez la cadence"),1,0)</f>
        <v>0.0</v>
      </c>
      <c r="AD445">
        <f>IF(AND(AC445=1,A445&gt;=p_from,A445&lt;=p_to),1,0)</f>
        <v>0.0</v>
      </c>
      <c r="AE445">
        <f>IF(AD445=1,IF(COUNTIFS($A$6:A445,A445,$AD$6:AD445,1)=1,1,0),0)</f>
        <v>0.0</v>
      </c>
      <c r="AF445" t="str">
        <f>IF(AE445=1,COUNTIFS(sj_first,1,sj_date,"&lt;"&amp;A445)+1,"")</f>
        <v/>
      </c>
      <c r="AG445" t="str">
        <f>IF(AND(AD445=1,N(W445)&lt;p_alert),ROUND(W445,4),"")</f>
        <v/>
      </c>
      <c r="AH445" t="str">
        <f>IF(AG445="","",COUNTIF(sj_akey,"&lt;"&amp;AG445)+COUNTIF($AG$6:AG445,AG445))</f>
        <v/>
      </c>
    </row>
    <row r="446">
      <c r="A446" s="51" t="n"/>
      <c r="B446" s="52" t="n"/>
      <c r="C446" s="52" t="n"/>
      <c r="D446" s="53" t="n"/>
      <c r="E446" s="53" t="n"/>
      <c r="F446" s="54" t="n"/>
      <c r="G446" s="54" t="n"/>
      <c r="H446" s="54" t="n"/>
      <c r="I446" s="54" t="n"/>
      <c r="J446" s="53" t="n"/>
      <c r="K446" s="55" t="str">
        <f>IF(COUNTA(A446:I446)=0,"",IF(F446="",IFERROR(INDEX(eq_dur,MATCH(B446,eq_code,0)),""),F446))</f>
        <v/>
      </c>
      <c r="L446" s="55" t="str">
        <f>IF(ISNUMBER(K446),N(IFERROR(INDEX(eq_pause,MATCH(B446,eq_code,0)),0))+SUMIFS(st_min,st_date,A446,st_eq,B446,st_po,C446,st_type,"Planifié"),"")</f>
        <v/>
      </c>
      <c r="M446" s="55" t="str">
        <f>IF(ISNUMBER(K446),K446-L446,"")</f>
        <v/>
      </c>
      <c r="N446" s="55" t="str">
        <f>IF(ISNUMBER(K446),SUMIFS(st_min,st_date,A446,st_eq,B446,st_po,C446,st_type,"Non planifié"),"")</f>
        <v/>
      </c>
      <c r="O446" s="55" t="str">
        <f>IF(ISNUMBER(K446),M446-N446,"")</f>
        <v/>
      </c>
      <c r="P446" s="55" t="str">
        <f>IF(COUNTA(A446:I446)=0,"",N(G446)+N(H446)+N(I446))</f>
        <v/>
      </c>
      <c r="Q446" s="56" t="str">
        <f>IF(COUNTA(A446:I446)=0,"",IF(N(IFERROR(INDEX(art_rate,MATCH(E446,art_ref,0)),0))&gt;0,N(IFERROR(INDEX(art_rate,MATCH(E446,art_ref,0)),0)),N(IFERROR(INDEX(po_rate,MATCH(C446,po_code,0)),0))))</f>
        <v/>
      </c>
      <c r="R446" s="55" t="str">
        <f>IF(AC446=1,P446*60/Q446,"")</f>
        <v/>
      </c>
      <c r="S446" s="55" t="str">
        <f>IF(AC446=1,N(G446)*60/Q446,"")</f>
        <v/>
      </c>
      <c r="T446" s="57" t="str">
        <f>IF(AC446=1,O446/M446,"")</f>
        <v/>
      </c>
      <c r="U446" s="57" t="str">
        <f>IF(AC446=1,IF(O446&gt;0,R446/O446,""),"")</f>
        <v/>
      </c>
      <c r="V446" s="57" t="str">
        <f>IF(AC446=1,IF(P446&gt;0,N(G446)/P446,""),"")</f>
        <v/>
      </c>
      <c r="W446" s="57" t="str">
        <f>IF(AC446=1,S446/M446,"")</f>
        <v/>
      </c>
      <c r="X446" s="57" t="str">
        <f>IF(AC446=1,S446/K446,"")</f>
        <v/>
      </c>
      <c r="Y446" s="58" t="str">
        <f>IF(W446="","",IF(W446&gt;=p_target,"Bon",IF(W446&gt;=p_alert,"À surveiller","Faible")))</f>
        <v/>
      </c>
      <c r="Z446" s="58" t="str">
        <f>IF(W446="","",IF(MIN(IF(T446="",1,T446),IF(U446="",1,U446),IF(V446="",1,V446))&gt;=1,"Aucune",IF(IF(T446="",1,T446)&lt;=MIN(IF(U446="",1,U446),IF(V446="",1,V446)),"Disponibilité",IF(IF(U446="",1,U446)&lt;=IF(V446="",1,V446),"Performance","Qualité"))))</f>
        <v/>
      </c>
      <c r="AA446" s="59" t="str">
        <f>IF(AC446=1,N(H446)*N(IFERROR(INDEX(art_cost,MATCH(E446,art_ref,0)),0)),"")</f>
        <v/>
      </c>
      <c r="AB446" s="58" t="str">
        <f>IF(COUNTA(A446:I446)=0,"",IF(N(A446)&lt;=0,"Date manquante ou invalide",IF(B446="","Équipe manquante",IF(ISNA(MATCH(B446,eq_code,0)),"Équipe inconnue",IF(INDEX(eq_check,MATCH(B446,eq_code,0))&lt;&gt;"OK","Équipe à corriger dans Paramètres",IF(C446="","Poste manquant",IF(ISNA(MATCH(C446,po_code,0)),"Poste inconnu",IF(AND(E446&lt;&gt;"",ISNA(MATCH(E446,art_ref,0))),"Article inconnu",IF(IF(E446="",FALSE,INDEX(art_check,MATCH(E446,art_ref,0))&lt;&gt;"OK"),"Article à corriger (feuille Articles)",IF(COUNTIFS(sj_date,A446,sj_eq,B446,sj_po,C446)&gt;1,"Ligne en double (même jour, équipe et poste)",IF(OR(NOT(ISNUMBER(K446)),N(K446)&lt;=0,N(K446)&gt;1440),"Temps d'ouverture invalide",IF(OR(AND(G446&lt;&gt;"",NOT(ISNUMBER(G446))),N(G446)&lt;0,N(G446)&lt;&gt;INT(N(G446)),AND(H446&lt;&gt;"",NOT(ISNUMBER(H446))),N(H446)&lt;0,N(H446)&lt;&gt;INT(N(H446)),AND(I446&lt;&gt;"",NOT(ISNUMBER(I446))),N(I446)&lt;0,N(I446)&lt;&gt;INT(N(I446))),"Quantité invalide",IF(Q446&lt;=0,"Cadence manquante (poste ou article)",IF(M446&lt;=0,"Arrêts planifiés supérieurs au temps d'ouverture",IF(O446&lt;0,"Arrêts supérieurs au temps requis",IF(AND(P446&gt;0,O446=0),"Pièces déclarées sans temps de marche",IF(AND(P446=0,O446&gt;0),"Aucune pièce déclarée",IF(P446*60/Q446&gt;O446+0.001,"Cadence dépassée : vérifiez la cadence","OK"))))))))))))))))))</f>
        <v/>
      </c>
      <c r="AC446">
        <f>IF(OR(AB446="OK",AB446="Aucune pièce déclarée",AB446="Cadence dépassée : vérifiez la cadence"),1,0)</f>
        <v>0.0</v>
      </c>
      <c r="AD446">
        <f>IF(AND(AC446=1,A446&gt;=p_from,A446&lt;=p_to),1,0)</f>
        <v>0.0</v>
      </c>
      <c r="AE446">
        <f>IF(AD446=1,IF(COUNTIFS($A$6:A446,A446,$AD$6:AD446,1)=1,1,0),0)</f>
        <v>0.0</v>
      </c>
      <c r="AF446" t="str">
        <f>IF(AE446=1,COUNTIFS(sj_first,1,sj_date,"&lt;"&amp;A446)+1,"")</f>
        <v/>
      </c>
      <c r="AG446" t="str">
        <f>IF(AND(AD446=1,N(W446)&lt;p_alert),ROUND(W446,4),"")</f>
        <v/>
      </c>
      <c r="AH446" t="str">
        <f>IF(AG446="","",COUNTIF(sj_akey,"&lt;"&amp;AG446)+COUNTIF($AG$6:AG446,AG446))</f>
        <v/>
      </c>
    </row>
    <row r="447">
      <c r="A447" s="51" t="n"/>
      <c r="B447" s="52" t="n"/>
      <c r="C447" s="52" t="n"/>
      <c r="D447" s="53" t="n"/>
      <c r="E447" s="53" t="n"/>
      <c r="F447" s="54" t="n"/>
      <c r="G447" s="54" t="n"/>
      <c r="H447" s="54" t="n"/>
      <c r="I447" s="54" t="n"/>
      <c r="J447" s="53" t="n"/>
      <c r="K447" s="55" t="str">
        <f>IF(COUNTA(A447:I447)=0,"",IF(F447="",IFERROR(INDEX(eq_dur,MATCH(B447,eq_code,0)),""),F447))</f>
        <v/>
      </c>
      <c r="L447" s="55" t="str">
        <f>IF(ISNUMBER(K447),N(IFERROR(INDEX(eq_pause,MATCH(B447,eq_code,0)),0))+SUMIFS(st_min,st_date,A447,st_eq,B447,st_po,C447,st_type,"Planifié"),"")</f>
        <v/>
      </c>
      <c r="M447" s="55" t="str">
        <f>IF(ISNUMBER(K447),K447-L447,"")</f>
        <v/>
      </c>
      <c r="N447" s="55" t="str">
        <f>IF(ISNUMBER(K447),SUMIFS(st_min,st_date,A447,st_eq,B447,st_po,C447,st_type,"Non planifié"),"")</f>
        <v/>
      </c>
      <c r="O447" s="55" t="str">
        <f>IF(ISNUMBER(K447),M447-N447,"")</f>
        <v/>
      </c>
      <c r="P447" s="55" t="str">
        <f>IF(COUNTA(A447:I447)=0,"",N(G447)+N(H447)+N(I447))</f>
        <v/>
      </c>
      <c r="Q447" s="56" t="str">
        <f>IF(COUNTA(A447:I447)=0,"",IF(N(IFERROR(INDEX(art_rate,MATCH(E447,art_ref,0)),0))&gt;0,N(IFERROR(INDEX(art_rate,MATCH(E447,art_ref,0)),0)),N(IFERROR(INDEX(po_rate,MATCH(C447,po_code,0)),0))))</f>
        <v/>
      </c>
      <c r="R447" s="55" t="str">
        <f>IF(AC447=1,P447*60/Q447,"")</f>
        <v/>
      </c>
      <c r="S447" s="55" t="str">
        <f>IF(AC447=1,N(G447)*60/Q447,"")</f>
        <v/>
      </c>
      <c r="T447" s="57" t="str">
        <f>IF(AC447=1,O447/M447,"")</f>
        <v/>
      </c>
      <c r="U447" s="57" t="str">
        <f>IF(AC447=1,IF(O447&gt;0,R447/O447,""),"")</f>
        <v/>
      </c>
      <c r="V447" s="57" t="str">
        <f>IF(AC447=1,IF(P447&gt;0,N(G447)/P447,""),"")</f>
        <v/>
      </c>
      <c r="W447" s="57" t="str">
        <f>IF(AC447=1,S447/M447,"")</f>
        <v/>
      </c>
      <c r="X447" s="57" t="str">
        <f>IF(AC447=1,S447/K447,"")</f>
        <v/>
      </c>
      <c r="Y447" s="58" t="str">
        <f>IF(W447="","",IF(W447&gt;=p_target,"Bon",IF(W447&gt;=p_alert,"À surveiller","Faible")))</f>
        <v/>
      </c>
      <c r="Z447" s="58" t="str">
        <f>IF(W447="","",IF(MIN(IF(T447="",1,T447),IF(U447="",1,U447),IF(V447="",1,V447))&gt;=1,"Aucune",IF(IF(T447="",1,T447)&lt;=MIN(IF(U447="",1,U447),IF(V447="",1,V447)),"Disponibilité",IF(IF(U447="",1,U447)&lt;=IF(V447="",1,V447),"Performance","Qualité"))))</f>
        <v/>
      </c>
      <c r="AA447" s="59" t="str">
        <f>IF(AC447=1,N(H447)*N(IFERROR(INDEX(art_cost,MATCH(E447,art_ref,0)),0)),"")</f>
        <v/>
      </c>
      <c r="AB447" s="58" t="str">
        <f>IF(COUNTA(A447:I447)=0,"",IF(N(A447)&lt;=0,"Date manquante ou invalide",IF(B447="","Équipe manquante",IF(ISNA(MATCH(B447,eq_code,0)),"Équipe inconnue",IF(INDEX(eq_check,MATCH(B447,eq_code,0))&lt;&gt;"OK","Équipe à corriger dans Paramètres",IF(C447="","Poste manquant",IF(ISNA(MATCH(C447,po_code,0)),"Poste inconnu",IF(AND(E447&lt;&gt;"",ISNA(MATCH(E447,art_ref,0))),"Article inconnu",IF(IF(E447="",FALSE,INDEX(art_check,MATCH(E447,art_ref,0))&lt;&gt;"OK"),"Article à corriger (feuille Articles)",IF(COUNTIFS(sj_date,A447,sj_eq,B447,sj_po,C447)&gt;1,"Ligne en double (même jour, équipe et poste)",IF(OR(NOT(ISNUMBER(K447)),N(K447)&lt;=0,N(K447)&gt;1440),"Temps d'ouverture invalide",IF(OR(AND(G447&lt;&gt;"",NOT(ISNUMBER(G447))),N(G447)&lt;0,N(G447)&lt;&gt;INT(N(G447)),AND(H447&lt;&gt;"",NOT(ISNUMBER(H447))),N(H447)&lt;0,N(H447)&lt;&gt;INT(N(H447)),AND(I447&lt;&gt;"",NOT(ISNUMBER(I447))),N(I447)&lt;0,N(I447)&lt;&gt;INT(N(I447))),"Quantité invalide",IF(Q447&lt;=0,"Cadence manquante (poste ou article)",IF(M447&lt;=0,"Arrêts planifiés supérieurs au temps d'ouverture",IF(O447&lt;0,"Arrêts supérieurs au temps requis",IF(AND(P447&gt;0,O447=0),"Pièces déclarées sans temps de marche",IF(AND(P447=0,O447&gt;0),"Aucune pièce déclarée",IF(P447*60/Q447&gt;O447+0.001,"Cadence dépassée : vérifiez la cadence","OK"))))))))))))))))))</f>
        <v/>
      </c>
      <c r="AC447">
        <f>IF(OR(AB447="OK",AB447="Aucune pièce déclarée",AB447="Cadence dépassée : vérifiez la cadence"),1,0)</f>
        <v>0.0</v>
      </c>
      <c r="AD447">
        <f>IF(AND(AC447=1,A447&gt;=p_from,A447&lt;=p_to),1,0)</f>
        <v>0.0</v>
      </c>
      <c r="AE447">
        <f>IF(AD447=1,IF(COUNTIFS($A$6:A447,A447,$AD$6:AD447,1)=1,1,0),0)</f>
        <v>0.0</v>
      </c>
      <c r="AF447" t="str">
        <f>IF(AE447=1,COUNTIFS(sj_first,1,sj_date,"&lt;"&amp;A447)+1,"")</f>
        <v/>
      </c>
      <c r="AG447" t="str">
        <f>IF(AND(AD447=1,N(W447)&lt;p_alert),ROUND(W447,4),"")</f>
        <v/>
      </c>
      <c r="AH447" t="str">
        <f>IF(AG447="","",COUNTIF(sj_akey,"&lt;"&amp;AG447)+COUNTIF($AG$6:AG447,AG447))</f>
        <v/>
      </c>
    </row>
    <row r="448">
      <c r="A448" s="51" t="n"/>
      <c r="B448" s="52" t="n"/>
      <c r="C448" s="52" t="n"/>
      <c r="D448" s="53" t="n"/>
      <c r="E448" s="53" t="n"/>
      <c r="F448" s="54" t="n"/>
      <c r="G448" s="54" t="n"/>
      <c r="H448" s="54" t="n"/>
      <c r="I448" s="54" t="n"/>
      <c r="J448" s="53" t="n"/>
      <c r="K448" s="55" t="str">
        <f>IF(COUNTA(A448:I448)=0,"",IF(F448="",IFERROR(INDEX(eq_dur,MATCH(B448,eq_code,0)),""),F448))</f>
        <v/>
      </c>
      <c r="L448" s="55" t="str">
        <f>IF(ISNUMBER(K448),N(IFERROR(INDEX(eq_pause,MATCH(B448,eq_code,0)),0))+SUMIFS(st_min,st_date,A448,st_eq,B448,st_po,C448,st_type,"Planifié"),"")</f>
        <v/>
      </c>
      <c r="M448" s="55" t="str">
        <f>IF(ISNUMBER(K448),K448-L448,"")</f>
        <v/>
      </c>
      <c r="N448" s="55" t="str">
        <f>IF(ISNUMBER(K448),SUMIFS(st_min,st_date,A448,st_eq,B448,st_po,C448,st_type,"Non planifié"),"")</f>
        <v/>
      </c>
      <c r="O448" s="55" t="str">
        <f>IF(ISNUMBER(K448),M448-N448,"")</f>
        <v/>
      </c>
      <c r="P448" s="55" t="str">
        <f>IF(COUNTA(A448:I448)=0,"",N(G448)+N(H448)+N(I448))</f>
        <v/>
      </c>
      <c r="Q448" s="56" t="str">
        <f>IF(COUNTA(A448:I448)=0,"",IF(N(IFERROR(INDEX(art_rate,MATCH(E448,art_ref,0)),0))&gt;0,N(IFERROR(INDEX(art_rate,MATCH(E448,art_ref,0)),0)),N(IFERROR(INDEX(po_rate,MATCH(C448,po_code,0)),0))))</f>
        <v/>
      </c>
      <c r="R448" s="55" t="str">
        <f>IF(AC448=1,P448*60/Q448,"")</f>
        <v/>
      </c>
      <c r="S448" s="55" t="str">
        <f>IF(AC448=1,N(G448)*60/Q448,"")</f>
        <v/>
      </c>
      <c r="T448" s="57" t="str">
        <f>IF(AC448=1,O448/M448,"")</f>
        <v/>
      </c>
      <c r="U448" s="57" t="str">
        <f>IF(AC448=1,IF(O448&gt;0,R448/O448,""),"")</f>
        <v/>
      </c>
      <c r="V448" s="57" t="str">
        <f>IF(AC448=1,IF(P448&gt;0,N(G448)/P448,""),"")</f>
        <v/>
      </c>
      <c r="W448" s="57" t="str">
        <f>IF(AC448=1,S448/M448,"")</f>
        <v/>
      </c>
      <c r="X448" s="57" t="str">
        <f>IF(AC448=1,S448/K448,"")</f>
        <v/>
      </c>
      <c r="Y448" s="58" t="str">
        <f>IF(W448="","",IF(W448&gt;=p_target,"Bon",IF(W448&gt;=p_alert,"À surveiller","Faible")))</f>
        <v/>
      </c>
      <c r="Z448" s="58" t="str">
        <f>IF(W448="","",IF(MIN(IF(T448="",1,T448),IF(U448="",1,U448),IF(V448="",1,V448))&gt;=1,"Aucune",IF(IF(T448="",1,T448)&lt;=MIN(IF(U448="",1,U448),IF(V448="",1,V448)),"Disponibilité",IF(IF(U448="",1,U448)&lt;=IF(V448="",1,V448),"Performance","Qualité"))))</f>
        <v/>
      </c>
      <c r="AA448" s="59" t="str">
        <f>IF(AC448=1,N(H448)*N(IFERROR(INDEX(art_cost,MATCH(E448,art_ref,0)),0)),"")</f>
        <v/>
      </c>
      <c r="AB448" s="58" t="str">
        <f>IF(COUNTA(A448:I448)=0,"",IF(N(A448)&lt;=0,"Date manquante ou invalide",IF(B448="","Équipe manquante",IF(ISNA(MATCH(B448,eq_code,0)),"Équipe inconnue",IF(INDEX(eq_check,MATCH(B448,eq_code,0))&lt;&gt;"OK","Équipe à corriger dans Paramètres",IF(C448="","Poste manquant",IF(ISNA(MATCH(C448,po_code,0)),"Poste inconnu",IF(AND(E448&lt;&gt;"",ISNA(MATCH(E448,art_ref,0))),"Article inconnu",IF(IF(E448="",FALSE,INDEX(art_check,MATCH(E448,art_ref,0))&lt;&gt;"OK"),"Article à corriger (feuille Articles)",IF(COUNTIFS(sj_date,A448,sj_eq,B448,sj_po,C448)&gt;1,"Ligne en double (même jour, équipe et poste)",IF(OR(NOT(ISNUMBER(K448)),N(K448)&lt;=0,N(K448)&gt;1440),"Temps d'ouverture invalide",IF(OR(AND(G448&lt;&gt;"",NOT(ISNUMBER(G448))),N(G448)&lt;0,N(G448)&lt;&gt;INT(N(G448)),AND(H448&lt;&gt;"",NOT(ISNUMBER(H448))),N(H448)&lt;0,N(H448)&lt;&gt;INT(N(H448)),AND(I448&lt;&gt;"",NOT(ISNUMBER(I448))),N(I448)&lt;0,N(I448)&lt;&gt;INT(N(I448))),"Quantité invalide",IF(Q448&lt;=0,"Cadence manquante (poste ou article)",IF(M448&lt;=0,"Arrêts planifiés supérieurs au temps d'ouverture",IF(O448&lt;0,"Arrêts supérieurs au temps requis",IF(AND(P448&gt;0,O448=0),"Pièces déclarées sans temps de marche",IF(AND(P448=0,O448&gt;0),"Aucune pièce déclarée",IF(P448*60/Q448&gt;O448+0.001,"Cadence dépassée : vérifiez la cadence","OK"))))))))))))))))))</f>
        <v/>
      </c>
      <c r="AC448">
        <f>IF(OR(AB448="OK",AB448="Aucune pièce déclarée",AB448="Cadence dépassée : vérifiez la cadence"),1,0)</f>
        <v>0.0</v>
      </c>
      <c r="AD448">
        <f>IF(AND(AC448=1,A448&gt;=p_from,A448&lt;=p_to),1,0)</f>
        <v>0.0</v>
      </c>
      <c r="AE448">
        <f>IF(AD448=1,IF(COUNTIFS($A$6:A448,A448,$AD$6:AD448,1)=1,1,0),0)</f>
        <v>0.0</v>
      </c>
      <c r="AF448" t="str">
        <f>IF(AE448=1,COUNTIFS(sj_first,1,sj_date,"&lt;"&amp;A448)+1,"")</f>
        <v/>
      </c>
      <c r="AG448" t="str">
        <f>IF(AND(AD448=1,N(W448)&lt;p_alert),ROUND(W448,4),"")</f>
        <v/>
      </c>
      <c r="AH448" t="str">
        <f>IF(AG448="","",COUNTIF(sj_akey,"&lt;"&amp;AG448)+COUNTIF($AG$6:AG448,AG448))</f>
        <v/>
      </c>
    </row>
    <row r="449">
      <c r="A449" s="51" t="n"/>
      <c r="B449" s="52" t="n"/>
      <c r="C449" s="52" t="n"/>
      <c r="D449" s="53" t="n"/>
      <c r="E449" s="53" t="n"/>
      <c r="F449" s="54" t="n"/>
      <c r="G449" s="54" t="n"/>
      <c r="H449" s="54" t="n"/>
      <c r="I449" s="54" t="n"/>
      <c r="J449" s="53" t="n"/>
      <c r="K449" s="55" t="str">
        <f>IF(COUNTA(A449:I449)=0,"",IF(F449="",IFERROR(INDEX(eq_dur,MATCH(B449,eq_code,0)),""),F449))</f>
        <v/>
      </c>
      <c r="L449" s="55" t="str">
        <f>IF(ISNUMBER(K449),N(IFERROR(INDEX(eq_pause,MATCH(B449,eq_code,0)),0))+SUMIFS(st_min,st_date,A449,st_eq,B449,st_po,C449,st_type,"Planifié"),"")</f>
        <v/>
      </c>
      <c r="M449" s="55" t="str">
        <f>IF(ISNUMBER(K449),K449-L449,"")</f>
        <v/>
      </c>
      <c r="N449" s="55" t="str">
        <f>IF(ISNUMBER(K449),SUMIFS(st_min,st_date,A449,st_eq,B449,st_po,C449,st_type,"Non planifié"),"")</f>
        <v/>
      </c>
      <c r="O449" s="55" t="str">
        <f>IF(ISNUMBER(K449),M449-N449,"")</f>
        <v/>
      </c>
      <c r="P449" s="55" t="str">
        <f>IF(COUNTA(A449:I449)=0,"",N(G449)+N(H449)+N(I449))</f>
        <v/>
      </c>
      <c r="Q449" s="56" t="str">
        <f>IF(COUNTA(A449:I449)=0,"",IF(N(IFERROR(INDEX(art_rate,MATCH(E449,art_ref,0)),0))&gt;0,N(IFERROR(INDEX(art_rate,MATCH(E449,art_ref,0)),0)),N(IFERROR(INDEX(po_rate,MATCH(C449,po_code,0)),0))))</f>
        <v/>
      </c>
      <c r="R449" s="55" t="str">
        <f>IF(AC449=1,P449*60/Q449,"")</f>
        <v/>
      </c>
      <c r="S449" s="55" t="str">
        <f>IF(AC449=1,N(G449)*60/Q449,"")</f>
        <v/>
      </c>
      <c r="T449" s="57" t="str">
        <f>IF(AC449=1,O449/M449,"")</f>
        <v/>
      </c>
      <c r="U449" s="57" t="str">
        <f>IF(AC449=1,IF(O449&gt;0,R449/O449,""),"")</f>
        <v/>
      </c>
      <c r="V449" s="57" t="str">
        <f>IF(AC449=1,IF(P449&gt;0,N(G449)/P449,""),"")</f>
        <v/>
      </c>
      <c r="W449" s="57" t="str">
        <f>IF(AC449=1,S449/M449,"")</f>
        <v/>
      </c>
      <c r="X449" s="57" t="str">
        <f>IF(AC449=1,S449/K449,"")</f>
        <v/>
      </c>
      <c r="Y449" s="58" t="str">
        <f>IF(W449="","",IF(W449&gt;=p_target,"Bon",IF(W449&gt;=p_alert,"À surveiller","Faible")))</f>
        <v/>
      </c>
      <c r="Z449" s="58" t="str">
        <f>IF(W449="","",IF(MIN(IF(T449="",1,T449),IF(U449="",1,U449),IF(V449="",1,V449))&gt;=1,"Aucune",IF(IF(T449="",1,T449)&lt;=MIN(IF(U449="",1,U449),IF(V449="",1,V449)),"Disponibilité",IF(IF(U449="",1,U449)&lt;=IF(V449="",1,V449),"Performance","Qualité"))))</f>
        <v/>
      </c>
      <c r="AA449" s="59" t="str">
        <f>IF(AC449=1,N(H449)*N(IFERROR(INDEX(art_cost,MATCH(E449,art_ref,0)),0)),"")</f>
        <v/>
      </c>
      <c r="AB449" s="58" t="str">
        <f>IF(COUNTA(A449:I449)=0,"",IF(N(A449)&lt;=0,"Date manquante ou invalide",IF(B449="","Équipe manquante",IF(ISNA(MATCH(B449,eq_code,0)),"Équipe inconnue",IF(INDEX(eq_check,MATCH(B449,eq_code,0))&lt;&gt;"OK","Équipe à corriger dans Paramètres",IF(C449="","Poste manquant",IF(ISNA(MATCH(C449,po_code,0)),"Poste inconnu",IF(AND(E449&lt;&gt;"",ISNA(MATCH(E449,art_ref,0))),"Article inconnu",IF(IF(E449="",FALSE,INDEX(art_check,MATCH(E449,art_ref,0))&lt;&gt;"OK"),"Article à corriger (feuille Articles)",IF(COUNTIFS(sj_date,A449,sj_eq,B449,sj_po,C449)&gt;1,"Ligne en double (même jour, équipe et poste)",IF(OR(NOT(ISNUMBER(K449)),N(K449)&lt;=0,N(K449)&gt;1440),"Temps d'ouverture invalide",IF(OR(AND(G449&lt;&gt;"",NOT(ISNUMBER(G449))),N(G449)&lt;0,N(G449)&lt;&gt;INT(N(G449)),AND(H449&lt;&gt;"",NOT(ISNUMBER(H449))),N(H449)&lt;0,N(H449)&lt;&gt;INT(N(H449)),AND(I449&lt;&gt;"",NOT(ISNUMBER(I449))),N(I449)&lt;0,N(I449)&lt;&gt;INT(N(I449))),"Quantité invalide",IF(Q449&lt;=0,"Cadence manquante (poste ou article)",IF(M449&lt;=0,"Arrêts planifiés supérieurs au temps d'ouverture",IF(O449&lt;0,"Arrêts supérieurs au temps requis",IF(AND(P449&gt;0,O449=0),"Pièces déclarées sans temps de marche",IF(AND(P449=0,O449&gt;0),"Aucune pièce déclarée",IF(P449*60/Q449&gt;O449+0.001,"Cadence dépassée : vérifiez la cadence","OK"))))))))))))))))))</f>
        <v/>
      </c>
      <c r="AC449">
        <f>IF(OR(AB449="OK",AB449="Aucune pièce déclarée",AB449="Cadence dépassée : vérifiez la cadence"),1,0)</f>
        <v>0.0</v>
      </c>
      <c r="AD449">
        <f>IF(AND(AC449=1,A449&gt;=p_from,A449&lt;=p_to),1,0)</f>
        <v>0.0</v>
      </c>
      <c r="AE449">
        <f>IF(AD449=1,IF(COUNTIFS($A$6:A449,A449,$AD$6:AD449,1)=1,1,0),0)</f>
        <v>0.0</v>
      </c>
      <c r="AF449" t="str">
        <f>IF(AE449=1,COUNTIFS(sj_first,1,sj_date,"&lt;"&amp;A449)+1,"")</f>
        <v/>
      </c>
      <c r="AG449" t="str">
        <f>IF(AND(AD449=1,N(W449)&lt;p_alert),ROUND(W449,4),"")</f>
        <v/>
      </c>
      <c r="AH449" t="str">
        <f>IF(AG449="","",COUNTIF(sj_akey,"&lt;"&amp;AG449)+COUNTIF($AG$6:AG449,AG449))</f>
        <v/>
      </c>
    </row>
    <row r="450">
      <c r="A450" s="51" t="n"/>
      <c r="B450" s="52" t="n"/>
      <c r="C450" s="52" t="n"/>
      <c r="D450" s="53" t="n"/>
      <c r="E450" s="53" t="n"/>
      <c r="F450" s="54" t="n"/>
      <c r="G450" s="54" t="n"/>
      <c r="H450" s="54" t="n"/>
      <c r="I450" s="54" t="n"/>
      <c r="J450" s="53" t="n"/>
      <c r="K450" s="55" t="str">
        <f>IF(COUNTA(A450:I450)=0,"",IF(F450="",IFERROR(INDEX(eq_dur,MATCH(B450,eq_code,0)),""),F450))</f>
        <v/>
      </c>
      <c r="L450" s="55" t="str">
        <f>IF(ISNUMBER(K450),N(IFERROR(INDEX(eq_pause,MATCH(B450,eq_code,0)),0))+SUMIFS(st_min,st_date,A450,st_eq,B450,st_po,C450,st_type,"Planifié"),"")</f>
        <v/>
      </c>
      <c r="M450" s="55" t="str">
        <f>IF(ISNUMBER(K450),K450-L450,"")</f>
        <v/>
      </c>
      <c r="N450" s="55" t="str">
        <f>IF(ISNUMBER(K450),SUMIFS(st_min,st_date,A450,st_eq,B450,st_po,C450,st_type,"Non planifié"),"")</f>
        <v/>
      </c>
      <c r="O450" s="55" t="str">
        <f>IF(ISNUMBER(K450),M450-N450,"")</f>
        <v/>
      </c>
      <c r="P450" s="55" t="str">
        <f>IF(COUNTA(A450:I450)=0,"",N(G450)+N(H450)+N(I450))</f>
        <v/>
      </c>
      <c r="Q450" s="56" t="str">
        <f>IF(COUNTA(A450:I450)=0,"",IF(N(IFERROR(INDEX(art_rate,MATCH(E450,art_ref,0)),0))&gt;0,N(IFERROR(INDEX(art_rate,MATCH(E450,art_ref,0)),0)),N(IFERROR(INDEX(po_rate,MATCH(C450,po_code,0)),0))))</f>
        <v/>
      </c>
      <c r="R450" s="55" t="str">
        <f>IF(AC450=1,P450*60/Q450,"")</f>
        <v/>
      </c>
      <c r="S450" s="55" t="str">
        <f>IF(AC450=1,N(G450)*60/Q450,"")</f>
        <v/>
      </c>
      <c r="T450" s="57" t="str">
        <f>IF(AC450=1,O450/M450,"")</f>
        <v/>
      </c>
      <c r="U450" s="57" t="str">
        <f>IF(AC450=1,IF(O450&gt;0,R450/O450,""),"")</f>
        <v/>
      </c>
      <c r="V450" s="57" t="str">
        <f>IF(AC450=1,IF(P450&gt;0,N(G450)/P450,""),"")</f>
        <v/>
      </c>
      <c r="W450" s="57" t="str">
        <f>IF(AC450=1,S450/M450,"")</f>
        <v/>
      </c>
      <c r="X450" s="57" t="str">
        <f>IF(AC450=1,S450/K450,"")</f>
        <v/>
      </c>
      <c r="Y450" s="58" t="str">
        <f>IF(W450="","",IF(W450&gt;=p_target,"Bon",IF(W450&gt;=p_alert,"À surveiller","Faible")))</f>
        <v/>
      </c>
      <c r="Z450" s="58" t="str">
        <f>IF(W450="","",IF(MIN(IF(T450="",1,T450),IF(U450="",1,U450),IF(V450="",1,V450))&gt;=1,"Aucune",IF(IF(T450="",1,T450)&lt;=MIN(IF(U450="",1,U450),IF(V450="",1,V450)),"Disponibilité",IF(IF(U450="",1,U450)&lt;=IF(V450="",1,V450),"Performance","Qualité"))))</f>
        <v/>
      </c>
      <c r="AA450" s="59" t="str">
        <f>IF(AC450=1,N(H450)*N(IFERROR(INDEX(art_cost,MATCH(E450,art_ref,0)),0)),"")</f>
        <v/>
      </c>
      <c r="AB450" s="58" t="str">
        <f>IF(COUNTA(A450:I450)=0,"",IF(N(A450)&lt;=0,"Date manquante ou invalide",IF(B450="","Équipe manquante",IF(ISNA(MATCH(B450,eq_code,0)),"Équipe inconnue",IF(INDEX(eq_check,MATCH(B450,eq_code,0))&lt;&gt;"OK","Équipe à corriger dans Paramètres",IF(C450="","Poste manquant",IF(ISNA(MATCH(C450,po_code,0)),"Poste inconnu",IF(AND(E450&lt;&gt;"",ISNA(MATCH(E450,art_ref,0))),"Article inconnu",IF(IF(E450="",FALSE,INDEX(art_check,MATCH(E450,art_ref,0))&lt;&gt;"OK"),"Article à corriger (feuille Articles)",IF(COUNTIFS(sj_date,A450,sj_eq,B450,sj_po,C450)&gt;1,"Ligne en double (même jour, équipe et poste)",IF(OR(NOT(ISNUMBER(K450)),N(K450)&lt;=0,N(K450)&gt;1440),"Temps d'ouverture invalide",IF(OR(AND(G450&lt;&gt;"",NOT(ISNUMBER(G450))),N(G450)&lt;0,N(G450)&lt;&gt;INT(N(G450)),AND(H450&lt;&gt;"",NOT(ISNUMBER(H450))),N(H450)&lt;0,N(H450)&lt;&gt;INT(N(H450)),AND(I450&lt;&gt;"",NOT(ISNUMBER(I450))),N(I450)&lt;0,N(I450)&lt;&gt;INT(N(I450))),"Quantité invalide",IF(Q450&lt;=0,"Cadence manquante (poste ou article)",IF(M450&lt;=0,"Arrêts planifiés supérieurs au temps d'ouverture",IF(O450&lt;0,"Arrêts supérieurs au temps requis",IF(AND(P450&gt;0,O450=0),"Pièces déclarées sans temps de marche",IF(AND(P450=0,O450&gt;0),"Aucune pièce déclarée",IF(P450*60/Q450&gt;O450+0.001,"Cadence dépassée : vérifiez la cadence","OK"))))))))))))))))))</f>
        <v/>
      </c>
      <c r="AC450">
        <f>IF(OR(AB450="OK",AB450="Aucune pièce déclarée",AB450="Cadence dépassée : vérifiez la cadence"),1,0)</f>
        <v>0.0</v>
      </c>
      <c r="AD450">
        <f>IF(AND(AC450=1,A450&gt;=p_from,A450&lt;=p_to),1,0)</f>
        <v>0.0</v>
      </c>
      <c r="AE450">
        <f>IF(AD450=1,IF(COUNTIFS($A$6:A450,A450,$AD$6:AD450,1)=1,1,0),0)</f>
        <v>0.0</v>
      </c>
      <c r="AF450" t="str">
        <f>IF(AE450=1,COUNTIFS(sj_first,1,sj_date,"&lt;"&amp;A450)+1,"")</f>
        <v/>
      </c>
      <c r="AG450" t="str">
        <f>IF(AND(AD450=1,N(W450)&lt;p_alert),ROUND(W450,4),"")</f>
        <v/>
      </c>
      <c r="AH450" t="str">
        <f>IF(AG450="","",COUNTIF(sj_akey,"&lt;"&amp;AG450)+COUNTIF($AG$6:AG450,AG450))</f>
        <v/>
      </c>
    </row>
    <row r="451">
      <c r="A451" s="51" t="n"/>
      <c r="B451" s="52" t="n"/>
      <c r="C451" s="52" t="n"/>
      <c r="D451" s="53" t="n"/>
      <c r="E451" s="53" t="n"/>
      <c r="F451" s="54" t="n"/>
      <c r="G451" s="54" t="n"/>
      <c r="H451" s="54" t="n"/>
      <c r="I451" s="54" t="n"/>
      <c r="J451" s="53" t="n"/>
      <c r="K451" s="55" t="str">
        <f>IF(COUNTA(A451:I451)=0,"",IF(F451="",IFERROR(INDEX(eq_dur,MATCH(B451,eq_code,0)),""),F451))</f>
        <v/>
      </c>
      <c r="L451" s="55" t="str">
        <f>IF(ISNUMBER(K451),N(IFERROR(INDEX(eq_pause,MATCH(B451,eq_code,0)),0))+SUMIFS(st_min,st_date,A451,st_eq,B451,st_po,C451,st_type,"Planifié"),"")</f>
        <v/>
      </c>
      <c r="M451" s="55" t="str">
        <f>IF(ISNUMBER(K451),K451-L451,"")</f>
        <v/>
      </c>
      <c r="N451" s="55" t="str">
        <f>IF(ISNUMBER(K451),SUMIFS(st_min,st_date,A451,st_eq,B451,st_po,C451,st_type,"Non planifié"),"")</f>
        <v/>
      </c>
      <c r="O451" s="55" t="str">
        <f>IF(ISNUMBER(K451),M451-N451,"")</f>
        <v/>
      </c>
      <c r="P451" s="55" t="str">
        <f>IF(COUNTA(A451:I451)=0,"",N(G451)+N(H451)+N(I451))</f>
        <v/>
      </c>
      <c r="Q451" s="56" t="str">
        <f>IF(COUNTA(A451:I451)=0,"",IF(N(IFERROR(INDEX(art_rate,MATCH(E451,art_ref,0)),0))&gt;0,N(IFERROR(INDEX(art_rate,MATCH(E451,art_ref,0)),0)),N(IFERROR(INDEX(po_rate,MATCH(C451,po_code,0)),0))))</f>
        <v/>
      </c>
      <c r="R451" s="55" t="str">
        <f>IF(AC451=1,P451*60/Q451,"")</f>
        <v/>
      </c>
      <c r="S451" s="55" t="str">
        <f>IF(AC451=1,N(G451)*60/Q451,"")</f>
        <v/>
      </c>
      <c r="T451" s="57" t="str">
        <f>IF(AC451=1,O451/M451,"")</f>
        <v/>
      </c>
      <c r="U451" s="57" t="str">
        <f>IF(AC451=1,IF(O451&gt;0,R451/O451,""),"")</f>
        <v/>
      </c>
      <c r="V451" s="57" t="str">
        <f>IF(AC451=1,IF(P451&gt;0,N(G451)/P451,""),"")</f>
        <v/>
      </c>
      <c r="W451" s="57" t="str">
        <f>IF(AC451=1,S451/M451,"")</f>
        <v/>
      </c>
      <c r="X451" s="57" t="str">
        <f>IF(AC451=1,S451/K451,"")</f>
        <v/>
      </c>
      <c r="Y451" s="58" t="str">
        <f>IF(W451="","",IF(W451&gt;=p_target,"Bon",IF(W451&gt;=p_alert,"À surveiller","Faible")))</f>
        <v/>
      </c>
      <c r="Z451" s="58" t="str">
        <f>IF(W451="","",IF(MIN(IF(T451="",1,T451),IF(U451="",1,U451),IF(V451="",1,V451))&gt;=1,"Aucune",IF(IF(T451="",1,T451)&lt;=MIN(IF(U451="",1,U451),IF(V451="",1,V451)),"Disponibilité",IF(IF(U451="",1,U451)&lt;=IF(V451="",1,V451),"Performance","Qualité"))))</f>
        <v/>
      </c>
      <c r="AA451" s="59" t="str">
        <f>IF(AC451=1,N(H451)*N(IFERROR(INDEX(art_cost,MATCH(E451,art_ref,0)),0)),"")</f>
        <v/>
      </c>
      <c r="AB451" s="58" t="str">
        <f>IF(COUNTA(A451:I451)=0,"",IF(N(A451)&lt;=0,"Date manquante ou invalide",IF(B451="","Équipe manquante",IF(ISNA(MATCH(B451,eq_code,0)),"Équipe inconnue",IF(INDEX(eq_check,MATCH(B451,eq_code,0))&lt;&gt;"OK","Équipe à corriger dans Paramètres",IF(C451="","Poste manquant",IF(ISNA(MATCH(C451,po_code,0)),"Poste inconnu",IF(AND(E451&lt;&gt;"",ISNA(MATCH(E451,art_ref,0))),"Article inconnu",IF(IF(E451="",FALSE,INDEX(art_check,MATCH(E451,art_ref,0))&lt;&gt;"OK"),"Article à corriger (feuille Articles)",IF(COUNTIFS(sj_date,A451,sj_eq,B451,sj_po,C451)&gt;1,"Ligne en double (même jour, équipe et poste)",IF(OR(NOT(ISNUMBER(K451)),N(K451)&lt;=0,N(K451)&gt;1440),"Temps d'ouverture invalide",IF(OR(AND(G451&lt;&gt;"",NOT(ISNUMBER(G451))),N(G451)&lt;0,N(G451)&lt;&gt;INT(N(G451)),AND(H451&lt;&gt;"",NOT(ISNUMBER(H451))),N(H451)&lt;0,N(H451)&lt;&gt;INT(N(H451)),AND(I451&lt;&gt;"",NOT(ISNUMBER(I451))),N(I451)&lt;0,N(I451)&lt;&gt;INT(N(I451))),"Quantité invalide",IF(Q451&lt;=0,"Cadence manquante (poste ou article)",IF(M451&lt;=0,"Arrêts planifiés supérieurs au temps d'ouverture",IF(O451&lt;0,"Arrêts supérieurs au temps requis",IF(AND(P451&gt;0,O451=0),"Pièces déclarées sans temps de marche",IF(AND(P451=0,O451&gt;0),"Aucune pièce déclarée",IF(P451*60/Q451&gt;O451+0.001,"Cadence dépassée : vérifiez la cadence","OK"))))))))))))))))))</f>
        <v/>
      </c>
      <c r="AC451">
        <f>IF(OR(AB451="OK",AB451="Aucune pièce déclarée",AB451="Cadence dépassée : vérifiez la cadence"),1,0)</f>
        <v>0.0</v>
      </c>
      <c r="AD451">
        <f>IF(AND(AC451=1,A451&gt;=p_from,A451&lt;=p_to),1,0)</f>
        <v>0.0</v>
      </c>
      <c r="AE451">
        <f>IF(AD451=1,IF(COUNTIFS($A$6:A451,A451,$AD$6:AD451,1)=1,1,0),0)</f>
        <v>0.0</v>
      </c>
      <c r="AF451" t="str">
        <f>IF(AE451=1,COUNTIFS(sj_first,1,sj_date,"&lt;"&amp;A451)+1,"")</f>
        <v/>
      </c>
      <c r="AG451" t="str">
        <f>IF(AND(AD451=1,N(W451)&lt;p_alert),ROUND(W451,4),"")</f>
        <v/>
      </c>
      <c r="AH451" t="str">
        <f>IF(AG451="","",COUNTIF(sj_akey,"&lt;"&amp;AG451)+COUNTIF($AG$6:AG451,AG451))</f>
        <v/>
      </c>
    </row>
    <row r="452">
      <c r="A452" s="51" t="n"/>
      <c r="B452" s="52" t="n"/>
      <c r="C452" s="52" t="n"/>
      <c r="D452" s="53" t="n"/>
      <c r="E452" s="53" t="n"/>
      <c r="F452" s="54" t="n"/>
      <c r="G452" s="54" t="n"/>
      <c r="H452" s="54" t="n"/>
      <c r="I452" s="54" t="n"/>
      <c r="J452" s="53" t="n"/>
      <c r="K452" s="55" t="str">
        <f>IF(COUNTA(A452:I452)=0,"",IF(F452="",IFERROR(INDEX(eq_dur,MATCH(B452,eq_code,0)),""),F452))</f>
        <v/>
      </c>
      <c r="L452" s="55" t="str">
        <f>IF(ISNUMBER(K452),N(IFERROR(INDEX(eq_pause,MATCH(B452,eq_code,0)),0))+SUMIFS(st_min,st_date,A452,st_eq,B452,st_po,C452,st_type,"Planifié"),"")</f>
        <v/>
      </c>
      <c r="M452" s="55" t="str">
        <f>IF(ISNUMBER(K452),K452-L452,"")</f>
        <v/>
      </c>
      <c r="N452" s="55" t="str">
        <f>IF(ISNUMBER(K452),SUMIFS(st_min,st_date,A452,st_eq,B452,st_po,C452,st_type,"Non planifié"),"")</f>
        <v/>
      </c>
      <c r="O452" s="55" t="str">
        <f>IF(ISNUMBER(K452),M452-N452,"")</f>
        <v/>
      </c>
      <c r="P452" s="55" t="str">
        <f>IF(COUNTA(A452:I452)=0,"",N(G452)+N(H452)+N(I452))</f>
        <v/>
      </c>
      <c r="Q452" s="56" t="str">
        <f>IF(COUNTA(A452:I452)=0,"",IF(N(IFERROR(INDEX(art_rate,MATCH(E452,art_ref,0)),0))&gt;0,N(IFERROR(INDEX(art_rate,MATCH(E452,art_ref,0)),0)),N(IFERROR(INDEX(po_rate,MATCH(C452,po_code,0)),0))))</f>
        <v/>
      </c>
      <c r="R452" s="55" t="str">
        <f>IF(AC452=1,P452*60/Q452,"")</f>
        <v/>
      </c>
      <c r="S452" s="55" t="str">
        <f>IF(AC452=1,N(G452)*60/Q452,"")</f>
        <v/>
      </c>
      <c r="T452" s="57" t="str">
        <f>IF(AC452=1,O452/M452,"")</f>
        <v/>
      </c>
      <c r="U452" s="57" t="str">
        <f>IF(AC452=1,IF(O452&gt;0,R452/O452,""),"")</f>
        <v/>
      </c>
      <c r="V452" s="57" t="str">
        <f>IF(AC452=1,IF(P452&gt;0,N(G452)/P452,""),"")</f>
        <v/>
      </c>
      <c r="W452" s="57" t="str">
        <f>IF(AC452=1,S452/M452,"")</f>
        <v/>
      </c>
      <c r="X452" s="57" t="str">
        <f>IF(AC452=1,S452/K452,"")</f>
        <v/>
      </c>
      <c r="Y452" s="58" t="str">
        <f>IF(W452="","",IF(W452&gt;=p_target,"Bon",IF(W452&gt;=p_alert,"À surveiller","Faible")))</f>
        <v/>
      </c>
      <c r="Z452" s="58" t="str">
        <f>IF(W452="","",IF(MIN(IF(T452="",1,T452),IF(U452="",1,U452),IF(V452="",1,V452))&gt;=1,"Aucune",IF(IF(T452="",1,T452)&lt;=MIN(IF(U452="",1,U452),IF(V452="",1,V452)),"Disponibilité",IF(IF(U452="",1,U452)&lt;=IF(V452="",1,V452),"Performance","Qualité"))))</f>
        <v/>
      </c>
      <c r="AA452" s="59" t="str">
        <f>IF(AC452=1,N(H452)*N(IFERROR(INDEX(art_cost,MATCH(E452,art_ref,0)),0)),"")</f>
        <v/>
      </c>
      <c r="AB452" s="58" t="str">
        <f>IF(COUNTA(A452:I452)=0,"",IF(N(A452)&lt;=0,"Date manquante ou invalide",IF(B452="","Équipe manquante",IF(ISNA(MATCH(B452,eq_code,0)),"Équipe inconnue",IF(INDEX(eq_check,MATCH(B452,eq_code,0))&lt;&gt;"OK","Équipe à corriger dans Paramètres",IF(C452="","Poste manquant",IF(ISNA(MATCH(C452,po_code,0)),"Poste inconnu",IF(AND(E452&lt;&gt;"",ISNA(MATCH(E452,art_ref,0))),"Article inconnu",IF(IF(E452="",FALSE,INDEX(art_check,MATCH(E452,art_ref,0))&lt;&gt;"OK"),"Article à corriger (feuille Articles)",IF(COUNTIFS(sj_date,A452,sj_eq,B452,sj_po,C452)&gt;1,"Ligne en double (même jour, équipe et poste)",IF(OR(NOT(ISNUMBER(K452)),N(K452)&lt;=0,N(K452)&gt;1440),"Temps d'ouverture invalide",IF(OR(AND(G452&lt;&gt;"",NOT(ISNUMBER(G452))),N(G452)&lt;0,N(G452)&lt;&gt;INT(N(G452)),AND(H452&lt;&gt;"",NOT(ISNUMBER(H452))),N(H452)&lt;0,N(H452)&lt;&gt;INT(N(H452)),AND(I452&lt;&gt;"",NOT(ISNUMBER(I452))),N(I452)&lt;0,N(I452)&lt;&gt;INT(N(I452))),"Quantité invalide",IF(Q452&lt;=0,"Cadence manquante (poste ou article)",IF(M452&lt;=0,"Arrêts planifiés supérieurs au temps d'ouverture",IF(O452&lt;0,"Arrêts supérieurs au temps requis",IF(AND(P452&gt;0,O452=0),"Pièces déclarées sans temps de marche",IF(AND(P452=0,O452&gt;0),"Aucune pièce déclarée",IF(P452*60/Q452&gt;O452+0.001,"Cadence dépassée : vérifiez la cadence","OK"))))))))))))))))))</f>
        <v/>
      </c>
      <c r="AC452">
        <f>IF(OR(AB452="OK",AB452="Aucune pièce déclarée",AB452="Cadence dépassée : vérifiez la cadence"),1,0)</f>
        <v>0.0</v>
      </c>
      <c r="AD452">
        <f>IF(AND(AC452=1,A452&gt;=p_from,A452&lt;=p_to),1,0)</f>
        <v>0.0</v>
      </c>
      <c r="AE452">
        <f>IF(AD452=1,IF(COUNTIFS($A$6:A452,A452,$AD$6:AD452,1)=1,1,0),0)</f>
        <v>0.0</v>
      </c>
      <c r="AF452" t="str">
        <f>IF(AE452=1,COUNTIFS(sj_first,1,sj_date,"&lt;"&amp;A452)+1,"")</f>
        <v/>
      </c>
      <c r="AG452" t="str">
        <f>IF(AND(AD452=1,N(W452)&lt;p_alert),ROUND(W452,4),"")</f>
        <v/>
      </c>
      <c r="AH452" t="str">
        <f>IF(AG452="","",COUNTIF(sj_akey,"&lt;"&amp;AG452)+COUNTIF($AG$6:AG452,AG452))</f>
        <v/>
      </c>
    </row>
    <row r="453">
      <c r="A453" s="51" t="n"/>
      <c r="B453" s="52" t="n"/>
      <c r="C453" s="52" t="n"/>
      <c r="D453" s="53" t="n"/>
      <c r="E453" s="53" t="n"/>
      <c r="F453" s="54" t="n"/>
      <c r="G453" s="54" t="n"/>
      <c r="H453" s="54" t="n"/>
      <c r="I453" s="54" t="n"/>
      <c r="J453" s="53" t="n"/>
      <c r="K453" s="55" t="str">
        <f>IF(COUNTA(A453:I453)=0,"",IF(F453="",IFERROR(INDEX(eq_dur,MATCH(B453,eq_code,0)),""),F453))</f>
        <v/>
      </c>
      <c r="L453" s="55" t="str">
        <f>IF(ISNUMBER(K453),N(IFERROR(INDEX(eq_pause,MATCH(B453,eq_code,0)),0))+SUMIFS(st_min,st_date,A453,st_eq,B453,st_po,C453,st_type,"Planifié"),"")</f>
        <v/>
      </c>
      <c r="M453" s="55" t="str">
        <f>IF(ISNUMBER(K453),K453-L453,"")</f>
        <v/>
      </c>
      <c r="N453" s="55" t="str">
        <f>IF(ISNUMBER(K453),SUMIFS(st_min,st_date,A453,st_eq,B453,st_po,C453,st_type,"Non planifié"),"")</f>
        <v/>
      </c>
      <c r="O453" s="55" t="str">
        <f>IF(ISNUMBER(K453),M453-N453,"")</f>
        <v/>
      </c>
      <c r="P453" s="55" t="str">
        <f>IF(COUNTA(A453:I453)=0,"",N(G453)+N(H453)+N(I453))</f>
        <v/>
      </c>
      <c r="Q453" s="56" t="str">
        <f>IF(COUNTA(A453:I453)=0,"",IF(N(IFERROR(INDEX(art_rate,MATCH(E453,art_ref,0)),0))&gt;0,N(IFERROR(INDEX(art_rate,MATCH(E453,art_ref,0)),0)),N(IFERROR(INDEX(po_rate,MATCH(C453,po_code,0)),0))))</f>
        <v/>
      </c>
      <c r="R453" s="55" t="str">
        <f>IF(AC453=1,P453*60/Q453,"")</f>
        <v/>
      </c>
      <c r="S453" s="55" t="str">
        <f>IF(AC453=1,N(G453)*60/Q453,"")</f>
        <v/>
      </c>
      <c r="T453" s="57" t="str">
        <f>IF(AC453=1,O453/M453,"")</f>
        <v/>
      </c>
      <c r="U453" s="57" t="str">
        <f>IF(AC453=1,IF(O453&gt;0,R453/O453,""),"")</f>
        <v/>
      </c>
      <c r="V453" s="57" t="str">
        <f>IF(AC453=1,IF(P453&gt;0,N(G453)/P453,""),"")</f>
        <v/>
      </c>
      <c r="W453" s="57" t="str">
        <f>IF(AC453=1,S453/M453,"")</f>
        <v/>
      </c>
      <c r="X453" s="57" t="str">
        <f>IF(AC453=1,S453/K453,"")</f>
        <v/>
      </c>
      <c r="Y453" s="58" t="str">
        <f>IF(W453="","",IF(W453&gt;=p_target,"Bon",IF(W453&gt;=p_alert,"À surveiller","Faible")))</f>
        <v/>
      </c>
      <c r="Z453" s="58" t="str">
        <f>IF(W453="","",IF(MIN(IF(T453="",1,T453),IF(U453="",1,U453),IF(V453="",1,V453))&gt;=1,"Aucune",IF(IF(T453="",1,T453)&lt;=MIN(IF(U453="",1,U453),IF(V453="",1,V453)),"Disponibilité",IF(IF(U453="",1,U453)&lt;=IF(V453="",1,V453),"Performance","Qualité"))))</f>
        <v/>
      </c>
      <c r="AA453" s="59" t="str">
        <f>IF(AC453=1,N(H453)*N(IFERROR(INDEX(art_cost,MATCH(E453,art_ref,0)),0)),"")</f>
        <v/>
      </c>
      <c r="AB453" s="58" t="str">
        <f>IF(COUNTA(A453:I453)=0,"",IF(N(A453)&lt;=0,"Date manquante ou invalide",IF(B453="","Équipe manquante",IF(ISNA(MATCH(B453,eq_code,0)),"Équipe inconnue",IF(INDEX(eq_check,MATCH(B453,eq_code,0))&lt;&gt;"OK","Équipe à corriger dans Paramètres",IF(C453="","Poste manquant",IF(ISNA(MATCH(C453,po_code,0)),"Poste inconnu",IF(AND(E453&lt;&gt;"",ISNA(MATCH(E453,art_ref,0))),"Article inconnu",IF(IF(E453="",FALSE,INDEX(art_check,MATCH(E453,art_ref,0))&lt;&gt;"OK"),"Article à corriger (feuille Articles)",IF(COUNTIFS(sj_date,A453,sj_eq,B453,sj_po,C453)&gt;1,"Ligne en double (même jour, équipe et poste)",IF(OR(NOT(ISNUMBER(K453)),N(K453)&lt;=0,N(K453)&gt;1440),"Temps d'ouverture invalide",IF(OR(AND(G453&lt;&gt;"",NOT(ISNUMBER(G453))),N(G453)&lt;0,N(G453)&lt;&gt;INT(N(G453)),AND(H453&lt;&gt;"",NOT(ISNUMBER(H453))),N(H453)&lt;0,N(H453)&lt;&gt;INT(N(H453)),AND(I453&lt;&gt;"",NOT(ISNUMBER(I453))),N(I453)&lt;0,N(I453)&lt;&gt;INT(N(I453))),"Quantité invalide",IF(Q453&lt;=0,"Cadence manquante (poste ou article)",IF(M453&lt;=0,"Arrêts planifiés supérieurs au temps d'ouverture",IF(O453&lt;0,"Arrêts supérieurs au temps requis",IF(AND(P453&gt;0,O453=0),"Pièces déclarées sans temps de marche",IF(AND(P453=0,O453&gt;0),"Aucune pièce déclarée",IF(P453*60/Q453&gt;O453+0.001,"Cadence dépassée : vérifiez la cadence","OK"))))))))))))))))))</f>
        <v/>
      </c>
      <c r="AC453">
        <f>IF(OR(AB453="OK",AB453="Aucune pièce déclarée",AB453="Cadence dépassée : vérifiez la cadence"),1,0)</f>
        <v>0.0</v>
      </c>
      <c r="AD453">
        <f>IF(AND(AC453=1,A453&gt;=p_from,A453&lt;=p_to),1,0)</f>
        <v>0.0</v>
      </c>
      <c r="AE453">
        <f>IF(AD453=1,IF(COUNTIFS($A$6:A453,A453,$AD$6:AD453,1)=1,1,0),0)</f>
        <v>0.0</v>
      </c>
      <c r="AF453" t="str">
        <f>IF(AE453=1,COUNTIFS(sj_first,1,sj_date,"&lt;"&amp;A453)+1,"")</f>
        <v/>
      </c>
      <c r="AG453" t="str">
        <f>IF(AND(AD453=1,N(W453)&lt;p_alert),ROUND(W453,4),"")</f>
        <v/>
      </c>
      <c r="AH453" t="str">
        <f>IF(AG453="","",COUNTIF(sj_akey,"&lt;"&amp;AG453)+COUNTIF($AG$6:AG453,AG453))</f>
        <v/>
      </c>
    </row>
    <row r="454">
      <c r="A454" s="51" t="n"/>
      <c r="B454" s="52" t="n"/>
      <c r="C454" s="52" t="n"/>
      <c r="D454" s="53" t="n"/>
      <c r="E454" s="53" t="n"/>
      <c r="F454" s="54" t="n"/>
      <c r="G454" s="54" t="n"/>
      <c r="H454" s="54" t="n"/>
      <c r="I454" s="54" t="n"/>
      <c r="J454" s="53" t="n"/>
      <c r="K454" s="55" t="str">
        <f>IF(COUNTA(A454:I454)=0,"",IF(F454="",IFERROR(INDEX(eq_dur,MATCH(B454,eq_code,0)),""),F454))</f>
        <v/>
      </c>
      <c r="L454" s="55" t="str">
        <f>IF(ISNUMBER(K454),N(IFERROR(INDEX(eq_pause,MATCH(B454,eq_code,0)),0))+SUMIFS(st_min,st_date,A454,st_eq,B454,st_po,C454,st_type,"Planifié"),"")</f>
        <v/>
      </c>
      <c r="M454" s="55" t="str">
        <f>IF(ISNUMBER(K454),K454-L454,"")</f>
        <v/>
      </c>
      <c r="N454" s="55" t="str">
        <f>IF(ISNUMBER(K454),SUMIFS(st_min,st_date,A454,st_eq,B454,st_po,C454,st_type,"Non planifié"),"")</f>
        <v/>
      </c>
      <c r="O454" s="55" t="str">
        <f>IF(ISNUMBER(K454),M454-N454,"")</f>
        <v/>
      </c>
      <c r="P454" s="55" t="str">
        <f>IF(COUNTA(A454:I454)=0,"",N(G454)+N(H454)+N(I454))</f>
        <v/>
      </c>
      <c r="Q454" s="56" t="str">
        <f>IF(COUNTA(A454:I454)=0,"",IF(N(IFERROR(INDEX(art_rate,MATCH(E454,art_ref,0)),0))&gt;0,N(IFERROR(INDEX(art_rate,MATCH(E454,art_ref,0)),0)),N(IFERROR(INDEX(po_rate,MATCH(C454,po_code,0)),0))))</f>
        <v/>
      </c>
      <c r="R454" s="55" t="str">
        <f>IF(AC454=1,P454*60/Q454,"")</f>
        <v/>
      </c>
      <c r="S454" s="55" t="str">
        <f>IF(AC454=1,N(G454)*60/Q454,"")</f>
        <v/>
      </c>
      <c r="T454" s="57" t="str">
        <f>IF(AC454=1,O454/M454,"")</f>
        <v/>
      </c>
      <c r="U454" s="57" t="str">
        <f>IF(AC454=1,IF(O454&gt;0,R454/O454,""),"")</f>
        <v/>
      </c>
      <c r="V454" s="57" t="str">
        <f>IF(AC454=1,IF(P454&gt;0,N(G454)/P454,""),"")</f>
        <v/>
      </c>
      <c r="W454" s="57" t="str">
        <f>IF(AC454=1,S454/M454,"")</f>
        <v/>
      </c>
      <c r="X454" s="57" t="str">
        <f>IF(AC454=1,S454/K454,"")</f>
        <v/>
      </c>
      <c r="Y454" s="58" t="str">
        <f>IF(W454="","",IF(W454&gt;=p_target,"Bon",IF(W454&gt;=p_alert,"À surveiller","Faible")))</f>
        <v/>
      </c>
      <c r="Z454" s="58" t="str">
        <f>IF(W454="","",IF(MIN(IF(T454="",1,T454),IF(U454="",1,U454),IF(V454="",1,V454))&gt;=1,"Aucune",IF(IF(T454="",1,T454)&lt;=MIN(IF(U454="",1,U454),IF(V454="",1,V454)),"Disponibilité",IF(IF(U454="",1,U454)&lt;=IF(V454="",1,V454),"Performance","Qualité"))))</f>
        <v/>
      </c>
      <c r="AA454" s="59" t="str">
        <f>IF(AC454=1,N(H454)*N(IFERROR(INDEX(art_cost,MATCH(E454,art_ref,0)),0)),"")</f>
        <v/>
      </c>
      <c r="AB454" s="58" t="str">
        <f>IF(COUNTA(A454:I454)=0,"",IF(N(A454)&lt;=0,"Date manquante ou invalide",IF(B454="","Équipe manquante",IF(ISNA(MATCH(B454,eq_code,0)),"Équipe inconnue",IF(INDEX(eq_check,MATCH(B454,eq_code,0))&lt;&gt;"OK","Équipe à corriger dans Paramètres",IF(C454="","Poste manquant",IF(ISNA(MATCH(C454,po_code,0)),"Poste inconnu",IF(AND(E454&lt;&gt;"",ISNA(MATCH(E454,art_ref,0))),"Article inconnu",IF(IF(E454="",FALSE,INDEX(art_check,MATCH(E454,art_ref,0))&lt;&gt;"OK"),"Article à corriger (feuille Articles)",IF(COUNTIFS(sj_date,A454,sj_eq,B454,sj_po,C454)&gt;1,"Ligne en double (même jour, équipe et poste)",IF(OR(NOT(ISNUMBER(K454)),N(K454)&lt;=0,N(K454)&gt;1440),"Temps d'ouverture invalide",IF(OR(AND(G454&lt;&gt;"",NOT(ISNUMBER(G454))),N(G454)&lt;0,N(G454)&lt;&gt;INT(N(G454)),AND(H454&lt;&gt;"",NOT(ISNUMBER(H454))),N(H454)&lt;0,N(H454)&lt;&gt;INT(N(H454)),AND(I454&lt;&gt;"",NOT(ISNUMBER(I454))),N(I454)&lt;0,N(I454)&lt;&gt;INT(N(I454))),"Quantité invalide",IF(Q454&lt;=0,"Cadence manquante (poste ou article)",IF(M454&lt;=0,"Arrêts planifiés supérieurs au temps d'ouverture",IF(O454&lt;0,"Arrêts supérieurs au temps requis",IF(AND(P454&gt;0,O454=0),"Pièces déclarées sans temps de marche",IF(AND(P454=0,O454&gt;0),"Aucune pièce déclarée",IF(P454*60/Q454&gt;O454+0.001,"Cadence dépassée : vérifiez la cadence","OK"))))))))))))))))))</f>
        <v/>
      </c>
      <c r="AC454">
        <f>IF(OR(AB454="OK",AB454="Aucune pièce déclarée",AB454="Cadence dépassée : vérifiez la cadence"),1,0)</f>
        <v>0.0</v>
      </c>
      <c r="AD454">
        <f>IF(AND(AC454=1,A454&gt;=p_from,A454&lt;=p_to),1,0)</f>
        <v>0.0</v>
      </c>
      <c r="AE454">
        <f>IF(AD454=1,IF(COUNTIFS($A$6:A454,A454,$AD$6:AD454,1)=1,1,0),0)</f>
        <v>0.0</v>
      </c>
      <c r="AF454" t="str">
        <f>IF(AE454=1,COUNTIFS(sj_first,1,sj_date,"&lt;"&amp;A454)+1,"")</f>
        <v/>
      </c>
      <c r="AG454" t="str">
        <f>IF(AND(AD454=1,N(W454)&lt;p_alert),ROUND(W454,4),"")</f>
        <v/>
      </c>
      <c r="AH454" t="str">
        <f>IF(AG454="","",COUNTIF(sj_akey,"&lt;"&amp;AG454)+COUNTIF($AG$6:AG454,AG454))</f>
        <v/>
      </c>
    </row>
    <row r="455">
      <c r="A455" s="51" t="n"/>
      <c r="B455" s="52" t="n"/>
      <c r="C455" s="52" t="n"/>
      <c r="D455" s="53" t="n"/>
      <c r="E455" s="53" t="n"/>
      <c r="F455" s="54" t="n"/>
      <c r="G455" s="54" t="n"/>
      <c r="H455" s="54" t="n"/>
      <c r="I455" s="54" t="n"/>
      <c r="J455" s="53" t="n"/>
      <c r="K455" s="55" t="str">
        <f>IF(COUNTA(A455:I455)=0,"",IF(F455="",IFERROR(INDEX(eq_dur,MATCH(B455,eq_code,0)),""),F455))</f>
        <v/>
      </c>
      <c r="L455" s="55" t="str">
        <f>IF(ISNUMBER(K455),N(IFERROR(INDEX(eq_pause,MATCH(B455,eq_code,0)),0))+SUMIFS(st_min,st_date,A455,st_eq,B455,st_po,C455,st_type,"Planifié"),"")</f>
        <v/>
      </c>
      <c r="M455" s="55" t="str">
        <f>IF(ISNUMBER(K455),K455-L455,"")</f>
        <v/>
      </c>
      <c r="N455" s="55" t="str">
        <f>IF(ISNUMBER(K455),SUMIFS(st_min,st_date,A455,st_eq,B455,st_po,C455,st_type,"Non planifié"),"")</f>
        <v/>
      </c>
      <c r="O455" s="55" t="str">
        <f>IF(ISNUMBER(K455),M455-N455,"")</f>
        <v/>
      </c>
      <c r="P455" s="55" t="str">
        <f>IF(COUNTA(A455:I455)=0,"",N(G455)+N(H455)+N(I455))</f>
        <v/>
      </c>
      <c r="Q455" s="56" t="str">
        <f>IF(COUNTA(A455:I455)=0,"",IF(N(IFERROR(INDEX(art_rate,MATCH(E455,art_ref,0)),0))&gt;0,N(IFERROR(INDEX(art_rate,MATCH(E455,art_ref,0)),0)),N(IFERROR(INDEX(po_rate,MATCH(C455,po_code,0)),0))))</f>
        <v/>
      </c>
      <c r="R455" s="55" t="str">
        <f>IF(AC455=1,P455*60/Q455,"")</f>
        <v/>
      </c>
      <c r="S455" s="55" t="str">
        <f>IF(AC455=1,N(G455)*60/Q455,"")</f>
        <v/>
      </c>
      <c r="T455" s="57" t="str">
        <f>IF(AC455=1,O455/M455,"")</f>
        <v/>
      </c>
      <c r="U455" s="57" t="str">
        <f>IF(AC455=1,IF(O455&gt;0,R455/O455,""),"")</f>
        <v/>
      </c>
      <c r="V455" s="57" t="str">
        <f>IF(AC455=1,IF(P455&gt;0,N(G455)/P455,""),"")</f>
        <v/>
      </c>
      <c r="W455" s="57" t="str">
        <f>IF(AC455=1,S455/M455,"")</f>
        <v/>
      </c>
      <c r="X455" s="57" t="str">
        <f>IF(AC455=1,S455/K455,"")</f>
        <v/>
      </c>
      <c r="Y455" s="58" t="str">
        <f>IF(W455="","",IF(W455&gt;=p_target,"Bon",IF(W455&gt;=p_alert,"À surveiller","Faible")))</f>
        <v/>
      </c>
      <c r="Z455" s="58" t="str">
        <f>IF(W455="","",IF(MIN(IF(T455="",1,T455),IF(U455="",1,U455),IF(V455="",1,V455))&gt;=1,"Aucune",IF(IF(T455="",1,T455)&lt;=MIN(IF(U455="",1,U455),IF(V455="",1,V455)),"Disponibilité",IF(IF(U455="",1,U455)&lt;=IF(V455="",1,V455),"Performance","Qualité"))))</f>
        <v/>
      </c>
      <c r="AA455" s="59" t="str">
        <f>IF(AC455=1,N(H455)*N(IFERROR(INDEX(art_cost,MATCH(E455,art_ref,0)),0)),"")</f>
        <v/>
      </c>
      <c r="AB455" s="58" t="str">
        <f>IF(COUNTA(A455:I455)=0,"",IF(N(A455)&lt;=0,"Date manquante ou invalide",IF(B455="","Équipe manquante",IF(ISNA(MATCH(B455,eq_code,0)),"Équipe inconnue",IF(INDEX(eq_check,MATCH(B455,eq_code,0))&lt;&gt;"OK","Équipe à corriger dans Paramètres",IF(C455="","Poste manquant",IF(ISNA(MATCH(C455,po_code,0)),"Poste inconnu",IF(AND(E455&lt;&gt;"",ISNA(MATCH(E455,art_ref,0))),"Article inconnu",IF(IF(E455="",FALSE,INDEX(art_check,MATCH(E455,art_ref,0))&lt;&gt;"OK"),"Article à corriger (feuille Articles)",IF(COUNTIFS(sj_date,A455,sj_eq,B455,sj_po,C455)&gt;1,"Ligne en double (même jour, équipe et poste)",IF(OR(NOT(ISNUMBER(K455)),N(K455)&lt;=0,N(K455)&gt;1440),"Temps d'ouverture invalide",IF(OR(AND(G455&lt;&gt;"",NOT(ISNUMBER(G455))),N(G455)&lt;0,N(G455)&lt;&gt;INT(N(G455)),AND(H455&lt;&gt;"",NOT(ISNUMBER(H455))),N(H455)&lt;0,N(H455)&lt;&gt;INT(N(H455)),AND(I455&lt;&gt;"",NOT(ISNUMBER(I455))),N(I455)&lt;0,N(I455)&lt;&gt;INT(N(I455))),"Quantité invalide",IF(Q455&lt;=0,"Cadence manquante (poste ou article)",IF(M455&lt;=0,"Arrêts planifiés supérieurs au temps d'ouverture",IF(O455&lt;0,"Arrêts supérieurs au temps requis",IF(AND(P455&gt;0,O455=0),"Pièces déclarées sans temps de marche",IF(AND(P455=0,O455&gt;0),"Aucune pièce déclarée",IF(P455*60/Q455&gt;O455+0.001,"Cadence dépassée : vérifiez la cadence","OK"))))))))))))))))))</f>
        <v/>
      </c>
      <c r="AC455">
        <f>IF(OR(AB455="OK",AB455="Aucune pièce déclarée",AB455="Cadence dépassée : vérifiez la cadence"),1,0)</f>
        <v>0.0</v>
      </c>
      <c r="AD455">
        <f>IF(AND(AC455=1,A455&gt;=p_from,A455&lt;=p_to),1,0)</f>
        <v>0.0</v>
      </c>
      <c r="AE455">
        <f>IF(AD455=1,IF(COUNTIFS($A$6:A455,A455,$AD$6:AD455,1)=1,1,0),0)</f>
        <v>0.0</v>
      </c>
      <c r="AF455" t="str">
        <f>IF(AE455=1,COUNTIFS(sj_first,1,sj_date,"&lt;"&amp;A455)+1,"")</f>
        <v/>
      </c>
      <c r="AG455" t="str">
        <f>IF(AND(AD455=1,N(W455)&lt;p_alert),ROUND(W455,4),"")</f>
        <v/>
      </c>
      <c r="AH455" t="str">
        <f>IF(AG455="","",COUNTIF(sj_akey,"&lt;"&amp;AG455)+COUNTIF($AG$6:AG455,AG455))</f>
        <v/>
      </c>
    </row>
    <row r="456">
      <c r="A456" s="51" t="n"/>
      <c r="B456" s="52" t="n"/>
      <c r="C456" s="52" t="n"/>
      <c r="D456" s="53" t="n"/>
      <c r="E456" s="53" t="n"/>
      <c r="F456" s="54" t="n"/>
      <c r="G456" s="54" t="n"/>
      <c r="H456" s="54" t="n"/>
      <c r="I456" s="54" t="n"/>
      <c r="J456" s="53" t="n"/>
      <c r="K456" s="55" t="str">
        <f>IF(COUNTA(A456:I456)=0,"",IF(F456="",IFERROR(INDEX(eq_dur,MATCH(B456,eq_code,0)),""),F456))</f>
        <v/>
      </c>
      <c r="L456" s="55" t="str">
        <f>IF(ISNUMBER(K456),N(IFERROR(INDEX(eq_pause,MATCH(B456,eq_code,0)),0))+SUMIFS(st_min,st_date,A456,st_eq,B456,st_po,C456,st_type,"Planifié"),"")</f>
        <v/>
      </c>
      <c r="M456" s="55" t="str">
        <f>IF(ISNUMBER(K456),K456-L456,"")</f>
        <v/>
      </c>
      <c r="N456" s="55" t="str">
        <f>IF(ISNUMBER(K456),SUMIFS(st_min,st_date,A456,st_eq,B456,st_po,C456,st_type,"Non planifié"),"")</f>
        <v/>
      </c>
      <c r="O456" s="55" t="str">
        <f>IF(ISNUMBER(K456),M456-N456,"")</f>
        <v/>
      </c>
      <c r="P456" s="55" t="str">
        <f>IF(COUNTA(A456:I456)=0,"",N(G456)+N(H456)+N(I456))</f>
        <v/>
      </c>
      <c r="Q456" s="56" t="str">
        <f>IF(COUNTA(A456:I456)=0,"",IF(N(IFERROR(INDEX(art_rate,MATCH(E456,art_ref,0)),0))&gt;0,N(IFERROR(INDEX(art_rate,MATCH(E456,art_ref,0)),0)),N(IFERROR(INDEX(po_rate,MATCH(C456,po_code,0)),0))))</f>
        <v/>
      </c>
      <c r="R456" s="55" t="str">
        <f>IF(AC456=1,P456*60/Q456,"")</f>
        <v/>
      </c>
      <c r="S456" s="55" t="str">
        <f>IF(AC456=1,N(G456)*60/Q456,"")</f>
        <v/>
      </c>
      <c r="T456" s="57" t="str">
        <f>IF(AC456=1,O456/M456,"")</f>
        <v/>
      </c>
      <c r="U456" s="57" t="str">
        <f>IF(AC456=1,IF(O456&gt;0,R456/O456,""),"")</f>
        <v/>
      </c>
      <c r="V456" s="57" t="str">
        <f>IF(AC456=1,IF(P456&gt;0,N(G456)/P456,""),"")</f>
        <v/>
      </c>
      <c r="W456" s="57" t="str">
        <f>IF(AC456=1,S456/M456,"")</f>
        <v/>
      </c>
      <c r="X456" s="57" t="str">
        <f>IF(AC456=1,S456/K456,"")</f>
        <v/>
      </c>
      <c r="Y456" s="58" t="str">
        <f>IF(W456="","",IF(W456&gt;=p_target,"Bon",IF(W456&gt;=p_alert,"À surveiller","Faible")))</f>
        <v/>
      </c>
      <c r="Z456" s="58" t="str">
        <f>IF(W456="","",IF(MIN(IF(T456="",1,T456),IF(U456="",1,U456),IF(V456="",1,V456))&gt;=1,"Aucune",IF(IF(T456="",1,T456)&lt;=MIN(IF(U456="",1,U456),IF(V456="",1,V456)),"Disponibilité",IF(IF(U456="",1,U456)&lt;=IF(V456="",1,V456),"Performance","Qualité"))))</f>
        <v/>
      </c>
      <c r="AA456" s="59" t="str">
        <f>IF(AC456=1,N(H456)*N(IFERROR(INDEX(art_cost,MATCH(E456,art_ref,0)),0)),"")</f>
        <v/>
      </c>
      <c r="AB456" s="58" t="str">
        <f>IF(COUNTA(A456:I456)=0,"",IF(N(A456)&lt;=0,"Date manquante ou invalide",IF(B456="","Équipe manquante",IF(ISNA(MATCH(B456,eq_code,0)),"Équipe inconnue",IF(INDEX(eq_check,MATCH(B456,eq_code,0))&lt;&gt;"OK","Équipe à corriger dans Paramètres",IF(C456="","Poste manquant",IF(ISNA(MATCH(C456,po_code,0)),"Poste inconnu",IF(AND(E456&lt;&gt;"",ISNA(MATCH(E456,art_ref,0))),"Article inconnu",IF(IF(E456="",FALSE,INDEX(art_check,MATCH(E456,art_ref,0))&lt;&gt;"OK"),"Article à corriger (feuille Articles)",IF(COUNTIFS(sj_date,A456,sj_eq,B456,sj_po,C456)&gt;1,"Ligne en double (même jour, équipe et poste)",IF(OR(NOT(ISNUMBER(K456)),N(K456)&lt;=0,N(K456)&gt;1440),"Temps d'ouverture invalide",IF(OR(AND(G456&lt;&gt;"",NOT(ISNUMBER(G456))),N(G456)&lt;0,N(G456)&lt;&gt;INT(N(G456)),AND(H456&lt;&gt;"",NOT(ISNUMBER(H456))),N(H456)&lt;0,N(H456)&lt;&gt;INT(N(H456)),AND(I456&lt;&gt;"",NOT(ISNUMBER(I456))),N(I456)&lt;0,N(I456)&lt;&gt;INT(N(I456))),"Quantité invalide",IF(Q456&lt;=0,"Cadence manquante (poste ou article)",IF(M456&lt;=0,"Arrêts planifiés supérieurs au temps d'ouverture",IF(O456&lt;0,"Arrêts supérieurs au temps requis",IF(AND(P456&gt;0,O456=0),"Pièces déclarées sans temps de marche",IF(AND(P456=0,O456&gt;0),"Aucune pièce déclarée",IF(P456*60/Q456&gt;O456+0.001,"Cadence dépassée : vérifiez la cadence","OK"))))))))))))))))))</f>
        <v/>
      </c>
      <c r="AC456">
        <f>IF(OR(AB456="OK",AB456="Aucune pièce déclarée",AB456="Cadence dépassée : vérifiez la cadence"),1,0)</f>
        <v>0.0</v>
      </c>
      <c r="AD456">
        <f>IF(AND(AC456=1,A456&gt;=p_from,A456&lt;=p_to),1,0)</f>
        <v>0.0</v>
      </c>
      <c r="AE456">
        <f>IF(AD456=1,IF(COUNTIFS($A$6:A456,A456,$AD$6:AD456,1)=1,1,0),0)</f>
        <v>0.0</v>
      </c>
      <c r="AF456" t="str">
        <f>IF(AE456=1,COUNTIFS(sj_first,1,sj_date,"&lt;"&amp;A456)+1,"")</f>
        <v/>
      </c>
      <c r="AG456" t="str">
        <f>IF(AND(AD456=1,N(W456)&lt;p_alert),ROUND(W456,4),"")</f>
        <v/>
      </c>
      <c r="AH456" t="str">
        <f>IF(AG456="","",COUNTIF(sj_akey,"&lt;"&amp;AG456)+COUNTIF($AG$6:AG456,AG456))</f>
        <v/>
      </c>
    </row>
    <row r="457">
      <c r="A457" s="51" t="n"/>
      <c r="B457" s="52" t="n"/>
      <c r="C457" s="52" t="n"/>
      <c r="D457" s="53" t="n"/>
      <c r="E457" s="53" t="n"/>
      <c r="F457" s="54" t="n"/>
      <c r="G457" s="54" t="n"/>
      <c r="H457" s="54" t="n"/>
      <c r="I457" s="54" t="n"/>
      <c r="J457" s="53" t="n"/>
      <c r="K457" s="55" t="str">
        <f>IF(COUNTA(A457:I457)=0,"",IF(F457="",IFERROR(INDEX(eq_dur,MATCH(B457,eq_code,0)),""),F457))</f>
        <v/>
      </c>
      <c r="L457" s="55" t="str">
        <f>IF(ISNUMBER(K457),N(IFERROR(INDEX(eq_pause,MATCH(B457,eq_code,0)),0))+SUMIFS(st_min,st_date,A457,st_eq,B457,st_po,C457,st_type,"Planifié"),"")</f>
        <v/>
      </c>
      <c r="M457" s="55" t="str">
        <f>IF(ISNUMBER(K457),K457-L457,"")</f>
        <v/>
      </c>
      <c r="N457" s="55" t="str">
        <f>IF(ISNUMBER(K457),SUMIFS(st_min,st_date,A457,st_eq,B457,st_po,C457,st_type,"Non planifié"),"")</f>
        <v/>
      </c>
      <c r="O457" s="55" t="str">
        <f>IF(ISNUMBER(K457),M457-N457,"")</f>
        <v/>
      </c>
      <c r="P457" s="55" t="str">
        <f>IF(COUNTA(A457:I457)=0,"",N(G457)+N(H457)+N(I457))</f>
        <v/>
      </c>
      <c r="Q457" s="56" t="str">
        <f>IF(COUNTA(A457:I457)=0,"",IF(N(IFERROR(INDEX(art_rate,MATCH(E457,art_ref,0)),0))&gt;0,N(IFERROR(INDEX(art_rate,MATCH(E457,art_ref,0)),0)),N(IFERROR(INDEX(po_rate,MATCH(C457,po_code,0)),0))))</f>
        <v/>
      </c>
      <c r="R457" s="55" t="str">
        <f>IF(AC457=1,P457*60/Q457,"")</f>
        <v/>
      </c>
      <c r="S457" s="55" t="str">
        <f>IF(AC457=1,N(G457)*60/Q457,"")</f>
        <v/>
      </c>
      <c r="T457" s="57" t="str">
        <f>IF(AC457=1,O457/M457,"")</f>
        <v/>
      </c>
      <c r="U457" s="57" t="str">
        <f>IF(AC457=1,IF(O457&gt;0,R457/O457,""),"")</f>
        <v/>
      </c>
      <c r="V457" s="57" t="str">
        <f>IF(AC457=1,IF(P457&gt;0,N(G457)/P457,""),"")</f>
        <v/>
      </c>
      <c r="W457" s="57" t="str">
        <f>IF(AC457=1,S457/M457,"")</f>
        <v/>
      </c>
      <c r="X457" s="57" t="str">
        <f>IF(AC457=1,S457/K457,"")</f>
        <v/>
      </c>
      <c r="Y457" s="58" t="str">
        <f>IF(W457="","",IF(W457&gt;=p_target,"Bon",IF(W457&gt;=p_alert,"À surveiller","Faible")))</f>
        <v/>
      </c>
      <c r="Z457" s="58" t="str">
        <f>IF(W457="","",IF(MIN(IF(T457="",1,T457),IF(U457="",1,U457),IF(V457="",1,V457))&gt;=1,"Aucune",IF(IF(T457="",1,T457)&lt;=MIN(IF(U457="",1,U457),IF(V457="",1,V457)),"Disponibilité",IF(IF(U457="",1,U457)&lt;=IF(V457="",1,V457),"Performance","Qualité"))))</f>
        <v/>
      </c>
      <c r="AA457" s="59" t="str">
        <f>IF(AC457=1,N(H457)*N(IFERROR(INDEX(art_cost,MATCH(E457,art_ref,0)),0)),"")</f>
        <v/>
      </c>
      <c r="AB457" s="58" t="str">
        <f>IF(COUNTA(A457:I457)=0,"",IF(N(A457)&lt;=0,"Date manquante ou invalide",IF(B457="","Équipe manquante",IF(ISNA(MATCH(B457,eq_code,0)),"Équipe inconnue",IF(INDEX(eq_check,MATCH(B457,eq_code,0))&lt;&gt;"OK","Équipe à corriger dans Paramètres",IF(C457="","Poste manquant",IF(ISNA(MATCH(C457,po_code,0)),"Poste inconnu",IF(AND(E457&lt;&gt;"",ISNA(MATCH(E457,art_ref,0))),"Article inconnu",IF(IF(E457="",FALSE,INDEX(art_check,MATCH(E457,art_ref,0))&lt;&gt;"OK"),"Article à corriger (feuille Articles)",IF(COUNTIFS(sj_date,A457,sj_eq,B457,sj_po,C457)&gt;1,"Ligne en double (même jour, équipe et poste)",IF(OR(NOT(ISNUMBER(K457)),N(K457)&lt;=0,N(K457)&gt;1440),"Temps d'ouverture invalide",IF(OR(AND(G457&lt;&gt;"",NOT(ISNUMBER(G457))),N(G457)&lt;0,N(G457)&lt;&gt;INT(N(G457)),AND(H457&lt;&gt;"",NOT(ISNUMBER(H457))),N(H457)&lt;0,N(H457)&lt;&gt;INT(N(H457)),AND(I457&lt;&gt;"",NOT(ISNUMBER(I457))),N(I457)&lt;0,N(I457)&lt;&gt;INT(N(I457))),"Quantité invalide",IF(Q457&lt;=0,"Cadence manquante (poste ou article)",IF(M457&lt;=0,"Arrêts planifiés supérieurs au temps d'ouverture",IF(O457&lt;0,"Arrêts supérieurs au temps requis",IF(AND(P457&gt;0,O457=0),"Pièces déclarées sans temps de marche",IF(AND(P457=0,O457&gt;0),"Aucune pièce déclarée",IF(P457*60/Q457&gt;O457+0.001,"Cadence dépassée : vérifiez la cadence","OK"))))))))))))))))))</f>
        <v/>
      </c>
      <c r="AC457">
        <f>IF(OR(AB457="OK",AB457="Aucune pièce déclarée",AB457="Cadence dépassée : vérifiez la cadence"),1,0)</f>
        <v>0.0</v>
      </c>
      <c r="AD457">
        <f>IF(AND(AC457=1,A457&gt;=p_from,A457&lt;=p_to),1,0)</f>
        <v>0.0</v>
      </c>
      <c r="AE457">
        <f>IF(AD457=1,IF(COUNTIFS($A$6:A457,A457,$AD$6:AD457,1)=1,1,0),0)</f>
        <v>0.0</v>
      </c>
      <c r="AF457" t="str">
        <f>IF(AE457=1,COUNTIFS(sj_first,1,sj_date,"&lt;"&amp;A457)+1,"")</f>
        <v/>
      </c>
      <c r="AG457" t="str">
        <f>IF(AND(AD457=1,N(W457)&lt;p_alert),ROUND(W457,4),"")</f>
        <v/>
      </c>
      <c r="AH457" t="str">
        <f>IF(AG457="","",COUNTIF(sj_akey,"&lt;"&amp;AG457)+COUNTIF($AG$6:AG457,AG457))</f>
        <v/>
      </c>
    </row>
    <row r="458">
      <c r="A458" s="51" t="n"/>
      <c r="B458" s="52" t="n"/>
      <c r="C458" s="52" t="n"/>
      <c r="D458" s="53" t="n"/>
      <c r="E458" s="53" t="n"/>
      <c r="F458" s="54" t="n"/>
      <c r="G458" s="54" t="n"/>
      <c r="H458" s="54" t="n"/>
      <c r="I458" s="54" t="n"/>
      <c r="J458" s="53" t="n"/>
      <c r="K458" s="55" t="str">
        <f>IF(COUNTA(A458:I458)=0,"",IF(F458="",IFERROR(INDEX(eq_dur,MATCH(B458,eq_code,0)),""),F458))</f>
        <v/>
      </c>
      <c r="L458" s="55" t="str">
        <f>IF(ISNUMBER(K458),N(IFERROR(INDEX(eq_pause,MATCH(B458,eq_code,0)),0))+SUMIFS(st_min,st_date,A458,st_eq,B458,st_po,C458,st_type,"Planifié"),"")</f>
        <v/>
      </c>
      <c r="M458" s="55" t="str">
        <f>IF(ISNUMBER(K458),K458-L458,"")</f>
        <v/>
      </c>
      <c r="N458" s="55" t="str">
        <f>IF(ISNUMBER(K458),SUMIFS(st_min,st_date,A458,st_eq,B458,st_po,C458,st_type,"Non planifié"),"")</f>
        <v/>
      </c>
      <c r="O458" s="55" t="str">
        <f>IF(ISNUMBER(K458),M458-N458,"")</f>
        <v/>
      </c>
      <c r="P458" s="55" t="str">
        <f>IF(COUNTA(A458:I458)=0,"",N(G458)+N(H458)+N(I458))</f>
        <v/>
      </c>
      <c r="Q458" s="56" t="str">
        <f>IF(COUNTA(A458:I458)=0,"",IF(N(IFERROR(INDEX(art_rate,MATCH(E458,art_ref,0)),0))&gt;0,N(IFERROR(INDEX(art_rate,MATCH(E458,art_ref,0)),0)),N(IFERROR(INDEX(po_rate,MATCH(C458,po_code,0)),0))))</f>
        <v/>
      </c>
      <c r="R458" s="55" t="str">
        <f>IF(AC458=1,P458*60/Q458,"")</f>
        <v/>
      </c>
      <c r="S458" s="55" t="str">
        <f>IF(AC458=1,N(G458)*60/Q458,"")</f>
        <v/>
      </c>
      <c r="T458" s="57" t="str">
        <f>IF(AC458=1,O458/M458,"")</f>
        <v/>
      </c>
      <c r="U458" s="57" t="str">
        <f>IF(AC458=1,IF(O458&gt;0,R458/O458,""),"")</f>
        <v/>
      </c>
      <c r="V458" s="57" t="str">
        <f>IF(AC458=1,IF(P458&gt;0,N(G458)/P458,""),"")</f>
        <v/>
      </c>
      <c r="W458" s="57" t="str">
        <f>IF(AC458=1,S458/M458,"")</f>
        <v/>
      </c>
      <c r="X458" s="57" t="str">
        <f>IF(AC458=1,S458/K458,"")</f>
        <v/>
      </c>
      <c r="Y458" s="58" t="str">
        <f>IF(W458="","",IF(W458&gt;=p_target,"Bon",IF(W458&gt;=p_alert,"À surveiller","Faible")))</f>
        <v/>
      </c>
      <c r="Z458" s="58" t="str">
        <f>IF(W458="","",IF(MIN(IF(T458="",1,T458),IF(U458="",1,U458),IF(V458="",1,V458))&gt;=1,"Aucune",IF(IF(T458="",1,T458)&lt;=MIN(IF(U458="",1,U458),IF(V458="",1,V458)),"Disponibilité",IF(IF(U458="",1,U458)&lt;=IF(V458="",1,V458),"Performance","Qualité"))))</f>
        <v/>
      </c>
      <c r="AA458" s="59" t="str">
        <f>IF(AC458=1,N(H458)*N(IFERROR(INDEX(art_cost,MATCH(E458,art_ref,0)),0)),"")</f>
        <v/>
      </c>
      <c r="AB458" s="58" t="str">
        <f>IF(COUNTA(A458:I458)=0,"",IF(N(A458)&lt;=0,"Date manquante ou invalide",IF(B458="","Équipe manquante",IF(ISNA(MATCH(B458,eq_code,0)),"Équipe inconnue",IF(INDEX(eq_check,MATCH(B458,eq_code,0))&lt;&gt;"OK","Équipe à corriger dans Paramètres",IF(C458="","Poste manquant",IF(ISNA(MATCH(C458,po_code,0)),"Poste inconnu",IF(AND(E458&lt;&gt;"",ISNA(MATCH(E458,art_ref,0))),"Article inconnu",IF(IF(E458="",FALSE,INDEX(art_check,MATCH(E458,art_ref,0))&lt;&gt;"OK"),"Article à corriger (feuille Articles)",IF(COUNTIFS(sj_date,A458,sj_eq,B458,sj_po,C458)&gt;1,"Ligne en double (même jour, équipe et poste)",IF(OR(NOT(ISNUMBER(K458)),N(K458)&lt;=0,N(K458)&gt;1440),"Temps d'ouverture invalide",IF(OR(AND(G458&lt;&gt;"",NOT(ISNUMBER(G458))),N(G458)&lt;0,N(G458)&lt;&gt;INT(N(G458)),AND(H458&lt;&gt;"",NOT(ISNUMBER(H458))),N(H458)&lt;0,N(H458)&lt;&gt;INT(N(H458)),AND(I458&lt;&gt;"",NOT(ISNUMBER(I458))),N(I458)&lt;0,N(I458)&lt;&gt;INT(N(I458))),"Quantité invalide",IF(Q458&lt;=0,"Cadence manquante (poste ou article)",IF(M458&lt;=0,"Arrêts planifiés supérieurs au temps d'ouverture",IF(O458&lt;0,"Arrêts supérieurs au temps requis",IF(AND(P458&gt;0,O458=0),"Pièces déclarées sans temps de marche",IF(AND(P458=0,O458&gt;0),"Aucune pièce déclarée",IF(P458*60/Q458&gt;O458+0.001,"Cadence dépassée : vérifiez la cadence","OK"))))))))))))))))))</f>
        <v/>
      </c>
      <c r="AC458">
        <f>IF(OR(AB458="OK",AB458="Aucune pièce déclarée",AB458="Cadence dépassée : vérifiez la cadence"),1,0)</f>
        <v>0.0</v>
      </c>
      <c r="AD458">
        <f>IF(AND(AC458=1,A458&gt;=p_from,A458&lt;=p_to),1,0)</f>
        <v>0.0</v>
      </c>
      <c r="AE458">
        <f>IF(AD458=1,IF(COUNTIFS($A$6:A458,A458,$AD$6:AD458,1)=1,1,0),0)</f>
        <v>0.0</v>
      </c>
      <c r="AF458" t="str">
        <f>IF(AE458=1,COUNTIFS(sj_first,1,sj_date,"&lt;"&amp;A458)+1,"")</f>
        <v/>
      </c>
      <c r="AG458" t="str">
        <f>IF(AND(AD458=1,N(W458)&lt;p_alert),ROUND(W458,4),"")</f>
        <v/>
      </c>
      <c r="AH458" t="str">
        <f>IF(AG458="","",COUNTIF(sj_akey,"&lt;"&amp;AG458)+COUNTIF($AG$6:AG458,AG458))</f>
        <v/>
      </c>
    </row>
    <row r="459">
      <c r="A459" s="51" t="n"/>
      <c r="B459" s="52" t="n"/>
      <c r="C459" s="52" t="n"/>
      <c r="D459" s="53" t="n"/>
      <c r="E459" s="53" t="n"/>
      <c r="F459" s="54" t="n"/>
      <c r="G459" s="54" t="n"/>
      <c r="H459" s="54" t="n"/>
      <c r="I459" s="54" t="n"/>
      <c r="J459" s="53" t="n"/>
      <c r="K459" s="55" t="str">
        <f>IF(COUNTA(A459:I459)=0,"",IF(F459="",IFERROR(INDEX(eq_dur,MATCH(B459,eq_code,0)),""),F459))</f>
        <v/>
      </c>
      <c r="L459" s="55" t="str">
        <f>IF(ISNUMBER(K459),N(IFERROR(INDEX(eq_pause,MATCH(B459,eq_code,0)),0))+SUMIFS(st_min,st_date,A459,st_eq,B459,st_po,C459,st_type,"Planifié"),"")</f>
        <v/>
      </c>
      <c r="M459" s="55" t="str">
        <f>IF(ISNUMBER(K459),K459-L459,"")</f>
        <v/>
      </c>
      <c r="N459" s="55" t="str">
        <f>IF(ISNUMBER(K459),SUMIFS(st_min,st_date,A459,st_eq,B459,st_po,C459,st_type,"Non planifié"),"")</f>
        <v/>
      </c>
      <c r="O459" s="55" t="str">
        <f>IF(ISNUMBER(K459),M459-N459,"")</f>
        <v/>
      </c>
      <c r="P459" s="55" t="str">
        <f>IF(COUNTA(A459:I459)=0,"",N(G459)+N(H459)+N(I459))</f>
        <v/>
      </c>
      <c r="Q459" s="56" t="str">
        <f>IF(COUNTA(A459:I459)=0,"",IF(N(IFERROR(INDEX(art_rate,MATCH(E459,art_ref,0)),0))&gt;0,N(IFERROR(INDEX(art_rate,MATCH(E459,art_ref,0)),0)),N(IFERROR(INDEX(po_rate,MATCH(C459,po_code,0)),0))))</f>
        <v/>
      </c>
      <c r="R459" s="55" t="str">
        <f>IF(AC459=1,P459*60/Q459,"")</f>
        <v/>
      </c>
      <c r="S459" s="55" t="str">
        <f>IF(AC459=1,N(G459)*60/Q459,"")</f>
        <v/>
      </c>
      <c r="T459" s="57" t="str">
        <f>IF(AC459=1,O459/M459,"")</f>
        <v/>
      </c>
      <c r="U459" s="57" t="str">
        <f>IF(AC459=1,IF(O459&gt;0,R459/O459,""),"")</f>
        <v/>
      </c>
      <c r="V459" s="57" t="str">
        <f>IF(AC459=1,IF(P459&gt;0,N(G459)/P459,""),"")</f>
        <v/>
      </c>
      <c r="W459" s="57" t="str">
        <f>IF(AC459=1,S459/M459,"")</f>
        <v/>
      </c>
      <c r="X459" s="57" t="str">
        <f>IF(AC459=1,S459/K459,"")</f>
        <v/>
      </c>
      <c r="Y459" s="58" t="str">
        <f>IF(W459="","",IF(W459&gt;=p_target,"Bon",IF(W459&gt;=p_alert,"À surveiller","Faible")))</f>
        <v/>
      </c>
      <c r="Z459" s="58" t="str">
        <f>IF(W459="","",IF(MIN(IF(T459="",1,T459),IF(U459="",1,U459),IF(V459="",1,V459))&gt;=1,"Aucune",IF(IF(T459="",1,T459)&lt;=MIN(IF(U459="",1,U459),IF(V459="",1,V459)),"Disponibilité",IF(IF(U459="",1,U459)&lt;=IF(V459="",1,V459),"Performance","Qualité"))))</f>
        <v/>
      </c>
      <c r="AA459" s="59" t="str">
        <f>IF(AC459=1,N(H459)*N(IFERROR(INDEX(art_cost,MATCH(E459,art_ref,0)),0)),"")</f>
        <v/>
      </c>
      <c r="AB459" s="58" t="str">
        <f>IF(COUNTA(A459:I459)=0,"",IF(N(A459)&lt;=0,"Date manquante ou invalide",IF(B459="","Équipe manquante",IF(ISNA(MATCH(B459,eq_code,0)),"Équipe inconnue",IF(INDEX(eq_check,MATCH(B459,eq_code,0))&lt;&gt;"OK","Équipe à corriger dans Paramètres",IF(C459="","Poste manquant",IF(ISNA(MATCH(C459,po_code,0)),"Poste inconnu",IF(AND(E459&lt;&gt;"",ISNA(MATCH(E459,art_ref,0))),"Article inconnu",IF(IF(E459="",FALSE,INDEX(art_check,MATCH(E459,art_ref,0))&lt;&gt;"OK"),"Article à corriger (feuille Articles)",IF(COUNTIFS(sj_date,A459,sj_eq,B459,sj_po,C459)&gt;1,"Ligne en double (même jour, équipe et poste)",IF(OR(NOT(ISNUMBER(K459)),N(K459)&lt;=0,N(K459)&gt;1440),"Temps d'ouverture invalide",IF(OR(AND(G459&lt;&gt;"",NOT(ISNUMBER(G459))),N(G459)&lt;0,N(G459)&lt;&gt;INT(N(G459)),AND(H459&lt;&gt;"",NOT(ISNUMBER(H459))),N(H459)&lt;0,N(H459)&lt;&gt;INT(N(H459)),AND(I459&lt;&gt;"",NOT(ISNUMBER(I459))),N(I459)&lt;0,N(I459)&lt;&gt;INT(N(I459))),"Quantité invalide",IF(Q459&lt;=0,"Cadence manquante (poste ou article)",IF(M459&lt;=0,"Arrêts planifiés supérieurs au temps d'ouverture",IF(O459&lt;0,"Arrêts supérieurs au temps requis",IF(AND(P459&gt;0,O459=0),"Pièces déclarées sans temps de marche",IF(AND(P459=0,O459&gt;0),"Aucune pièce déclarée",IF(P459*60/Q459&gt;O459+0.001,"Cadence dépassée : vérifiez la cadence","OK"))))))))))))))))))</f>
        <v/>
      </c>
      <c r="AC459">
        <f>IF(OR(AB459="OK",AB459="Aucune pièce déclarée",AB459="Cadence dépassée : vérifiez la cadence"),1,0)</f>
        <v>0.0</v>
      </c>
      <c r="AD459">
        <f>IF(AND(AC459=1,A459&gt;=p_from,A459&lt;=p_to),1,0)</f>
        <v>0.0</v>
      </c>
      <c r="AE459">
        <f>IF(AD459=1,IF(COUNTIFS($A$6:A459,A459,$AD$6:AD459,1)=1,1,0),0)</f>
        <v>0.0</v>
      </c>
      <c r="AF459" t="str">
        <f>IF(AE459=1,COUNTIFS(sj_first,1,sj_date,"&lt;"&amp;A459)+1,"")</f>
        <v/>
      </c>
      <c r="AG459" t="str">
        <f>IF(AND(AD459=1,N(W459)&lt;p_alert),ROUND(W459,4),"")</f>
        <v/>
      </c>
      <c r="AH459" t="str">
        <f>IF(AG459="","",COUNTIF(sj_akey,"&lt;"&amp;AG459)+COUNTIF($AG$6:AG459,AG459))</f>
        <v/>
      </c>
    </row>
    <row r="460">
      <c r="A460" s="51" t="n"/>
      <c r="B460" s="52" t="n"/>
      <c r="C460" s="52" t="n"/>
      <c r="D460" s="53" t="n"/>
      <c r="E460" s="53" t="n"/>
      <c r="F460" s="54" t="n"/>
      <c r="G460" s="54" t="n"/>
      <c r="H460" s="54" t="n"/>
      <c r="I460" s="54" t="n"/>
      <c r="J460" s="53" t="n"/>
      <c r="K460" s="55" t="str">
        <f>IF(COUNTA(A460:I460)=0,"",IF(F460="",IFERROR(INDEX(eq_dur,MATCH(B460,eq_code,0)),""),F460))</f>
        <v/>
      </c>
      <c r="L460" s="55" t="str">
        <f>IF(ISNUMBER(K460),N(IFERROR(INDEX(eq_pause,MATCH(B460,eq_code,0)),0))+SUMIFS(st_min,st_date,A460,st_eq,B460,st_po,C460,st_type,"Planifié"),"")</f>
        <v/>
      </c>
      <c r="M460" s="55" t="str">
        <f>IF(ISNUMBER(K460),K460-L460,"")</f>
        <v/>
      </c>
      <c r="N460" s="55" t="str">
        <f>IF(ISNUMBER(K460),SUMIFS(st_min,st_date,A460,st_eq,B460,st_po,C460,st_type,"Non planifié"),"")</f>
        <v/>
      </c>
      <c r="O460" s="55" t="str">
        <f>IF(ISNUMBER(K460),M460-N460,"")</f>
        <v/>
      </c>
      <c r="P460" s="55" t="str">
        <f>IF(COUNTA(A460:I460)=0,"",N(G460)+N(H460)+N(I460))</f>
        <v/>
      </c>
      <c r="Q460" s="56" t="str">
        <f>IF(COUNTA(A460:I460)=0,"",IF(N(IFERROR(INDEX(art_rate,MATCH(E460,art_ref,0)),0))&gt;0,N(IFERROR(INDEX(art_rate,MATCH(E460,art_ref,0)),0)),N(IFERROR(INDEX(po_rate,MATCH(C460,po_code,0)),0))))</f>
        <v/>
      </c>
      <c r="R460" s="55" t="str">
        <f>IF(AC460=1,P460*60/Q460,"")</f>
        <v/>
      </c>
      <c r="S460" s="55" t="str">
        <f>IF(AC460=1,N(G460)*60/Q460,"")</f>
        <v/>
      </c>
      <c r="T460" s="57" t="str">
        <f>IF(AC460=1,O460/M460,"")</f>
        <v/>
      </c>
      <c r="U460" s="57" t="str">
        <f>IF(AC460=1,IF(O460&gt;0,R460/O460,""),"")</f>
        <v/>
      </c>
      <c r="V460" s="57" t="str">
        <f>IF(AC460=1,IF(P460&gt;0,N(G460)/P460,""),"")</f>
        <v/>
      </c>
      <c r="W460" s="57" t="str">
        <f>IF(AC460=1,S460/M460,"")</f>
        <v/>
      </c>
      <c r="X460" s="57" t="str">
        <f>IF(AC460=1,S460/K460,"")</f>
        <v/>
      </c>
      <c r="Y460" s="58" t="str">
        <f>IF(W460="","",IF(W460&gt;=p_target,"Bon",IF(W460&gt;=p_alert,"À surveiller","Faible")))</f>
        <v/>
      </c>
      <c r="Z460" s="58" t="str">
        <f>IF(W460="","",IF(MIN(IF(T460="",1,T460),IF(U460="",1,U460),IF(V460="",1,V460))&gt;=1,"Aucune",IF(IF(T460="",1,T460)&lt;=MIN(IF(U460="",1,U460),IF(V460="",1,V460)),"Disponibilité",IF(IF(U460="",1,U460)&lt;=IF(V460="",1,V460),"Performance","Qualité"))))</f>
        <v/>
      </c>
      <c r="AA460" s="59" t="str">
        <f>IF(AC460=1,N(H460)*N(IFERROR(INDEX(art_cost,MATCH(E460,art_ref,0)),0)),"")</f>
        <v/>
      </c>
      <c r="AB460" s="58" t="str">
        <f>IF(COUNTA(A460:I460)=0,"",IF(N(A460)&lt;=0,"Date manquante ou invalide",IF(B460="","Équipe manquante",IF(ISNA(MATCH(B460,eq_code,0)),"Équipe inconnue",IF(INDEX(eq_check,MATCH(B460,eq_code,0))&lt;&gt;"OK","Équipe à corriger dans Paramètres",IF(C460="","Poste manquant",IF(ISNA(MATCH(C460,po_code,0)),"Poste inconnu",IF(AND(E460&lt;&gt;"",ISNA(MATCH(E460,art_ref,0))),"Article inconnu",IF(IF(E460="",FALSE,INDEX(art_check,MATCH(E460,art_ref,0))&lt;&gt;"OK"),"Article à corriger (feuille Articles)",IF(COUNTIFS(sj_date,A460,sj_eq,B460,sj_po,C460)&gt;1,"Ligne en double (même jour, équipe et poste)",IF(OR(NOT(ISNUMBER(K460)),N(K460)&lt;=0,N(K460)&gt;1440),"Temps d'ouverture invalide",IF(OR(AND(G460&lt;&gt;"",NOT(ISNUMBER(G460))),N(G460)&lt;0,N(G460)&lt;&gt;INT(N(G460)),AND(H460&lt;&gt;"",NOT(ISNUMBER(H460))),N(H460)&lt;0,N(H460)&lt;&gt;INT(N(H460)),AND(I460&lt;&gt;"",NOT(ISNUMBER(I460))),N(I460)&lt;0,N(I460)&lt;&gt;INT(N(I460))),"Quantité invalide",IF(Q460&lt;=0,"Cadence manquante (poste ou article)",IF(M460&lt;=0,"Arrêts planifiés supérieurs au temps d'ouverture",IF(O460&lt;0,"Arrêts supérieurs au temps requis",IF(AND(P460&gt;0,O460=0),"Pièces déclarées sans temps de marche",IF(AND(P460=0,O460&gt;0),"Aucune pièce déclarée",IF(P460*60/Q460&gt;O460+0.001,"Cadence dépassée : vérifiez la cadence","OK"))))))))))))))))))</f>
        <v/>
      </c>
      <c r="AC460">
        <f>IF(OR(AB460="OK",AB460="Aucune pièce déclarée",AB460="Cadence dépassée : vérifiez la cadence"),1,0)</f>
        <v>0.0</v>
      </c>
      <c r="AD460">
        <f>IF(AND(AC460=1,A460&gt;=p_from,A460&lt;=p_to),1,0)</f>
        <v>0.0</v>
      </c>
      <c r="AE460">
        <f>IF(AD460=1,IF(COUNTIFS($A$6:A460,A460,$AD$6:AD460,1)=1,1,0),0)</f>
        <v>0.0</v>
      </c>
      <c r="AF460" t="str">
        <f>IF(AE460=1,COUNTIFS(sj_first,1,sj_date,"&lt;"&amp;A460)+1,"")</f>
        <v/>
      </c>
      <c r="AG460" t="str">
        <f>IF(AND(AD460=1,N(W460)&lt;p_alert),ROUND(W460,4),"")</f>
        <v/>
      </c>
      <c r="AH460" t="str">
        <f>IF(AG460="","",COUNTIF(sj_akey,"&lt;"&amp;AG460)+COUNTIF($AG$6:AG460,AG460))</f>
        <v/>
      </c>
    </row>
    <row r="461">
      <c r="A461" s="51" t="n"/>
      <c r="B461" s="52" t="n"/>
      <c r="C461" s="52" t="n"/>
      <c r="D461" s="53" t="n"/>
      <c r="E461" s="53" t="n"/>
      <c r="F461" s="54" t="n"/>
      <c r="G461" s="54" t="n"/>
      <c r="H461" s="54" t="n"/>
      <c r="I461" s="54" t="n"/>
      <c r="J461" s="53" t="n"/>
      <c r="K461" s="55" t="str">
        <f>IF(COUNTA(A461:I461)=0,"",IF(F461="",IFERROR(INDEX(eq_dur,MATCH(B461,eq_code,0)),""),F461))</f>
        <v/>
      </c>
      <c r="L461" s="55" t="str">
        <f>IF(ISNUMBER(K461),N(IFERROR(INDEX(eq_pause,MATCH(B461,eq_code,0)),0))+SUMIFS(st_min,st_date,A461,st_eq,B461,st_po,C461,st_type,"Planifié"),"")</f>
        <v/>
      </c>
      <c r="M461" s="55" t="str">
        <f>IF(ISNUMBER(K461),K461-L461,"")</f>
        <v/>
      </c>
      <c r="N461" s="55" t="str">
        <f>IF(ISNUMBER(K461),SUMIFS(st_min,st_date,A461,st_eq,B461,st_po,C461,st_type,"Non planifié"),"")</f>
        <v/>
      </c>
      <c r="O461" s="55" t="str">
        <f>IF(ISNUMBER(K461),M461-N461,"")</f>
        <v/>
      </c>
      <c r="P461" s="55" t="str">
        <f>IF(COUNTA(A461:I461)=0,"",N(G461)+N(H461)+N(I461))</f>
        <v/>
      </c>
      <c r="Q461" s="56" t="str">
        <f>IF(COUNTA(A461:I461)=0,"",IF(N(IFERROR(INDEX(art_rate,MATCH(E461,art_ref,0)),0))&gt;0,N(IFERROR(INDEX(art_rate,MATCH(E461,art_ref,0)),0)),N(IFERROR(INDEX(po_rate,MATCH(C461,po_code,0)),0))))</f>
        <v/>
      </c>
      <c r="R461" s="55" t="str">
        <f>IF(AC461=1,P461*60/Q461,"")</f>
        <v/>
      </c>
      <c r="S461" s="55" t="str">
        <f>IF(AC461=1,N(G461)*60/Q461,"")</f>
        <v/>
      </c>
      <c r="T461" s="57" t="str">
        <f>IF(AC461=1,O461/M461,"")</f>
        <v/>
      </c>
      <c r="U461" s="57" t="str">
        <f>IF(AC461=1,IF(O461&gt;0,R461/O461,""),"")</f>
        <v/>
      </c>
      <c r="V461" s="57" t="str">
        <f>IF(AC461=1,IF(P461&gt;0,N(G461)/P461,""),"")</f>
        <v/>
      </c>
      <c r="W461" s="57" t="str">
        <f>IF(AC461=1,S461/M461,"")</f>
        <v/>
      </c>
      <c r="X461" s="57" t="str">
        <f>IF(AC461=1,S461/K461,"")</f>
        <v/>
      </c>
      <c r="Y461" s="58" t="str">
        <f>IF(W461="","",IF(W461&gt;=p_target,"Bon",IF(W461&gt;=p_alert,"À surveiller","Faible")))</f>
        <v/>
      </c>
      <c r="Z461" s="58" t="str">
        <f>IF(W461="","",IF(MIN(IF(T461="",1,T461),IF(U461="",1,U461),IF(V461="",1,V461))&gt;=1,"Aucune",IF(IF(T461="",1,T461)&lt;=MIN(IF(U461="",1,U461),IF(V461="",1,V461)),"Disponibilité",IF(IF(U461="",1,U461)&lt;=IF(V461="",1,V461),"Performance","Qualité"))))</f>
        <v/>
      </c>
      <c r="AA461" s="59" t="str">
        <f>IF(AC461=1,N(H461)*N(IFERROR(INDEX(art_cost,MATCH(E461,art_ref,0)),0)),"")</f>
        <v/>
      </c>
      <c r="AB461" s="58" t="str">
        <f>IF(COUNTA(A461:I461)=0,"",IF(N(A461)&lt;=0,"Date manquante ou invalide",IF(B461="","Équipe manquante",IF(ISNA(MATCH(B461,eq_code,0)),"Équipe inconnue",IF(INDEX(eq_check,MATCH(B461,eq_code,0))&lt;&gt;"OK","Équipe à corriger dans Paramètres",IF(C461="","Poste manquant",IF(ISNA(MATCH(C461,po_code,0)),"Poste inconnu",IF(AND(E461&lt;&gt;"",ISNA(MATCH(E461,art_ref,0))),"Article inconnu",IF(IF(E461="",FALSE,INDEX(art_check,MATCH(E461,art_ref,0))&lt;&gt;"OK"),"Article à corriger (feuille Articles)",IF(COUNTIFS(sj_date,A461,sj_eq,B461,sj_po,C461)&gt;1,"Ligne en double (même jour, équipe et poste)",IF(OR(NOT(ISNUMBER(K461)),N(K461)&lt;=0,N(K461)&gt;1440),"Temps d'ouverture invalide",IF(OR(AND(G461&lt;&gt;"",NOT(ISNUMBER(G461))),N(G461)&lt;0,N(G461)&lt;&gt;INT(N(G461)),AND(H461&lt;&gt;"",NOT(ISNUMBER(H461))),N(H461)&lt;0,N(H461)&lt;&gt;INT(N(H461)),AND(I461&lt;&gt;"",NOT(ISNUMBER(I461))),N(I461)&lt;0,N(I461)&lt;&gt;INT(N(I461))),"Quantité invalide",IF(Q461&lt;=0,"Cadence manquante (poste ou article)",IF(M461&lt;=0,"Arrêts planifiés supérieurs au temps d'ouverture",IF(O461&lt;0,"Arrêts supérieurs au temps requis",IF(AND(P461&gt;0,O461=0),"Pièces déclarées sans temps de marche",IF(AND(P461=0,O461&gt;0),"Aucune pièce déclarée",IF(P461*60/Q461&gt;O461+0.001,"Cadence dépassée : vérifiez la cadence","OK"))))))))))))))))))</f>
        <v/>
      </c>
      <c r="AC461">
        <f>IF(OR(AB461="OK",AB461="Aucune pièce déclarée",AB461="Cadence dépassée : vérifiez la cadence"),1,0)</f>
        <v>0.0</v>
      </c>
      <c r="AD461">
        <f>IF(AND(AC461=1,A461&gt;=p_from,A461&lt;=p_to),1,0)</f>
        <v>0.0</v>
      </c>
      <c r="AE461">
        <f>IF(AD461=1,IF(COUNTIFS($A$6:A461,A461,$AD$6:AD461,1)=1,1,0),0)</f>
        <v>0.0</v>
      </c>
      <c r="AF461" t="str">
        <f>IF(AE461=1,COUNTIFS(sj_first,1,sj_date,"&lt;"&amp;A461)+1,"")</f>
        <v/>
      </c>
      <c r="AG461" t="str">
        <f>IF(AND(AD461=1,N(W461)&lt;p_alert),ROUND(W461,4),"")</f>
        <v/>
      </c>
      <c r="AH461" t="str">
        <f>IF(AG461="","",COUNTIF(sj_akey,"&lt;"&amp;AG461)+COUNTIF($AG$6:AG461,AG461))</f>
        <v/>
      </c>
    </row>
    <row r="462">
      <c r="A462" s="51" t="n"/>
      <c r="B462" s="52" t="n"/>
      <c r="C462" s="52" t="n"/>
      <c r="D462" s="53" t="n"/>
      <c r="E462" s="53" t="n"/>
      <c r="F462" s="54" t="n"/>
      <c r="G462" s="54" t="n"/>
      <c r="H462" s="54" t="n"/>
      <c r="I462" s="54" t="n"/>
      <c r="J462" s="53" t="n"/>
      <c r="K462" s="55" t="str">
        <f>IF(COUNTA(A462:I462)=0,"",IF(F462="",IFERROR(INDEX(eq_dur,MATCH(B462,eq_code,0)),""),F462))</f>
        <v/>
      </c>
      <c r="L462" s="55" t="str">
        <f>IF(ISNUMBER(K462),N(IFERROR(INDEX(eq_pause,MATCH(B462,eq_code,0)),0))+SUMIFS(st_min,st_date,A462,st_eq,B462,st_po,C462,st_type,"Planifié"),"")</f>
        <v/>
      </c>
      <c r="M462" s="55" t="str">
        <f>IF(ISNUMBER(K462),K462-L462,"")</f>
        <v/>
      </c>
      <c r="N462" s="55" t="str">
        <f>IF(ISNUMBER(K462),SUMIFS(st_min,st_date,A462,st_eq,B462,st_po,C462,st_type,"Non planifié"),"")</f>
        <v/>
      </c>
      <c r="O462" s="55" t="str">
        <f>IF(ISNUMBER(K462),M462-N462,"")</f>
        <v/>
      </c>
      <c r="P462" s="55" t="str">
        <f>IF(COUNTA(A462:I462)=0,"",N(G462)+N(H462)+N(I462))</f>
        <v/>
      </c>
      <c r="Q462" s="56" t="str">
        <f>IF(COUNTA(A462:I462)=0,"",IF(N(IFERROR(INDEX(art_rate,MATCH(E462,art_ref,0)),0))&gt;0,N(IFERROR(INDEX(art_rate,MATCH(E462,art_ref,0)),0)),N(IFERROR(INDEX(po_rate,MATCH(C462,po_code,0)),0))))</f>
        <v/>
      </c>
      <c r="R462" s="55" t="str">
        <f>IF(AC462=1,P462*60/Q462,"")</f>
        <v/>
      </c>
      <c r="S462" s="55" t="str">
        <f>IF(AC462=1,N(G462)*60/Q462,"")</f>
        <v/>
      </c>
      <c r="T462" s="57" t="str">
        <f>IF(AC462=1,O462/M462,"")</f>
        <v/>
      </c>
      <c r="U462" s="57" t="str">
        <f>IF(AC462=1,IF(O462&gt;0,R462/O462,""),"")</f>
        <v/>
      </c>
      <c r="V462" s="57" t="str">
        <f>IF(AC462=1,IF(P462&gt;0,N(G462)/P462,""),"")</f>
        <v/>
      </c>
      <c r="W462" s="57" t="str">
        <f>IF(AC462=1,S462/M462,"")</f>
        <v/>
      </c>
      <c r="X462" s="57" t="str">
        <f>IF(AC462=1,S462/K462,"")</f>
        <v/>
      </c>
      <c r="Y462" s="58" t="str">
        <f>IF(W462="","",IF(W462&gt;=p_target,"Bon",IF(W462&gt;=p_alert,"À surveiller","Faible")))</f>
        <v/>
      </c>
      <c r="Z462" s="58" t="str">
        <f>IF(W462="","",IF(MIN(IF(T462="",1,T462),IF(U462="",1,U462),IF(V462="",1,V462))&gt;=1,"Aucune",IF(IF(T462="",1,T462)&lt;=MIN(IF(U462="",1,U462),IF(V462="",1,V462)),"Disponibilité",IF(IF(U462="",1,U462)&lt;=IF(V462="",1,V462),"Performance","Qualité"))))</f>
        <v/>
      </c>
      <c r="AA462" s="59" t="str">
        <f>IF(AC462=1,N(H462)*N(IFERROR(INDEX(art_cost,MATCH(E462,art_ref,0)),0)),"")</f>
        <v/>
      </c>
      <c r="AB462" s="58" t="str">
        <f>IF(COUNTA(A462:I462)=0,"",IF(N(A462)&lt;=0,"Date manquante ou invalide",IF(B462="","Équipe manquante",IF(ISNA(MATCH(B462,eq_code,0)),"Équipe inconnue",IF(INDEX(eq_check,MATCH(B462,eq_code,0))&lt;&gt;"OK","Équipe à corriger dans Paramètres",IF(C462="","Poste manquant",IF(ISNA(MATCH(C462,po_code,0)),"Poste inconnu",IF(AND(E462&lt;&gt;"",ISNA(MATCH(E462,art_ref,0))),"Article inconnu",IF(IF(E462="",FALSE,INDEX(art_check,MATCH(E462,art_ref,0))&lt;&gt;"OK"),"Article à corriger (feuille Articles)",IF(COUNTIFS(sj_date,A462,sj_eq,B462,sj_po,C462)&gt;1,"Ligne en double (même jour, équipe et poste)",IF(OR(NOT(ISNUMBER(K462)),N(K462)&lt;=0,N(K462)&gt;1440),"Temps d'ouverture invalide",IF(OR(AND(G462&lt;&gt;"",NOT(ISNUMBER(G462))),N(G462)&lt;0,N(G462)&lt;&gt;INT(N(G462)),AND(H462&lt;&gt;"",NOT(ISNUMBER(H462))),N(H462)&lt;0,N(H462)&lt;&gt;INT(N(H462)),AND(I462&lt;&gt;"",NOT(ISNUMBER(I462))),N(I462)&lt;0,N(I462)&lt;&gt;INT(N(I462))),"Quantité invalide",IF(Q462&lt;=0,"Cadence manquante (poste ou article)",IF(M462&lt;=0,"Arrêts planifiés supérieurs au temps d'ouverture",IF(O462&lt;0,"Arrêts supérieurs au temps requis",IF(AND(P462&gt;0,O462=0),"Pièces déclarées sans temps de marche",IF(AND(P462=0,O462&gt;0),"Aucune pièce déclarée",IF(P462*60/Q462&gt;O462+0.001,"Cadence dépassée : vérifiez la cadence","OK"))))))))))))))))))</f>
        <v/>
      </c>
      <c r="AC462">
        <f>IF(OR(AB462="OK",AB462="Aucune pièce déclarée",AB462="Cadence dépassée : vérifiez la cadence"),1,0)</f>
        <v>0.0</v>
      </c>
      <c r="AD462">
        <f>IF(AND(AC462=1,A462&gt;=p_from,A462&lt;=p_to),1,0)</f>
        <v>0.0</v>
      </c>
      <c r="AE462">
        <f>IF(AD462=1,IF(COUNTIFS($A$6:A462,A462,$AD$6:AD462,1)=1,1,0),0)</f>
        <v>0.0</v>
      </c>
      <c r="AF462" t="str">
        <f>IF(AE462=1,COUNTIFS(sj_first,1,sj_date,"&lt;"&amp;A462)+1,"")</f>
        <v/>
      </c>
      <c r="AG462" t="str">
        <f>IF(AND(AD462=1,N(W462)&lt;p_alert),ROUND(W462,4),"")</f>
        <v/>
      </c>
      <c r="AH462" t="str">
        <f>IF(AG462="","",COUNTIF(sj_akey,"&lt;"&amp;AG462)+COUNTIF($AG$6:AG462,AG462))</f>
        <v/>
      </c>
    </row>
    <row r="463">
      <c r="A463" s="51" t="n"/>
      <c r="B463" s="52" t="n"/>
      <c r="C463" s="52" t="n"/>
      <c r="D463" s="53" t="n"/>
      <c r="E463" s="53" t="n"/>
      <c r="F463" s="54" t="n"/>
      <c r="G463" s="54" t="n"/>
      <c r="H463" s="54" t="n"/>
      <c r="I463" s="54" t="n"/>
      <c r="J463" s="53" t="n"/>
      <c r="K463" s="55" t="str">
        <f>IF(COUNTA(A463:I463)=0,"",IF(F463="",IFERROR(INDEX(eq_dur,MATCH(B463,eq_code,0)),""),F463))</f>
        <v/>
      </c>
      <c r="L463" s="55" t="str">
        <f>IF(ISNUMBER(K463),N(IFERROR(INDEX(eq_pause,MATCH(B463,eq_code,0)),0))+SUMIFS(st_min,st_date,A463,st_eq,B463,st_po,C463,st_type,"Planifié"),"")</f>
        <v/>
      </c>
      <c r="M463" s="55" t="str">
        <f>IF(ISNUMBER(K463),K463-L463,"")</f>
        <v/>
      </c>
      <c r="N463" s="55" t="str">
        <f>IF(ISNUMBER(K463),SUMIFS(st_min,st_date,A463,st_eq,B463,st_po,C463,st_type,"Non planifié"),"")</f>
        <v/>
      </c>
      <c r="O463" s="55" t="str">
        <f>IF(ISNUMBER(K463),M463-N463,"")</f>
        <v/>
      </c>
      <c r="P463" s="55" t="str">
        <f>IF(COUNTA(A463:I463)=0,"",N(G463)+N(H463)+N(I463))</f>
        <v/>
      </c>
      <c r="Q463" s="56" t="str">
        <f>IF(COUNTA(A463:I463)=0,"",IF(N(IFERROR(INDEX(art_rate,MATCH(E463,art_ref,0)),0))&gt;0,N(IFERROR(INDEX(art_rate,MATCH(E463,art_ref,0)),0)),N(IFERROR(INDEX(po_rate,MATCH(C463,po_code,0)),0))))</f>
        <v/>
      </c>
      <c r="R463" s="55" t="str">
        <f>IF(AC463=1,P463*60/Q463,"")</f>
        <v/>
      </c>
      <c r="S463" s="55" t="str">
        <f>IF(AC463=1,N(G463)*60/Q463,"")</f>
        <v/>
      </c>
      <c r="T463" s="57" t="str">
        <f>IF(AC463=1,O463/M463,"")</f>
        <v/>
      </c>
      <c r="U463" s="57" t="str">
        <f>IF(AC463=1,IF(O463&gt;0,R463/O463,""),"")</f>
        <v/>
      </c>
      <c r="V463" s="57" t="str">
        <f>IF(AC463=1,IF(P463&gt;0,N(G463)/P463,""),"")</f>
        <v/>
      </c>
      <c r="W463" s="57" t="str">
        <f>IF(AC463=1,S463/M463,"")</f>
        <v/>
      </c>
      <c r="X463" s="57" t="str">
        <f>IF(AC463=1,S463/K463,"")</f>
        <v/>
      </c>
      <c r="Y463" s="58" t="str">
        <f>IF(W463="","",IF(W463&gt;=p_target,"Bon",IF(W463&gt;=p_alert,"À surveiller","Faible")))</f>
        <v/>
      </c>
      <c r="Z463" s="58" t="str">
        <f>IF(W463="","",IF(MIN(IF(T463="",1,T463),IF(U463="",1,U463),IF(V463="",1,V463))&gt;=1,"Aucune",IF(IF(T463="",1,T463)&lt;=MIN(IF(U463="",1,U463),IF(V463="",1,V463)),"Disponibilité",IF(IF(U463="",1,U463)&lt;=IF(V463="",1,V463),"Performance","Qualité"))))</f>
        <v/>
      </c>
      <c r="AA463" s="59" t="str">
        <f>IF(AC463=1,N(H463)*N(IFERROR(INDEX(art_cost,MATCH(E463,art_ref,0)),0)),"")</f>
        <v/>
      </c>
      <c r="AB463" s="58" t="str">
        <f>IF(COUNTA(A463:I463)=0,"",IF(N(A463)&lt;=0,"Date manquante ou invalide",IF(B463="","Équipe manquante",IF(ISNA(MATCH(B463,eq_code,0)),"Équipe inconnue",IF(INDEX(eq_check,MATCH(B463,eq_code,0))&lt;&gt;"OK","Équipe à corriger dans Paramètres",IF(C463="","Poste manquant",IF(ISNA(MATCH(C463,po_code,0)),"Poste inconnu",IF(AND(E463&lt;&gt;"",ISNA(MATCH(E463,art_ref,0))),"Article inconnu",IF(IF(E463="",FALSE,INDEX(art_check,MATCH(E463,art_ref,0))&lt;&gt;"OK"),"Article à corriger (feuille Articles)",IF(COUNTIFS(sj_date,A463,sj_eq,B463,sj_po,C463)&gt;1,"Ligne en double (même jour, équipe et poste)",IF(OR(NOT(ISNUMBER(K463)),N(K463)&lt;=0,N(K463)&gt;1440),"Temps d'ouverture invalide",IF(OR(AND(G463&lt;&gt;"",NOT(ISNUMBER(G463))),N(G463)&lt;0,N(G463)&lt;&gt;INT(N(G463)),AND(H463&lt;&gt;"",NOT(ISNUMBER(H463))),N(H463)&lt;0,N(H463)&lt;&gt;INT(N(H463)),AND(I463&lt;&gt;"",NOT(ISNUMBER(I463))),N(I463)&lt;0,N(I463)&lt;&gt;INT(N(I463))),"Quantité invalide",IF(Q463&lt;=0,"Cadence manquante (poste ou article)",IF(M463&lt;=0,"Arrêts planifiés supérieurs au temps d'ouverture",IF(O463&lt;0,"Arrêts supérieurs au temps requis",IF(AND(P463&gt;0,O463=0),"Pièces déclarées sans temps de marche",IF(AND(P463=0,O463&gt;0),"Aucune pièce déclarée",IF(P463*60/Q463&gt;O463+0.001,"Cadence dépassée : vérifiez la cadence","OK"))))))))))))))))))</f>
        <v/>
      </c>
      <c r="AC463">
        <f>IF(OR(AB463="OK",AB463="Aucune pièce déclarée",AB463="Cadence dépassée : vérifiez la cadence"),1,0)</f>
        <v>0.0</v>
      </c>
      <c r="AD463">
        <f>IF(AND(AC463=1,A463&gt;=p_from,A463&lt;=p_to),1,0)</f>
        <v>0.0</v>
      </c>
      <c r="AE463">
        <f>IF(AD463=1,IF(COUNTIFS($A$6:A463,A463,$AD$6:AD463,1)=1,1,0),0)</f>
        <v>0.0</v>
      </c>
      <c r="AF463" t="str">
        <f>IF(AE463=1,COUNTIFS(sj_first,1,sj_date,"&lt;"&amp;A463)+1,"")</f>
        <v/>
      </c>
      <c r="AG463" t="str">
        <f>IF(AND(AD463=1,N(W463)&lt;p_alert),ROUND(W463,4),"")</f>
        <v/>
      </c>
      <c r="AH463" t="str">
        <f>IF(AG463="","",COUNTIF(sj_akey,"&lt;"&amp;AG463)+COUNTIF($AG$6:AG463,AG463))</f>
        <v/>
      </c>
    </row>
    <row r="464">
      <c r="A464" s="51" t="n"/>
      <c r="B464" s="52" t="n"/>
      <c r="C464" s="52" t="n"/>
      <c r="D464" s="53" t="n"/>
      <c r="E464" s="53" t="n"/>
      <c r="F464" s="54" t="n"/>
      <c r="G464" s="54" t="n"/>
      <c r="H464" s="54" t="n"/>
      <c r="I464" s="54" t="n"/>
      <c r="J464" s="53" t="n"/>
      <c r="K464" s="55" t="str">
        <f>IF(COUNTA(A464:I464)=0,"",IF(F464="",IFERROR(INDEX(eq_dur,MATCH(B464,eq_code,0)),""),F464))</f>
        <v/>
      </c>
      <c r="L464" s="55" t="str">
        <f>IF(ISNUMBER(K464),N(IFERROR(INDEX(eq_pause,MATCH(B464,eq_code,0)),0))+SUMIFS(st_min,st_date,A464,st_eq,B464,st_po,C464,st_type,"Planifié"),"")</f>
        <v/>
      </c>
      <c r="M464" s="55" t="str">
        <f>IF(ISNUMBER(K464),K464-L464,"")</f>
        <v/>
      </c>
      <c r="N464" s="55" t="str">
        <f>IF(ISNUMBER(K464),SUMIFS(st_min,st_date,A464,st_eq,B464,st_po,C464,st_type,"Non planifié"),"")</f>
        <v/>
      </c>
      <c r="O464" s="55" t="str">
        <f>IF(ISNUMBER(K464),M464-N464,"")</f>
        <v/>
      </c>
      <c r="P464" s="55" t="str">
        <f>IF(COUNTA(A464:I464)=0,"",N(G464)+N(H464)+N(I464))</f>
        <v/>
      </c>
      <c r="Q464" s="56" t="str">
        <f>IF(COUNTA(A464:I464)=0,"",IF(N(IFERROR(INDEX(art_rate,MATCH(E464,art_ref,0)),0))&gt;0,N(IFERROR(INDEX(art_rate,MATCH(E464,art_ref,0)),0)),N(IFERROR(INDEX(po_rate,MATCH(C464,po_code,0)),0))))</f>
        <v/>
      </c>
      <c r="R464" s="55" t="str">
        <f>IF(AC464=1,P464*60/Q464,"")</f>
        <v/>
      </c>
      <c r="S464" s="55" t="str">
        <f>IF(AC464=1,N(G464)*60/Q464,"")</f>
        <v/>
      </c>
      <c r="T464" s="57" t="str">
        <f>IF(AC464=1,O464/M464,"")</f>
        <v/>
      </c>
      <c r="U464" s="57" t="str">
        <f>IF(AC464=1,IF(O464&gt;0,R464/O464,""),"")</f>
        <v/>
      </c>
      <c r="V464" s="57" t="str">
        <f>IF(AC464=1,IF(P464&gt;0,N(G464)/P464,""),"")</f>
        <v/>
      </c>
      <c r="W464" s="57" t="str">
        <f>IF(AC464=1,S464/M464,"")</f>
        <v/>
      </c>
      <c r="X464" s="57" t="str">
        <f>IF(AC464=1,S464/K464,"")</f>
        <v/>
      </c>
      <c r="Y464" s="58" t="str">
        <f>IF(W464="","",IF(W464&gt;=p_target,"Bon",IF(W464&gt;=p_alert,"À surveiller","Faible")))</f>
        <v/>
      </c>
      <c r="Z464" s="58" t="str">
        <f>IF(W464="","",IF(MIN(IF(T464="",1,T464),IF(U464="",1,U464),IF(V464="",1,V464))&gt;=1,"Aucune",IF(IF(T464="",1,T464)&lt;=MIN(IF(U464="",1,U464),IF(V464="",1,V464)),"Disponibilité",IF(IF(U464="",1,U464)&lt;=IF(V464="",1,V464),"Performance","Qualité"))))</f>
        <v/>
      </c>
      <c r="AA464" s="59" t="str">
        <f>IF(AC464=1,N(H464)*N(IFERROR(INDEX(art_cost,MATCH(E464,art_ref,0)),0)),"")</f>
        <v/>
      </c>
      <c r="AB464" s="58" t="str">
        <f>IF(COUNTA(A464:I464)=0,"",IF(N(A464)&lt;=0,"Date manquante ou invalide",IF(B464="","Équipe manquante",IF(ISNA(MATCH(B464,eq_code,0)),"Équipe inconnue",IF(INDEX(eq_check,MATCH(B464,eq_code,0))&lt;&gt;"OK","Équipe à corriger dans Paramètres",IF(C464="","Poste manquant",IF(ISNA(MATCH(C464,po_code,0)),"Poste inconnu",IF(AND(E464&lt;&gt;"",ISNA(MATCH(E464,art_ref,0))),"Article inconnu",IF(IF(E464="",FALSE,INDEX(art_check,MATCH(E464,art_ref,0))&lt;&gt;"OK"),"Article à corriger (feuille Articles)",IF(COUNTIFS(sj_date,A464,sj_eq,B464,sj_po,C464)&gt;1,"Ligne en double (même jour, équipe et poste)",IF(OR(NOT(ISNUMBER(K464)),N(K464)&lt;=0,N(K464)&gt;1440),"Temps d'ouverture invalide",IF(OR(AND(G464&lt;&gt;"",NOT(ISNUMBER(G464))),N(G464)&lt;0,N(G464)&lt;&gt;INT(N(G464)),AND(H464&lt;&gt;"",NOT(ISNUMBER(H464))),N(H464)&lt;0,N(H464)&lt;&gt;INT(N(H464)),AND(I464&lt;&gt;"",NOT(ISNUMBER(I464))),N(I464)&lt;0,N(I464)&lt;&gt;INT(N(I464))),"Quantité invalide",IF(Q464&lt;=0,"Cadence manquante (poste ou article)",IF(M464&lt;=0,"Arrêts planifiés supérieurs au temps d'ouverture",IF(O464&lt;0,"Arrêts supérieurs au temps requis",IF(AND(P464&gt;0,O464=0),"Pièces déclarées sans temps de marche",IF(AND(P464=0,O464&gt;0),"Aucune pièce déclarée",IF(P464*60/Q464&gt;O464+0.001,"Cadence dépassée : vérifiez la cadence","OK"))))))))))))))))))</f>
        <v/>
      </c>
      <c r="AC464">
        <f>IF(OR(AB464="OK",AB464="Aucune pièce déclarée",AB464="Cadence dépassée : vérifiez la cadence"),1,0)</f>
        <v>0.0</v>
      </c>
      <c r="AD464">
        <f>IF(AND(AC464=1,A464&gt;=p_from,A464&lt;=p_to),1,0)</f>
        <v>0.0</v>
      </c>
      <c r="AE464">
        <f>IF(AD464=1,IF(COUNTIFS($A$6:A464,A464,$AD$6:AD464,1)=1,1,0),0)</f>
        <v>0.0</v>
      </c>
      <c r="AF464" t="str">
        <f>IF(AE464=1,COUNTIFS(sj_first,1,sj_date,"&lt;"&amp;A464)+1,"")</f>
        <v/>
      </c>
      <c r="AG464" t="str">
        <f>IF(AND(AD464=1,N(W464)&lt;p_alert),ROUND(W464,4),"")</f>
        <v/>
      </c>
      <c r="AH464" t="str">
        <f>IF(AG464="","",COUNTIF(sj_akey,"&lt;"&amp;AG464)+COUNTIF($AG$6:AG464,AG464))</f>
        <v/>
      </c>
    </row>
    <row r="465">
      <c r="A465" s="51" t="n"/>
      <c r="B465" s="52" t="n"/>
      <c r="C465" s="52" t="n"/>
      <c r="D465" s="53" t="n"/>
      <c r="E465" s="53" t="n"/>
      <c r="F465" s="54" t="n"/>
      <c r="G465" s="54" t="n"/>
      <c r="H465" s="54" t="n"/>
      <c r="I465" s="54" t="n"/>
      <c r="J465" s="53" t="n"/>
      <c r="K465" s="55" t="str">
        <f>IF(COUNTA(A465:I465)=0,"",IF(F465="",IFERROR(INDEX(eq_dur,MATCH(B465,eq_code,0)),""),F465))</f>
        <v/>
      </c>
      <c r="L465" s="55" t="str">
        <f>IF(ISNUMBER(K465),N(IFERROR(INDEX(eq_pause,MATCH(B465,eq_code,0)),0))+SUMIFS(st_min,st_date,A465,st_eq,B465,st_po,C465,st_type,"Planifié"),"")</f>
        <v/>
      </c>
      <c r="M465" s="55" t="str">
        <f>IF(ISNUMBER(K465),K465-L465,"")</f>
        <v/>
      </c>
      <c r="N465" s="55" t="str">
        <f>IF(ISNUMBER(K465),SUMIFS(st_min,st_date,A465,st_eq,B465,st_po,C465,st_type,"Non planifié"),"")</f>
        <v/>
      </c>
      <c r="O465" s="55" t="str">
        <f>IF(ISNUMBER(K465),M465-N465,"")</f>
        <v/>
      </c>
      <c r="P465" s="55" t="str">
        <f>IF(COUNTA(A465:I465)=0,"",N(G465)+N(H465)+N(I465))</f>
        <v/>
      </c>
      <c r="Q465" s="56" t="str">
        <f>IF(COUNTA(A465:I465)=0,"",IF(N(IFERROR(INDEX(art_rate,MATCH(E465,art_ref,0)),0))&gt;0,N(IFERROR(INDEX(art_rate,MATCH(E465,art_ref,0)),0)),N(IFERROR(INDEX(po_rate,MATCH(C465,po_code,0)),0))))</f>
        <v/>
      </c>
      <c r="R465" s="55" t="str">
        <f>IF(AC465=1,P465*60/Q465,"")</f>
        <v/>
      </c>
      <c r="S465" s="55" t="str">
        <f>IF(AC465=1,N(G465)*60/Q465,"")</f>
        <v/>
      </c>
      <c r="T465" s="57" t="str">
        <f>IF(AC465=1,O465/M465,"")</f>
        <v/>
      </c>
      <c r="U465" s="57" t="str">
        <f>IF(AC465=1,IF(O465&gt;0,R465/O465,""),"")</f>
        <v/>
      </c>
      <c r="V465" s="57" t="str">
        <f>IF(AC465=1,IF(P465&gt;0,N(G465)/P465,""),"")</f>
        <v/>
      </c>
      <c r="W465" s="57" t="str">
        <f>IF(AC465=1,S465/M465,"")</f>
        <v/>
      </c>
      <c r="X465" s="57" t="str">
        <f>IF(AC465=1,S465/K465,"")</f>
        <v/>
      </c>
      <c r="Y465" s="58" t="str">
        <f>IF(W465="","",IF(W465&gt;=p_target,"Bon",IF(W465&gt;=p_alert,"À surveiller","Faible")))</f>
        <v/>
      </c>
      <c r="Z465" s="58" t="str">
        <f>IF(W465="","",IF(MIN(IF(T465="",1,T465),IF(U465="",1,U465),IF(V465="",1,V465))&gt;=1,"Aucune",IF(IF(T465="",1,T465)&lt;=MIN(IF(U465="",1,U465),IF(V465="",1,V465)),"Disponibilité",IF(IF(U465="",1,U465)&lt;=IF(V465="",1,V465),"Performance","Qualité"))))</f>
        <v/>
      </c>
      <c r="AA465" s="59" t="str">
        <f>IF(AC465=1,N(H465)*N(IFERROR(INDEX(art_cost,MATCH(E465,art_ref,0)),0)),"")</f>
        <v/>
      </c>
      <c r="AB465" s="58" t="str">
        <f>IF(COUNTA(A465:I465)=0,"",IF(N(A465)&lt;=0,"Date manquante ou invalide",IF(B465="","Équipe manquante",IF(ISNA(MATCH(B465,eq_code,0)),"Équipe inconnue",IF(INDEX(eq_check,MATCH(B465,eq_code,0))&lt;&gt;"OK","Équipe à corriger dans Paramètres",IF(C465="","Poste manquant",IF(ISNA(MATCH(C465,po_code,0)),"Poste inconnu",IF(AND(E465&lt;&gt;"",ISNA(MATCH(E465,art_ref,0))),"Article inconnu",IF(IF(E465="",FALSE,INDEX(art_check,MATCH(E465,art_ref,0))&lt;&gt;"OK"),"Article à corriger (feuille Articles)",IF(COUNTIFS(sj_date,A465,sj_eq,B465,sj_po,C465)&gt;1,"Ligne en double (même jour, équipe et poste)",IF(OR(NOT(ISNUMBER(K465)),N(K465)&lt;=0,N(K465)&gt;1440),"Temps d'ouverture invalide",IF(OR(AND(G465&lt;&gt;"",NOT(ISNUMBER(G465))),N(G465)&lt;0,N(G465)&lt;&gt;INT(N(G465)),AND(H465&lt;&gt;"",NOT(ISNUMBER(H465))),N(H465)&lt;0,N(H465)&lt;&gt;INT(N(H465)),AND(I465&lt;&gt;"",NOT(ISNUMBER(I465))),N(I465)&lt;0,N(I465)&lt;&gt;INT(N(I465))),"Quantité invalide",IF(Q465&lt;=0,"Cadence manquante (poste ou article)",IF(M465&lt;=0,"Arrêts planifiés supérieurs au temps d'ouverture",IF(O465&lt;0,"Arrêts supérieurs au temps requis",IF(AND(P465&gt;0,O465=0),"Pièces déclarées sans temps de marche",IF(AND(P465=0,O465&gt;0),"Aucune pièce déclarée",IF(P465*60/Q465&gt;O465+0.001,"Cadence dépassée : vérifiez la cadence","OK"))))))))))))))))))</f>
        <v/>
      </c>
      <c r="AC465">
        <f>IF(OR(AB465="OK",AB465="Aucune pièce déclarée",AB465="Cadence dépassée : vérifiez la cadence"),1,0)</f>
        <v>0.0</v>
      </c>
      <c r="AD465">
        <f>IF(AND(AC465=1,A465&gt;=p_from,A465&lt;=p_to),1,0)</f>
        <v>0.0</v>
      </c>
      <c r="AE465">
        <f>IF(AD465=1,IF(COUNTIFS($A$6:A465,A465,$AD$6:AD465,1)=1,1,0),0)</f>
        <v>0.0</v>
      </c>
      <c r="AF465" t="str">
        <f>IF(AE465=1,COUNTIFS(sj_first,1,sj_date,"&lt;"&amp;A465)+1,"")</f>
        <v/>
      </c>
      <c r="AG465" t="str">
        <f>IF(AND(AD465=1,N(W465)&lt;p_alert),ROUND(W465,4),"")</f>
        <v/>
      </c>
      <c r="AH465" t="str">
        <f>IF(AG465="","",COUNTIF(sj_akey,"&lt;"&amp;AG465)+COUNTIF($AG$6:AG465,AG465))</f>
        <v/>
      </c>
    </row>
    <row r="466">
      <c r="A466" s="51" t="n"/>
      <c r="B466" s="52" t="n"/>
      <c r="C466" s="52" t="n"/>
      <c r="D466" s="53" t="n"/>
      <c r="E466" s="53" t="n"/>
      <c r="F466" s="54" t="n"/>
      <c r="G466" s="54" t="n"/>
      <c r="H466" s="54" t="n"/>
      <c r="I466" s="54" t="n"/>
      <c r="J466" s="53" t="n"/>
      <c r="K466" s="55" t="str">
        <f>IF(COUNTA(A466:I466)=0,"",IF(F466="",IFERROR(INDEX(eq_dur,MATCH(B466,eq_code,0)),""),F466))</f>
        <v/>
      </c>
      <c r="L466" s="55" t="str">
        <f>IF(ISNUMBER(K466),N(IFERROR(INDEX(eq_pause,MATCH(B466,eq_code,0)),0))+SUMIFS(st_min,st_date,A466,st_eq,B466,st_po,C466,st_type,"Planifié"),"")</f>
        <v/>
      </c>
      <c r="M466" s="55" t="str">
        <f>IF(ISNUMBER(K466),K466-L466,"")</f>
        <v/>
      </c>
      <c r="N466" s="55" t="str">
        <f>IF(ISNUMBER(K466),SUMIFS(st_min,st_date,A466,st_eq,B466,st_po,C466,st_type,"Non planifié"),"")</f>
        <v/>
      </c>
      <c r="O466" s="55" t="str">
        <f>IF(ISNUMBER(K466),M466-N466,"")</f>
        <v/>
      </c>
      <c r="P466" s="55" t="str">
        <f>IF(COUNTA(A466:I466)=0,"",N(G466)+N(H466)+N(I466))</f>
        <v/>
      </c>
      <c r="Q466" s="56" t="str">
        <f>IF(COUNTA(A466:I466)=0,"",IF(N(IFERROR(INDEX(art_rate,MATCH(E466,art_ref,0)),0))&gt;0,N(IFERROR(INDEX(art_rate,MATCH(E466,art_ref,0)),0)),N(IFERROR(INDEX(po_rate,MATCH(C466,po_code,0)),0))))</f>
        <v/>
      </c>
      <c r="R466" s="55" t="str">
        <f>IF(AC466=1,P466*60/Q466,"")</f>
        <v/>
      </c>
      <c r="S466" s="55" t="str">
        <f>IF(AC466=1,N(G466)*60/Q466,"")</f>
        <v/>
      </c>
      <c r="T466" s="57" t="str">
        <f>IF(AC466=1,O466/M466,"")</f>
        <v/>
      </c>
      <c r="U466" s="57" t="str">
        <f>IF(AC466=1,IF(O466&gt;0,R466/O466,""),"")</f>
        <v/>
      </c>
      <c r="V466" s="57" t="str">
        <f>IF(AC466=1,IF(P466&gt;0,N(G466)/P466,""),"")</f>
        <v/>
      </c>
      <c r="W466" s="57" t="str">
        <f>IF(AC466=1,S466/M466,"")</f>
        <v/>
      </c>
      <c r="X466" s="57" t="str">
        <f>IF(AC466=1,S466/K466,"")</f>
        <v/>
      </c>
      <c r="Y466" s="58" t="str">
        <f>IF(W466="","",IF(W466&gt;=p_target,"Bon",IF(W466&gt;=p_alert,"À surveiller","Faible")))</f>
        <v/>
      </c>
      <c r="Z466" s="58" t="str">
        <f>IF(W466="","",IF(MIN(IF(T466="",1,T466),IF(U466="",1,U466),IF(V466="",1,V466))&gt;=1,"Aucune",IF(IF(T466="",1,T466)&lt;=MIN(IF(U466="",1,U466),IF(V466="",1,V466)),"Disponibilité",IF(IF(U466="",1,U466)&lt;=IF(V466="",1,V466),"Performance","Qualité"))))</f>
        <v/>
      </c>
      <c r="AA466" s="59" t="str">
        <f>IF(AC466=1,N(H466)*N(IFERROR(INDEX(art_cost,MATCH(E466,art_ref,0)),0)),"")</f>
        <v/>
      </c>
      <c r="AB466" s="58" t="str">
        <f>IF(COUNTA(A466:I466)=0,"",IF(N(A466)&lt;=0,"Date manquante ou invalide",IF(B466="","Équipe manquante",IF(ISNA(MATCH(B466,eq_code,0)),"Équipe inconnue",IF(INDEX(eq_check,MATCH(B466,eq_code,0))&lt;&gt;"OK","Équipe à corriger dans Paramètres",IF(C466="","Poste manquant",IF(ISNA(MATCH(C466,po_code,0)),"Poste inconnu",IF(AND(E466&lt;&gt;"",ISNA(MATCH(E466,art_ref,0))),"Article inconnu",IF(IF(E466="",FALSE,INDEX(art_check,MATCH(E466,art_ref,0))&lt;&gt;"OK"),"Article à corriger (feuille Articles)",IF(COUNTIFS(sj_date,A466,sj_eq,B466,sj_po,C466)&gt;1,"Ligne en double (même jour, équipe et poste)",IF(OR(NOT(ISNUMBER(K466)),N(K466)&lt;=0,N(K466)&gt;1440),"Temps d'ouverture invalide",IF(OR(AND(G466&lt;&gt;"",NOT(ISNUMBER(G466))),N(G466)&lt;0,N(G466)&lt;&gt;INT(N(G466)),AND(H466&lt;&gt;"",NOT(ISNUMBER(H466))),N(H466)&lt;0,N(H466)&lt;&gt;INT(N(H466)),AND(I466&lt;&gt;"",NOT(ISNUMBER(I466))),N(I466)&lt;0,N(I466)&lt;&gt;INT(N(I466))),"Quantité invalide",IF(Q466&lt;=0,"Cadence manquante (poste ou article)",IF(M466&lt;=0,"Arrêts planifiés supérieurs au temps d'ouverture",IF(O466&lt;0,"Arrêts supérieurs au temps requis",IF(AND(P466&gt;0,O466=0),"Pièces déclarées sans temps de marche",IF(AND(P466=0,O466&gt;0),"Aucune pièce déclarée",IF(P466*60/Q466&gt;O466+0.001,"Cadence dépassée : vérifiez la cadence","OK"))))))))))))))))))</f>
        <v/>
      </c>
      <c r="AC466">
        <f>IF(OR(AB466="OK",AB466="Aucune pièce déclarée",AB466="Cadence dépassée : vérifiez la cadence"),1,0)</f>
        <v>0.0</v>
      </c>
      <c r="AD466">
        <f>IF(AND(AC466=1,A466&gt;=p_from,A466&lt;=p_to),1,0)</f>
        <v>0.0</v>
      </c>
      <c r="AE466">
        <f>IF(AD466=1,IF(COUNTIFS($A$6:A466,A466,$AD$6:AD466,1)=1,1,0),0)</f>
        <v>0.0</v>
      </c>
      <c r="AF466" t="str">
        <f>IF(AE466=1,COUNTIFS(sj_first,1,sj_date,"&lt;"&amp;A466)+1,"")</f>
        <v/>
      </c>
      <c r="AG466" t="str">
        <f>IF(AND(AD466=1,N(W466)&lt;p_alert),ROUND(W466,4),"")</f>
        <v/>
      </c>
      <c r="AH466" t="str">
        <f>IF(AG466="","",COUNTIF(sj_akey,"&lt;"&amp;AG466)+COUNTIF($AG$6:AG466,AG466))</f>
        <v/>
      </c>
    </row>
    <row r="467">
      <c r="A467" s="51" t="n"/>
      <c r="B467" s="52" t="n"/>
      <c r="C467" s="52" t="n"/>
      <c r="D467" s="53" t="n"/>
      <c r="E467" s="53" t="n"/>
      <c r="F467" s="54" t="n"/>
      <c r="G467" s="54" t="n"/>
      <c r="H467" s="54" t="n"/>
      <c r="I467" s="54" t="n"/>
      <c r="J467" s="53" t="n"/>
      <c r="K467" s="55" t="str">
        <f>IF(COUNTA(A467:I467)=0,"",IF(F467="",IFERROR(INDEX(eq_dur,MATCH(B467,eq_code,0)),""),F467))</f>
        <v/>
      </c>
      <c r="L467" s="55" t="str">
        <f>IF(ISNUMBER(K467),N(IFERROR(INDEX(eq_pause,MATCH(B467,eq_code,0)),0))+SUMIFS(st_min,st_date,A467,st_eq,B467,st_po,C467,st_type,"Planifié"),"")</f>
        <v/>
      </c>
      <c r="M467" s="55" t="str">
        <f>IF(ISNUMBER(K467),K467-L467,"")</f>
        <v/>
      </c>
      <c r="N467" s="55" t="str">
        <f>IF(ISNUMBER(K467),SUMIFS(st_min,st_date,A467,st_eq,B467,st_po,C467,st_type,"Non planifié"),"")</f>
        <v/>
      </c>
      <c r="O467" s="55" t="str">
        <f>IF(ISNUMBER(K467),M467-N467,"")</f>
        <v/>
      </c>
      <c r="P467" s="55" t="str">
        <f>IF(COUNTA(A467:I467)=0,"",N(G467)+N(H467)+N(I467))</f>
        <v/>
      </c>
      <c r="Q467" s="56" t="str">
        <f>IF(COUNTA(A467:I467)=0,"",IF(N(IFERROR(INDEX(art_rate,MATCH(E467,art_ref,0)),0))&gt;0,N(IFERROR(INDEX(art_rate,MATCH(E467,art_ref,0)),0)),N(IFERROR(INDEX(po_rate,MATCH(C467,po_code,0)),0))))</f>
        <v/>
      </c>
      <c r="R467" s="55" t="str">
        <f>IF(AC467=1,P467*60/Q467,"")</f>
        <v/>
      </c>
      <c r="S467" s="55" t="str">
        <f>IF(AC467=1,N(G467)*60/Q467,"")</f>
        <v/>
      </c>
      <c r="T467" s="57" t="str">
        <f>IF(AC467=1,O467/M467,"")</f>
        <v/>
      </c>
      <c r="U467" s="57" t="str">
        <f>IF(AC467=1,IF(O467&gt;0,R467/O467,""),"")</f>
        <v/>
      </c>
      <c r="V467" s="57" t="str">
        <f>IF(AC467=1,IF(P467&gt;0,N(G467)/P467,""),"")</f>
        <v/>
      </c>
      <c r="W467" s="57" t="str">
        <f>IF(AC467=1,S467/M467,"")</f>
        <v/>
      </c>
      <c r="X467" s="57" t="str">
        <f>IF(AC467=1,S467/K467,"")</f>
        <v/>
      </c>
      <c r="Y467" s="58" t="str">
        <f>IF(W467="","",IF(W467&gt;=p_target,"Bon",IF(W467&gt;=p_alert,"À surveiller","Faible")))</f>
        <v/>
      </c>
      <c r="Z467" s="58" t="str">
        <f>IF(W467="","",IF(MIN(IF(T467="",1,T467),IF(U467="",1,U467),IF(V467="",1,V467))&gt;=1,"Aucune",IF(IF(T467="",1,T467)&lt;=MIN(IF(U467="",1,U467),IF(V467="",1,V467)),"Disponibilité",IF(IF(U467="",1,U467)&lt;=IF(V467="",1,V467),"Performance","Qualité"))))</f>
        <v/>
      </c>
      <c r="AA467" s="59" t="str">
        <f>IF(AC467=1,N(H467)*N(IFERROR(INDEX(art_cost,MATCH(E467,art_ref,0)),0)),"")</f>
        <v/>
      </c>
      <c r="AB467" s="58" t="str">
        <f>IF(COUNTA(A467:I467)=0,"",IF(N(A467)&lt;=0,"Date manquante ou invalide",IF(B467="","Équipe manquante",IF(ISNA(MATCH(B467,eq_code,0)),"Équipe inconnue",IF(INDEX(eq_check,MATCH(B467,eq_code,0))&lt;&gt;"OK","Équipe à corriger dans Paramètres",IF(C467="","Poste manquant",IF(ISNA(MATCH(C467,po_code,0)),"Poste inconnu",IF(AND(E467&lt;&gt;"",ISNA(MATCH(E467,art_ref,0))),"Article inconnu",IF(IF(E467="",FALSE,INDEX(art_check,MATCH(E467,art_ref,0))&lt;&gt;"OK"),"Article à corriger (feuille Articles)",IF(COUNTIFS(sj_date,A467,sj_eq,B467,sj_po,C467)&gt;1,"Ligne en double (même jour, équipe et poste)",IF(OR(NOT(ISNUMBER(K467)),N(K467)&lt;=0,N(K467)&gt;1440),"Temps d'ouverture invalide",IF(OR(AND(G467&lt;&gt;"",NOT(ISNUMBER(G467))),N(G467)&lt;0,N(G467)&lt;&gt;INT(N(G467)),AND(H467&lt;&gt;"",NOT(ISNUMBER(H467))),N(H467)&lt;0,N(H467)&lt;&gt;INT(N(H467)),AND(I467&lt;&gt;"",NOT(ISNUMBER(I467))),N(I467)&lt;0,N(I467)&lt;&gt;INT(N(I467))),"Quantité invalide",IF(Q467&lt;=0,"Cadence manquante (poste ou article)",IF(M467&lt;=0,"Arrêts planifiés supérieurs au temps d'ouverture",IF(O467&lt;0,"Arrêts supérieurs au temps requis",IF(AND(P467&gt;0,O467=0),"Pièces déclarées sans temps de marche",IF(AND(P467=0,O467&gt;0),"Aucune pièce déclarée",IF(P467*60/Q467&gt;O467+0.001,"Cadence dépassée : vérifiez la cadence","OK"))))))))))))))))))</f>
        <v/>
      </c>
      <c r="AC467">
        <f>IF(OR(AB467="OK",AB467="Aucune pièce déclarée",AB467="Cadence dépassée : vérifiez la cadence"),1,0)</f>
        <v>0.0</v>
      </c>
      <c r="AD467">
        <f>IF(AND(AC467=1,A467&gt;=p_from,A467&lt;=p_to),1,0)</f>
        <v>0.0</v>
      </c>
      <c r="AE467">
        <f>IF(AD467=1,IF(COUNTIFS($A$6:A467,A467,$AD$6:AD467,1)=1,1,0),0)</f>
        <v>0.0</v>
      </c>
      <c r="AF467" t="str">
        <f>IF(AE467=1,COUNTIFS(sj_first,1,sj_date,"&lt;"&amp;A467)+1,"")</f>
        <v/>
      </c>
      <c r="AG467" t="str">
        <f>IF(AND(AD467=1,N(W467)&lt;p_alert),ROUND(W467,4),"")</f>
        <v/>
      </c>
      <c r="AH467" t="str">
        <f>IF(AG467="","",COUNTIF(sj_akey,"&lt;"&amp;AG467)+COUNTIF($AG$6:AG467,AG467))</f>
        <v/>
      </c>
    </row>
    <row r="468">
      <c r="A468" s="51" t="n"/>
      <c r="B468" s="52" t="n"/>
      <c r="C468" s="52" t="n"/>
      <c r="D468" s="53" t="n"/>
      <c r="E468" s="53" t="n"/>
      <c r="F468" s="54" t="n"/>
      <c r="G468" s="54" t="n"/>
      <c r="H468" s="54" t="n"/>
      <c r="I468" s="54" t="n"/>
      <c r="J468" s="53" t="n"/>
      <c r="K468" s="55" t="str">
        <f>IF(COUNTA(A468:I468)=0,"",IF(F468="",IFERROR(INDEX(eq_dur,MATCH(B468,eq_code,0)),""),F468))</f>
        <v/>
      </c>
      <c r="L468" s="55" t="str">
        <f>IF(ISNUMBER(K468),N(IFERROR(INDEX(eq_pause,MATCH(B468,eq_code,0)),0))+SUMIFS(st_min,st_date,A468,st_eq,B468,st_po,C468,st_type,"Planifié"),"")</f>
        <v/>
      </c>
      <c r="M468" s="55" t="str">
        <f>IF(ISNUMBER(K468),K468-L468,"")</f>
        <v/>
      </c>
      <c r="N468" s="55" t="str">
        <f>IF(ISNUMBER(K468),SUMIFS(st_min,st_date,A468,st_eq,B468,st_po,C468,st_type,"Non planifié"),"")</f>
        <v/>
      </c>
      <c r="O468" s="55" t="str">
        <f>IF(ISNUMBER(K468),M468-N468,"")</f>
        <v/>
      </c>
      <c r="P468" s="55" t="str">
        <f>IF(COUNTA(A468:I468)=0,"",N(G468)+N(H468)+N(I468))</f>
        <v/>
      </c>
      <c r="Q468" s="56" t="str">
        <f>IF(COUNTA(A468:I468)=0,"",IF(N(IFERROR(INDEX(art_rate,MATCH(E468,art_ref,0)),0))&gt;0,N(IFERROR(INDEX(art_rate,MATCH(E468,art_ref,0)),0)),N(IFERROR(INDEX(po_rate,MATCH(C468,po_code,0)),0))))</f>
        <v/>
      </c>
      <c r="R468" s="55" t="str">
        <f>IF(AC468=1,P468*60/Q468,"")</f>
        <v/>
      </c>
      <c r="S468" s="55" t="str">
        <f>IF(AC468=1,N(G468)*60/Q468,"")</f>
        <v/>
      </c>
      <c r="T468" s="57" t="str">
        <f>IF(AC468=1,O468/M468,"")</f>
        <v/>
      </c>
      <c r="U468" s="57" t="str">
        <f>IF(AC468=1,IF(O468&gt;0,R468/O468,""),"")</f>
        <v/>
      </c>
      <c r="V468" s="57" t="str">
        <f>IF(AC468=1,IF(P468&gt;0,N(G468)/P468,""),"")</f>
        <v/>
      </c>
      <c r="W468" s="57" t="str">
        <f>IF(AC468=1,S468/M468,"")</f>
        <v/>
      </c>
      <c r="X468" s="57" t="str">
        <f>IF(AC468=1,S468/K468,"")</f>
        <v/>
      </c>
      <c r="Y468" s="58" t="str">
        <f>IF(W468="","",IF(W468&gt;=p_target,"Bon",IF(W468&gt;=p_alert,"À surveiller","Faible")))</f>
        <v/>
      </c>
      <c r="Z468" s="58" t="str">
        <f>IF(W468="","",IF(MIN(IF(T468="",1,T468),IF(U468="",1,U468),IF(V468="",1,V468))&gt;=1,"Aucune",IF(IF(T468="",1,T468)&lt;=MIN(IF(U468="",1,U468),IF(V468="",1,V468)),"Disponibilité",IF(IF(U468="",1,U468)&lt;=IF(V468="",1,V468),"Performance","Qualité"))))</f>
        <v/>
      </c>
      <c r="AA468" s="59" t="str">
        <f>IF(AC468=1,N(H468)*N(IFERROR(INDEX(art_cost,MATCH(E468,art_ref,0)),0)),"")</f>
        <v/>
      </c>
      <c r="AB468" s="58" t="str">
        <f>IF(COUNTA(A468:I468)=0,"",IF(N(A468)&lt;=0,"Date manquante ou invalide",IF(B468="","Équipe manquante",IF(ISNA(MATCH(B468,eq_code,0)),"Équipe inconnue",IF(INDEX(eq_check,MATCH(B468,eq_code,0))&lt;&gt;"OK","Équipe à corriger dans Paramètres",IF(C468="","Poste manquant",IF(ISNA(MATCH(C468,po_code,0)),"Poste inconnu",IF(AND(E468&lt;&gt;"",ISNA(MATCH(E468,art_ref,0))),"Article inconnu",IF(IF(E468="",FALSE,INDEX(art_check,MATCH(E468,art_ref,0))&lt;&gt;"OK"),"Article à corriger (feuille Articles)",IF(COUNTIFS(sj_date,A468,sj_eq,B468,sj_po,C468)&gt;1,"Ligne en double (même jour, équipe et poste)",IF(OR(NOT(ISNUMBER(K468)),N(K468)&lt;=0,N(K468)&gt;1440),"Temps d'ouverture invalide",IF(OR(AND(G468&lt;&gt;"",NOT(ISNUMBER(G468))),N(G468)&lt;0,N(G468)&lt;&gt;INT(N(G468)),AND(H468&lt;&gt;"",NOT(ISNUMBER(H468))),N(H468)&lt;0,N(H468)&lt;&gt;INT(N(H468)),AND(I468&lt;&gt;"",NOT(ISNUMBER(I468))),N(I468)&lt;0,N(I468)&lt;&gt;INT(N(I468))),"Quantité invalide",IF(Q468&lt;=0,"Cadence manquante (poste ou article)",IF(M468&lt;=0,"Arrêts planifiés supérieurs au temps d'ouverture",IF(O468&lt;0,"Arrêts supérieurs au temps requis",IF(AND(P468&gt;0,O468=0),"Pièces déclarées sans temps de marche",IF(AND(P468=0,O468&gt;0),"Aucune pièce déclarée",IF(P468*60/Q468&gt;O468+0.001,"Cadence dépassée : vérifiez la cadence","OK"))))))))))))))))))</f>
        <v/>
      </c>
      <c r="AC468">
        <f>IF(OR(AB468="OK",AB468="Aucune pièce déclarée",AB468="Cadence dépassée : vérifiez la cadence"),1,0)</f>
        <v>0.0</v>
      </c>
      <c r="AD468">
        <f>IF(AND(AC468=1,A468&gt;=p_from,A468&lt;=p_to),1,0)</f>
        <v>0.0</v>
      </c>
      <c r="AE468">
        <f>IF(AD468=1,IF(COUNTIFS($A$6:A468,A468,$AD$6:AD468,1)=1,1,0),0)</f>
        <v>0.0</v>
      </c>
      <c r="AF468" t="str">
        <f>IF(AE468=1,COUNTIFS(sj_first,1,sj_date,"&lt;"&amp;A468)+1,"")</f>
        <v/>
      </c>
      <c r="AG468" t="str">
        <f>IF(AND(AD468=1,N(W468)&lt;p_alert),ROUND(W468,4),"")</f>
        <v/>
      </c>
      <c r="AH468" t="str">
        <f>IF(AG468="","",COUNTIF(sj_akey,"&lt;"&amp;AG468)+COUNTIF($AG$6:AG468,AG468))</f>
        <v/>
      </c>
    </row>
    <row r="469">
      <c r="A469" s="51" t="n"/>
      <c r="B469" s="52" t="n"/>
      <c r="C469" s="52" t="n"/>
      <c r="D469" s="53" t="n"/>
      <c r="E469" s="53" t="n"/>
      <c r="F469" s="54" t="n"/>
      <c r="G469" s="54" t="n"/>
      <c r="H469" s="54" t="n"/>
      <c r="I469" s="54" t="n"/>
      <c r="J469" s="53" t="n"/>
      <c r="K469" s="55" t="str">
        <f>IF(COUNTA(A469:I469)=0,"",IF(F469="",IFERROR(INDEX(eq_dur,MATCH(B469,eq_code,0)),""),F469))</f>
        <v/>
      </c>
      <c r="L469" s="55" t="str">
        <f>IF(ISNUMBER(K469),N(IFERROR(INDEX(eq_pause,MATCH(B469,eq_code,0)),0))+SUMIFS(st_min,st_date,A469,st_eq,B469,st_po,C469,st_type,"Planifié"),"")</f>
        <v/>
      </c>
      <c r="M469" s="55" t="str">
        <f>IF(ISNUMBER(K469),K469-L469,"")</f>
        <v/>
      </c>
      <c r="N469" s="55" t="str">
        <f>IF(ISNUMBER(K469),SUMIFS(st_min,st_date,A469,st_eq,B469,st_po,C469,st_type,"Non planifié"),"")</f>
        <v/>
      </c>
      <c r="O469" s="55" t="str">
        <f>IF(ISNUMBER(K469),M469-N469,"")</f>
        <v/>
      </c>
      <c r="P469" s="55" t="str">
        <f>IF(COUNTA(A469:I469)=0,"",N(G469)+N(H469)+N(I469))</f>
        <v/>
      </c>
      <c r="Q469" s="56" t="str">
        <f>IF(COUNTA(A469:I469)=0,"",IF(N(IFERROR(INDEX(art_rate,MATCH(E469,art_ref,0)),0))&gt;0,N(IFERROR(INDEX(art_rate,MATCH(E469,art_ref,0)),0)),N(IFERROR(INDEX(po_rate,MATCH(C469,po_code,0)),0))))</f>
        <v/>
      </c>
      <c r="R469" s="55" t="str">
        <f>IF(AC469=1,P469*60/Q469,"")</f>
        <v/>
      </c>
      <c r="S469" s="55" t="str">
        <f>IF(AC469=1,N(G469)*60/Q469,"")</f>
        <v/>
      </c>
      <c r="T469" s="57" t="str">
        <f>IF(AC469=1,O469/M469,"")</f>
        <v/>
      </c>
      <c r="U469" s="57" t="str">
        <f>IF(AC469=1,IF(O469&gt;0,R469/O469,""),"")</f>
        <v/>
      </c>
      <c r="V469" s="57" t="str">
        <f>IF(AC469=1,IF(P469&gt;0,N(G469)/P469,""),"")</f>
        <v/>
      </c>
      <c r="W469" s="57" t="str">
        <f>IF(AC469=1,S469/M469,"")</f>
        <v/>
      </c>
      <c r="X469" s="57" t="str">
        <f>IF(AC469=1,S469/K469,"")</f>
        <v/>
      </c>
      <c r="Y469" s="58" t="str">
        <f>IF(W469="","",IF(W469&gt;=p_target,"Bon",IF(W469&gt;=p_alert,"À surveiller","Faible")))</f>
        <v/>
      </c>
      <c r="Z469" s="58" t="str">
        <f>IF(W469="","",IF(MIN(IF(T469="",1,T469),IF(U469="",1,U469),IF(V469="",1,V469))&gt;=1,"Aucune",IF(IF(T469="",1,T469)&lt;=MIN(IF(U469="",1,U469),IF(V469="",1,V469)),"Disponibilité",IF(IF(U469="",1,U469)&lt;=IF(V469="",1,V469),"Performance","Qualité"))))</f>
        <v/>
      </c>
      <c r="AA469" s="59" t="str">
        <f>IF(AC469=1,N(H469)*N(IFERROR(INDEX(art_cost,MATCH(E469,art_ref,0)),0)),"")</f>
        <v/>
      </c>
      <c r="AB469" s="58" t="str">
        <f>IF(COUNTA(A469:I469)=0,"",IF(N(A469)&lt;=0,"Date manquante ou invalide",IF(B469="","Équipe manquante",IF(ISNA(MATCH(B469,eq_code,0)),"Équipe inconnue",IF(INDEX(eq_check,MATCH(B469,eq_code,0))&lt;&gt;"OK","Équipe à corriger dans Paramètres",IF(C469="","Poste manquant",IF(ISNA(MATCH(C469,po_code,0)),"Poste inconnu",IF(AND(E469&lt;&gt;"",ISNA(MATCH(E469,art_ref,0))),"Article inconnu",IF(IF(E469="",FALSE,INDEX(art_check,MATCH(E469,art_ref,0))&lt;&gt;"OK"),"Article à corriger (feuille Articles)",IF(COUNTIFS(sj_date,A469,sj_eq,B469,sj_po,C469)&gt;1,"Ligne en double (même jour, équipe et poste)",IF(OR(NOT(ISNUMBER(K469)),N(K469)&lt;=0,N(K469)&gt;1440),"Temps d'ouverture invalide",IF(OR(AND(G469&lt;&gt;"",NOT(ISNUMBER(G469))),N(G469)&lt;0,N(G469)&lt;&gt;INT(N(G469)),AND(H469&lt;&gt;"",NOT(ISNUMBER(H469))),N(H469)&lt;0,N(H469)&lt;&gt;INT(N(H469)),AND(I469&lt;&gt;"",NOT(ISNUMBER(I469))),N(I469)&lt;0,N(I469)&lt;&gt;INT(N(I469))),"Quantité invalide",IF(Q469&lt;=0,"Cadence manquante (poste ou article)",IF(M469&lt;=0,"Arrêts planifiés supérieurs au temps d'ouverture",IF(O469&lt;0,"Arrêts supérieurs au temps requis",IF(AND(P469&gt;0,O469=0),"Pièces déclarées sans temps de marche",IF(AND(P469=0,O469&gt;0),"Aucune pièce déclarée",IF(P469*60/Q469&gt;O469+0.001,"Cadence dépassée : vérifiez la cadence","OK"))))))))))))))))))</f>
        <v/>
      </c>
      <c r="AC469">
        <f>IF(OR(AB469="OK",AB469="Aucune pièce déclarée",AB469="Cadence dépassée : vérifiez la cadence"),1,0)</f>
        <v>0.0</v>
      </c>
      <c r="AD469">
        <f>IF(AND(AC469=1,A469&gt;=p_from,A469&lt;=p_to),1,0)</f>
        <v>0.0</v>
      </c>
      <c r="AE469">
        <f>IF(AD469=1,IF(COUNTIFS($A$6:A469,A469,$AD$6:AD469,1)=1,1,0),0)</f>
        <v>0.0</v>
      </c>
      <c r="AF469" t="str">
        <f>IF(AE469=1,COUNTIFS(sj_first,1,sj_date,"&lt;"&amp;A469)+1,"")</f>
        <v/>
      </c>
      <c r="AG469" t="str">
        <f>IF(AND(AD469=1,N(W469)&lt;p_alert),ROUND(W469,4),"")</f>
        <v/>
      </c>
      <c r="AH469" t="str">
        <f>IF(AG469="","",COUNTIF(sj_akey,"&lt;"&amp;AG469)+COUNTIF($AG$6:AG469,AG469))</f>
        <v/>
      </c>
    </row>
    <row r="470">
      <c r="A470" s="51" t="n"/>
      <c r="B470" s="52" t="n"/>
      <c r="C470" s="52" t="n"/>
      <c r="D470" s="53" t="n"/>
      <c r="E470" s="53" t="n"/>
      <c r="F470" s="54" t="n"/>
      <c r="G470" s="54" t="n"/>
      <c r="H470" s="54" t="n"/>
      <c r="I470" s="54" t="n"/>
      <c r="J470" s="53" t="n"/>
      <c r="K470" s="55" t="str">
        <f>IF(COUNTA(A470:I470)=0,"",IF(F470="",IFERROR(INDEX(eq_dur,MATCH(B470,eq_code,0)),""),F470))</f>
        <v/>
      </c>
      <c r="L470" s="55" t="str">
        <f>IF(ISNUMBER(K470),N(IFERROR(INDEX(eq_pause,MATCH(B470,eq_code,0)),0))+SUMIFS(st_min,st_date,A470,st_eq,B470,st_po,C470,st_type,"Planifié"),"")</f>
        <v/>
      </c>
      <c r="M470" s="55" t="str">
        <f>IF(ISNUMBER(K470),K470-L470,"")</f>
        <v/>
      </c>
      <c r="N470" s="55" t="str">
        <f>IF(ISNUMBER(K470),SUMIFS(st_min,st_date,A470,st_eq,B470,st_po,C470,st_type,"Non planifié"),"")</f>
        <v/>
      </c>
      <c r="O470" s="55" t="str">
        <f>IF(ISNUMBER(K470),M470-N470,"")</f>
        <v/>
      </c>
      <c r="P470" s="55" t="str">
        <f>IF(COUNTA(A470:I470)=0,"",N(G470)+N(H470)+N(I470))</f>
        <v/>
      </c>
      <c r="Q470" s="56" t="str">
        <f>IF(COUNTA(A470:I470)=0,"",IF(N(IFERROR(INDEX(art_rate,MATCH(E470,art_ref,0)),0))&gt;0,N(IFERROR(INDEX(art_rate,MATCH(E470,art_ref,0)),0)),N(IFERROR(INDEX(po_rate,MATCH(C470,po_code,0)),0))))</f>
        <v/>
      </c>
      <c r="R470" s="55" t="str">
        <f>IF(AC470=1,P470*60/Q470,"")</f>
        <v/>
      </c>
      <c r="S470" s="55" t="str">
        <f>IF(AC470=1,N(G470)*60/Q470,"")</f>
        <v/>
      </c>
      <c r="T470" s="57" t="str">
        <f>IF(AC470=1,O470/M470,"")</f>
        <v/>
      </c>
      <c r="U470" s="57" t="str">
        <f>IF(AC470=1,IF(O470&gt;0,R470/O470,""),"")</f>
        <v/>
      </c>
      <c r="V470" s="57" t="str">
        <f>IF(AC470=1,IF(P470&gt;0,N(G470)/P470,""),"")</f>
        <v/>
      </c>
      <c r="W470" s="57" t="str">
        <f>IF(AC470=1,S470/M470,"")</f>
        <v/>
      </c>
      <c r="X470" s="57" t="str">
        <f>IF(AC470=1,S470/K470,"")</f>
        <v/>
      </c>
      <c r="Y470" s="58" t="str">
        <f>IF(W470="","",IF(W470&gt;=p_target,"Bon",IF(W470&gt;=p_alert,"À surveiller","Faible")))</f>
        <v/>
      </c>
      <c r="Z470" s="58" t="str">
        <f>IF(W470="","",IF(MIN(IF(T470="",1,T470),IF(U470="",1,U470),IF(V470="",1,V470))&gt;=1,"Aucune",IF(IF(T470="",1,T470)&lt;=MIN(IF(U470="",1,U470),IF(V470="",1,V470)),"Disponibilité",IF(IF(U470="",1,U470)&lt;=IF(V470="",1,V470),"Performance","Qualité"))))</f>
        <v/>
      </c>
      <c r="AA470" s="59" t="str">
        <f>IF(AC470=1,N(H470)*N(IFERROR(INDEX(art_cost,MATCH(E470,art_ref,0)),0)),"")</f>
        <v/>
      </c>
      <c r="AB470" s="58" t="str">
        <f>IF(COUNTA(A470:I470)=0,"",IF(N(A470)&lt;=0,"Date manquante ou invalide",IF(B470="","Équipe manquante",IF(ISNA(MATCH(B470,eq_code,0)),"Équipe inconnue",IF(INDEX(eq_check,MATCH(B470,eq_code,0))&lt;&gt;"OK","Équipe à corriger dans Paramètres",IF(C470="","Poste manquant",IF(ISNA(MATCH(C470,po_code,0)),"Poste inconnu",IF(AND(E470&lt;&gt;"",ISNA(MATCH(E470,art_ref,0))),"Article inconnu",IF(IF(E470="",FALSE,INDEX(art_check,MATCH(E470,art_ref,0))&lt;&gt;"OK"),"Article à corriger (feuille Articles)",IF(COUNTIFS(sj_date,A470,sj_eq,B470,sj_po,C470)&gt;1,"Ligne en double (même jour, équipe et poste)",IF(OR(NOT(ISNUMBER(K470)),N(K470)&lt;=0,N(K470)&gt;1440),"Temps d'ouverture invalide",IF(OR(AND(G470&lt;&gt;"",NOT(ISNUMBER(G470))),N(G470)&lt;0,N(G470)&lt;&gt;INT(N(G470)),AND(H470&lt;&gt;"",NOT(ISNUMBER(H470))),N(H470)&lt;0,N(H470)&lt;&gt;INT(N(H470)),AND(I470&lt;&gt;"",NOT(ISNUMBER(I470))),N(I470)&lt;0,N(I470)&lt;&gt;INT(N(I470))),"Quantité invalide",IF(Q470&lt;=0,"Cadence manquante (poste ou article)",IF(M470&lt;=0,"Arrêts planifiés supérieurs au temps d'ouverture",IF(O470&lt;0,"Arrêts supérieurs au temps requis",IF(AND(P470&gt;0,O470=0),"Pièces déclarées sans temps de marche",IF(AND(P470=0,O470&gt;0),"Aucune pièce déclarée",IF(P470*60/Q470&gt;O470+0.001,"Cadence dépassée : vérifiez la cadence","OK"))))))))))))))))))</f>
        <v/>
      </c>
      <c r="AC470">
        <f>IF(OR(AB470="OK",AB470="Aucune pièce déclarée",AB470="Cadence dépassée : vérifiez la cadence"),1,0)</f>
        <v>0.0</v>
      </c>
      <c r="AD470">
        <f>IF(AND(AC470=1,A470&gt;=p_from,A470&lt;=p_to),1,0)</f>
        <v>0.0</v>
      </c>
      <c r="AE470">
        <f>IF(AD470=1,IF(COUNTIFS($A$6:A470,A470,$AD$6:AD470,1)=1,1,0),0)</f>
        <v>0.0</v>
      </c>
      <c r="AF470" t="str">
        <f>IF(AE470=1,COUNTIFS(sj_first,1,sj_date,"&lt;"&amp;A470)+1,"")</f>
        <v/>
      </c>
      <c r="AG470" t="str">
        <f>IF(AND(AD470=1,N(W470)&lt;p_alert),ROUND(W470,4),"")</f>
        <v/>
      </c>
      <c r="AH470" t="str">
        <f>IF(AG470="","",COUNTIF(sj_akey,"&lt;"&amp;AG470)+COUNTIF($AG$6:AG470,AG470))</f>
        <v/>
      </c>
    </row>
    <row r="471">
      <c r="A471" s="51" t="n"/>
      <c r="B471" s="52" t="n"/>
      <c r="C471" s="52" t="n"/>
      <c r="D471" s="53" t="n"/>
      <c r="E471" s="53" t="n"/>
      <c r="F471" s="54" t="n"/>
      <c r="G471" s="54" t="n"/>
      <c r="H471" s="54" t="n"/>
      <c r="I471" s="54" t="n"/>
      <c r="J471" s="53" t="n"/>
      <c r="K471" s="55" t="str">
        <f>IF(COUNTA(A471:I471)=0,"",IF(F471="",IFERROR(INDEX(eq_dur,MATCH(B471,eq_code,0)),""),F471))</f>
        <v/>
      </c>
      <c r="L471" s="55" t="str">
        <f>IF(ISNUMBER(K471),N(IFERROR(INDEX(eq_pause,MATCH(B471,eq_code,0)),0))+SUMIFS(st_min,st_date,A471,st_eq,B471,st_po,C471,st_type,"Planifié"),"")</f>
        <v/>
      </c>
      <c r="M471" s="55" t="str">
        <f>IF(ISNUMBER(K471),K471-L471,"")</f>
        <v/>
      </c>
      <c r="N471" s="55" t="str">
        <f>IF(ISNUMBER(K471),SUMIFS(st_min,st_date,A471,st_eq,B471,st_po,C471,st_type,"Non planifié"),"")</f>
        <v/>
      </c>
      <c r="O471" s="55" t="str">
        <f>IF(ISNUMBER(K471),M471-N471,"")</f>
        <v/>
      </c>
      <c r="P471" s="55" t="str">
        <f>IF(COUNTA(A471:I471)=0,"",N(G471)+N(H471)+N(I471))</f>
        <v/>
      </c>
      <c r="Q471" s="56" t="str">
        <f>IF(COUNTA(A471:I471)=0,"",IF(N(IFERROR(INDEX(art_rate,MATCH(E471,art_ref,0)),0))&gt;0,N(IFERROR(INDEX(art_rate,MATCH(E471,art_ref,0)),0)),N(IFERROR(INDEX(po_rate,MATCH(C471,po_code,0)),0))))</f>
        <v/>
      </c>
      <c r="R471" s="55" t="str">
        <f>IF(AC471=1,P471*60/Q471,"")</f>
        <v/>
      </c>
      <c r="S471" s="55" t="str">
        <f>IF(AC471=1,N(G471)*60/Q471,"")</f>
        <v/>
      </c>
      <c r="T471" s="57" t="str">
        <f>IF(AC471=1,O471/M471,"")</f>
        <v/>
      </c>
      <c r="U471" s="57" t="str">
        <f>IF(AC471=1,IF(O471&gt;0,R471/O471,""),"")</f>
        <v/>
      </c>
      <c r="V471" s="57" t="str">
        <f>IF(AC471=1,IF(P471&gt;0,N(G471)/P471,""),"")</f>
        <v/>
      </c>
      <c r="W471" s="57" t="str">
        <f>IF(AC471=1,S471/M471,"")</f>
        <v/>
      </c>
      <c r="X471" s="57" t="str">
        <f>IF(AC471=1,S471/K471,"")</f>
        <v/>
      </c>
      <c r="Y471" s="58" t="str">
        <f>IF(W471="","",IF(W471&gt;=p_target,"Bon",IF(W471&gt;=p_alert,"À surveiller","Faible")))</f>
        <v/>
      </c>
      <c r="Z471" s="58" t="str">
        <f>IF(W471="","",IF(MIN(IF(T471="",1,T471),IF(U471="",1,U471),IF(V471="",1,V471))&gt;=1,"Aucune",IF(IF(T471="",1,T471)&lt;=MIN(IF(U471="",1,U471),IF(V471="",1,V471)),"Disponibilité",IF(IF(U471="",1,U471)&lt;=IF(V471="",1,V471),"Performance","Qualité"))))</f>
        <v/>
      </c>
      <c r="AA471" s="59" t="str">
        <f>IF(AC471=1,N(H471)*N(IFERROR(INDEX(art_cost,MATCH(E471,art_ref,0)),0)),"")</f>
        <v/>
      </c>
      <c r="AB471" s="58" t="str">
        <f>IF(COUNTA(A471:I471)=0,"",IF(N(A471)&lt;=0,"Date manquante ou invalide",IF(B471="","Équipe manquante",IF(ISNA(MATCH(B471,eq_code,0)),"Équipe inconnue",IF(INDEX(eq_check,MATCH(B471,eq_code,0))&lt;&gt;"OK","Équipe à corriger dans Paramètres",IF(C471="","Poste manquant",IF(ISNA(MATCH(C471,po_code,0)),"Poste inconnu",IF(AND(E471&lt;&gt;"",ISNA(MATCH(E471,art_ref,0))),"Article inconnu",IF(IF(E471="",FALSE,INDEX(art_check,MATCH(E471,art_ref,0))&lt;&gt;"OK"),"Article à corriger (feuille Articles)",IF(COUNTIFS(sj_date,A471,sj_eq,B471,sj_po,C471)&gt;1,"Ligne en double (même jour, équipe et poste)",IF(OR(NOT(ISNUMBER(K471)),N(K471)&lt;=0,N(K471)&gt;1440),"Temps d'ouverture invalide",IF(OR(AND(G471&lt;&gt;"",NOT(ISNUMBER(G471))),N(G471)&lt;0,N(G471)&lt;&gt;INT(N(G471)),AND(H471&lt;&gt;"",NOT(ISNUMBER(H471))),N(H471)&lt;0,N(H471)&lt;&gt;INT(N(H471)),AND(I471&lt;&gt;"",NOT(ISNUMBER(I471))),N(I471)&lt;0,N(I471)&lt;&gt;INT(N(I471))),"Quantité invalide",IF(Q471&lt;=0,"Cadence manquante (poste ou article)",IF(M471&lt;=0,"Arrêts planifiés supérieurs au temps d'ouverture",IF(O471&lt;0,"Arrêts supérieurs au temps requis",IF(AND(P471&gt;0,O471=0),"Pièces déclarées sans temps de marche",IF(AND(P471=0,O471&gt;0),"Aucune pièce déclarée",IF(P471*60/Q471&gt;O471+0.001,"Cadence dépassée : vérifiez la cadence","OK"))))))))))))))))))</f>
        <v/>
      </c>
      <c r="AC471">
        <f>IF(OR(AB471="OK",AB471="Aucune pièce déclarée",AB471="Cadence dépassée : vérifiez la cadence"),1,0)</f>
        <v>0.0</v>
      </c>
      <c r="AD471">
        <f>IF(AND(AC471=1,A471&gt;=p_from,A471&lt;=p_to),1,0)</f>
        <v>0.0</v>
      </c>
      <c r="AE471">
        <f>IF(AD471=1,IF(COUNTIFS($A$6:A471,A471,$AD$6:AD471,1)=1,1,0),0)</f>
        <v>0.0</v>
      </c>
      <c r="AF471" t="str">
        <f>IF(AE471=1,COUNTIFS(sj_first,1,sj_date,"&lt;"&amp;A471)+1,"")</f>
        <v/>
      </c>
      <c r="AG471" t="str">
        <f>IF(AND(AD471=1,N(W471)&lt;p_alert),ROUND(W471,4),"")</f>
        <v/>
      </c>
      <c r="AH471" t="str">
        <f>IF(AG471="","",COUNTIF(sj_akey,"&lt;"&amp;AG471)+COUNTIF($AG$6:AG471,AG471))</f>
        <v/>
      </c>
    </row>
    <row r="472">
      <c r="A472" s="51" t="n"/>
      <c r="B472" s="52" t="n"/>
      <c r="C472" s="52" t="n"/>
      <c r="D472" s="53" t="n"/>
      <c r="E472" s="53" t="n"/>
      <c r="F472" s="54" t="n"/>
      <c r="G472" s="54" t="n"/>
      <c r="H472" s="54" t="n"/>
      <c r="I472" s="54" t="n"/>
      <c r="J472" s="53" t="n"/>
      <c r="K472" s="55" t="str">
        <f>IF(COUNTA(A472:I472)=0,"",IF(F472="",IFERROR(INDEX(eq_dur,MATCH(B472,eq_code,0)),""),F472))</f>
        <v/>
      </c>
      <c r="L472" s="55" t="str">
        <f>IF(ISNUMBER(K472),N(IFERROR(INDEX(eq_pause,MATCH(B472,eq_code,0)),0))+SUMIFS(st_min,st_date,A472,st_eq,B472,st_po,C472,st_type,"Planifié"),"")</f>
        <v/>
      </c>
      <c r="M472" s="55" t="str">
        <f>IF(ISNUMBER(K472),K472-L472,"")</f>
        <v/>
      </c>
      <c r="N472" s="55" t="str">
        <f>IF(ISNUMBER(K472),SUMIFS(st_min,st_date,A472,st_eq,B472,st_po,C472,st_type,"Non planifié"),"")</f>
        <v/>
      </c>
      <c r="O472" s="55" t="str">
        <f>IF(ISNUMBER(K472),M472-N472,"")</f>
        <v/>
      </c>
      <c r="P472" s="55" t="str">
        <f>IF(COUNTA(A472:I472)=0,"",N(G472)+N(H472)+N(I472))</f>
        <v/>
      </c>
      <c r="Q472" s="56" t="str">
        <f>IF(COUNTA(A472:I472)=0,"",IF(N(IFERROR(INDEX(art_rate,MATCH(E472,art_ref,0)),0))&gt;0,N(IFERROR(INDEX(art_rate,MATCH(E472,art_ref,0)),0)),N(IFERROR(INDEX(po_rate,MATCH(C472,po_code,0)),0))))</f>
        <v/>
      </c>
      <c r="R472" s="55" t="str">
        <f>IF(AC472=1,P472*60/Q472,"")</f>
        <v/>
      </c>
      <c r="S472" s="55" t="str">
        <f>IF(AC472=1,N(G472)*60/Q472,"")</f>
        <v/>
      </c>
      <c r="T472" s="57" t="str">
        <f>IF(AC472=1,O472/M472,"")</f>
        <v/>
      </c>
      <c r="U472" s="57" t="str">
        <f>IF(AC472=1,IF(O472&gt;0,R472/O472,""),"")</f>
        <v/>
      </c>
      <c r="V472" s="57" t="str">
        <f>IF(AC472=1,IF(P472&gt;0,N(G472)/P472,""),"")</f>
        <v/>
      </c>
      <c r="W472" s="57" t="str">
        <f>IF(AC472=1,S472/M472,"")</f>
        <v/>
      </c>
      <c r="X472" s="57" t="str">
        <f>IF(AC472=1,S472/K472,"")</f>
        <v/>
      </c>
      <c r="Y472" s="58" t="str">
        <f>IF(W472="","",IF(W472&gt;=p_target,"Bon",IF(W472&gt;=p_alert,"À surveiller","Faible")))</f>
        <v/>
      </c>
      <c r="Z472" s="58" t="str">
        <f>IF(W472="","",IF(MIN(IF(T472="",1,T472),IF(U472="",1,U472),IF(V472="",1,V472))&gt;=1,"Aucune",IF(IF(T472="",1,T472)&lt;=MIN(IF(U472="",1,U472),IF(V472="",1,V472)),"Disponibilité",IF(IF(U472="",1,U472)&lt;=IF(V472="",1,V472),"Performance","Qualité"))))</f>
        <v/>
      </c>
      <c r="AA472" s="59" t="str">
        <f>IF(AC472=1,N(H472)*N(IFERROR(INDEX(art_cost,MATCH(E472,art_ref,0)),0)),"")</f>
        <v/>
      </c>
      <c r="AB472" s="58" t="str">
        <f>IF(COUNTA(A472:I472)=0,"",IF(N(A472)&lt;=0,"Date manquante ou invalide",IF(B472="","Équipe manquante",IF(ISNA(MATCH(B472,eq_code,0)),"Équipe inconnue",IF(INDEX(eq_check,MATCH(B472,eq_code,0))&lt;&gt;"OK","Équipe à corriger dans Paramètres",IF(C472="","Poste manquant",IF(ISNA(MATCH(C472,po_code,0)),"Poste inconnu",IF(AND(E472&lt;&gt;"",ISNA(MATCH(E472,art_ref,0))),"Article inconnu",IF(IF(E472="",FALSE,INDEX(art_check,MATCH(E472,art_ref,0))&lt;&gt;"OK"),"Article à corriger (feuille Articles)",IF(COUNTIFS(sj_date,A472,sj_eq,B472,sj_po,C472)&gt;1,"Ligne en double (même jour, équipe et poste)",IF(OR(NOT(ISNUMBER(K472)),N(K472)&lt;=0,N(K472)&gt;1440),"Temps d'ouverture invalide",IF(OR(AND(G472&lt;&gt;"",NOT(ISNUMBER(G472))),N(G472)&lt;0,N(G472)&lt;&gt;INT(N(G472)),AND(H472&lt;&gt;"",NOT(ISNUMBER(H472))),N(H472)&lt;0,N(H472)&lt;&gt;INT(N(H472)),AND(I472&lt;&gt;"",NOT(ISNUMBER(I472))),N(I472)&lt;0,N(I472)&lt;&gt;INT(N(I472))),"Quantité invalide",IF(Q472&lt;=0,"Cadence manquante (poste ou article)",IF(M472&lt;=0,"Arrêts planifiés supérieurs au temps d'ouverture",IF(O472&lt;0,"Arrêts supérieurs au temps requis",IF(AND(P472&gt;0,O472=0),"Pièces déclarées sans temps de marche",IF(AND(P472=0,O472&gt;0),"Aucune pièce déclarée",IF(P472*60/Q472&gt;O472+0.001,"Cadence dépassée : vérifiez la cadence","OK"))))))))))))))))))</f>
        <v/>
      </c>
      <c r="AC472">
        <f>IF(OR(AB472="OK",AB472="Aucune pièce déclarée",AB472="Cadence dépassée : vérifiez la cadence"),1,0)</f>
        <v>0.0</v>
      </c>
      <c r="AD472">
        <f>IF(AND(AC472=1,A472&gt;=p_from,A472&lt;=p_to),1,0)</f>
        <v>0.0</v>
      </c>
      <c r="AE472">
        <f>IF(AD472=1,IF(COUNTIFS($A$6:A472,A472,$AD$6:AD472,1)=1,1,0),0)</f>
        <v>0.0</v>
      </c>
      <c r="AF472" t="str">
        <f>IF(AE472=1,COUNTIFS(sj_first,1,sj_date,"&lt;"&amp;A472)+1,"")</f>
        <v/>
      </c>
      <c r="AG472" t="str">
        <f>IF(AND(AD472=1,N(W472)&lt;p_alert),ROUND(W472,4),"")</f>
        <v/>
      </c>
      <c r="AH472" t="str">
        <f>IF(AG472="","",COUNTIF(sj_akey,"&lt;"&amp;AG472)+COUNTIF($AG$6:AG472,AG472))</f>
        <v/>
      </c>
    </row>
    <row r="473">
      <c r="A473" s="51" t="n"/>
      <c r="B473" s="52" t="n"/>
      <c r="C473" s="52" t="n"/>
      <c r="D473" s="53" t="n"/>
      <c r="E473" s="53" t="n"/>
      <c r="F473" s="54" t="n"/>
      <c r="G473" s="54" t="n"/>
      <c r="H473" s="54" t="n"/>
      <c r="I473" s="54" t="n"/>
      <c r="J473" s="53" t="n"/>
      <c r="K473" s="55" t="str">
        <f>IF(COUNTA(A473:I473)=0,"",IF(F473="",IFERROR(INDEX(eq_dur,MATCH(B473,eq_code,0)),""),F473))</f>
        <v/>
      </c>
      <c r="L473" s="55" t="str">
        <f>IF(ISNUMBER(K473),N(IFERROR(INDEX(eq_pause,MATCH(B473,eq_code,0)),0))+SUMIFS(st_min,st_date,A473,st_eq,B473,st_po,C473,st_type,"Planifié"),"")</f>
        <v/>
      </c>
      <c r="M473" s="55" t="str">
        <f>IF(ISNUMBER(K473),K473-L473,"")</f>
        <v/>
      </c>
      <c r="N473" s="55" t="str">
        <f>IF(ISNUMBER(K473),SUMIFS(st_min,st_date,A473,st_eq,B473,st_po,C473,st_type,"Non planifié"),"")</f>
        <v/>
      </c>
      <c r="O473" s="55" t="str">
        <f>IF(ISNUMBER(K473),M473-N473,"")</f>
        <v/>
      </c>
      <c r="P473" s="55" t="str">
        <f>IF(COUNTA(A473:I473)=0,"",N(G473)+N(H473)+N(I473))</f>
        <v/>
      </c>
      <c r="Q473" s="56" t="str">
        <f>IF(COUNTA(A473:I473)=0,"",IF(N(IFERROR(INDEX(art_rate,MATCH(E473,art_ref,0)),0))&gt;0,N(IFERROR(INDEX(art_rate,MATCH(E473,art_ref,0)),0)),N(IFERROR(INDEX(po_rate,MATCH(C473,po_code,0)),0))))</f>
        <v/>
      </c>
      <c r="R473" s="55" t="str">
        <f>IF(AC473=1,P473*60/Q473,"")</f>
        <v/>
      </c>
      <c r="S473" s="55" t="str">
        <f>IF(AC473=1,N(G473)*60/Q473,"")</f>
        <v/>
      </c>
      <c r="T473" s="57" t="str">
        <f>IF(AC473=1,O473/M473,"")</f>
        <v/>
      </c>
      <c r="U473" s="57" t="str">
        <f>IF(AC473=1,IF(O473&gt;0,R473/O473,""),"")</f>
        <v/>
      </c>
      <c r="V473" s="57" t="str">
        <f>IF(AC473=1,IF(P473&gt;0,N(G473)/P473,""),"")</f>
        <v/>
      </c>
      <c r="W473" s="57" t="str">
        <f>IF(AC473=1,S473/M473,"")</f>
        <v/>
      </c>
      <c r="X473" s="57" t="str">
        <f>IF(AC473=1,S473/K473,"")</f>
        <v/>
      </c>
      <c r="Y473" s="58" t="str">
        <f>IF(W473="","",IF(W473&gt;=p_target,"Bon",IF(W473&gt;=p_alert,"À surveiller","Faible")))</f>
        <v/>
      </c>
      <c r="Z473" s="58" t="str">
        <f>IF(W473="","",IF(MIN(IF(T473="",1,T473),IF(U473="",1,U473),IF(V473="",1,V473))&gt;=1,"Aucune",IF(IF(T473="",1,T473)&lt;=MIN(IF(U473="",1,U473),IF(V473="",1,V473)),"Disponibilité",IF(IF(U473="",1,U473)&lt;=IF(V473="",1,V473),"Performance","Qualité"))))</f>
        <v/>
      </c>
      <c r="AA473" s="59" t="str">
        <f>IF(AC473=1,N(H473)*N(IFERROR(INDEX(art_cost,MATCH(E473,art_ref,0)),0)),"")</f>
        <v/>
      </c>
      <c r="AB473" s="58" t="str">
        <f>IF(COUNTA(A473:I473)=0,"",IF(N(A473)&lt;=0,"Date manquante ou invalide",IF(B473="","Équipe manquante",IF(ISNA(MATCH(B473,eq_code,0)),"Équipe inconnue",IF(INDEX(eq_check,MATCH(B473,eq_code,0))&lt;&gt;"OK","Équipe à corriger dans Paramètres",IF(C473="","Poste manquant",IF(ISNA(MATCH(C473,po_code,0)),"Poste inconnu",IF(AND(E473&lt;&gt;"",ISNA(MATCH(E473,art_ref,0))),"Article inconnu",IF(IF(E473="",FALSE,INDEX(art_check,MATCH(E473,art_ref,0))&lt;&gt;"OK"),"Article à corriger (feuille Articles)",IF(COUNTIFS(sj_date,A473,sj_eq,B473,sj_po,C473)&gt;1,"Ligne en double (même jour, équipe et poste)",IF(OR(NOT(ISNUMBER(K473)),N(K473)&lt;=0,N(K473)&gt;1440),"Temps d'ouverture invalide",IF(OR(AND(G473&lt;&gt;"",NOT(ISNUMBER(G473))),N(G473)&lt;0,N(G473)&lt;&gt;INT(N(G473)),AND(H473&lt;&gt;"",NOT(ISNUMBER(H473))),N(H473)&lt;0,N(H473)&lt;&gt;INT(N(H473)),AND(I473&lt;&gt;"",NOT(ISNUMBER(I473))),N(I473)&lt;0,N(I473)&lt;&gt;INT(N(I473))),"Quantité invalide",IF(Q473&lt;=0,"Cadence manquante (poste ou article)",IF(M473&lt;=0,"Arrêts planifiés supérieurs au temps d'ouverture",IF(O473&lt;0,"Arrêts supérieurs au temps requis",IF(AND(P473&gt;0,O473=0),"Pièces déclarées sans temps de marche",IF(AND(P473=0,O473&gt;0),"Aucune pièce déclarée",IF(P473*60/Q473&gt;O473+0.001,"Cadence dépassée : vérifiez la cadence","OK"))))))))))))))))))</f>
        <v/>
      </c>
      <c r="AC473">
        <f>IF(OR(AB473="OK",AB473="Aucune pièce déclarée",AB473="Cadence dépassée : vérifiez la cadence"),1,0)</f>
        <v>0.0</v>
      </c>
      <c r="AD473">
        <f>IF(AND(AC473=1,A473&gt;=p_from,A473&lt;=p_to),1,0)</f>
        <v>0.0</v>
      </c>
      <c r="AE473">
        <f>IF(AD473=1,IF(COUNTIFS($A$6:A473,A473,$AD$6:AD473,1)=1,1,0),0)</f>
        <v>0.0</v>
      </c>
      <c r="AF473" t="str">
        <f>IF(AE473=1,COUNTIFS(sj_first,1,sj_date,"&lt;"&amp;A473)+1,"")</f>
        <v/>
      </c>
      <c r="AG473" t="str">
        <f>IF(AND(AD473=1,N(W473)&lt;p_alert),ROUND(W473,4),"")</f>
        <v/>
      </c>
      <c r="AH473" t="str">
        <f>IF(AG473="","",COUNTIF(sj_akey,"&lt;"&amp;AG473)+COUNTIF($AG$6:AG473,AG473))</f>
        <v/>
      </c>
    </row>
    <row r="474">
      <c r="A474" s="51" t="n"/>
      <c r="B474" s="52" t="n"/>
      <c r="C474" s="52" t="n"/>
      <c r="D474" s="53" t="n"/>
      <c r="E474" s="53" t="n"/>
      <c r="F474" s="54" t="n"/>
      <c r="G474" s="54" t="n"/>
      <c r="H474" s="54" t="n"/>
      <c r="I474" s="54" t="n"/>
      <c r="J474" s="53" t="n"/>
      <c r="K474" s="55" t="str">
        <f>IF(COUNTA(A474:I474)=0,"",IF(F474="",IFERROR(INDEX(eq_dur,MATCH(B474,eq_code,0)),""),F474))</f>
        <v/>
      </c>
      <c r="L474" s="55" t="str">
        <f>IF(ISNUMBER(K474),N(IFERROR(INDEX(eq_pause,MATCH(B474,eq_code,0)),0))+SUMIFS(st_min,st_date,A474,st_eq,B474,st_po,C474,st_type,"Planifié"),"")</f>
        <v/>
      </c>
      <c r="M474" s="55" t="str">
        <f>IF(ISNUMBER(K474),K474-L474,"")</f>
        <v/>
      </c>
      <c r="N474" s="55" t="str">
        <f>IF(ISNUMBER(K474),SUMIFS(st_min,st_date,A474,st_eq,B474,st_po,C474,st_type,"Non planifié"),"")</f>
        <v/>
      </c>
      <c r="O474" s="55" t="str">
        <f>IF(ISNUMBER(K474),M474-N474,"")</f>
        <v/>
      </c>
      <c r="P474" s="55" t="str">
        <f>IF(COUNTA(A474:I474)=0,"",N(G474)+N(H474)+N(I474))</f>
        <v/>
      </c>
      <c r="Q474" s="56" t="str">
        <f>IF(COUNTA(A474:I474)=0,"",IF(N(IFERROR(INDEX(art_rate,MATCH(E474,art_ref,0)),0))&gt;0,N(IFERROR(INDEX(art_rate,MATCH(E474,art_ref,0)),0)),N(IFERROR(INDEX(po_rate,MATCH(C474,po_code,0)),0))))</f>
        <v/>
      </c>
      <c r="R474" s="55" t="str">
        <f>IF(AC474=1,P474*60/Q474,"")</f>
        <v/>
      </c>
      <c r="S474" s="55" t="str">
        <f>IF(AC474=1,N(G474)*60/Q474,"")</f>
        <v/>
      </c>
      <c r="T474" s="57" t="str">
        <f>IF(AC474=1,O474/M474,"")</f>
        <v/>
      </c>
      <c r="U474" s="57" t="str">
        <f>IF(AC474=1,IF(O474&gt;0,R474/O474,""),"")</f>
        <v/>
      </c>
      <c r="V474" s="57" t="str">
        <f>IF(AC474=1,IF(P474&gt;0,N(G474)/P474,""),"")</f>
        <v/>
      </c>
      <c r="W474" s="57" t="str">
        <f>IF(AC474=1,S474/M474,"")</f>
        <v/>
      </c>
      <c r="X474" s="57" t="str">
        <f>IF(AC474=1,S474/K474,"")</f>
        <v/>
      </c>
      <c r="Y474" s="58" t="str">
        <f>IF(W474="","",IF(W474&gt;=p_target,"Bon",IF(W474&gt;=p_alert,"À surveiller","Faible")))</f>
        <v/>
      </c>
      <c r="Z474" s="58" t="str">
        <f>IF(W474="","",IF(MIN(IF(T474="",1,T474),IF(U474="",1,U474),IF(V474="",1,V474))&gt;=1,"Aucune",IF(IF(T474="",1,T474)&lt;=MIN(IF(U474="",1,U474),IF(V474="",1,V474)),"Disponibilité",IF(IF(U474="",1,U474)&lt;=IF(V474="",1,V474),"Performance","Qualité"))))</f>
        <v/>
      </c>
      <c r="AA474" s="59" t="str">
        <f>IF(AC474=1,N(H474)*N(IFERROR(INDEX(art_cost,MATCH(E474,art_ref,0)),0)),"")</f>
        <v/>
      </c>
      <c r="AB474" s="58" t="str">
        <f>IF(COUNTA(A474:I474)=0,"",IF(N(A474)&lt;=0,"Date manquante ou invalide",IF(B474="","Équipe manquante",IF(ISNA(MATCH(B474,eq_code,0)),"Équipe inconnue",IF(INDEX(eq_check,MATCH(B474,eq_code,0))&lt;&gt;"OK","Équipe à corriger dans Paramètres",IF(C474="","Poste manquant",IF(ISNA(MATCH(C474,po_code,0)),"Poste inconnu",IF(AND(E474&lt;&gt;"",ISNA(MATCH(E474,art_ref,0))),"Article inconnu",IF(IF(E474="",FALSE,INDEX(art_check,MATCH(E474,art_ref,0))&lt;&gt;"OK"),"Article à corriger (feuille Articles)",IF(COUNTIFS(sj_date,A474,sj_eq,B474,sj_po,C474)&gt;1,"Ligne en double (même jour, équipe et poste)",IF(OR(NOT(ISNUMBER(K474)),N(K474)&lt;=0,N(K474)&gt;1440),"Temps d'ouverture invalide",IF(OR(AND(G474&lt;&gt;"",NOT(ISNUMBER(G474))),N(G474)&lt;0,N(G474)&lt;&gt;INT(N(G474)),AND(H474&lt;&gt;"",NOT(ISNUMBER(H474))),N(H474)&lt;0,N(H474)&lt;&gt;INT(N(H474)),AND(I474&lt;&gt;"",NOT(ISNUMBER(I474))),N(I474)&lt;0,N(I474)&lt;&gt;INT(N(I474))),"Quantité invalide",IF(Q474&lt;=0,"Cadence manquante (poste ou article)",IF(M474&lt;=0,"Arrêts planifiés supérieurs au temps d'ouverture",IF(O474&lt;0,"Arrêts supérieurs au temps requis",IF(AND(P474&gt;0,O474=0),"Pièces déclarées sans temps de marche",IF(AND(P474=0,O474&gt;0),"Aucune pièce déclarée",IF(P474*60/Q474&gt;O474+0.001,"Cadence dépassée : vérifiez la cadence","OK"))))))))))))))))))</f>
        <v/>
      </c>
      <c r="AC474">
        <f>IF(OR(AB474="OK",AB474="Aucune pièce déclarée",AB474="Cadence dépassée : vérifiez la cadence"),1,0)</f>
        <v>0.0</v>
      </c>
      <c r="AD474">
        <f>IF(AND(AC474=1,A474&gt;=p_from,A474&lt;=p_to),1,0)</f>
        <v>0.0</v>
      </c>
      <c r="AE474">
        <f>IF(AD474=1,IF(COUNTIFS($A$6:A474,A474,$AD$6:AD474,1)=1,1,0),0)</f>
        <v>0.0</v>
      </c>
      <c r="AF474" t="str">
        <f>IF(AE474=1,COUNTIFS(sj_first,1,sj_date,"&lt;"&amp;A474)+1,"")</f>
        <v/>
      </c>
      <c r="AG474" t="str">
        <f>IF(AND(AD474=1,N(W474)&lt;p_alert),ROUND(W474,4),"")</f>
        <v/>
      </c>
      <c r="AH474" t="str">
        <f>IF(AG474="","",COUNTIF(sj_akey,"&lt;"&amp;AG474)+COUNTIF($AG$6:AG474,AG474))</f>
        <v/>
      </c>
    </row>
    <row r="475">
      <c r="A475" s="51" t="n"/>
      <c r="B475" s="52" t="n"/>
      <c r="C475" s="52" t="n"/>
      <c r="D475" s="53" t="n"/>
      <c r="E475" s="53" t="n"/>
      <c r="F475" s="54" t="n"/>
      <c r="G475" s="54" t="n"/>
      <c r="H475" s="54" t="n"/>
      <c r="I475" s="54" t="n"/>
      <c r="J475" s="53" t="n"/>
      <c r="K475" s="55" t="str">
        <f>IF(COUNTA(A475:I475)=0,"",IF(F475="",IFERROR(INDEX(eq_dur,MATCH(B475,eq_code,0)),""),F475))</f>
        <v/>
      </c>
      <c r="L475" s="55" t="str">
        <f>IF(ISNUMBER(K475),N(IFERROR(INDEX(eq_pause,MATCH(B475,eq_code,0)),0))+SUMIFS(st_min,st_date,A475,st_eq,B475,st_po,C475,st_type,"Planifié"),"")</f>
        <v/>
      </c>
      <c r="M475" s="55" t="str">
        <f>IF(ISNUMBER(K475),K475-L475,"")</f>
        <v/>
      </c>
      <c r="N475" s="55" t="str">
        <f>IF(ISNUMBER(K475),SUMIFS(st_min,st_date,A475,st_eq,B475,st_po,C475,st_type,"Non planifié"),"")</f>
        <v/>
      </c>
      <c r="O475" s="55" t="str">
        <f>IF(ISNUMBER(K475),M475-N475,"")</f>
        <v/>
      </c>
      <c r="P475" s="55" t="str">
        <f>IF(COUNTA(A475:I475)=0,"",N(G475)+N(H475)+N(I475))</f>
        <v/>
      </c>
      <c r="Q475" s="56" t="str">
        <f>IF(COUNTA(A475:I475)=0,"",IF(N(IFERROR(INDEX(art_rate,MATCH(E475,art_ref,0)),0))&gt;0,N(IFERROR(INDEX(art_rate,MATCH(E475,art_ref,0)),0)),N(IFERROR(INDEX(po_rate,MATCH(C475,po_code,0)),0))))</f>
        <v/>
      </c>
      <c r="R475" s="55" t="str">
        <f>IF(AC475=1,P475*60/Q475,"")</f>
        <v/>
      </c>
      <c r="S475" s="55" t="str">
        <f>IF(AC475=1,N(G475)*60/Q475,"")</f>
        <v/>
      </c>
      <c r="T475" s="57" t="str">
        <f>IF(AC475=1,O475/M475,"")</f>
        <v/>
      </c>
      <c r="U475" s="57" t="str">
        <f>IF(AC475=1,IF(O475&gt;0,R475/O475,""),"")</f>
        <v/>
      </c>
      <c r="V475" s="57" t="str">
        <f>IF(AC475=1,IF(P475&gt;0,N(G475)/P475,""),"")</f>
        <v/>
      </c>
      <c r="W475" s="57" t="str">
        <f>IF(AC475=1,S475/M475,"")</f>
        <v/>
      </c>
      <c r="X475" s="57" t="str">
        <f>IF(AC475=1,S475/K475,"")</f>
        <v/>
      </c>
      <c r="Y475" s="58" t="str">
        <f>IF(W475="","",IF(W475&gt;=p_target,"Bon",IF(W475&gt;=p_alert,"À surveiller","Faible")))</f>
        <v/>
      </c>
      <c r="Z475" s="58" t="str">
        <f>IF(W475="","",IF(MIN(IF(T475="",1,T475),IF(U475="",1,U475),IF(V475="",1,V475))&gt;=1,"Aucune",IF(IF(T475="",1,T475)&lt;=MIN(IF(U475="",1,U475),IF(V475="",1,V475)),"Disponibilité",IF(IF(U475="",1,U475)&lt;=IF(V475="",1,V475),"Performance","Qualité"))))</f>
        <v/>
      </c>
      <c r="AA475" s="59" t="str">
        <f>IF(AC475=1,N(H475)*N(IFERROR(INDEX(art_cost,MATCH(E475,art_ref,0)),0)),"")</f>
        <v/>
      </c>
      <c r="AB475" s="58" t="str">
        <f>IF(COUNTA(A475:I475)=0,"",IF(N(A475)&lt;=0,"Date manquante ou invalide",IF(B475="","Équipe manquante",IF(ISNA(MATCH(B475,eq_code,0)),"Équipe inconnue",IF(INDEX(eq_check,MATCH(B475,eq_code,0))&lt;&gt;"OK","Équipe à corriger dans Paramètres",IF(C475="","Poste manquant",IF(ISNA(MATCH(C475,po_code,0)),"Poste inconnu",IF(AND(E475&lt;&gt;"",ISNA(MATCH(E475,art_ref,0))),"Article inconnu",IF(IF(E475="",FALSE,INDEX(art_check,MATCH(E475,art_ref,0))&lt;&gt;"OK"),"Article à corriger (feuille Articles)",IF(COUNTIFS(sj_date,A475,sj_eq,B475,sj_po,C475)&gt;1,"Ligne en double (même jour, équipe et poste)",IF(OR(NOT(ISNUMBER(K475)),N(K475)&lt;=0,N(K475)&gt;1440),"Temps d'ouverture invalide",IF(OR(AND(G475&lt;&gt;"",NOT(ISNUMBER(G475))),N(G475)&lt;0,N(G475)&lt;&gt;INT(N(G475)),AND(H475&lt;&gt;"",NOT(ISNUMBER(H475))),N(H475)&lt;0,N(H475)&lt;&gt;INT(N(H475)),AND(I475&lt;&gt;"",NOT(ISNUMBER(I475))),N(I475)&lt;0,N(I475)&lt;&gt;INT(N(I475))),"Quantité invalide",IF(Q475&lt;=0,"Cadence manquante (poste ou article)",IF(M475&lt;=0,"Arrêts planifiés supérieurs au temps d'ouverture",IF(O475&lt;0,"Arrêts supérieurs au temps requis",IF(AND(P475&gt;0,O475=0),"Pièces déclarées sans temps de marche",IF(AND(P475=0,O475&gt;0),"Aucune pièce déclarée",IF(P475*60/Q475&gt;O475+0.001,"Cadence dépassée : vérifiez la cadence","OK"))))))))))))))))))</f>
        <v/>
      </c>
      <c r="AC475">
        <f>IF(OR(AB475="OK",AB475="Aucune pièce déclarée",AB475="Cadence dépassée : vérifiez la cadence"),1,0)</f>
        <v>0.0</v>
      </c>
      <c r="AD475">
        <f>IF(AND(AC475=1,A475&gt;=p_from,A475&lt;=p_to),1,0)</f>
        <v>0.0</v>
      </c>
      <c r="AE475">
        <f>IF(AD475=1,IF(COUNTIFS($A$6:A475,A475,$AD$6:AD475,1)=1,1,0),0)</f>
        <v>0.0</v>
      </c>
      <c r="AF475" t="str">
        <f>IF(AE475=1,COUNTIFS(sj_first,1,sj_date,"&lt;"&amp;A475)+1,"")</f>
        <v/>
      </c>
      <c r="AG475" t="str">
        <f>IF(AND(AD475=1,N(W475)&lt;p_alert),ROUND(W475,4),"")</f>
        <v/>
      </c>
      <c r="AH475" t="str">
        <f>IF(AG475="","",COUNTIF(sj_akey,"&lt;"&amp;AG475)+COUNTIF($AG$6:AG475,AG475))</f>
        <v/>
      </c>
    </row>
    <row r="476">
      <c r="A476" s="51" t="n"/>
      <c r="B476" s="52" t="n"/>
      <c r="C476" s="52" t="n"/>
      <c r="D476" s="53" t="n"/>
      <c r="E476" s="53" t="n"/>
      <c r="F476" s="54" t="n"/>
      <c r="G476" s="54" t="n"/>
      <c r="H476" s="54" t="n"/>
      <c r="I476" s="54" t="n"/>
      <c r="J476" s="53" t="n"/>
      <c r="K476" s="55" t="str">
        <f>IF(COUNTA(A476:I476)=0,"",IF(F476="",IFERROR(INDEX(eq_dur,MATCH(B476,eq_code,0)),""),F476))</f>
        <v/>
      </c>
      <c r="L476" s="55" t="str">
        <f>IF(ISNUMBER(K476),N(IFERROR(INDEX(eq_pause,MATCH(B476,eq_code,0)),0))+SUMIFS(st_min,st_date,A476,st_eq,B476,st_po,C476,st_type,"Planifié"),"")</f>
        <v/>
      </c>
      <c r="M476" s="55" t="str">
        <f>IF(ISNUMBER(K476),K476-L476,"")</f>
        <v/>
      </c>
      <c r="N476" s="55" t="str">
        <f>IF(ISNUMBER(K476),SUMIFS(st_min,st_date,A476,st_eq,B476,st_po,C476,st_type,"Non planifié"),"")</f>
        <v/>
      </c>
      <c r="O476" s="55" t="str">
        <f>IF(ISNUMBER(K476),M476-N476,"")</f>
        <v/>
      </c>
      <c r="P476" s="55" t="str">
        <f>IF(COUNTA(A476:I476)=0,"",N(G476)+N(H476)+N(I476))</f>
        <v/>
      </c>
      <c r="Q476" s="56" t="str">
        <f>IF(COUNTA(A476:I476)=0,"",IF(N(IFERROR(INDEX(art_rate,MATCH(E476,art_ref,0)),0))&gt;0,N(IFERROR(INDEX(art_rate,MATCH(E476,art_ref,0)),0)),N(IFERROR(INDEX(po_rate,MATCH(C476,po_code,0)),0))))</f>
        <v/>
      </c>
      <c r="R476" s="55" t="str">
        <f>IF(AC476=1,P476*60/Q476,"")</f>
        <v/>
      </c>
      <c r="S476" s="55" t="str">
        <f>IF(AC476=1,N(G476)*60/Q476,"")</f>
        <v/>
      </c>
      <c r="T476" s="57" t="str">
        <f>IF(AC476=1,O476/M476,"")</f>
        <v/>
      </c>
      <c r="U476" s="57" t="str">
        <f>IF(AC476=1,IF(O476&gt;0,R476/O476,""),"")</f>
        <v/>
      </c>
      <c r="V476" s="57" t="str">
        <f>IF(AC476=1,IF(P476&gt;0,N(G476)/P476,""),"")</f>
        <v/>
      </c>
      <c r="W476" s="57" t="str">
        <f>IF(AC476=1,S476/M476,"")</f>
        <v/>
      </c>
      <c r="X476" s="57" t="str">
        <f>IF(AC476=1,S476/K476,"")</f>
        <v/>
      </c>
      <c r="Y476" s="58" t="str">
        <f>IF(W476="","",IF(W476&gt;=p_target,"Bon",IF(W476&gt;=p_alert,"À surveiller","Faible")))</f>
        <v/>
      </c>
      <c r="Z476" s="58" t="str">
        <f>IF(W476="","",IF(MIN(IF(T476="",1,T476),IF(U476="",1,U476),IF(V476="",1,V476))&gt;=1,"Aucune",IF(IF(T476="",1,T476)&lt;=MIN(IF(U476="",1,U476),IF(V476="",1,V476)),"Disponibilité",IF(IF(U476="",1,U476)&lt;=IF(V476="",1,V476),"Performance","Qualité"))))</f>
        <v/>
      </c>
      <c r="AA476" s="59" t="str">
        <f>IF(AC476=1,N(H476)*N(IFERROR(INDEX(art_cost,MATCH(E476,art_ref,0)),0)),"")</f>
        <v/>
      </c>
      <c r="AB476" s="58" t="str">
        <f>IF(COUNTA(A476:I476)=0,"",IF(N(A476)&lt;=0,"Date manquante ou invalide",IF(B476="","Équipe manquante",IF(ISNA(MATCH(B476,eq_code,0)),"Équipe inconnue",IF(INDEX(eq_check,MATCH(B476,eq_code,0))&lt;&gt;"OK","Équipe à corriger dans Paramètres",IF(C476="","Poste manquant",IF(ISNA(MATCH(C476,po_code,0)),"Poste inconnu",IF(AND(E476&lt;&gt;"",ISNA(MATCH(E476,art_ref,0))),"Article inconnu",IF(IF(E476="",FALSE,INDEX(art_check,MATCH(E476,art_ref,0))&lt;&gt;"OK"),"Article à corriger (feuille Articles)",IF(COUNTIFS(sj_date,A476,sj_eq,B476,sj_po,C476)&gt;1,"Ligne en double (même jour, équipe et poste)",IF(OR(NOT(ISNUMBER(K476)),N(K476)&lt;=0,N(K476)&gt;1440),"Temps d'ouverture invalide",IF(OR(AND(G476&lt;&gt;"",NOT(ISNUMBER(G476))),N(G476)&lt;0,N(G476)&lt;&gt;INT(N(G476)),AND(H476&lt;&gt;"",NOT(ISNUMBER(H476))),N(H476)&lt;0,N(H476)&lt;&gt;INT(N(H476)),AND(I476&lt;&gt;"",NOT(ISNUMBER(I476))),N(I476)&lt;0,N(I476)&lt;&gt;INT(N(I476))),"Quantité invalide",IF(Q476&lt;=0,"Cadence manquante (poste ou article)",IF(M476&lt;=0,"Arrêts planifiés supérieurs au temps d'ouverture",IF(O476&lt;0,"Arrêts supérieurs au temps requis",IF(AND(P476&gt;0,O476=0),"Pièces déclarées sans temps de marche",IF(AND(P476=0,O476&gt;0),"Aucune pièce déclarée",IF(P476*60/Q476&gt;O476+0.001,"Cadence dépassée : vérifiez la cadence","OK"))))))))))))))))))</f>
        <v/>
      </c>
      <c r="AC476">
        <f>IF(OR(AB476="OK",AB476="Aucune pièce déclarée",AB476="Cadence dépassée : vérifiez la cadence"),1,0)</f>
        <v>0.0</v>
      </c>
      <c r="AD476">
        <f>IF(AND(AC476=1,A476&gt;=p_from,A476&lt;=p_to),1,0)</f>
        <v>0.0</v>
      </c>
      <c r="AE476">
        <f>IF(AD476=1,IF(COUNTIFS($A$6:A476,A476,$AD$6:AD476,1)=1,1,0),0)</f>
        <v>0.0</v>
      </c>
      <c r="AF476" t="str">
        <f>IF(AE476=1,COUNTIFS(sj_first,1,sj_date,"&lt;"&amp;A476)+1,"")</f>
        <v/>
      </c>
      <c r="AG476" t="str">
        <f>IF(AND(AD476=1,N(W476)&lt;p_alert),ROUND(W476,4),"")</f>
        <v/>
      </c>
      <c r="AH476" t="str">
        <f>IF(AG476="","",COUNTIF(sj_akey,"&lt;"&amp;AG476)+COUNTIF($AG$6:AG476,AG476))</f>
        <v/>
      </c>
    </row>
    <row r="477">
      <c r="A477" s="51" t="n"/>
      <c r="B477" s="52" t="n"/>
      <c r="C477" s="52" t="n"/>
      <c r="D477" s="53" t="n"/>
      <c r="E477" s="53" t="n"/>
      <c r="F477" s="54" t="n"/>
      <c r="G477" s="54" t="n"/>
      <c r="H477" s="54" t="n"/>
      <c r="I477" s="54" t="n"/>
      <c r="J477" s="53" t="n"/>
      <c r="K477" s="55" t="str">
        <f>IF(COUNTA(A477:I477)=0,"",IF(F477="",IFERROR(INDEX(eq_dur,MATCH(B477,eq_code,0)),""),F477))</f>
        <v/>
      </c>
      <c r="L477" s="55" t="str">
        <f>IF(ISNUMBER(K477),N(IFERROR(INDEX(eq_pause,MATCH(B477,eq_code,0)),0))+SUMIFS(st_min,st_date,A477,st_eq,B477,st_po,C477,st_type,"Planifié"),"")</f>
        <v/>
      </c>
      <c r="M477" s="55" t="str">
        <f>IF(ISNUMBER(K477),K477-L477,"")</f>
        <v/>
      </c>
      <c r="N477" s="55" t="str">
        <f>IF(ISNUMBER(K477),SUMIFS(st_min,st_date,A477,st_eq,B477,st_po,C477,st_type,"Non planifié"),"")</f>
        <v/>
      </c>
      <c r="O477" s="55" t="str">
        <f>IF(ISNUMBER(K477),M477-N477,"")</f>
        <v/>
      </c>
      <c r="P477" s="55" t="str">
        <f>IF(COUNTA(A477:I477)=0,"",N(G477)+N(H477)+N(I477))</f>
        <v/>
      </c>
      <c r="Q477" s="56" t="str">
        <f>IF(COUNTA(A477:I477)=0,"",IF(N(IFERROR(INDEX(art_rate,MATCH(E477,art_ref,0)),0))&gt;0,N(IFERROR(INDEX(art_rate,MATCH(E477,art_ref,0)),0)),N(IFERROR(INDEX(po_rate,MATCH(C477,po_code,0)),0))))</f>
        <v/>
      </c>
      <c r="R477" s="55" t="str">
        <f>IF(AC477=1,P477*60/Q477,"")</f>
        <v/>
      </c>
      <c r="S477" s="55" t="str">
        <f>IF(AC477=1,N(G477)*60/Q477,"")</f>
        <v/>
      </c>
      <c r="T477" s="57" t="str">
        <f>IF(AC477=1,O477/M477,"")</f>
        <v/>
      </c>
      <c r="U477" s="57" t="str">
        <f>IF(AC477=1,IF(O477&gt;0,R477/O477,""),"")</f>
        <v/>
      </c>
      <c r="V477" s="57" t="str">
        <f>IF(AC477=1,IF(P477&gt;0,N(G477)/P477,""),"")</f>
        <v/>
      </c>
      <c r="W477" s="57" t="str">
        <f>IF(AC477=1,S477/M477,"")</f>
        <v/>
      </c>
      <c r="X477" s="57" t="str">
        <f>IF(AC477=1,S477/K477,"")</f>
        <v/>
      </c>
      <c r="Y477" s="58" t="str">
        <f>IF(W477="","",IF(W477&gt;=p_target,"Bon",IF(W477&gt;=p_alert,"À surveiller","Faible")))</f>
        <v/>
      </c>
      <c r="Z477" s="58" t="str">
        <f>IF(W477="","",IF(MIN(IF(T477="",1,T477),IF(U477="",1,U477),IF(V477="",1,V477))&gt;=1,"Aucune",IF(IF(T477="",1,T477)&lt;=MIN(IF(U477="",1,U477),IF(V477="",1,V477)),"Disponibilité",IF(IF(U477="",1,U477)&lt;=IF(V477="",1,V477),"Performance","Qualité"))))</f>
        <v/>
      </c>
      <c r="AA477" s="59" t="str">
        <f>IF(AC477=1,N(H477)*N(IFERROR(INDEX(art_cost,MATCH(E477,art_ref,0)),0)),"")</f>
        <v/>
      </c>
      <c r="AB477" s="58" t="str">
        <f>IF(COUNTA(A477:I477)=0,"",IF(N(A477)&lt;=0,"Date manquante ou invalide",IF(B477="","Équipe manquante",IF(ISNA(MATCH(B477,eq_code,0)),"Équipe inconnue",IF(INDEX(eq_check,MATCH(B477,eq_code,0))&lt;&gt;"OK","Équipe à corriger dans Paramètres",IF(C477="","Poste manquant",IF(ISNA(MATCH(C477,po_code,0)),"Poste inconnu",IF(AND(E477&lt;&gt;"",ISNA(MATCH(E477,art_ref,0))),"Article inconnu",IF(IF(E477="",FALSE,INDEX(art_check,MATCH(E477,art_ref,0))&lt;&gt;"OK"),"Article à corriger (feuille Articles)",IF(COUNTIFS(sj_date,A477,sj_eq,B477,sj_po,C477)&gt;1,"Ligne en double (même jour, équipe et poste)",IF(OR(NOT(ISNUMBER(K477)),N(K477)&lt;=0,N(K477)&gt;1440),"Temps d'ouverture invalide",IF(OR(AND(G477&lt;&gt;"",NOT(ISNUMBER(G477))),N(G477)&lt;0,N(G477)&lt;&gt;INT(N(G477)),AND(H477&lt;&gt;"",NOT(ISNUMBER(H477))),N(H477)&lt;0,N(H477)&lt;&gt;INT(N(H477)),AND(I477&lt;&gt;"",NOT(ISNUMBER(I477))),N(I477)&lt;0,N(I477)&lt;&gt;INT(N(I477))),"Quantité invalide",IF(Q477&lt;=0,"Cadence manquante (poste ou article)",IF(M477&lt;=0,"Arrêts planifiés supérieurs au temps d'ouverture",IF(O477&lt;0,"Arrêts supérieurs au temps requis",IF(AND(P477&gt;0,O477=0),"Pièces déclarées sans temps de marche",IF(AND(P477=0,O477&gt;0),"Aucune pièce déclarée",IF(P477*60/Q477&gt;O477+0.001,"Cadence dépassée : vérifiez la cadence","OK"))))))))))))))))))</f>
        <v/>
      </c>
      <c r="AC477">
        <f>IF(OR(AB477="OK",AB477="Aucune pièce déclarée",AB477="Cadence dépassée : vérifiez la cadence"),1,0)</f>
        <v>0.0</v>
      </c>
      <c r="AD477">
        <f>IF(AND(AC477=1,A477&gt;=p_from,A477&lt;=p_to),1,0)</f>
        <v>0.0</v>
      </c>
      <c r="AE477">
        <f>IF(AD477=1,IF(COUNTIFS($A$6:A477,A477,$AD$6:AD477,1)=1,1,0),0)</f>
        <v>0.0</v>
      </c>
      <c r="AF477" t="str">
        <f>IF(AE477=1,COUNTIFS(sj_first,1,sj_date,"&lt;"&amp;A477)+1,"")</f>
        <v/>
      </c>
      <c r="AG477" t="str">
        <f>IF(AND(AD477=1,N(W477)&lt;p_alert),ROUND(W477,4),"")</f>
        <v/>
      </c>
      <c r="AH477" t="str">
        <f>IF(AG477="","",COUNTIF(sj_akey,"&lt;"&amp;AG477)+COUNTIF($AG$6:AG477,AG477))</f>
        <v/>
      </c>
    </row>
    <row r="478">
      <c r="A478" s="51" t="n"/>
      <c r="B478" s="52" t="n"/>
      <c r="C478" s="52" t="n"/>
      <c r="D478" s="53" t="n"/>
      <c r="E478" s="53" t="n"/>
      <c r="F478" s="54" t="n"/>
      <c r="G478" s="54" t="n"/>
      <c r="H478" s="54" t="n"/>
      <c r="I478" s="54" t="n"/>
      <c r="J478" s="53" t="n"/>
      <c r="K478" s="55" t="str">
        <f>IF(COUNTA(A478:I478)=0,"",IF(F478="",IFERROR(INDEX(eq_dur,MATCH(B478,eq_code,0)),""),F478))</f>
        <v/>
      </c>
      <c r="L478" s="55" t="str">
        <f>IF(ISNUMBER(K478),N(IFERROR(INDEX(eq_pause,MATCH(B478,eq_code,0)),0))+SUMIFS(st_min,st_date,A478,st_eq,B478,st_po,C478,st_type,"Planifié"),"")</f>
        <v/>
      </c>
      <c r="M478" s="55" t="str">
        <f>IF(ISNUMBER(K478),K478-L478,"")</f>
        <v/>
      </c>
      <c r="N478" s="55" t="str">
        <f>IF(ISNUMBER(K478),SUMIFS(st_min,st_date,A478,st_eq,B478,st_po,C478,st_type,"Non planifié"),"")</f>
        <v/>
      </c>
      <c r="O478" s="55" t="str">
        <f>IF(ISNUMBER(K478),M478-N478,"")</f>
        <v/>
      </c>
      <c r="P478" s="55" t="str">
        <f>IF(COUNTA(A478:I478)=0,"",N(G478)+N(H478)+N(I478))</f>
        <v/>
      </c>
      <c r="Q478" s="56" t="str">
        <f>IF(COUNTA(A478:I478)=0,"",IF(N(IFERROR(INDEX(art_rate,MATCH(E478,art_ref,0)),0))&gt;0,N(IFERROR(INDEX(art_rate,MATCH(E478,art_ref,0)),0)),N(IFERROR(INDEX(po_rate,MATCH(C478,po_code,0)),0))))</f>
        <v/>
      </c>
      <c r="R478" s="55" t="str">
        <f>IF(AC478=1,P478*60/Q478,"")</f>
        <v/>
      </c>
      <c r="S478" s="55" t="str">
        <f>IF(AC478=1,N(G478)*60/Q478,"")</f>
        <v/>
      </c>
      <c r="T478" s="57" t="str">
        <f>IF(AC478=1,O478/M478,"")</f>
        <v/>
      </c>
      <c r="U478" s="57" t="str">
        <f>IF(AC478=1,IF(O478&gt;0,R478/O478,""),"")</f>
        <v/>
      </c>
      <c r="V478" s="57" t="str">
        <f>IF(AC478=1,IF(P478&gt;0,N(G478)/P478,""),"")</f>
        <v/>
      </c>
      <c r="W478" s="57" t="str">
        <f>IF(AC478=1,S478/M478,"")</f>
        <v/>
      </c>
      <c r="X478" s="57" t="str">
        <f>IF(AC478=1,S478/K478,"")</f>
        <v/>
      </c>
      <c r="Y478" s="58" t="str">
        <f>IF(W478="","",IF(W478&gt;=p_target,"Bon",IF(W478&gt;=p_alert,"À surveiller","Faible")))</f>
        <v/>
      </c>
      <c r="Z478" s="58" t="str">
        <f>IF(W478="","",IF(MIN(IF(T478="",1,T478),IF(U478="",1,U478),IF(V478="",1,V478))&gt;=1,"Aucune",IF(IF(T478="",1,T478)&lt;=MIN(IF(U478="",1,U478),IF(V478="",1,V478)),"Disponibilité",IF(IF(U478="",1,U478)&lt;=IF(V478="",1,V478),"Performance","Qualité"))))</f>
        <v/>
      </c>
      <c r="AA478" s="59" t="str">
        <f>IF(AC478=1,N(H478)*N(IFERROR(INDEX(art_cost,MATCH(E478,art_ref,0)),0)),"")</f>
        <v/>
      </c>
      <c r="AB478" s="58" t="str">
        <f>IF(COUNTA(A478:I478)=0,"",IF(N(A478)&lt;=0,"Date manquante ou invalide",IF(B478="","Équipe manquante",IF(ISNA(MATCH(B478,eq_code,0)),"Équipe inconnue",IF(INDEX(eq_check,MATCH(B478,eq_code,0))&lt;&gt;"OK","Équipe à corriger dans Paramètres",IF(C478="","Poste manquant",IF(ISNA(MATCH(C478,po_code,0)),"Poste inconnu",IF(AND(E478&lt;&gt;"",ISNA(MATCH(E478,art_ref,0))),"Article inconnu",IF(IF(E478="",FALSE,INDEX(art_check,MATCH(E478,art_ref,0))&lt;&gt;"OK"),"Article à corriger (feuille Articles)",IF(COUNTIFS(sj_date,A478,sj_eq,B478,sj_po,C478)&gt;1,"Ligne en double (même jour, équipe et poste)",IF(OR(NOT(ISNUMBER(K478)),N(K478)&lt;=0,N(K478)&gt;1440),"Temps d'ouverture invalide",IF(OR(AND(G478&lt;&gt;"",NOT(ISNUMBER(G478))),N(G478)&lt;0,N(G478)&lt;&gt;INT(N(G478)),AND(H478&lt;&gt;"",NOT(ISNUMBER(H478))),N(H478)&lt;0,N(H478)&lt;&gt;INT(N(H478)),AND(I478&lt;&gt;"",NOT(ISNUMBER(I478))),N(I478)&lt;0,N(I478)&lt;&gt;INT(N(I478))),"Quantité invalide",IF(Q478&lt;=0,"Cadence manquante (poste ou article)",IF(M478&lt;=0,"Arrêts planifiés supérieurs au temps d'ouverture",IF(O478&lt;0,"Arrêts supérieurs au temps requis",IF(AND(P478&gt;0,O478=0),"Pièces déclarées sans temps de marche",IF(AND(P478=0,O478&gt;0),"Aucune pièce déclarée",IF(P478*60/Q478&gt;O478+0.001,"Cadence dépassée : vérifiez la cadence","OK"))))))))))))))))))</f>
        <v/>
      </c>
      <c r="AC478">
        <f>IF(OR(AB478="OK",AB478="Aucune pièce déclarée",AB478="Cadence dépassée : vérifiez la cadence"),1,0)</f>
        <v>0.0</v>
      </c>
      <c r="AD478">
        <f>IF(AND(AC478=1,A478&gt;=p_from,A478&lt;=p_to),1,0)</f>
        <v>0.0</v>
      </c>
      <c r="AE478">
        <f>IF(AD478=1,IF(COUNTIFS($A$6:A478,A478,$AD$6:AD478,1)=1,1,0),0)</f>
        <v>0.0</v>
      </c>
      <c r="AF478" t="str">
        <f>IF(AE478=1,COUNTIFS(sj_first,1,sj_date,"&lt;"&amp;A478)+1,"")</f>
        <v/>
      </c>
      <c r="AG478" t="str">
        <f>IF(AND(AD478=1,N(W478)&lt;p_alert),ROUND(W478,4),"")</f>
        <v/>
      </c>
      <c r="AH478" t="str">
        <f>IF(AG478="","",COUNTIF(sj_akey,"&lt;"&amp;AG478)+COUNTIF($AG$6:AG478,AG478))</f>
        <v/>
      </c>
    </row>
    <row r="479">
      <c r="A479" s="51" t="n"/>
      <c r="B479" s="52" t="n"/>
      <c r="C479" s="52" t="n"/>
      <c r="D479" s="53" t="n"/>
      <c r="E479" s="53" t="n"/>
      <c r="F479" s="54" t="n"/>
      <c r="G479" s="54" t="n"/>
      <c r="H479" s="54" t="n"/>
      <c r="I479" s="54" t="n"/>
      <c r="J479" s="53" t="n"/>
      <c r="K479" s="55" t="str">
        <f>IF(COUNTA(A479:I479)=0,"",IF(F479="",IFERROR(INDEX(eq_dur,MATCH(B479,eq_code,0)),""),F479))</f>
        <v/>
      </c>
      <c r="L479" s="55" t="str">
        <f>IF(ISNUMBER(K479),N(IFERROR(INDEX(eq_pause,MATCH(B479,eq_code,0)),0))+SUMIFS(st_min,st_date,A479,st_eq,B479,st_po,C479,st_type,"Planifié"),"")</f>
        <v/>
      </c>
      <c r="M479" s="55" t="str">
        <f>IF(ISNUMBER(K479),K479-L479,"")</f>
        <v/>
      </c>
      <c r="N479" s="55" t="str">
        <f>IF(ISNUMBER(K479),SUMIFS(st_min,st_date,A479,st_eq,B479,st_po,C479,st_type,"Non planifié"),"")</f>
        <v/>
      </c>
      <c r="O479" s="55" t="str">
        <f>IF(ISNUMBER(K479),M479-N479,"")</f>
        <v/>
      </c>
      <c r="P479" s="55" t="str">
        <f>IF(COUNTA(A479:I479)=0,"",N(G479)+N(H479)+N(I479))</f>
        <v/>
      </c>
      <c r="Q479" s="56" t="str">
        <f>IF(COUNTA(A479:I479)=0,"",IF(N(IFERROR(INDEX(art_rate,MATCH(E479,art_ref,0)),0))&gt;0,N(IFERROR(INDEX(art_rate,MATCH(E479,art_ref,0)),0)),N(IFERROR(INDEX(po_rate,MATCH(C479,po_code,0)),0))))</f>
        <v/>
      </c>
      <c r="R479" s="55" t="str">
        <f>IF(AC479=1,P479*60/Q479,"")</f>
        <v/>
      </c>
      <c r="S479" s="55" t="str">
        <f>IF(AC479=1,N(G479)*60/Q479,"")</f>
        <v/>
      </c>
      <c r="T479" s="57" t="str">
        <f>IF(AC479=1,O479/M479,"")</f>
        <v/>
      </c>
      <c r="U479" s="57" t="str">
        <f>IF(AC479=1,IF(O479&gt;0,R479/O479,""),"")</f>
        <v/>
      </c>
      <c r="V479" s="57" t="str">
        <f>IF(AC479=1,IF(P479&gt;0,N(G479)/P479,""),"")</f>
        <v/>
      </c>
      <c r="W479" s="57" t="str">
        <f>IF(AC479=1,S479/M479,"")</f>
        <v/>
      </c>
      <c r="X479" s="57" t="str">
        <f>IF(AC479=1,S479/K479,"")</f>
        <v/>
      </c>
      <c r="Y479" s="58" t="str">
        <f>IF(W479="","",IF(W479&gt;=p_target,"Bon",IF(W479&gt;=p_alert,"À surveiller","Faible")))</f>
        <v/>
      </c>
      <c r="Z479" s="58" t="str">
        <f>IF(W479="","",IF(MIN(IF(T479="",1,T479),IF(U479="",1,U479),IF(V479="",1,V479))&gt;=1,"Aucune",IF(IF(T479="",1,T479)&lt;=MIN(IF(U479="",1,U479),IF(V479="",1,V479)),"Disponibilité",IF(IF(U479="",1,U479)&lt;=IF(V479="",1,V479),"Performance","Qualité"))))</f>
        <v/>
      </c>
      <c r="AA479" s="59" t="str">
        <f>IF(AC479=1,N(H479)*N(IFERROR(INDEX(art_cost,MATCH(E479,art_ref,0)),0)),"")</f>
        <v/>
      </c>
      <c r="AB479" s="58" t="str">
        <f>IF(COUNTA(A479:I479)=0,"",IF(N(A479)&lt;=0,"Date manquante ou invalide",IF(B479="","Équipe manquante",IF(ISNA(MATCH(B479,eq_code,0)),"Équipe inconnue",IF(INDEX(eq_check,MATCH(B479,eq_code,0))&lt;&gt;"OK","Équipe à corriger dans Paramètres",IF(C479="","Poste manquant",IF(ISNA(MATCH(C479,po_code,0)),"Poste inconnu",IF(AND(E479&lt;&gt;"",ISNA(MATCH(E479,art_ref,0))),"Article inconnu",IF(IF(E479="",FALSE,INDEX(art_check,MATCH(E479,art_ref,0))&lt;&gt;"OK"),"Article à corriger (feuille Articles)",IF(COUNTIFS(sj_date,A479,sj_eq,B479,sj_po,C479)&gt;1,"Ligne en double (même jour, équipe et poste)",IF(OR(NOT(ISNUMBER(K479)),N(K479)&lt;=0,N(K479)&gt;1440),"Temps d'ouverture invalide",IF(OR(AND(G479&lt;&gt;"",NOT(ISNUMBER(G479))),N(G479)&lt;0,N(G479)&lt;&gt;INT(N(G479)),AND(H479&lt;&gt;"",NOT(ISNUMBER(H479))),N(H479)&lt;0,N(H479)&lt;&gt;INT(N(H479)),AND(I479&lt;&gt;"",NOT(ISNUMBER(I479))),N(I479)&lt;0,N(I479)&lt;&gt;INT(N(I479))),"Quantité invalide",IF(Q479&lt;=0,"Cadence manquante (poste ou article)",IF(M479&lt;=0,"Arrêts planifiés supérieurs au temps d'ouverture",IF(O479&lt;0,"Arrêts supérieurs au temps requis",IF(AND(P479&gt;0,O479=0),"Pièces déclarées sans temps de marche",IF(AND(P479=0,O479&gt;0),"Aucune pièce déclarée",IF(P479*60/Q479&gt;O479+0.001,"Cadence dépassée : vérifiez la cadence","OK"))))))))))))))))))</f>
        <v/>
      </c>
      <c r="AC479">
        <f>IF(OR(AB479="OK",AB479="Aucune pièce déclarée",AB479="Cadence dépassée : vérifiez la cadence"),1,0)</f>
        <v>0.0</v>
      </c>
      <c r="AD479">
        <f>IF(AND(AC479=1,A479&gt;=p_from,A479&lt;=p_to),1,0)</f>
        <v>0.0</v>
      </c>
      <c r="AE479">
        <f>IF(AD479=1,IF(COUNTIFS($A$6:A479,A479,$AD$6:AD479,1)=1,1,0),0)</f>
        <v>0.0</v>
      </c>
      <c r="AF479" t="str">
        <f>IF(AE479=1,COUNTIFS(sj_first,1,sj_date,"&lt;"&amp;A479)+1,"")</f>
        <v/>
      </c>
      <c r="AG479" t="str">
        <f>IF(AND(AD479=1,N(W479)&lt;p_alert),ROUND(W479,4),"")</f>
        <v/>
      </c>
      <c r="AH479" t="str">
        <f>IF(AG479="","",COUNTIF(sj_akey,"&lt;"&amp;AG479)+COUNTIF($AG$6:AG479,AG479))</f>
        <v/>
      </c>
    </row>
    <row r="480">
      <c r="A480" s="51" t="n"/>
      <c r="B480" s="52" t="n"/>
      <c r="C480" s="52" t="n"/>
      <c r="D480" s="53" t="n"/>
      <c r="E480" s="53" t="n"/>
      <c r="F480" s="54" t="n"/>
      <c r="G480" s="54" t="n"/>
      <c r="H480" s="54" t="n"/>
      <c r="I480" s="54" t="n"/>
      <c r="J480" s="53" t="n"/>
      <c r="K480" s="55" t="str">
        <f>IF(COUNTA(A480:I480)=0,"",IF(F480="",IFERROR(INDEX(eq_dur,MATCH(B480,eq_code,0)),""),F480))</f>
        <v/>
      </c>
      <c r="L480" s="55" t="str">
        <f>IF(ISNUMBER(K480),N(IFERROR(INDEX(eq_pause,MATCH(B480,eq_code,0)),0))+SUMIFS(st_min,st_date,A480,st_eq,B480,st_po,C480,st_type,"Planifié"),"")</f>
        <v/>
      </c>
      <c r="M480" s="55" t="str">
        <f>IF(ISNUMBER(K480),K480-L480,"")</f>
        <v/>
      </c>
      <c r="N480" s="55" t="str">
        <f>IF(ISNUMBER(K480),SUMIFS(st_min,st_date,A480,st_eq,B480,st_po,C480,st_type,"Non planifié"),"")</f>
        <v/>
      </c>
      <c r="O480" s="55" t="str">
        <f>IF(ISNUMBER(K480),M480-N480,"")</f>
        <v/>
      </c>
      <c r="P480" s="55" t="str">
        <f>IF(COUNTA(A480:I480)=0,"",N(G480)+N(H480)+N(I480))</f>
        <v/>
      </c>
      <c r="Q480" s="56" t="str">
        <f>IF(COUNTA(A480:I480)=0,"",IF(N(IFERROR(INDEX(art_rate,MATCH(E480,art_ref,0)),0))&gt;0,N(IFERROR(INDEX(art_rate,MATCH(E480,art_ref,0)),0)),N(IFERROR(INDEX(po_rate,MATCH(C480,po_code,0)),0))))</f>
        <v/>
      </c>
      <c r="R480" s="55" t="str">
        <f>IF(AC480=1,P480*60/Q480,"")</f>
        <v/>
      </c>
      <c r="S480" s="55" t="str">
        <f>IF(AC480=1,N(G480)*60/Q480,"")</f>
        <v/>
      </c>
      <c r="T480" s="57" t="str">
        <f>IF(AC480=1,O480/M480,"")</f>
        <v/>
      </c>
      <c r="U480" s="57" t="str">
        <f>IF(AC480=1,IF(O480&gt;0,R480/O480,""),"")</f>
        <v/>
      </c>
      <c r="V480" s="57" t="str">
        <f>IF(AC480=1,IF(P480&gt;0,N(G480)/P480,""),"")</f>
        <v/>
      </c>
      <c r="W480" s="57" t="str">
        <f>IF(AC480=1,S480/M480,"")</f>
        <v/>
      </c>
      <c r="X480" s="57" t="str">
        <f>IF(AC480=1,S480/K480,"")</f>
        <v/>
      </c>
      <c r="Y480" s="58" t="str">
        <f>IF(W480="","",IF(W480&gt;=p_target,"Bon",IF(W480&gt;=p_alert,"À surveiller","Faible")))</f>
        <v/>
      </c>
      <c r="Z480" s="58" t="str">
        <f>IF(W480="","",IF(MIN(IF(T480="",1,T480),IF(U480="",1,U480),IF(V480="",1,V480))&gt;=1,"Aucune",IF(IF(T480="",1,T480)&lt;=MIN(IF(U480="",1,U480),IF(V480="",1,V480)),"Disponibilité",IF(IF(U480="",1,U480)&lt;=IF(V480="",1,V480),"Performance","Qualité"))))</f>
        <v/>
      </c>
      <c r="AA480" s="59" t="str">
        <f>IF(AC480=1,N(H480)*N(IFERROR(INDEX(art_cost,MATCH(E480,art_ref,0)),0)),"")</f>
        <v/>
      </c>
      <c r="AB480" s="58" t="str">
        <f>IF(COUNTA(A480:I480)=0,"",IF(N(A480)&lt;=0,"Date manquante ou invalide",IF(B480="","Équipe manquante",IF(ISNA(MATCH(B480,eq_code,0)),"Équipe inconnue",IF(INDEX(eq_check,MATCH(B480,eq_code,0))&lt;&gt;"OK","Équipe à corriger dans Paramètres",IF(C480="","Poste manquant",IF(ISNA(MATCH(C480,po_code,0)),"Poste inconnu",IF(AND(E480&lt;&gt;"",ISNA(MATCH(E480,art_ref,0))),"Article inconnu",IF(IF(E480="",FALSE,INDEX(art_check,MATCH(E480,art_ref,0))&lt;&gt;"OK"),"Article à corriger (feuille Articles)",IF(COUNTIFS(sj_date,A480,sj_eq,B480,sj_po,C480)&gt;1,"Ligne en double (même jour, équipe et poste)",IF(OR(NOT(ISNUMBER(K480)),N(K480)&lt;=0,N(K480)&gt;1440),"Temps d'ouverture invalide",IF(OR(AND(G480&lt;&gt;"",NOT(ISNUMBER(G480))),N(G480)&lt;0,N(G480)&lt;&gt;INT(N(G480)),AND(H480&lt;&gt;"",NOT(ISNUMBER(H480))),N(H480)&lt;0,N(H480)&lt;&gt;INT(N(H480)),AND(I480&lt;&gt;"",NOT(ISNUMBER(I480))),N(I480)&lt;0,N(I480)&lt;&gt;INT(N(I480))),"Quantité invalide",IF(Q480&lt;=0,"Cadence manquante (poste ou article)",IF(M480&lt;=0,"Arrêts planifiés supérieurs au temps d'ouverture",IF(O480&lt;0,"Arrêts supérieurs au temps requis",IF(AND(P480&gt;0,O480=0),"Pièces déclarées sans temps de marche",IF(AND(P480=0,O480&gt;0),"Aucune pièce déclarée",IF(P480*60/Q480&gt;O480+0.001,"Cadence dépassée : vérifiez la cadence","OK"))))))))))))))))))</f>
        <v/>
      </c>
      <c r="AC480">
        <f>IF(OR(AB480="OK",AB480="Aucune pièce déclarée",AB480="Cadence dépassée : vérifiez la cadence"),1,0)</f>
        <v>0.0</v>
      </c>
      <c r="AD480">
        <f>IF(AND(AC480=1,A480&gt;=p_from,A480&lt;=p_to),1,0)</f>
        <v>0.0</v>
      </c>
      <c r="AE480">
        <f>IF(AD480=1,IF(COUNTIFS($A$6:A480,A480,$AD$6:AD480,1)=1,1,0),0)</f>
        <v>0.0</v>
      </c>
      <c r="AF480" t="str">
        <f>IF(AE480=1,COUNTIFS(sj_first,1,sj_date,"&lt;"&amp;A480)+1,"")</f>
        <v/>
      </c>
      <c r="AG480" t="str">
        <f>IF(AND(AD480=1,N(W480)&lt;p_alert),ROUND(W480,4),"")</f>
        <v/>
      </c>
      <c r="AH480" t="str">
        <f>IF(AG480="","",COUNTIF(sj_akey,"&lt;"&amp;AG480)+COUNTIF($AG$6:AG480,AG480))</f>
        <v/>
      </c>
    </row>
    <row r="481">
      <c r="A481" s="51" t="n"/>
      <c r="B481" s="52" t="n"/>
      <c r="C481" s="52" t="n"/>
      <c r="D481" s="53" t="n"/>
      <c r="E481" s="53" t="n"/>
      <c r="F481" s="54" t="n"/>
      <c r="G481" s="54" t="n"/>
      <c r="H481" s="54" t="n"/>
      <c r="I481" s="54" t="n"/>
      <c r="J481" s="53" t="n"/>
      <c r="K481" s="55" t="str">
        <f>IF(COUNTA(A481:I481)=0,"",IF(F481="",IFERROR(INDEX(eq_dur,MATCH(B481,eq_code,0)),""),F481))</f>
        <v/>
      </c>
      <c r="L481" s="55" t="str">
        <f>IF(ISNUMBER(K481),N(IFERROR(INDEX(eq_pause,MATCH(B481,eq_code,0)),0))+SUMIFS(st_min,st_date,A481,st_eq,B481,st_po,C481,st_type,"Planifié"),"")</f>
        <v/>
      </c>
      <c r="M481" s="55" t="str">
        <f>IF(ISNUMBER(K481),K481-L481,"")</f>
        <v/>
      </c>
      <c r="N481" s="55" t="str">
        <f>IF(ISNUMBER(K481),SUMIFS(st_min,st_date,A481,st_eq,B481,st_po,C481,st_type,"Non planifié"),"")</f>
        <v/>
      </c>
      <c r="O481" s="55" t="str">
        <f>IF(ISNUMBER(K481),M481-N481,"")</f>
        <v/>
      </c>
      <c r="P481" s="55" t="str">
        <f>IF(COUNTA(A481:I481)=0,"",N(G481)+N(H481)+N(I481))</f>
        <v/>
      </c>
      <c r="Q481" s="56" t="str">
        <f>IF(COUNTA(A481:I481)=0,"",IF(N(IFERROR(INDEX(art_rate,MATCH(E481,art_ref,0)),0))&gt;0,N(IFERROR(INDEX(art_rate,MATCH(E481,art_ref,0)),0)),N(IFERROR(INDEX(po_rate,MATCH(C481,po_code,0)),0))))</f>
        <v/>
      </c>
      <c r="R481" s="55" t="str">
        <f>IF(AC481=1,P481*60/Q481,"")</f>
        <v/>
      </c>
      <c r="S481" s="55" t="str">
        <f>IF(AC481=1,N(G481)*60/Q481,"")</f>
        <v/>
      </c>
      <c r="T481" s="57" t="str">
        <f>IF(AC481=1,O481/M481,"")</f>
        <v/>
      </c>
      <c r="U481" s="57" t="str">
        <f>IF(AC481=1,IF(O481&gt;0,R481/O481,""),"")</f>
        <v/>
      </c>
      <c r="V481" s="57" t="str">
        <f>IF(AC481=1,IF(P481&gt;0,N(G481)/P481,""),"")</f>
        <v/>
      </c>
      <c r="W481" s="57" t="str">
        <f>IF(AC481=1,S481/M481,"")</f>
        <v/>
      </c>
      <c r="X481" s="57" t="str">
        <f>IF(AC481=1,S481/K481,"")</f>
        <v/>
      </c>
      <c r="Y481" s="58" t="str">
        <f>IF(W481="","",IF(W481&gt;=p_target,"Bon",IF(W481&gt;=p_alert,"À surveiller","Faible")))</f>
        <v/>
      </c>
      <c r="Z481" s="58" t="str">
        <f>IF(W481="","",IF(MIN(IF(T481="",1,T481),IF(U481="",1,U481),IF(V481="",1,V481))&gt;=1,"Aucune",IF(IF(T481="",1,T481)&lt;=MIN(IF(U481="",1,U481),IF(V481="",1,V481)),"Disponibilité",IF(IF(U481="",1,U481)&lt;=IF(V481="",1,V481),"Performance","Qualité"))))</f>
        <v/>
      </c>
      <c r="AA481" s="59" t="str">
        <f>IF(AC481=1,N(H481)*N(IFERROR(INDEX(art_cost,MATCH(E481,art_ref,0)),0)),"")</f>
        <v/>
      </c>
      <c r="AB481" s="58" t="str">
        <f>IF(COUNTA(A481:I481)=0,"",IF(N(A481)&lt;=0,"Date manquante ou invalide",IF(B481="","Équipe manquante",IF(ISNA(MATCH(B481,eq_code,0)),"Équipe inconnue",IF(INDEX(eq_check,MATCH(B481,eq_code,0))&lt;&gt;"OK","Équipe à corriger dans Paramètres",IF(C481="","Poste manquant",IF(ISNA(MATCH(C481,po_code,0)),"Poste inconnu",IF(AND(E481&lt;&gt;"",ISNA(MATCH(E481,art_ref,0))),"Article inconnu",IF(IF(E481="",FALSE,INDEX(art_check,MATCH(E481,art_ref,0))&lt;&gt;"OK"),"Article à corriger (feuille Articles)",IF(COUNTIFS(sj_date,A481,sj_eq,B481,sj_po,C481)&gt;1,"Ligne en double (même jour, équipe et poste)",IF(OR(NOT(ISNUMBER(K481)),N(K481)&lt;=0,N(K481)&gt;1440),"Temps d'ouverture invalide",IF(OR(AND(G481&lt;&gt;"",NOT(ISNUMBER(G481))),N(G481)&lt;0,N(G481)&lt;&gt;INT(N(G481)),AND(H481&lt;&gt;"",NOT(ISNUMBER(H481))),N(H481)&lt;0,N(H481)&lt;&gt;INT(N(H481)),AND(I481&lt;&gt;"",NOT(ISNUMBER(I481))),N(I481)&lt;0,N(I481)&lt;&gt;INT(N(I481))),"Quantité invalide",IF(Q481&lt;=0,"Cadence manquante (poste ou article)",IF(M481&lt;=0,"Arrêts planifiés supérieurs au temps d'ouverture",IF(O481&lt;0,"Arrêts supérieurs au temps requis",IF(AND(P481&gt;0,O481=0),"Pièces déclarées sans temps de marche",IF(AND(P481=0,O481&gt;0),"Aucune pièce déclarée",IF(P481*60/Q481&gt;O481+0.001,"Cadence dépassée : vérifiez la cadence","OK"))))))))))))))))))</f>
        <v/>
      </c>
      <c r="AC481">
        <f>IF(OR(AB481="OK",AB481="Aucune pièce déclarée",AB481="Cadence dépassée : vérifiez la cadence"),1,0)</f>
        <v>0.0</v>
      </c>
      <c r="AD481">
        <f>IF(AND(AC481=1,A481&gt;=p_from,A481&lt;=p_to),1,0)</f>
        <v>0.0</v>
      </c>
      <c r="AE481">
        <f>IF(AD481=1,IF(COUNTIFS($A$6:A481,A481,$AD$6:AD481,1)=1,1,0),0)</f>
        <v>0.0</v>
      </c>
      <c r="AF481" t="str">
        <f>IF(AE481=1,COUNTIFS(sj_first,1,sj_date,"&lt;"&amp;A481)+1,"")</f>
        <v/>
      </c>
      <c r="AG481" t="str">
        <f>IF(AND(AD481=1,N(W481)&lt;p_alert),ROUND(W481,4),"")</f>
        <v/>
      </c>
      <c r="AH481" t="str">
        <f>IF(AG481="","",COUNTIF(sj_akey,"&lt;"&amp;AG481)+COUNTIF($AG$6:AG481,AG481))</f>
        <v/>
      </c>
    </row>
    <row r="482">
      <c r="A482" s="51" t="n"/>
      <c r="B482" s="52" t="n"/>
      <c r="C482" s="52" t="n"/>
      <c r="D482" s="53" t="n"/>
      <c r="E482" s="53" t="n"/>
      <c r="F482" s="54" t="n"/>
      <c r="G482" s="54" t="n"/>
      <c r="H482" s="54" t="n"/>
      <c r="I482" s="54" t="n"/>
      <c r="J482" s="53" t="n"/>
      <c r="K482" s="55" t="str">
        <f>IF(COUNTA(A482:I482)=0,"",IF(F482="",IFERROR(INDEX(eq_dur,MATCH(B482,eq_code,0)),""),F482))</f>
        <v/>
      </c>
      <c r="L482" s="55" t="str">
        <f>IF(ISNUMBER(K482),N(IFERROR(INDEX(eq_pause,MATCH(B482,eq_code,0)),0))+SUMIFS(st_min,st_date,A482,st_eq,B482,st_po,C482,st_type,"Planifié"),"")</f>
        <v/>
      </c>
      <c r="M482" s="55" t="str">
        <f>IF(ISNUMBER(K482),K482-L482,"")</f>
        <v/>
      </c>
      <c r="N482" s="55" t="str">
        <f>IF(ISNUMBER(K482),SUMIFS(st_min,st_date,A482,st_eq,B482,st_po,C482,st_type,"Non planifié"),"")</f>
        <v/>
      </c>
      <c r="O482" s="55" t="str">
        <f>IF(ISNUMBER(K482),M482-N482,"")</f>
        <v/>
      </c>
      <c r="P482" s="55" t="str">
        <f>IF(COUNTA(A482:I482)=0,"",N(G482)+N(H482)+N(I482))</f>
        <v/>
      </c>
      <c r="Q482" s="56" t="str">
        <f>IF(COUNTA(A482:I482)=0,"",IF(N(IFERROR(INDEX(art_rate,MATCH(E482,art_ref,0)),0))&gt;0,N(IFERROR(INDEX(art_rate,MATCH(E482,art_ref,0)),0)),N(IFERROR(INDEX(po_rate,MATCH(C482,po_code,0)),0))))</f>
        <v/>
      </c>
      <c r="R482" s="55" t="str">
        <f>IF(AC482=1,P482*60/Q482,"")</f>
        <v/>
      </c>
      <c r="S482" s="55" t="str">
        <f>IF(AC482=1,N(G482)*60/Q482,"")</f>
        <v/>
      </c>
      <c r="T482" s="57" t="str">
        <f>IF(AC482=1,O482/M482,"")</f>
        <v/>
      </c>
      <c r="U482" s="57" t="str">
        <f>IF(AC482=1,IF(O482&gt;0,R482/O482,""),"")</f>
        <v/>
      </c>
      <c r="V482" s="57" t="str">
        <f>IF(AC482=1,IF(P482&gt;0,N(G482)/P482,""),"")</f>
        <v/>
      </c>
      <c r="W482" s="57" t="str">
        <f>IF(AC482=1,S482/M482,"")</f>
        <v/>
      </c>
      <c r="X482" s="57" t="str">
        <f>IF(AC482=1,S482/K482,"")</f>
        <v/>
      </c>
      <c r="Y482" s="58" t="str">
        <f>IF(W482="","",IF(W482&gt;=p_target,"Bon",IF(W482&gt;=p_alert,"À surveiller","Faible")))</f>
        <v/>
      </c>
      <c r="Z482" s="58" t="str">
        <f>IF(W482="","",IF(MIN(IF(T482="",1,T482),IF(U482="",1,U482),IF(V482="",1,V482))&gt;=1,"Aucune",IF(IF(T482="",1,T482)&lt;=MIN(IF(U482="",1,U482),IF(V482="",1,V482)),"Disponibilité",IF(IF(U482="",1,U482)&lt;=IF(V482="",1,V482),"Performance","Qualité"))))</f>
        <v/>
      </c>
      <c r="AA482" s="59" t="str">
        <f>IF(AC482=1,N(H482)*N(IFERROR(INDEX(art_cost,MATCH(E482,art_ref,0)),0)),"")</f>
        <v/>
      </c>
      <c r="AB482" s="58" t="str">
        <f>IF(COUNTA(A482:I482)=0,"",IF(N(A482)&lt;=0,"Date manquante ou invalide",IF(B482="","Équipe manquante",IF(ISNA(MATCH(B482,eq_code,0)),"Équipe inconnue",IF(INDEX(eq_check,MATCH(B482,eq_code,0))&lt;&gt;"OK","Équipe à corriger dans Paramètres",IF(C482="","Poste manquant",IF(ISNA(MATCH(C482,po_code,0)),"Poste inconnu",IF(AND(E482&lt;&gt;"",ISNA(MATCH(E482,art_ref,0))),"Article inconnu",IF(IF(E482="",FALSE,INDEX(art_check,MATCH(E482,art_ref,0))&lt;&gt;"OK"),"Article à corriger (feuille Articles)",IF(COUNTIFS(sj_date,A482,sj_eq,B482,sj_po,C482)&gt;1,"Ligne en double (même jour, équipe et poste)",IF(OR(NOT(ISNUMBER(K482)),N(K482)&lt;=0,N(K482)&gt;1440),"Temps d'ouverture invalide",IF(OR(AND(G482&lt;&gt;"",NOT(ISNUMBER(G482))),N(G482)&lt;0,N(G482)&lt;&gt;INT(N(G482)),AND(H482&lt;&gt;"",NOT(ISNUMBER(H482))),N(H482)&lt;0,N(H482)&lt;&gt;INT(N(H482)),AND(I482&lt;&gt;"",NOT(ISNUMBER(I482))),N(I482)&lt;0,N(I482)&lt;&gt;INT(N(I482))),"Quantité invalide",IF(Q482&lt;=0,"Cadence manquante (poste ou article)",IF(M482&lt;=0,"Arrêts planifiés supérieurs au temps d'ouverture",IF(O482&lt;0,"Arrêts supérieurs au temps requis",IF(AND(P482&gt;0,O482=0),"Pièces déclarées sans temps de marche",IF(AND(P482=0,O482&gt;0),"Aucune pièce déclarée",IF(P482*60/Q482&gt;O482+0.001,"Cadence dépassée : vérifiez la cadence","OK"))))))))))))))))))</f>
        <v/>
      </c>
      <c r="AC482">
        <f>IF(OR(AB482="OK",AB482="Aucune pièce déclarée",AB482="Cadence dépassée : vérifiez la cadence"),1,0)</f>
        <v>0.0</v>
      </c>
      <c r="AD482">
        <f>IF(AND(AC482=1,A482&gt;=p_from,A482&lt;=p_to),1,0)</f>
        <v>0.0</v>
      </c>
      <c r="AE482">
        <f>IF(AD482=1,IF(COUNTIFS($A$6:A482,A482,$AD$6:AD482,1)=1,1,0),0)</f>
        <v>0.0</v>
      </c>
      <c r="AF482" t="str">
        <f>IF(AE482=1,COUNTIFS(sj_first,1,sj_date,"&lt;"&amp;A482)+1,"")</f>
        <v/>
      </c>
      <c r="AG482" t="str">
        <f>IF(AND(AD482=1,N(W482)&lt;p_alert),ROUND(W482,4),"")</f>
        <v/>
      </c>
      <c r="AH482" t="str">
        <f>IF(AG482="","",COUNTIF(sj_akey,"&lt;"&amp;AG482)+COUNTIF($AG$6:AG482,AG482))</f>
        <v/>
      </c>
    </row>
    <row r="483">
      <c r="A483" s="51" t="n"/>
      <c r="B483" s="52" t="n"/>
      <c r="C483" s="52" t="n"/>
      <c r="D483" s="53" t="n"/>
      <c r="E483" s="53" t="n"/>
      <c r="F483" s="54" t="n"/>
      <c r="G483" s="54" t="n"/>
      <c r="H483" s="54" t="n"/>
      <c r="I483" s="54" t="n"/>
      <c r="J483" s="53" t="n"/>
      <c r="K483" s="55" t="str">
        <f>IF(COUNTA(A483:I483)=0,"",IF(F483="",IFERROR(INDEX(eq_dur,MATCH(B483,eq_code,0)),""),F483))</f>
        <v/>
      </c>
      <c r="L483" s="55" t="str">
        <f>IF(ISNUMBER(K483),N(IFERROR(INDEX(eq_pause,MATCH(B483,eq_code,0)),0))+SUMIFS(st_min,st_date,A483,st_eq,B483,st_po,C483,st_type,"Planifié"),"")</f>
        <v/>
      </c>
      <c r="M483" s="55" t="str">
        <f>IF(ISNUMBER(K483),K483-L483,"")</f>
        <v/>
      </c>
      <c r="N483" s="55" t="str">
        <f>IF(ISNUMBER(K483),SUMIFS(st_min,st_date,A483,st_eq,B483,st_po,C483,st_type,"Non planifié"),"")</f>
        <v/>
      </c>
      <c r="O483" s="55" t="str">
        <f>IF(ISNUMBER(K483),M483-N483,"")</f>
        <v/>
      </c>
      <c r="P483" s="55" t="str">
        <f>IF(COUNTA(A483:I483)=0,"",N(G483)+N(H483)+N(I483))</f>
        <v/>
      </c>
      <c r="Q483" s="56" t="str">
        <f>IF(COUNTA(A483:I483)=0,"",IF(N(IFERROR(INDEX(art_rate,MATCH(E483,art_ref,0)),0))&gt;0,N(IFERROR(INDEX(art_rate,MATCH(E483,art_ref,0)),0)),N(IFERROR(INDEX(po_rate,MATCH(C483,po_code,0)),0))))</f>
        <v/>
      </c>
      <c r="R483" s="55" t="str">
        <f>IF(AC483=1,P483*60/Q483,"")</f>
        <v/>
      </c>
      <c r="S483" s="55" t="str">
        <f>IF(AC483=1,N(G483)*60/Q483,"")</f>
        <v/>
      </c>
      <c r="T483" s="57" t="str">
        <f>IF(AC483=1,O483/M483,"")</f>
        <v/>
      </c>
      <c r="U483" s="57" t="str">
        <f>IF(AC483=1,IF(O483&gt;0,R483/O483,""),"")</f>
        <v/>
      </c>
      <c r="V483" s="57" t="str">
        <f>IF(AC483=1,IF(P483&gt;0,N(G483)/P483,""),"")</f>
        <v/>
      </c>
      <c r="W483" s="57" t="str">
        <f>IF(AC483=1,S483/M483,"")</f>
        <v/>
      </c>
      <c r="X483" s="57" t="str">
        <f>IF(AC483=1,S483/K483,"")</f>
        <v/>
      </c>
      <c r="Y483" s="58" t="str">
        <f>IF(W483="","",IF(W483&gt;=p_target,"Bon",IF(W483&gt;=p_alert,"À surveiller","Faible")))</f>
        <v/>
      </c>
      <c r="Z483" s="58" t="str">
        <f>IF(W483="","",IF(MIN(IF(T483="",1,T483),IF(U483="",1,U483),IF(V483="",1,V483))&gt;=1,"Aucune",IF(IF(T483="",1,T483)&lt;=MIN(IF(U483="",1,U483),IF(V483="",1,V483)),"Disponibilité",IF(IF(U483="",1,U483)&lt;=IF(V483="",1,V483),"Performance","Qualité"))))</f>
        <v/>
      </c>
      <c r="AA483" s="59" t="str">
        <f>IF(AC483=1,N(H483)*N(IFERROR(INDEX(art_cost,MATCH(E483,art_ref,0)),0)),"")</f>
        <v/>
      </c>
      <c r="AB483" s="58" t="str">
        <f>IF(COUNTA(A483:I483)=0,"",IF(N(A483)&lt;=0,"Date manquante ou invalide",IF(B483="","Équipe manquante",IF(ISNA(MATCH(B483,eq_code,0)),"Équipe inconnue",IF(INDEX(eq_check,MATCH(B483,eq_code,0))&lt;&gt;"OK","Équipe à corriger dans Paramètres",IF(C483="","Poste manquant",IF(ISNA(MATCH(C483,po_code,0)),"Poste inconnu",IF(AND(E483&lt;&gt;"",ISNA(MATCH(E483,art_ref,0))),"Article inconnu",IF(IF(E483="",FALSE,INDEX(art_check,MATCH(E483,art_ref,0))&lt;&gt;"OK"),"Article à corriger (feuille Articles)",IF(COUNTIFS(sj_date,A483,sj_eq,B483,sj_po,C483)&gt;1,"Ligne en double (même jour, équipe et poste)",IF(OR(NOT(ISNUMBER(K483)),N(K483)&lt;=0,N(K483)&gt;1440),"Temps d'ouverture invalide",IF(OR(AND(G483&lt;&gt;"",NOT(ISNUMBER(G483))),N(G483)&lt;0,N(G483)&lt;&gt;INT(N(G483)),AND(H483&lt;&gt;"",NOT(ISNUMBER(H483))),N(H483)&lt;0,N(H483)&lt;&gt;INT(N(H483)),AND(I483&lt;&gt;"",NOT(ISNUMBER(I483))),N(I483)&lt;0,N(I483)&lt;&gt;INT(N(I483))),"Quantité invalide",IF(Q483&lt;=0,"Cadence manquante (poste ou article)",IF(M483&lt;=0,"Arrêts planifiés supérieurs au temps d'ouverture",IF(O483&lt;0,"Arrêts supérieurs au temps requis",IF(AND(P483&gt;0,O483=0),"Pièces déclarées sans temps de marche",IF(AND(P483=0,O483&gt;0),"Aucune pièce déclarée",IF(P483*60/Q483&gt;O483+0.001,"Cadence dépassée : vérifiez la cadence","OK"))))))))))))))))))</f>
        <v/>
      </c>
      <c r="AC483">
        <f>IF(OR(AB483="OK",AB483="Aucune pièce déclarée",AB483="Cadence dépassée : vérifiez la cadence"),1,0)</f>
        <v>0.0</v>
      </c>
      <c r="AD483">
        <f>IF(AND(AC483=1,A483&gt;=p_from,A483&lt;=p_to),1,0)</f>
        <v>0.0</v>
      </c>
      <c r="AE483">
        <f>IF(AD483=1,IF(COUNTIFS($A$6:A483,A483,$AD$6:AD483,1)=1,1,0),0)</f>
        <v>0.0</v>
      </c>
      <c r="AF483" t="str">
        <f>IF(AE483=1,COUNTIFS(sj_first,1,sj_date,"&lt;"&amp;A483)+1,"")</f>
        <v/>
      </c>
      <c r="AG483" t="str">
        <f>IF(AND(AD483=1,N(W483)&lt;p_alert),ROUND(W483,4),"")</f>
        <v/>
      </c>
      <c r="AH483" t="str">
        <f>IF(AG483="","",COUNTIF(sj_akey,"&lt;"&amp;AG483)+COUNTIF($AG$6:AG483,AG483))</f>
        <v/>
      </c>
    </row>
    <row r="484">
      <c r="A484" s="51" t="n"/>
      <c r="B484" s="52" t="n"/>
      <c r="C484" s="52" t="n"/>
      <c r="D484" s="53" t="n"/>
      <c r="E484" s="53" t="n"/>
      <c r="F484" s="54" t="n"/>
      <c r="G484" s="54" t="n"/>
      <c r="H484" s="54" t="n"/>
      <c r="I484" s="54" t="n"/>
      <c r="J484" s="53" t="n"/>
      <c r="K484" s="55" t="str">
        <f>IF(COUNTA(A484:I484)=0,"",IF(F484="",IFERROR(INDEX(eq_dur,MATCH(B484,eq_code,0)),""),F484))</f>
        <v/>
      </c>
      <c r="L484" s="55" t="str">
        <f>IF(ISNUMBER(K484),N(IFERROR(INDEX(eq_pause,MATCH(B484,eq_code,0)),0))+SUMIFS(st_min,st_date,A484,st_eq,B484,st_po,C484,st_type,"Planifié"),"")</f>
        <v/>
      </c>
      <c r="M484" s="55" t="str">
        <f>IF(ISNUMBER(K484),K484-L484,"")</f>
        <v/>
      </c>
      <c r="N484" s="55" t="str">
        <f>IF(ISNUMBER(K484),SUMIFS(st_min,st_date,A484,st_eq,B484,st_po,C484,st_type,"Non planifié"),"")</f>
        <v/>
      </c>
      <c r="O484" s="55" t="str">
        <f>IF(ISNUMBER(K484),M484-N484,"")</f>
        <v/>
      </c>
      <c r="P484" s="55" t="str">
        <f>IF(COUNTA(A484:I484)=0,"",N(G484)+N(H484)+N(I484))</f>
        <v/>
      </c>
      <c r="Q484" s="56" t="str">
        <f>IF(COUNTA(A484:I484)=0,"",IF(N(IFERROR(INDEX(art_rate,MATCH(E484,art_ref,0)),0))&gt;0,N(IFERROR(INDEX(art_rate,MATCH(E484,art_ref,0)),0)),N(IFERROR(INDEX(po_rate,MATCH(C484,po_code,0)),0))))</f>
        <v/>
      </c>
      <c r="R484" s="55" t="str">
        <f>IF(AC484=1,P484*60/Q484,"")</f>
        <v/>
      </c>
      <c r="S484" s="55" t="str">
        <f>IF(AC484=1,N(G484)*60/Q484,"")</f>
        <v/>
      </c>
      <c r="T484" s="57" t="str">
        <f>IF(AC484=1,O484/M484,"")</f>
        <v/>
      </c>
      <c r="U484" s="57" t="str">
        <f>IF(AC484=1,IF(O484&gt;0,R484/O484,""),"")</f>
        <v/>
      </c>
      <c r="V484" s="57" t="str">
        <f>IF(AC484=1,IF(P484&gt;0,N(G484)/P484,""),"")</f>
        <v/>
      </c>
      <c r="W484" s="57" t="str">
        <f>IF(AC484=1,S484/M484,"")</f>
        <v/>
      </c>
      <c r="X484" s="57" t="str">
        <f>IF(AC484=1,S484/K484,"")</f>
        <v/>
      </c>
      <c r="Y484" s="58" t="str">
        <f>IF(W484="","",IF(W484&gt;=p_target,"Bon",IF(W484&gt;=p_alert,"À surveiller","Faible")))</f>
        <v/>
      </c>
      <c r="Z484" s="58" t="str">
        <f>IF(W484="","",IF(MIN(IF(T484="",1,T484),IF(U484="",1,U484),IF(V484="",1,V484))&gt;=1,"Aucune",IF(IF(T484="",1,T484)&lt;=MIN(IF(U484="",1,U484),IF(V484="",1,V484)),"Disponibilité",IF(IF(U484="",1,U484)&lt;=IF(V484="",1,V484),"Performance","Qualité"))))</f>
        <v/>
      </c>
      <c r="AA484" s="59" t="str">
        <f>IF(AC484=1,N(H484)*N(IFERROR(INDEX(art_cost,MATCH(E484,art_ref,0)),0)),"")</f>
        <v/>
      </c>
      <c r="AB484" s="58" t="str">
        <f>IF(COUNTA(A484:I484)=0,"",IF(N(A484)&lt;=0,"Date manquante ou invalide",IF(B484="","Équipe manquante",IF(ISNA(MATCH(B484,eq_code,0)),"Équipe inconnue",IF(INDEX(eq_check,MATCH(B484,eq_code,0))&lt;&gt;"OK","Équipe à corriger dans Paramètres",IF(C484="","Poste manquant",IF(ISNA(MATCH(C484,po_code,0)),"Poste inconnu",IF(AND(E484&lt;&gt;"",ISNA(MATCH(E484,art_ref,0))),"Article inconnu",IF(IF(E484="",FALSE,INDEX(art_check,MATCH(E484,art_ref,0))&lt;&gt;"OK"),"Article à corriger (feuille Articles)",IF(COUNTIFS(sj_date,A484,sj_eq,B484,sj_po,C484)&gt;1,"Ligne en double (même jour, équipe et poste)",IF(OR(NOT(ISNUMBER(K484)),N(K484)&lt;=0,N(K484)&gt;1440),"Temps d'ouverture invalide",IF(OR(AND(G484&lt;&gt;"",NOT(ISNUMBER(G484))),N(G484)&lt;0,N(G484)&lt;&gt;INT(N(G484)),AND(H484&lt;&gt;"",NOT(ISNUMBER(H484))),N(H484)&lt;0,N(H484)&lt;&gt;INT(N(H484)),AND(I484&lt;&gt;"",NOT(ISNUMBER(I484))),N(I484)&lt;0,N(I484)&lt;&gt;INT(N(I484))),"Quantité invalide",IF(Q484&lt;=0,"Cadence manquante (poste ou article)",IF(M484&lt;=0,"Arrêts planifiés supérieurs au temps d'ouverture",IF(O484&lt;0,"Arrêts supérieurs au temps requis",IF(AND(P484&gt;0,O484=0),"Pièces déclarées sans temps de marche",IF(AND(P484=0,O484&gt;0),"Aucune pièce déclarée",IF(P484*60/Q484&gt;O484+0.001,"Cadence dépassée : vérifiez la cadence","OK"))))))))))))))))))</f>
        <v/>
      </c>
      <c r="AC484">
        <f>IF(OR(AB484="OK",AB484="Aucune pièce déclarée",AB484="Cadence dépassée : vérifiez la cadence"),1,0)</f>
        <v>0.0</v>
      </c>
      <c r="AD484">
        <f>IF(AND(AC484=1,A484&gt;=p_from,A484&lt;=p_to),1,0)</f>
        <v>0.0</v>
      </c>
      <c r="AE484">
        <f>IF(AD484=1,IF(COUNTIFS($A$6:A484,A484,$AD$6:AD484,1)=1,1,0),0)</f>
        <v>0.0</v>
      </c>
      <c r="AF484" t="str">
        <f>IF(AE484=1,COUNTIFS(sj_first,1,sj_date,"&lt;"&amp;A484)+1,"")</f>
        <v/>
      </c>
      <c r="AG484" t="str">
        <f>IF(AND(AD484=1,N(W484)&lt;p_alert),ROUND(W484,4),"")</f>
        <v/>
      </c>
      <c r="AH484" t="str">
        <f>IF(AG484="","",COUNTIF(sj_akey,"&lt;"&amp;AG484)+COUNTIF($AG$6:AG484,AG484))</f>
        <v/>
      </c>
    </row>
    <row r="485">
      <c r="A485" s="51" t="n"/>
      <c r="B485" s="52" t="n"/>
      <c r="C485" s="52" t="n"/>
      <c r="D485" s="53" t="n"/>
      <c r="E485" s="53" t="n"/>
      <c r="F485" s="54" t="n"/>
      <c r="G485" s="54" t="n"/>
      <c r="H485" s="54" t="n"/>
      <c r="I485" s="54" t="n"/>
      <c r="J485" s="53" t="n"/>
      <c r="K485" s="55" t="str">
        <f>IF(COUNTA(A485:I485)=0,"",IF(F485="",IFERROR(INDEX(eq_dur,MATCH(B485,eq_code,0)),""),F485))</f>
        <v/>
      </c>
      <c r="L485" s="55" t="str">
        <f>IF(ISNUMBER(K485),N(IFERROR(INDEX(eq_pause,MATCH(B485,eq_code,0)),0))+SUMIFS(st_min,st_date,A485,st_eq,B485,st_po,C485,st_type,"Planifié"),"")</f>
        <v/>
      </c>
      <c r="M485" s="55" t="str">
        <f>IF(ISNUMBER(K485),K485-L485,"")</f>
        <v/>
      </c>
      <c r="N485" s="55" t="str">
        <f>IF(ISNUMBER(K485),SUMIFS(st_min,st_date,A485,st_eq,B485,st_po,C485,st_type,"Non planifié"),"")</f>
        <v/>
      </c>
      <c r="O485" s="55" t="str">
        <f>IF(ISNUMBER(K485),M485-N485,"")</f>
        <v/>
      </c>
      <c r="P485" s="55" t="str">
        <f>IF(COUNTA(A485:I485)=0,"",N(G485)+N(H485)+N(I485))</f>
        <v/>
      </c>
      <c r="Q485" s="56" t="str">
        <f>IF(COUNTA(A485:I485)=0,"",IF(N(IFERROR(INDEX(art_rate,MATCH(E485,art_ref,0)),0))&gt;0,N(IFERROR(INDEX(art_rate,MATCH(E485,art_ref,0)),0)),N(IFERROR(INDEX(po_rate,MATCH(C485,po_code,0)),0))))</f>
        <v/>
      </c>
      <c r="R485" s="55" t="str">
        <f>IF(AC485=1,P485*60/Q485,"")</f>
        <v/>
      </c>
      <c r="S485" s="55" t="str">
        <f>IF(AC485=1,N(G485)*60/Q485,"")</f>
        <v/>
      </c>
      <c r="T485" s="57" t="str">
        <f>IF(AC485=1,O485/M485,"")</f>
        <v/>
      </c>
      <c r="U485" s="57" t="str">
        <f>IF(AC485=1,IF(O485&gt;0,R485/O485,""),"")</f>
        <v/>
      </c>
      <c r="V485" s="57" t="str">
        <f>IF(AC485=1,IF(P485&gt;0,N(G485)/P485,""),"")</f>
        <v/>
      </c>
      <c r="W485" s="57" t="str">
        <f>IF(AC485=1,S485/M485,"")</f>
        <v/>
      </c>
      <c r="X485" s="57" t="str">
        <f>IF(AC485=1,S485/K485,"")</f>
        <v/>
      </c>
      <c r="Y485" s="58" t="str">
        <f>IF(W485="","",IF(W485&gt;=p_target,"Bon",IF(W485&gt;=p_alert,"À surveiller","Faible")))</f>
        <v/>
      </c>
      <c r="Z485" s="58" t="str">
        <f>IF(W485="","",IF(MIN(IF(T485="",1,T485),IF(U485="",1,U485),IF(V485="",1,V485))&gt;=1,"Aucune",IF(IF(T485="",1,T485)&lt;=MIN(IF(U485="",1,U485),IF(V485="",1,V485)),"Disponibilité",IF(IF(U485="",1,U485)&lt;=IF(V485="",1,V485),"Performance","Qualité"))))</f>
        <v/>
      </c>
      <c r="AA485" s="59" t="str">
        <f>IF(AC485=1,N(H485)*N(IFERROR(INDEX(art_cost,MATCH(E485,art_ref,0)),0)),"")</f>
        <v/>
      </c>
      <c r="AB485" s="58" t="str">
        <f>IF(COUNTA(A485:I485)=0,"",IF(N(A485)&lt;=0,"Date manquante ou invalide",IF(B485="","Équipe manquante",IF(ISNA(MATCH(B485,eq_code,0)),"Équipe inconnue",IF(INDEX(eq_check,MATCH(B485,eq_code,0))&lt;&gt;"OK","Équipe à corriger dans Paramètres",IF(C485="","Poste manquant",IF(ISNA(MATCH(C485,po_code,0)),"Poste inconnu",IF(AND(E485&lt;&gt;"",ISNA(MATCH(E485,art_ref,0))),"Article inconnu",IF(IF(E485="",FALSE,INDEX(art_check,MATCH(E485,art_ref,0))&lt;&gt;"OK"),"Article à corriger (feuille Articles)",IF(COUNTIFS(sj_date,A485,sj_eq,B485,sj_po,C485)&gt;1,"Ligne en double (même jour, équipe et poste)",IF(OR(NOT(ISNUMBER(K485)),N(K485)&lt;=0,N(K485)&gt;1440),"Temps d'ouverture invalide",IF(OR(AND(G485&lt;&gt;"",NOT(ISNUMBER(G485))),N(G485)&lt;0,N(G485)&lt;&gt;INT(N(G485)),AND(H485&lt;&gt;"",NOT(ISNUMBER(H485))),N(H485)&lt;0,N(H485)&lt;&gt;INT(N(H485)),AND(I485&lt;&gt;"",NOT(ISNUMBER(I485))),N(I485)&lt;0,N(I485)&lt;&gt;INT(N(I485))),"Quantité invalide",IF(Q485&lt;=0,"Cadence manquante (poste ou article)",IF(M485&lt;=0,"Arrêts planifiés supérieurs au temps d'ouverture",IF(O485&lt;0,"Arrêts supérieurs au temps requis",IF(AND(P485&gt;0,O485=0),"Pièces déclarées sans temps de marche",IF(AND(P485=0,O485&gt;0),"Aucune pièce déclarée",IF(P485*60/Q485&gt;O485+0.001,"Cadence dépassée : vérifiez la cadence","OK"))))))))))))))))))</f>
        <v/>
      </c>
      <c r="AC485">
        <f>IF(OR(AB485="OK",AB485="Aucune pièce déclarée",AB485="Cadence dépassée : vérifiez la cadence"),1,0)</f>
        <v>0.0</v>
      </c>
      <c r="AD485">
        <f>IF(AND(AC485=1,A485&gt;=p_from,A485&lt;=p_to),1,0)</f>
        <v>0.0</v>
      </c>
      <c r="AE485">
        <f>IF(AD485=1,IF(COUNTIFS($A$6:A485,A485,$AD$6:AD485,1)=1,1,0),0)</f>
        <v>0.0</v>
      </c>
      <c r="AF485" t="str">
        <f>IF(AE485=1,COUNTIFS(sj_first,1,sj_date,"&lt;"&amp;A485)+1,"")</f>
        <v/>
      </c>
      <c r="AG485" t="str">
        <f>IF(AND(AD485=1,N(W485)&lt;p_alert),ROUND(W485,4),"")</f>
        <v/>
      </c>
      <c r="AH485" t="str">
        <f>IF(AG485="","",COUNTIF(sj_akey,"&lt;"&amp;AG485)+COUNTIF($AG$6:AG485,AG485))</f>
        <v/>
      </c>
    </row>
    <row r="486">
      <c r="A486" s="51" t="n"/>
      <c r="B486" s="52" t="n"/>
      <c r="C486" s="52" t="n"/>
      <c r="D486" s="53" t="n"/>
      <c r="E486" s="53" t="n"/>
      <c r="F486" s="54" t="n"/>
      <c r="G486" s="54" t="n"/>
      <c r="H486" s="54" t="n"/>
      <c r="I486" s="54" t="n"/>
      <c r="J486" s="53" t="n"/>
      <c r="K486" s="55" t="str">
        <f>IF(COUNTA(A486:I486)=0,"",IF(F486="",IFERROR(INDEX(eq_dur,MATCH(B486,eq_code,0)),""),F486))</f>
        <v/>
      </c>
      <c r="L486" s="55" t="str">
        <f>IF(ISNUMBER(K486),N(IFERROR(INDEX(eq_pause,MATCH(B486,eq_code,0)),0))+SUMIFS(st_min,st_date,A486,st_eq,B486,st_po,C486,st_type,"Planifié"),"")</f>
        <v/>
      </c>
      <c r="M486" s="55" t="str">
        <f>IF(ISNUMBER(K486),K486-L486,"")</f>
        <v/>
      </c>
      <c r="N486" s="55" t="str">
        <f>IF(ISNUMBER(K486),SUMIFS(st_min,st_date,A486,st_eq,B486,st_po,C486,st_type,"Non planifié"),"")</f>
        <v/>
      </c>
      <c r="O486" s="55" t="str">
        <f>IF(ISNUMBER(K486),M486-N486,"")</f>
        <v/>
      </c>
      <c r="P486" s="55" t="str">
        <f>IF(COUNTA(A486:I486)=0,"",N(G486)+N(H486)+N(I486))</f>
        <v/>
      </c>
      <c r="Q486" s="56" t="str">
        <f>IF(COUNTA(A486:I486)=0,"",IF(N(IFERROR(INDEX(art_rate,MATCH(E486,art_ref,0)),0))&gt;0,N(IFERROR(INDEX(art_rate,MATCH(E486,art_ref,0)),0)),N(IFERROR(INDEX(po_rate,MATCH(C486,po_code,0)),0))))</f>
        <v/>
      </c>
      <c r="R486" s="55" t="str">
        <f>IF(AC486=1,P486*60/Q486,"")</f>
        <v/>
      </c>
      <c r="S486" s="55" t="str">
        <f>IF(AC486=1,N(G486)*60/Q486,"")</f>
        <v/>
      </c>
      <c r="T486" s="57" t="str">
        <f>IF(AC486=1,O486/M486,"")</f>
        <v/>
      </c>
      <c r="U486" s="57" t="str">
        <f>IF(AC486=1,IF(O486&gt;0,R486/O486,""),"")</f>
        <v/>
      </c>
      <c r="V486" s="57" t="str">
        <f>IF(AC486=1,IF(P486&gt;0,N(G486)/P486,""),"")</f>
        <v/>
      </c>
      <c r="W486" s="57" t="str">
        <f>IF(AC486=1,S486/M486,"")</f>
        <v/>
      </c>
      <c r="X486" s="57" t="str">
        <f>IF(AC486=1,S486/K486,"")</f>
        <v/>
      </c>
      <c r="Y486" s="58" t="str">
        <f>IF(W486="","",IF(W486&gt;=p_target,"Bon",IF(W486&gt;=p_alert,"À surveiller","Faible")))</f>
        <v/>
      </c>
      <c r="Z486" s="58" t="str">
        <f>IF(W486="","",IF(MIN(IF(T486="",1,T486),IF(U486="",1,U486),IF(V486="",1,V486))&gt;=1,"Aucune",IF(IF(T486="",1,T486)&lt;=MIN(IF(U486="",1,U486),IF(V486="",1,V486)),"Disponibilité",IF(IF(U486="",1,U486)&lt;=IF(V486="",1,V486),"Performance","Qualité"))))</f>
        <v/>
      </c>
      <c r="AA486" s="59" t="str">
        <f>IF(AC486=1,N(H486)*N(IFERROR(INDEX(art_cost,MATCH(E486,art_ref,0)),0)),"")</f>
        <v/>
      </c>
      <c r="AB486" s="58" t="str">
        <f>IF(COUNTA(A486:I486)=0,"",IF(N(A486)&lt;=0,"Date manquante ou invalide",IF(B486="","Équipe manquante",IF(ISNA(MATCH(B486,eq_code,0)),"Équipe inconnue",IF(INDEX(eq_check,MATCH(B486,eq_code,0))&lt;&gt;"OK","Équipe à corriger dans Paramètres",IF(C486="","Poste manquant",IF(ISNA(MATCH(C486,po_code,0)),"Poste inconnu",IF(AND(E486&lt;&gt;"",ISNA(MATCH(E486,art_ref,0))),"Article inconnu",IF(IF(E486="",FALSE,INDEX(art_check,MATCH(E486,art_ref,0))&lt;&gt;"OK"),"Article à corriger (feuille Articles)",IF(COUNTIFS(sj_date,A486,sj_eq,B486,sj_po,C486)&gt;1,"Ligne en double (même jour, équipe et poste)",IF(OR(NOT(ISNUMBER(K486)),N(K486)&lt;=0,N(K486)&gt;1440),"Temps d'ouverture invalide",IF(OR(AND(G486&lt;&gt;"",NOT(ISNUMBER(G486))),N(G486)&lt;0,N(G486)&lt;&gt;INT(N(G486)),AND(H486&lt;&gt;"",NOT(ISNUMBER(H486))),N(H486)&lt;0,N(H486)&lt;&gt;INT(N(H486)),AND(I486&lt;&gt;"",NOT(ISNUMBER(I486))),N(I486)&lt;0,N(I486)&lt;&gt;INT(N(I486))),"Quantité invalide",IF(Q486&lt;=0,"Cadence manquante (poste ou article)",IF(M486&lt;=0,"Arrêts planifiés supérieurs au temps d'ouverture",IF(O486&lt;0,"Arrêts supérieurs au temps requis",IF(AND(P486&gt;0,O486=0),"Pièces déclarées sans temps de marche",IF(AND(P486=0,O486&gt;0),"Aucune pièce déclarée",IF(P486*60/Q486&gt;O486+0.001,"Cadence dépassée : vérifiez la cadence","OK"))))))))))))))))))</f>
        <v/>
      </c>
      <c r="AC486">
        <f>IF(OR(AB486="OK",AB486="Aucune pièce déclarée",AB486="Cadence dépassée : vérifiez la cadence"),1,0)</f>
        <v>0.0</v>
      </c>
      <c r="AD486">
        <f>IF(AND(AC486=1,A486&gt;=p_from,A486&lt;=p_to),1,0)</f>
        <v>0.0</v>
      </c>
      <c r="AE486">
        <f>IF(AD486=1,IF(COUNTIFS($A$6:A486,A486,$AD$6:AD486,1)=1,1,0),0)</f>
        <v>0.0</v>
      </c>
      <c r="AF486" t="str">
        <f>IF(AE486=1,COUNTIFS(sj_first,1,sj_date,"&lt;"&amp;A486)+1,"")</f>
        <v/>
      </c>
      <c r="AG486" t="str">
        <f>IF(AND(AD486=1,N(W486)&lt;p_alert),ROUND(W486,4),"")</f>
        <v/>
      </c>
      <c r="AH486" t="str">
        <f>IF(AG486="","",COUNTIF(sj_akey,"&lt;"&amp;AG486)+COUNTIF($AG$6:AG486,AG486))</f>
        <v/>
      </c>
    </row>
    <row r="487">
      <c r="A487" s="51" t="n"/>
      <c r="B487" s="52" t="n"/>
      <c r="C487" s="52" t="n"/>
      <c r="D487" s="53" t="n"/>
      <c r="E487" s="53" t="n"/>
      <c r="F487" s="54" t="n"/>
      <c r="G487" s="54" t="n"/>
      <c r="H487" s="54" t="n"/>
      <c r="I487" s="54" t="n"/>
      <c r="J487" s="53" t="n"/>
      <c r="K487" s="55" t="str">
        <f>IF(COUNTA(A487:I487)=0,"",IF(F487="",IFERROR(INDEX(eq_dur,MATCH(B487,eq_code,0)),""),F487))</f>
        <v/>
      </c>
      <c r="L487" s="55" t="str">
        <f>IF(ISNUMBER(K487),N(IFERROR(INDEX(eq_pause,MATCH(B487,eq_code,0)),0))+SUMIFS(st_min,st_date,A487,st_eq,B487,st_po,C487,st_type,"Planifié"),"")</f>
        <v/>
      </c>
      <c r="M487" s="55" t="str">
        <f>IF(ISNUMBER(K487),K487-L487,"")</f>
        <v/>
      </c>
      <c r="N487" s="55" t="str">
        <f>IF(ISNUMBER(K487),SUMIFS(st_min,st_date,A487,st_eq,B487,st_po,C487,st_type,"Non planifié"),"")</f>
        <v/>
      </c>
      <c r="O487" s="55" t="str">
        <f>IF(ISNUMBER(K487),M487-N487,"")</f>
        <v/>
      </c>
      <c r="P487" s="55" t="str">
        <f>IF(COUNTA(A487:I487)=0,"",N(G487)+N(H487)+N(I487))</f>
        <v/>
      </c>
      <c r="Q487" s="56" t="str">
        <f>IF(COUNTA(A487:I487)=0,"",IF(N(IFERROR(INDEX(art_rate,MATCH(E487,art_ref,0)),0))&gt;0,N(IFERROR(INDEX(art_rate,MATCH(E487,art_ref,0)),0)),N(IFERROR(INDEX(po_rate,MATCH(C487,po_code,0)),0))))</f>
        <v/>
      </c>
      <c r="R487" s="55" t="str">
        <f>IF(AC487=1,P487*60/Q487,"")</f>
        <v/>
      </c>
      <c r="S487" s="55" t="str">
        <f>IF(AC487=1,N(G487)*60/Q487,"")</f>
        <v/>
      </c>
      <c r="T487" s="57" t="str">
        <f>IF(AC487=1,O487/M487,"")</f>
        <v/>
      </c>
      <c r="U487" s="57" t="str">
        <f>IF(AC487=1,IF(O487&gt;0,R487/O487,""),"")</f>
        <v/>
      </c>
      <c r="V487" s="57" t="str">
        <f>IF(AC487=1,IF(P487&gt;0,N(G487)/P487,""),"")</f>
        <v/>
      </c>
      <c r="W487" s="57" t="str">
        <f>IF(AC487=1,S487/M487,"")</f>
        <v/>
      </c>
      <c r="X487" s="57" t="str">
        <f>IF(AC487=1,S487/K487,"")</f>
        <v/>
      </c>
      <c r="Y487" s="58" t="str">
        <f>IF(W487="","",IF(W487&gt;=p_target,"Bon",IF(W487&gt;=p_alert,"À surveiller","Faible")))</f>
        <v/>
      </c>
      <c r="Z487" s="58" t="str">
        <f>IF(W487="","",IF(MIN(IF(T487="",1,T487),IF(U487="",1,U487),IF(V487="",1,V487))&gt;=1,"Aucune",IF(IF(T487="",1,T487)&lt;=MIN(IF(U487="",1,U487),IF(V487="",1,V487)),"Disponibilité",IF(IF(U487="",1,U487)&lt;=IF(V487="",1,V487),"Performance","Qualité"))))</f>
        <v/>
      </c>
      <c r="AA487" s="59" t="str">
        <f>IF(AC487=1,N(H487)*N(IFERROR(INDEX(art_cost,MATCH(E487,art_ref,0)),0)),"")</f>
        <v/>
      </c>
      <c r="AB487" s="58" t="str">
        <f>IF(COUNTA(A487:I487)=0,"",IF(N(A487)&lt;=0,"Date manquante ou invalide",IF(B487="","Équipe manquante",IF(ISNA(MATCH(B487,eq_code,0)),"Équipe inconnue",IF(INDEX(eq_check,MATCH(B487,eq_code,0))&lt;&gt;"OK","Équipe à corriger dans Paramètres",IF(C487="","Poste manquant",IF(ISNA(MATCH(C487,po_code,0)),"Poste inconnu",IF(AND(E487&lt;&gt;"",ISNA(MATCH(E487,art_ref,0))),"Article inconnu",IF(IF(E487="",FALSE,INDEX(art_check,MATCH(E487,art_ref,0))&lt;&gt;"OK"),"Article à corriger (feuille Articles)",IF(COUNTIFS(sj_date,A487,sj_eq,B487,sj_po,C487)&gt;1,"Ligne en double (même jour, équipe et poste)",IF(OR(NOT(ISNUMBER(K487)),N(K487)&lt;=0,N(K487)&gt;1440),"Temps d'ouverture invalide",IF(OR(AND(G487&lt;&gt;"",NOT(ISNUMBER(G487))),N(G487)&lt;0,N(G487)&lt;&gt;INT(N(G487)),AND(H487&lt;&gt;"",NOT(ISNUMBER(H487))),N(H487)&lt;0,N(H487)&lt;&gt;INT(N(H487)),AND(I487&lt;&gt;"",NOT(ISNUMBER(I487))),N(I487)&lt;0,N(I487)&lt;&gt;INT(N(I487))),"Quantité invalide",IF(Q487&lt;=0,"Cadence manquante (poste ou article)",IF(M487&lt;=0,"Arrêts planifiés supérieurs au temps d'ouverture",IF(O487&lt;0,"Arrêts supérieurs au temps requis",IF(AND(P487&gt;0,O487=0),"Pièces déclarées sans temps de marche",IF(AND(P487=0,O487&gt;0),"Aucune pièce déclarée",IF(P487*60/Q487&gt;O487+0.001,"Cadence dépassée : vérifiez la cadence","OK"))))))))))))))))))</f>
        <v/>
      </c>
      <c r="AC487">
        <f>IF(OR(AB487="OK",AB487="Aucune pièce déclarée",AB487="Cadence dépassée : vérifiez la cadence"),1,0)</f>
        <v>0.0</v>
      </c>
      <c r="AD487">
        <f>IF(AND(AC487=1,A487&gt;=p_from,A487&lt;=p_to),1,0)</f>
        <v>0.0</v>
      </c>
      <c r="AE487">
        <f>IF(AD487=1,IF(COUNTIFS($A$6:A487,A487,$AD$6:AD487,1)=1,1,0),0)</f>
        <v>0.0</v>
      </c>
      <c r="AF487" t="str">
        <f>IF(AE487=1,COUNTIFS(sj_first,1,sj_date,"&lt;"&amp;A487)+1,"")</f>
        <v/>
      </c>
      <c r="AG487" t="str">
        <f>IF(AND(AD487=1,N(W487)&lt;p_alert),ROUND(W487,4),"")</f>
        <v/>
      </c>
      <c r="AH487" t="str">
        <f>IF(AG487="","",COUNTIF(sj_akey,"&lt;"&amp;AG487)+COUNTIF($AG$6:AG487,AG487))</f>
        <v/>
      </c>
    </row>
    <row r="488">
      <c r="A488" s="51" t="n"/>
      <c r="B488" s="52" t="n"/>
      <c r="C488" s="52" t="n"/>
      <c r="D488" s="53" t="n"/>
      <c r="E488" s="53" t="n"/>
      <c r="F488" s="54" t="n"/>
      <c r="G488" s="54" t="n"/>
      <c r="H488" s="54" t="n"/>
      <c r="I488" s="54" t="n"/>
      <c r="J488" s="53" t="n"/>
      <c r="K488" s="55" t="str">
        <f>IF(COUNTA(A488:I488)=0,"",IF(F488="",IFERROR(INDEX(eq_dur,MATCH(B488,eq_code,0)),""),F488))</f>
        <v/>
      </c>
      <c r="L488" s="55" t="str">
        <f>IF(ISNUMBER(K488),N(IFERROR(INDEX(eq_pause,MATCH(B488,eq_code,0)),0))+SUMIFS(st_min,st_date,A488,st_eq,B488,st_po,C488,st_type,"Planifié"),"")</f>
        <v/>
      </c>
      <c r="M488" s="55" t="str">
        <f>IF(ISNUMBER(K488),K488-L488,"")</f>
        <v/>
      </c>
      <c r="N488" s="55" t="str">
        <f>IF(ISNUMBER(K488),SUMIFS(st_min,st_date,A488,st_eq,B488,st_po,C488,st_type,"Non planifié"),"")</f>
        <v/>
      </c>
      <c r="O488" s="55" t="str">
        <f>IF(ISNUMBER(K488),M488-N488,"")</f>
        <v/>
      </c>
      <c r="P488" s="55" t="str">
        <f>IF(COUNTA(A488:I488)=0,"",N(G488)+N(H488)+N(I488))</f>
        <v/>
      </c>
      <c r="Q488" s="56" t="str">
        <f>IF(COUNTA(A488:I488)=0,"",IF(N(IFERROR(INDEX(art_rate,MATCH(E488,art_ref,0)),0))&gt;0,N(IFERROR(INDEX(art_rate,MATCH(E488,art_ref,0)),0)),N(IFERROR(INDEX(po_rate,MATCH(C488,po_code,0)),0))))</f>
        <v/>
      </c>
      <c r="R488" s="55" t="str">
        <f>IF(AC488=1,P488*60/Q488,"")</f>
        <v/>
      </c>
      <c r="S488" s="55" t="str">
        <f>IF(AC488=1,N(G488)*60/Q488,"")</f>
        <v/>
      </c>
      <c r="T488" s="57" t="str">
        <f>IF(AC488=1,O488/M488,"")</f>
        <v/>
      </c>
      <c r="U488" s="57" t="str">
        <f>IF(AC488=1,IF(O488&gt;0,R488/O488,""),"")</f>
        <v/>
      </c>
      <c r="V488" s="57" t="str">
        <f>IF(AC488=1,IF(P488&gt;0,N(G488)/P488,""),"")</f>
        <v/>
      </c>
      <c r="W488" s="57" t="str">
        <f>IF(AC488=1,S488/M488,"")</f>
        <v/>
      </c>
      <c r="X488" s="57" t="str">
        <f>IF(AC488=1,S488/K488,"")</f>
        <v/>
      </c>
      <c r="Y488" s="58" t="str">
        <f>IF(W488="","",IF(W488&gt;=p_target,"Bon",IF(W488&gt;=p_alert,"À surveiller","Faible")))</f>
        <v/>
      </c>
      <c r="Z488" s="58" t="str">
        <f>IF(W488="","",IF(MIN(IF(T488="",1,T488),IF(U488="",1,U488),IF(V488="",1,V488))&gt;=1,"Aucune",IF(IF(T488="",1,T488)&lt;=MIN(IF(U488="",1,U488),IF(V488="",1,V488)),"Disponibilité",IF(IF(U488="",1,U488)&lt;=IF(V488="",1,V488),"Performance","Qualité"))))</f>
        <v/>
      </c>
      <c r="AA488" s="59" t="str">
        <f>IF(AC488=1,N(H488)*N(IFERROR(INDEX(art_cost,MATCH(E488,art_ref,0)),0)),"")</f>
        <v/>
      </c>
      <c r="AB488" s="58" t="str">
        <f>IF(COUNTA(A488:I488)=0,"",IF(N(A488)&lt;=0,"Date manquante ou invalide",IF(B488="","Équipe manquante",IF(ISNA(MATCH(B488,eq_code,0)),"Équipe inconnue",IF(INDEX(eq_check,MATCH(B488,eq_code,0))&lt;&gt;"OK","Équipe à corriger dans Paramètres",IF(C488="","Poste manquant",IF(ISNA(MATCH(C488,po_code,0)),"Poste inconnu",IF(AND(E488&lt;&gt;"",ISNA(MATCH(E488,art_ref,0))),"Article inconnu",IF(IF(E488="",FALSE,INDEX(art_check,MATCH(E488,art_ref,0))&lt;&gt;"OK"),"Article à corriger (feuille Articles)",IF(COUNTIFS(sj_date,A488,sj_eq,B488,sj_po,C488)&gt;1,"Ligne en double (même jour, équipe et poste)",IF(OR(NOT(ISNUMBER(K488)),N(K488)&lt;=0,N(K488)&gt;1440),"Temps d'ouverture invalide",IF(OR(AND(G488&lt;&gt;"",NOT(ISNUMBER(G488))),N(G488)&lt;0,N(G488)&lt;&gt;INT(N(G488)),AND(H488&lt;&gt;"",NOT(ISNUMBER(H488))),N(H488)&lt;0,N(H488)&lt;&gt;INT(N(H488)),AND(I488&lt;&gt;"",NOT(ISNUMBER(I488))),N(I488)&lt;0,N(I488)&lt;&gt;INT(N(I488))),"Quantité invalide",IF(Q488&lt;=0,"Cadence manquante (poste ou article)",IF(M488&lt;=0,"Arrêts planifiés supérieurs au temps d'ouverture",IF(O488&lt;0,"Arrêts supérieurs au temps requis",IF(AND(P488&gt;0,O488=0),"Pièces déclarées sans temps de marche",IF(AND(P488=0,O488&gt;0),"Aucune pièce déclarée",IF(P488*60/Q488&gt;O488+0.001,"Cadence dépassée : vérifiez la cadence","OK"))))))))))))))))))</f>
        <v/>
      </c>
      <c r="AC488">
        <f>IF(OR(AB488="OK",AB488="Aucune pièce déclarée",AB488="Cadence dépassée : vérifiez la cadence"),1,0)</f>
        <v>0.0</v>
      </c>
      <c r="AD488">
        <f>IF(AND(AC488=1,A488&gt;=p_from,A488&lt;=p_to),1,0)</f>
        <v>0.0</v>
      </c>
      <c r="AE488">
        <f>IF(AD488=1,IF(COUNTIFS($A$6:A488,A488,$AD$6:AD488,1)=1,1,0),0)</f>
        <v>0.0</v>
      </c>
      <c r="AF488" t="str">
        <f>IF(AE488=1,COUNTIFS(sj_first,1,sj_date,"&lt;"&amp;A488)+1,"")</f>
        <v/>
      </c>
      <c r="AG488" t="str">
        <f>IF(AND(AD488=1,N(W488)&lt;p_alert),ROUND(W488,4),"")</f>
        <v/>
      </c>
      <c r="AH488" t="str">
        <f>IF(AG488="","",COUNTIF(sj_akey,"&lt;"&amp;AG488)+COUNTIF($AG$6:AG488,AG488))</f>
        <v/>
      </c>
    </row>
    <row r="489">
      <c r="A489" s="51" t="n"/>
      <c r="B489" s="52" t="n"/>
      <c r="C489" s="52" t="n"/>
      <c r="D489" s="53" t="n"/>
      <c r="E489" s="53" t="n"/>
      <c r="F489" s="54" t="n"/>
      <c r="G489" s="54" t="n"/>
      <c r="H489" s="54" t="n"/>
      <c r="I489" s="54" t="n"/>
      <c r="J489" s="53" t="n"/>
      <c r="K489" s="55" t="str">
        <f>IF(COUNTA(A489:I489)=0,"",IF(F489="",IFERROR(INDEX(eq_dur,MATCH(B489,eq_code,0)),""),F489))</f>
        <v/>
      </c>
      <c r="L489" s="55" t="str">
        <f>IF(ISNUMBER(K489),N(IFERROR(INDEX(eq_pause,MATCH(B489,eq_code,0)),0))+SUMIFS(st_min,st_date,A489,st_eq,B489,st_po,C489,st_type,"Planifié"),"")</f>
        <v/>
      </c>
      <c r="M489" s="55" t="str">
        <f>IF(ISNUMBER(K489),K489-L489,"")</f>
        <v/>
      </c>
      <c r="N489" s="55" t="str">
        <f>IF(ISNUMBER(K489),SUMIFS(st_min,st_date,A489,st_eq,B489,st_po,C489,st_type,"Non planifié"),"")</f>
        <v/>
      </c>
      <c r="O489" s="55" t="str">
        <f>IF(ISNUMBER(K489),M489-N489,"")</f>
        <v/>
      </c>
      <c r="P489" s="55" t="str">
        <f>IF(COUNTA(A489:I489)=0,"",N(G489)+N(H489)+N(I489))</f>
        <v/>
      </c>
      <c r="Q489" s="56" t="str">
        <f>IF(COUNTA(A489:I489)=0,"",IF(N(IFERROR(INDEX(art_rate,MATCH(E489,art_ref,0)),0))&gt;0,N(IFERROR(INDEX(art_rate,MATCH(E489,art_ref,0)),0)),N(IFERROR(INDEX(po_rate,MATCH(C489,po_code,0)),0))))</f>
        <v/>
      </c>
      <c r="R489" s="55" t="str">
        <f>IF(AC489=1,P489*60/Q489,"")</f>
        <v/>
      </c>
      <c r="S489" s="55" t="str">
        <f>IF(AC489=1,N(G489)*60/Q489,"")</f>
        <v/>
      </c>
      <c r="T489" s="57" t="str">
        <f>IF(AC489=1,O489/M489,"")</f>
        <v/>
      </c>
      <c r="U489" s="57" t="str">
        <f>IF(AC489=1,IF(O489&gt;0,R489/O489,""),"")</f>
        <v/>
      </c>
      <c r="V489" s="57" t="str">
        <f>IF(AC489=1,IF(P489&gt;0,N(G489)/P489,""),"")</f>
        <v/>
      </c>
      <c r="W489" s="57" t="str">
        <f>IF(AC489=1,S489/M489,"")</f>
        <v/>
      </c>
      <c r="X489" s="57" t="str">
        <f>IF(AC489=1,S489/K489,"")</f>
        <v/>
      </c>
      <c r="Y489" s="58" t="str">
        <f>IF(W489="","",IF(W489&gt;=p_target,"Bon",IF(W489&gt;=p_alert,"À surveiller","Faible")))</f>
        <v/>
      </c>
      <c r="Z489" s="58" t="str">
        <f>IF(W489="","",IF(MIN(IF(T489="",1,T489),IF(U489="",1,U489),IF(V489="",1,V489))&gt;=1,"Aucune",IF(IF(T489="",1,T489)&lt;=MIN(IF(U489="",1,U489),IF(V489="",1,V489)),"Disponibilité",IF(IF(U489="",1,U489)&lt;=IF(V489="",1,V489),"Performance","Qualité"))))</f>
        <v/>
      </c>
      <c r="AA489" s="59" t="str">
        <f>IF(AC489=1,N(H489)*N(IFERROR(INDEX(art_cost,MATCH(E489,art_ref,0)),0)),"")</f>
        <v/>
      </c>
      <c r="AB489" s="58" t="str">
        <f>IF(COUNTA(A489:I489)=0,"",IF(N(A489)&lt;=0,"Date manquante ou invalide",IF(B489="","Équipe manquante",IF(ISNA(MATCH(B489,eq_code,0)),"Équipe inconnue",IF(INDEX(eq_check,MATCH(B489,eq_code,0))&lt;&gt;"OK","Équipe à corriger dans Paramètres",IF(C489="","Poste manquant",IF(ISNA(MATCH(C489,po_code,0)),"Poste inconnu",IF(AND(E489&lt;&gt;"",ISNA(MATCH(E489,art_ref,0))),"Article inconnu",IF(IF(E489="",FALSE,INDEX(art_check,MATCH(E489,art_ref,0))&lt;&gt;"OK"),"Article à corriger (feuille Articles)",IF(COUNTIFS(sj_date,A489,sj_eq,B489,sj_po,C489)&gt;1,"Ligne en double (même jour, équipe et poste)",IF(OR(NOT(ISNUMBER(K489)),N(K489)&lt;=0,N(K489)&gt;1440),"Temps d'ouverture invalide",IF(OR(AND(G489&lt;&gt;"",NOT(ISNUMBER(G489))),N(G489)&lt;0,N(G489)&lt;&gt;INT(N(G489)),AND(H489&lt;&gt;"",NOT(ISNUMBER(H489))),N(H489)&lt;0,N(H489)&lt;&gt;INT(N(H489)),AND(I489&lt;&gt;"",NOT(ISNUMBER(I489))),N(I489)&lt;0,N(I489)&lt;&gt;INT(N(I489))),"Quantité invalide",IF(Q489&lt;=0,"Cadence manquante (poste ou article)",IF(M489&lt;=0,"Arrêts planifiés supérieurs au temps d'ouverture",IF(O489&lt;0,"Arrêts supérieurs au temps requis",IF(AND(P489&gt;0,O489=0),"Pièces déclarées sans temps de marche",IF(AND(P489=0,O489&gt;0),"Aucune pièce déclarée",IF(P489*60/Q489&gt;O489+0.001,"Cadence dépassée : vérifiez la cadence","OK"))))))))))))))))))</f>
        <v/>
      </c>
      <c r="AC489">
        <f>IF(OR(AB489="OK",AB489="Aucune pièce déclarée",AB489="Cadence dépassée : vérifiez la cadence"),1,0)</f>
        <v>0.0</v>
      </c>
      <c r="AD489">
        <f>IF(AND(AC489=1,A489&gt;=p_from,A489&lt;=p_to),1,0)</f>
        <v>0.0</v>
      </c>
      <c r="AE489">
        <f>IF(AD489=1,IF(COUNTIFS($A$6:A489,A489,$AD$6:AD489,1)=1,1,0),0)</f>
        <v>0.0</v>
      </c>
      <c r="AF489" t="str">
        <f>IF(AE489=1,COUNTIFS(sj_first,1,sj_date,"&lt;"&amp;A489)+1,"")</f>
        <v/>
      </c>
      <c r="AG489" t="str">
        <f>IF(AND(AD489=1,N(W489)&lt;p_alert),ROUND(W489,4),"")</f>
        <v/>
      </c>
      <c r="AH489" t="str">
        <f>IF(AG489="","",COUNTIF(sj_akey,"&lt;"&amp;AG489)+COUNTIF($AG$6:AG489,AG489))</f>
        <v/>
      </c>
    </row>
    <row r="490">
      <c r="A490" s="51" t="n"/>
      <c r="B490" s="52" t="n"/>
      <c r="C490" s="52" t="n"/>
      <c r="D490" s="53" t="n"/>
      <c r="E490" s="53" t="n"/>
      <c r="F490" s="54" t="n"/>
      <c r="G490" s="54" t="n"/>
      <c r="H490" s="54" t="n"/>
      <c r="I490" s="54" t="n"/>
      <c r="J490" s="53" t="n"/>
      <c r="K490" s="55" t="str">
        <f>IF(COUNTA(A490:I490)=0,"",IF(F490="",IFERROR(INDEX(eq_dur,MATCH(B490,eq_code,0)),""),F490))</f>
        <v/>
      </c>
      <c r="L490" s="55" t="str">
        <f>IF(ISNUMBER(K490),N(IFERROR(INDEX(eq_pause,MATCH(B490,eq_code,0)),0))+SUMIFS(st_min,st_date,A490,st_eq,B490,st_po,C490,st_type,"Planifié"),"")</f>
        <v/>
      </c>
      <c r="M490" s="55" t="str">
        <f>IF(ISNUMBER(K490),K490-L490,"")</f>
        <v/>
      </c>
      <c r="N490" s="55" t="str">
        <f>IF(ISNUMBER(K490),SUMIFS(st_min,st_date,A490,st_eq,B490,st_po,C490,st_type,"Non planifié"),"")</f>
        <v/>
      </c>
      <c r="O490" s="55" t="str">
        <f>IF(ISNUMBER(K490),M490-N490,"")</f>
        <v/>
      </c>
      <c r="P490" s="55" t="str">
        <f>IF(COUNTA(A490:I490)=0,"",N(G490)+N(H490)+N(I490))</f>
        <v/>
      </c>
      <c r="Q490" s="56" t="str">
        <f>IF(COUNTA(A490:I490)=0,"",IF(N(IFERROR(INDEX(art_rate,MATCH(E490,art_ref,0)),0))&gt;0,N(IFERROR(INDEX(art_rate,MATCH(E490,art_ref,0)),0)),N(IFERROR(INDEX(po_rate,MATCH(C490,po_code,0)),0))))</f>
        <v/>
      </c>
      <c r="R490" s="55" t="str">
        <f>IF(AC490=1,P490*60/Q490,"")</f>
        <v/>
      </c>
      <c r="S490" s="55" t="str">
        <f>IF(AC490=1,N(G490)*60/Q490,"")</f>
        <v/>
      </c>
      <c r="T490" s="57" t="str">
        <f>IF(AC490=1,O490/M490,"")</f>
        <v/>
      </c>
      <c r="U490" s="57" t="str">
        <f>IF(AC490=1,IF(O490&gt;0,R490/O490,""),"")</f>
        <v/>
      </c>
      <c r="V490" s="57" t="str">
        <f>IF(AC490=1,IF(P490&gt;0,N(G490)/P490,""),"")</f>
        <v/>
      </c>
      <c r="W490" s="57" t="str">
        <f>IF(AC490=1,S490/M490,"")</f>
        <v/>
      </c>
      <c r="X490" s="57" t="str">
        <f>IF(AC490=1,S490/K490,"")</f>
        <v/>
      </c>
      <c r="Y490" s="58" t="str">
        <f>IF(W490="","",IF(W490&gt;=p_target,"Bon",IF(W490&gt;=p_alert,"À surveiller","Faible")))</f>
        <v/>
      </c>
      <c r="Z490" s="58" t="str">
        <f>IF(W490="","",IF(MIN(IF(T490="",1,T490),IF(U490="",1,U490),IF(V490="",1,V490))&gt;=1,"Aucune",IF(IF(T490="",1,T490)&lt;=MIN(IF(U490="",1,U490),IF(V490="",1,V490)),"Disponibilité",IF(IF(U490="",1,U490)&lt;=IF(V490="",1,V490),"Performance","Qualité"))))</f>
        <v/>
      </c>
      <c r="AA490" s="59" t="str">
        <f>IF(AC490=1,N(H490)*N(IFERROR(INDEX(art_cost,MATCH(E490,art_ref,0)),0)),"")</f>
        <v/>
      </c>
      <c r="AB490" s="58" t="str">
        <f>IF(COUNTA(A490:I490)=0,"",IF(N(A490)&lt;=0,"Date manquante ou invalide",IF(B490="","Équipe manquante",IF(ISNA(MATCH(B490,eq_code,0)),"Équipe inconnue",IF(INDEX(eq_check,MATCH(B490,eq_code,0))&lt;&gt;"OK","Équipe à corriger dans Paramètres",IF(C490="","Poste manquant",IF(ISNA(MATCH(C490,po_code,0)),"Poste inconnu",IF(AND(E490&lt;&gt;"",ISNA(MATCH(E490,art_ref,0))),"Article inconnu",IF(IF(E490="",FALSE,INDEX(art_check,MATCH(E490,art_ref,0))&lt;&gt;"OK"),"Article à corriger (feuille Articles)",IF(COUNTIFS(sj_date,A490,sj_eq,B490,sj_po,C490)&gt;1,"Ligne en double (même jour, équipe et poste)",IF(OR(NOT(ISNUMBER(K490)),N(K490)&lt;=0,N(K490)&gt;1440),"Temps d'ouverture invalide",IF(OR(AND(G490&lt;&gt;"",NOT(ISNUMBER(G490))),N(G490)&lt;0,N(G490)&lt;&gt;INT(N(G490)),AND(H490&lt;&gt;"",NOT(ISNUMBER(H490))),N(H490)&lt;0,N(H490)&lt;&gt;INT(N(H490)),AND(I490&lt;&gt;"",NOT(ISNUMBER(I490))),N(I490)&lt;0,N(I490)&lt;&gt;INT(N(I490))),"Quantité invalide",IF(Q490&lt;=0,"Cadence manquante (poste ou article)",IF(M490&lt;=0,"Arrêts planifiés supérieurs au temps d'ouverture",IF(O490&lt;0,"Arrêts supérieurs au temps requis",IF(AND(P490&gt;0,O490=0),"Pièces déclarées sans temps de marche",IF(AND(P490=0,O490&gt;0),"Aucune pièce déclarée",IF(P490*60/Q490&gt;O490+0.001,"Cadence dépassée : vérifiez la cadence","OK"))))))))))))))))))</f>
        <v/>
      </c>
      <c r="AC490">
        <f>IF(OR(AB490="OK",AB490="Aucune pièce déclarée",AB490="Cadence dépassée : vérifiez la cadence"),1,0)</f>
        <v>0.0</v>
      </c>
      <c r="AD490">
        <f>IF(AND(AC490=1,A490&gt;=p_from,A490&lt;=p_to),1,0)</f>
        <v>0.0</v>
      </c>
      <c r="AE490">
        <f>IF(AD490=1,IF(COUNTIFS($A$6:A490,A490,$AD$6:AD490,1)=1,1,0),0)</f>
        <v>0.0</v>
      </c>
      <c r="AF490" t="str">
        <f>IF(AE490=1,COUNTIFS(sj_first,1,sj_date,"&lt;"&amp;A490)+1,"")</f>
        <v/>
      </c>
      <c r="AG490" t="str">
        <f>IF(AND(AD490=1,N(W490)&lt;p_alert),ROUND(W490,4),"")</f>
        <v/>
      </c>
      <c r="AH490" t="str">
        <f>IF(AG490="","",COUNTIF(sj_akey,"&lt;"&amp;AG490)+COUNTIF($AG$6:AG490,AG490))</f>
        <v/>
      </c>
    </row>
    <row r="491">
      <c r="A491" s="51" t="n"/>
      <c r="B491" s="52" t="n"/>
      <c r="C491" s="52" t="n"/>
      <c r="D491" s="53" t="n"/>
      <c r="E491" s="53" t="n"/>
      <c r="F491" s="54" t="n"/>
      <c r="G491" s="54" t="n"/>
      <c r="H491" s="54" t="n"/>
      <c r="I491" s="54" t="n"/>
      <c r="J491" s="53" t="n"/>
      <c r="K491" s="55" t="str">
        <f>IF(COUNTA(A491:I491)=0,"",IF(F491="",IFERROR(INDEX(eq_dur,MATCH(B491,eq_code,0)),""),F491))</f>
        <v/>
      </c>
      <c r="L491" s="55" t="str">
        <f>IF(ISNUMBER(K491),N(IFERROR(INDEX(eq_pause,MATCH(B491,eq_code,0)),0))+SUMIFS(st_min,st_date,A491,st_eq,B491,st_po,C491,st_type,"Planifié"),"")</f>
        <v/>
      </c>
      <c r="M491" s="55" t="str">
        <f>IF(ISNUMBER(K491),K491-L491,"")</f>
        <v/>
      </c>
      <c r="N491" s="55" t="str">
        <f>IF(ISNUMBER(K491),SUMIFS(st_min,st_date,A491,st_eq,B491,st_po,C491,st_type,"Non planifié"),"")</f>
        <v/>
      </c>
      <c r="O491" s="55" t="str">
        <f>IF(ISNUMBER(K491),M491-N491,"")</f>
        <v/>
      </c>
      <c r="P491" s="55" t="str">
        <f>IF(COUNTA(A491:I491)=0,"",N(G491)+N(H491)+N(I491))</f>
        <v/>
      </c>
      <c r="Q491" s="56" t="str">
        <f>IF(COUNTA(A491:I491)=0,"",IF(N(IFERROR(INDEX(art_rate,MATCH(E491,art_ref,0)),0))&gt;0,N(IFERROR(INDEX(art_rate,MATCH(E491,art_ref,0)),0)),N(IFERROR(INDEX(po_rate,MATCH(C491,po_code,0)),0))))</f>
        <v/>
      </c>
      <c r="R491" s="55" t="str">
        <f>IF(AC491=1,P491*60/Q491,"")</f>
        <v/>
      </c>
      <c r="S491" s="55" t="str">
        <f>IF(AC491=1,N(G491)*60/Q491,"")</f>
        <v/>
      </c>
      <c r="T491" s="57" t="str">
        <f>IF(AC491=1,O491/M491,"")</f>
        <v/>
      </c>
      <c r="U491" s="57" t="str">
        <f>IF(AC491=1,IF(O491&gt;0,R491/O491,""),"")</f>
        <v/>
      </c>
      <c r="V491" s="57" t="str">
        <f>IF(AC491=1,IF(P491&gt;0,N(G491)/P491,""),"")</f>
        <v/>
      </c>
      <c r="W491" s="57" t="str">
        <f>IF(AC491=1,S491/M491,"")</f>
        <v/>
      </c>
      <c r="X491" s="57" t="str">
        <f>IF(AC491=1,S491/K491,"")</f>
        <v/>
      </c>
      <c r="Y491" s="58" t="str">
        <f>IF(W491="","",IF(W491&gt;=p_target,"Bon",IF(W491&gt;=p_alert,"À surveiller","Faible")))</f>
        <v/>
      </c>
      <c r="Z491" s="58" t="str">
        <f>IF(W491="","",IF(MIN(IF(T491="",1,T491),IF(U491="",1,U491),IF(V491="",1,V491))&gt;=1,"Aucune",IF(IF(T491="",1,T491)&lt;=MIN(IF(U491="",1,U491),IF(V491="",1,V491)),"Disponibilité",IF(IF(U491="",1,U491)&lt;=IF(V491="",1,V491),"Performance","Qualité"))))</f>
        <v/>
      </c>
      <c r="AA491" s="59" t="str">
        <f>IF(AC491=1,N(H491)*N(IFERROR(INDEX(art_cost,MATCH(E491,art_ref,0)),0)),"")</f>
        <v/>
      </c>
      <c r="AB491" s="58" t="str">
        <f>IF(COUNTA(A491:I491)=0,"",IF(N(A491)&lt;=0,"Date manquante ou invalide",IF(B491="","Équipe manquante",IF(ISNA(MATCH(B491,eq_code,0)),"Équipe inconnue",IF(INDEX(eq_check,MATCH(B491,eq_code,0))&lt;&gt;"OK","Équipe à corriger dans Paramètres",IF(C491="","Poste manquant",IF(ISNA(MATCH(C491,po_code,0)),"Poste inconnu",IF(AND(E491&lt;&gt;"",ISNA(MATCH(E491,art_ref,0))),"Article inconnu",IF(IF(E491="",FALSE,INDEX(art_check,MATCH(E491,art_ref,0))&lt;&gt;"OK"),"Article à corriger (feuille Articles)",IF(COUNTIFS(sj_date,A491,sj_eq,B491,sj_po,C491)&gt;1,"Ligne en double (même jour, équipe et poste)",IF(OR(NOT(ISNUMBER(K491)),N(K491)&lt;=0,N(K491)&gt;1440),"Temps d'ouverture invalide",IF(OR(AND(G491&lt;&gt;"",NOT(ISNUMBER(G491))),N(G491)&lt;0,N(G491)&lt;&gt;INT(N(G491)),AND(H491&lt;&gt;"",NOT(ISNUMBER(H491))),N(H491)&lt;0,N(H491)&lt;&gt;INT(N(H491)),AND(I491&lt;&gt;"",NOT(ISNUMBER(I491))),N(I491)&lt;0,N(I491)&lt;&gt;INT(N(I491))),"Quantité invalide",IF(Q491&lt;=0,"Cadence manquante (poste ou article)",IF(M491&lt;=0,"Arrêts planifiés supérieurs au temps d'ouverture",IF(O491&lt;0,"Arrêts supérieurs au temps requis",IF(AND(P491&gt;0,O491=0),"Pièces déclarées sans temps de marche",IF(AND(P491=0,O491&gt;0),"Aucune pièce déclarée",IF(P491*60/Q491&gt;O491+0.001,"Cadence dépassée : vérifiez la cadence","OK"))))))))))))))))))</f>
        <v/>
      </c>
      <c r="AC491">
        <f>IF(OR(AB491="OK",AB491="Aucune pièce déclarée",AB491="Cadence dépassée : vérifiez la cadence"),1,0)</f>
        <v>0.0</v>
      </c>
      <c r="AD491">
        <f>IF(AND(AC491=1,A491&gt;=p_from,A491&lt;=p_to),1,0)</f>
        <v>0.0</v>
      </c>
      <c r="AE491">
        <f>IF(AD491=1,IF(COUNTIFS($A$6:A491,A491,$AD$6:AD491,1)=1,1,0),0)</f>
        <v>0.0</v>
      </c>
      <c r="AF491" t="str">
        <f>IF(AE491=1,COUNTIFS(sj_first,1,sj_date,"&lt;"&amp;A491)+1,"")</f>
        <v/>
      </c>
      <c r="AG491" t="str">
        <f>IF(AND(AD491=1,N(W491)&lt;p_alert),ROUND(W491,4),"")</f>
        <v/>
      </c>
      <c r="AH491" t="str">
        <f>IF(AG491="","",COUNTIF(sj_akey,"&lt;"&amp;AG491)+COUNTIF($AG$6:AG491,AG491))</f>
        <v/>
      </c>
    </row>
    <row r="492">
      <c r="A492" s="51" t="n"/>
      <c r="B492" s="52" t="n"/>
      <c r="C492" s="52" t="n"/>
      <c r="D492" s="53" t="n"/>
      <c r="E492" s="53" t="n"/>
      <c r="F492" s="54" t="n"/>
      <c r="G492" s="54" t="n"/>
      <c r="H492" s="54" t="n"/>
      <c r="I492" s="54" t="n"/>
      <c r="J492" s="53" t="n"/>
      <c r="K492" s="55" t="str">
        <f>IF(COUNTA(A492:I492)=0,"",IF(F492="",IFERROR(INDEX(eq_dur,MATCH(B492,eq_code,0)),""),F492))</f>
        <v/>
      </c>
      <c r="L492" s="55" t="str">
        <f>IF(ISNUMBER(K492),N(IFERROR(INDEX(eq_pause,MATCH(B492,eq_code,0)),0))+SUMIFS(st_min,st_date,A492,st_eq,B492,st_po,C492,st_type,"Planifié"),"")</f>
        <v/>
      </c>
      <c r="M492" s="55" t="str">
        <f>IF(ISNUMBER(K492),K492-L492,"")</f>
        <v/>
      </c>
      <c r="N492" s="55" t="str">
        <f>IF(ISNUMBER(K492),SUMIFS(st_min,st_date,A492,st_eq,B492,st_po,C492,st_type,"Non planifié"),"")</f>
        <v/>
      </c>
      <c r="O492" s="55" t="str">
        <f>IF(ISNUMBER(K492),M492-N492,"")</f>
        <v/>
      </c>
      <c r="P492" s="55" t="str">
        <f>IF(COUNTA(A492:I492)=0,"",N(G492)+N(H492)+N(I492))</f>
        <v/>
      </c>
      <c r="Q492" s="56" t="str">
        <f>IF(COUNTA(A492:I492)=0,"",IF(N(IFERROR(INDEX(art_rate,MATCH(E492,art_ref,0)),0))&gt;0,N(IFERROR(INDEX(art_rate,MATCH(E492,art_ref,0)),0)),N(IFERROR(INDEX(po_rate,MATCH(C492,po_code,0)),0))))</f>
        <v/>
      </c>
      <c r="R492" s="55" t="str">
        <f>IF(AC492=1,P492*60/Q492,"")</f>
        <v/>
      </c>
      <c r="S492" s="55" t="str">
        <f>IF(AC492=1,N(G492)*60/Q492,"")</f>
        <v/>
      </c>
      <c r="T492" s="57" t="str">
        <f>IF(AC492=1,O492/M492,"")</f>
        <v/>
      </c>
      <c r="U492" s="57" t="str">
        <f>IF(AC492=1,IF(O492&gt;0,R492/O492,""),"")</f>
        <v/>
      </c>
      <c r="V492" s="57" t="str">
        <f>IF(AC492=1,IF(P492&gt;0,N(G492)/P492,""),"")</f>
        <v/>
      </c>
      <c r="W492" s="57" t="str">
        <f>IF(AC492=1,S492/M492,"")</f>
        <v/>
      </c>
      <c r="X492" s="57" t="str">
        <f>IF(AC492=1,S492/K492,"")</f>
        <v/>
      </c>
      <c r="Y492" s="58" t="str">
        <f>IF(W492="","",IF(W492&gt;=p_target,"Bon",IF(W492&gt;=p_alert,"À surveiller","Faible")))</f>
        <v/>
      </c>
      <c r="Z492" s="58" t="str">
        <f>IF(W492="","",IF(MIN(IF(T492="",1,T492),IF(U492="",1,U492),IF(V492="",1,V492))&gt;=1,"Aucune",IF(IF(T492="",1,T492)&lt;=MIN(IF(U492="",1,U492),IF(V492="",1,V492)),"Disponibilité",IF(IF(U492="",1,U492)&lt;=IF(V492="",1,V492),"Performance","Qualité"))))</f>
        <v/>
      </c>
      <c r="AA492" s="59" t="str">
        <f>IF(AC492=1,N(H492)*N(IFERROR(INDEX(art_cost,MATCH(E492,art_ref,0)),0)),"")</f>
        <v/>
      </c>
      <c r="AB492" s="58" t="str">
        <f>IF(COUNTA(A492:I492)=0,"",IF(N(A492)&lt;=0,"Date manquante ou invalide",IF(B492="","Équipe manquante",IF(ISNA(MATCH(B492,eq_code,0)),"Équipe inconnue",IF(INDEX(eq_check,MATCH(B492,eq_code,0))&lt;&gt;"OK","Équipe à corriger dans Paramètres",IF(C492="","Poste manquant",IF(ISNA(MATCH(C492,po_code,0)),"Poste inconnu",IF(AND(E492&lt;&gt;"",ISNA(MATCH(E492,art_ref,0))),"Article inconnu",IF(IF(E492="",FALSE,INDEX(art_check,MATCH(E492,art_ref,0))&lt;&gt;"OK"),"Article à corriger (feuille Articles)",IF(COUNTIFS(sj_date,A492,sj_eq,B492,sj_po,C492)&gt;1,"Ligne en double (même jour, équipe et poste)",IF(OR(NOT(ISNUMBER(K492)),N(K492)&lt;=0,N(K492)&gt;1440),"Temps d'ouverture invalide",IF(OR(AND(G492&lt;&gt;"",NOT(ISNUMBER(G492))),N(G492)&lt;0,N(G492)&lt;&gt;INT(N(G492)),AND(H492&lt;&gt;"",NOT(ISNUMBER(H492))),N(H492)&lt;0,N(H492)&lt;&gt;INT(N(H492)),AND(I492&lt;&gt;"",NOT(ISNUMBER(I492))),N(I492)&lt;0,N(I492)&lt;&gt;INT(N(I492))),"Quantité invalide",IF(Q492&lt;=0,"Cadence manquante (poste ou article)",IF(M492&lt;=0,"Arrêts planifiés supérieurs au temps d'ouverture",IF(O492&lt;0,"Arrêts supérieurs au temps requis",IF(AND(P492&gt;0,O492=0),"Pièces déclarées sans temps de marche",IF(AND(P492=0,O492&gt;0),"Aucune pièce déclarée",IF(P492*60/Q492&gt;O492+0.001,"Cadence dépassée : vérifiez la cadence","OK"))))))))))))))))))</f>
        <v/>
      </c>
      <c r="AC492">
        <f>IF(OR(AB492="OK",AB492="Aucune pièce déclarée",AB492="Cadence dépassée : vérifiez la cadence"),1,0)</f>
        <v>0.0</v>
      </c>
      <c r="AD492">
        <f>IF(AND(AC492=1,A492&gt;=p_from,A492&lt;=p_to),1,0)</f>
        <v>0.0</v>
      </c>
      <c r="AE492">
        <f>IF(AD492=1,IF(COUNTIFS($A$6:A492,A492,$AD$6:AD492,1)=1,1,0),0)</f>
        <v>0.0</v>
      </c>
      <c r="AF492" t="str">
        <f>IF(AE492=1,COUNTIFS(sj_first,1,sj_date,"&lt;"&amp;A492)+1,"")</f>
        <v/>
      </c>
      <c r="AG492" t="str">
        <f>IF(AND(AD492=1,N(W492)&lt;p_alert),ROUND(W492,4),"")</f>
        <v/>
      </c>
      <c r="AH492" t="str">
        <f>IF(AG492="","",COUNTIF(sj_akey,"&lt;"&amp;AG492)+COUNTIF($AG$6:AG492,AG492))</f>
        <v/>
      </c>
    </row>
    <row r="493">
      <c r="A493" s="51" t="n"/>
      <c r="B493" s="52" t="n"/>
      <c r="C493" s="52" t="n"/>
      <c r="D493" s="53" t="n"/>
      <c r="E493" s="53" t="n"/>
      <c r="F493" s="54" t="n"/>
      <c r="G493" s="54" t="n"/>
      <c r="H493" s="54" t="n"/>
      <c r="I493" s="54" t="n"/>
      <c r="J493" s="53" t="n"/>
      <c r="K493" s="55" t="str">
        <f>IF(COUNTA(A493:I493)=0,"",IF(F493="",IFERROR(INDEX(eq_dur,MATCH(B493,eq_code,0)),""),F493))</f>
        <v/>
      </c>
      <c r="L493" s="55" t="str">
        <f>IF(ISNUMBER(K493),N(IFERROR(INDEX(eq_pause,MATCH(B493,eq_code,0)),0))+SUMIFS(st_min,st_date,A493,st_eq,B493,st_po,C493,st_type,"Planifié"),"")</f>
        <v/>
      </c>
      <c r="M493" s="55" t="str">
        <f>IF(ISNUMBER(K493),K493-L493,"")</f>
        <v/>
      </c>
      <c r="N493" s="55" t="str">
        <f>IF(ISNUMBER(K493),SUMIFS(st_min,st_date,A493,st_eq,B493,st_po,C493,st_type,"Non planifié"),"")</f>
        <v/>
      </c>
      <c r="O493" s="55" t="str">
        <f>IF(ISNUMBER(K493),M493-N493,"")</f>
        <v/>
      </c>
      <c r="P493" s="55" t="str">
        <f>IF(COUNTA(A493:I493)=0,"",N(G493)+N(H493)+N(I493))</f>
        <v/>
      </c>
      <c r="Q493" s="56" t="str">
        <f>IF(COUNTA(A493:I493)=0,"",IF(N(IFERROR(INDEX(art_rate,MATCH(E493,art_ref,0)),0))&gt;0,N(IFERROR(INDEX(art_rate,MATCH(E493,art_ref,0)),0)),N(IFERROR(INDEX(po_rate,MATCH(C493,po_code,0)),0))))</f>
        <v/>
      </c>
      <c r="R493" s="55" t="str">
        <f>IF(AC493=1,P493*60/Q493,"")</f>
        <v/>
      </c>
      <c r="S493" s="55" t="str">
        <f>IF(AC493=1,N(G493)*60/Q493,"")</f>
        <v/>
      </c>
      <c r="T493" s="57" t="str">
        <f>IF(AC493=1,O493/M493,"")</f>
        <v/>
      </c>
      <c r="U493" s="57" t="str">
        <f>IF(AC493=1,IF(O493&gt;0,R493/O493,""),"")</f>
        <v/>
      </c>
      <c r="V493" s="57" t="str">
        <f>IF(AC493=1,IF(P493&gt;0,N(G493)/P493,""),"")</f>
        <v/>
      </c>
      <c r="W493" s="57" t="str">
        <f>IF(AC493=1,S493/M493,"")</f>
        <v/>
      </c>
      <c r="X493" s="57" t="str">
        <f>IF(AC493=1,S493/K493,"")</f>
        <v/>
      </c>
      <c r="Y493" s="58" t="str">
        <f>IF(W493="","",IF(W493&gt;=p_target,"Bon",IF(W493&gt;=p_alert,"À surveiller","Faible")))</f>
        <v/>
      </c>
      <c r="Z493" s="58" t="str">
        <f>IF(W493="","",IF(MIN(IF(T493="",1,T493),IF(U493="",1,U493),IF(V493="",1,V493))&gt;=1,"Aucune",IF(IF(T493="",1,T493)&lt;=MIN(IF(U493="",1,U493),IF(V493="",1,V493)),"Disponibilité",IF(IF(U493="",1,U493)&lt;=IF(V493="",1,V493),"Performance","Qualité"))))</f>
        <v/>
      </c>
      <c r="AA493" s="59" t="str">
        <f>IF(AC493=1,N(H493)*N(IFERROR(INDEX(art_cost,MATCH(E493,art_ref,0)),0)),"")</f>
        <v/>
      </c>
      <c r="AB493" s="58" t="str">
        <f>IF(COUNTA(A493:I493)=0,"",IF(N(A493)&lt;=0,"Date manquante ou invalide",IF(B493="","Équipe manquante",IF(ISNA(MATCH(B493,eq_code,0)),"Équipe inconnue",IF(INDEX(eq_check,MATCH(B493,eq_code,0))&lt;&gt;"OK","Équipe à corriger dans Paramètres",IF(C493="","Poste manquant",IF(ISNA(MATCH(C493,po_code,0)),"Poste inconnu",IF(AND(E493&lt;&gt;"",ISNA(MATCH(E493,art_ref,0))),"Article inconnu",IF(IF(E493="",FALSE,INDEX(art_check,MATCH(E493,art_ref,0))&lt;&gt;"OK"),"Article à corriger (feuille Articles)",IF(COUNTIFS(sj_date,A493,sj_eq,B493,sj_po,C493)&gt;1,"Ligne en double (même jour, équipe et poste)",IF(OR(NOT(ISNUMBER(K493)),N(K493)&lt;=0,N(K493)&gt;1440),"Temps d'ouverture invalide",IF(OR(AND(G493&lt;&gt;"",NOT(ISNUMBER(G493))),N(G493)&lt;0,N(G493)&lt;&gt;INT(N(G493)),AND(H493&lt;&gt;"",NOT(ISNUMBER(H493))),N(H493)&lt;0,N(H493)&lt;&gt;INT(N(H493)),AND(I493&lt;&gt;"",NOT(ISNUMBER(I493))),N(I493)&lt;0,N(I493)&lt;&gt;INT(N(I493))),"Quantité invalide",IF(Q493&lt;=0,"Cadence manquante (poste ou article)",IF(M493&lt;=0,"Arrêts planifiés supérieurs au temps d'ouverture",IF(O493&lt;0,"Arrêts supérieurs au temps requis",IF(AND(P493&gt;0,O493=0),"Pièces déclarées sans temps de marche",IF(AND(P493=0,O493&gt;0),"Aucune pièce déclarée",IF(P493*60/Q493&gt;O493+0.001,"Cadence dépassée : vérifiez la cadence","OK"))))))))))))))))))</f>
        <v/>
      </c>
      <c r="AC493">
        <f>IF(OR(AB493="OK",AB493="Aucune pièce déclarée",AB493="Cadence dépassée : vérifiez la cadence"),1,0)</f>
        <v>0.0</v>
      </c>
      <c r="AD493">
        <f>IF(AND(AC493=1,A493&gt;=p_from,A493&lt;=p_to),1,0)</f>
        <v>0.0</v>
      </c>
      <c r="AE493">
        <f>IF(AD493=1,IF(COUNTIFS($A$6:A493,A493,$AD$6:AD493,1)=1,1,0),0)</f>
        <v>0.0</v>
      </c>
      <c r="AF493" t="str">
        <f>IF(AE493=1,COUNTIFS(sj_first,1,sj_date,"&lt;"&amp;A493)+1,"")</f>
        <v/>
      </c>
      <c r="AG493" t="str">
        <f>IF(AND(AD493=1,N(W493)&lt;p_alert),ROUND(W493,4),"")</f>
        <v/>
      </c>
      <c r="AH493" t="str">
        <f>IF(AG493="","",COUNTIF(sj_akey,"&lt;"&amp;AG493)+COUNTIF($AG$6:AG493,AG493))</f>
        <v/>
      </c>
    </row>
    <row r="494">
      <c r="A494" s="51" t="n"/>
      <c r="B494" s="52" t="n"/>
      <c r="C494" s="52" t="n"/>
      <c r="D494" s="53" t="n"/>
      <c r="E494" s="53" t="n"/>
      <c r="F494" s="54" t="n"/>
      <c r="G494" s="54" t="n"/>
      <c r="H494" s="54" t="n"/>
      <c r="I494" s="54" t="n"/>
      <c r="J494" s="53" t="n"/>
      <c r="K494" s="55" t="str">
        <f>IF(COUNTA(A494:I494)=0,"",IF(F494="",IFERROR(INDEX(eq_dur,MATCH(B494,eq_code,0)),""),F494))</f>
        <v/>
      </c>
      <c r="L494" s="55" t="str">
        <f>IF(ISNUMBER(K494),N(IFERROR(INDEX(eq_pause,MATCH(B494,eq_code,0)),0))+SUMIFS(st_min,st_date,A494,st_eq,B494,st_po,C494,st_type,"Planifié"),"")</f>
        <v/>
      </c>
      <c r="M494" s="55" t="str">
        <f>IF(ISNUMBER(K494),K494-L494,"")</f>
        <v/>
      </c>
      <c r="N494" s="55" t="str">
        <f>IF(ISNUMBER(K494),SUMIFS(st_min,st_date,A494,st_eq,B494,st_po,C494,st_type,"Non planifié"),"")</f>
        <v/>
      </c>
      <c r="O494" s="55" t="str">
        <f>IF(ISNUMBER(K494),M494-N494,"")</f>
        <v/>
      </c>
      <c r="P494" s="55" t="str">
        <f>IF(COUNTA(A494:I494)=0,"",N(G494)+N(H494)+N(I494))</f>
        <v/>
      </c>
      <c r="Q494" s="56" t="str">
        <f>IF(COUNTA(A494:I494)=0,"",IF(N(IFERROR(INDEX(art_rate,MATCH(E494,art_ref,0)),0))&gt;0,N(IFERROR(INDEX(art_rate,MATCH(E494,art_ref,0)),0)),N(IFERROR(INDEX(po_rate,MATCH(C494,po_code,0)),0))))</f>
        <v/>
      </c>
      <c r="R494" s="55" t="str">
        <f>IF(AC494=1,P494*60/Q494,"")</f>
        <v/>
      </c>
      <c r="S494" s="55" t="str">
        <f>IF(AC494=1,N(G494)*60/Q494,"")</f>
        <v/>
      </c>
      <c r="T494" s="57" t="str">
        <f>IF(AC494=1,O494/M494,"")</f>
        <v/>
      </c>
      <c r="U494" s="57" t="str">
        <f>IF(AC494=1,IF(O494&gt;0,R494/O494,""),"")</f>
        <v/>
      </c>
      <c r="V494" s="57" t="str">
        <f>IF(AC494=1,IF(P494&gt;0,N(G494)/P494,""),"")</f>
        <v/>
      </c>
      <c r="W494" s="57" t="str">
        <f>IF(AC494=1,S494/M494,"")</f>
        <v/>
      </c>
      <c r="X494" s="57" t="str">
        <f>IF(AC494=1,S494/K494,"")</f>
        <v/>
      </c>
      <c r="Y494" s="58" t="str">
        <f>IF(W494="","",IF(W494&gt;=p_target,"Bon",IF(W494&gt;=p_alert,"À surveiller","Faible")))</f>
        <v/>
      </c>
      <c r="Z494" s="58" t="str">
        <f>IF(W494="","",IF(MIN(IF(T494="",1,T494),IF(U494="",1,U494),IF(V494="",1,V494))&gt;=1,"Aucune",IF(IF(T494="",1,T494)&lt;=MIN(IF(U494="",1,U494),IF(V494="",1,V494)),"Disponibilité",IF(IF(U494="",1,U494)&lt;=IF(V494="",1,V494),"Performance","Qualité"))))</f>
        <v/>
      </c>
      <c r="AA494" s="59" t="str">
        <f>IF(AC494=1,N(H494)*N(IFERROR(INDEX(art_cost,MATCH(E494,art_ref,0)),0)),"")</f>
        <v/>
      </c>
      <c r="AB494" s="58" t="str">
        <f>IF(COUNTA(A494:I494)=0,"",IF(N(A494)&lt;=0,"Date manquante ou invalide",IF(B494="","Équipe manquante",IF(ISNA(MATCH(B494,eq_code,0)),"Équipe inconnue",IF(INDEX(eq_check,MATCH(B494,eq_code,0))&lt;&gt;"OK","Équipe à corriger dans Paramètres",IF(C494="","Poste manquant",IF(ISNA(MATCH(C494,po_code,0)),"Poste inconnu",IF(AND(E494&lt;&gt;"",ISNA(MATCH(E494,art_ref,0))),"Article inconnu",IF(IF(E494="",FALSE,INDEX(art_check,MATCH(E494,art_ref,0))&lt;&gt;"OK"),"Article à corriger (feuille Articles)",IF(COUNTIFS(sj_date,A494,sj_eq,B494,sj_po,C494)&gt;1,"Ligne en double (même jour, équipe et poste)",IF(OR(NOT(ISNUMBER(K494)),N(K494)&lt;=0,N(K494)&gt;1440),"Temps d'ouverture invalide",IF(OR(AND(G494&lt;&gt;"",NOT(ISNUMBER(G494))),N(G494)&lt;0,N(G494)&lt;&gt;INT(N(G494)),AND(H494&lt;&gt;"",NOT(ISNUMBER(H494))),N(H494)&lt;0,N(H494)&lt;&gt;INT(N(H494)),AND(I494&lt;&gt;"",NOT(ISNUMBER(I494))),N(I494)&lt;0,N(I494)&lt;&gt;INT(N(I494))),"Quantité invalide",IF(Q494&lt;=0,"Cadence manquante (poste ou article)",IF(M494&lt;=0,"Arrêts planifiés supérieurs au temps d'ouverture",IF(O494&lt;0,"Arrêts supérieurs au temps requis",IF(AND(P494&gt;0,O494=0),"Pièces déclarées sans temps de marche",IF(AND(P494=0,O494&gt;0),"Aucune pièce déclarée",IF(P494*60/Q494&gt;O494+0.001,"Cadence dépassée : vérifiez la cadence","OK"))))))))))))))))))</f>
        <v/>
      </c>
      <c r="AC494">
        <f>IF(OR(AB494="OK",AB494="Aucune pièce déclarée",AB494="Cadence dépassée : vérifiez la cadence"),1,0)</f>
        <v>0.0</v>
      </c>
      <c r="AD494">
        <f>IF(AND(AC494=1,A494&gt;=p_from,A494&lt;=p_to),1,0)</f>
        <v>0.0</v>
      </c>
      <c r="AE494">
        <f>IF(AD494=1,IF(COUNTIFS($A$6:A494,A494,$AD$6:AD494,1)=1,1,0),0)</f>
        <v>0.0</v>
      </c>
      <c r="AF494" t="str">
        <f>IF(AE494=1,COUNTIFS(sj_first,1,sj_date,"&lt;"&amp;A494)+1,"")</f>
        <v/>
      </c>
      <c r="AG494" t="str">
        <f>IF(AND(AD494=1,N(W494)&lt;p_alert),ROUND(W494,4),"")</f>
        <v/>
      </c>
      <c r="AH494" t="str">
        <f>IF(AG494="","",COUNTIF(sj_akey,"&lt;"&amp;AG494)+COUNTIF($AG$6:AG494,AG494))</f>
        <v/>
      </c>
    </row>
    <row r="495">
      <c r="A495" s="51" t="n"/>
      <c r="B495" s="52" t="n"/>
      <c r="C495" s="52" t="n"/>
      <c r="D495" s="53" t="n"/>
      <c r="E495" s="53" t="n"/>
      <c r="F495" s="54" t="n"/>
      <c r="G495" s="54" t="n"/>
      <c r="H495" s="54" t="n"/>
      <c r="I495" s="54" t="n"/>
      <c r="J495" s="53" t="n"/>
      <c r="K495" s="55" t="str">
        <f>IF(COUNTA(A495:I495)=0,"",IF(F495="",IFERROR(INDEX(eq_dur,MATCH(B495,eq_code,0)),""),F495))</f>
        <v/>
      </c>
      <c r="L495" s="55" t="str">
        <f>IF(ISNUMBER(K495),N(IFERROR(INDEX(eq_pause,MATCH(B495,eq_code,0)),0))+SUMIFS(st_min,st_date,A495,st_eq,B495,st_po,C495,st_type,"Planifié"),"")</f>
        <v/>
      </c>
      <c r="M495" s="55" t="str">
        <f>IF(ISNUMBER(K495),K495-L495,"")</f>
        <v/>
      </c>
      <c r="N495" s="55" t="str">
        <f>IF(ISNUMBER(K495),SUMIFS(st_min,st_date,A495,st_eq,B495,st_po,C495,st_type,"Non planifié"),"")</f>
        <v/>
      </c>
      <c r="O495" s="55" t="str">
        <f>IF(ISNUMBER(K495),M495-N495,"")</f>
        <v/>
      </c>
      <c r="P495" s="55" t="str">
        <f>IF(COUNTA(A495:I495)=0,"",N(G495)+N(H495)+N(I495))</f>
        <v/>
      </c>
      <c r="Q495" s="56" t="str">
        <f>IF(COUNTA(A495:I495)=0,"",IF(N(IFERROR(INDEX(art_rate,MATCH(E495,art_ref,0)),0))&gt;0,N(IFERROR(INDEX(art_rate,MATCH(E495,art_ref,0)),0)),N(IFERROR(INDEX(po_rate,MATCH(C495,po_code,0)),0))))</f>
        <v/>
      </c>
      <c r="R495" s="55" t="str">
        <f>IF(AC495=1,P495*60/Q495,"")</f>
        <v/>
      </c>
      <c r="S495" s="55" t="str">
        <f>IF(AC495=1,N(G495)*60/Q495,"")</f>
        <v/>
      </c>
      <c r="T495" s="57" t="str">
        <f>IF(AC495=1,O495/M495,"")</f>
        <v/>
      </c>
      <c r="U495" s="57" t="str">
        <f>IF(AC495=1,IF(O495&gt;0,R495/O495,""),"")</f>
        <v/>
      </c>
      <c r="V495" s="57" t="str">
        <f>IF(AC495=1,IF(P495&gt;0,N(G495)/P495,""),"")</f>
        <v/>
      </c>
      <c r="W495" s="57" t="str">
        <f>IF(AC495=1,S495/M495,"")</f>
        <v/>
      </c>
      <c r="X495" s="57" t="str">
        <f>IF(AC495=1,S495/K495,"")</f>
        <v/>
      </c>
      <c r="Y495" s="58" t="str">
        <f>IF(W495="","",IF(W495&gt;=p_target,"Bon",IF(W495&gt;=p_alert,"À surveiller","Faible")))</f>
        <v/>
      </c>
      <c r="Z495" s="58" t="str">
        <f>IF(W495="","",IF(MIN(IF(T495="",1,T495),IF(U495="",1,U495),IF(V495="",1,V495))&gt;=1,"Aucune",IF(IF(T495="",1,T495)&lt;=MIN(IF(U495="",1,U495),IF(V495="",1,V495)),"Disponibilité",IF(IF(U495="",1,U495)&lt;=IF(V495="",1,V495),"Performance","Qualité"))))</f>
        <v/>
      </c>
      <c r="AA495" s="59" t="str">
        <f>IF(AC495=1,N(H495)*N(IFERROR(INDEX(art_cost,MATCH(E495,art_ref,0)),0)),"")</f>
        <v/>
      </c>
      <c r="AB495" s="58" t="str">
        <f>IF(COUNTA(A495:I495)=0,"",IF(N(A495)&lt;=0,"Date manquante ou invalide",IF(B495="","Équipe manquante",IF(ISNA(MATCH(B495,eq_code,0)),"Équipe inconnue",IF(INDEX(eq_check,MATCH(B495,eq_code,0))&lt;&gt;"OK","Équipe à corriger dans Paramètres",IF(C495="","Poste manquant",IF(ISNA(MATCH(C495,po_code,0)),"Poste inconnu",IF(AND(E495&lt;&gt;"",ISNA(MATCH(E495,art_ref,0))),"Article inconnu",IF(IF(E495="",FALSE,INDEX(art_check,MATCH(E495,art_ref,0))&lt;&gt;"OK"),"Article à corriger (feuille Articles)",IF(COUNTIFS(sj_date,A495,sj_eq,B495,sj_po,C495)&gt;1,"Ligne en double (même jour, équipe et poste)",IF(OR(NOT(ISNUMBER(K495)),N(K495)&lt;=0,N(K495)&gt;1440),"Temps d'ouverture invalide",IF(OR(AND(G495&lt;&gt;"",NOT(ISNUMBER(G495))),N(G495)&lt;0,N(G495)&lt;&gt;INT(N(G495)),AND(H495&lt;&gt;"",NOT(ISNUMBER(H495))),N(H495)&lt;0,N(H495)&lt;&gt;INT(N(H495)),AND(I495&lt;&gt;"",NOT(ISNUMBER(I495))),N(I495)&lt;0,N(I495)&lt;&gt;INT(N(I495))),"Quantité invalide",IF(Q495&lt;=0,"Cadence manquante (poste ou article)",IF(M495&lt;=0,"Arrêts planifiés supérieurs au temps d'ouverture",IF(O495&lt;0,"Arrêts supérieurs au temps requis",IF(AND(P495&gt;0,O495=0),"Pièces déclarées sans temps de marche",IF(AND(P495=0,O495&gt;0),"Aucune pièce déclarée",IF(P495*60/Q495&gt;O495+0.001,"Cadence dépassée : vérifiez la cadence","OK"))))))))))))))))))</f>
        <v/>
      </c>
      <c r="AC495">
        <f>IF(OR(AB495="OK",AB495="Aucune pièce déclarée",AB495="Cadence dépassée : vérifiez la cadence"),1,0)</f>
        <v>0.0</v>
      </c>
      <c r="AD495">
        <f>IF(AND(AC495=1,A495&gt;=p_from,A495&lt;=p_to),1,0)</f>
        <v>0.0</v>
      </c>
      <c r="AE495">
        <f>IF(AD495=1,IF(COUNTIFS($A$6:A495,A495,$AD$6:AD495,1)=1,1,0),0)</f>
        <v>0.0</v>
      </c>
      <c r="AF495" t="str">
        <f>IF(AE495=1,COUNTIFS(sj_first,1,sj_date,"&lt;"&amp;A495)+1,"")</f>
        <v/>
      </c>
      <c r="AG495" t="str">
        <f>IF(AND(AD495=1,N(W495)&lt;p_alert),ROUND(W495,4),"")</f>
        <v/>
      </c>
      <c r="AH495" t="str">
        <f>IF(AG495="","",COUNTIF(sj_akey,"&lt;"&amp;AG495)+COUNTIF($AG$6:AG495,AG495))</f>
        <v/>
      </c>
    </row>
    <row r="496">
      <c r="A496" s="51" t="n"/>
      <c r="B496" s="52" t="n"/>
      <c r="C496" s="52" t="n"/>
      <c r="D496" s="53" t="n"/>
      <c r="E496" s="53" t="n"/>
      <c r="F496" s="54" t="n"/>
      <c r="G496" s="54" t="n"/>
      <c r="H496" s="54" t="n"/>
      <c r="I496" s="54" t="n"/>
      <c r="J496" s="53" t="n"/>
      <c r="K496" s="55" t="str">
        <f>IF(COUNTA(A496:I496)=0,"",IF(F496="",IFERROR(INDEX(eq_dur,MATCH(B496,eq_code,0)),""),F496))</f>
        <v/>
      </c>
      <c r="L496" s="55" t="str">
        <f>IF(ISNUMBER(K496),N(IFERROR(INDEX(eq_pause,MATCH(B496,eq_code,0)),0))+SUMIFS(st_min,st_date,A496,st_eq,B496,st_po,C496,st_type,"Planifié"),"")</f>
        <v/>
      </c>
      <c r="M496" s="55" t="str">
        <f>IF(ISNUMBER(K496),K496-L496,"")</f>
        <v/>
      </c>
      <c r="N496" s="55" t="str">
        <f>IF(ISNUMBER(K496),SUMIFS(st_min,st_date,A496,st_eq,B496,st_po,C496,st_type,"Non planifié"),"")</f>
        <v/>
      </c>
      <c r="O496" s="55" t="str">
        <f>IF(ISNUMBER(K496),M496-N496,"")</f>
        <v/>
      </c>
      <c r="P496" s="55" t="str">
        <f>IF(COUNTA(A496:I496)=0,"",N(G496)+N(H496)+N(I496))</f>
        <v/>
      </c>
      <c r="Q496" s="56" t="str">
        <f>IF(COUNTA(A496:I496)=0,"",IF(N(IFERROR(INDEX(art_rate,MATCH(E496,art_ref,0)),0))&gt;0,N(IFERROR(INDEX(art_rate,MATCH(E496,art_ref,0)),0)),N(IFERROR(INDEX(po_rate,MATCH(C496,po_code,0)),0))))</f>
        <v/>
      </c>
      <c r="R496" s="55" t="str">
        <f>IF(AC496=1,P496*60/Q496,"")</f>
        <v/>
      </c>
      <c r="S496" s="55" t="str">
        <f>IF(AC496=1,N(G496)*60/Q496,"")</f>
        <v/>
      </c>
      <c r="T496" s="57" t="str">
        <f>IF(AC496=1,O496/M496,"")</f>
        <v/>
      </c>
      <c r="U496" s="57" t="str">
        <f>IF(AC496=1,IF(O496&gt;0,R496/O496,""),"")</f>
        <v/>
      </c>
      <c r="V496" s="57" t="str">
        <f>IF(AC496=1,IF(P496&gt;0,N(G496)/P496,""),"")</f>
        <v/>
      </c>
      <c r="W496" s="57" t="str">
        <f>IF(AC496=1,S496/M496,"")</f>
        <v/>
      </c>
      <c r="X496" s="57" t="str">
        <f>IF(AC496=1,S496/K496,"")</f>
        <v/>
      </c>
      <c r="Y496" s="58" t="str">
        <f>IF(W496="","",IF(W496&gt;=p_target,"Bon",IF(W496&gt;=p_alert,"À surveiller","Faible")))</f>
        <v/>
      </c>
      <c r="Z496" s="58" t="str">
        <f>IF(W496="","",IF(MIN(IF(T496="",1,T496),IF(U496="",1,U496),IF(V496="",1,V496))&gt;=1,"Aucune",IF(IF(T496="",1,T496)&lt;=MIN(IF(U496="",1,U496),IF(V496="",1,V496)),"Disponibilité",IF(IF(U496="",1,U496)&lt;=IF(V496="",1,V496),"Performance","Qualité"))))</f>
        <v/>
      </c>
      <c r="AA496" s="59" t="str">
        <f>IF(AC496=1,N(H496)*N(IFERROR(INDEX(art_cost,MATCH(E496,art_ref,0)),0)),"")</f>
        <v/>
      </c>
      <c r="AB496" s="58" t="str">
        <f>IF(COUNTA(A496:I496)=0,"",IF(N(A496)&lt;=0,"Date manquante ou invalide",IF(B496="","Équipe manquante",IF(ISNA(MATCH(B496,eq_code,0)),"Équipe inconnue",IF(INDEX(eq_check,MATCH(B496,eq_code,0))&lt;&gt;"OK","Équipe à corriger dans Paramètres",IF(C496="","Poste manquant",IF(ISNA(MATCH(C496,po_code,0)),"Poste inconnu",IF(AND(E496&lt;&gt;"",ISNA(MATCH(E496,art_ref,0))),"Article inconnu",IF(IF(E496="",FALSE,INDEX(art_check,MATCH(E496,art_ref,0))&lt;&gt;"OK"),"Article à corriger (feuille Articles)",IF(COUNTIFS(sj_date,A496,sj_eq,B496,sj_po,C496)&gt;1,"Ligne en double (même jour, équipe et poste)",IF(OR(NOT(ISNUMBER(K496)),N(K496)&lt;=0,N(K496)&gt;1440),"Temps d'ouverture invalide",IF(OR(AND(G496&lt;&gt;"",NOT(ISNUMBER(G496))),N(G496)&lt;0,N(G496)&lt;&gt;INT(N(G496)),AND(H496&lt;&gt;"",NOT(ISNUMBER(H496))),N(H496)&lt;0,N(H496)&lt;&gt;INT(N(H496)),AND(I496&lt;&gt;"",NOT(ISNUMBER(I496))),N(I496)&lt;0,N(I496)&lt;&gt;INT(N(I496))),"Quantité invalide",IF(Q496&lt;=0,"Cadence manquante (poste ou article)",IF(M496&lt;=0,"Arrêts planifiés supérieurs au temps d'ouverture",IF(O496&lt;0,"Arrêts supérieurs au temps requis",IF(AND(P496&gt;0,O496=0),"Pièces déclarées sans temps de marche",IF(AND(P496=0,O496&gt;0),"Aucune pièce déclarée",IF(P496*60/Q496&gt;O496+0.001,"Cadence dépassée : vérifiez la cadence","OK"))))))))))))))))))</f>
        <v/>
      </c>
      <c r="AC496">
        <f>IF(OR(AB496="OK",AB496="Aucune pièce déclarée",AB496="Cadence dépassée : vérifiez la cadence"),1,0)</f>
        <v>0.0</v>
      </c>
      <c r="AD496">
        <f>IF(AND(AC496=1,A496&gt;=p_from,A496&lt;=p_to),1,0)</f>
        <v>0.0</v>
      </c>
      <c r="AE496">
        <f>IF(AD496=1,IF(COUNTIFS($A$6:A496,A496,$AD$6:AD496,1)=1,1,0),0)</f>
        <v>0.0</v>
      </c>
      <c r="AF496" t="str">
        <f>IF(AE496=1,COUNTIFS(sj_first,1,sj_date,"&lt;"&amp;A496)+1,"")</f>
        <v/>
      </c>
      <c r="AG496" t="str">
        <f>IF(AND(AD496=1,N(W496)&lt;p_alert),ROUND(W496,4),"")</f>
        <v/>
      </c>
      <c r="AH496" t="str">
        <f>IF(AG496="","",COUNTIF(sj_akey,"&lt;"&amp;AG496)+COUNTIF($AG$6:AG496,AG496))</f>
        <v/>
      </c>
    </row>
    <row r="497">
      <c r="A497" s="51" t="n"/>
      <c r="B497" s="52" t="n"/>
      <c r="C497" s="52" t="n"/>
      <c r="D497" s="53" t="n"/>
      <c r="E497" s="53" t="n"/>
      <c r="F497" s="54" t="n"/>
      <c r="G497" s="54" t="n"/>
      <c r="H497" s="54" t="n"/>
      <c r="I497" s="54" t="n"/>
      <c r="J497" s="53" t="n"/>
      <c r="K497" s="55" t="str">
        <f>IF(COUNTA(A497:I497)=0,"",IF(F497="",IFERROR(INDEX(eq_dur,MATCH(B497,eq_code,0)),""),F497))</f>
        <v/>
      </c>
      <c r="L497" s="55" t="str">
        <f>IF(ISNUMBER(K497),N(IFERROR(INDEX(eq_pause,MATCH(B497,eq_code,0)),0))+SUMIFS(st_min,st_date,A497,st_eq,B497,st_po,C497,st_type,"Planifié"),"")</f>
        <v/>
      </c>
      <c r="M497" s="55" t="str">
        <f>IF(ISNUMBER(K497),K497-L497,"")</f>
        <v/>
      </c>
      <c r="N497" s="55" t="str">
        <f>IF(ISNUMBER(K497),SUMIFS(st_min,st_date,A497,st_eq,B497,st_po,C497,st_type,"Non planifié"),"")</f>
        <v/>
      </c>
      <c r="O497" s="55" t="str">
        <f>IF(ISNUMBER(K497),M497-N497,"")</f>
        <v/>
      </c>
      <c r="P497" s="55" t="str">
        <f>IF(COUNTA(A497:I497)=0,"",N(G497)+N(H497)+N(I497))</f>
        <v/>
      </c>
      <c r="Q497" s="56" t="str">
        <f>IF(COUNTA(A497:I497)=0,"",IF(N(IFERROR(INDEX(art_rate,MATCH(E497,art_ref,0)),0))&gt;0,N(IFERROR(INDEX(art_rate,MATCH(E497,art_ref,0)),0)),N(IFERROR(INDEX(po_rate,MATCH(C497,po_code,0)),0))))</f>
        <v/>
      </c>
      <c r="R497" s="55" t="str">
        <f>IF(AC497=1,P497*60/Q497,"")</f>
        <v/>
      </c>
      <c r="S497" s="55" t="str">
        <f>IF(AC497=1,N(G497)*60/Q497,"")</f>
        <v/>
      </c>
      <c r="T497" s="57" t="str">
        <f>IF(AC497=1,O497/M497,"")</f>
        <v/>
      </c>
      <c r="U497" s="57" t="str">
        <f>IF(AC497=1,IF(O497&gt;0,R497/O497,""),"")</f>
        <v/>
      </c>
      <c r="V497" s="57" t="str">
        <f>IF(AC497=1,IF(P497&gt;0,N(G497)/P497,""),"")</f>
        <v/>
      </c>
      <c r="W497" s="57" t="str">
        <f>IF(AC497=1,S497/M497,"")</f>
        <v/>
      </c>
      <c r="X497" s="57" t="str">
        <f>IF(AC497=1,S497/K497,"")</f>
        <v/>
      </c>
      <c r="Y497" s="58" t="str">
        <f>IF(W497="","",IF(W497&gt;=p_target,"Bon",IF(W497&gt;=p_alert,"À surveiller","Faible")))</f>
        <v/>
      </c>
      <c r="Z497" s="58" t="str">
        <f>IF(W497="","",IF(MIN(IF(T497="",1,T497),IF(U497="",1,U497),IF(V497="",1,V497))&gt;=1,"Aucune",IF(IF(T497="",1,T497)&lt;=MIN(IF(U497="",1,U497),IF(V497="",1,V497)),"Disponibilité",IF(IF(U497="",1,U497)&lt;=IF(V497="",1,V497),"Performance","Qualité"))))</f>
        <v/>
      </c>
      <c r="AA497" s="59" t="str">
        <f>IF(AC497=1,N(H497)*N(IFERROR(INDEX(art_cost,MATCH(E497,art_ref,0)),0)),"")</f>
        <v/>
      </c>
      <c r="AB497" s="58" t="str">
        <f>IF(COUNTA(A497:I497)=0,"",IF(N(A497)&lt;=0,"Date manquante ou invalide",IF(B497="","Équipe manquante",IF(ISNA(MATCH(B497,eq_code,0)),"Équipe inconnue",IF(INDEX(eq_check,MATCH(B497,eq_code,0))&lt;&gt;"OK","Équipe à corriger dans Paramètres",IF(C497="","Poste manquant",IF(ISNA(MATCH(C497,po_code,0)),"Poste inconnu",IF(AND(E497&lt;&gt;"",ISNA(MATCH(E497,art_ref,0))),"Article inconnu",IF(IF(E497="",FALSE,INDEX(art_check,MATCH(E497,art_ref,0))&lt;&gt;"OK"),"Article à corriger (feuille Articles)",IF(COUNTIFS(sj_date,A497,sj_eq,B497,sj_po,C497)&gt;1,"Ligne en double (même jour, équipe et poste)",IF(OR(NOT(ISNUMBER(K497)),N(K497)&lt;=0,N(K497)&gt;1440),"Temps d'ouverture invalide",IF(OR(AND(G497&lt;&gt;"",NOT(ISNUMBER(G497))),N(G497)&lt;0,N(G497)&lt;&gt;INT(N(G497)),AND(H497&lt;&gt;"",NOT(ISNUMBER(H497))),N(H497)&lt;0,N(H497)&lt;&gt;INT(N(H497)),AND(I497&lt;&gt;"",NOT(ISNUMBER(I497))),N(I497)&lt;0,N(I497)&lt;&gt;INT(N(I497))),"Quantité invalide",IF(Q497&lt;=0,"Cadence manquante (poste ou article)",IF(M497&lt;=0,"Arrêts planifiés supérieurs au temps d'ouverture",IF(O497&lt;0,"Arrêts supérieurs au temps requis",IF(AND(P497&gt;0,O497=0),"Pièces déclarées sans temps de marche",IF(AND(P497=0,O497&gt;0),"Aucune pièce déclarée",IF(P497*60/Q497&gt;O497+0.001,"Cadence dépassée : vérifiez la cadence","OK"))))))))))))))))))</f>
        <v/>
      </c>
      <c r="AC497">
        <f>IF(OR(AB497="OK",AB497="Aucune pièce déclarée",AB497="Cadence dépassée : vérifiez la cadence"),1,0)</f>
        <v>0.0</v>
      </c>
      <c r="AD497">
        <f>IF(AND(AC497=1,A497&gt;=p_from,A497&lt;=p_to),1,0)</f>
        <v>0.0</v>
      </c>
      <c r="AE497">
        <f>IF(AD497=1,IF(COUNTIFS($A$6:A497,A497,$AD$6:AD497,1)=1,1,0),0)</f>
        <v>0.0</v>
      </c>
      <c r="AF497" t="str">
        <f>IF(AE497=1,COUNTIFS(sj_first,1,sj_date,"&lt;"&amp;A497)+1,"")</f>
        <v/>
      </c>
      <c r="AG497" t="str">
        <f>IF(AND(AD497=1,N(W497)&lt;p_alert),ROUND(W497,4),"")</f>
        <v/>
      </c>
      <c r="AH497" t="str">
        <f>IF(AG497="","",COUNTIF(sj_akey,"&lt;"&amp;AG497)+COUNTIF($AG$6:AG497,AG497))</f>
        <v/>
      </c>
    </row>
    <row r="498">
      <c r="A498" s="51" t="n"/>
      <c r="B498" s="52" t="n"/>
      <c r="C498" s="52" t="n"/>
      <c r="D498" s="53" t="n"/>
      <c r="E498" s="53" t="n"/>
      <c r="F498" s="54" t="n"/>
      <c r="G498" s="54" t="n"/>
      <c r="H498" s="54" t="n"/>
      <c r="I498" s="54" t="n"/>
      <c r="J498" s="53" t="n"/>
      <c r="K498" s="55" t="str">
        <f>IF(COUNTA(A498:I498)=0,"",IF(F498="",IFERROR(INDEX(eq_dur,MATCH(B498,eq_code,0)),""),F498))</f>
        <v/>
      </c>
      <c r="L498" s="55" t="str">
        <f>IF(ISNUMBER(K498),N(IFERROR(INDEX(eq_pause,MATCH(B498,eq_code,0)),0))+SUMIFS(st_min,st_date,A498,st_eq,B498,st_po,C498,st_type,"Planifié"),"")</f>
        <v/>
      </c>
      <c r="M498" s="55" t="str">
        <f>IF(ISNUMBER(K498),K498-L498,"")</f>
        <v/>
      </c>
      <c r="N498" s="55" t="str">
        <f>IF(ISNUMBER(K498),SUMIFS(st_min,st_date,A498,st_eq,B498,st_po,C498,st_type,"Non planifié"),"")</f>
        <v/>
      </c>
      <c r="O498" s="55" t="str">
        <f>IF(ISNUMBER(K498),M498-N498,"")</f>
        <v/>
      </c>
      <c r="P498" s="55" t="str">
        <f>IF(COUNTA(A498:I498)=0,"",N(G498)+N(H498)+N(I498))</f>
        <v/>
      </c>
      <c r="Q498" s="56" t="str">
        <f>IF(COUNTA(A498:I498)=0,"",IF(N(IFERROR(INDEX(art_rate,MATCH(E498,art_ref,0)),0))&gt;0,N(IFERROR(INDEX(art_rate,MATCH(E498,art_ref,0)),0)),N(IFERROR(INDEX(po_rate,MATCH(C498,po_code,0)),0))))</f>
        <v/>
      </c>
      <c r="R498" s="55" t="str">
        <f>IF(AC498=1,P498*60/Q498,"")</f>
        <v/>
      </c>
      <c r="S498" s="55" t="str">
        <f>IF(AC498=1,N(G498)*60/Q498,"")</f>
        <v/>
      </c>
      <c r="T498" s="57" t="str">
        <f>IF(AC498=1,O498/M498,"")</f>
        <v/>
      </c>
      <c r="U498" s="57" t="str">
        <f>IF(AC498=1,IF(O498&gt;0,R498/O498,""),"")</f>
        <v/>
      </c>
      <c r="V498" s="57" t="str">
        <f>IF(AC498=1,IF(P498&gt;0,N(G498)/P498,""),"")</f>
        <v/>
      </c>
      <c r="W498" s="57" t="str">
        <f>IF(AC498=1,S498/M498,"")</f>
        <v/>
      </c>
      <c r="X498" s="57" t="str">
        <f>IF(AC498=1,S498/K498,"")</f>
        <v/>
      </c>
      <c r="Y498" s="58" t="str">
        <f>IF(W498="","",IF(W498&gt;=p_target,"Bon",IF(W498&gt;=p_alert,"À surveiller","Faible")))</f>
        <v/>
      </c>
      <c r="Z498" s="58" t="str">
        <f>IF(W498="","",IF(MIN(IF(T498="",1,T498),IF(U498="",1,U498),IF(V498="",1,V498))&gt;=1,"Aucune",IF(IF(T498="",1,T498)&lt;=MIN(IF(U498="",1,U498),IF(V498="",1,V498)),"Disponibilité",IF(IF(U498="",1,U498)&lt;=IF(V498="",1,V498),"Performance","Qualité"))))</f>
        <v/>
      </c>
      <c r="AA498" s="59" t="str">
        <f>IF(AC498=1,N(H498)*N(IFERROR(INDEX(art_cost,MATCH(E498,art_ref,0)),0)),"")</f>
        <v/>
      </c>
      <c r="AB498" s="58" t="str">
        <f>IF(COUNTA(A498:I498)=0,"",IF(N(A498)&lt;=0,"Date manquante ou invalide",IF(B498="","Équipe manquante",IF(ISNA(MATCH(B498,eq_code,0)),"Équipe inconnue",IF(INDEX(eq_check,MATCH(B498,eq_code,0))&lt;&gt;"OK","Équipe à corriger dans Paramètres",IF(C498="","Poste manquant",IF(ISNA(MATCH(C498,po_code,0)),"Poste inconnu",IF(AND(E498&lt;&gt;"",ISNA(MATCH(E498,art_ref,0))),"Article inconnu",IF(IF(E498="",FALSE,INDEX(art_check,MATCH(E498,art_ref,0))&lt;&gt;"OK"),"Article à corriger (feuille Articles)",IF(COUNTIFS(sj_date,A498,sj_eq,B498,sj_po,C498)&gt;1,"Ligne en double (même jour, équipe et poste)",IF(OR(NOT(ISNUMBER(K498)),N(K498)&lt;=0,N(K498)&gt;1440),"Temps d'ouverture invalide",IF(OR(AND(G498&lt;&gt;"",NOT(ISNUMBER(G498))),N(G498)&lt;0,N(G498)&lt;&gt;INT(N(G498)),AND(H498&lt;&gt;"",NOT(ISNUMBER(H498))),N(H498)&lt;0,N(H498)&lt;&gt;INT(N(H498)),AND(I498&lt;&gt;"",NOT(ISNUMBER(I498))),N(I498)&lt;0,N(I498)&lt;&gt;INT(N(I498))),"Quantité invalide",IF(Q498&lt;=0,"Cadence manquante (poste ou article)",IF(M498&lt;=0,"Arrêts planifiés supérieurs au temps d'ouverture",IF(O498&lt;0,"Arrêts supérieurs au temps requis",IF(AND(P498&gt;0,O498=0),"Pièces déclarées sans temps de marche",IF(AND(P498=0,O498&gt;0),"Aucune pièce déclarée",IF(P498*60/Q498&gt;O498+0.001,"Cadence dépassée : vérifiez la cadence","OK"))))))))))))))))))</f>
        <v/>
      </c>
      <c r="AC498">
        <f>IF(OR(AB498="OK",AB498="Aucune pièce déclarée",AB498="Cadence dépassée : vérifiez la cadence"),1,0)</f>
        <v>0.0</v>
      </c>
      <c r="AD498">
        <f>IF(AND(AC498=1,A498&gt;=p_from,A498&lt;=p_to),1,0)</f>
        <v>0.0</v>
      </c>
      <c r="AE498">
        <f>IF(AD498=1,IF(COUNTIFS($A$6:A498,A498,$AD$6:AD498,1)=1,1,0),0)</f>
        <v>0.0</v>
      </c>
      <c r="AF498" t="str">
        <f>IF(AE498=1,COUNTIFS(sj_first,1,sj_date,"&lt;"&amp;A498)+1,"")</f>
        <v/>
      </c>
      <c r="AG498" t="str">
        <f>IF(AND(AD498=1,N(W498)&lt;p_alert),ROUND(W498,4),"")</f>
        <v/>
      </c>
      <c r="AH498" t="str">
        <f>IF(AG498="","",COUNTIF(sj_akey,"&lt;"&amp;AG498)+COUNTIF($AG$6:AG498,AG498))</f>
        <v/>
      </c>
    </row>
    <row r="499">
      <c r="A499" s="51" t="n"/>
      <c r="B499" s="52" t="n"/>
      <c r="C499" s="52" t="n"/>
      <c r="D499" s="53" t="n"/>
      <c r="E499" s="53" t="n"/>
      <c r="F499" s="54" t="n"/>
      <c r="G499" s="54" t="n"/>
      <c r="H499" s="54" t="n"/>
      <c r="I499" s="54" t="n"/>
      <c r="J499" s="53" t="n"/>
      <c r="K499" s="55" t="str">
        <f>IF(COUNTA(A499:I499)=0,"",IF(F499="",IFERROR(INDEX(eq_dur,MATCH(B499,eq_code,0)),""),F499))</f>
        <v/>
      </c>
      <c r="L499" s="55" t="str">
        <f>IF(ISNUMBER(K499),N(IFERROR(INDEX(eq_pause,MATCH(B499,eq_code,0)),0))+SUMIFS(st_min,st_date,A499,st_eq,B499,st_po,C499,st_type,"Planifié"),"")</f>
        <v/>
      </c>
      <c r="M499" s="55" t="str">
        <f>IF(ISNUMBER(K499),K499-L499,"")</f>
        <v/>
      </c>
      <c r="N499" s="55" t="str">
        <f>IF(ISNUMBER(K499),SUMIFS(st_min,st_date,A499,st_eq,B499,st_po,C499,st_type,"Non planifié"),"")</f>
        <v/>
      </c>
      <c r="O499" s="55" t="str">
        <f>IF(ISNUMBER(K499),M499-N499,"")</f>
        <v/>
      </c>
      <c r="P499" s="55" t="str">
        <f>IF(COUNTA(A499:I499)=0,"",N(G499)+N(H499)+N(I499))</f>
        <v/>
      </c>
      <c r="Q499" s="56" t="str">
        <f>IF(COUNTA(A499:I499)=0,"",IF(N(IFERROR(INDEX(art_rate,MATCH(E499,art_ref,0)),0))&gt;0,N(IFERROR(INDEX(art_rate,MATCH(E499,art_ref,0)),0)),N(IFERROR(INDEX(po_rate,MATCH(C499,po_code,0)),0))))</f>
        <v/>
      </c>
      <c r="R499" s="55" t="str">
        <f>IF(AC499=1,P499*60/Q499,"")</f>
        <v/>
      </c>
      <c r="S499" s="55" t="str">
        <f>IF(AC499=1,N(G499)*60/Q499,"")</f>
        <v/>
      </c>
      <c r="T499" s="57" t="str">
        <f>IF(AC499=1,O499/M499,"")</f>
        <v/>
      </c>
      <c r="U499" s="57" t="str">
        <f>IF(AC499=1,IF(O499&gt;0,R499/O499,""),"")</f>
        <v/>
      </c>
      <c r="V499" s="57" t="str">
        <f>IF(AC499=1,IF(P499&gt;0,N(G499)/P499,""),"")</f>
        <v/>
      </c>
      <c r="W499" s="57" t="str">
        <f>IF(AC499=1,S499/M499,"")</f>
        <v/>
      </c>
      <c r="X499" s="57" t="str">
        <f>IF(AC499=1,S499/K499,"")</f>
        <v/>
      </c>
      <c r="Y499" s="58" t="str">
        <f>IF(W499="","",IF(W499&gt;=p_target,"Bon",IF(W499&gt;=p_alert,"À surveiller","Faible")))</f>
        <v/>
      </c>
      <c r="Z499" s="58" t="str">
        <f>IF(W499="","",IF(MIN(IF(T499="",1,T499),IF(U499="",1,U499),IF(V499="",1,V499))&gt;=1,"Aucune",IF(IF(T499="",1,T499)&lt;=MIN(IF(U499="",1,U499),IF(V499="",1,V499)),"Disponibilité",IF(IF(U499="",1,U499)&lt;=IF(V499="",1,V499),"Performance","Qualité"))))</f>
        <v/>
      </c>
      <c r="AA499" s="59" t="str">
        <f>IF(AC499=1,N(H499)*N(IFERROR(INDEX(art_cost,MATCH(E499,art_ref,0)),0)),"")</f>
        <v/>
      </c>
      <c r="AB499" s="58" t="str">
        <f>IF(COUNTA(A499:I499)=0,"",IF(N(A499)&lt;=0,"Date manquante ou invalide",IF(B499="","Équipe manquante",IF(ISNA(MATCH(B499,eq_code,0)),"Équipe inconnue",IF(INDEX(eq_check,MATCH(B499,eq_code,0))&lt;&gt;"OK","Équipe à corriger dans Paramètres",IF(C499="","Poste manquant",IF(ISNA(MATCH(C499,po_code,0)),"Poste inconnu",IF(AND(E499&lt;&gt;"",ISNA(MATCH(E499,art_ref,0))),"Article inconnu",IF(IF(E499="",FALSE,INDEX(art_check,MATCH(E499,art_ref,0))&lt;&gt;"OK"),"Article à corriger (feuille Articles)",IF(COUNTIFS(sj_date,A499,sj_eq,B499,sj_po,C499)&gt;1,"Ligne en double (même jour, équipe et poste)",IF(OR(NOT(ISNUMBER(K499)),N(K499)&lt;=0,N(K499)&gt;1440),"Temps d'ouverture invalide",IF(OR(AND(G499&lt;&gt;"",NOT(ISNUMBER(G499))),N(G499)&lt;0,N(G499)&lt;&gt;INT(N(G499)),AND(H499&lt;&gt;"",NOT(ISNUMBER(H499))),N(H499)&lt;0,N(H499)&lt;&gt;INT(N(H499)),AND(I499&lt;&gt;"",NOT(ISNUMBER(I499))),N(I499)&lt;0,N(I499)&lt;&gt;INT(N(I499))),"Quantité invalide",IF(Q499&lt;=0,"Cadence manquante (poste ou article)",IF(M499&lt;=0,"Arrêts planifiés supérieurs au temps d'ouverture",IF(O499&lt;0,"Arrêts supérieurs au temps requis",IF(AND(P499&gt;0,O499=0),"Pièces déclarées sans temps de marche",IF(AND(P499=0,O499&gt;0),"Aucune pièce déclarée",IF(P499*60/Q499&gt;O499+0.001,"Cadence dépassée : vérifiez la cadence","OK"))))))))))))))))))</f>
        <v/>
      </c>
      <c r="AC499">
        <f>IF(OR(AB499="OK",AB499="Aucune pièce déclarée",AB499="Cadence dépassée : vérifiez la cadence"),1,0)</f>
        <v>0.0</v>
      </c>
      <c r="AD499">
        <f>IF(AND(AC499=1,A499&gt;=p_from,A499&lt;=p_to),1,0)</f>
        <v>0.0</v>
      </c>
      <c r="AE499">
        <f>IF(AD499=1,IF(COUNTIFS($A$6:A499,A499,$AD$6:AD499,1)=1,1,0),0)</f>
        <v>0.0</v>
      </c>
      <c r="AF499" t="str">
        <f>IF(AE499=1,COUNTIFS(sj_first,1,sj_date,"&lt;"&amp;A499)+1,"")</f>
        <v/>
      </c>
      <c r="AG499" t="str">
        <f>IF(AND(AD499=1,N(W499)&lt;p_alert),ROUND(W499,4),"")</f>
        <v/>
      </c>
      <c r="AH499" t="str">
        <f>IF(AG499="","",COUNTIF(sj_akey,"&lt;"&amp;AG499)+COUNTIF($AG$6:AG499,AG499))</f>
        <v/>
      </c>
    </row>
    <row r="500">
      <c r="A500" s="51" t="n"/>
      <c r="B500" s="52" t="n"/>
      <c r="C500" s="52" t="n"/>
      <c r="D500" s="53" t="n"/>
      <c r="E500" s="53" t="n"/>
      <c r="F500" s="54" t="n"/>
      <c r="G500" s="54" t="n"/>
      <c r="H500" s="54" t="n"/>
      <c r="I500" s="54" t="n"/>
      <c r="J500" s="53" t="n"/>
      <c r="K500" s="55" t="str">
        <f>IF(COUNTA(A500:I500)=0,"",IF(F500="",IFERROR(INDEX(eq_dur,MATCH(B500,eq_code,0)),""),F500))</f>
        <v/>
      </c>
      <c r="L500" s="55" t="str">
        <f>IF(ISNUMBER(K500),N(IFERROR(INDEX(eq_pause,MATCH(B500,eq_code,0)),0))+SUMIFS(st_min,st_date,A500,st_eq,B500,st_po,C500,st_type,"Planifié"),"")</f>
        <v/>
      </c>
      <c r="M500" s="55" t="str">
        <f>IF(ISNUMBER(K500),K500-L500,"")</f>
        <v/>
      </c>
      <c r="N500" s="55" t="str">
        <f>IF(ISNUMBER(K500),SUMIFS(st_min,st_date,A500,st_eq,B500,st_po,C500,st_type,"Non planifié"),"")</f>
        <v/>
      </c>
      <c r="O500" s="55" t="str">
        <f>IF(ISNUMBER(K500),M500-N500,"")</f>
        <v/>
      </c>
      <c r="P500" s="55" t="str">
        <f>IF(COUNTA(A500:I500)=0,"",N(G500)+N(H500)+N(I500))</f>
        <v/>
      </c>
      <c r="Q500" s="56" t="str">
        <f>IF(COUNTA(A500:I500)=0,"",IF(N(IFERROR(INDEX(art_rate,MATCH(E500,art_ref,0)),0))&gt;0,N(IFERROR(INDEX(art_rate,MATCH(E500,art_ref,0)),0)),N(IFERROR(INDEX(po_rate,MATCH(C500,po_code,0)),0))))</f>
        <v/>
      </c>
      <c r="R500" s="55" t="str">
        <f>IF(AC500=1,P500*60/Q500,"")</f>
        <v/>
      </c>
      <c r="S500" s="55" t="str">
        <f>IF(AC500=1,N(G500)*60/Q500,"")</f>
        <v/>
      </c>
      <c r="T500" s="57" t="str">
        <f>IF(AC500=1,O500/M500,"")</f>
        <v/>
      </c>
      <c r="U500" s="57" t="str">
        <f>IF(AC500=1,IF(O500&gt;0,R500/O500,""),"")</f>
        <v/>
      </c>
      <c r="V500" s="57" t="str">
        <f>IF(AC500=1,IF(P500&gt;0,N(G500)/P500,""),"")</f>
        <v/>
      </c>
      <c r="W500" s="57" t="str">
        <f>IF(AC500=1,S500/M500,"")</f>
        <v/>
      </c>
      <c r="X500" s="57" t="str">
        <f>IF(AC500=1,S500/K500,"")</f>
        <v/>
      </c>
      <c r="Y500" s="58" t="str">
        <f>IF(W500="","",IF(W500&gt;=p_target,"Bon",IF(W500&gt;=p_alert,"À surveiller","Faible")))</f>
        <v/>
      </c>
      <c r="Z500" s="58" t="str">
        <f>IF(W500="","",IF(MIN(IF(T500="",1,T500),IF(U500="",1,U500),IF(V500="",1,V500))&gt;=1,"Aucune",IF(IF(T500="",1,T500)&lt;=MIN(IF(U500="",1,U500),IF(V500="",1,V500)),"Disponibilité",IF(IF(U500="",1,U500)&lt;=IF(V500="",1,V500),"Performance","Qualité"))))</f>
        <v/>
      </c>
      <c r="AA500" s="59" t="str">
        <f>IF(AC500=1,N(H500)*N(IFERROR(INDEX(art_cost,MATCH(E500,art_ref,0)),0)),"")</f>
        <v/>
      </c>
      <c r="AB500" s="58" t="str">
        <f>IF(COUNTA(A500:I500)=0,"",IF(N(A500)&lt;=0,"Date manquante ou invalide",IF(B500="","Équipe manquante",IF(ISNA(MATCH(B500,eq_code,0)),"Équipe inconnue",IF(INDEX(eq_check,MATCH(B500,eq_code,0))&lt;&gt;"OK","Équipe à corriger dans Paramètres",IF(C500="","Poste manquant",IF(ISNA(MATCH(C500,po_code,0)),"Poste inconnu",IF(AND(E500&lt;&gt;"",ISNA(MATCH(E500,art_ref,0))),"Article inconnu",IF(IF(E500="",FALSE,INDEX(art_check,MATCH(E500,art_ref,0))&lt;&gt;"OK"),"Article à corriger (feuille Articles)",IF(COUNTIFS(sj_date,A500,sj_eq,B500,sj_po,C500)&gt;1,"Ligne en double (même jour, équipe et poste)",IF(OR(NOT(ISNUMBER(K500)),N(K500)&lt;=0,N(K500)&gt;1440),"Temps d'ouverture invalide",IF(OR(AND(G500&lt;&gt;"",NOT(ISNUMBER(G500))),N(G500)&lt;0,N(G500)&lt;&gt;INT(N(G500)),AND(H500&lt;&gt;"",NOT(ISNUMBER(H500))),N(H500)&lt;0,N(H500)&lt;&gt;INT(N(H500)),AND(I500&lt;&gt;"",NOT(ISNUMBER(I500))),N(I500)&lt;0,N(I500)&lt;&gt;INT(N(I500))),"Quantité invalide",IF(Q500&lt;=0,"Cadence manquante (poste ou article)",IF(M500&lt;=0,"Arrêts planifiés supérieurs au temps d'ouverture",IF(O500&lt;0,"Arrêts supérieurs au temps requis",IF(AND(P500&gt;0,O500=0),"Pièces déclarées sans temps de marche",IF(AND(P500=0,O500&gt;0),"Aucune pièce déclarée",IF(P500*60/Q500&gt;O500+0.001,"Cadence dépassée : vérifiez la cadence","OK"))))))))))))))))))</f>
        <v/>
      </c>
      <c r="AC500">
        <f>IF(OR(AB500="OK",AB500="Aucune pièce déclarée",AB500="Cadence dépassée : vérifiez la cadence"),1,0)</f>
        <v>0.0</v>
      </c>
      <c r="AD500">
        <f>IF(AND(AC500=1,A500&gt;=p_from,A500&lt;=p_to),1,0)</f>
        <v>0.0</v>
      </c>
      <c r="AE500">
        <f>IF(AD500=1,IF(COUNTIFS($A$6:A500,A500,$AD$6:AD500,1)=1,1,0),0)</f>
        <v>0.0</v>
      </c>
      <c r="AF500" t="str">
        <f>IF(AE500=1,COUNTIFS(sj_first,1,sj_date,"&lt;"&amp;A500)+1,"")</f>
        <v/>
      </c>
      <c r="AG500" t="str">
        <f>IF(AND(AD500=1,N(W500)&lt;p_alert),ROUND(W500,4),"")</f>
        <v/>
      </c>
      <c r="AH500" t="str">
        <f>IF(AG500="","",COUNTIF(sj_akey,"&lt;"&amp;AG500)+COUNTIF($AG$6:AG500,AG500))</f>
        <v/>
      </c>
    </row>
    <row r="501">
      <c r="A501" s="51" t="n"/>
      <c r="B501" s="52" t="n"/>
      <c r="C501" s="52" t="n"/>
      <c r="D501" s="53" t="n"/>
      <c r="E501" s="53" t="n"/>
      <c r="F501" s="54" t="n"/>
      <c r="G501" s="54" t="n"/>
      <c r="H501" s="54" t="n"/>
      <c r="I501" s="54" t="n"/>
      <c r="J501" s="53" t="n"/>
      <c r="K501" s="55" t="str">
        <f>IF(COUNTA(A501:I501)=0,"",IF(F501="",IFERROR(INDEX(eq_dur,MATCH(B501,eq_code,0)),""),F501))</f>
        <v/>
      </c>
      <c r="L501" s="55" t="str">
        <f>IF(ISNUMBER(K501),N(IFERROR(INDEX(eq_pause,MATCH(B501,eq_code,0)),0))+SUMIFS(st_min,st_date,A501,st_eq,B501,st_po,C501,st_type,"Planifié"),"")</f>
        <v/>
      </c>
      <c r="M501" s="55" t="str">
        <f>IF(ISNUMBER(K501),K501-L501,"")</f>
        <v/>
      </c>
      <c r="N501" s="55" t="str">
        <f>IF(ISNUMBER(K501),SUMIFS(st_min,st_date,A501,st_eq,B501,st_po,C501,st_type,"Non planifié"),"")</f>
        <v/>
      </c>
      <c r="O501" s="55" t="str">
        <f>IF(ISNUMBER(K501),M501-N501,"")</f>
        <v/>
      </c>
      <c r="P501" s="55" t="str">
        <f>IF(COUNTA(A501:I501)=0,"",N(G501)+N(H501)+N(I501))</f>
        <v/>
      </c>
      <c r="Q501" s="56" t="str">
        <f>IF(COUNTA(A501:I501)=0,"",IF(N(IFERROR(INDEX(art_rate,MATCH(E501,art_ref,0)),0))&gt;0,N(IFERROR(INDEX(art_rate,MATCH(E501,art_ref,0)),0)),N(IFERROR(INDEX(po_rate,MATCH(C501,po_code,0)),0))))</f>
        <v/>
      </c>
      <c r="R501" s="55" t="str">
        <f>IF(AC501=1,P501*60/Q501,"")</f>
        <v/>
      </c>
      <c r="S501" s="55" t="str">
        <f>IF(AC501=1,N(G501)*60/Q501,"")</f>
        <v/>
      </c>
      <c r="T501" s="57" t="str">
        <f>IF(AC501=1,O501/M501,"")</f>
        <v/>
      </c>
      <c r="U501" s="57" t="str">
        <f>IF(AC501=1,IF(O501&gt;0,R501/O501,""),"")</f>
        <v/>
      </c>
      <c r="V501" s="57" t="str">
        <f>IF(AC501=1,IF(P501&gt;0,N(G501)/P501,""),"")</f>
        <v/>
      </c>
      <c r="W501" s="57" t="str">
        <f>IF(AC501=1,S501/M501,"")</f>
        <v/>
      </c>
      <c r="X501" s="57" t="str">
        <f>IF(AC501=1,S501/K501,"")</f>
        <v/>
      </c>
      <c r="Y501" s="58" t="str">
        <f>IF(W501="","",IF(W501&gt;=p_target,"Bon",IF(W501&gt;=p_alert,"À surveiller","Faible")))</f>
        <v/>
      </c>
      <c r="Z501" s="58" t="str">
        <f>IF(W501="","",IF(MIN(IF(T501="",1,T501),IF(U501="",1,U501),IF(V501="",1,V501))&gt;=1,"Aucune",IF(IF(T501="",1,T501)&lt;=MIN(IF(U501="",1,U501),IF(V501="",1,V501)),"Disponibilité",IF(IF(U501="",1,U501)&lt;=IF(V501="",1,V501),"Performance","Qualité"))))</f>
        <v/>
      </c>
      <c r="AA501" s="59" t="str">
        <f>IF(AC501=1,N(H501)*N(IFERROR(INDEX(art_cost,MATCH(E501,art_ref,0)),0)),"")</f>
        <v/>
      </c>
      <c r="AB501" s="58" t="str">
        <f>IF(COUNTA(A501:I501)=0,"",IF(N(A501)&lt;=0,"Date manquante ou invalide",IF(B501="","Équipe manquante",IF(ISNA(MATCH(B501,eq_code,0)),"Équipe inconnue",IF(INDEX(eq_check,MATCH(B501,eq_code,0))&lt;&gt;"OK","Équipe à corriger dans Paramètres",IF(C501="","Poste manquant",IF(ISNA(MATCH(C501,po_code,0)),"Poste inconnu",IF(AND(E501&lt;&gt;"",ISNA(MATCH(E501,art_ref,0))),"Article inconnu",IF(IF(E501="",FALSE,INDEX(art_check,MATCH(E501,art_ref,0))&lt;&gt;"OK"),"Article à corriger (feuille Articles)",IF(COUNTIFS(sj_date,A501,sj_eq,B501,sj_po,C501)&gt;1,"Ligne en double (même jour, équipe et poste)",IF(OR(NOT(ISNUMBER(K501)),N(K501)&lt;=0,N(K501)&gt;1440),"Temps d'ouverture invalide",IF(OR(AND(G501&lt;&gt;"",NOT(ISNUMBER(G501))),N(G501)&lt;0,N(G501)&lt;&gt;INT(N(G501)),AND(H501&lt;&gt;"",NOT(ISNUMBER(H501))),N(H501)&lt;0,N(H501)&lt;&gt;INT(N(H501)),AND(I501&lt;&gt;"",NOT(ISNUMBER(I501))),N(I501)&lt;0,N(I501)&lt;&gt;INT(N(I501))),"Quantité invalide",IF(Q501&lt;=0,"Cadence manquante (poste ou article)",IF(M501&lt;=0,"Arrêts planifiés supérieurs au temps d'ouverture",IF(O501&lt;0,"Arrêts supérieurs au temps requis",IF(AND(P501&gt;0,O501=0),"Pièces déclarées sans temps de marche",IF(AND(P501=0,O501&gt;0),"Aucune pièce déclarée",IF(P501*60/Q501&gt;O501+0.001,"Cadence dépassée : vérifiez la cadence","OK"))))))))))))))))))</f>
        <v/>
      </c>
      <c r="AC501">
        <f>IF(OR(AB501="OK",AB501="Aucune pièce déclarée",AB501="Cadence dépassée : vérifiez la cadence"),1,0)</f>
        <v>0.0</v>
      </c>
      <c r="AD501">
        <f>IF(AND(AC501=1,A501&gt;=p_from,A501&lt;=p_to),1,0)</f>
        <v>0.0</v>
      </c>
      <c r="AE501">
        <f>IF(AD501=1,IF(COUNTIFS($A$6:A501,A501,$AD$6:AD501,1)=1,1,0),0)</f>
        <v>0.0</v>
      </c>
      <c r="AF501" t="str">
        <f>IF(AE501=1,COUNTIFS(sj_first,1,sj_date,"&lt;"&amp;A501)+1,"")</f>
        <v/>
      </c>
      <c r="AG501" t="str">
        <f>IF(AND(AD501=1,N(W501)&lt;p_alert),ROUND(W501,4),"")</f>
        <v/>
      </c>
      <c r="AH501" t="str">
        <f>IF(AG501="","",COUNTIF(sj_akey,"&lt;"&amp;AG501)+COUNTIF($AG$6:AG501,AG501))</f>
        <v/>
      </c>
    </row>
    <row r="502">
      <c r="A502" s="51" t="n"/>
      <c r="B502" s="52" t="n"/>
      <c r="C502" s="52" t="n"/>
      <c r="D502" s="53" t="n"/>
      <c r="E502" s="53" t="n"/>
      <c r="F502" s="54" t="n"/>
      <c r="G502" s="54" t="n"/>
      <c r="H502" s="54" t="n"/>
      <c r="I502" s="54" t="n"/>
      <c r="J502" s="53" t="n"/>
      <c r="K502" s="55" t="str">
        <f>IF(COUNTA(A502:I502)=0,"",IF(F502="",IFERROR(INDEX(eq_dur,MATCH(B502,eq_code,0)),""),F502))</f>
        <v/>
      </c>
      <c r="L502" s="55" t="str">
        <f>IF(ISNUMBER(K502),N(IFERROR(INDEX(eq_pause,MATCH(B502,eq_code,0)),0))+SUMIFS(st_min,st_date,A502,st_eq,B502,st_po,C502,st_type,"Planifié"),"")</f>
        <v/>
      </c>
      <c r="M502" s="55" t="str">
        <f>IF(ISNUMBER(K502),K502-L502,"")</f>
        <v/>
      </c>
      <c r="N502" s="55" t="str">
        <f>IF(ISNUMBER(K502),SUMIFS(st_min,st_date,A502,st_eq,B502,st_po,C502,st_type,"Non planifié"),"")</f>
        <v/>
      </c>
      <c r="O502" s="55" t="str">
        <f>IF(ISNUMBER(K502),M502-N502,"")</f>
        <v/>
      </c>
      <c r="P502" s="55" t="str">
        <f>IF(COUNTA(A502:I502)=0,"",N(G502)+N(H502)+N(I502))</f>
        <v/>
      </c>
      <c r="Q502" s="56" t="str">
        <f>IF(COUNTA(A502:I502)=0,"",IF(N(IFERROR(INDEX(art_rate,MATCH(E502,art_ref,0)),0))&gt;0,N(IFERROR(INDEX(art_rate,MATCH(E502,art_ref,0)),0)),N(IFERROR(INDEX(po_rate,MATCH(C502,po_code,0)),0))))</f>
        <v/>
      </c>
      <c r="R502" s="55" t="str">
        <f>IF(AC502=1,P502*60/Q502,"")</f>
        <v/>
      </c>
      <c r="S502" s="55" t="str">
        <f>IF(AC502=1,N(G502)*60/Q502,"")</f>
        <v/>
      </c>
      <c r="T502" s="57" t="str">
        <f>IF(AC502=1,O502/M502,"")</f>
        <v/>
      </c>
      <c r="U502" s="57" t="str">
        <f>IF(AC502=1,IF(O502&gt;0,R502/O502,""),"")</f>
        <v/>
      </c>
      <c r="V502" s="57" t="str">
        <f>IF(AC502=1,IF(P502&gt;0,N(G502)/P502,""),"")</f>
        <v/>
      </c>
      <c r="W502" s="57" t="str">
        <f>IF(AC502=1,S502/M502,"")</f>
        <v/>
      </c>
      <c r="X502" s="57" t="str">
        <f>IF(AC502=1,S502/K502,"")</f>
        <v/>
      </c>
      <c r="Y502" s="58" t="str">
        <f>IF(W502="","",IF(W502&gt;=p_target,"Bon",IF(W502&gt;=p_alert,"À surveiller","Faible")))</f>
        <v/>
      </c>
      <c r="Z502" s="58" t="str">
        <f>IF(W502="","",IF(MIN(IF(T502="",1,T502),IF(U502="",1,U502),IF(V502="",1,V502))&gt;=1,"Aucune",IF(IF(T502="",1,T502)&lt;=MIN(IF(U502="",1,U502),IF(V502="",1,V502)),"Disponibilité",IF(IF(U502="",1,U502)&lt;=IF(V502="",1,V502),"Performance","Qualité"))))</f>
        <v/>
      </c>
      <c r="AA502" s="59" t="str">
        <f>IF(AC502=1,N(H502)*N(IFERROR(INDEX(art_cost,MATCH(E502,art_ref,0)),0)),"")</f>
        <v/>
      </c>
      <c r="AB502" s="58" t="str">
        <f>IF(COUNTA(A502:I502)=0,"",IF(N(A502)&lt;=0,"Date manquante ou invalide",IF(B502="","Équipe manquante",IF(ISNA(MATCH(B502,eq_code,0)),"Équipe inconnue",IF(INDEX(eq_check,MATCH(B502,eq_code,0))&lt;&gt;"OK","Équipe à corriger dans Paramètres",IF(C502="","Poste manquant",IF(ISNA(MATCH(C502,po_code,0)),"Poste inconnu",IF(AND(E502&lt;&gt;"",ISNA(MATCH(E502,art_ref,0))),"Article inconnu",IF(IF(E502="",FALSE,INDEX(art_check,MATCH(E502,art_ref,0))&lt;&gt;"OK"),"Article à corriger (feuille Articles)",IF(COUNTIFS(sj_date,A502,sj_eq,B502,sj_po,C502)&gt;1,"Ligne en double (même jour, équipe et poste)",IF(OR(NOT(ISNUMBER(K502)),N(K502)&lt;=0,N(K502)&gt;1440),"Temps d'ouverture invalide",IF(OR(AND(G502&lt;&gt;"",NOT(ISNUMBER(G502))),N(G502)&lt;0,N(G502)&lt;&gt;INT(N(G502)),AND(H502&lt;&gt;"",NOT(ISNUMBER(H502))),N(H502)&lt;0,N(H502)&lt;&gt;INT(N(H502)),AND(I502&lt;&gt;"",NOT(ISNUMBER(I502))),N(I502)&lt;0,N(I502)&lt;&gt;INT(N(I502))),"Quantité invalide",IF(Q502&lt;=0,"Cadence manquante (poste ou article)",IF(M502&lt;=0,"Arrêts planifiés supérieurs au temps d'ouverture",IF(O502&lt;0,"Arrêts supérieurs au temps requis",IF(AND(P502&gt;0,O502=0),"Pièces déclarées sans temps de marche",IF(AND(P502=0,O502&gt;0),"Aucune pièce déclarée",IF(P502*60/Q502&gt;O502+0.001,"Cadence dépassée : vérifiez la cadence","OK"))))))))))))))))))</f>
        <v/>
      </c>
      <c r="AC502">
        <f>IF(OR(AB502="OK",AB502="Aucune pièce déclarée",AB502="Cadence dépassée : vérifiez la cadence"),1,0)</f>
        <v>0.0</v>
      </c>
      <c r="AD502">
        <f>IF(AND(AC502=1,A502&gt;=p_from,A502&lt;=p_to),1,0)</f>
        <v>0.0</v>
      </c>
      <c r="AE502">
        <f>IF(AD502=1,IF(COUNTIFS($A$6:A502,A502,$AD$6:AD502,1)=1,1,0),0)</f>
        <v>0.0</v>
      </c>
      <c r="AF502" t="str">
        <f>IF(AE502=1,COUNTIFS(sj_first,1,sj_date,"&lt;"&amp;A502)+1,"")</f>
        <v/>
      </c>
      <c r="AG502" t="str">
        <f>IF(AND(AD502=1,N(W502)&lt;p_alert),ROUND(W502,4),"")</f>
        <v/>
      </c>
      <c r="AH502" t="str">
        <f>IF(AG502="","",COUNTIF(sj_akey,"&lt;"&amp;AG502)+COUNTIF($AG$6:AG502,AG502))</f>
        <v/>
      </c>
    </row>
    <row r="503">
      <c r="A503" s="51" t="n"/>
      <c r="B503" s="52" t="n"/>
      <c r="C503" s="52" t="n"/>
      <c r="D503" s="53" t="n"/>
      <c r="E503" s="53" t="n"/>
      <c r="F503" s="54" t="n"/>
      <c r="G503" s="54" t="n"/>
      <c r="H503" s="54" t="n"/>
      <c r="I503" s="54" t="n"/>
      <c r="J503" s="53" t="n"/>
      <c r="K503" s="55" t="str">
        <f>IF(COUNTA(A503:I503)=0,"",IF(F503="",IFERROR(INDEX(eq_dur,MATCH(B503,eq_code,0)),""),F503))</f>
        <v/>
      </c>
      <c r="L503" s="55" t="str">
        <f>IF(ISNUMBER(K503),N(IFERROR(INDEX(eq_pause,MATCH(B503,eq_code,0)),0))+SUMIFS(st_min,st_date,A503,st_eq,B503,st_po,C503,st_type,"Planifié"),"")</f>
        <v/>
      </c>
      <c r="M503" s="55" t="str">
        <f>IF(ISNUMBER(K503),K503-L503,"")</f>
        <v/>
      </c>
      <c r="N503" s="55" t="str">
        <f>IF(ISNUMBER(K503),SUMIFS(st_min,st_date,A503,st_eq,B503,st_po,C503,st_type,"Non planifié"),"")</f>
        <v/>
      </c>
      <c r="O503" s="55" t="str">
        <f>IF(ISNUMBER(K503),M503-N503,"")</f>
        <v/>
      </c>
      <c r="P503" s="55" t="str">
        <f>IF(COUNTA(A503:I503)=0,"",N(G503)+N(H503)+N(I503))</f>
        <v/>
      </c>
      <c r="Q503" s="56" t="str">
        <f>IF(COUNTA(A503:I503)=0,"",IF(N(IFERROR(INDEX(art_rate,MATCH(E503,art_ref,0)),0))&gt;0,N(IFERROR(INDEX(art_rate,MATCH(E503,art_ref,0)),0)),N(IFERROR(INDEX(po_rate,MATCH(C503,po_code,0)),0))))</f>
        <v/>
      </c>
      <c r="R503" s="55" t="str">
        <f>IF(AC503=1,P503*60/Q503,"")</f>
        <v/>
      </c>
      <c r="S503" s="55" t="str">
        <f>IF(AC503=1,N(G503)*60/Q503,"")</f>
        <v/>
      </c>
      <c r="T503" s="57" t="str">
        <f>IF(AC503=1,O503/M503,"")</f>
        <v/>
      </c>
      <c r="U503" s="57" t="str">
        <f>IF(AC503=1,IF(O503&gt;0,R503/O503,""),"")</f>
        <v/>
      </c>
      <c r="V503" s="57" t="str">
        <f>IF(AC503=1,IF(P503&gt;0,N(G503)/P503,""),"")</f>
        <v/>
      </c>
      <c r="W503" s="57" t="str">
        <f>IF(AC503=1,S503/M503,"")</f>
        <v/>
      </c>
      <c r="X503" s="57" t="str">
        <f>IF(AC503=1,S503/K503,"")</f>
        <v/>
      </c>
      <c r="Y503" s="58" t="str">
        <f>IF(W503="","",IF(W503&gt;=p_target,"Bon",IF(W503&gt;=p_alert,"À surveiller","Faible")))</f>
        <v/>
      </c>
      <c r="Z503" s="58" t="str">
        <f>IF(W503="","",IF(MIN(IF(T503="",1,T503),IF(U503="",1,U503),IF(V503="",1,V503))&gt;=1,"Aucune",IF(IF(T503="",1,T503)&lt;=MIN(IF(U503="",1,U503),IF(V503="",1,V503)),"Disponibilité",IF(IF(U503="",1,U503)&lt;=IF(V503="",1,V503),"Performance","Qualité"))))</f>
        <v/>
      </c>
      <c r="AA503" s="59" t="str">
        <f>IF(AC503=1,N(H503)*N(IFERROR(INDEX(art_cost,MATCH(E503,art_ref,0)),0)),"")</f>
        <v/>
      </c>
      <c r="AB503" s="58" t="str">
        <f>IF(COUNTA(A503:I503)=0,"",IF(N(A503)&lt;=0,"Date manquante ou invalide",IF(B503="","Équipe manquante",IF(ISNA(MATCH(B503,eq_code,0)),"Équipe inconnue",IF(INDEX(eq_check,MATCH(B503,eq_code,0))&lt;&gt;"OK","Équipe à corriger dans Paramètres",IF(C503="","Poste manquant",IF(ISNA(MATCH(C503,po_code,0)),"Poste inconnu",IF(AND(E503&lt;&gt;"",ISNA(MATCH(E503,art_ref,0))),"Article inconnu",IF(IF(E503="",FALSE,INDEX(art_check,MATCH(E503,art_ref,0))&lt;&gt;"OK"),"Article à corriger (feuille Articles)",IF(COUNTIFS(sj_date,A503,sj_eq,B503,sj_po,C503)&gt;1,"Ligne en double (même jour, équipe et poste)",IF(OR(NOT(ISNUMBER(K503)),N(K503)&lt;=0,N(K503)&gt;1440),"Temps d'ouverture invalide",IF(OR(AND(G503&lt;&gt;"",NOT(ISNUMBER(G503))),N(G503)&lt;0,N(G503)&lt;&gt;INT(N(G503)),AND(H503&lt;&gt;"",NOT(ISNUMBER(H503))),N(H503)&lt;0,N(H503)&lt;&gt;INT(N(H503)),AND(I503&lt;&gt;"",NOT(ISNUMBER(I503))),N(I503)&lt;0,N(I503)&lt;&gt;INT(N(I503))),"Quantité invalide",IF(Q503&lt;=0,"Cadence manquante (poste ou article)",IF(M503&lt;=0,"Arrêts planifiés supérieurs au temps d'ouverture",IF(O503&lt;0,"Arrêts supérieurs au temps requis",IF(AND(P503&gt;0,O503=0),"Pièces déclarées sans temps de marche",IF(AND(P503=0,O503&gt;0),"Aucune pièce déclarée",IF(P503*60/Q503&gt;O503+0.001,"Cadence dépassée : vérifiez la cadence","OK"))))))))))))))))))</f>
        <v/>
      </c>
      <c r="AC503">
        <f>IF(OR(AB503="OK",AB503="Aucune pièce déclarée",AB503="Cadence dépassée : vérifiez la cadence"),1,0)</f>
        <v>0.0</v>
      </c>
      <c r="AD503">
        <f>IF(AND(AC503=1,A503&gt;=p_from,A503&lt;=p_to),1,0)</f>
        <v>0.0</v>
      </c>
      <c r="AE503">
        <f>IF(AD503=1,IF(COUNTIFS($A$6:A503,A503,$AD$6:AD503,1)=1,1,0),0)</f>
        <v>0.0</v>
      </c>
      <c r="AF503" t="str">
        <f>IF(AE503=1,COUNTIFS(sj_first,1,sj_date,"&lt;"&amp;A503)+1,"")</f>
        <v/>
      </c>
      <c r="AG503" t="str">
        <f>IF(AND(AD503=1,N(W503)&lt;p_alert),ROUND(W503,4),"")</f>
        <v/>
      </c>
      <c r="AH503" t="str">
        <f>IF(AG503="","",COUNTIF(sj_akey,"&lt;"&amp;AG503)+COUNTIF($AG$6:AG503,AG503))</f>
        <v/>
      </c>
    </row>
    <row r="504">
      <c r="A504" s="51" t="n"/>
      <c r="B504" s="52" t="n"/>
      <c r="C504" s="52" t="n"/>
      <c r="D504" s="53" t="n"/>
      <c r="E504" s="53" t="n"/>
      <c r="F504" s="54" t="n"/>
      <c r="G504" s="54" t="n"/>
      <c r="H504" s="54" t="n"/>
      <c r="I504" s="54" t="n"/>
      <c r="J504" s="53" t="n"/>
      <c r="K504" s="55" t="str">
        <f>IF(COUNTA(A504:I504)=0,"",IF(F504="",IFERROR(INDEX(eq_dur,MATCH(B504,eq_code,0)),""),F504))</f>
        <v/>
      </c>
      <c r="L504" s="55" t="str">
        <f>IF(ISNUMBER(K504),N(IFERROR(INDEX(eq_pause,MATCH(B504,eq_code,0)),0))+SUMIFS(st_min,st_date,A504,st_eq,B504,st_po,C504,st_type,"Planifié"),"")</f>
        <v/>
      </c>
      <c r="M504" s="55" t="str">
        <f>IF(ISNUMBER(K504),K504-L504,"")</f>
        <v/>
      </c>
      <c r="N504" s="55" t="str">
        <f>IF(ISNUMBER(K504),SUMIFS(st_min,st_date,A504,st_eq,B504,st_po,C504,st_type,"Non planifié"),"")</f>
        <v/>
      </c>
      <c r="O504" s="55" t="str">
        <f>IF(ISNUMBER(K504),M504-N504,"")</f>
        <v/>
      </c>
      <c r="P504" s="55" t="str">
        <f>IF(COUNTA(A504:I504)=0,"",N(G504)+N(H504)+N(I504))</f>
        <v/>
      </c>
      <c r="Q504" s="56" t="str">
        <f>IF(COUNTA(A504:I504)=0,"",IF(N(IFERROR(INDEX(art_rate,MATCH(E504,art_ref,0)),0))&gt;0,N(IFERROR(INDEX(art_rate,MATCH(E504,art_ref,0)),0)),N(IFERROR(INDEX(po_rate,MATCH(C504,po_code,0)),0))))</f>
        <v/>
      </c>
      <c r="R504" s="55" t="str">
        <f>IF(AC504=1,P504*60/Q504,"")</f>
        <v/>
      </c>
      <c r="S504" s="55" t="str">
        <f>IF(AC504=1,N(G504)*60/Q504,"")</f>
        <v/>
      </c>
      <c r="T504" s="57" t="str">
        <f>IF(AC504=1,O504/M504,"")</f>
        <v/>
      </c>
      <c r="U504" s="57" t="str">
        <f>IF(AC504=1,IF(O504&gt;0,R504/O504,""),"")</f>
        <v/>
      </c>
      <c r="V504" s="57" t="str">
        <f>IF(AC504=1,IF(P504&gt;0,N(G504)/P504,""),"")</f>
        <v/>
      </c>
      <c r="W504" s="57" t="str">
        <f>IF(AC504=1,S504/M504,"")</f>
        <v/>
      </c>
      <c r="X504" s="57" t="str">
        <f>IF(AC504=1,S504/K504,"")</f>
        <v/>
      </c>
      <c r="Y504" s="58" t="str">
        <f>IF(W504="","",IF(W504&gt;=p_target,"Bon",IF(W504&gt;=p_alert,"À surveiller","Faible")))</f>
        <v/>
      </c>
      <c r="Z504" s="58" t="str">
        <f>IF(W504="","",IF(MIN(IF(T504="",1,T504),IF(U504="",1,U504),IF(V504="",1,V504))&gt;=1,"Aucune",IF(IF(T504="",1,T504)&lt;=MIN(IF(U504="",1,U504),IF(V504="",1,V504)),"Disponibilité",IF(IF(U504="",1,U504)&lt;=IF(V504="",1,V504),"Performance","Qualité"))))</f>
        <v/>
      </c>
      <c r="AA504" s="59" t="str">
        <f>IF(AC504=1,N(H504)*N(IFERROR(INDEX(art_cost,MATCH(E504,art_ref,0)),0)),"")</f>
        <v/>
      </c>
      <c r="AB504" s="58" t="str">
        <f>IF(COUNTA(A504:I504)=0,"",IF(N(A504)&lt;=0,"Date manquante ou invalide",IF(B504="","Équipe manquante",IF(ISNA(MATCH(B504,eq_code,0)),"Équipe inconnue",IF(INDEX(eq_check,MATCH(B504,eq_code,0))&lt;&gt;"OK","Équipe à corriger dans Paramètres",IF(C504="","Poste manquant",IF(ISNA(MATCH(C504,po_code,0)),"Poste inconnu",IF(AND(E504&lt;&gt;"",ISNA(MATCH(E504,art_ref,0))),"Article inconnu",IF(IF(E504="",FALSE,INDEX(art_check,MATCH(E504,art_ref,0))&lt;&gt;"OK"),"Article à corriger (feuille Articles)",IF(COUNTIFS(sj_date,A504,sj_eq,B504,sj_po,C504)&gt;1,"Ligne en double (même jour, équipe et poste)",IF(OR(NOT(ISNUMBER(K504)),N(K504)&lt;=0,N(K504)&gt;1440),"Temps d'ouverture invalide",IF(OR(AND(G504&lt;&gt;"",NOT(ISNUMBER(G504))),N(G504)&lt;0,N(G504)&lt;&gt;INT(N(G504)),AND(H504&lt;&gt;"",NOT(ISNUMBER(H504))),N(H504)&lt;0,N(H504)&lt;&gt;INT(N(H504)),AND(I504&lt;&gt;"",NOT(ISNUMBER(I504))),N(I504)&lt;0,N(I504)&lt;&gt;INT(N(I504))),"Quantité invalide",IF(Q504&lt;=0,"Cadence manquante (poste ou article)",IF(M504&lt;=0,"Arrêts planifiés supérieurs au temps d'ouverture",IF(O504&lt;0,"Arrêts supérieurs au temps requis",IF(AND(P504&gt;0,O504=0),"Pièces déclarées sans temps de marche",IF(AND(P504=0,O504&gt;0),"Aucune pièce déclarée",IF(P504*60/Q504&gt;O504+0.001,"Cadence dépassée : vérifiez la cadence","OK"))))))))))))))))))</f>
        <v/>
      </c>
      <c r="AC504">
        <f>IF(OR(AB504="OK",AB504="Aucune pièce déclarée",AB504="Cadence dépassée : vérifiez la cadence"),1,0)</f>
        <v>0.0</v>
      </c>
      <c r="AD504">
        <f>IF(AND(AC504=1,A504&gt;=p_from,A504&lt;=p_to),1,0)</f>
        <v>0.0</v>
      </c>
      <c r="AE504">
        <f>IF(AD504=1,IF(COUNTIFS($A$6:A504,A504,$AD$6:AD504,1)=1,1,0),0)</f>
        <v>0.0</v>
      </c>
      <c r="AF504" t="str">
        <f>IF(AE504=1,COUNTIFS(sj_first,1,sj_date,"&lt;"&amp;A504)+1,"")</f>
        <v/>
      </c>
      <c r="AG504" t="str">
        <f>IF(AND(AD504=1,N(W504)&lt;p_alert),ROUND(W504,4),"")</f>
        <v/>
      </c>
      <c r="AH504" t="str">
        <f>IF(AG504="","",COUNTIF(sj_akey,"&lt;"&amp;AG504)+COUNTIF($AG$6:AG504,AG504))</f>
        <v/>
      </c>
    </row>
    <row r="505">
      <c r="A505" s="51" t="n"/>
      <c r="B505" s="52" t="n"/>
      <c r="C505" s="52" t="n"/>
      <c r="D505" s="53" t="n"/>
      <c r="E505" s="53" t="n"/>
      <c r="F505" s="54" t="n"/>
      <c r="G505" s="54" t="n"/>
      <c r="H505" s="54" t="n"/>
      <c r="I505" s="54" t="n"/>
      <c r="J505" s="53" t="n"/>
      <c r="K505" s="55" t="str">
        <f>IF(COUNTA(A505:I505)=0,"",IF(F505="",IFERROR(INDEX(eq_dur,MATCH(B505,eq_code,0)),""),F505))</f>
        <v/>
      </c>
      <c r="L505" s="55" t="str">
        <f>IF(ISNUMBER(K505),N(IFERROR(INDEX(eq_pause,MATCH(B505,eq_code,0)),0))+SUMIFS(st_min,st_date,A505,st_eq,B505,st_po,C505,st_type,"Planifié"),"")</f>
        <v/>
      </c>
      <c r="M505" s="55" t="str">
        <f>IF(ISNUMBER(K505),K505-L505,"")</f>
        <v/>
      </c>
      <c r="N505" s="55" t="str">
        <f>IF(ISNUMBER(K505),SUMIFS(st_min,st_date,A505,st_eq,B505,st_po,C505,st_type,"Non planifié"),"")</f>
        <v/>
      </c>
      <c r="O505" s="55" t="str">
        <f>IF(ISNUMBER(K505),M505-N505,"")</f>
        <v/>
      </c>
      <c r="P505" s="55" t="str">
        <f>IF(COUNTA(A505:I505)=0,"",N(G505)+N(H505)+N(I505))</f>
        <v/>
      </c>
      <c r="Q505" s="56" t="str">
        <f>IF(COUNTA(A505:I505)=0,"",IF(N(IFERROR(INDEX(art_rate,MATCH(E505,art_ref,0)),0))&gt;0,N(IFERROR(INDEX(art_rate,MATCH(E505,art_ref,0)),0)),N(IFERROR(INDEX(po_rate,MATCH(C505,po_code,0)),0))))</f>
        <v/>
      </c>
      <c r="R505" s="55" t="str">
        <f>IF(AC505=1,P505*60/Q505,"")</f>
        <v/>
      </c>
      <c r="S505" s="55" t="str">
        <f>IF(AC505=1,N(G505)*60/Q505,"")</f>
        <v/>
      </c>
      <c r="T505" s="57" t="str">
        <f>IF(AC505=1,O505/M505,"")</f>
        <v/>
      </c>
      <c r="U505" s="57" t="str">
        <f>IF(AC505=1,IF(O505&gt;0,R505/O505,""),"")</f>
        <v/>
      </c>
      <c r="V505" s="57" t="str">
        <f>IF(AC505=1,IF(P505&gt;0,N(G505)/P505,""),"")</f>
        <v/>
      </c>
      <c r="W505" s="57" t="str">
        <f>IF(AC505=1,S505/M505,"")</f>
        <v/>
      </c>
      <c r="X505" s="57" t="str">
        <f>IF(AC505=1,S505/K505,"")</f>
        <v/>
      </c>
      <c r="Y505" s="58" t="str">
        <f>IF(W505="","",IF(W505&gt;=p_target,"Bon",IF(W505&gt;=p_alert,"À surveiller","Faible")))</f>
        <v/>
      </c>
      <c r="Z505" s="58" t="str">
        <f>IF(W505="","",IF(MIN(IF(T505="",1,T505),IF(U505="",1,U505),IF(V505="",1,V505))&gt;=1,"Aucune",IF(IF(T505="",1,T505)&lt;=MIN(IF(U505="",1,U505),IF(V505="",1,V505)),"Disponibilité",IF(IF(U505="",1,U505)&lt;=IF(V505="",1,V505),"Performance","Qualité"))))</f>
        <v/>
      </c>
      <c r="AA505" s="59" t="str">
        <f>IF(AC505=1,N(H505)*N(IFERROR(INDEX(art_cost,MATCH(E505,art_ref,0)),0)),"")</f>
        <v/>
      </c>
      <c r="AB505" s="58" t="str">
        <f>IF(COUNTA(A505:I505)=0,"",IF(N(A505)&lt;=0,"Date manquante ou invalide",IF(B505="","Équipe manquante",IF(ISNA(MATCH(B505,eq_code,0)),"Équipe inconnue",IF(INDEX(eq_check,MATCH(B505,eq_code,0))&lt;&gt;"OK","Équipe à corriger dans Paramètres",IF(C505="","Poste manquant",IF(ISNA(MATCH(C505,po_code,0)),"Poste inconnu",IF(AND(E505&lt;&gt;"",ISNA(MATCH(E505,art_ref,0))),"Article inconnu",IF(IF(E505="",FALSE,INDEX(art_check,MATCH(E505,art_ref,0))&lt;&gt;"OK"),"Article à corriger (feuille Articles)",IF(COUNTIFS(sj_date,A505,sj_eq,B505,sj_po,C505)&gt;1,"Ligne en double (même jour, équipe et poste)",IF(OR(NOT(ISNUMBER(K505)),N(K505)&lt;=0,N(K505)&gt;1440),"Temps d'ouverture invalide",IF(OR(AND(G505&lt;&gt;"",NOT(ISNUMBER(G505))),N(G505)&lt;0,N(G505)&lt;&gt;INT(N(G505)),AND(H505&lt;&gt;"",NOT(ISNUMBER(H505))),N(H505)&lt;0,N(H505)&lt;&gt;INT(N(H505)),AND(I505&lt;&gt;"",NOT(ISNUMBER(I505))),N(I505)&lt;0,N(I505)&lt;&gt;INT(N(I505))),"Quantité invalide",IF(Q505&lt;=0,"Cadence manquante (poste ou article)",IF(M505&lt;=0,"Arrêts planifiés supérieurs au temps d'ouverture",IF(O505&lt;0,"Arrêts supérieurs au temps requis",IF(AND(P505&gt;0,O505=0),"Pièces déclarées sans temps de marche",IF(AND(P505=0,O505&gt;0),"Aucune pièce déclarée",IF(P505*60/Q505&gt;O505+0.001,"Cadence dépassée : vérifiez la cadence","OK"))))))))))))))))))</f>
        <v/>
      </c>
      <c r="AC505">
        <f>IF(OR(AB505="OK",AB505="Aucune pièce déclarée",AB505="Cadence dépassée : vérifiez la cadence"),1,0)</f>
        <v>0.0</v>
      </c>
      <c r="AD505">
        <f>IF(AND(AC505=1,A505&gt;=p_from,A505&lt;=p_to),1,0)</f>
        <v>0.0</v>
      </c>
      <c r="AE505">
        <f>IF(AD505=1,IF(COUNTIFS($A$6:A505,A505,$AD$6:AD505,1)=1,1,0),0)</f>
        <v>0.0</v>
      </c>
      <c r="AF505" t="str">
        <f>IF(AE505=1,COUNTIFS(sj_first,1,sj_date,"&lt;"&amp;A505)+1,"")</f>
        <v/>
      </c>
      <c r="AG505" t="str">
        <f>IF(AND(AD505=1,N(W505)&lt;p_alert),ROUND(W505,4),"")</f>
        <v/>
      </c>
      <c r="AH505" t="str">
        <f>IF(AG505="","",COUNTIF(sj_akey,"&lt;"&amp;AG505)+COUNTIF($AG$6:AG505,AG505))</f>
        <v/>
      </c>
    </row>
    <row r="506">
      <c r="A506" s="51" t="n"/>
      <c r="B506" s="52" t="n"/>
      <c r="C506" s="52" t="n"/>
      <c r="D506" s="53" t="n"/>
      <c r="E506" s="53" t="n"/>
      <c r="F506" s="54" t="n"/>
      <c r="G506" s="54" t="n"/>
      <c r="H506" s="54" t="n"/>
      <c r="I506" s="54" t="n"/>
      <c r="J506" s="53" t="n"/>
      <c r="K506" s="55" t="str">
        <f>IF(COUNTA(A506:I506)=0,"",IF(F506="",IFERROR(INDEX(eq_dur,MATCH(B506,eq_code,0)),""),F506))</f>
        <v/>
      </c>
      <c r="L506" s="55" t="str">
        <f>IF(ISNUMBER(K506),N(IFERROR(INDEX(eq_pause,MATCH(B506,eq_code,0)),0))+SUMIFS(st_min,st_date,A506,st_eq,B506,st_po,C506,st_type,"Planifié"),"")</f>
        <v/>
      </c>
      <c r="M506" s="55" t="str">
        <f>IF(ISNUMBER(K506),K506-L506,"")</f>
        <v/>
      </c>
      <c r="N506" s="55" t="str">
        <f>IF(ISNUMBER(K506),SUMIFS(st_min,st_date,A506,st_eq,B506,st_po,C506,st_type,"Non planifié"),"")</f>
        <v/>
      </c>
      <c r="O506" s="55" t="str">
        <f>IF(ISNUMBER(K506),M506-N506,"")</f>
        <v/>
      </c>
      <c r="P506" s="55" t="str">
        <f>IF(COUNTA(A506:I506)=0,"",N(G506)+N(H506)+N(I506))</f>
        <v/>
      </c>
      <c r="Q506" s="56" t="str">
        <f>IF(COUNTA(A506:I506)=0,"",IF(N(IFERROR(INDEX(art_rate,MATCH(E506,art_ref,0)),0))&gt;0,N(IFERROR(INDEX(art_rate,MATCH(E506,art_ref,0)),0)),N(IFERROR(INDEX(po_rate,MATCH(C506,po_code,0)),0))))</f>
        <v/>
      </c>
      <c r="R506" s="55" t="str">
        <f>IF(AC506=1,P506*60/Q506,"")</f>
        <v/>
      </c>
      <c r="S506" s="55" t="str">
        <f>IF(AC506=1,N(G506)*60/Q506,"")</f>
        <v/>
      </c>
      <c r="T506" s="57" t="str">
        <f>IF(AC506=1,O506/M506,"")</f>
        <v/>
      </c>
      <c r="U506" s="57" t="str">
        <f>IF(AC506=1,IF(O506&gt;0,R506/O506,""),"")</f>
        <v/>
      </c>
      <c r="V506" s="57" t="str">
        <f>IF(AC506=1,IF(P506&gt;0,N(G506)/P506,""),"")</f>
        <v/>
      </c>
      <c r="W506" s="57" t="str">
        <f>IF(AC506=1,S506/M506,"")</f>
        <v/>
      </c>
      <c r="X506" s="57" t="str">
        <f>IF(AC506=1,S506/K506,"")</f>
        <v/>
      </c>
      <c r="Y506" s="58" t="str">
        <f>IF(W506="","",IF(W506&gt;=p_target,"Bon",IF(W506&gt;=p_alert,"À surveiller","Faible")))</f>
        <v/>
      </c>
      <c r="Z506" s="58" t="str">
        <f>IF(W506="","",IF(MIN(IF(T506="",1,T506),IF(U506="",1,U506),IF(V506="",1,V506))&gt;=1,"Aucune",IF(IF(T506="",1,T506)&lt;=MIN(IF(U506="",1,U506),IF(V506="",1,V506)),"Disponibilité",IF(IF(U506="",1,U506)&lt;=IF(V506="",1,V506),"Performance","Qualité"))))</f>
        <v/>
      </c>
      <c r="AA506" s="59" t="str">
        <f>IF(AC506=1,N(H506)*N(IFERROR(INDEX(art_cost,MATCH(E506,art_ref,0)),0)),"")</f>
        <v/>
      </c>
      <c r="AB506" s="58" t="str">
        <f>IF(COUNTA(A506:I506)=0,"",IF(N(A506)&lt;=0,"Date manquante ou invalide",IF(B506="","Équipe manquante",IF(ISNA(MATCH(B506,eq_code,0)),"Équipe inconnue",IF(INDEX(eq_check,MATCH(B506,eq_code,0))&lt;&gt;"OK","Équipe à corriger dans Paramètres",IF(C506="","Poste manquant",IF(ISNA(MATCH(C506,po_code,0)),"Poste inconnu",IF(AND(E506&lt;&gt;"",ISNA(MATCH(E506,art_ref,0))),"Article inconnu",IF(IF(E506="",FALSE,INDEX(art_check,MATCH(E506,art_ref,0))&lt;&gt;"OK"),"Article à corriger (feuille Articles)",IF(COUNTIFS(sj_date,A506,sj_eq,B506,sj_po,C506)&gt;1,"Ligne en double (même jour, équipe et poste)",IF(OR(NOT(ISNUMBER(K506)),N(K506)&lt;=0,N(K506)&gt;1440),"Temps d'ouverture invalide",IF(OR(AND(G506&lt;&gt;"",NOT(ISNUMBER(G506))),N(G506)&lt;0,N(G506)&lt;&gt;INT(N(G506)),AND(H506&lt;&gt;"",NOT(ISNUMBER(H506))),N(H506)&lt;0,N(H506)&lt;&gt;INT(N(H506)),AND(I506&lt;&gt;"",NOT(ISNUMBER(I506))),N(I506)&lt;0,N(I506)&lt;&gt;INT(N(I506))),"Quantité invalide",IF(Q506&lt;=0,"Cadence manquante (poste ou article)",IF(M506&lt;=0,"Arrêts planifiés supérieurs au temps d'ouverture",IF(O506&lt;0,"Arrêts supérieurs au temps requis",IF(AND(P506&gt;0,O506=0),"Pièces déclarées sans temps de marche",IF(AND(P506=0,O506&gt;0),"Aucune pièce déclarée",IF(P506*60/Q506&gt;O506+0.001,"Cadence dépassée : vérifiez la cadence","OK"))))))))))))))))))</f>
        <v/>
      </c>
      <c r="AC506">
        <f>IF(OR(AB506="OK",AB506="Aucune pièce déclarée",AB506="Cadence dépassée : vérifiez la cadence"),1,0)</f>
        <v>0.0</v>
      </c>
      <c r="AD506">
        <f>IF(AND(AC506=1,A506&gt;=p_from,A506&lt;=p_to),1,0)</f>
        <v>0.0</v>
      </c>
      <c r="AE506">
        <f>IF(AD506=1,IF(COUNTIFS($A$6:A506,A506,$AD$6:AD506,1)=1,1,0),0)</f>
        <v>0.0</v>
      </c>
      <c r="AF506" t="str">
        <f>IF(AE506=1,COUNTIFS(sj_first,1,sj_date,"&lt;"&amp;A506)+1,"")</f>
        <v/>
      </c>
      <c r="AG506" t="str">
        <f>IF(AND(AD506=1,N(W506)&lt;p_alert),ROUND(W506,4),"")</f>
        <v/>
      </c>
      <c r="AH506" t="str">
        <f>IF(AG506="","",COUNTIF(sj_akey,"&lt;"&amp;AG506)+COUNTIF($AG$6:AG506,AG506))</f>
        <v/>
      </c>
    </row>
    <row r="507">
      <c r="A507" s="51" t="n"/>
      <c r="B507" s="52" t="n"/>
      <c r="C507" s="52" t="n"/>
      <c r="D507" s="53" t="n"/>
      <c r="E507" s="53" t="n"/>
      <c r="F507" s="54" t="n"/>
      <c r="G507" s="54" t="n"/>
      <c r="H507" s="54" t="n"/>
      <c r="I507" s="54" t="n"/>
      <c r="J507" s="53" t="n"/>
      <c r="K507" s="55" t="str">
        <f>IF(COUNTA(A507:I507)=0,"",IF(F507="",IFERROR(INDEX(eq_dur,MATCH(B507,eq_code,0)),""),F507))</f>
        <v/>
      </c>
      <c r="L507" s="55" t="str">
        <f>IF(ISNUMBER(K507),N(IFERROR(INDEX(eq_pause,MATCH(B507,eq_code,0)),0))+SUMIFS(st_min,st_date,A507,st_eq,B507,st_po,C507,st_type,"Planifié"),"")</f>
        <v/>
      </c>
      <c r="M507" s="55" t="str">
        <f>IF(ISNUMBER(K507),K507-L507,"")</f>
        <v/>
      </c>
      <c r="N507" s="55" t="str">
        <f>IF(ISNUMBER(K507),SUMIFS(st_min,st_date,A507,st_eq,B507,st_po,C507,st_type,"Non planifié"),"")</f>
        <v/>
      </c>
      <c r="O507" s="55" t="str">
        <f>IF(ISNUMBER(K507),M507-N507,"")</f>
        <v/>
      </c>
      <c r="P507" s="55" t="str">
        <f>IF(COUNTA(A507:I507)=0,"",N(G507)+N(H507)+N(I507))</f>
        <v/>
      </c>
      <c r="Q507" s="56" t="str">
        <f>IF(COUNTA(A507:I507)=0,"",IF(N(IFERROR(INDEX(art_rate,MATCH(E507,art_ref,0)),0))&gt;0,N(IFERROR(INDEX(art_rate,MATCH(E507,art_ref,0)),0)),N(IFERROR(INDEX(po_rate,MATCH(C507,po_code,0)),0))))</f>
        <v/>
      </c>
      <c r="R507" s="55" t="str">
        <f>IF(AC507=1,P507*60/Q507,"")</f>
        <v/>
      </c>
      <c r="S507" s="55" t="str">
        <f>IF(AC507=1,N(G507)*60/Q507,"")</f>
        <v/>
      </c>
      <c r="T507" s="57" t="str">
        <f>IF(AC507=1,O507/M507,"")</f>
        <v/>
      </c>
      <c r="U507" s="57" t="str">
        <f>IF(AC507=1,IF(O507&gt;0,R507/O507,""),"")</f>
        <v/>
      </c>
      <c r="V507" s="57" t="str">
        <f>IF(AC507=1,IF(P507&gt;0,N(G507)/P507,""),"")</f>
        <v/>
      </c>
      <c r="W507" s="57" t="str">
        <f>IF(AC507=1,S507/M507,"")</f>
        <v/>
      </c>
      <c r="X507" s="57" t="str">
        <f>IF(AC507=1,S507/K507,"")</f>
        <v/>
      </c>
      <c r="Y507" s="58" t="str">
        <f>IF(W507="","",IF(W507&gt;=p_target,"Bon",IF(W507&gt;=p_alert,"À surveiller","Faible")))</f>
        <v/>
      </c>
      <c r="Z507" s="58" t="str">
        <f>IF(W507="","",IF(MIN(IF(T507="",1,T507),IF(U507="",1,U507),IF(V507="",1,V507))&gt;=1,"Aucune",IF(IF(T507="",1,T507)&lt;=MIN(IF(U507="",1,U507),IF(V507="",1,V507)),"Disponibilité",IF(IF(U507="",1,U507)&lt;=IF(V507="",1,V507),"Performance","Qualité"))))</f>
        <v/>
      </c>
      <c r="AA507" s="59" t="str">
        <f>IF(AC507=1,N(H507)*N(IFERROR(INDEX(art_cost,MATCH(E507,art_ref,0)),0)),"")</f>
        <v/>
      </c>
      <c r="AB507" s="58" t="str">
        <f>IF(COUNTA(A507:I507)=0,"",IF(N(A507)&lt;=0,"Date manquante ou invalide",IF(B507="","Équipe manquante",IF(ISNA(MATCH(B507,eq_code,0)),"Équipe inconnue",IF(INDEX(eq_check,MATCH(B507,eq_code,0))&lt;&gt;"OK","Équipe à corriger dans Paramètres",IF(C507="","Poste manquant",IF(ISNA(MATCH(C507,po_code,0)),"Poste inconnu",IF(AND(E507&lt;&gt;"",ISNA(MATCH(E507,art_ref,0))),"Article inconnu",IF(IF(E507="",FALSE,INDEX(art_check,MATCH(E507,art_ref,0))&lt;&gt;"OK"),"Article à corriger (feuille Articles)",IF(COUNTIFS(sj_date,A507,sj_eq,B507,sj_po,C507)&gt;1,"Ligne en double (même jour, équipe et poste)",IF(OR(NOT(ISNUMBER(K507)),N(K507)&lt;=0,N(K507)&gt;1440),"Temps d'ouverture invalide",IF(OR(AND(G507&lt;&gt;"",NOT(ISNUMBER(G507))),N(G507)&lt;0,N(G507)&lt;&gt;INT(N(G507)),AND(H507&lt;&gt;"",NOT(ISNUMBER(H507))),N(H507)&lt;0,N(H507)&lt;&gt;INT(N(H507)),AND(I507&lt;&gt;"",NOT(ISNUMBER(I507))),N(I507)&lt;0,N(I507)&lt;&gt;INT(N(I507))),"Quantité invalide",IF(Q507&lt;=0,"Cadence manquante (poste ou article)",IF(M507&lt;=0,"Arrêts planifiés supérieurs au temps d'ouverture",IF(O507&lt;0,"Arrêts supérieurs au temps requis",IF(AND(P507&gt;0,O507=0),"Pièces déclarées sans temps de marche",IF(AND(P507=0,O507&gt;0),"Aucune pièce déclarée",IF(P507*60/Q507&gt;O507+0.001,"Cadence dépassée : vérifiez la cadence","OK"))))))))))))))))))</f>
        <v/>
      </c>
      <c r="AC507">
        <f>IF(OR(AB507="OK",AB507="Aucune pièce déclarée",AB507="Cadence dépassée : vérifiez la cadence"),1,0)</f>
        <v>0.0</v>
      </c>
      <c r="AD507">
        <f>IF(AND(AC507=1,A507&gt;=p_from,A507&lt;=p_to),1,0)</f>
        <v>0.0</v>
      </c>
      <c r="AE507">
        <f>IF(AD507=1,IF(COUNTIFS($A$6:A507,A507,$AD$6:AD507,1)=1,1,0),0)</f>
        <v>0.0</v>
      </c>
      <c r="AF507" t="str">
        <f>IF(AE507=1,COUNTIFS(sj_first,1,sj_date,"&lt;"&amp;A507)+1,"")</f>
        <v/>
      </c>
      <c r="AG507" t="str">
        <f>IF(AND(AD507=1,N(W507)&lt;p_alert),ROUND(W507,4),"")</f>
        <v/>
      </c>
      <c r="AH507" t="str">
        <f>IF(AG507="","",COUNTIF(sj_akey,"&lt;"&amp;AG507)+COUNTIF($AG$6:AG507,AG507))</f>
        <v/>
      </c>
    </row>
    <row r="508">
      <c r="A508" s="51" t="n"/>
      <c r="B508" s="52" t="n"/>
      <c r="C508" s="52" t="n"/>
      <c r="D508" s="53" t="n"/>
      <c r="E508" s="53" t="n"/>
      <c r="F508" s="54" t="n"/>
      <c r="G508" s="54" t="n"/>
      <c r="H508" s="54" t="n"/>
      <c r="I508" s="54" t="n"/>
      <c r="J508" s="53" t="n"/>
      <c r="K508" s="55" t="str">
        <f>IF(COUNTA(A508:I508)=0,"",IF(F508="",IFERROR(INDEX(eq_dur,MATCH(B508,eq_code,0)),""),F508))</f>
        <v/>
      </c>
      <c r="L508" s="55" t="str">
        <f>IF(ISNUMBER(K508),N(IFERROR(INDEX(eq_pause,MATCH(B508,eq_code,0)),0))+SUMIFS(st_min,st_date,A508,st_eq,B508,st_po,C508,st_type,"Planifié"),"")</f>
        <v/>
      </c>
      <c r="M508" s="55" t="str">
        <f>IF(ISNUMBER(K508),K508-L508,"")</f>
        <v/>
      </c>
      <c r="N508" s="55" t="str">
        <f>IF(ISNUMBER(K508),SUMIFS(st_min,st_date,A508,st_eq,B508,st_po,C508,st_type,"Non planifié"),"")</f>
        <v/>
      </c>
      <c r="O508" s="55" t="str">
        <f>IF(ISNUMBER(K508),M508-N508,"")</f>
        <v/>
      </c>
      <c r="P508" s="55" t="str">
        <f>IF(COUNTA(A508:I508)=0,"",N(G508)+N(H508)+N(I508))</f>
        <v/>
      </c>
      <c r="Q508" s="56" t="str">
        <f>IF(COUNTA(A508:I508)=0,"",IF(N(IFERROR(INDEX(art_rate,MATCH(E508,art_ref,0)),0))&gt;0,N(IFERROR(INDEX(art_rate,MATCH(E508,art_ref,0)),0)),N(IFERROR(INDEX(po_rate,MATCH(C508,po_code,0)),0))))</f>
        <v/>
      </c>
      <c r="R508" s="55" t="str">
        <f>IF(AC508=1,P508*60/Q508,"")</f>
        <v/>
      </c>
      <c r="S508" s="55" t="str">
        <f>IF(AC508=1,N(G508)*60/Q508,"")</f>
        <v/>
      </c>
      <c r="T508" s="57" t="str">
        <f>IF(AC508=1,O508/M508,"")</f>
        <v/>
      </c>
      <c r="U508" s="57" t="str">
        <f>IF(AC508=1,IF(O508&gt;0,R508/O508,""),"")</f>
        <v/>
      </c>
      <c r="V508" s="57" t="str">
        <f>IF(AC508=1,IF(P508&gt;0,N(G508)/P508,""),"")</f>
        <v/>
      </c>
      <c r="W508" s="57" t="str">
        <f>IF(AC508=1,S508/M508,"")</f>
        <v/>
      </c>
      <c r="X508" s="57" t="str">
        <f>IF(AC508=1,S508/K508,"")</f>
        <v/>
      </c>
      <c r="Y508" s="58" t="str">
        <f>IF(W508="","",IF(W508&gt;=p_target,"Bon",IF(W508&gt;=p_alert,"À surveiller","Faible")))</f>
        <v/>
      </c>
      <c r="Z508" s="58" t="str">
        <f>IF(W508="","",IF(MIN(IF(T508="",1,T508),IF(U508="",1,U508),IF(V508="",1,V508))&gt;=1,"Aucune",IF(IF(T508="",1,T508)&lt;=MIN(IF(U508="",1,U508),IF(V508="",1,V508)),"Disponibilité",IF(IF(U508="",1,U508)&lt;=IF(V508="",1,V508),"Performance","Qualité"))))</f>
        <v/>
      </c>
      <c r="AA508" s="59" t="str">
        <f>IF(AC508=1,N(H508)*N(IFERROR(INDEX(art_cost,MATCH(E508,art_ref,0)),0)),"")</f>
        <v/>
      </c>
      <c r="AB508" s="58" t="str">
        <f>IF(COUNTA(A508:I508)=0,"",IF(N(A508)&lt;=0,"Date manquante ou invalide",IF(B508="","Équipe manquante",IF(ISNA(MATCH(B508,eq_code,0)),"Équipe inconnue",IF(INDEX(eq_check,MATCH(B508,eq_code,0))&lt;&gt;"OK","Équipe à corriger dans Paramètres",IF(C508="","Poste manquant",IF(ISNA(MATCH(C508,po_code,0)),"Poste inconnu",IF(AND(E508&lt;&gt;"",ISNA(MATCH(E508,art_ref,0))),"Article inconnu",IF(IF(E508="",FALSE,INDEX(art_check,MATCH(E508,art_ref,0))&lt;&gt;"OK"),"Article à corriger (feuille Articles)",IF(COUNTIFS(sj_date,A508,sj_eq,B508,sj_po,C508)&gt;1,"Ligne en double (même jour, équipe et poste)",IF(OR(NOT(ISNUMBER(K508)),N(K508)&lt;=0,N(K508)&gt;1440),"Temps d'ouverture invalide",IF(OR(AND(G508&lt;&gt;"",NOT(ISNUMBER(G508))),N(G508)&lt;0,N(G508)&lt;&gt;INT(N(G508)),AND(H508&lt;&gt;"",NOT(ISNUMBER(H508))),N(H508)&lt;0,N(H508)&lt;&gt;INT(N(H508)),AND(I508&lt;&gt;"",NOT(ISNUMBER(I508))),N(I508)&lt;0,N(I508)&lt;&gt;INT(N(I508))),"Quantité invalide",IF(Q508&lt;=0,"Cadence manquante (poste ou article)",IF(M508&lt;=0,"Arrêts planifiés supérieurs au temps d'ouverture",IF(O508&lt;0,"Arrêts supérieurs au temps requis",IF(AND(P508&gt;0,O508=0),"Pièces déclarées sans temps de marche",IF(AND(P508=0,O508&gt;0),"Aucune pièce déclarée",IF(P508*60/Q508&gt;O508+0.001,"Cadence dépassée : vérifiez la cadence","OK"))))))))))))))))))</f>
        <v/>
      </c>
      <c r="AC508">
        <f>IF(OR(AB508="OK",AB508="Aucune pièce déclarée",AB508="Cadence dépassée : vérifiez la cadence"),1,0)</f>
        <v>0.0</v>
      </c>
      <c r="AD508">
        <f>IF(AND(AC508=1,A508&gt;=p_from,A508&lt;=p_to),1,0)</f>
        <v>0.0</v>
      </c>
      <c r="AE508">
        <f>IF(AD508=1,IF(COUNTIFS($A$6:A508,A508,$AD$6:AD508,1)=1,1,0),0)</f>
        <v>0.0</v>
      </c>
      <c r="AF508" t="str">
        <f>IF(AE508=1,COUNTIFS(sj_first,1,sj_date,"&lt;"&amp;A508)+1,"")</f>
        <v/>
      </c>
      <c r="AG508" t="str">
        <f>IF(AND(AD508=1,N(W508)&lt;p_alert),ROUND(W508,4),"")</f>
        <v/>
      </c>
      <c r="AH508" t="str">
        <f>IF(AG508="","",COUNTIF(sj_akey,"&lt;"&amp;AG508)+COUNTIF($AG$6:AG508,AG508))</f>
        <v/>
      </c>
    </row>
    <row r="509">
      <c r="A509" s="51" t="n"/>
      <c r="B509" s="52" t="n"/>
      <c r="C509" s="52" t="n"/>
      <c r="D509" s="53" t="n"/>
      <c r="E509" s="53" t="n"/>
      <c r="F509" s="54" t="n"/>
      <c r="G509" s="54" t="n"/>
      <c r="H509" s="54" t="n"/>
      <c r="I509" s="54" t="n"/>
      <c r="J509" s="53" t="n"/>
      <c r="K509" s="55" t="str">
        <f>IF(COUNTA(A509:I509)=0,"",IF(F509="",IFERROR(INDEX(eq_dur,MATCH(B509,eq_code,0)),""),F509))</f>
        <v/>
      </c>
      <c r="L509" s="55" t="str">
        <f>IF(ISNUMBER(K509),N(IFERROR(INDEX(eq_pause,MATCH(B509,eq_code,0)),0))+SUMIFS(st_min,st_date,A509,st_eq,B509,st_po,C509,st_type,"Planifié"),"")</f>
        <v/>
      </c>
      <c r="M509" s="55" t="str">
        <f>IF(ISNUMBER(K509),K509-L509,"")</f>
        <v/>
      </c>
      <c r="N509" s="55" t="str">
        <f>IF(ISNUMBER(K509),SUMIFS(st_min,st_date,A509,st_eq,B509,st_po,C509,st_type,"Non planifié"),"")</f>
        <v/>
      </c>
      <c r="O509" s="55" t="str">
        <f>IF(ISNUMBER(K509),M509-N509,"")</f>
        <v/>
      </c>
      <c r="P509" s="55" t="str">
        <f>IF(COUNTA(A509:I509)=0,"",N(G509)+N(H509)+N(I509))</f>
        <v/>
      </c>
      <c r="Q509" s="56" t="str">
        <f>IF(COUNTA(A509:I509)=0,"",IF(N(IFERROR(INDEX(art_rate,MATCH(E509,art_ref,0)),0))&gt;0,N(IFERROR(INDEX(art_rate,MATCH(E509,art_ref,0)),0)),N(IFERROR(INDEX(po_rate,MATCH(C509,po_code,0)),0))))</f>
        <v/>
      </c>
      <c r="R509" s="55" t="str">
        <f>IF(AC509=1,P509*60/Q509,"")</f>
        <v/>
      </c>
      <c r="S509" s="55" t="str">
        <f>IF(AC509=1,N(G509)*60/Q509,"")</f>
        <v/>
      </c>
      <c r="T509" s="57" t="str">
        <f>IF(AC509=1,O509/M509,"")</f>
        <v/>
      </c>
      <c r="U509" s="57" t="str">
        <f>IF(AC509=1,IF(O509&gt;0,R509/O509,""),"")</f>
        <v/>
      </c>
      <c r="V509" s="57" t="str">
        <f>IF(AC509=1,IF(P509&gt;0,N(G509)/P509,""),"")</f>
        <v/>
      </c>
      <c r="W509" s="57" t="str">
        <f>IF(AC509=1,S509/M509,"")</f>
        <v/>
      </c>
      <c r="X509" s="57" t="str">
        <f>IF(AC509=1,S509/K509,"")</f>
        <v/>
      </c>
      <c r="Y509" s="58" t="str">
        <f>IF(W509="","",IF(W509&gt;=p_target,"Bon",IF(W509&gt;=p_alert,"À surveiller","Faible")))</f>
        <v/>
      </c>
      <c r="Z509" s="58" t="str">
        <f>IF(W509="","",IF(MIN(IF(T509="",1,T509),IF(U509="",1,U509),IF(V509="",1,V509))&gt;=1,"Aucune",IF(IF(T509="",1,T509)&lt;=MIN(IF(U509="",1,U509),IF(V509="",1,V509)),"Disponibilité",IF(IF(U509="",1,U509)&lt;=IF(V509="",1,V509),"Performance","Qualité"))))</f>
        <v/>
      </c>
      <c r="AA509" s="59" t="str">
        <f>IF(AC509=1,N(H509)*N(IFERROR(INDEX(art_cost,MATCH(E509,art_ref,0)),0)),"")</f>
        <v/>
      </c>
      <c r="AB509" s="58" t="str">
        <f>IF(COUNTA(A509:I509)=0,"",IF(N(A509)&lt;=0,"Date manquante ou invalide",IF(B509="","Équipe manquante",IF(ISNA(MATCH(B509,eq_code,0)),"Équipe inconnue",IF(INDEX(eq_check,MATCH(B509,eq_code,0))&lt;&gt;"OK","Équipe à corriger dans Paramètres",IF(C509="","Poste manquant",IF(ISNA(MATCH(C509,po_code,0)),"Poste inconnu",IF(AND(E509&lt;&gt;"",ISNA(MATCH(E509,art_ref,0))),"Article inconnu",IF(IF(E509="",FALSE,INDEX(art_check,MATCH(E509,art_ref,0))&lt;&gt;"OK"),"Article à corriger (feuille Articles)",IF(COUNTIFS(sj_date,A509,sj_eq,B509,sj_po,C509)&gt;1,"Ligne en double (même jour, équipe et poste)",IF(OR(NOT(ISNUMBER(K509)),N(K509)&lt;=0,N(K509)&gt;1440),"Temps d'ouverture invalide",IF(OR(AND(G509&lt;&gt;"",NOT(ISNUMBER(G509))),N(G509)&lt;0,N(G509)&lt;&gt;INT(N(G509)),AND(H509&lt;&gt;"",NOT(ISNUMBER(H509))),N(H509)&lt;0,N(H509)&lt;&gt;INT(N(H509)),AND(I509&lt;&gt;"",NOT(ISNUMBER(I509))),N(I509)&lt;0,N(I509)&lt;&gt;INT(N(I509))),"Quantité invalide",IF(Q509&lt;=0,"Cadence manquante (poste ou article)",IF(M509&lt;=0,"Arrêts planifiés supérieurs au temps d'ouverture",IF(O509&lt;0,"Arrêts supérieurs au temps requis",IF(AND(P509&gt;0,O509=0),"Pièces déclarées sans temps de marche",IF(AND(P509=0,O509&gt;0),"Aucune pièce déclarée",IF(P509*60/Q509&gt;O509+0.001,"Cadence dépassée : vérifiez la cadence","OK"))))))))))))))))))</f>
        <v/>
      </c>
      <c r="AC509">
        <f>IF(OR(AB509="OK",AB509="Aucune pièce déclarée",AB509="Cadence dépassée : vérifiez la cadence"),1,0)</f>
        <v>0.0</v>
      </c>
      <c r="AD509">
        <f>IF(AND(AC509=1,A509&gt;=p_from,A509&lt;=p_to),1,0)</f>
        <v>0.0</v>
      </c>
      <c r="AE509">
        <f>IF(AD509=1,IF(COUNTIFS($A$6:A509,A509,$AD$6:AD509,1)=1,1,0),0)</f>
        <v>0.0</v>
      </c>
      <c r="AF509" t="str">
        <f>IF(AE509=1,COUNTIFS(sj_first,1,sj_date,"&lt;"&amp;A509)+1,"")</f>
        <v/>
      </c>
      <c r="AG509" t="str">
        <f>IF(AND(AD509=1,N(W509)&lt;p_alert),ROUND(W509,4),"")</f>
        <v/>
      </c>
      <c r="AH509" t="str">
        <f>IF(AG509="","",COUNTIF(sj_akey,"&lt;"&amp;AG509)+COUNTIF($AG$6:AG509,AG509))</f>
        <v/>
      </c>
    </row>
    <row r="510">
      <c r="A510" s="51" t="n"/>
      <c r="B510" s="52" t="n"/>
      <c r="C510" s="52" t="n"/>
      <c r="D510" s="53" t="n"/>
      <c r="E510" s="53" t="n"/>
      <c r="F510" s="54" t="n"/>
      <c r="G510" s="54" t="n"/>
      <c r="H510" s="54" t="n"/>
      <c r="I510" s="54" t="n"/>
      <c r="J510" s="53" t="n"/>
      <c r="K510" s="55" t="str">
        <f>IF(COUNTA(A510:I510)=0,"",IF(F510="",IFERROR(INDEX(eq_dur,MATCH(B510,eq_code,0)),""),F510))</f>
        <v/>
      </c>
      <c r="L510" s="55" t="str">
        <f>IF(ISNUMBER(K510),N(IFERROR(INDEX(eq_pause,MATCH(B510,eq_code,0)),0))+SUMIFS(st_min,st_date,A510,st_eq,B510,st_po,C510,st_type,"Planifié"),"")</f>
        <v/>
      </c>
      <c r="M510" s="55" t="str">
        <f>IF(ISNUMBER(K510),K510-L510,"")</f>
        <v/>
      </c>
      <c r="N510" s="55" t="str">
        <f>IF(ISNUMBER(K510),SUMIFS(st_min,st_date,A510,st_eq,B510,st_po,C510,st_type,"Non planifié"),"")</f>
        <v/>
      </c>
      <c r="O510" s="55" t="str">
        <f>IF(ISNUMBER(K510),M510-N510,"")</f>
        <v/>
      </c>
      <c r="P510" s="55" t="str">
        <f>IF(COUNTA(A510:I510)=0,"",N(G510)+N(H510)+N(I510))</f>
        <v/>
      </c>
      <c r="Q510" s="56" t="str">
        <f>IF(COUNTA(A510:I510)=0,"",IF(N(IFERROR(INDEX(art_rate,MATCH(E510,art_ref,0)),0))&gt;0,N(IFERROR(INDEX(art_rate,MATCH(E510,art_ref,0)),0)),N(IFERROR(INDEX(po_rate,MATCH(C510,po_code,0)),0))))</f>
        <v/>
      </c>
      <c r="R510" s="55" t="str">
        <f>IF(AC510=1,P510*60/Q510,"")</f>
        <v/>
      </c>
      <c r="S510" s="55" t="str">
        <f>IF(AC510=1,N(G510)*60/Q510,"")</f>
        <v/>
      </c>
      <c r="T510" s="57" t="str">
        <f>IF(AC510=1,O510/M510,"")</f>
        <v/>
      </c>
      <c r="U510" s="57" t="str">
        <f>IF(AC510=1,IF(O510&gt;0,R510/O510,""),"")</f>
        <v/>
      </c>
      <c r="V510" s="57" t="str">
        <f>IF(AC510=1,IF(P510&gt;0,N(G510)/P510,""),"")</f>
        <v/>
      </c>
      <c r="W510" s="57" t="str">
        <f>IF(AC510=1,S510/M510,"")</f>
        <v/>
      </c>
      <c r="X510" s="57" t="str">
        <f>IF(AC510=1,S510/K510,"")</f>
        <v/>
      </c>
      <c r="Y510" s="58" t="str">
        <f>IF(W510="","",IF(W510&gt;=p_target,"Bon",IF(W510&gt;=p_alert,"À surveiller","Faible")))</f>
        <v/>
      </c>
      <c r="Z510" s="58" t="str">
        <f>IF(W510="","",IF(MIN(IF(T510="",1,T510),IF(U510="",1,U510),IF(V510="",1,V510))&gt;=1,"Aucune",IF(IF(T510="",1,T510)&lt;=MIN(IF(U510="",1,U510),IF(V510="",1,V510)),"Disponibilité",IF(IF(U510="",1,U510)&lt;=IF(V510="",1,V510),"Performance","Qualité"))))</f>
        <v/>
      </c>
      <c r="AA510" s="59" t="str">
        <f>IF(AC510=1,N(H510)*N(IFERROR(INDEX(art_cost,MATCH(E510,art_ref,0)),0)),"")</f>
        <v/>
      </c>
      <c r="AB510" s="58" t="str">
        <f>IF(COUNTA(A510:I510)=0,"",IF(N(A510)&lt;=0,"Date manquante ou invalide",IF(B510="","Équipe manquante",IF(ISNA(MATCH(B510,eq_code,0)),"Équipe inconnue",IF(INDEX(eq_check,MATCH(B510,eq_code,0))&lt;&gt;"OK","Équipe à corriger dans Paramètres",IF(C510="","Poste manquant",IF(ISNA(MATCH(C510,po_code,0)),"Poste inconnu",IF(AND(E510&lt;&gt;"",ISNA(MATCH(E510,art_ref,0))),"Article inconnu",IF(IF(E510="",FALSE,INDEX(art_check,MATCH(E510,art_ref,0))&lt;&gt;"OK"),"Article à corriger (feuille Articles)",IF(COUNTIFS(sj_date,A510,sj_eq,B510,sj_po,C510)&gt;1,"Ligne en double (même jour, équipe et poste)",IF(OR(NOT(ISNUMBER(K510)),N(K510)&lt;=0,N(K510)&gt;1440),"Temps d'ouverture invalide",IF(OR(AND(G510&lt;&gt;"",NOT(ISNUMBER(G510))),N(G510)&lt;0,N(G510)&lt;&gt;INT(N(G510)),AND(H510&lt;&gt;"",NOT(ISNUMBER(H510))),N(H510)&lt;0,N(H510)&lt;&gt;INT(N(H510)),AND(I510&lt;&gt;"",NOT(ISNUMBER(I510))),N(I510)&lt;0,N(I510)&lt;&gt;INT(N(I510))),"Quantité invalide",IF(Q510&lt;=0,"Cadence manquante (poste ou article)",IF(M510&lt;=0,"Arrêts planifiés supérieurs au temps d'ouverture",IF(O510&lt;0,"Arrêts supérieurs au temps requis",IF(AND(P510&gt;0,O510=0),"Pièces déclarées sans temps de marche",IF(AND(P510=0,O510&gt;0),"Aucune pièce déclarée",IF(P510*60/Q510&gt;O510+0.001,"Cadence dépassée : vérifiez la cadence","OK"))))))))))))))))))</f>
        <v/>
      </c>
      <c r="AC510">
        <f>IF(OR(AB510="OK",AB510="Aucune pièce déclarée",AB510="Cadence dépassée : vérifiez la cadence"),1,0)</f>
        <v>0.0</v>
      </c>
      <c r="AD510">
        <f>IF(AND(AC510=1,A510&gt;=p_from,A510&lt;=p_to),1,0)</f>
        <v>0.0</v>
      </c>
      <c r="AE510">
        <f>IF(AD510=1,IF(COUNTIFS($A$6:A510,A510,$AD$6:AD510,1)=1,1,0),0)</f>
        <v>0.0</v>
      </c>
      <c r="AF510" t="str">
        <f>IF(AE510=1,COUNTIFS(sj_first,1,sj_date,"&lt;"&amp;A510)+1,"")</f>
        <v/>
      </c>
      <c r="AG510" t="str">
        <f>IF(AND(AD510=1,N(W510)&lt;p_alert),ROUND(W510,4),"")</f>
        <v/>
      </c>
      <c r="AH510" t="str">
        <f>IF(AG510="","",COUNTIF(sj_akey,"&lt;"&amp;AG510)+COUNTIF($AG$6:AG510,AG510))</f>
        <v/>
      </c>
    </row>
    <row r="511">
      <c r="A511" s="51" t="n"/>
      <c r="B511" s="52" t="n"/>
      <c r="C511" s="52" t="n"/>
      <c r="D511" s="53" t="n"/>
      <c r="E511" s="53" t="n"/>
      <c r="F511" s="54" t="n"/>
      <c r="G511" s="54" t="n"/>
      <c r="H511" s="54" t="n"/>
      <c r="I511" s="54" t="n"/>
      <c r="J511" s="53" t="n"/>
      <c r="K511" s="55" t="str">
        <f>IF(COUNTA(A511:I511)=0,"",IF(F511="",IFERROR(INDEX(eq_dur,MATCH(B511,eq_code,0)),""),F511))</f>
        <v/>
      </c>
      <c r="L511" s="55" t="str">
        <f>IF(ISNUMBER(K511),N(IFERROR(INDEX(eq_pause,MATCH(B511,eq_code,0)),0))+SUMIFS(st_min,st_date,A511,st_eq,B511,st_po,C511,st_type,"Planifié"),"")</f>
        <v/>
      </c>
      <c r="M511" s="55" t="str">
        <f>IF(ISNUMBER(K511),K511-L511,"")</f>
        <v/>
      </c>
      <c r="N511" s="55" t="str">
        <f>IF(ISNUMBER(K511),SUMIFS(st_min,st_date,A511,st_eq,B511,st_po,C511,st_type,"Non planifié"),"")</f>
        <v/>
      </c>
      <c r="O511" s="55" t="str">
        <f>IF(ISNUMBER(K511),M511-N511,"")</f>
        <v/>
      </c>
      <c r="P511" s="55" t="str">
        <f>IF(COUNTA(A511:I511)=0,"",N(G511)+N(H511)+N(I511))</f>
        <v/>
      </c>
      <c r="Q511" s="56" t="str">
        <f>IF(COUNTA(A511:I511)=0,"",IF(N(IFERROR(INDEX(art_rate,MATCH(E511,art_ref,0)),0))&gt;0,N(IFERROR(INDEX(art_rate,MATCH(E511,art_ref,0)),0)),N(IFERROR(INDEX(po_rate,MATCH(C511,po_code,0)),0))))</f>
        <v/>
      </c>
      <c r="R511" s="55" t="str">
        <f>IF(AC511=1,P511*60/Q511,"")</f>
        <v/>
      </c>
      <c r="S511" s="55" t="str">
        <f>IF(AC511=1,N(G511)*60/Q511,"")</f>
        <v/>
      </c>
      <c r="T511" s="57" t="str">
        <f>IF(AC511=1,O511/M511,"")</f>
        <v/>
      </c>
      <c r="U511" s="57" t="str">
        <f>IF(AC511=1,IF(O511&gt;0,R511/O511,""),"")</f>
        <v/>
      </c>
      <c r="V511" s="57" t="str">
        <f>IF(AC511=1,IF(P511&gt;0,N(G511)/P511,""),"")</f>
        <v/>
      </c>
      <c r="W511" s="57" t="str">
        <f>IF(AC511=1,S511/M511,"")</f>
        <v/>
      </c>
      <c r="X511" s="57" t="str">
        <f>IF(AC511=1,S511/K511,"")</f>
        <v/>
      </c>
      <c r="Y511" s="58" t="str">
        <f>IF(W511="","",IF(W511&gt;=p_target,"Bon",IF(W511&gt;=p_alert,"À surveiller","Faible")))</f>
        <v/>
      </c>
      <c r="Z511" s="58" t="str">
        <f>IF(W511="","",IF(MIN(IF(T511="",1,T511),IF(U511="",1,U511),IF(V511="",1,V511))&gt;=1,"Aucune",IF(IF(T511="",1,T511)&lt;=MIN(IF(U511="",1,U511),IF(V511="",1,V511)),"Disponibilité",IF(IF(U511="",1,U511)&lt;=IF(V511="",1,V511),"Performance","Qualité"))))</f>
        <v/>
      </c>
      <c r="AA511" s="59" t="str">
        <f>IF(AC511=1,N(H511)*N(IFERROR(INDEX(art_cost,MATCH(E511,art_ref,0)),0)),"")</f>
        <v/>
      </c>
      <c r="AB511" s="58" t="str">
        <f>IF(COUNTA(A511:I511)=0,"",IF(N(A511)&lt;=0,"Date manquante ou invalide",IF(B511="","Équipe manquante",IF(ISNA(MATCH(B511,eq_code,0)),"Équipe inconnue",IF(INDEX(eq_check,MATCH(B511,eq_code,0))&lt;&gt;"OK","Équipe à corriger dans Paramètres",IF(C511="","Poste manquant",IF(ISNA(MATCH(C511,po_code,0)),"Poste inconnu",IF(AND(E511&lt;&gt;"",ISNA(MATCH(E511,art_ref,0))),"Article inconnu",IF(IF(E511="",FALSE,INDEX(art_check,MATCH(E511,art_ref,0))&lt;&gt;"OK"),"Article à corriger (feuille Articles)",IF(COUNTIFS(sj_date,A511,sj_eq,B511,sj_po,C511)&gt;1,"Ligne en double (même jour, équipe et poste)",IF(OR(NOT(ISNUMBER(K511)),N(K511)&lt;=0,N(K511)&gt;1440),"Temps d'ouverture invalide",IF(OR(AND(G511&lt;&gt;"",NOT(ISNUMBER(G511))),N(G511)&lt;0,N(G511)&lt;&gt;INT(N(G511)),AND(H511&lt;&gt;"",NOT(ISNUMBER(H511))),N(H511)&lt;0,N(H511)&lt;&gt;INT(N(H511)),AND(I511&lt;&gt;"",NOT(ISNUMBER(I511))),N(I511)&lt;0,N(I511)&lt;&gt;INT(N(I511))),"Quantité invalide",IF(Q511&lt;=0,"Cadence manquante (poste ou article)",IF(M511&lt;=0,"Arrêts planifiés supérieurs au temps d'ouverture",IF(O511&lt;0,"Arrêts supérieurs au temps requis",IF(AND(P511&gt;0,O511=0),"Pièces déclarées sans temps de marche",IF(AND(P511=0,O511&gt;0),"Aucune pièce déclarée",IF(P511*60/Q511&gt;O511+0.001,"Cadence dépassée : vérifiez la cadence","OK"))))))))))))))))))</f>
        <v/>
      </c>
      <c r="AC511">
        <f>IF(OR(AB511="OK",AB511="Aucune pièce déclarée",AB511="Cadence dépassée : vérifiez la cadence"),1,0)</f>
        <v>0.0</v>
      </c>
      <c r="AD511">
        <f>IF(AND(AC511=1,A511&gt;=p_from,A511&lt;=p_to),1,0)</f>
        <v>0.0</v>
      </c>
      <c r="AE511">
        <f>IF(AD511=1,IF(COUNTIFS($A$6:A511,A511,$AD$6:AD511,1)=1,1,0),0)</f>
        <v>0.0</v>
      </c>
      <c r="AF511" t="str">
        <f>IF(AE511=1,COUNTIFS(sj_first,1,sj_date,"&lt;"&amp;A511)+1,"")</f>
        <v/>
      </c>
      <c r="AG511" t="str">
        <f>IF(AND(AD511=1,N(W511)&lt;p_alert),ROUND(W511,4),"")</f>
        <v/>
      </c>
      <c r="AH511" t="str">
        <f>IF(AG511="","",COUNTIF(sj_akey,"&lt;"&amp;AG511)+COUNTIF($AG$6:AG511,AG511))</f>
        <v/>
      </c>
    </row>
    <row r="512">
      <c r="A512" s="51" t="n"/>
      <c r="B512" s="52" t="n"/>
      <c r="C512" s="52" t="n"/>
      <c r="D512" s="53" t="n"/>
      <c r="E512" s="53" t="n"/>
      <c r="F512" s="54" t="n"/>
      <c r="G512" s="54" t="n"/>
      <c r="H512" s="54" t="n"/>
      <c r="I512" s="54" t="n"/>
      <c r="J512" s="53" t="n"/>
      <c r="K512" s="55" t="str">
        <f>IF(COUNTA(A512:I512)=0,"",IF(F512="",IFERROR(INDEX(eq_dur,MATCH(B512,eq_code,0)),""),F512))</f>
        <v/>
      </c>
      <c r="L512" s="55" t="str">
        <f>IF(ISNUMBER(K512),N(IFERROR(INDEX(eq_pause,MATCH(B512,eq_code,0)),0))+SUMIFS(st_min,st_date,A512,st_eq,B512,st_po,C512,st_type,"Planifié"),"")</f>
        <v/>
      </c>
      <c r="M512" s="55" t="str">
        <f>IF(ISNUMBER(K512),K512-L512,"")</f>
        <v/>
      </c>
      <c r="N512" s="55" t="str">
        <f>IF(ISNUMBER(K512),SUMIFS(st_min,st_date,A512,st_eq,B512,st_po,C512,st_type,"Non planifié"),"")</f>
        <v/>
      </c>
      <c r="O512" s="55" t="str">
        <f>IF(ISNUMBER(K512),M512-N512,"")</f>
        <v/>
      </c>
      <c r="P512" s="55" t="str">
        <f>IF(COUNTA(A512:I512)=0,"",N(G512)+N(H512)+N(I512))</f>
        <v/>
      </c>
      <c r="Q512" s="56" t="str">
        <f>IF(COUNTA(A512:I512)=0,"",IF(N(IFERROR(INDEX(art_rate,MATCH(E512,art_ref,0)),0))&gt;0,N(IFERROR(INDEX(art_rate,MATCH(E512,art_ref,0)),0)),N(IFERROR(INDEX(po_rate,MATCH(C512,po_code,0)),0))))</f>
        <v/>
      </c>
      <c r="R512" s="55" t="str">
        <f>IF(AC512=1,P512*60/Q512,"")</f>
        <v/>
      </c>
      <c r="S512" s="55" t="str">
        <f>IF(AC512=1,N(G512)*60/Q512,"")</f>
        <v/>
      </c>
      <c r="T512" s="57" t="str">
        <f>IF(AC512=1,O512/M512,"")</f>
        <v/>
      </c>
      <c r="U512" s="57" t="str">
        <f>IF(AC512=1,IF(O512&gt;0,R512/O512,""),"")</f>
        <v/>
      </c>
      <c r="V512" s="57" t="str">
        <f>IF(AC512=1,IF(P512&gt;0,N(G512)/P512,""),"")</f>
        <v/>
      </c>
      <c r="W512" s="57" t="str">
        <f>IF(AC512=1,S512/M512,"")</f>
        <v/>
      </c>
      <c r="X512" s="57" t="str">
        <f>IF(AC512=1,S512/K512,"")</f>
        <v/>
      </c>
      <c r="Y512" s="58" t="str">
        <f>IF(W512="","",IF(W512&gt;=p_target,"Bon",IF(W512&gt;=p_alert,"À surveiller","Faible")))</f>
        <v/>
      </c>
      <c r="Z512" s="58" t="str">
        <f>IF(W512="","",IF(MIN(IF(T512="",1,T512),IF(U512="",1,U512),IF(V512="",1,V512))&gt;=1,"Aucune",IF(IF(T512="",1,T512)&lt;=MIN(IF(U512="",1,U512),IF(V512="",1,V512)),"Disponibilité",IF(IF(U512="",1,U512)&lt;=IF(V512="",1,V512),"Performance","Qualité"))))</f>
        <v/>
      </c>
      <c r="AA512" s="59" t="str">
        <f>IF(AC512=1,N(H512)*N(IFERROR(INDEX(art_cost,MATCH(E512,art_ref,0)),0)),"")</f>
        <v/>
      </c>
      <c r="AB512" s="58" t="str">
        <f>IF(COUNTA(A512:I512)=0,"",IF(N(A512)&lt;=0,"Date manquante ou invalide",IF(B512="","Équipe manquante",IF(ISNA(MATCH(B512,eq_code,0)),"Équipe inconnue",IF(INDEX(eq_check,MATCH(B512,eq_code,0))&lt;&gt;"OK","Équipe à corriger dans Paramètres",IF(C512="","Poste manquant",IF(ISNA(MATCH(C512,po_code,0)),"Poste inconnu",IF(AND(E512&lt;&gt;"",ISNA(MATCH(E512,art_ref,0))),"Article inconnu",IF(IF(E512="",FALSE,INDEX(art_check,MATCH(E512,art_ref,0))&lt;&gt;"OK"),"Article à corriger (feuille Articles)",IF(COUNTIFS(sj_date,A512,sj_eq,B512,sj_po,C512)&gt;1,"Ligne en double (même jour, équipe et poste)",IF(OR(NOT(ISNUMBER(K512)),N(K512)&lt;=0,N(K512)&gt;1440),"Temps d'ouverture invalide",IF(OR(AND(G512&lt;&gt;"",NOT(ISNUMBER(G512))),N(G512)&lt;0,N(G512)&lt;&gt;INT(N(G512)),AND(H512&lt;&gt;"",NOT(ISNUMBER(H512))),N(H512)&lt;0,N(H512)&lt;&gt;INT(N(H512)),AND(I512&lt;&gt;"",NOT(ISNUMBER(I512))),N(I512)&lt;0,N(I512)&lt;&gt;INT(N(I512))),"Quantité invalide",IF(Q512&lt;=0,"Cadence manquante (poste ou article)",IF(M512&lt;=0,"Arrêts planifiés supérieurs au temps d'ouverture",IF(O512&lt;0,"Arrêts supérieurs au temps requis",IF(AND(P512&gt;0,O512=0),"Pièces déclarées sans temps de marche",IF(AND(P512=0,O512&gt;0),"Aucune pièce déclarée",IF(P512*60/Q512&gt;O512+0.001,"Cadence dépassée : vérifiez la cadence","OK"))))))))))))))))))</f>
        <v/>
      </c>
      <c r="AC512">
        <f>IF(OR(AB512="OK",AB512="Aucune pièce déclarée",AB512="Cadence dépassée : vérifiez la cadence"),1,0)</f>
        <v>0.0</v>
      </c>
      <c r="AD512">
        <f>IF(AND(AC512=1,A512&gt;=p_from,A512&lt;=p_to),1,0)</f>
        <v>0.0</v>
      </c>
      <c r="AE512">
        <f>IF(AD512=1,IF(COUNTIFS($A$6:A512,A512,$AD$6:AD512,1)=1,1,0),0)</f>
        <v>0.0</v>
      </c>
      <c r="AF512" t="str">
        <f>IF(AE512=1,COUNTIFS(sj_first,1,sj_date,"&lt;"&amp;A512)+1,"")</f>
        <v/>
      </c>
      <c r="AG512" t="str">
        <f>IF(AND(AD512=1,N(W512)&lt;p_alert),ROUND(W512,4),"")</f>
        <v/>
      </c>
      <c r="AH512" t="str">
        <f>IF(AG512="","",COUNTIF(sj_akey,"&lt;"&amp;AG512)+COUNTIF($AG$6:AG512,AG512))</f>
        <v/>
      </c>
    </row>
    <row r="513">
      <c r="A513" s="51" t="n"/>
      <c r="B513" s="52" t="n"/>
      <c r="C513" s="52" t="n"/>
      <c r="D513" s="53" t="n"/>
      <c r="E513" s="53" t="n"/>
      <c r="F513" s="54" t="n"/>
      <c r="G513" s="54" t="n"/>
      <c r="H513" s="54" t="n"/>
      <c r="I513" s="54" t="n"/>
      <c r="J513" s="53" t="n"/>
      <c r="K513" s="55" t="str">
        <f>IF(COUNTA(A513:I513)=0,"",IF(F513="",IFERROR(INDEX(eq_dur,MATCH(B513,eq_code,0)),""),F513))</f>
        <v/>
      </c>
      <c r="L513" s="55" t="str">
        <f>IF(ISNUMBER(K513),N(IFERROR(INDEX(eq_pause,MATCH(B513,eq_code,0)),0))+SUMIFS(st_min,st_date,A513,st_eq,B513,st_po,C513,st_type,"Planifié"),"")</f>
        <v/>
      </c>
      <c r="M513" s="55" t="str">
        <f>IF(ISNUMBER(K513),K513-L513,"")</f>
        <v/>
      </c>
      <c r="N513" s="55" t="str">
        <f>IF(ISNUMBER(K513),SUMIFS(st_min,st_date,A513,st_eq,B513,st_po,C513,st_type,"Non planifié"),"")</f>
        <v/>
      </c>
      <c r="O513" s="55" t="str">
        <f>IF(ISNUMBER(K513),M513-N513,"")</f>
        <v/>
      </c>
      <c r="P513" s="55" t="str">
        <f>IF(COUNTA(A513:I513)=0,"",N(G513)+N(H513)+N(I513))</f>
        <v/>
      </c>
      <c r="Q513" s="56" t="str">
        <f>IF(COUNTA(A513:I513)=0,"",IF(N(IFERROR(INDEX(art_rate,MATCH(E513,art_ref,0)),0))&gt;0,N(IFERROR(INDEX(art_rate,MATCH(E513,art_ref,0)),0)),N(IFERROR(INDEX(po_rate,MATCH(C513,po_code,0)),0))))</f>
        <v/>
      </c>
      <c r="R513" s="55" t="str">
        <f>IF(AC513=1,P513*60/Q513,"")</f>
        <v/>
      </c>
      <c r="S513" s="55" t="str">
        <f>IF(AC513=1,N(G513)*60/Q513,"")</f>
        <v/>
      </c>
      <c r="T513" s="57" t="str">
        <f>IF(AC513=1,O513/M513,"")</f>
        <v/>
      </c>
      <c r="U513" s="57" t="str">
        <f>IF(AC513=1,IF(O513&gt;0,R513/O513,""),"")</f>
        <v/>
      </c>
      <c r="V513" s="57" t="str">
        <f>IF(AC513=1,IF(P513&gt;0,N(G513)/P513,""),"")</f>
        <v/>
      </c>
      <c r="W513" s="57" t="str">
        <f>IF(AC513=1,S513/M513,"")</f>
        <v/>
      </c>
      <c r="X513" s="57" t="str">
        <f>IF(AC513=1,S513/K513,"")</f>
        <v/>
      </c>
      <c r="Y513" s="58" t="str">
        <f>IF(W513="","",IF(W513&gt;=p_target,"Bon",IF(W513&gt;=p_alert,"À surveiller","Faible")))</f>
        <v/>
      </c>
      <c r="Z513" s="58" t="str">
        <f>IF(W513="","",IF(MIN(IF(T513="",1,T513),IF(U513="",1,U513),IF(V513="",1,V513))&gt;=1,"Aucune",IF(IF(T513="",1,T513)&lt;=MIN(IF(U513="",1,U513),IF(V513="",1,V513)),"Disponibilité",IF(IF(U513="",1,U513)&lt;=IF(V513="",1,V513),"Performance","Qualité"))))</f>
        <v/>
      </c>
      <c r="AA513" s="59" t="str">
        <f>IF(AC513=1,N(H513)*N(IFERROR(INDEX(art_cost,MATCH(E513,art_ref,0)),0)),"")</f>
        <v/>
      </c>
      <c r="AB513" s="58" t="str">
        <f>IF(COUNTA(A513:I513)=0,"",IF(N(A513)&lt;=0,"Date manquante ou invalide",IF(B513="","Équipe manquante",IF(ISNA(MATCH(B513,eq_code,0)),"Équipe inconnue",IF(INDEX(eq_check,MATCH(B513,eq_code,0))&lt;&gt;"OK","Équipe à corriger dans Paramètres",IF(C513="","Poste manquant",IF(ISNA(MATCH(C513,po_code,0)),"Poste inconnu",IF(AND(E513&lt;&gt;"",ISNA(MATCH(E513,art_ref,0))),"Article inconnu",IF(IF(E513="",FALSE,INDEX(art_check,MATCH(E513,art_ref,0))&lt;&gt;"OK"),"Article à corriger (feuille Articles)",IF(COUNTIFS(sj_date,A513,sj_eq,B513,sj_po,C513)&gt;1,"Ligne en double (même jour, équipe et poste)",IF(OR(NOT(ISNUMBER(K513)),N(K513)&lt;=0,N(K513)&gt;1440),"Temps d'ouverture invalide",IF(OR(AND(G513&lt;&gt;"",NOT(ISNUMBER(G513))),N(G513)&lt;0,N(G513)&lt;&gt;INT(N(G513)),AND(H513&lt;&gt;"",NOT(ISNUMBER(H513))),N(H513)&lt;0,N(H513)&lt;&gt;INT(N(H513)),AND(I513&lt;&gt;"",NOT(ISNUMBER(I513))),N(I513)&lt;0,N(I513)&lt;&gt;INT(N(I513))),"Quantité invalide",IF(Q513&lt;=0,"Cadence manquante (poste ou article)",IF(M513&lt;=0,"Arrêts planifiés supérieurs au temps d'ouverture",IF(O513&lt;0,"Arrêts supérieurs au temps requis",IF(AND(P513&gt;0,O513=0),"Pièces déclarées sans temps de marche",IF(AND(P513=0,O513&gt;0),"Aucune pièce déclarée",IF(P513*60/Q513&gt;O513+0.001,"Cadence dépassée : vérifiez la cadence","OK"))))))))))))))))))</f>
        <v/>
      </c>
      <c r="AC513">
        <f>IF(OR(AB513="OK",AB513="Aucune pièce déclarée",AB513="Cadence dépassée : vérifiez la cadence"),1,0)</f>
        <v>0.0</v>
      </c>
      <c r="AD513">
        <f>IF(AND(AC513=1,A513&gt;=p_from,A513&lt;=p_to),1,0)</f>
        <v>0.0</v>
      </c>
      <c r="AE513">
        <f>IF(AD513=1,IF(COUNTIFS($A$6:A513,A513,$AD$6:AD513,1)=1,1,0),0)</f>
        <v>0.0</v>
      </c>
      <c r="AF513" t="str">
        <f>IF(AE513=1,COUNTIFS(sj_first,1,sj_date,"&lt;"&amp;A513)+1,"")</f>
        <v/>
      </c>
      <c r="AG513" t="str">
        <f>IF(AND(AD513=1,N(W513)&lt;p_alert),ROUND(W513,4),"")</f>
        <v/>
      </c>
      <c r="AH513" t="str">
        <f>IF(AG513="","",COUNTIF(sj_akey,"&lt;"&amp;AG513)+COUNTIF($AG$6:AG513,AG513))</f>
        <v/>
      </c>
    </row>
    <row r="514">
      <c r="A514" s="51" t="n"/>
      <c r="B514" s="52" t="n"/>
      <c r="C514" s="52" t="n"/>
      <c r="D514" s="53" t="n"/>
      <c r="E514" s="53" t="n"/>
      <c r="F514" s="54" t="n"/>
      <c r="G514" s="54" t="n"/>
      <c r="H514" s="54" t="n"/>
      <c r="I514" s="54" t="n"/>
      <c r="J514" s="53" t="n"/>
      <c r="K514" s="55" t="str">
        <f>IF(COUNTA(A514:I514)=0,"",IF(F514="",IFERROR(INDEX(eq_dur,MATCH(B514,eq_code,0)),""),F514))</f>
        <v/>
      </c>
      <c r="L514" s="55" t="str">
        <f>IF(ISNUMBER(K514),N(IFERROR(INDEX(eq_pause,MATCH(B514,eq_code,0)),0))+SUMIFS(st_min,st_date,A514,st_eq,B514,st_po,C514,st_type,"Planifié"),"")</f>
        <v/>
      </c>
      <c r="M514" s="55" t="str">
        <f>IF(ISNUMBER(K514),K514-L514,"")</f>
        <v/>
      </c>
      <c r="N514" s="55" t="str">
        <f>IF(ISNUMBER(K514),SUMIFS(st_min,st_date,A514,st_eq,B514,st_po,C514,st_type,"Non planifié"),"")</f>
        <v/>
      </c>
      <c r="O514" s="55" t="str">
        <f>IF(ISNUMBER(K514),M514-N514,"")</f>
        <v/>
      </c>
      <c r="P514" s="55" t="str">
        <f>IF(COUNTA(A514:I514)=0,"",N(G514)+N(H514)+N(I514))</f>
        <v/>
      </c>
      <c r="Q514" s="56" t="str">
        <f>IF(COUNTA(A514:I514)=0,"",IF(N(IFERROR(INDEX(art_rate,MATCH(E514,art_ref,0)),0))&gt;0,N(IFERROR(INDEX(art_rate,MATCH(E514,art_ref,0)),0)),N(IFERROR(INDEX(po_rate,MATCH(C514,po_code,0)),0))))</f>
        <v/>
      </c>
      <c r="R514" s="55" t="str">
        <f>IF(AC514=1,P514*60/Q514,"")</f>
        <v/>
      </c>
      <c r="S514" s="55" t="str">
        <f>IF(AC514=1,N(G514)*60/Q514,"")</f>
        <v/>
      </c>
      <c r="T514" s="57" t="str">
        <f>IF(AC514=1,O514/M514,"")</f>
        <v/>
      </c>
      <c r="U514" s="57" t="str">
        <f>IF(AC514=1,IF(O514&gt;0,R514/O514,""),"")</f>
        <v/>
      </c>
      <c r="V514" s="57" t="str">
        <f>IF(AC514=1,IF(P514&gt;0,N(G514)/P514,""),"")</f>
        <v/>
      </c>
      <c r="W514" s="57" t="str">
        <f>IF(AC514=1,S514/M514,"")</f>
        <v/>
      </c>
      <c r="X514" s="57" t="str">
        <f>IF(AC514=1,S514/K514,"")</f>
        <v/>
      </c>
      <c r="Y514" s="58" t="str">
        <f>IF(W514="","",IF(W514&gt;=p_target,"Bon",IF(W514&gt;=p_alert,"À surveiller","Faible")))</f>
        <v/>
      </c>
      <c r="Z514" s="58" t="str">
        <f>IF(W514="","",IF(MIN(IF(T514="",1,T514),IF(U514="",1,U514),IF(V514="",1,V514))&gt;=1,"Aucune",IF(IF(T514="",1,T514)&lt;=MIN(IF(U514="",1,U514),IF(V514="",1,V514)),"Disponibilité",IF(IF(U514="",1,U514)&lt;=IF(V514="",1,V514),"Performance","Qualité"))))</f>
        <v/>
      </c>
      <c r="AA514" s="59" t="str">
        <f>IF(AC514=1,N(H514)*N(IFERROR(INDEX(art_cost,MATCH(E514,art_ref,0)),0)),"")</f>
        <v/>
      </c>
      <c r="AB514" s="58" t="str">
        <f>IF(COUNTA(A514:I514)=0,"",IF(N(A514)&lt;=0,"Date manquante ou invalide",IF(B514="","Équipe manquante",IF(ISNA(MATCH(B514,eq_code,0)),"Équipe inconnue",IF(INDEX(eq_check,MATCH(B514,eq_code,0))&lt;&gt;"OK","Équipe à corriger dans Paramètres",IF(C514="","Poste manquant",IF(ISNA(MATCH(C514,po_code,0)),"Poste inconnu",IF(AND(E514&lt;&gt;"",ISNA(MATCH(E514,art_ref,0))),"Article inconnu",IF(IF(E514="",FALSE,INDEX(art_check,MATCH(E514,art_ref,0))&lt;&gt;"OK"),"Article à corriger (feuille Articles)",IF(COUNTIFS(sj_date,A514,sj_eq,B514,sj_po,C514)&gt;1,"Ligne en double (même jour, équipe et poste)",IF(OR(NOT(ISNUMBER(K514)),N(K514)&lt;=0,N(K514)&gt;1440),"Temps d'ouverture invalide",IF(OR(AND(G514&lt;&gt;"",NOT(ISNUMBER(G514))),N(G514)&lt;0,N(G514)&lt;&gt;INT(N(G514)),AND(H514&lt;&gt;"",NOT(ISNUMBER(H514))),N(H514)&lt;0,N(H514)&lt;&gt;INT(N(H514)),AND(I514&lt;&gt;"",NOT(ISNUMBER(I514))),N(I514)&lt;0,N(I514)&lt;&gt;INT(N(I514))),"Quantité invalide",IF(Q514&lt;=0,"Cadence manquante (poste ou article)",IF(M514&lt;=0,"Arrêts planifiés supérieurs au temps d'ouverture",IF(O514&lt;0,"Arrêts supérieurs au temps requis",IF(AND(P514&gt;0,O514=0),"Pièces déclarées sans temps de marche",IF(AND(P514=0,O514&gt;0),"Aucune pièce déclarée",IF(P514*60/Q514&gt;O514+0.001,"Cadence dépassée : vérifiez la cadence","OK"))))))))))))))))))</f>
        <v/>
      </c>
      <c r="AC514">
        <f>IF(OR(AB514="OK",AB514="Aucune pièce déclarée",AB514="Cadence dépassée : vérifiez la cadence"),1,0)</f>
        <v>0.0</v>
      </c>
      <c r="AD514">
        <f>IF(AND(AC514=1,A514&gt;=p_from,A514&lt;=p_to),1,0)</f>
        <v>0.0</v>
      </c>
      <c r="AE514">
        <f>IF(AD514=1,IF(COUNTIFS($A$6:A514,A514,$AD$6:AD514,1)=1,1,0),0)</f>
        <v>0.0</v>
      </c>
      <c r="AF514" t="str">
        <f>IF(AE514=1,COUNTIFS(sj_first,1,sj_date,"&lt;"&amp;A514)+1,"")</f>
        <v/>
      </c>
      <c r="AG514" t="str">
        <f>IF(AND(AD514=1,N(W514)&lt;p_alert),ROUND(W514,4),"")</f>
        <v/>
      </c>
      <c r="AH514" t="str">
        <f>IF(AG514="","",COUNTIF(sj_akey,"&lt;"&amp;AG514)+COUNTIF($AG$6:AG514,AG514))</f>
        <v/>
      </c>
    </row>
    <row r="515">
      <c r="A515" s="51" t="n"/>
      <c r="B515" s="52" t="n"/>
      <c r="C515" s="52" t="n"/>
      <c r="D515" s="53" t="n"/>
      <c r="E515" s="53" t="n"/>
      <c r="F515" s="54" t="n"/>
      <c r="G515" s="54" t="n"/>
      <c r="H515" s="54" t="n"/>
      <c r="I515" s="54" t="n"/>
      <c r="J515" s="53" t="n"/>
      <c r="K515" s="55" t="str">
        <f>IF(COUNTA(A515:I515)=0,"",IF(F515="",IFERROR(INDEX(eq_dur,MATCH(B515,eq_code,0)),""),F515))</f>
        <v/>
      </c>
      <c r="L515" s="55" t="str">
        <f>IF(ISNUMBER(K515),N(IFERROR(INDEX(eq_pause,MATCH(B515,eq_code,0)),0))+SUMIFS(st_min,st_date,A515,st_eq,B515,st_po,C515,st_type,"Planifié"),"")</f>
        <v/>
      </c>
      <c r="M515" s="55" t="str">
        <f>IF(ISNUMBER(K515),K515-L515,"")</f>
        <v/>
      </c>
      <c r="N515" s="55" t="str">
        <f>IF(ISNUMBER(K515),SUMIFS(st_min,st_date,A515,st_eq,B515,st_po,C515,st_type,"Non planifié"),"")</f>
        <v/>
      </c>
      <c r="O515" s="55" t="str">
        <f>IF(ISNUMBER(K515),M515-N515,"")</f>
        <v/>
      </c>
      <c r="P515" s="55" t="str">
        <f>IF(COUNTA(A515:I515)=0,"",N(G515)+N(H515)+N(I515))</f>
        <v/>
      </c>
      <c r="Q515" s="56" t="str">
        <f>IF(COUNTA(A515:I515)=0,"",IF(N(IFERROR(INDEX(art_rate,MATCH(E515,art_ref,0)),0))&gt;0,N(IFERROR(INDEX(art_rate,MATCH(E515,art_ref,0)),0)),N(IFERROR(INDEX(po_rate,MATCH(C515,po_code,0)),0))))</f>
        <v/>
      </c>
      <c r="R515" s="55" t="str">
        <f>IF(AC515=1,P515*60/Q515,"")</f>
        <v/>
      </c>
      <c r="S515" s="55" t="str">
        <f>IF(AC515=1,N(G515)*60/Q515,"")</f>
        <v/>
      </c>
      <c r="T515" s="57" t="str">
        <f>IF(AC515=1,O515/M515,"")</f>
        <v/>
      </c>
      <c r="U515" s="57" t="str">
        <f>IF(AC515=1,IF(O515&gt;0,R515/O515,""),"")</f>
        <v/>
      </c>
      <c r="V515" s="57" t="str">
        <f>IF(AC515=1,IF(P515&gt;0,N(G515)/P515,""),"")</f>
        <v/>
      </c>
      <c r="W515" s="57" t="str">
        <f>IF(AC515=1,S515/M515,"")</f>
        <v/>
      </c>
      <c r="X515" s="57" t="str">
        <f>IF(AC515=1,S515/K515,"")</f>
        <v/>
      </c>
      <c r="Y515" s="58" t="str">
        <f>IF(W515="","",IF(W515&gt;=p_target,"Bon",IF(W515&gt;=p_alert,"À surveiller","Faible")))</f>
        <v/>
      </c>
      <c r="Z515" s="58" t="str">
        <f>IF(W515="","",IF(MIN(IF(T515="",1,T515),IF(U515="",1,U515),IF(V515="",1,V515))&gt;=1,"Aucune",IF(IF(T515="",1,T515)&lt;=MIN(IF(U515="",1,U515),IF(V515="",1,V515)),"Disponibilité",IF(IF(U515="",1,U515)&lt;=IF(V515="",1,V515),"Performance","Qualité"))))</f>
        <v/>
      </c>
      <c r="AA515" s="59" t="str">
        <f>IF(AC515=1,N(H515)*N(IFERROR(INDEX(art_cost,MATCH(E515,art_ref,0)),0)),"")</f>
        <v/>
      </c>
      <c r="AB515" s="58" t="str">
        <f>IF(COUNTA(A515:I515)=0,"",IF(N(A515)&lt;=0,"Date manquante ou invalide",IF(B515="","Équipe manquante",IF(ISNA(MATCH(B515,eq_code,0)),"Équipe inconnue",IF(INDEX(eq_check,MATCH(B515,eq_code,0))&lt;&gt;"OK","Équipe à corriger dans Paramètres",IF(C515="","Poste manquant",IF(ISNA(MATCH(C515,po_code,0)),"Poste inconnu",IF(AND(E515&lt;&gt;"",ISNA(MATCH(E515,art_ref,0))),"Article inconnu",IF(IF(E515="",FALSE,INDEX(art_check,MATCH(E515,art_ref,0))&lt;&gt;"OK"),"Article à corriger (feuille Articles)",IF(COUNTIFS(sj_date,A515,sj_eq,B515,sj_po,C515)&gt;1,"Ligne en double (même jour, équipe et poste)",IF(OR(NOT(ISNUMBER(K515)),N(K515)&lt;=0,N(K515)&gt;1440),"Temps d'ouverture invalide",IF(OR(AND(G515&lt;&gt;"",NOT(ISNUMBER(G515))),N(G515)&lt;0,N(G515)&lt;&gt;INT(N(G515)),AND(H515&lt;&gt;"",NOT(ISNUMBER(H515))),N(H515)&lt;0,N(H515)&lt;&gt;INT(N(H515)),AND(I515&lt;&gt;"",NOT(ISNUMBER(I515))),N(I515)&lt;0,N(I515)&lt;&gt;INT(N(I515))),"Quantité invalide",IF(Q515&lt;=0,"Cadence manquante (poste ou article)",IF(M515&lt;=0,"Arrêts planifiés supérieurs au temps d'ouverture",IF(O515&lt;0,"Arrêts supérieurs au temps requis",IF(AND(P515&gt;0,O515=0),"Pièces déclarées sans temps de marche",IF(AND(P515=0,O515&gt;0),"Aucune pièce déclarée",IF(P515*60/Q515&gt;O515+0.001,"Cadence dépassée : vérifiez la cadence","OK"))))))))))))))))))</f>
        <v/>
      </c>
      <c r="AC515">
        <f>IF(OR(AB515="OK",AB515="Aucune pièce déclarée",AB515="Cadence dépassée : vérifiez la cadence"),1,0)</f>
        <v>0.0</v>
      </c>
      <c r="AD515">
        <f>IF(AND(AC515=1,A515&gt;=p_from,A515&lt;=p_to),1,0)</f>
        <v>0.0</v>
      </c>
      <c r="AE515">
        <f>IF(AD515=1,IF(COUNTIFS($A$6:A515,A515,$AD$6:AD515,1)=1,1,0),0)</f>
        <v>0.0</v>
      </c>
      <c r="AF515" t="str">
        <f>IF(AE515=1,COUNTIFS(sj_first,1,sj_date,"&lt;"&amp;A515)+1,"")</f>
        <v/>
      </c>
      <c r="AG515" t="str">
        <f>IF(AND(AD515=1,N(W515)&lt;p_alert),ROUND(W515,4),"")</f>
        <v/>
      </c>
      <c r="AH515" t="str">
        <f>IF(AG515="","",COUNTIF(sj_akey,"&lt;"&amp;AG515)+COUNTIF($AG$6:AG515,AG515))</f>
        <v/>
      </c>
    </row>
    <row r="516">
      <c r="A516" s="51" t="n"/>
      <c r="B516" s="52" t="n"/>
      <c r="C516" s="52" t="n"/>
      <c r="D516" s="53" t="n"/>
      <c r="E516" s="53" t="n"/>
      <c r="F516" s="54" t="n"/>
      <c r="G516" s="54" t="n"/>
      <c r="H516" s="54" t="n"/>
      <c r="I516" s="54" t="n"/>
      <c r="J516" s="53" t="n"/>
      <c r="K516" s="55" t="str">
        <f>IF(COUNTA(A516:I516)=0,"",IF(F516="",IFERROR(INDEX(eq_dur,MATCH(B516,eq_code,0)),""),F516))</f>
        <v/>
      </c>
      <c r="L516" s="55" t="str">
        <f>IF(ISNUMBER(K516),N(IFERROR(INDEX(eq_pause,MATCH(B516,eq_code,0)),0))+SUMIFS(st_min,st_date,A516,st_eq,B516,st_po,C516,st_type,"Planifié"),"")</f>
        <v/>
      </c>
      <c r="M516" s="55" t="str">
        <f>IF(ISNUMBER(K516),K516-L516,"")</f>
        <v/>
      </c>
      <c r="N516" s="55" t="str">
        <f>IF(ISNUMBER(K516),SUMIFS(st_min,st_date,A516,st_eq,B516,st_po,C516,st_type,"Non planifié"),"")</f>
        <v/>
      </c>
      <c r="O516" s="55" t="str">
        <f>IF(ISNUMBER(K516),M516-N516,"")</f>
        <v/>
      </c>
      <c r="P516" s="55" t="str">
        <f>IF(COUNTA(A516:I516)=0,"",N(G516)+N(H516)+N(I516))</f>
        <v/>
      </c>
      <c r="Q516" s="56" t="str">
        <f>IF(COUNTA(A516:I516)=0,"",IF(N(IFERROR(INDEX(art_rate,MATCH(E516,art_ref,0)),0))&gt;0,N(IFERROR(INDEX(art_rate,MATCH(E516,art_ref,0)),0)),N(IFERROR(INDEX(po_rate,MATCH(C516,po_code,0)),0))))</f>
        <v/>
      </c>
      <c r="R516" s="55" t="str">
        <f>IF(AC516=1,P516*60/Q516,"")</f>
        <v/>
      </c>
      <c r="S516" s="55" t="str">
        <f>IF(AC516=1,N(G516)*60/Q516,"")</f>
        <v/>
      </c>
      <c r="T516" s="57" t="str">
        <f>IF(AC516=1,O516/M516,"")</f>
        <v/>
      </c>
      <c r="U516" s="57" t="str">
        <f>IF(AC516=1,IF(O516&gt;0,R516/O516,""),"")</f>
        <v/>
      </c>
      <c r="V516" s="57" t="str">
        <f>IF(AC516=1,IF(P516&gt;0,N(G516)/P516,""),"")</f>
        <v/>
      </c>
      <c r="W516" s="57" t="str">
        <f>IF(AC516=1,S516/M516,"")</f>
        <v/>
      </c>
      <c r="X516" s="57" t="str">
        <f>IF(AC516=1,S516/K516,"")</f>
        <v/>
      </c>
      <c r="Y516" s="58" t="str">
        <f>IF(W516="","",IF(W516&gt;=p_target,"Bon",IF(W516&gt;=p_alert,"À surveiller","Faible")))</f>
        <v/>
      </c>
      <c r="Z516" s="58" t="str">
        <f>IF(W516="","",IF(MIN(IF(T516="",1,T516),IF(U516="",1,U516),IF(V516="",1,V516))&gt;=1,"Aucune",IF(IF(T516="",1,T516)&lt;=MIN(IF(U516="",1,U516),IF(V516="",1,V516)),"Disponibilité",IF(IF(U516="",1,U516)&lt;=IF(V516="",1,V516),"Performance","Qualité"))))</f>
        <v/>
      </c>
      <c r="AA516" s="59" t="str">
        <f>IF(AC516=1,N(H516)*N(IFERROR(INDEX(art_cost,MATCH(E516,art_ref,0)),0)),"")</f>
        <v/>
      </c>
      <c r="AB516" s="58" t="str">
        <f>IF(COUNTA(A516:I516)=0,"",IF(N(A516)&lt;=0,"Date manquante ou invalide",IF(B516="","Équipe manquante",IF(ISNA(MATCH(B516,eq_code,0)),"Équipe inconnue",IF(INDEX(eq_check,MATCH(B516,eq_code,0))&lt;&gt;"OK","Équipe à corriger dans Paramètres",IF(C516="","Poste manquant",IF(ISNA(MATCH(C516,po_code,0)),"Poste inconnu",IF(AND(E516&lt;&gt;"",ISNA(MATCH(E516,art_ref,0))),"Article inconnu",IF(IF(E516="",FALSE,INDEX(art_check,MATCH(E516,art_ref,0))&lt;&gt;"OK"),"Article à corriger (feuille Articles)",IF(COUNTIFS(sj_date,A516,sj_eq,B516,sj_po,C516)&gt;1,"Ligne en double (même jour, équipe et poste)",IF(OR(NOT(ISNUMBER(K516)),N(K516)&lt;=0,N(K516)&gt;1440),"Temps d'ouverture invalide",IF(OR(AND(G516&lt;&gt;"",NOT(ISNUMBER(G516))),N(G516)&lt;0,N(G516)&lt;&gt;INT(N(G516)),AND(H516&lt;&gt;"",NOT(ISNUMBER(H516))),N(H516)&lt;0,N(H516)&lt;&gt;INT(N(H516)),AND(I516&lt;&gt;"",NOT(ISNUMBER(I516))),N(I516)&lt;0,N(I516)&lt;&gt;INT(N(I516))),"Quantité invalide",IF(Q516&lt;=0,"Cadence manquante (poste ou article)",IF(M516&lt;=0,"Arrêts planifiés supérieurs au temps d'ouverture",IF(O516&lt;0,"Arrêts supérieurs au temps requis",IF(AND(P516&gt;0,O516=0),"Pièces déclarées sans temps de marche",IF(AND(P516=0,O516&gt;0),"Aucune pièce déclarée",IF(P516*60/Q516&gt;O516+0.001,"Cadence dépassée : vérifiez la cadence","OK"))))))))))))))))))</f>
        <v/>
      </c>
      <c r="AC516">
        <f>IF(OR(AB516="OK",AB516="Aucune pièce déclarée",AB516="Cadence dépassée : vérifiez la cadence"),1,0)</f>
        <v>0.0</v>
      </c>
      <c r="AD516">
        <f>IF(AND(AC516=1,A516&gt;=p_from,A516&lt;=p_to),1,0)</f>
        <v>0.0</v>
      </c>
      <c r="AE516">
        <f>IF(AD516=1,IF(COUNTIFS($A$6:A516,A516,$AD$6:AD516,1)=1,1,0),0)</f>
        <v>0.0</v>
      </c>
      <c r="AF516" t="str">
        <f>IF(AE516=1,COUNTIFS(sj_first,1,sj_date,"&lt;"&amp;A516)+1,"")</f>
        <v/>
      </c>
      <c r="AG516" t="str">
        <f>IF(AND(AD516=1,N(W516)&lt;p_alert),ROUND(W516,4),"")</f>
        <v/>
      </c>
      <c r="AH516" t="str">
        <f>IF(AG516="","",COUNTIF(sj_akey,"&lt;"&amp;AG516)+COUNTIF($AG$6:AG516,AG516))</f>
        <v/>
      </c>
    </row>
    <row r="517">
      <c r="A517" s="51" t="n"/>
      <c r="B517" s="52" t="n"/>
      <c r="C517" s="52" t="n"/>
      <c r="D517" s="53" t="n"/>
      <c r="E517" s="53" t="n"/>
      <c r="F517" s="54" t="n"/>
      <c r="G517" s="54" t="n"/>
      <c r="H517" s="54" t="n"/>
      <c r="I517" s="54" t="n"/>
      <c r="J517" s="53" t="n"/>
      <c r="K517" s="55" t="str">
        <f>IF(COUNTA(A517:I517)=0,"",IF(F517="",IFERROR(INDEX(eq_dur,MATCH(B517,eq_code,0)),""),F517))</f>
        <v/>
      </c>
      <c r="L517" s="55" t="str">
        <f>IF(ISNUMBER(K517),N(IFERROR(INDEX(eq_pause,MATCH(B517,eq_code,0)),0))+SUMIFS(st_min,st_date,A517,st_eq,B517,st_po,C517,st_type,"Planifié"),"")</f>
        <v/>
      </c>
      <c r="M517" s="55" t="str">
        <f>IF(ISNUMBER(K517),K517-L517,"")</f>
        <v/>
      </c>
      <c r="N517" s="55" t="str">
        <f>IF(ISNUMBER(K517),SUMIFS(st_min,st_date,A517,st_eq,B517,st_po,C517,st_type,"Non planifié"),"")</f>
        <v/>
      </c>
      <c r="O517" s="55" t="str">
        <f>IF(ISNUMBER(K517),M517-N517,"")</f>
        <v/>
      </c>
      <c r="P517" s="55" t="str">
        <f>IF(COUNTA(A517:I517)=0,"",N(G517)+N(H517)+N(I517))</f>
        <v/>
      </c>
      <c r="Q517" s="56" t="str">
        <f>IF(COUNTA(A517:I517)=0,"",IF(N(IFERROR(INDEX(art_rate,MATCH(E517,art_ref,0)),0))&gt;0,N(IFERROR(INDEX(art_rate,MATCH(E517,art_ref,0)),0)),N(IFERROR(INDEX(po_rate,MATCH(C517,po_code,0)),0))))</f>
        <v/>
      </c>
      <c r="R517" s="55" t="str">
        <f>IF(AC517=1,P517*60/Q517,"")</f>
        <v/>
      </c>
      <c r="S517" s="55" t="str">
        <f>IF(AC517=1,N(G517)*60/Q517,"")</f>
        <v/>
      </c>
      <c r="T517" s="57" t="str">
        <f>IF(AC517=1,O517/M517,"")</f>
        <v/>
      </c>
      <c r="U517" s="57" t="str">
        <f>IF(AC517=1,IF(O517&gt;0,R517/O517,""),"")</f>
        <v/>
      </c>
      <c r="V517" s="57" t="str">
        <f>IF(AC517=1,IF(P517&gt;0,N(G517)/P517,""),"")</f>
        <v/>
      </c>
      <c r="W517" s="57" t="str">
        <f>IF(AC517=1,S517/M517,"")</f>
        <v/>
      </c>
      <c r="X517" s="57" t="str">
        <f>IF(AC517=1,S517/K517,"")</f>
        <v/>
      </c>
      <c r="Y517" s="58" t="str">
        <f>IF(W517="","",IF(W517&gt;=p_target,"Bon",IF(W517&gt;=p_alert,"À surveiller","Faible")))</f>
        <v/>
      </c>
      <c r="Z517" s="58" t="str">
        <f>IF(W517="","",IF(MIN(IF(T517="",1,T517),IF(U517="",1,U517),IF(V517="",1,V517))&gt;=1,"Aucune",IF(IF(T517="",1,T517)&lt;=MIN(IF(U517="",1,U517),IF(V517="",1,V517)),"Disponibilité",IF(IF(U517="",1,U517)&lt;=IF(V517="",1,V517),"Performance","Qualité"))))</f>
        <v/>
      </c>
      <c r="AA517" s="59" t="str">
        <f>IF(AC517=1,N(H517)*N(IFERROR(INDEX(art_cost,MATCH(E517,art_ref,0)),0)),"")</f>
        <v/>
      </c>
      <c r="AB517" s="58" t="str">
        <f>IF(COUNTA(A517:I517)=0,"",IF(N(A517)&lt;=0,"Date manquante ou invalide",IF(B517="","Équipe manquante",IF(ISNA(MATCH(B517,eq_code,0)),"Équipe inconnue",IF(INDEX(eq_check,MATCH(B517,eq_code,0))&lt;&gt;"OK","Équipe à corriger dans Paramètres",IF(C517="","Poste manquant",IF(ISNA(MATCH(C517,po_code,0)),"Poste inconnu",IF(AND(E517&lt;&gt;"",ISNA(MATCH(E517,art_ref,0))),"Article inconnu",IF(IF(E517="",FALSE,INDEX(art_check,MATCH(E517,art_ref,0))&lt;&gt;"OK"),"Article à corriger (feuille Articles)",IF(COUNTIFS(sj_date,A517,sj_eq,B517,sj_po,C517)&gt;1,"Ligne en double (même jour, équipe et poste)",IF(OR(NOT(ISNUMBER(K517)),N(K517)&lt;=0,N(K517)&gt;1440),"Temps d'ouverture invalide",IF(OR(AND(G517&lt;&gt;"",NOT(ISNUMBER(G517))),N(G517)&lt;0,N(G517)&lt;&gt;INT(N(G517)),AND(H517&lt;&gt;"",NOT(ISNUMBER(H517))),N(H517)&lt;0,N(H517)&lt;&gt;INT(N(H517)),AND(I517&lt;&gt;"",NOT(ISNUMBER(I517))),N(I517)&lt;0,N(I517)&lt;&gt;INT(N(I517))),"Quantité invalide",IF(Q517&lt;=0,"Cadence manquante (poste ou article)",IF(M517&lt;=0,"Arrêts planifiés supérieurs au temps d'ouverture",IF(O517&lt;0,"Arrêts supérieurs au temps requis",IF(AND(P517&gt;0,O517=0),"Pièces déclarées sans temps de marche",IF(AND(P517=0,O517&gt;0),"Aucune pièce déclarée",IF(P517*60/Q517&gt;O517+0.001,"Cadence dépassée : vérifiez la cadence","OK"))))))))))))))))))</f>
        <v/>
      </c>
      <c r="AC517">
        <f>IF(OR(AB517="OK",AB517="Aucune pièce déclarée",AB517="Cadence dépassée : vérifiez la cadence"),1,0)</f>
        <v>0.0</v>
      </c>
      <c r="AD517">
        <f>IF(AND(AC517=1,A517&gt;=p_from,A517&lt;=p_to),1,0)</f>
        <v>0.0</v>
      </c>
      <c r="AE517">
        <f>IF(AD517=1,IF(COUNTIFS($A$6:A517,A517,$AD$6:AD517,1)=1,1,0),0)</f>
        <v>0.0</v>
      </c>
      <c r="AF517" t="str">
        <f>IF(AE517=1,COUNTIFS(sj_first,1,sj_date,"&lt;"&amp;A517)+1,"")</f>
        <v/>
      </c>
      <c r="AG517" t="str">
        <f>IF(AND(AD517=1,N(W517)&lt;p_alert),ROUND(W517,4),"")</f>
        <v/>
      </c>
      <c r="AH517" t="str">
        <f>IF(AG517="","",COUNTIF(sj_akey,"&lt;"&amp;AG517)+COUNTIF($AG$6:AG517,AG517))</f>
        <v/>
      </c>
    </row>
    <row r="518">
      <c r="A518" s="51" t="n"/>
      <c r="B518" s="52" t="n"/>
      <c r="C518" s="52" t="n"/>
      <c r="D518" s="53" t="n"/>
      <c r="E518" s="53" t="n"/>
      <c r="F518" s="54" t="n"/>
      <c r="G518" s="54" t="n"/>
      <c r="H518" s="54" t="n"/>
      <c r="I518" s="54" t="n"/>
      <c r="J518" s="53" t="n"/>
      <c r="K518" s="55" t="str">
        <f>IF(COUNTA(A518:I518)=0,"",IF(F518="",IFERROR(INDEX(eq_dur,MATCH(B518,eq_code,0)),""),F518))</f>
        <v/>
      </c>
      <c r="L518" s="55" t="str">
        <f>IF(ISNUMBER(K518),N(IFERROR(INDEX(eq_pause,MATCH(B518,eq_code,0)),0))+SUMIFS(st_min,st_date,A518,st_eq,B518,st_po,C518,st_type,"Planifié"),"")</f>
        <v/>
      </c>
      <c r="M518" s="55" t="str">
        <f>IF(ISNUMBER(K518),K518-L518,"")</f>
        <v/>
      </c>
      <c r="N518" s="55" t="str">
        <f>IF(ISNUMBER(K518),SUMIFS(st_min,st_date,A518,st_eq,B518,st_po,C518,st_type,"Non planifié"),"")</f>
        <v/>
      </c>
      <c r="O518" s="55" t="str">
        <f>IF(ISNUMBER(K518),M518-N518,"")</f>
        <v/>
      </c>
      <c r="P518" s="55" t="str">
        <f>IF(COUNTA(A518:I518)=0,"",N(G518)+N(H518)+N(I518))</f>
        <v/>
      </c>
      <c r="Q518" s="56" t="str">
        <f>IF(COUNTA(A518:I518)=0,"",IF(N(IFERROR(INDEX(art_rate,MATCH(E518,art_ref,0)),0))&gt;0,N(IFERROR(INDEX(art_rate,MATCH(E518,art_ref,0)),0)),N(IFERROR(INDEX(po_rate,MATCH(C518,po_code,0)),0))))</f>
        <v/>
      </c>
      <c r="R518" s="55" t="str">
        <f>IF(AC518=1,P518*60/Q518,"")</f>
        <v/>
      </c>
      <c r="S518" s="55" t="str">
        <f>IF(AC518=1,N(G518)*60/Q518,"")</f>
        <v/>
      </c>
      <c r="T518" s="57" t="str">
        <f>IF(AC518=1,O518/M518,"")</f>
        <v/>
      </c>
      <c r="U518" s="57" t="str">
        <f>IF(AC518=1,IF(O518&gt;0,R518/O518,""),"")</f>
        <v/>
      </c>
      <c r="V518" s="57" t="str">
        <f>IF(AC518=1,IF(P518&gt;0,N(G518)/P518,""),"")</f>
        <v/>
      </c>
      <c r="W518" s="57" t="str">
        <f>IF(AC518=1,S518/M518,"")</f>
        <v/>
      </c>
      <c r="X518" s="57" t="str">
        <f>IF(AC518=1,S518/K518,"")</f>
        <v/>
      </c>
      <c r="Y518" s="58" t="str">
        <f>IF(W518="","",IF(W518&gt;=p_target,"Bon",IF(W518&gt;=p_alert,"À surveiller","Faible")))</f>
        <v/>
      </c>
      <c r="Z518" s="58" t="str">
        <f>IF(W518="","",IF(MIN(IF(T518="",1,T518),IF(U518="",1,U518),IF(V518="",1,V518))&gt;=1,"Aucune",IF(IF(T518="",1,T518)&lt;=MIN(IF(U518="",1,U518),IF(V518="",1,V518)),"Disponibilité",IF(IF(U518="",1,U518)&lt;=IF(V518="",1,V518),"Performance","Qualité"))))</f>
        <v/>
      </c>
      <c r="AA518" s="59" t="str">
        <f>IF(AC518=1,N(H518)*N(IFERROR(INDEX(art_cost,MATCH(E518,art_ref,0)),0)),"")</f>
        <v/>
      </c>
      <c r="AB518" s="58" t="str">
        <f>IF(COUNTA(A518:I518)=0,"",IF(N(A518)&lt;=0,"Date manquante ou invalide",IF(B518="","Équipe manquante",IF(ISNA(MATCH(B518,eq_code,0)),"Équipe inconnue",IF(INDEX(eq_check,MATCH(B518,eq_code,0))&lt;&gt;"OK","Équipe à corriger dans Paramètres",IF(C518="","Poste manquant",IF(ISNA(MATCH(C518,po_code,0)),"Poste inconnu",IF(AND(E518&lt;&gt;"",ISNA(MATCH(E518,art_ref,0))),"Article inconnu",IF(IF(E518="",FALSE,INDEX(art_check,MATCH(E518,art_ref,0))&lt;&gt;"OK"),"Article à corriger (feuille Articles)",IF(COUNTIFS(sj_date,A518,sj_eq,B518,sj_po,C518)&gt;1,"Ligne en double (même jour, équipe et poste)",IF(OR(NOT(ISNUMBER(K518)),N(K518)&lt;=0,N(K518)&gt;1440),"Temps d'ouverture invalide",IF(OR(AND(G518&lt;&gt;"",NOT(ISNUMBER(G518))),N(G518)&lt;0,N(G518)&lt;&gt;INT(N(G518)),AND(H518&lt;&gt;"",NOT(ISNUMBER(H518))),N(H518)&lt;0,N(H518)&lt;&gt;INT(N(H518)),AND(I518&lt;&gt;"",NOT(ISNUMBER(I518))),N(I518)&lt;0,N(I518)&lt;&gt;INT(N(I518))),"Quantité invalide",IF(Q518&lt;=0,"Cadence manquante (poste ou article)",IF(M518&lt;=0,"Arrêts planifiés supérieurs au temps d'ouverture",IF(O518&lt;0,"Arrêts supérieurs au temps requis",IF(AND(P518&gt;0,O518=0),"Pièces déclarées sans temps de marche",IF(AND(P518=0,O518&gt;0),"Aucune pièce déclarée",IF(P518*60/Q518&gt;O518+0.001,"Cadence dépassée : vérifiez la cadence","OK"))))))))))))))))))</f>
        <v/>
      </c>
      <c r="AC518">
        <f>IF(OR(AB518="OK",AB518="Aucune pièce déclarée",AB518="Cadence dépassée : vérifiez la cadence"),1,0)</f>
        <v>0.0</v>
      </c>
      <c r="AD518">
        <f>IF(AND(AC518=1,A518&gt;=p_from,A518&lt;=p_to),1,0)</f>
        <v>0.0</v>
      </c>
      <c r="AE518">
        <f>IF(AD518=1,IF(COUNTIFS($A$6:A518,A518,$AD$6:AD518,1)=1,1,0),0)</f>
        <v>0.0</v>
      </c>
      <c r="AF518" t="str">
        <f>IF(AE518=1,COUNTIFS(sj_first,1,sj_date,"&lt;"&amp;A518)+1,"")</f>
        <v/>
      </c>
      <c r="AG518" t="str">
        <f>IF(AND(AD518=1,N(W518)&lt;p_alert),ROUND(W518,4),"")</f>
        <v/>
      </c>
      <c r="AH518" t="str">
        <f>IF(AG518="","",COUNTIF(sj_akey,"&lt;"&amp;AG518)+COUNTIF($AG$6:AG518,AG518))</f>
        <v/>
      </c>
    </row>
    <row r="519">
      <c r="A519" s="51" t="n"/>
      <c r="B519" s="52" t="n"/>
      <c r="C519" s="52" t="n"/>
      <c r="D519" s="53" t="n"/>
      <c r="E519" s="53" t="n"/>
      <c r="F519" s="54" t="n"/>
      <c r="G519" s="54" t="n"/>
      <c r="H519" s="54" t="n"/>
      <c r="I519" s="54" t="n"/>
      <c r="J519" s="53" t="n"/>
      <c r="K519" s="55" t="str">
        <f>IF(COUNTA(A519:I519)=0,"",IF(F519="",IFERROR(INDEX(eq_dur,MATCH(B519,eq_code,0)),""),F519))</f>
        <v/>
      </c>
      <c r="L519" s="55" t="str">
        <f>IF(ISNUMBER(K519),N(IFERROR(INDEX(eq_pause,MATCH(B519,eq_code,0)),0))+SUMIFS(st_min,st_date,A519,st_eq,B519,st_po,C519,st_type,"Planifié"),"")</f>
        <v/>
      </c>
      <c r="M519" s="55" t="str">
        <f>IF(ISNUMBER(K519),K519-L519,"")</f>
        <v/>
      </c>
      <c r="N519" s="55" t="str">
        <f>IF(ISNUMBER(K519),SUMIFS(st_min,st_date,A519,st_eq,B519,st_po,C519,st_type,"Non planifié"),"")</f>
        <v/>
      </c>
      <c r="O519" s="55" t="str">
        <f>IF(ISNUMBER(K519),M519-N519,"")</f>
        <v/>
      </c>
      <c r="P519" s="55" t="str">
        <f>IF(COUNTA(A519:I519)=0,"",N(G519)+N(H519)+N(I519))</f>
        <v/>
      </c>
      <c r="Q519" s="56" t="str">
        <f>IF(COUNTA(A519:I519)=0,"",IF(N(IFERROR(INDEX(art_rate,MATCH(E519,art_ref,0)),0))&gt;0,N(IFERROR(INDEX(art_rate,MATCH(E519,art_ref,0)),0)),N(IFERROR(INDEX(po_rate,MATCH(C519,po_code,0)),0))))</f>
        <v/>
      </c>
      <c r="R519" s="55" t="str">
        <f>IF(AC519=1,P519*60/Q519,"")</f>
        <v/>
      </c>
      <c r="S519" s="55" t="str">
        <f>IF(AC519=1,N(G519)*60/Q519,"")</f>
        <v/>
      </c>
      <c r="T519" s="57" t="str">
        <f>IF(AC519=1,O519/M519,"")</f>
        <v/>
      </c>
      <c r="U519" s="57" t="str">
        <f>IF(AC519=1,IF(O519&gt;0,R519/O519,""),"")</f>
        <v/>
      </c>
      <c r="V519" s="57" t="str">
        <f>IF(AC519=1,IF(P519&gt;0,N(G519)/P519,""),"")</f>
        <v/>
      </c>
      <c r="W519" s="57" t="str">
        <f>IF(AC519=1,S519/M519,"")</f>
        <v/>
      </c>
      <c r="X519" s="57" t="str">
        <f>IF(AC519=1,S519/K519,"")</f>
        <v/>
      </c>
      <c r="Y519" s="58" t="str">
        <f>IF(W519="","",IF(W519&gt;=p_target,"Bon",IF(W519&gt;=p_alert,"À surveiller","Faible")))</f>
        <v/>
      </c>
      <c r="Z519" s="58" t="str">
        <f>IF(W519="","",IF(MIN(IF(T519="",1,T519),IF(U519="",1,U519),IF(V519="",1,V519))&gt;=1,"Aucune",IF(IF(T519="",1,T519)&lt;=MIN(IF(U519="",1,U519),IF(V519="",1,V519)),"Disponibilité",IF(IF(U519="",1,U519)&lt;=IF(V519="",1,V519),"Performance","Qualité"))))</f>
        <v/>
      </c>
      <c r="AA519" s="59" t="str">
        <f>IF(AC519=1,N(H519)*N(IFERROR(INDEX(art_cost,MATCH(E519,art_ref,0)),0)),"")</f>
        <v/>
      </c>
      <c r="AB519" s="58" t="str">
        <f>IF(COUNTA(A519:I519)=0,"",IF(N(A519)&lt;=0,"Date manquante ou invalide",IF(B519="","Équipe manquante",IF(ISNA(MATCH(B519,eq_code,0)),"Équipe inconnue",IF(INDEX(eq_check,MATCH(B519,eq_code,0))&lt;&gt;"OK","Équipe à corriger dans Paramètres",IF(C519="","Poste manquant",IF(ISNA(MATCH(C519,po_code,0)),"Poste inconnu",IF(AND(E519&lt;&gt;"",ISNA(MATCH(E519,art_ref,0))),"Article inconnu",IF(IF(E519="",FALSE,INDEX(art_check,MATCH(E519,art_ref,0))&lt;&gt;"OK"),"Article à corriger (feuille Articles)",IF(COUNTIFS(sj_date,A519,sj_eq,B519,sj_po,C519)&gt;1,"Ligne en double (même jour, équipe et poste)",IF(OR(NOT(ISNUMBER(K519)),N(K519)&lt;=0,N(K519)&gt;1440),"Temps d'ouverture invalide",IF(OR(AND(G519&lt;&gt;"",NOT(ISNUMBER(G519))),N(G519)&lt;0,N(G519)&lt;&gt;INT(N(G519)),AND(H519&lt;&gt;"",NOT(ISNUMBER(H519))),N(H519)&lt;0,N(H519)&lt;&gt;INT(N(H519)),AND(I519&lt;&gt;"",NOT(ISNUMBER(I519))),N(I519)&lt;0,N(I519)&lt;&gt;INT(N(I519))),"Quantité invalide",IF(Q519&lt;=0,"Cadence manquante (poste ou article)",IF(M519&lt;=0,"Arrêts planifiés supérieurs au temps d'ouverture",IF(O519&lt;0,"Arrêts supérieurs au temps requis",IF(AND(P519&gt;0,O519=0),"Pièces déclarées sans temps de marche",IF(AND(P519=0,O519&gt;0),"Aucune pièce déclarée",IF(P519*60/Q519&gt;O519+0.001,"Cadence dépassée : vérifiez la cadence","OK"))))))))))))))))))</f>
        <v/>
      </c>
      <c r="AC519">
        <f>IF(OR(AB519="OK",AB519="Aucune pièce déclarée",AB519="Cadence dépassée : vérifiez la cadence"),1,0)</f>
        <v>0.0</v>
      </c>
      <c r="AD519">
        <f>IF(AND(AC519=1,A519&gt;=p_from,A519&lt;=p_to),1,0)</f>
        <v>0.0</v>
      </c>
      <c r="AE519">
        <f>IF(AD519=1,IF(COUNTIFS($A$6:A519,A519,$AD$6:AD519,1)=1,1,0),0)</f>
        <v>0.0</v>
      </c>
      <c r="AF519" t="str">
        <f>IF(AE519=1,COUNTIFS(sj_first,1,sj_date,"&lt;"&amp;A519)+1,"")</f>
        <v/>
      </c>
      <c r="AG519" t="str">
        <f>IF(AND(AD519=1,N(W519)&lt;p_alert),ROUND(W519,4),"")</f>
        <v/>
      </c>
      <c r="AH519" t="str">
        <f>IF(AG519="","",COUNTIF(sj_akey,"&lt;"&amp;AG519)+COUNTIF($AG$6:AG519,AG519))</f>
        <v/>
      </c>
    </row>
    <row r="520">
      <c r="A520" s="51" t="n"/>
      <c r="B520" s="52" t="n"/>
      <c r="C520" s="52" t="n"/>
      <c r="D520" s="53" t="n"/>
      <c r="E520" s="53" t="n"/>
      <c r="F520" s="54" t="n"/>
      <c r="G520" s="54" t="n"/>
      <c r="H520" s="54" t="n"/>
      <c r="I520" s="54" t="n"/>
      <c r="J520" s="53" t="n"/>
      <c r="K520" s="55" t="str">
        <f>IF(COUNTA(A520:I520)=0,"",IF(F520="",IFERROR(INDEX(eq_dur,MATCH(B520,eq_code,0)),""),F520))</f>
        <v/>
      </c>
      <c r="L520" s="55" t="str">
        <f>IF(ISNUMBER(K520),N(IFERROR(INDEX(eq_pause,MATCH(B520,eq_code,0)),0))+SUMIFS(st_min,st_date,A520,st_eq,B520,st_po,C520,st_type,"Planifié"),"")</f>
        <v/>
      </c>
      <c r="M520" s="55" t="str">
        <f>IF(ISNUMBER(K520),K520-L520,"")</f>
        <v/>
      </c>
      <c r="N520" s="55" t="str">
        <f>IF(ISNUMBER(K520),SUMIFS(st_min,st_date,A520,st_eq,B520,st_po,C520,st_type,"Non planifié"),"")</f>
        <v/>
      </c>
      <c r="O520" s="55" t="str">
        <f>IF(ISNUMBER(K520),M520-N520,"")</f>
        <v/>
      </c>
      <c r="P520" s="55" t="str">
        <f>IF(COUNTA(A520:I520)=0,"",N(G520)+N(H520)+N(I520))</f>
        <v/>
      </c>
      <c r="Q520" s="56" t="str">
        <f>IF(COUNTA(A520:I520)=0,"",IF(N(IFERROR(INDEX(art_rate,MATCH(E520,art_ref,0)),0))&gt;0,N(IFERROR(INDEX(art_rate,MATCH(E520,art_ref,0)),0)),N(IFERROR(INDEX(po_rate,MATCH(C520,po_code,0)),0))))</f>
        <v/>
      </c>
      <c r="R520" s="55" t="str">
        <f>IF(AC520=1,P520*60/Q520,"")</f>
        <v/>
      </c>
      <c r="S520" s="55" t="str">
        <f>IF(AC520=1,N(G520)*60/Q520,"")</f>
        <v/>
      </c>
      <c r="T520" s="57" t="str">
        <f>IF(AC520=1,O520/M520,"")</f>
        <v/>
      </c>
      <c r="U520" s="57" t="str">
        <f>IF(AC520=1,IF(O520&gt;0,R520/O520,""),"")</f>
        <v/>
      </c>
      <c r="V520" s="57" t="str">
        <f>IF(AC520=1,IF(P520&gt;0,N(G520)/P520,""),"")</f>
        <v/>
      </c>
      <c r="W520" s="57" t="str">
        <f>IF(AC520=1,S520/M520,"")</f>
        <v/>
      </c>
      <c r="X520" s="57" t="str">
        <f>IF(AC520=1,S520/K520,"")</f>
        <v/>
      </c>
      <c r="Y520" s="58" t="str">
        <f>IF(W520="","",IF(W520&gt;=p_target,"Bon",IF(W520&gt;=p_alert,"À surveiller","Faible")))</f>
        <v/>
      </c>
      <c r="Z520" s="58" t="str">
        <f>IF(W520="","",IF(MIN(IF(T520="",1,T520),IF(U520="",1,U520),IF(V520="",1,V520))&gt;=1,"Aucune",IF(IF(T520="",1,T520)&lt;=MIN(IF(U520="",1,U520),IF(V520="",1,V520)),"Disponibilité",IF(IF(U520="",1,U520)&lt;=IF(V520="",1,V520),"Performance","Qualité"))))</f>
        <v/>
      </c>
      <c r="AA520" s="59" t="str">
        <f>IF(AC520=1,N(H520)*N(IFERROR(INDEX(art_cost,MATCH(E520,art_ref,0)),0)),"")</f>
        <v/>
      </c>
      <c r="AB520" s="58" t="str">
        <f>IF(COUNTA(A520:I520)=0,"",IF(N(A520)&lt;=0,"Date manquante ou invalide",IF(B520="","Équipe manquante",IF(ISNA(MATCH(B520,eq_code,0)),"Équipe inconnue",IF(INDEX(eq_check,MATCH(B520,eq_code,0))&lt;&gt;"OK","Équipe à corriger dans Paramètres",IF(C520="","Poste manquant",IF(ISNA(MATCH(C520,po_code,0)),"Poste inconnu",IF(AND(E520&lt;&gt;"",ISNA(MATCH(E520,art_ref,0))),"Article inconnu",IF(IF(E520="",FALSE,INDEX(art_check,MATCH(E520,art_ref,0))&lt;&gt;"OK"),"Article à corriger (feuille Articles)",IF(COUNTIFS(sj_date,A520,sj_eq,B520,sj_po,C520)&gt;1,"Ligne en double (même jour, équipe et poste)",IF(OR(NOT(ISNUMBER(K520)),N(K520)&lt;=0,N(K520)&gt;1440),"Temps d'ouverture invalide",IF(OR(AND(G520&lt;&gt;"",NOT(ISNUMBER(G520))),N(G520)&lt;0,N(G520)&lt;&gt;INT(N(G520)),AND(H520&lt;&gt;"",NOT(ISNUMBER(H520))),N(H520)&lt;0,N(H520)&lt;&gt;INT(N(H520)),AND(I520&lt;&gt;"",NOT(ISNUMBER(I520))),N(I520)&lt;0,N(I520)&lt;&gt;INT(N(I520))),"Quantité invalide",IF(Q520&lt;=0,"Cadence manquante (poste ou article)",IF(M520&lt;=0,"Arrêts planifiés supérieurs au temps d'ouverture",IF(O520&lt;0,"Arrêts supérieurs au temps requis",IF(AND(P520&gt;0,O520=0),"Pièces déclarées sans temps de marche",IF(AND(P520=0,O520&gt;0),"Aucune pièce déclarée",IF(P520*60/Q520&gt;O520+0.001,"Cadence dépassée : vérifiez la cadence","OK"))))))))))))))))))</f>
        <v/>
      </c>
      <c r="AC520">
        <f>IF(OR(AB520="OK",AB520="Aucune pièce déclarée",AB520="Cadence dépassée : vérifiez la cadence"),1,0)</f>
        <v>0.0</v>
      </c>
      <c r="AD520">
        <f>IF(AND(AC520=1,A520&gt;=p_from,A520&lt;=p_to),1,0)</f>
        <v>0.0</v>
      </c>
      <c r="AE520">
        <f>IF(AD520=1,IF(COUNTIFS($A$6:A520,A520,$AD$6:AD520,1)=1,1,0),0)</f>
        <v>0.0</v>
      </c>
      <c r="AF520" t="str">
        <f>IF(AE520=1,COUNTIFS(sj_first,1,sj_date,"&lt;"&amp;A520)+1,"")</f>
        <v/>
      </c>
      <c r="AG520" t="str">
        <f>IF(AND(AD520=1,N(W520)&lt;p_alert),ROUND(W520,4),"")</f>
        <v/>
      </c>
      <c r="AH520" t="str">
        <f>IF(AG520="","",COUNTIF(sj_akey,"&lt;"&amp;AG520)+COUNTIF($AG$6:AG520,AG520))</f>
        <v/>
      </c>
    </row>
    <row r="521">
      <c r="A521" s="51" t="n"/>
      <c r="B521" s="52" t="n"/>
      <c r="C521" s="52" t="n"/>
      <c r="D521" s="53" t="n"/>
      <c r="E521" s="53" t="n"/>
      <c r="F521" s="54" t="n"/>
      <c r="G521" s="54" t="n"/>
      <c r="H521" s="54" t="n"/>
      <c r="I521" s="54" t="n"/>
      <c r="J521" s="53" t="n"/>
      <c r="K521" s="55" t="str">
        <f>IF(COUNTA(A521:I521)=0,"",IF(F521="",IFERROR(INDEX(eq_dur,MATCH(B521,eq_code,0)),""),F521))</f>
        <v/>
      </c>
      <c r="L521" s="55" t="str">
        <f>IF(ISNUMBER(K521),N(IFERROR(INDEX(eq_pause,MATCH(B521,eq_code,0)),0))+SUMIFS(st_min,st_date,A521,st_eq,B521,st_po,C521,st_type,"Planifié"),"")</f>
        <v/>
      </c>
      <c r="M521" s="55" t="str">
        <f>IF(ISNUMBER(K521),K521-L521,"")</f>
        <v/>
      </c>
      <c r="N521" s="55" t="str">
        <f>IF(ISNUMBER(K521),SUMIFS(st_min,st_date,A521,st_eq,B521,st_po,C521,st_type,"Non planifié"),"")</f>
        <v/>
      </c>
      <c r="O521" s="55" t="str">
        <f>IF(ISNUMBER(K521),M521-N521,"")</f>
        <v/>
      </c>
      <c r="P521" s="55" t="str">
        <f>IF(COUNTA(A521:I521)=0,"",N(G521)+N(H521)+N(I521))</f>
        <v/>
      </c>
      <c r="Q521" s="56" t="str">
        <f>IF(COUNTA(A521:I521)=0,"",IF(N(IFERROR(INDEX(art_rate,MATCH(E521,art_ref,0)),0))&gt;0,N(IFERROR(INDEX(art_rate,MATCH(E521,art_ref,0)),0)),N(IFERROR(INDEX(po_rate,MATCH(C521,po_code,0)),0))))</f>
        <v/>
      </c>
      <c r="R521" s="55" t="str">
        <f>IF(AC521=1,P521*60/Q521,"")</f>
        <v/>
      </c>
      <c r="S521" s="55" t="str">
        <f>IF(AC521=1,N(G521)*60/Q521,"")</f>
        <v/>
      </c>
      <c r="T521" s="57" t="str">
        <f>IF(AC521=1,O521/M521,"")</f>
        <v/>
      </c>
      <c r="U521" s="57" t="str">
        <f>IF(AC521=1,IF(O521&gt;0,R521/O521,""),"")</f>
        <v/>
      </c>
      <c r="V521" s="57" t="str">
        <f>IF(AC521=1,IF(P521&gt;0,N(G521)/P521,""),"")</f>
        <v/>
      </c>
      <c r="W521" s="57" t="str">
        <f>IF(AC521=1,S521/M521,"")</f>
        <v/>
      </c>
      <c r="X521" s="57" t="str">
        <f>IF(AC521=1,S521/K521,"")</f>
        <v/>
      </c>
      <c r="Y521" s="58" t="str">
        <f>IF(W521="","",IF(W521&gt;=p_target,"Bon",IF(W521&gt;=p_alert,"À surveiller","Faible")))</f>
        <v/>
      </c>
      <c r="Z521" s="58" t="str">
        <f>IF(W521="","",IF(MIN(IF(T521="",1,T521),IF(U521="",1,U521),IF(V521="",1,V521))&gt;=1,"Aucune",IF(IF(T521="",1,T521)&lt;=MIN(IF(U521="",1,U521),IF(V521="",1,V521)),"Disponibilité",IF(IF(U521="",1,U521)&lt;=IF(V521="",1,V521),"Performance","Qualité"))))</f>
        <v/>
      </c>
      <c r="AA521" s="59" t="str">
        <f>IF(AC521=1,N(H521)*N(IFERROR(INDEX(art_cost,MATCH(E521,art_ref,0)),0)),"")</f>
        <v/>
      </c>
      <c r="AB521" s="58" t="str">
        <f>IF(COUNTA(A521:I521)=0,"",IF(N(A521)&lt;=0,"Date manquante ou invalide",IF(B521="","Équipe manquante",IF(ISNA(MATCH(B521,eq_code,0)),"Équipe inconnue",IF(INDEX(eq_check,MATCH(B521,eq_code,0))&lt;&gt;"OK","Équipe à corriger dans Paramètres",IF(C521="","Poste manquant",IF(ISNA(MATCH(C521,po_code,0)),"Poste inconnu",IF(AND(E521&lt;&gt;"",ISNA(MATCH(E521,art_ref,0))),"Article inconnu",IF(IF(E521="",FALSE,INDEX(art_check,MATCH(E521,art_ref,0))&lt;&gt;"OK"),"Article à corriger (feuille Articles)",IF(COUNTIFS(sj_date,A521,sj_eq,B521,sj_po,C521)&gt;1,"Ligne en double (même jour, équipe et poste)",IF(OR(NOT(ISNUMBER(K521)),N(K521)&lt;=0,N(K521)&gt;1440),"Temps d'ouverture invalide",IF(OR(AND(G521&lt;&gt;"",NOT(ISNUMBER(G521))),N(G521)&lt;0,N(G521)&lt;&gt;INT(N(G521)),AND(H521&lt;&gt;"",NOT(ISNUMBER(H521))),N(H521)&lt;0,N(H521)&lt;&gt;INT(N(H521)),AND(I521&lt;&gt;"",NOT(ISNUMBER(I521))),N(I521)&lt;0,N(I521)&lt;&gt;INT(N(I521))),"Quantité invalide",IF(Q521&lt;=0,"Cadence manquante (poste ou article)",IF(M521&lt;=0,"Arrêts planifiés supérieurs au temps d'ouverture",IF(O521&lt;0,"Arrêts supérieurs au temps requis",IF(AND(P521&gt;0,O521=0),"Pièces déclarées sans temps de marche",IF(AND(P521=0,O521&gt;0),"Aucune pièce déclarée",IF(P521*60/Q521&gt;O521+0.001,"Cadence dépassée : vérifiez la cadence","OK"))))))))))))))))))</f>
        <v/>
      </c>
      <c r="AC521">
        <f>IF(OR(AB521="OK",AB521="Aucune pièce déclarée",AB521="Cadence dépassée : vérifiez la cadence"),1,0)</f>
        <v>0.0</v>
      </c>
      <c r="AD521">
        <f>IF(AND(AC521=1,A521&gt;=p_from,A521&lt;=p_to),1,0)</f>
        <v>0.0</v>
      </c>
      <c r="AE521">
        <f>IF(AD521=1,IF(COUNTIFS($A$6:A521,A521,$AD$6:AD521,1)=1,1,0),0)</f>
        <v>0.0</v>
      </c>
      <c r="AF521" t="str">
        <f>IF(AE521=1,COUNTIFS(sj_first,1,sj_date,"&lt;"&amp;A521)+1,"")</f>
        <v/>
      </c>
      <c r="AG521" t="str">
        <f>IF(AND(AD521=1,N(W521)&lt;p_alert),ROUND(W521,4),"")</f>
        <v/>
      </c>
      <c r="AH521" t="str">
        <f>IF(AG521="","",COUNTIF(sj_akey,"&lt;"&amp;AG521)+COUNTIF($AG$6:AG521,AG521))</f>
        <v/>
      </c>
    </row>
    <row r="522">
      <c r="A522" s="51" t="n"/>
      <c r="B522" s="52" t="n"/>
      <c r="C522" s="52" t="n"/>
      <c r="D522" s="53" t="n"/>
      <c r="E522" s="53" t="n"/>
      <c r="F522" s="54" t="n"/>
      <c r="G522" s="54" t="n"/>
      <c r="H522" s="54" t="n"/>
      <c r="I522" s="54" t="n"/>
      <c r="J522" s="53" t="n"/>
      <c r="K522" s="55" t="str">
        <f>IF(COUNTA(A522:I522)=0,"",IF(F522="",IFERROR(INDEX(eq_dur,MATCH(B522,eq_code,0)),""),F522))</f>
        <v/>
      </c>
      <c r="L522" s="55" t="str">
        <f>IF(ISNUMBER(K522),N(IFERROR(INDEX(eq_pause,MATCH(B522,eq_code,0)),0))+SUMIFS(st_min,st_date,A522,st_eq,B522,st_po,C522,st_type,"Planifié"),"")</f>
        <v/>
      </c>
      <c r="M522" s="55" t="str">
        <f>IF(ISNUMBER(K522),K522-L522,"")</f>
        <v/>
      </c>
      <c r="N522" s="55" t="str">
        <f>IF(ISNUMBER(K522),SUMIFS(st_min,st_date,A522,st_eq,B522,st_po,C522,st_type,"Non planifié"),"")</f>
        <v/>
      </c>
      <c r="O522" s="55" t="str">
        <f>IF(ISNUMBER(K522),M522-N522,"")</f>
        <v/>
      </c>
      <c r="P522" s="55" t="str">
        <f>IF(COUNTA(A522:I522)=0,"",N(G522)+N(H522)+N(I522))</f>
        <v/>
      </c>
      <c r="Q522" s="56" t="str">
        <f>IF(COUNTA(A522:I522)=0,"",IF(N(IFERROR(INDEX(art_rate,MATCH(E522,art_ref,0)),0))&gt;0,N(IFERROR(INDEX(art_rate,MATCH(E522,art_ref,0)),0)),N(IFERROR(INDEX(po_rate,MATCH(C522,po_code,0)),0))))</f>
        <v/>
      </c>
      <c r="R522" s="55" t="str">
        <f>IF(AC522=1,P522*60/Q522,"")</f>
        <v/>
      </c>
      <c r="S522" s="55" t="str">
        <f>IF(AC522=1,N(G522)*60/Q522,"")</f>
        <v/>
      </c>
      <c r="T522" s="57" t="str">
        <f>IF(AC522=1,O522/M522,"")</f>
        <v/>
      </c>
      <c r="U522" s="57" t="str">
        <f>IF(AC522=1,IF(O522&gt;0,R522/O522,""),"")</f>
        <v/>
      </c>
      <c r="V522" s="57" t="str">
        <f>IF(AC522=1,IF(P522&gt;0,N(G522)/P522,""),"")</f>
        <v/>
      </c>
      <c r="W522" s="57" t="str">
        <f>IF(AC522=1,S522/M522,"")</f>
        <v/>
      </c>
      <c r="X522" s="57" t="str">
        <f>IF(AC522=1,S522/K522,"")</f>
        <v/>
      </c>
      <c r="Y522" s="58" t="str">
        <f>IF(W522="","",IF(W522&gt;=p_target,"Bon",IF(W522&gt;=p_alert,"À surveiller","Faible")))</f>
        <v/>
      </c>
      <c r="Z522" s="58" t="str">
        <f>IF(W522="","",IF(MIN(IF(T522="",1,T522),IF(U522="",1,U522),IF(V522="",1,V522))&gt;=1,"Aucune",IF(IF(T522="",1,T522)&lt;=MIN(IF(U522="",1,U522),IF(V522="",1,V522)),"Disponibilité",IF(IF(U522="",1,U522)&lt;=IF(V522="",1,V522),"Performance","Qualité"))))</f>
        <v/>
      </c>
      <c r="AA522" s="59" t="str">
        <f>IF(AC522=1,N(H522)*N(IFERROR(INDEX(art_cost,MATCH(E522,art_ref,0)),0)),"")</f>
        <v/>
      </c>
      <c r="AB522" s="58" t="str">
        <f>IF(COUNTA(A522:I522)=0,"",IF(N(A522)&lt;=0,"Date manquante ou invalide",IF(B522="","Équipe manquante",IF(ISNA(MATCH(B522,eq_code,0)),"Équipe inconnue",IF(INDEX(eq_check,MATCH(B522,eq_code,0))&lt;&gt;"OK","Équipe à corriger dans Paramètres",IF(C522="","Poste manquant",IF(ISNA(MATCH(C522,po_code,0)),"Poste inconnu",IF(AND(E522&lt;&gt;"",ISNA(MATCH(E522,art_ref,0))),"Article inconnu",IF(IF(E522="",FALSE,INDEX(art_check,MATCH(E522,art_ref,0))&lt;&gt;"OK"),"Article à corriger (feuille Articles)",IF(COUNTIFS(sj_date,A522,sj_eq,B522,sj_po,C522)&gt;1,"Ligne en double (même jour, équipe et poste)",IF(OR(NOT(ISNUMBER(K522)),N(K522)&lt;=0,N(K522)&gt;1440),"Temps d'ouverture invalide",IF(OR(AND(G522&lt;&gt;"",NOT(ISNUMBER(G522))),N(G522)&lt;0,N(G522)&lt;&gt;INT(N(G522)),AND(H522&lt;&gt;"",NOT(ISNUMBER(H522))),N(H522)&lt;0,N(H522)&lt;&gt;INT(N(H522)),AND(I522&lt;&gt;"",NOT(ISNUMBER(I522))),N(I522)&lt;0,N(I522)&lt;&gt;INT(N(I522))),"Quantité invalide",IF(Q522&lt;=0,"Cadence manquante (poste ou article)",IF(M522&lt;=0,"Arrêts planifiés supérieurs au temps d'ouverture",IF(O522&lt;0,"Arrêts supérieurs au temps requis",IF(AND(P522&gt;0,O522=0),"Pièces déclarées sans temps de marche",IF(AND(P522=0,O522&gt;0),"Aucune pièce déclarée",IF(P522*60/Q522&gt;O522+0.001,"Cadence dépassée : vérifiez la cadence","OK"))))))))))))))))))</f>
        <v/>
      </c>
      <c r="AC522">
        <f>IF(OR(AB522="OK",AB522="Aucune pièce déclarée",AB522="Cadence dépassée : vérifiez la cadence"),1,0)</f>
        <v>0.0</v>
      </c>
      <c r="AD522">
        <f>IF(AND(AC522=1,A522&gt;=p_from,A522&lt;=p_to),1,0)</f>
        <v>0.0</v>
      </c>
      <c r="AE522">
        <f>IF(AD522=1,IF(COUNTIFS($A$6:A522,A522,$AD$6:AD522,1)=1,1,0),0)</f>
        <v>0.0</v>
      </c>
      <c r="AF522" t="str">
        <f>IF(AE522=1,COUNTIFS(sj_first,1,sj_date,"&lt;"&amp;A522)+1,"")</f>
        <v/>
      </c>
      <c r="AG522" t="str">
        <f>IF(AND(AD522=1,N(W522)&lt;p_alert),ROUND(W522,4),"")</f>
        <v/>
      </c>
      <c r="AH522" t="str">
        <f>IF(AG522="","",COUNTIF(sj_akey,"&lt;"&amp;AG522)+COUNTIF($AG$6:AG522,AG522))</f>
        <v/>
      </c>
    </row>
    <row r="523">
      <c r="A523" s="51" t="n"/>
      <c r="B523" s="52" t="n"/>
      <c r="C523" s="52" t="n"/>
      <c r="D523" s="53" t="n"/>
      <c r="E523" s="53" t="n"/>
      <c r="F523" s="54" t="n"/>
      <c r="G523" s="54" t="n"/>
      <c r="H523" s="54" t="n"/>
      <c r="I523" s="54" t="n"/>
      <c r="J523" s="53" t="n"/>
      <c r="K523" s="55" t="str">
        <f>IF(COUNTA(A523:I523)=0,"",IF(F523="",IFERROR(INDEX(eq_dur,MATCH(B523,eq_code,0)),""),F523))</f>
        <v/>
      </c>
      <c r="L523" s="55" t="str">
        <f>IF(ISNUMBER(K523),N(IFERROR(INDEX(eq_pause,MATCH(B523,eq_code,0)),0))+SUMIFS(st_min,st_date,A523,st_eq,B523,st_po,C523,st_type,"Planifié"),"")</f>
        <v/>
      </c>
      <c r="M523" s="55" t="str">
        <f>IF(ISNUMBER(K523),K523-L523,"")</f>
        <v/>
      </c>
      <c r="N523" s="55" t="str">
        <f>IF(ISNUMBER(K523),SUMIFS(st_min,st_date,A523,st_eq,B523,st_po,C523,st_type,"Non planifié"),"")</f>
        <v/>
      </c>
      <c r="O523" s="55" t="str">
        <f>IF(ISNUMBER(K523),M523-N523,"")</f>
        <v/>
      </c>
      <c r="P523" s="55" t="str">
        <f>IF(COUNTA(A523:I523)=0,"",N(G523)+N(H523)+N(I523))</f>
        <v/>
      </c>
      <c r="Q523" s="56" t="str">
        <f>IF(COUNTA(A523:I523)=0,"",IF(N(IFERROR(INDEX(art_rate,MATCH(E523,art_ref,0)),0))&gt;0,N(IFERROR(INDEX(art_rate,MATCH(E523,art_ref,0)),0)),N(IFERROR(INDEX(po_rate,MATCH(C523,po_code,0)),0))))</f>
        <v/>
      </c>
      <c r="R523" s="55" t="str">
        <f>IF(AC523=1,P523*60/Q523,"")</f>
        <v/>
      </c>
      <c r="S523" s="55" t="str">
        <f>IF(AC523=1,N(G523)*60/Q523,"")</f>
        <v/>
      </c>
      <c r="T523" s="57" t="str">
        <f>IF(AC523=1,O523/M523,"")</f>
        <v/>
      </c>
      <c r="U523" s="57" t="str">
        <f>IF(AC523=1,IF(O523&gt;0,R523/O523,""),"")</f>
        <v/>
      </c>
      <c r="V523" s="57" t="str">
        <f>IF(AC523=1,IF(P523&gt;0,N(G523)/P523,""),"")</f>
        <v/>
      </c>
      <c r="W523" s="57" t="str">
        <f>IF(AC523=1,S523/M523,"")</f>
        <v/>
      </c>
      <c r="X523" s="57" t="str">
        <f>IF(AC523=1,S523/K523,"")</f>
        <v/>
      </c>
      <c r="Y523" s="58" t="str">
        <f>IF(W523="","",IF(W523&gt;=p_target,"Bon",IF(W523&gt;=p_alert,"À surveiller","Faible")))</f>
        <v/>
      </c>
      <c r="Z523" s="58" t="str">
        <f>IF(W523="","",IF(MIN(IF(T523="",1,T523),IF(U523="",1,U523),IF(V523="",1,V523))&gt;=1,"Aucune",IF(IF(T523="",1,T523)&lt;=MIN(IF(U523="",1,U523),IF(V523="",1,V523)),"Disponibilité",IF(IF(U523="",1,U523)&lt;=IF(V523="",1,V523),"Performance","Qualité"))))</f>
        <v/>
      </c>
      <c r="AA523" s="59" t="str">
        <f>IF(AC523=1,N(H523)*N(IFERROR(INDEX(art_cost,MATCH(E523,art_ref,0)),0)),"")</f>
        <v/>
      </c>
      <c r="AB523" s="58" t="str">
        <f>IF(COUNTA(A523:I523)=0,"",IF(N(A523)&lt;=0,"Date manquante ou invalide",IF(B523="","Équipe manquante",IF(ISNA(MATCH(B523,eq_code,0)),"Équipe inconnue",IF(INDEX(eq_check,MATCH(B523,eq_code,0))&lt;&gt;"OK","Équipe à corriger dans Paramètres",IF(C523="","Poste manquant",IF(ISNA(MATCH(C523,po_code,0)),"Poste inconnu",IF(AND(E523&lt;&gt;"",ISNA(MATCH(E523,art_ref,0))),"Article inconnu",IF(IF(E523="",FALSE,INDEX(art_check,MATCH(E523,art_ref,0))&lt;&gt;"OK"),"Article à corriger (feuille Articles)",IF(COUNTIFS(sj_date,A523,sj_eq,B523,sj_po,C523)&gt;1,"Ligne en double (même jour, équipe et poste)",IF(OR(NOT(ISNUMBER(K523)),N(K523)&lt;=0,N(K523)&gt;1440),"Temps d'ouverture invalide",IF(OR(AND(G523&lt;&gt;"",NOT(ISNUMBER(G523))),N(G523)&lt;0,N(G523)&lt;&gt;INT(N(G523)),AND(H523&lt;&gt;"",NOT(ISNUMBER(H523))),N(H523)&lt;0,N(H523)&lt;&gt;INT(N(H523)),AND(I523&lt;&gt;"",NOT(ISNUMBER(I523))),N(I523)&lt;0,N(I523)&lt;&gt;INT(N(I523))),"Quantité invalide",IF(Q523&lt;=0,"Cadence manquante (poste ou article)",IF(M523&lt;=0,"Arrêts planifiés supérieurs au temps d'ouverture",IF(O523&lt;0,"Arrêts supérieurs au temps requis",IF(AND(P523&gt;0,O523=0),"Pièces déclarées sans temps de marche",IF(AND(P523=0,O523&gt;0),"Aucune pièce déclarée",IF(P523*60/Q523&gt;O523+0.001,"Cadence dépassée : vérifiez la cadence","OK"))))))))))))))))))</f>
        <v/>
      </c>
      <c r="AC523">
        <f>IF(OR(AB523="OK",AB523="Aucune pièce déclarée",AB523="Cadence dépassée : vérifiez la cadence"),1,0)</f>
        <v>0.0</v>
      </c>
      <c r="AD523">
        <f>IF(AND(AC523=1,A523&gt;=p_from,A523&lt;=p_to),1,0)</f>
        <v>0.0</v>
      </c>
      <c r="AE523">
        <f>IF(AD523=1,IF(COUNTIFS($A$6:A523,A523,$AD$6:AD523,1)=1,1,0),0)</f>
        <v>0.0</v>
      </c>
      <c r="AF523" t="str">
        <f>IF(AE523=1,COUNTIFS(sj_first,1,sj_date,"&lt;"&amp;A523)+1,"")</f>
        <v/>
      </c>
      <c r="AG523" t="str">
        <f>IF(AND(AD523=1,N(W523)&lt;p_alert),ROUND(W523,4),"")</f>
        <v/>
      </c>
      <c r="AH523" t="str">
        <f>IF(AG523="","",COUNTIF(sj_akey,"&lt;"&amp;AG523)+COUNTIF($AG$6:AG523,AG523))</f>
        <v/>
      </c>
    </row>
    <row r="524">
      <c r="A524" s="51" t="n"/>
      <c r="B524" s="52" t="n"/>
      <c r="C524" s="52" t="n"/>
      <c r="D524" s="53" t="n"/>
      <c r="E524" s="53" t="n"/>
      <c r="F524" s="54" t="n"/>
      <c r="G524" s="54" t="n"/>
      <c r="H524" s="54" t="n"/>
      <c r="I524" s="54" t="n"/>
      <c r="J524" s="53" t="n"/>
      <c r="K524" s="55" t="str">
        <f>IF(COUNTA(A524:I524)=0,"",IF(F524="",IFERROR(INDEX(eq_dur,MATCH(B524,eq_code,0)),""),F524))</f>
        <v/>
      </c>
      <c r="L524" s="55" t="str">
        <f>IF(ISNUMBER(K524),N(IFERROR(INDEX(eq_pause,MATCH(B524,eq_code,0)),0))+SUMIFS(st_min,st_date,A524,st_eq,B524,st_po,C524,st_type,"Planifié"),"")</f>
        <v/>
      </c>
      <c r="M524" s="55" t="str">
        <f>IF(ISNUMBER(K524),K524-L524,"")</f>
        <v/>
      </c>
      <c r="N524" s="55" t="str">
        <f>IF(ISNUMBER(K524),SUMIFS(st_min,st_date,A524,st_eq,B524,st_po,C524,st_type,"Non planifié"),"")</f>
        <v/>
      </c>
      <c r="O524" s="55" t="str">
        <f>IF(ISNUMBER(K524),M524-N524,"")</f>
        <v/>
      </c>
      <c r="P524" s="55" t="str">
        <f>IF(COUNTA(A524:I524)=0,"",N(G524)+N(H524)+N(I524))</f>
        <v/>
      </c>
      <c r="Q524" s="56" t="str">
        <f>IF(COUNTA(A524:I524)=0,"",IF(N(IFERROR(INDEX(art_rate,MATCH(E524,art_ref,0)),0))&gt;0,N(IFERROR(INDEX(art_rate,MATCH(E524,art_ref,0)),0)),N(IFERROR(INDEX(po_rate,MATCH(C524,po_code,0)),0))))</f>
        <v/>
      </c>
      <c r="R524" s="55" t="str">
        <f>IF(AC524=1,P524*60/Q524,"")</f>
        <v/>
      </c>
      <c r="S524" s="55" t="str">
        <f>IF(AC524=1,N(G524)*60/Q524,"")</f>
        <v/>
      </c>
      <c r="T524" s="57" t="str">
        <f>IF(AC524=1,O524/M524,"")</f>
        <v/>
      </c>
      <c r="U524" s="57" t="str">
        <f>IF(AC524=1,IF(O524&gt;0,R524/O524,""),"")</f>
        <v/>
      </c>
      <c r="V524" s="57" t="str">
        <f>IF(AC524=1,IF(P524&gt;0,N(G524)/P524,""),"")</f>
        <v/>
      </c>
      <c r="W524" s="57" t="str">
        <f>IF(AC524=1,S524/M524,"")</f>
        <v/>
      </c>
      <c r="X524" s="57" t="str">
        <f>IF(AC524=1,S524/K524,"")</f>
        <v/>
      </c>
      <c r="Y524" s="58" t="str">
        <f>IF(W524="","",IF(W524&gt;=p_target,"Bon",IF(W524&gt;=p_alert,"À surveiller","Faible")))</f>
        <v/>
      </c>
      <c r="Z524" s="58" t="str">
        <f>IF(W524="","",IF(MIN(IF(T524="",1,T524),IF(U524="",1,U524),IF(V524="",1,V524))&gt;=1,"Aucune",IF(IF(T524="",1,T524)&lt;=MIN(IF(U524="",1,U524),IF(V524="",1,V524)),"Disponibilité",IF(IF(U524="",1,U524)&lt;=IF(V524="",1,V524),"Performance","Qualité"))))</f>
        <v/>
      </c>
      <c r="AA524" s="59" t="str">
        <f>IF(AC524=1,N(H524)*N(IFERROR(INDEX(art_cost,MATCH(E524,art_ref,0)),0)),"")</f>
        <v/>
      </c>
      <c r="AB524" s="58" t="str">
        <f>IF(COUNTA(A524:I524)=0,"",IF(N(A524)&lt;=0,"Date manquante ou invalide",IF(B524="","Équipe manquante",IF(ISNA(MATCH(B524,eq_code,0)),"Équipe inconnue",IF(INDEX(eq_check,MATCH(B524,eq_code,0))&lt;&gt;"OK","Équipe à corriger dans Paramètres",IF(C524="","Poste manquant",IF(ISNA(MATCH(C524,po_code,0)),"Poste inconnu",IF(AND(E524&lt;&gt;"",ISNA(MATCH(E524,art_ref,0))),"Article inconnu",IF(IF(E524="",FALSE,INDEX(art_check,MATCH(E524,art_ref,0))&lt;&gt;"OK"),"Article à corriger (feuille Articles)",IF(COUNTIFS(sj_date,A524,sj_eq,B524,sj_po,C524)&gt;1,"Ligne en double (même jour, équipe et poste)",IF(OR(NOT(ISNUMBER(K524)),N(K524)&lt;=0,N(K524)&gt;1440),"Temps d'ouverture invalide",IF(OR(AND(G524&lt;&gt;"",NOT(ISNUMBER(G524))),N(G524)&lt;0,N(G524)&lt;&gt;INT(N(G524)),AND(H524&lt;&gt;"",NOT(ISNUMBER(H524))),N(H524)&lt;0,N(H524)&lt;&gt;INT(N(H524)),AND(I524&lt;&gt;"",NOT(ISNUMBER(I524))),N(I524)&lt;0,N(I524)&lt;&gt;INT(N(I524))),"Quantité invalide",IF(Q524&lt;=0,"Cadence manquante (poste ou article)",IF(M524&lt;=0,"Arrêts planifiés supérieurs au temps d'ouverture",IF(O524&lt;0,"Arrêts supérieurs au temps requis",IF(AND(P524&gt;0,O524=0),"Pièces déclarées sans temps de marche",IF(AND(P524=0,O524&gt;0),"Aucune pièce déclarée",IF(P524*60/Q524&gt;O524+0.001,"Cadence dépassée : vérifiez la cadence","OK"))))))))))))))))))</f>
        <v/>
      </c>
      <c r="AC524">
        <f>IF(OR(AB524="OK",AB524="Aucune pièce déclarée",AB524="Cadence dépassée : vérifiez la cadence"),1,0)</f>
        <v>0.0</v>
      </c>
      <c r="AD524">
        <f>IF(AND(AC524=1,A524&gt;=p_from,A524&lt;=p_to),1,0)</f>
        <v>0.0</v>
      </c>
      <c r="AE524">
        <f>IF(AD524=1,IF(COUNTIFS($A$6:A524,A524,$AD$6:AD524,1)=1,1,0),0)</f>
        <v>0.0</v>
      </c>
      <c r="AF524" t="str">
        <f>IF(AE524=1,COUNTIFS(sj_first,1,sj_date,"&lt;"&amp;A524)+1,"")</f>
        <v/>
      </c>
      <c r="AG524" t="str">
        <f>IF(AND(AD524=1,N(W524)&lt;p_alert),ROUND(W524,4),"")</f>
        <v/>
      </c>
      <c r="AH524" t="str">
        <f>IF(AG524="","",COUNTIF(sj_akey,"&lt;"&amp;AG524)+COUNTIF($AG$6:AG524,AG524))</f>
        <v/>
      </c>
    </row>
    <row r="525">
      <c r="A525" s="51" t="n"/>
      <c r="B525" s="52" t="n"/>
      <c r="C525" s="52" t="n"/>
      <c r="D525" s="53" t="n"/>
      <c r="E525" s="53" t="n"/>
      <c r="F525" s="54" t="n"/>
      <c r="G525" s="54" t="n"/>
      <c r="H525" s="54" t="n"/>
      <c r="I525" s="54" t="n"/>
      <c r="J525" s="53" t="n"/>
      <c r="K525" s="55" t="str">
        <f>IF(COUNTA(A525:I525)=0,"",IF(F525="",IFERROR(INDEX(eq_dur,MATCH(B525,eq_code,0)),""),F525))</f>
        <v/>
      </c>
      <c r="L525" s="55" t="str">
        <f>IF(ISNUMBER(K525),N(IFERROR(INDEX(eq_pause,MATCH(B525,eq_code,0)),0))+SUMIFS(st_min,st_date,A525,st_eq,B525,st_po,C525,st_type,"Planifié"),"")</f>
        <v/>
      </c>
      <c r="M525" s="55" t="str">
        <f>IF(ISNUMBER(K525),K525-L525,"")</f>
        <v/>
      </c>
      <c r="N525" s="55" t="str">
        <f>IF(ISNUMBER(K525),SUMIFS(st_min,st_date,A525,st_eq,B525,st_po,C525,st_type,"Non planifié"),"")</f>
        <v/>
      </c>
      <c r="O525" s="55" t="str">
        <f>IF(ISNUMBER(K525),M525-N525,"")</f>
        <v/>
      </c>
      <c r="P525" s="55" t="str">
        <f>IF(COUNTA(A525:I525)=0,"",N(G525)+N(H525)+N(I525))</f>
        <v/>
      </c>
      <c r="Q525" s="56" t="str">
        <f>IF(COUNTA(A525:I525)=0,"",IF(N(IFERROR(INDEX(art_rate,MATCH(E525,art_ref,0)),0))&gt;0,N(IFERROR(INDEX(art_rate,MATCH(E525,art_ref,0)),0)),N(IFERROR(INDEX(po_rate,MATCH(C525,po_code,0)),0))))</f>
        <v/>
      </c>
      <c r="R525" s="55" t="str">
        <f>IF(AC525=1,P525*60/Q525,"")</f>
        <v/>
      </c>
      <c r="S525" s="55" t="str">
        <f>IF(AC525=1,N(G525)*60/Q525,"")</f>
        <v/>
      </c>
      <c r="T525" s="57" t="str">
        <f>IF(AC525=1,O525/M525,"")</f>
        <v/>
      </c>
      <c r="U525" s="57" t="str">
        <f>IF(AC525=1,IF(O525&gt;0,R525/O525,""),"")</f>
        <v/>
      </c>
      <c r="V525" s="57" t="str">
        <f>IF(AC525=1,IF(P525&gt;0,N(G525)/P525,""),"")</f>
        <v/>
      </c>
      <c r="W525" s="57" t="str">
        <f>IF(AC525=1,S525/M525,"")</f>
        <v/>
      </c>
      <c r="X525" s="57" t="str">
        <f>IF(AC525=1,S525/K525,"")</f>
        <v/>
      </c>
      <c r="Y525" s="58" t="str">
        <f>IF(W525="","",IF(W525&gt;=p_target,"Bon",IF(W525&gt;=p_alert,"À surveiller","Faible")))</f>
        <v/>
      </c>
      <c r="Z525" s="58" t="str">
        <f>IF(W525="","",IF(MIN(IF(T525="",1,T525),IF(U525="",1,U525),IF(V525="",1,V525))&gt;=1,"Aucune",IF(IF(T525="",1,T525)&lt;=MIN(IF(U525="",1,U525),IF(V525="",1,V525)),"Disponibilité",IF(IF(U525="",1,U525)&lt;=IF(V525="",1,V525),"Performance","Qualité"))))</f>
        <v/>
      </c>
      <c r="AA525" s="59" t="str">
        <f>IF(AC525=1,N(H525)*N(IFERROR(INDEX(art_cost,MATCH(E525,art_ref,0)),0)),"")</f>
        <v/>
      </c>
      <c r="AB525" s="58" t="str">
        <f>IF(COUNTA(A525:I525)=0,"",IF(N(A525)&lt;=0,"Date manquante ou invalide",IF(B525="","Équipe manquante",IF(ISNA(MATCH(B525,eq_code,0)),"Équipe inconnue",IF(INDEX(eq_check,MATCH(B525,eq_code,0))&lt;&gt;"OK","Équipe à corriger dans Paramètres",IF(C525="","Poste manquant",IF(ISNA(MATCH(C525,po_code,0)),"Poste inconnu",IF(AND(E525&lt;&gt;"",ISNA(MATCH(E525,art_ref,0))),"Article inconnu",IF(IF(E525="",FALSE,INDEX(art_check,MATCH(E525,art_ref,0))&lt;&gt;"OK"),"Article à corriger (feuille Articles)",IF(COUNTIFS(sj_date,A525,sj_eq,B525,sj_po,C525)&gt;1,"Ligne en double (même jour, équipe et poste)",IF(OR(NOT(ISNUMBER(K525)),N(K525)&lt;=0,N(K525)&gt;1440),"Temps d'ouverture invalide",IF(OR(AND(G525&lt;&gt;"",NOT(ISNUMBER(G525))),N(G525)&lt;0,N(G525)&lt;&gt;INT(N(G525)),AND(H525&lt;&gt;"",NOT(ISNUMBER(H525))),N(H525)&lt;0,N(H525)&lt;&gt;INT(N(H525)),AND(I525&lt;&gt;"",NOT(ISNUMBER(I525))),N(I525)&lt;0,N(I525)&lt;&gt;INT(N(I525))),"Quantité invalide",IF(Q525&lt;=0,"Cadence manquante (poste ou article)",IF(M525&lt;=0,"Arrêts planifiés supérieurs au temps d'ouverture",IF(O525&lt;0,"Arrêts supérieurs au temps requis",IF(AND(P525&gt;0,O525=0),"Pièces déclarées sans temps de marche",IF(AND(P525=0,O525&gt;0),"Aucune pièce déclarée",IF(P525*60/Q525&gt;O525+0.001,"Cadence dépassée : vérifiez la cadence","OK"))))))))))))))))))</f>
        <v/>
      </c>
      <c r="AC525">
        <f>IF(OR(AB525="OK",AB525="Aucune pièce déclarée",AB525="Cadence dépassée : vérifiez la cadence"),1,0)</f>
        <v>0.0</v>
      </c>
      <c r="AD525">
        <f>IF(AND(AC525=1,A525&gt;=p_from,A525&lt;=p_to),1,0)</f>
        <v>0.0</v>
      </c>
      <c r="AE525">
        <f>IF(AD525=1,IF(COUNTIFS($A$6:A525,A525,$AD$6:AD525,1)=1,1,0),0)</f>
        <v>0.0</v>
      </c>
      <c r="AF525" t="str">
        <f>IF(AE525=1,COUNTIFS(sj_first,1,sj_date,"&lt;"&amp;A525)+1,"")</f>
        <v/>
      </c>
      <c r="AG525" t="str">
        <f>IF(AND(AD525=1,N(W525)&lt;p_alert),ROUND(W525,4),"")</f>
        <v/>
      </c>
      <c r="AH525" t="str">
        <f>IF(AG525="","",COUNTIF(sj_akey,"&lt;"&amp;AG525)+COUNTIF($AG$6:AG525,AG525))</f>
        <v/>
      </c>
    </row>
    <row r="526">
      <c r="A526" s="51" t="n"/>
      <c r="B526" s="52" t="n"/>
      <c r="C526" s="52" t="n"/>
      <c r="D526" s="53" t="n"/>
      <c r="E526" s="53" t="n"/>
      <c r="F526" s="54" t="n"/>
      <c r="G526" s="54" t="n"/>
      <c r="H526" s="54" t="n"/>
      <c r="I526" s="54" t="n"/>
      <c r="J526" s="53" t="n"/>
      <c r="K526" s="55" t="str">
        <f>IF(COUNTA(A526:I526)=0,"",IF(F526="",IFERROR(INDEX(eq_dur,MATCH(B526,eq_code,0)),""),F526))</f>
        <v/>
      </c>
      <c r="L526" s="55" t="str">
        <f>IF(ISNUMBER(K526),N(IFERROR(INDEX(eq_pause,MATCH(B526,eq_code,0)),0))+SUMIFS(st_min,st_date,A526,st_eq,B526,st_po,C526,st_type,"Planifié"),"")</f>
        <v/>
      </c>
      <c r="M526" s="55" t="str">
        <f>IF(ISNUMBER(K526),K526-L526,"")</f>
        <v/>
      </c>
      <c r="N526" s="55" t="str">
        <f>IF(ISNUMBER(K526),SUMIFS(st_min,st_date,A526,st_eq,B526,st_po,C526,st_type,"Non planifié"),"")</f>
        <v/>
      </c>
      <c r="O526" s="55" t="str">
        <f>IF(ISNUMBER(K526),M526-N526,"")</f>
        <v/>
      </c>
      <c r="P526" s="55" t="str">
        <f>IF(COUNTA(A526:I526)=0,"",N(G526)+N(H526)+N(I526))</f>
        <v/>
      </c>
      <c r="Q526" s="56" t="str">
        <f>IF(COUNTA(A526:I526)=0,"",IF(N(IFERROR(INDEX(art_rate,MATCH(E526,art_ref,0)),0))&gt;0,N(IFERROR(INDEX(art_rate,MATCH(E526,art_ref,0)),0)),N(IFERROR(INDEX(po_rate,MATCH(C526,po_code,0)),0))))</f>
        <v/>
      </c>
      <c r="R526" s="55" t="str">
        <f>IF(AC526=1,P526*60/Q526,"")</f>
        <v/>
      </c>
      <c r="S526" s="55" t="str">
        <f>IF(AC526=1,N(G526)*60/Q526,"")</f>
        <v/>
      </c>
      <c r="T526" s="57" t="str">
        <f>IF(AC526=1,O526/M526,"")</f>
        <v/>
      </c>
      <c r="U526" s="57" t="str">
        <f>IF(AC526=1,IF(O526&gt;0,R526/O526,""),"")</f>
        <v/>
      </c>
      <c r="V526" s="57" t="str">
        <f>IF(AC526=1,IF(P526&gt;0,N(G526)/P526,""),"")</f>
        <v/>
      </c>
      <c r="W526" s="57" t="str">
        <f>IF(AC526=1,S526/M526,"")</f>
        <v/>
      </c>
      <c r="X526" s="57" t="str">
        <f>IF(AC526=1,S526/K526,"")</f>
        <v/>
      </c>
      <c r="Y526" s="58" t="str">
        <f>IF(W526="","",IF(W526&gt;=p_target,"Bon",IF(W526&gt;=p_alert,"À surveiller","Faible")))</f>
        <v/>
      </c>
      <c r="Z526" s="58" t="str">
        <f>IF(W526="","",IF(MIN(IF(T526="",1,T526),IF(U526="",1,U526),IF(V526="",1,V526))&gt;=1,"Aucune",IF(IF(T526="",1,T526)&lt;=MIN(IF(U526="",1,U526),IF(V526="",1,V526)),"Disponibilité",IF(IF(U526="",1,U526)&lt;=IF(V526="",1,V526),"Performance","Qualité"))))</f>
        <v/>
      </c>
      <c r="AA526" s="59" t="str">
        <f>IF(AC526=1,N(H526)*N(IFERROR(INDEX(art_cost,MATCH(E526,art_ref,0)),0)),"")</f>
        <v/>
      </c>
      <c r="AB526" s="58" t="str">
        <f>IF(COUNTA(A526:I526)=0,"",IF(N(A526)&lt;=0,"Date manquante ou invalide",IF(B526="","Équipe manquante",IF(ISNA(MATCH(B526,eq_code,0)),"Équipe inconnue",IF(INDEX(eq_check,MATCH(B526,eq_code,0))&lt;&gt;"OK","Équipe à corriger dans Paramètres",IF(C526="","Poste manquant",IF(ISNA(MATCH(C526,po_code,0)),"Poste inconnu",IF(AND(E526&lt;&gt;"",ISNA(MATCH(E526,art_ref,0))),"Article inconnu",IF(IF(E526="",FALSE,INDEX(art_check,MATCH(E526,art_ref,0))&lt;&gt;"OK"),"Article à corriger (feuille Articles)",IF(COUNTIFS(sj_date,A526,sj_eq,B526,sj_po,C526)&gt;1,"Ligne en double (même jour, équipe et poste)",IF(OR(NOT(ISNUMBER(K526)),N(K526)&lt;=0,N(K526)&gt;1440),"Temps d'ouverture invalide",IF(OR(AND(G526&lt;&gt;"",NOT(ISNUMBER(G526))),N(G526)&lt;0,N(G526)&lt;&gt;INT(N(G526)),AND(H526&lt;&gt;"",NOT(ISNUMBER(H526))),N(H526)&lt;0,N(H526)&lt;&gt;INT(N(H526)),AND(I526&lt;&gt;"",NOT(ISNUMBER(I526))),N(I526)&lt;0,N(I526)&lt;&gt;INT(N(I526))),"Quantité invalide",IF(Q526&lt;=0,"Cadence manquante (poste ou article)",IF(M526&lt;=0,"Arrêts planifiés supérieurs au temps d'ouverture",IF(O526&lt;0,"Arrêts supérieurs au temps requis",IF(AND(P526&gt;0,O526=0),"Pièces déclarées sans temps de marche",IF(AND(P526=0,O526&gt;0),"Aucune pièce déclarée",IF(P526*60/Q526&gt;O526+0.001,"Cadence dépassée : vérifiez la cadence","OK"))))))))))))))))))</f>
        <v/>
      </c>
      <c r="AC526">
        <f>IF(OR(AB526="OK",AB526="Aucune pièce déclarée",AB526="Cadence dépassée : vérifiez la cadence"),1,0)</f>
        <v>0.0</v>
      </c>
      <c r="AD526">
        <f>IF(AND(AC526=1,A526&gt;=p_from,A526&lt;=p_to),1,0)</f>
        <v>0.0</v>
      </c>
      <c r="AE526">
        <f>IF(AD526=1,IF(COUNTIFS($A$6:A526,A526,$AD$6:AD526,1)=1,1,0),0)</f>
        <v>0.0</v>
      </c>
      <c r="AF526" t="str">
        <f>IF(AE526=1,COUNTIFS(sj_first,1,sj_date,"&lt;"&amp;A526)+1,"")</f>
        <v/>
      </c>
      <c r="AG526" t="str">
        <f>IF(AND(AD526=1,N(W526)&lt;p_alert),ROUND(W526,4),"")</f>
        <v/>
      </c>
      <c r="AH526" t="str">
        <f>IF(AG526="","",COUNTIF(sj_akey,"&lt;"&amp;AG526)+COUNTIF($AG$6:AG526,AG526))</f>
        <v/>
      </c>
    </row>
    <row r="527">
      <c r="A527" s="51" t="n"/>
      <c r="B527" s="52" t="n"/>
      <c r="C527" s="52" t="n"/>
      <c r="D527" s="53" t="n"/>
      <c r="E527" s="53" t="n"/>
      <c r="F527" s="54" t="n"/>
      <c r="G527" s="54" t="n"/>
      <c r="H527" s="54" t="n"/>
      <c r="I527" s="54" t="n"/>
      <c r="J527" s="53" t="n"/>
      <c r="K527" s="55" t="str">
        <f>IF(COUNTA(A527:I527)=0,"",IF(F527="",IFERROR(INDEX(eq_dur,MATCH(B527,eq_code,0)),""),F527))</f>
        <v/>
      </c>
      <c r="L527" s="55" t="str">
        <f>IF(ISNUMBER(K527),N(IFERROR(INDEX(eq_pause,MATCH(B527,eq_code,0)),0))+SUMIFS(st_min,st_date,A527,st_eq,B527,st_po,C527,st_type,"Planifié"),"")</f>
        <v/>
      </c>
      <c r="M527" s="55" t="str">
        <f>IF(ISNUMBER(K527),K527-L527,"")</f>
        <v/>
      </c>
      <c r="N527" s="55" t="str">
        <f>IF(ISNUMBER(K527),SUMIFS(st_min,st_date,A527,st_eq,B527,st_po,C527,st_type,"Non planifié"),"")</f>
        <v/>
      </c>
      <c r="O527" s="55" t="str">
        <f>IF(ISNUMBER(K527),M527-N527,"")</f>
        <v/>
      </c>
      <c r="P527" s="55" t="str">
        <f>IF(COUNTA(A527:I527)=0,"",N(G527)+N(H527)+N(I527))</f>
        <v/>
      </c>
      <c r="Q527" s="56" t="str">
        <f>IF(COUNTA(A527:I527)=0,"",IF(N(IFERROR(INDEX(art_rate,MATCH(E527,art_ref,0)),0))&gt;0,N(IFERROR(INDEX(art_rate,MATCH(E527,art_ref,0)),0)),N(IFERROR(INDEX(po_rate,MATCH(C527,po_code,0)),0))))</f>
        <v/>
      </c>
      <c r="R527" s="55" t="str">
        <f>IF(AC527=1,P527*60/Q527,"")</f>
        <v/>
      </c>
      <c r="S527" s="55" t="str">
        <f>IF(AC527=1,N(G527)*60/Q527,"")</f>
        <v/>
      </c>
      <c r="T527" s="57" t="str">
        <f>IF(AC527=1,O527/M527,"")</f>
        <v/>
      </c>
      <c r="U527" s="57" t="str">
        <f>IF(AC527=1,IF(O527&gt;0,R527/O527,""),"")</f>
        <v/>
      </c>
      <c r="V527" s="57" t="str">
        <f>IF(AC527=1,IF(P527&gt;0,N(G527)/P527,""),"")</f>
        <v/>
      </c>
      <c r="W527" s="57" t="str">
        <f>IF(AC527=1,S527/M527,"")</f>
        <v/>
      </c>
      <c r="X527" s="57" t="str">
        <f>IF(AC527=1,S527/K527,"")</f>
        <v/>
      </c>
      <c r="Y527" s="58" t="str">
        <f>IF(W527="","",IF(W527&gt;=p_target,"Bon",IF(W527&gt;=p_alert,"À surveiller","Faible")))</f>
        <v/>
      </c>
      <c r="Z527" s="58" t="str">
        <f>IF(W527="","",IF(MIN(IF(T527="",1,T527),IF(U527="",1,U527),IF(V527="",1,V527))&gt;=1,"Aucune",IF(IF(T527="",1,T527)&lt;=MIN(IF(U527="",1,U527),IF(V527="",1,V527)),"Disponibilité",IF(IF(U527="",1,U527)&lt;=IF(V527="",1,V527),"Performance","Qualité"))))</f>
        <v/>
      </c>
      <c r="AA527" s="59" t="str">
        <f>IF(AC527=1,N(H527)*N(IFERROR(INDEX(art_cost,MATCH(E527,art_ref,0)),0)),"")</f>
        <v/>
      </c>
      <c r="AB527" s="58" t="str">
        <f>IF(COUNTA(A527:I527)=0,"",IF(N(A527)&lt;=0,"Date manquante ou invalide",IF(B527="","Équipe manquante",IF(ISNA(MATCH(B527,eq_code,0)),"Équipe inconnue",IF(INDEX(eq_check,MATCH(B527,eq_code,0))&lt;&gt;"OK","Équipe à corriger dans Paramètres",IF(C527="","Poste manquant",IF(ISNA(MATCH(C527,po_code,0)),"Poste inconnu",IF(AND(E527&lt;&gt;"",ISNA(MATCH(E527,art_ref,0))),"Article inconnu",IF(IF(E527="",FALSE,INDEX(art_check,MATCH(E527,art_ref,0))&lt;&gt;"OK"),"Article à corriger (feuille Articles)",IF(COUNTIFS(sj_date,A527,sj_eq,B527,sj_po,C527)&gt;1,"Ligne en double (même jour, équipe et poste)",IF(OR(NOT(ISNUMBER(K527)),N(K527)&lt;=0,N(K527)&gt;1440),"Temps d'ouverture invalide",IF(OR(AND(G527&lt;&gt;"",NOT(ISNUMBER(G527))),N(G527)&lt;0,N(G527)&lt;&gt;INT(N(G527)),AND(H527&lt;&gt;"",NOT(ISNUMBER(H527))),N(H527)&lt;0,N(H527)&lt;&gt;INT(N(H527)),AND(I527&lt;&gt;"",NOT(ISNUMBER(I527))),N(I527)&lt;0,N(I527)&lt;&gt;INT(N(I527))),"Quantité invalide",IF(Q527&lt;=0,"Cadence manquante (poste ou article)",IF(M527&lt;=0,"Arrêts planifiés supérieurs au temps d'ouverture",IF(O527&lt;0,"Arrêts supérieurs au temps requis",IF(AND(P527&gt;0,O527=0),"Pièces déclarées sans temps de marche",IF(AND(P527=0,O527&gt;0),"Aucune pièce déclarée",IF(P527*60/Q527&gt;O527+0.001,"Cadence dépassée : vérifiez la cadence","OK"))))))))))))))))))</f>
        <v/>
      </c>
      <c r="AC527">
        <f>IF(OR(AB527="OK",AB527="Aucune pièce déclarée",AB527="Cadence dépassée : vérifiez la cadence"),1,0)</f>
        <v>0.0</v>
      </c>
      <c r="AD527">
        <f>IF(AND(AC527=1,A527&gt;=p_from,A527&lt;=p_to),1,0)</f>
        <v>0.0</v>
      </c>
      <c r="AE527">
        <f>IF(AD527=1,IF(COUNTIFS($A$6:A527,A527,$AD$6:AD527,1)=1,1,0),0)</f>
        <v>0.0</v>
      </c>
      <c r="AF527" t="str">
        <f>IF(AE527=1,COUNTIFS(sj_first,1,sj_date,"&lt;"&amp;A527)+1,"")</f>
        <v/>
      </c>
      <c r="AG527" t="str">
        <f>IF(AND(AD527=1,N(W527)&lt;p_alert),ROUND(W527,4),"")</f>
        <v/>
      </c>
      <c r="AH527" t="str">
        <f>IF(AG527="","",COUNTIF(sj_akey,"&lt;"&amp;AG527)+COUNTIF($AG$6:AG527,AG527))</f>
        <v/>
      </c>
    </row>
    <row r="528">
      <c r="A528" s="51" t="n"/>
      <c r="B528" s="52" t="n"/>
      <c r="C528" s="52" t="n"/>
      <c r="D528" s="53" t="n"/>
      <c r="E528" s="53" t="n"/>
      <c r="F528" s="54" t="n"/>
      <c r="G528" s="54" t="n"/>
      <c r="H528" s="54" t="n"/>
      <c r="I528" s="54" t="n"/>
      <c r="J528" s="53" t="n"/>
      <c r="K528" s="55" t="str">
        <f>IF(COUNTA(A528:I528)=0,"",IF(F528="",IFERROR(INDEX(eq_dur,MATCH(B528,eq_code,0)),""),F528))</f>
        <v/>
      </c>
      <c r="L528" s="55" t="str">
        <f>IF(ISNUMBER(K528),N(IFERROR(INDEX(eq_pause,MATCH(B528,eq_code,0)),0))+SUMIFS(st_min,st_date,A528,st_eq,B528,st_po,C528,st_type,"Planifié"),"")</f>
        <v/>
      </c>
      <c r="M528" s="55" t="str">
        <f>IF(ISNUMBER(K528),K528-L528,"")</f>
        <v/>
      </c>
      <c r="N528" s="55" t="str">
        <f>IF(ISNUMBER(K528),SUMIFS(st_min,st_date,A528,st_eq,B528,st_po,C528,st_type,"Non planifié"),"")</f>
        <v/>
      </c>
      <c r="O528" s="55" t="str">
        <f>IF(ISNUMBER(K528),M528-N528,"")</f>
        <v/>
      </c>
      <c r="P528" s="55" t="str">
        <f>IF(COUNTA(A528:I528)=0,"",N(G528)+N(H528)+N(I528))</f>
        <v/>
      </c>
      <c r="Q528" s="56" t="str">
        <f>IF(COUNTA(A528:I528)=0,"",IF(N(IFERROR(INDEX(art_rate,MATCH(E528,art_ref,0)),0))&gt;0,N(IFERROR(INDEX(art_rate,MATCH(E528,art_ref,0)),0)),N(IFERROR(INDEX(po_rate,MATCH(C528,po_code,0)),0))))</f>
        <v/>
      </c>
      <c r="R528" s="55" t="str">
        <f>IF(AC528=1,P528*60/Q528,"")</f>
        <v/>
      </c>
      <c r="S528" s="55" t="str">
        <f>IF(AC528=1,N(G528)*60/Q528,"")</f>
        <v/>
      </c>
      <c r="T528" s="57" t="str">
        <f>IF(AC528=1,O528/M528,"")</f>
        <v/>
      </c>
      <c r="U528" s="57" t="str">
        <f>IF(AC528=1,IF(O528&gt;0,R528/O528,""),"")</f>
        <v/>
      </c>
      <c r="V528" s="57" t="str">
        <f>IF(AC528=1,IF(P528&gt;0,N(G528)/P528,""),"")</f>
        <v/>
      </c>
      <c r="W528" s="57" t="str">
        <f>IF(AC528=1,S528/M528,"")</f>
        <v/>
      </c>
      <c r="X528" s="57" t="str">
        <f>IF(AC528=1,S528/K528,"")</f>
        <v/>
      </c>
      <c r="Y528" s="58" t="str">
        <f>IF(W528="","",IF(W528&gt;=p_target,"Bon",IF(W528&gt;=p_alert,"À surveiller","Faible")))</f>
        <v/>
      </c>
      <c r="Z528" s="58" t="str">
        <f>IF(W528="","",IF(MIN(IF(T528="",1,T528),IF(U528="",1,U528),IF(V528="",1,V528))&gt;=1,"Aucune",IF(IF(T528="",1,T528)&lt;=MIN(IF(U528="",1,U528),IF(V528="",1,V528)),"Disponibilité",IF(IF(U528="",1,U528)&lt;=IF(V528="",1,V528),"Performance","Qualité"))))</f>
        <v/>
      </c>
      <c r="AA528" s="59" t="str">
        <f>IF(AC528=1,N(H528)*N(IFERROR(INDEX(art_cost,MATCH(E528,art_ref,0)),0)),"")</f>
        <v/>
      </c>
      <c r="AB528" s="58" t="str">
        <f>IF(COUNTA(A528:I528)=0,"",IF(N(A528)&lt;=0,"Date manquante ou invalide",IF(B528="","Équipe manquante",IF(ISNA(MATCH(B528,eq_code,0)),"Équipe inconnue",IF(INDEX(eq_check,MATCH(B528,eq_code,0))&lt;&gt;"OK","Équipe à corriger dans Paramètres",IF(C528="","Poste manquant",IF(ISNA(MATCH(C528,po_code,0)),"Poste inconnu",IF(AND(E528&lt;&gt;"",ISNA(MATCH(E528,art_ref,0))),"Article inconnu",IF(IF(E528="",FALSE,INDEX(art_check,MATCH(E528,art_ref,0))&lt;&gt;"OK"),"Article à corriger (feuille Articles)",IF(COUNTIFS(sj_date,A528,sj_eq,B528,sj_po,C528)&gt;1,"Ligne en double (même jour, équipe et poste)",IF(OR(NOT(ISNUMBER(K528)),N(K528)&lt;=0,N(K528)&gt;1440),"Temps d'ouverture invalide",IF(OR(AND(G528&lt;&gt;"",NOT(ISNUMBER(G528))),N(G528)&lt;0,N(G528)&lt;&gt;INT(N(G528)),AND(H528&lt;&gt;"",NOT(ISNUMBER(H528))),N(H528)&lt;0,N(H528)&lt;&gt;INT(N(H528)),AND(I528&lt;&gt;"",NOT(ISNUMBER(I528))),N(I528)&lt;0,N(I528)&lt;&gt;INT(N(I528))),"Quantité invalide",IF(Q528&lt;=0,"Cadence manquante (poste ou article)",IF(M528&lt;=0,"Arrêts planifiés supérieurs au temps d'ouverture",IF(O528&lt;0,"Arrêts supérieurs au temps requis",IF(AND(P528&gt;0,O528=0),"Pièces déclarées sans temps de marche",IF(AND(P528=0,O528&gt;0),"Aucune pièce déclarée",IF(P528*60/Q528&gt;O528+0.001,"Cadence dépassée : vérifiez la cadence","OK"))))))))))))))))))</f>
        <v/>
      </c>
      <c r="AC528">
        <f>IF(OR(AB528="OK",AB528="Aucune pièce déclarée",AB528="Cadence dépassée : vérifiez la cadence"),1,0)</f>
        <v>0.0</v>
      </c>
      <c r="AD528">
        <f>IF(AND(AC528=1,A528&gt;=p_from,A528&lt;=p_to),1,0)</f>
        <v>0.0</v>
      </c>
      <c r="AE528">
        <f>IF(AD528=1,IF(COUNTIFS($A$6:A528,A528,$AD$6:AD528,1)=1,1,0),0)</f>
        <v>0.0</v>
      </c>
      <c r="AF528" t="str">
        <f>IF(AE528=1,COUNTIFS(sj_first,1,sj_date,"&lt;"&amp;A528)+1,"")</f>
        <v/>
      </c>
      <c r="AG528" t="str">
        <f>IF(AND(AD528=1,N(W528)&lt;p_alert),ROUND(W528,4),"")</f>
        <v/>
      </c>
      <c r="AH528" t="str">
        <f>IF(AG528="","",COUNTIF(sj_akey,"&lt;"&amp;AG528)+COUNTIF($AG$6:AG528,AG528))</f>
        <v/>
      </c>
    </row>
    <row r="529">
      <c r="A529" s="51" t="n"/>
      <c r="B529" s="52" t="n"/>
      <c r="C529" s="52" t="n"/>
      <c r="D529" s="53" t="n"/>
      <c r="E529" s="53" t="n"/>
      <c r="F529" s="54" t="n"/>
      <c r="G529" s="54" t="n"/>
      <c r="H529" s="54" t="n"/>
      <c r="I529" s="54" t="n"/>
      <c r="J529" s="53" t="n"/>
      <c r="K529" s="55" t="str">
        <f>IF(COUNTA(A529:I529)=0,"",IF(F529="",IFERROR(INDEX(eq_dur,MATCH(B529,eq_code,0)),""),F529))</f>
        <v/>
      </c>
      <c r="L529" s="55" t="str">
        <f>IF(ISNUMBER(K529),N(IFERROR(INDEX(eq_pause,MATCH(B529,eq_code,0)),0))+SUMIFS(st_min,st_date,A529,st_eq,B529,st_po,C529,st_type,"Planifié"),"")</f>
        <v/>
      </c>
      <c r="M529" s="55" t="str">
        <f>IF(ISNUMBER(K529),K529-L529,"")</f>
        <v/>
      </c>
      <c r="N529" s="55" t="str">
        <f>IF(ISNUMBER(K529),SUMIFS(st_min,st_date,A529,st_eq,B529,st_po,C529,st_type,"Non planifié"),"")</f>
        <v/>
      </c>
      <c r="O529" s="55" t="str">
        <f>IF(ISNUMBER(K529),M529-N529,"")</f>
        <v/>
      </c>
      <c r="P529" s="55" t="str">
        <f>IF(COUNTA(A529:I529)=0,"",N(G529)+N(H529)+N(I529))</f>
        <v/>
      </c>
      <c r="Q529" s="56" t="str">
        <f>IF(COUNTA(A529:I529)=0,"",IF(N(IFERROR(INDEX(art_rate,MATCH(E529,art_ref,0)),0))&gt;0,N(IFERROR(INDEX(art_rate,MATCH(E529,art_ref,0)),0)),N(IFERROR(INDEX(po_rate,MATCH(C529,po_code,0)),0))))</f>
        <v/>
      </c>
      <c r="R529" s="55" t="str">
        <f>IF(AC529=1,P529*60/Q529,"")</f>
        <v/>
      </c>
      <c r="S529" s="55" t="str">
        <f>IF(AC529=1,N(G529)*60/Q529,"")</f>
        <v/>
      </c>
      <c r="T529" s="57" t="str">
        <f>IF(AC529=1,O529/M529,"")</f>
        <v/>
      </c>
      <c r="U529" s="57" t="str">
        <f>IF(AC529=1,IF(O529&gt;0,R529/O529,""),"")</f>
        <v/>
      </c>
      <c r="V529" s="57" t="str">
        <f>IF(AC529=1,IF(P529&gt;0,N(G529)/P529,""),"")</f>
        <v/>
      </c>
      <c r="W529" s="57" t="str">
        <f>IF(AC529=1,S529/M529,"")</f>
        <v/>
      </c>
      <c r="X529" s="57" t="str">
        <f>IF(AC529=1,S529/K529,"")</f>
        <v/>
      </c>
      <c r="Y529" s="58" t="str">
        <f>IF(W529="","",IF(W529&gt;=p_target,"Bon",IF(W529&gt;=p_alert,"À surveiller","Faible")))</f>
        <v/>
      </c>
      <c r="Z529" s="58" t="str">
        <f>IF(W529="","",IF(MIN(IF(T529="",1,T529),IF(U529="",1,U529),IF(V529="",1,V529))&gt;=1,"Aucune",IF(IF(T529="",1,T529)&lt;=MIN(IF(U529="",1,U529),IF(V529="",1,V529)),"Disponibilité",IF(IF(U529="",1,U529)&lt;=IF(V529="",1,V529),"Performance","Qualité"))))</f>
        <v/>
      </c>
      <c r="AA529" s="59" t="str">
        <f>IF(AC529=1,N(H529)*N(IFERROR(INDEX(art_cost,MATCH(E529,art_ref,0)),0)),"")</f>
        <v/>
      </c>
      <c r="AB529" s="58" t="str">
        <f>IF(COUNTA(A529:I529)=0,"",IF(N(A529)&lt;=0,"Date manquante ou invalide",IF(B529="","Équipe manquante",IF(ISNA(MATCH(B529,eq_code,0)),"Équipe inconnue",IF(INDEX(eq_check,MATCH(B529,eq_code,0))&lt;&gt;"OK","Équipe à corriger dans Paramètres",IF(C529="","Poste manquant",IF(ISNA(MATCH(C529,po_code,0)),"Poste inconnu",IF(AND(E529&lt;&gt;"",ISNA(MATCH(E529,art_ref,0))),"Article inconnu",IF(IF(E529="",FALSE,INDEX(art_check,MATCH(E529,art_ref,0))&lt;&gt;"OK"),"Article à corriger (feuille Articles)",IF(COUNTIFS(sj_date,A529,sj_eq,B529,sj_po,C529)&gt;1,"Ligne en double (même jour, équipe et poste)",IF(OR(NOT(ISNUMBER(K529)),N(K529)&lt;=0,N(K529)&gt;1440),"Temps d'ouverture invalide",IF(OR(AND(G529&lt;&gt;"",NOT(ISNUMBER(G529))),N(G529)&lt;0,N(G529)&lt;&gt;INT(N(G529)),AND(H529&lt;&gt;"",NOT(ISNUMBER(H529))),N(H529)&lt;0,N(H529)&lt;&gt;INT(N(H529)),AND(I529&lt;&gt;"",NOT(ISNUMBER(I529))),N(I529)&lt;0,N(I529)&lt;&gt;INT(N(I529))),"Quantité invalide",IF(Q529&lt;=0,"Cadence manquante (poste ou article)",IF(M529&lt;=0,"Arrêts planifiés supérieurs au temps d'ouverture",IF(O529&lt;0,"Arrêts supérieurs au temps requis",IF(AND(P529&gt;0,O529=0),"Pièces déclarées sans temps de marche",IF(AND(P529=0,O529&gt;0),"Aucune pièce déclarée",IF(P529*60/Q529&gt;O529+0.001,"Cadence dépassée : vérifiez la cadence","OK"))))))))))))))))))</f>
        <v/>
      </c>
      <c r="AC529">
        <f>IF(OR(AB529="OK",AB529="Aucune pièce déclarée",AB529="Cadence dépassée : vérifiez la cadence"),1,0)</f>
        <v>0.0</v>
      </c>
      <c r="AD529">
        <f>IF(AND(AC529=1,A529&gt;=p_from,A529&lt;=p_to),1,0)</f>
        <v>0.0</v>
      </c>
      <c r="AE529">
        <f>IF(AD529=1,IF(COUNTIFS($A$6:A529,A529,$AD$6:AD529,1)=1,1,0),0)</f>
        <v>0.0</v>
      </c>
      <c r="AF529" t="str">
        <f>IF(AE529=1,COUNTIFS(sj_first,1,sj_date,"&lt;"&amp;A529)+1,"")</f>
        <v/>
      </c>
      <c r="AG529" t="str">
        <f>IF(AND(AD529=1,N(W529)&lt;p_alert),ROUND(W529,4),"")</f>
        <v/>
      </c>
      <c r="AH529" t="str">
        <f>IF(AG529="","",COUNTIF(sj_akey,"&lt;"&amp;AG529)+COUNTIF($AG$6:AG529,AG529))</f>
        <v/>
      </c>
    </row>
    <row r="530">
      <c r="A530" s="51" t="n"/>
      <c r="B530" s="52" t="n"/>
      <c r="C530" s="52" t="n"/>
      <c r="D530" s="53" t="n"/>
      <c r="E530" s="53" t="n"/>
      <c r="F530" s="54" t="n"/>
      <c r="G530" s="54" t="n"/>
      <c r="H530" s="54" t="n"/>
      <c r="I530" s="54" t="n"/>
      <c r="J530" s="53" t="n"/>
      <c r="K530" s="55" t="str">
        <f>IF(COUNTA(A530:I530)=0,"",IF(F530="",IFERROR(INDEX(eq_dur,MATCH(B530,eq_code,0)),""),F530))</f>
        <v/>
      </c>
      <c r="L530" s="55" t="str">
        <f>IF(ISNUMBER(K530),N(IFERROR(INDEX(eq_pause,MATCH(B530,eq_code,0)),0))+SUMIFS(st_min,st_date,A530,st_eq,B530,st_po,C530,st_type,"Planifié"),"")</f>
        <v/>
      </c>
      <c r="M530" s="55" t="str">
        <f>IF(ISNUMBER(K530),K530-L530,"")</f>
        <v/>
      </c>
      <c r="N530" s="55" t="str">
        <f>IF(ISNUMBER(K530),SUMIFS(st_min,st_date,A530,st_eq,B530,st_po,C530,st_type,"Non planifié"),"")</f>
        <v/>
      </c>
      <c r="O530" s="55" t="str">
        <f>IF(ISNUMBER(K530),M530-N530,"")</f>
        <v/>
      </c>
      <c r="P530" s="55" t="str">
        <f>IF(COUNTA(A530:I530)=0,"",N(G530)+N(H530)+N(I530))</f>
        <v/>
      </c>
      <c r="Q530" s="56" t="str">
        <f>IF(COUNTA(A530:I530)=0,"",IF(N(IFERROR(INDEX(art_rate,MATCH(E530,art_ref,0)),0))&gt;0,N(IFERROR(INDEX(art_rate,MATCH(E530,art_ref,0)),0)),N(IFERROR(INDEX(po_rate,MATCH(C530,po_code,0)),0))))</f>
        <v/>
      </c>
      <c r="R530" s="55" t="str">
        <f>IF(AC530=1,P530*60/Q530,"")</f>
        <v/>
      </c>
      <c r="S530" s="55" t="str">
        <f>IF(AC530=1,N(G530)*60/Q530,"")</f>
        <v/>
      </c>
      <c r="T530" s="57" t="str">
        <f>IF(AC530=1,O530/M530,"")</f>
        <v/>
      </c>
      <c r="U530" s="57" t="str">
        <f>IF(AC530=1,IF(O530&gt;0,R530/O530,""),"")</f>
        <v/>
      </c>
      <c r="V530" s="57" t="str">
        <f>IF(AC530=1,IF(P530&gt;0,N(G530)/P530,""),"")</f>
        <v/>
      </c>
      <c r="W530" s="57" t="str">
        <f>IF(AC530=1,S530/M530,"")</f>
        <v/>
      </c>
      <c r="X530" s="57" t="str">
        <f>IF(AC530=1,S530/K530,"")</f>
        <v/>
      </c>
      <c r="Y530" s="58" t="str">
        <f>IF(W530="","",IF(W530&gt;=p_target,"Bon",IF(W530&gt;=p_alert,"À surveiller","Faible")))</f>
        <v/>
      </c>
      <c r="Z530" s="58" t="str">
        <f>IF(W530="","",IF(MIN(IF(T530="",1,T530),IF(U530="",1,U530),IF(V530="",1,V530))&gt;=1,"Aucune",IF(IF(T530="",1,T530)&lt;=MIN(IF(U530="",1,U530),IF(V530="",1,V530)),"Disponibilité",IF(IF(U530="",1,U530)&lt;=IF(V530="",1,V530),"Performance","Qualité"))))</f>
        <v/>
      </c>
      <c r="AA530" s="59" t="str">
        <f>IF(AC530=1,N(H530)*N(IFERROR(INDEX(art_cost,MATCH(E530,art_ref,0)),0)),"")</f>
        <v/>
      </c>
      <c r="AB530" s="58" t="str">
        <f>IF(COUNTA(A530:I530)=0,"",IF(N(A530)&lt;=0,"Date manquante ou invalide",IF(B530="","Équipe manquante",IF(ISNA(MATCH(B530,eq_code,0)),"Équipe inconnue",IF(INDEX(eq_check,MATCH(B530,eq_code,0))&lt;&gt;"OK","Équipe à corriger dans Paramètres",IF(C530="","Poste manquant",IF(ISNA(MATCH(C530,po_code,0)),"Poste inconnu",IF(AND(E530&lt;&gt;"",ISNA(MATCH(E530,art_ref,0))),"Article inconnu",IF(IF(E530="",FALSE,INDEX(art_check,MATCH(E530,art_ref,0))&lt;&gt;"OK"),"Article à corriger (feuille Articles)",IF(COUNTIFS(sj_date,A530,sj_eq,B530,sj_po,C530)&gt;1,"Ligne en double (même jour, équipe et poste)",IF(OR(NOT(ISNUMBER(K530)),N(K530)&lt;=0,N(K530)&gt;1440),"Temps d'ouverture invalide",IF(OR(AND(G530&lt;&gt;"",NOT(ISNUMBER(G530))),N(G530)&lt;0,N(G530)&lt;&gt;INT(N(G530)),AND(H530&lt;&gt;"",NOT(ISNUMBER(H530))),N(H530)&lt;0,N(H530)&lt;&gt;INT(N(H530)),AND(I530&lt;&gt;"",NOT(ISNUMBER(I530))),N(I530)&lt;0,N(I530)&lt;&gt;INT(N(I530))),"Quantité invalide",IF(Q530&lt;=0,"Cadence manquante (poste ou article)",IF(M530&lt;=0,"Arrêts planifiés supérieurs au temps d'ouverture",IF(O530&lt;0,"Arrêts supérieurs au temps requis",IF(AND(P530&gt;0,O530=0),"Pièces déclarées sans temps de marche",IF(AND(P530=0,O530&gt;0),"Aucune pièce déclarée",IF(P530*60/Q530&gt;O530+0.001,"Cadence dépassée : vérifiez la cadence","OK"))))))))))))))))))</f>
        <v/>
      </c>
      <c r="AC530">
        <f>IF(OR(AB530="OK",AB530="Aucune pièce déclarée",AB530="Cadence dépassée : vérifiez la cadence"),1,0)</f>
        <v>0.0</v>
      </c>
      <c r="AD530">
        <f>IF(AND(AC530=1,A530&gt;=p_from,A530&lt;=p_to),1,0)</f>
        <v>0.0</v>
      </c>
      <c r="AE530">
        <f>IF(AD530=1,IF(COUNTIFS($A$6:A530,A530,$AD$6:AD530,1)=1,1,0),0)</f>
        <v>0.0</v>
      </c>
      <c r="AF530" t="str">
        <f>IF(AE530=1,COUNTIFS(sj_first,1,sj_date,"&lt;"&amp;A530)+1,"")</f>
        <v/>
      </c>
      <c r="AG530" t="str">
        <f>IF(AND(AD530=1,N(W530)&lt;p_alert),ROUND(W530,4),"")</f>
        <v/>
      </c>
      <c r="AH530" t="str">
        <f>IF(AG530="","",COUNTIF(sj_akey,"&lt;"&amp;AG530)+COUNTIF($AG$6:AG530,AG530))</f>
        <v/>
      </c>
    </row>
    <row r="531">
      <c r="A531" s="51" t="n"/>
      <c r="B531" s="52" t="n"/>
      <c r="C531" s="52" t="n"/>
      <c r="D531" s="53" t="n"/>
      <c r="E531" s="53" t="n"/>
      <c r="F531" s="54" t="n"/>
      <c r="G531" s="54" t="n"/>
      <c r="H531" s="54" t="n"/>
      <c r="I531" s="54" t="n"/>
      <c r="J531" s="53" t="n"/>
      <c r="K531" s="55" t="str">
        <f>IF(COUNTA(A531:I531)=0,"",IF(F531="",IFERROR(INDEX(eq_dur,MATCH(B531,eq_code,0)),""),F531))</f>
        <v/>
      </c>
      <c r="L531" s="55" t="str">
        <f>IF(ISNUMBER(K531),N(IFERROR(INDEX(eq_pause,MATCH(B531,eq_code,0)),0))+SUMIFS(st_min,st_date,A531,st_eq,B531,st_po,C531,st_type,"Planifié"),"")</f>
        <v/>
      </c>
      <c r="M531" s="55" t="str">
        <f>IF(ISNUMBER(K531),K531-L531,"")</f>
        <v/>
      </c>
      <c r="N531" s="55" t="str">
        <f>IF(ISNUMBER(K531),SUMIFS(st_min,st_date,A531,st_eq,B531,st_po,C531,st_type,"Non planifié"),"")</f>
        <v/>
      </c>
      <c r="O531" s="55" t="str">
        <f>IF(ISNUMBER(K531),M531-N531,"")</f>
        <v/>
      </c>
      <c r="P531" s="55" t="str">
        <f>IF(COUNTA(A531:I531)=0,"",N(G531)+N(H531)+N(I531))</f>
        <v/>
      </c>
      <c r="Q531" s="56" t="str">
        <f>IF(COUNTA(A531:I531)=0,"",IF(N(IFERROR(INDEX(art_rate,MATCH(E531,art_ref,0)),0))&gt;0,N(IFERROR(INDEX(art_rate,MATCH(E531,art_ref,0)),0)),N(IFERROR(INDEX(po_rate,MATCH(C531,po_code,0)),0))))</f>
        <v/>
      </c>
      <c r="R531" s="55" t="str">
        <f>IF(AC531=1,P531*60/Q531,"")</f>
        <v/>
      </c>
      <c r="S531" s="55" t="str">
        <f>IF(AC531=1,N(G531)*60/Q531,"")</f>
        <v/>
      </c>
      <c r="T531" s="57" t="str">
        <f>IF(AC531=1,O531/M531,"")</f>
        <v/>
      </c>
      <c r="U531" s="57" t="str">
        <f>IF(AC531=1,IF(O531&gt;0,R531/O531,""),"")</f>
        <v/>
      </c>
      <c r="V531" s="57" t="str">
        <f>IF(AC531=1,IF(P531&gt;0,N(G531)/P531,""),"")</f>
        <v/>
      </c>
      <c r="W531" s="57" t="str">
        <f>IF(AC531=1,S531/M531,"")</f>
        <v/>
      </c>
      <c r="X531" s="57" t="str">
        <f>IF(AC531=1,S531/K531,"")</f>
        <v/>
      </c>
      <c r="Y531" s="58" t="str">
        <f>IF(W531="","",IF(W531&gt;=p_target,"Bon",IF(W531&gt;=p_alert,"À surveiller","Faible")))</f>
        <v/>
      </c>
      <c r="Z531" s="58" t="str">
        <f>IF(W531="","",IF(MIN(IF(T531="",1,T531),IF(U531="",1,U531),IF(V531="",1,V531))&gt;=1,"Aucune",IF(IF(T531="",1,T531)&lt;=MIN(IF(U531="",1,U531),IF(V531="",1,V531)),"Disponibilité",IF(IF(U531="",1,U531)&lt;=IF(V531="",1,V531),"Performance","Qualité"))))</f>
        <v/>
      </c>
      <c r="AA531" s="59" t="str">
        <f>IF(AC531=1,N(H531)*N(IFERROR(INDEX(art_cost,MATCH(E531,art_ref,0)),0)),"")</f>
        <v/>
      </c>
      <c r="AB531" s="58" t="str">
        <f>IF(COUNTA(A531:I531)=0,"",IF(N(A531)&lt;=0,"Date manquante ou invalide",IF(B531="","Équipe manquante",IF(ISNA(MATCH(B531,eq_code,0)),"Équipe inconnue",IF(INDEX(eq_check,MATCH(B531,eq_code,0))&lt;&gt;"OK","Équipe à corriger dans Paramètres",IF(C531="","Poste manquant",IF(ISNA(MATCH(C531,po_code,0)),"Poste inconnu",IF(AND(E531&lt;&gt;"",ISNA(MATCH(E531,art_ref,0))),"Article inconnu",IF(IF(E531="",FALSE,INDEX(art_check,MATCH(E531,art_ref,0))&lt;&gt;"OK"),"Article à corriger (feuille Articles)",IF(COUNTIFS(sj_date,A531,sj_eq,B531,sj_po,C531)&gt;1,"Ligne en double (même jour, équipe et poste)",IF(OR(NOT(ISNUMBER(K531)),N(K531)&lt;=0,N(K531)&gt;1440),"Temps d'ouverture invalide",IF(OR(AND(G531&lt;&gt;"",NOT(ISNUMBER(G531))),N(G531)&lt;0,N(G531)&lt;&gt;INT(N(G531)),AND(H531&lt;&gt;"",NOT(ISNUMBER(H531))),N(H531)&lt;0,N(H531)&lt;&gt;INT(N(H531)),AND(I531&lt;&gt;"",NOT(ISNUMBER(I531))),N(I531)&lt;0,N(I531)&lt;&gt;INT(N(I531))),"Quantité invalide",IF(Q531&lt;=0,"Cadence manquante (poste ou article)",IF(M531&lt;=0,"Arrêts planifiés supérieurs au temps d'ouverture",IF(O531&lt;0,"Arrêts supérieurs au temps requis",IF(AND(P531&gt;0,O531=0),"Pièces déclarées sans temps de marche",IF(AND(P531=0,O531&gt;0),"Aucune pièce déclarée",IF(P531*60/Q531&gt;O531+0.001,"Cadence dépassée : vérifiez la cadence","OK"))))))))))))))))))</f>
        <v/>
      </c>
      <c r="AC531">
        <f>IF(OR(AB531="OK",AB531="Aucune pièce déclarée",AB531="Cadence dépassée : vérifiez la cadence"),1,0)</f>
        <v>0.0</v>
      </c>
      <c r="AD531">
        <f>IF(AND(AC531=1,A531&gt;=p_from,A531&lt;=p_to),1,0)</f>
        <v>0.0</v>
      </c>
      <c r="AE531">
        <f>IF(AD531=1,IF(COUNTIFS($A$6:A531,A531,$AD$6:AD531,1)=1,1,0),0)</f>
        <v>0.0</v>
      </c>
      <c r="AF531" t="str">
        <f>IF(AE531=1,COUNTIFS(sj_first,1,sj_date,"&lt;"&amp;A531)+1,"")</f>
        <v/>
      </c>
      <c r="AG531" t="str">
        <f>IF(AND(AD531=1,N(W531)&lt;p_alert),ROUND(W531,4),"")</f>
        <v/>
      </c>
      <c r="AH531" t="str">
        <f>IF(AG531="","",COUNTIF(sj_akey,"&lt;"&amp;AG531)+COUNTIF($AG$6:AG531,AG531))</f>
        <v/>
      </c>
    </row>
    <row r="532">
      <c r="A532" s="51" t="n"/>
      <c r="B532" s="52" t="n"/>
      <c r="C532" s="52" t="n"/>
      <c r="D532" s="53" t="n"/>
      <c r="E532" s="53" t="n"/>
      <c r="F532" s="54" t="n"/>
      <c r="G532" s="54" t="n"/>
      <c r="H532" s="54" t="n"/>
      <c r="I532" s="54" t="n"/>
      <c r="J532" s="53" t="n"/>
      <c r="K532" s="55" t="str">
        <f>IF(COUNTA(A532:I532)=0,"",IF(F532="",IFERROR(INDEX(eq_dur,MATCH(B532,eq_code,0)),""),F532))</f>
        <v/>
      </c>
      <c r="L532" s="55" t="str">
        <f>IF(ISNUMBER(K532),N(IFERROR(INDEX(eq_pause,MATCH(B532,eq_code,0)),0))+SUMIFS(st_min,st_date,A532,st_eq,B532,st_po,C532,st_type,"Planifié"),"")</f>
        <v/>
      </c>
      <c r="M532" s="55" t="str">
        <f>IF(ISNUMBER(K532),K532-L532,"")</f>
        <v/>
      </c>
      <c r="N532" s="55" t="str">
        <f>IF(ISNUMBER(K532),SUMIFS(st_min,st_date,A532,st_eq,B532,st_po,C532,st_type,"Non planifié"),"")</f>
        <v/>
      </c>
      <c r="O532" s="55" t="str">
        <f>IF(ISNUMBER(K532),M532-N532,"")</f>
        <v/>
      </c>
      <c r="P532" s="55" t="str">
        <f>IF(COUNTA(A532:I532)=0,"",N(G532)+N(H532)+N(I532))</f>
        <v/>
      </c>
      <c r="Q532" s="56" t="str">
        <f>IF(COUNTA(A532:I532)=0,"",IF(N(IFERROR(INDEX(art_rate,MATCH(E532,art_ref,0)),0))&gt;0,N(IFERROR(INDEX(art_rate,MATCH(E532,art_ref,0)),0)),N(IFERROR(INDEX(po_rate,MATCH(C532,po_code,0)),0))))</f>
        <v/>
      </c>
      <c r="R532" s="55" t="str">
        <f>IF(AC532=1,P532*60/Q532,"")</f>
        <v/>
      </c>
      <c r="S532" s="55" t="str">
        <f>IF(AC532=1,N(G532)*60/Q532,"")</f>
        <v/>
      </c>
      <c r="T532" s="57" t="str">
        <f>IF(AC532=1,O532/M532,"")</f>
        <v/>
      </c>
      <c r="U532" s="57" t="str">
        <f>IF(AC532=1,IF(O532&gt;0,R532/O532,""),"")</f>
        <v/>
      </c>
      <c r="V532" s="57" t="str">
        <f>IF(AC532=1,IF(P532&gt;0,N(G532)/P532,""),"")</f>
        <v/>
      </c>
      <c r="W532" s="57" t="str">
        <f>IF(AC532=1,S532/M532,"")</f>
        <v/>
      </c>
      <c r="X532" s="57" t="str">
        <f>IF(AC532=1,S532/K532,"")</f>
        <v/>
      </c>
      <c r="Y532" s="58" t="str">
        <f>IF(W532="","",IF(W532&gt;=p_target,"Bon",IF(W532&gt;=p_alert,"À surveiller","Faible")))</f>
        <v/>
      </c>
      <c r="Z532" s="58" t="str">
        <f>IF(W532="","",IF(MIN(IF(T532="",1,T532),IF(U532="",1,U532),IF(V532="",1,V532))&gt;=1,"Aucune",IF(IF(T532="",1,T532)&lt;=MIN(IF(U532="",1,U532),IF(V532="",1,V532)),"Disponibilité",IF(IF(U532="",1,U532)&lt;=IF(V532="",1,V532),"Performance","Qualité"))))</f>
        <v/>
      </c>
      <c r="AA532" s="59" t="str">
        <f>IF(AC532=1,N(H532)*N(IFERROR(INDEX(art_cost,MATCH(E532,art_ref,0)),0)),"")</f>
        <v/>
      </c>
      <c r="AB532" s="58" t="str">
        <f>IF(COUNTA(A532:I532)=0,"",IF(N(A532)&lt;=0,"Date manquante ou invalide",IF(B532="","Équipe manquante",IF(ISNA(MATCH(B532,eq_code,0)),"Équipe inconnue",IF(INDEX(eq_check,MATCH(B532,eq_code,0))&lt;&gt;"OK","Équipe à corriger dans Paramètres",IF(C532="","Poste manquant",IF(ISNA(MATCH(C532,po_code,0)),"Poste inconnu",IF(AND(E532&lt;&gt;"",ISNA(MATCH(E532,art_ref,0))),"Article inconnu",IF(IF(E532="",FALSE,INDEX(art_check,MATCH(E532,art_ref,0))&lt;&gt;"OK"),"Article à corriger (feuille Articles)",IF(COUNTIFS(sj_date,A532,sj_eq,B532,sj_po,C532)&gt;1,"Ligne en double (même jour, équipe et poste)",IF(OR(NOT(ISNUMBER(K532)),N(K532)&lt;=0,N(K532)&gt;1440),"Temps d'ouverture invalide",IF(OR(AND(G532&lt;&gt;"",NOT(ISNUMBER(G532))),N(G532)&lt;0,N(G532)&lt;&gt;INT(N(G532)),AND(H532&lt;&gt;"",NOT(ISNUMBER(H532))),N(H532)&lt;0,N(H532)&lt;&gt;INT(N(H532)),AND(I532&lt;&gt;"",NOT(ISNUMBER(I532))),N(I532)&lt;0,N(I532)&lt;&gt;INT(N(I532))),"Quantité invalide",IF(Q532&lt;=0,"Cadence manquante (poste ou article)",IF(M532&lt;=0,"Arrêts planifiés supérieurs au temps d'ouverture",IF(O532&lt;0,"Arrêts supérieurs au temps requis",IF(AND(P532&gt;0,O532=0),"Pièces déclarées sans temps de marche",IF(AND(P532=0,O532&gt;0),"Aucune pièce déclarée",IF(P532*60/Q532&gt;O532+0.001,"Cadence dépassée : vérifiez la cadence","OK"))))))))))))))))))</f>
        <v/>
      </c>
      <c r="AC532">
        <f>IF(OR(AB532="OK",AB532="Aucune pièce déclarée",AB532="Cadence dépassée : vérifiez la cadence"),1,0)</f>
        <v>0.0</v>
      </c>
      <c r="AD532">
        <f>IF(AND(AC532=1,A532&gt;=p_from,A532&lt;=p_to),1,0)</f>
        <v>0.0</v>
      </c>
      <c r="AE532">
        <f>IF(AD532=1,IF(COUNTIFS($A$6:A532,A532,$AD$6:AD532,1)=1,1,0),0)</f>
        <v>0.0</v>
      </c>
      <c r="AF532" t="str">
        <f>IF(AE532=1,COUNTIFS(sj_first,1,sj_date,"&lt;"&amp;A532)+1,"")</f>
        <v/>
      </c>
      <c r="AG532" t="str">
        <f>IF(AND(AD532=1,N(W532)&lt;p_alert),ROUND(W532,4),"")</f>
        <v/>
      </c>
      <c r="AH532" t="str">
        <f>IF(AG532="","",COUNTIF(sj_akey,"&lt;"&amp;AG532)+COUNTIF($AG$6:AG532,AG532))</f>
        <v/>
      </c>
    </row>
    <row r="533">
      <c r="A533" s="51" t="n"/>
      <c r="B533" s="52" t="n"/>
      <c r="C533" s="52" t="n"/>
      <c r="D533" s="53" t="n"/>
      <c r="E533" s="53" t="n"/>
      <c r="F533" s="54" t="n"/>
      <c r="G533" s="54" t="n"/>
      <c r="H533" s="54" t="n"/>
      <c r="I533" s="54" t="n"/>
      <c r="J533" s="53" t="n"/>
      <c r="K533" s="55" t="str">
        <f>IF(COUNTA(A533:I533)=0,"",IF(F533="",IFERROR(INDEX(eq_dur,MATCH(B533,eq_code,0)),""),F533))</f>
        <v/>
      </c>
      <c r="L533" s="55" t="str">
        <f>IF(ISNUMBER(K533),N(IFERROR(INDEX(eq_pause,MATCH(B533,eq_code,0)),0))+SUMIFS(st_min,st_date,A533,st_eq,B533,st_po,C533,st_type,"Planifié"),"")</f>
        <v/>
      </c>
      <c r="M533" s="55" t="str">
        <f>IF(ISNUMBER(K533),K533-L533,"")</f>
        <v/>
      </c>
      <c r="N533" s="55" t="str">
        <f>IF(ISNUMBER(K533),SUMIFS(st_min,st_date,A533,st_eq,B533,st_po,C533,st_type,"Non planifié"),"")</f>
        <v/>
      </c>
      <c r="O533" s="55" t="str">
        <f>IF(ISNUMBER(K533),M533-N533,"")</f>
        <v/>
      </c>
      <c r="P533" s="55" t="str">
        <f>IF(COUNTA(A533:I533)=0,"",N(G533)+N(H533)+N(I533))</f>
        <v/>
      </c>
      <c r="Q533" s="56" t="str">
        <f>IF(COUNTA(A533:I533)=0,"",IF(N(IFERROR(INDEX(art_rate,MATCH(E533,art_ref,0)),0))&gt;0,N(IFERROR(INDEX(art_rate,MATCH(E533,art_ref,0)),0)),N(IFERROR(INDEX(po_rate,MATCH(C533,po_code,0)),0))))</f>
        <v/>
      </c>
      <c r="R533" s="55" t="str">
        <f>IF(AC533=1,P533*60/Q533,"")</f>
        <v/>
      </c>
      <c r="S533" s="55" t="str">
        <f>IF(AC533=1,N(G533)*60/Q533,"")</f>
        <v/>
      </c>
      <c r="T533" s="57" t="str">
        <f>IF(AC533=1,O533/M533,"")</f>
        <v/>
      </c>
      <c r="U533" s="57" t="str">
        <f>IF(AC533=1,IF(O533&gt;0,R533/O533,""),"")</f>
        <v/>
      </c>
      <c r="V533" s="57" t="str">
        <f>IF(AC533=1,IF(P533&gt;0,N(G533)/P533,""),"")</f>
        <v/>
      </c>
      <c r="W533" s="57" t="str">
        <f>IF(AC533=1,S533/M533,"")</f>
        <v/>
      </c>
      <c r="X533" s="57" t="str">
        <f>IF(AC533=1,S533/K533,"")</f>
        <v/>
      </c>
      <c r="Y533" s="58" t="str">
        <f>IF(W533="","",IF(W533&gt;=p_target,"Bon",IF(W533&gt;=p_alert,"À surveiller","Faible")))</f>
        <v/>
      </c>
      <c r="Z533" s="58" t="str">
        <f>IF(W533="","",IF(MIN(IF(T533="",1,T533),IF(U533="",1,U533),IF(V533="",1,V533))&gt;=1,"Aucune",IF(IF(T533="",1,T533)&lt;=MIN(IF(U533="",1,U533),IF(V533="",1,V533)),"Disponibilité",IF(IF(U533="",1,U533)&lt;=IF(V533="",1,V533),"Performance","Qualité"))))</f>
        <v/>
      </c>
      <c r="AA533" s="59" t="str">
        <f>IF(AC533=1,N(H533)*N(IFERROR(INDEX(art_cost,MATCH(E533,art_ref,0)),0)),"")</f>
        <v/>
      </c>
      <c r="AB533" s="58" t="str">
        <f>IF(COUNTA(A533:I533)=0,"",IF(N(A533)&lt;=0,"Date manquante ou invalide",IF(B533="","Équipe manquante",IF(ISNA(MATCH(B533,eq_code,0)),"Équipe inconnue",IF(INDEX(eq_check,MATCH(B533,eq_code,0))&lt;&gt;"OK","Équipe à corriger dans Paramètres",IF(C533="","Poste manquant",IF(ISNA(MATCH(C533,po_code,0)),"Poste inconnu",IF(AND(E533&lt;&gt;"",ISNA(MATCH(E533,art_ref,0))),"Article inconnu",IF(IF(E533="",FALSE,INDEX(art_check,MATCH(E533,art_ref,0))&lt;&gt;"OK"),"Article à corriger (feuille Articles)",IF(COUNTIFS(sj_date,A533,sj_eq,B533,sj_po,C533)&gt;1,"Ligne en double (même jour, équipe et poste)",IF(OR(NOT(ISNUMBER(K533)),N(K533)&lt;=0,N(K533)&gt;1440),"Temps d'ouverture invalide",IF(OR(AND(G533&lt;&gt;"",NOT(ISNUMBER(G533))),N(G533)&lt;0,N(G533)&lt;&gt;INT(N(G533)),AND(H533&lt;&gt;"",NOT(ISNUMBER(H533))),N(H533)&lt;0,N(H533)&lt;&gt;INT(N(H533)),AND(I533&lt;&gt;"",NOT(ISNUMBER(I533))),N(I533)&lt;0,N(I533)&lt;&gt;INT(N(I533))),"Quantité invalide",IF(Q533&lt;=0,"Cadence manquante (poste ou article)",IF(M533&lt;=0,"Arrêts planifiés supérieurs au temps d'ouverture",IF(O533&lt;0,"Arrêts supérieurs au temps requis",IF(AND(P533&gt;0,O533=0),"Pièces déclarées sans temps de marche",IF(AND(P533=0,O533&gt;0),"Aucune pièce déclarée",IF(P533*60/Q533&gt;O533+0.001,"Cadence dépassée : vérifiez la cadence","OK"))))))))))))))))))</f>
        <v/>
      </c>
      <c r="AC533">
        <f>IF(OR(AB533="OK",AB533="Aucune pièce déclarée",AB533="Cadence dépassée : vérifiez la cadence"),1,0)</f>
        <v>0.0</v>
      </c>
      <c r="AD533">
        <f>IF(AND(AC533=1,A533&gt;=p_from,A533&lt;=p_to),1,0)</f>
        <v>0.0</v>
      </c>
      <c r="AE533">
        <f>IF(AD533=1,IF(COUNTIFS($A$6:A533,A533,$AD$6:AD533,1)=1,1,0),0)</f>
        <v>0.0</v>
      </c>
      <c r="AF533" t="str">
        <f>IF(AE533=1,COUNTIFS(sj_first,1,sj_date,"&lt;"&amp;A533)+1,"")</f>
        <v/>
      </c>
      <c r="AG533" t="str">
        <f>IF(AND(AD533=1,N(W533)&lt;p_alert),ROUND(W533,4),"")</f>
        <v/>
      </c>
      <c r="AH533" t="str">
        <f>IF(AG533="","",COUNTIF(sj_akey,"&lt;"&amp;AG533)+COUNTIF($AG$6:AG533,AG533))</f>
        <v/>
      </c>
    </row>
    <row r="534">
      <c r="A534" s="51" t="n"/>
      <c r="B534" s="52" t="n"/>
      <c r="C534" s="52" t="n"/>
      <c r="D534" s="53" t="n"/>
      <c r="E534" s="53" t="n"/>
      <c r="F534" s="54" t="n"/>
      <c r="G534" s="54" t="n"/>
      <c r="H534" s="54" t="n"/>
      <c r="I534" s="54" t="n"/>
      <c r="J534" s="53" t="n"/>
      <c r="K534" s="55" t="str">
        <f>IF(COUNTA(A534:I534)=0,"",IF(F534="",IFERROR(INDEX(eq_dur,MATCH(B534,eq_code,0)),""),F534))</f>
        <v/>
      </c>
      <c r="L534" s="55" t="str">
        <f>IF(ISNUMBER(K534),N(IFERROR(INDEX(eq_pause,MATCH(B534,eq_code,0)),0))+SUMIFS(st_min,st_date,A534,st_eq,B534,st_po,C534,st_type,"Planifié"),"")</f>
        <v/>
      </c>
      <c r="M534" s="55" t="str">
        <f>IF(ISNUMBER(K534),K534-L534,"")</f>
        <v/>
      </c>
      <c r="N534" s="55" t="str">
        <f>IF(ISNUMBER(K534),SUMIFS(st_min,st_date,A534,st_eq,B534,st_po,C534,st_type,"Non planifié"),"")</f>
        <v/>
      </c>
      <c r="O534" s="55" t="str">
        <f>IF(ISNUMBER(K534),M534-N534,"")</f>
        <v/>
      </c>
      <c r="P534" s="55" t="str">
        <f>IF(COUNTA(A534:I534)=0,"",N(G534)+N(H534)+N(I534))</f>
        <v/>
      </c>
      <c r="Q534" s="56" t="str">
        <f>IF(COUNTA(A534:I534)=0,"",IF(N(IFERROR(INDEX(art_rate,MATCH(E534,art_ref,0)),0))&gt;0,N(IFERROR(INDEX(art_rate,MATCH(E534,art_ref,0)),0)),N(IFERROR(INDEX(po_rate,MATCH(C534,po_code,0)),0))))</f>
        <v/>
      </c>
      <c r="R534" s="55" t="str">
        <f>IF(AC534=1,P534*60/Q534,"")</f>
        <v/>
      </c>
      <c r="S534" s="55" t="str">
        <f>IF(AC534=1,N(G534)*60/Q534,"")</f>
        <v/>
      </c>
      <c r="T534" s="57" t="str">
        <f>IF(AC534=1,O534/M534,"")</f>
        <v/>
      </c>
      <c r="U534" s="57" t="str">
        <f>IF(AC534=1,IF(O534&gt;0,R534/O534,""),"")</f>
        <v/>
      </c>
      <c r="V534" s="57" t="str">
        <f>IF(AC534=1,IF(P534&gt;0,N(G534)/P534,""),"")</f>
        <v/>
      </c>
      <c r="W534" s="57" t="str">
        <f>IF(AC534=1,S534/M534,"")</f>
        <v/>
      </c>
      <c r="X534" s="57" t="str">
        <f>IF(AC534=1,S534/K534,"")</f>
        <v/>
      </c>
      <c r="Y534" s="58" t="str">
        <f>IF(W534="","",IF(W534&gt;=p_target,"Bon",IF(W534&gt;=p_alert,"À surveiller","Faible")))</f>
        <v/>
      </c>
      <c r="Z534" s="58" t="str">
        <f>IF(W534="","",IF(MIN(IF(T534="",1,T534),IF(U534="",1,U534),IF(V534="",1,V534))&gt;=1,"Aucune",IF(IF(T534="",1,T534)&lt;=MIN(IF(U534="",1,U534),IF(V534="",1,V534)),"Disponibilité",IF(IF(U534="",1,U534)&lt;=IF(V534="",1,V534),"Performance","Qualité"))))</f>
        <v/>
      </c>
      <c r="AA534" s="59" t="str">
        <f>IF(AC534=1,N(H534)*N(IFERROR(INDEX(art_cost,MATCH(E534,art_ref,0)),0)),"")</f>
        <v/>
      </c>
      <c r="AB534" s="58" t="str">
        <f>IF(COUNTA(A534:I534)=0,"",IF(N(A534)&lt;=0,"Date manquante ou invalide",IF(B534="","Équipe manquante",IF(ISNA(MATCH(B534,eq_code,0)),"Équipe inconnue",IF(INDEX(eq_check,MATCH(B534,eq_code,0))&lt;&gt;"OK","Équipe à corriger dans Paramètres",IF(C534="","Poste manquant",IF(ISNA(MATCH(C534,po_code,0)),"Poste inconnu",IF(AND(E534&lt;&gt;"",ISNA(MATCH(E534,art_ref,0))),"Article inconnu",IF(IF(E534="",FALSE,INDEX(art_check,MATCH(E534,art_ref,0))&lt;&gt;"OK"),"Article à corriger (feuille Articles)",IF(COUNTIFS(sj_date,A534,sj_eq,B534,sj_po,C534)&gt;1,"Ligne en double (même jour, équipe et poste)",IF(OR(NOT(ISNUMBER(K534)),N(K534)&lt;=0,N(K534)&gt;1440),"Temps d'ouverture invalide",IF(OR(AND(G534&lt;&gt;"",NOT(ISNUMBER(G534))),N(G534)&lt;0,N(G534)&lt;&gt;INT(N(G534)),AND(H534&lt;&gt;"",NOT(ISNUMBER(H534))),N(H534)&lt;0,N(H534)&lt;&gt;INT(N(H534)),AND(I534&lt;&gt;"",NOT(ISNUMBER(I534))),N(I534)&lt;0,N(I534)&lt;&gt;INT(N(I534))),"Quantité invalide",IF(Q534&lt;=0,"Cadence manquante (poste ou article)",IF(M534&lt;=0,"Arrêts planifiés supérieurs au temps d'ouverture",IF(O534&lt;0,"Arrêts supérieurs au temps requis",IF(AND(P534&gt;0,O534=0),"Pièces déclarées sans temps de marche",IF(AND(P534=0,O534&gt;0),"Aucune pièce déclarée",IF(P534*60/Q534&gt;O534+0.001,"Cadence dépassée : vérifiez la cadence","OK"))))))))))))))))))</f>
        <v/>
      </c>
      <c r="AC534">
        <f>IF(OR(AB534="OK",AB534="Aucune pièce déclarée",AB534="Cadence dépassée : vérifiez la cadence"),1,0)</f>
        <v>0.0</v>
      </c>
      <c r="AD534">
        <f>IF(AND(AC534=1,A534&gt;=p_from,A534&lt;=p_to),1,0)</f>
        <v>0.0</v>
      </c>
      <c r="AE534">
        <f>IF(AD534=1,IF(COUNTIFS($A$6:A534,A534,$AD$6:AD534,1)=1,1,0),0)</f>
        <v>0.0</v>
      </c>
      <c r="AF534" t="str">
        <f>IF(AE534=1,COUNTIFS(sj_first,1,sj_date,"&lt;"&amp;A534)+1,"")</f>
        <v/>
      </c>
      <c r="AG534" t="str">
        <f>IF(AND(AD534=1,N(W534)&lt;p_alert),ROUND(W534,4),"")</f>
        <v/>
      </c>
      <c r="AH534" t="str">
        <f>IF(AG534="","",COUNTIF(sj_akey,"&lt;"&amp;AG534)+COUNTIF($AG$6:AG534,AG534))</f>
        <v/>
      </c>
    </row>
    <row r="535">
      <c r="A535" s="51" t="n"/>
      <c r="B535" s="52" t="n"/>
      <c r="C535" s="52" t="n"/>
      <c r="D535" s="53" t="n"/>
      <c r="E535" s="53" t="n"/>
      <c r="F535" s="54" t="n"/>
      <c r="G535" s="54" t="n"/>
      <c r="H535" s="54" t="n"/>
      <c r="I535" s="54" t="n"/>
      <c r="J535" s="53" t="n"/>
      <c r="K535" s="55" t="str">
        <f>IF(COUNTA(A535:I535)=0,"",IF(F535="",IFERROR(INDEX(eq_dur,MATCH(B535,eq_code,0)),""),F535))</f>
        <v/>
      </c>
      <c r="L535" s="55" t="str">
        <f>IF(ISNUMBER(K535),N(IFERROR(INDEX(eq_pause,MATCH(B535,eq_code,0)),0))+SUMIFS(st_min,st_date,A535,st_eq,B535,st_po,C535,st_type,"Planifié"),"")</f>
        <v/>
      </c>
      <c r="M535" s="55" t="str">
        <f>IF(ISNUMBER(K535),K535-L535,"")</f>
        <v/>
      </c>
      <c r="N535" s="55" t="str">
        <f>IF(ISNUMBER(K535),SUMIFS(st_min,st_date,A535,st_eq,B535,st_po,C535,st_type,"Non planifié"),"")</f>
        <v/>
      </c>
      <c r="O535" s="55" t="str">
        <f>IF(ISNUMBER(K535),M535-N535,"")</f>
        <v/>
      </c>
      <c r="P535" s="55" t="str">
        <f>IF(COUNTA(A535:I535)=0,"",N(G535)+N(H535)+N(I535))</f>
        <v/>
      </c>
      <c r="Q535" s="56" t="str">
        <f>IF(COUNTA(A535:I535)=0,"",IF(N(IFERROR(INDEX(art_rate,MATCH(E535,art_ref,0)),0))&gt;0,N(IFERROR(INDEX(art_rate,MATCH(E535,art_ref,0)),0)),N(IFERROR(INDEX(po_rate,MATCH(C535,po_code,0)),0))))</f>
        <v/>
      </c>
      <c r="R535" s="55" t="str">
        <f>IF(AC535=1,P535*60/Q535,"")</f>
        <v/>
      </c>
      <c r="S535" s="55" t="str">
        <f>IF(AC535=1,N(G535)*60/Q535,"")</f>
        <v/>
      </c>
      <c r="T535" s="57" t="str">
        <f>IF(AC535=1,O535/M535,"")</f>
        <v/>
      </c>
      <c r="U535" s="57" t="str">
        <f>IF(AC535=1,IF(O535&gt;0,R535/O535,""),"")</f>
        <v/>
      </c>
      <c r="V535" s="57" t="str">
        <f>IF(AC535=1,IF(P535&gt;0,N(G535)/P535,""),"")</f>
        <v/>
      </c>
      <c r="W535" s="57" t="str">
        <f>IF(AC535=1,S535/M535,"")</f>
        <v/>
      </c>
      <c r="X535" s="57" t="str">
        <f>IF(AC535=1,S535/K535,"")</f>
        <v/>
      </c>
      <c r="Y535" s="58" t="str">
        <f>IF(W535="","",IF(W535&gt;=p_target,"Bon",IF(W535&gt;=p_alert,"À surveiller","Faible")))</f>
        <v/>
      </c>
      <c r="Z535" s="58" t="str">
        <f>IF(W535="","",IF(MIN(IF(T535="",1,T535),IF(U535="",1,U535),IF(V535="",1,V535))&gt;=1,"Aucune",IF(IF(T535="",1,T535)&lt;=MIN(IF(U535="",1,U535),IF(V535="",1,V535)),"Disponibilité",IF(IF(U535="",1,U535)&lt;=IF(V535="",1,V535),"Performance","Qualité"))))</f>
        <v/>
      </c>
      <c r="AA535" s="59" t="str">
        <f>IF(AC535=1,N(H535)*N(IFERROR(INDEX(art_cost,MATCH(E535,art_ref,0)),0)),"")</f>
        <v/>
      </c>
      <c r="AB535" s="58" t="str">
        <f>IF(COUNTA(A535:I535)=0,"",IF(N(A535)&lt;=0,"Date manquante ou invalide",IF(B535="","Équipe manquante",IF(ISNA(MATCH(B535,eq_code,0)),"Équipe inconnue",IF(INDEX(eq_check,MATCH(B535,eq_code,0))&lt;&gt;"OK","Équipe à corriger dans Paramètres",IF(C535="","Poste manquant",IF(ISNA(MATCH(C535,po_code,0)),"Poste inconnu",IF(AND(E535&lt;&gt;"",ISNA(MATCH(E535,art_ref,0))),"Article inconnu",IF(IF(E535="",FALSE,INDEX(art_check,MATCH(E535,art_ref,0))&lt;&gt;"OK"),"Article à corriger (feuille Articles)",IF(COUNTIFS(sj_date,A535,sj_eq,B535,sj_po,C535)&gt;1,"Ligne en double (même jour, équipe et poste)",IF(OR(NOT(ISNUMBER(K535)),N(K535)&lt;=0,N(K535)&gt;1440),"Temps d'ouverture invalide",IF(OR(AND(G535&lt;&gt;"",NOT(ISNUMBER(G535))),N(G535)&lt;0,N(G535)&lt;&gt;INT(N(G535)),AND(H535&lt;&gt;"",NOT(ISNUMBER(H535))),N(H535)&lt;0,N(H535)&lt;&gt;INT(N(H535)),AND(I535&lt;&gt;"",NOT(ISNUMBER(I535))),N(I535)&lt;0,N(I535)&lt;&gt;INT(N(I535))),"Quantité invalide",IF(Q535&lt;=0,"Cadence manquante (poste ou article)",IF(M535&lt;=0,"Arrêts planifiés supérieurs au temps d'ouverture",IF(O535&lt;0,"Arrêts supérieurs au temps requis",IF(AND(P535&gt;0,O535=0),"Pièces déclarées sans temps de marche",IF(AND(P535=0,O535&gt;0),"Aucune pièce déclarée",IF(P535*60/Q535&gt;O535+0.001,"Cadence dépassée : vérifiez la cadence","OK"))))))))))))))))))</f>
        <v/>
      </c>
      <c r="AC535">
        <f>IF(OR(AB535="OK",AB535="Aucune pièce déclarée",AB535="Cadence dépassée : vérifiez la cadence"),1,0)</f>
        <v>0.0</v>
      </c>
      <c r="AD535">
        <f>IF(AND(AC535=1,A535&gt;=p_from,A535&lt;=p_to),1,0)</f>
        <v>0.0</v>
      </c>
      <c r="AE535">
        <f>IF(AD535=1,IF(COUNTIFS($A$6:A535,A535,$AD$6:AD535,1)=1,1,0),0)</f>
        <v>0.0</v>
      </c>
      <c r="AF535" t="str">
        <f>IF(AE535=1,COUNTIFS(sj_first,1,sj_date,"&lt;"&amp;A535)+1,"")</f>
        <v/>
      </c>
      <c r="AG535" t="str">
        <f>IF(AND(AD535=1,N(W535)&lt;p_alert),ROUND(W535,4),"")</f>
        <v/>
      </c>
      <c r="AH535" t="str">
        <f>IF(AG535="","",COUNTIF(sj_akey,"&lt;"&amp;AG535)+COUNTIF($AG$6:AG535,AG535))</f>
        <v/>
      </c>
    </row>
    <row r="536">
      <c r="A536" s="51" t="n"/>
      <c r="B536" s="52" t="n"/>
      <c r="C536" s="52" t="n"/>
      <c r="D536" s="53" t="n"/>
      <c r="E536" s="53" t="n"/>
      <c r="F536" s="54" t="n"/>
      <c r="G536" s="54" t="n"/>
      <c r="H536" s="54" t="n"/>
      <c r="I536" s="54" t="n"/>
      <c r="J536" s="53" t="n"/>
      <c r="K536" s="55" t="str">
        <f>IF(COUNTA(A536:I536)=0,"",IF(F536="",IFERROR(INDEX(eq_dur,MATCH(B536,eq_code,0)),""),F536))</f>
        <v/>
      </c>
      <c r="L536" s="55" t="str">
        <f>IF(ISNUMBER(K536),N(IFERROR(INDEX(eq_pause,MATCH(B536,eq_code,0)),0))+SUMIFS(st_min,st_date,A536,st_eq,B536,st_po,C536,st_type,"Planifié"),"")</f>
        <v/>
      </c>
      <c r="M536" s="55" t="str">
        <f>IF(ISNUMBER(K536),K536-L536,"")</f>
        <v/>
      </c>
      <c r="N536" s="55" t="str">
        <f>IF(ISNUMBER(K536),SUMIFS(st_min,st_date,A536,st_eq,B536,st_po,C536,st_type,"Non planifié"),"")</f>
        <v/>
      </c>
      <c r="O536" s="55" t="str">
        <f>IF(ISNUMBER(K536),M536-N536,"")</f>
        <v/>
      </c>
      <c r="P536" s="55" t="str">
        <f>IF(COUNTA(A536:I536)=0,"",N(G536)+N(H536)+N(I536))</f>
        <v/>
      </c>
      <c r="Q536" s="56" t="str">
        <f>IF(COUNTA(A536:I536)=0,"",IF(N(IFERROR(INDEX(art_rate,MATCH(E536,art_ref,0)),0))&gt;0,N(IFERROR(INDEX(art_rate,MATCH(E536,art_ref,0)),0)),N(IFERROR(INDEX(po_rate,MATCH(C536,po_code,0)),0))))</f>
        <v/>
      </c>
      <c r="R536" s="55" t="str">
        <f>IF(AC536=1,P536*60/Q536,"")</f>
        <v/>
      </c>
      <c r="S536" s="55" t="str">
        <f>IF(AC536=1,N(G536)*60/Q536,"")</f>
        <v/>
      </c>
      <c r="T536" s="57" t="str">
        <f>IF(AC536=1,O536/M536,"")</f>
        <v/>
      </c>
      <c r="U536" s="57" t="str">
        <f>IF(AC536=1,IF(O536&gt;0,R536/O536,""),"")</f>
        <v/>
      </c>
      <c r="V536" s="57" t="str">
        <f>IF(AC536=1,IF(P536&gt;0,N(G536)/P536,""),"")</f>
        <v/>
      </c>
      <c r="W536" s="57" t="str">
        <f>IF(AC536=1,S536/M536,"")</f>
        <v/>
      </c>
      <c r="X536" s="57" t="str">
        <f>IF(AC536=1,S536/K536,"")</f>
        <v/>
      </c>
      <c r="Y536" s="58" t="str">
        <f>IF(W536="","",IF(W536&gt;=p_target,"Bon",IF(W536&gt;=p_alert,"À surveiller","Faible")))</f>
        <v/>
      </c>
      <c r="Z536" s="58" t="str">
        <f>IF(W536="","",IF(MIN(IF(T536="",1,T536),IF(U536="",1,U536),IF(V536="",1,V536))&gt;=1,"Aucune",IF(IF(T536="",1,T536)&lt;=MIN(IF(U536="",1,U536),IF(V536="",1,V536)),"Disponibilité",IF(IF(U536="",1,U536)&lt;=IF(V536="",1,V536),"Performance","Qualité"))))</f>
        <v/>
      </c>
      <c r="AA536" s="59" t="str">
        <f>IF(AC536=1,N(H536)*N(IFERROR(INDEX(art_cost,MATCH(E536,art_ref,0)),0)),"")</f>
        <v/>
      </c>
      <c r="AB536" s="58" t="str">
        <f>IF(COUNTA(A536:I536)=0,"",IF(N(A536)&lt;=0,"Date manquante ou invalide",IF(B536="","Équipe manquante",IF(ISNA(MATCH(B536,eq_code,0)),"Équipe inconnue",IF(INDEX(eq_check,MATCH(B536,eq_code,0))&lt;&gt;"OK","Équipe à corriger dans Paramètres",IF(C536="","Poste manquant",IF(ISNA(MATCH(C536,po_code,0)),"Poste inconnu",IF(AND(E536&lt;&gt;"",ISNA(MATCH(E536,art_ref,0))),"Article inconnu",IF(IF(E536="",FALSE,INDEX(art_check,MATCH(E536,art_ref,0))&lt;&gt;"OK"),"Article à corriger (feuille Articles)",IF(COUNTIFS(sj_date,A536,sj_eq,B536,sj_po,C536)&gt;1,"Ligne en double (même jour, équipe et poste)",IF(OR(NOT(ISNUMBER(K536)),N(K536)&lt;=0,N(K536)&gt;1440),"Temps d'ouverture invalide",IF(OR(AND(G536&lt;&gt;"",NOT(ISNUMBER(G536))),N(G536)&lt;0,N(G536)&lt;&gt;INT(N(G536)),AND(H536&lt;&gt;"",NOT(ISNUMBER(H536))),N(H536)&lt;0,N(H536)&lt;&gt;INT(N(H536)),AND(I536&lt;&gt;"",NOT(ISNUMBER(I536))),N(I536)&lt;0,N(I536)&lt;&gt;INT(N(I536))),"Quantité invalide",IF(Q536&lt;=0,"Cadence manquante (poste ou article)",IF(M536&lt;=0,"Arrêts planifiés supérieurs au temps d'ouverture",IF(O536&lt;0,"Arrêts supérieurs au temps requis",IF(AND(P536&gt;0,O536=0),"Pièces déclarées sans temps de marche",IF(AND(P536=0,O536&gt;0),"Aucune pièce déclarée",IF(P536*60/Q536&gt;O536+0.001,"Cadence dépassée : vérifiez la cadence","OK"))))))))))))))))))</f>
        <v/>
      </c>
      <c r="AC536">
        <f>IF(OR(AB536="OK",AB536="Aucune pièce déclarée",AB536="Cadence dépassée : vérifiez la cadence"),1,0)</f>
        <v>0.0</v>
      </c>
      <c r="AD536">
        <f>IF(AND(AC536=1,A536&gt;=p_from,A536&lt;=p_to),1,0)</f>
        <v>0.0</v>
      </c>
      <c r="AE536">
        <f>IF(AD536=1,IF(COUNTIFS($A$6:A536,A536,$AD$6:AD536,1)=1,1,0),0)</f>
        <v>0.0</v>
      </c>
      <c r="AF536" t="str">
        <f>IF(AE536=1,COUNTIFS(sj_first,1,sj_date,"&lt;"&amp;A536)+1,"")</f>
        <v/>
      </c>
      <c r="AG536" t="str">
        <f>IF(AND(AD536=1,N(W536)&lt;p_alert),ROUND(W536,4),"")</f>
        <v/>
      </c>
      <c r="AH536" t="str">
        <f>IF(AG536="","",COUNTIF(sj_akey,"&lt;"&amp;AG536)+COUNTIF($AG$6:AG536,AG536))</f>
        <v/>
      </c>
    </row>
    <row r="537">
      <c r="A537" s="51" t="n"/>
      <c r="B537" s="52" t="n"/>
      <c r="C537" s="52" t="n"/>
      <c r="D537" s="53" t="n"/>
      <c r="E537" s="53" t="n"/>
      <c r="F537" s="54" t="n"/>
      <c r="G537" s="54" t="n"/>
      <c r="H537" s="54" t="n"/>
      <c r="I537" s="54" t="n"/>
      <c r="J537" s="53" t="n"/>
      <c r="K537" s="55" t="str">
        <f>IF(COUNTA(A537:I537)=0,"",IF(F537="",IFERROR(INDEX(eq_dur,MATCH(B537,eq_code,0)),""),F537))</f>
        <v/>
      </c>
      <c r="L537" s="55" t="str">
        <f>IF(ISNUMBER(K537),N(IFERROR(INDEX(eq_pause,MATCH(B537,eq_code,0)),0))+SUMIFS(st_min,st_date,A537,st_eq,B537,st_po,C537,st_type,"Planifié"),"")</f>
        <v/>
      </c>
      <c r="M537" s="55" t="str">
        <f>IF(ISNUMBER(K537),K537-L537,"")</f>
        <v/>
      </c>
      <c r="N537" s="55" t="str">
        <f>IF(ISNUMBER(K537),SUMIFS(st_min,st_date,A537,st_eq,B537,st_po,C537,st_type,"Non planifié"),"")</f>
        <v/>
      </c>
      <c r="O537" s="55" t="str">
        <f>IF(ISNUMBER(K537),M537-N537,"")</f>
        <v/>
      </c>
      <c r="P537" s="55" t="str">
        <f>IF(COUNTA(A537:I537)=0,"",N(G537)+N(H537)+N(I537))</f>
        <v/>
      </c>
      <c r="Q537" s="56" t="str">
        <f>IF(COUNTA(A537:I537)=0,"",IF(N(IFERROR(INDEX(art_rate,MATCH(E537,art_ref,0)),0))&gt;0,N(IFERROR(INDEX(art_rate,MATCH(E537,art_ref,0)),0)),N(IFERROR(INDEX(po_rate,MATCH(C537,po_code,0)),0))))</f>
        <v/>
      </c>
      <c r="R537" s="55" t="str">
        <f>IF(AC537=1,P537*60/Q537,"")</f>
        <v/>
      </c>
      <c r="S537" s="55" t="str">
        <f>IF(AC537=1,N(G537)*60/Q537,"")</f>
        <v/>
      </c>
      <c r="T537" s="57" t="str">
        <f>IF(AC537=1,O537/M537,"")</f>
        <v/>
      </c>
      <c r="U537" s="57" t="str">
        <f>IF(AC537=1,IF(O537&gt;0,R537/O537,""),"")</f>
        <v/>
      </c>
      <c r="V537" s="57" t="str">
        <f>IF(AC537=1,IF(P537&gt;0,N(G537)/P537,""),"")</f>
        <v/>
      </c>
      <c r="W537" s="57" t="str">
        <f>IF(AC537=1,S537/M537,"")</f>
        <v/>
      </c>
      <c r="X537" s="57" t="str">
        <f>IF(AC537=1,S537/K537,"")</f>
        <v/>
      </c>
      <c r="Y537" s="58" t="str">
        <f>IF(W537="","",IF(W537&gt;=p_target,"Bon",IF(W537&gt;=p_alert,"À surveiller","Faible")))</f>
        <v/>
      </c>
      <c r="Z537" s="58" t="str">
        <f>IF(W537="","",IF(MIN(IF(T537="",1,T537),IF(U537="",1,U537),IF(V537="",1,V537))&gt;=1,"Aucune",IF(IF(T537="",1,T537)&lt;=MIN(IF(U537="",1,U537),IF(V537="",1,V537)),"Disponibilité",IF(IF(U537="",1,U537)&lt;=IF(V537="",1,V537),"Performance","Qualité"))))</f>
        <v/>
      </c>
      <c r="AA537" s="59" t="str">
        <f>IF(AC537=1,N(H537)*N(IFERROR(INDEX(art_cost,MATCH(E537,art_ref,0)),0)),"")</f>
        <v/>
      </c>
      <c r="AB537" s="58" t="str">
        <f>IF(COUNTA(A537:I537)=0,"",IF(N(A537)&lt;=0,"Date manquante ou invalide",IF(B537="","Équipe manquante",IF(ISNA(MATCH(B537,eq_code,0)),"Équipe inconnue",IF(INDEX(eq_check,MATCH(B537,eq_code,0))&lt;&gt;"OK","Équipe à corriger dans Paramètres",IF(C537="","Poste manquant",IF(ISNA(MATCH(C537,po_code,0)),"Poste inconnu",IF(AND(E537&lt;&gt;"",ISNA(MATCH(E537,art_ref,0))),"Article inconnu",IF(IF(E537="",FALSE,INDEX(art_check,MATCH(E537,art_ref,0))&lt;&gt;"OK"),"Article à corriger (feuille Articles)",IF(COUNTIFS(sj_date,A537,sj_eq,B537,sj_po,C537)&gt;1,"Ligne en double (même jour, équipe et poste)",IF(OR(NOT(ISNUMBER(K537)),N(K537)&lt;=0,N(K537)&gt;1440),"Temps d'ouverture invalide",IF(OR(AND(G537&lt;&gt;"",NOT(ISNUMBER(G537))),N(G537)&lt;0,N(G537)&lt;&gt;INT(N(G537)),AND(H537&lt;&gt;"",NOT(ISNUMBER(H537))),N(H537)&lt;0,N(H537)&lt;&gt;INT(N(H537)),AND(I537&lt;&gt;"",NOT(ISNUMBER(I537))),N(I537)&lt;0,N(I537)&lt;&gt;INT(N(I537))),"Quantité invalide",IF(Q537&lt;=0,"Cadence manquante (poste ou article)",IF(M537&lt;=0,"Arrêts planifiés supérieurs au temps d'ouverture",IF(O537&lt;0,"Arrêts supérieurs au temps requis",IF(AND(P537&gt;0,O537=0),"Pièces déclarées sans temps de marche",IF(AND(P537=0,O537&gt;0),"Aucune pièce déclarée",IF(P537*60/Q537&gt;O537+0.001,"Cadence dépassée : vérifiez la cadence","OK"))))))))))))))))))</f>
        <v/>
      </c>
      <c r="AC537">
        <f>IF(OR(AB537="OK",AB537="Aucune pièce déclarée",AB537="Cadence dépassée : vérifiez la cadence"),1,0)</f>
        <v>0.0</v>
      </c>
      <c r="AD537">
        <f>IF(AND(AC537=1,A537&gt;=p_from,A537&lt;=p_to),1,0)</f>
        <v>0.0</v>
      </c>
      <c r="AE537">
        <f>IF(AD537=1,IF(COUNTIFS($A$6:A537,A537,$AD$6:AD537,1)=1,1,0),0)</f>
        <v>0.0</v>
      </c>
      <c r="AF537" t="str">
        <f>IF(AE537=1,COUNTIFS(sj_first,1,sj_date,"&lt;"&amp;A537)+1,"")</f>
        <v/>
      </c>
      <c r="AG537" t="str">
        <f>IF(AND(AD537=1,N(W537)&lt;p_alert),ROUND(W537,4),"")</f>
        <v/>
      </c>
      <c r="AH537" t="str">
        <f>IF(AG537="","",COUNTIF(sj_akey,"&lt;"&amp;AG537)+COUNTIF($AG$6:AG537,AG537))</f>
        <v/>
      </c>
    </row>
    <row r="538">
      <c r="A538" s="51" t="n"/>
      <c r="B538" s="52" t="n"/>
      <c r="C538" s="52" t="n"/>
      <c r="D538" s="53" t="n"/>
      <c r="E538" s="53" t="n"/>
      <c r="F538" s="54" t="n"/>
      <c r="G538" s="54" t="n"/>
      <c r="H538" s="54" t="n"/>
      <c r="I538" s="54" t="n"/>
      <c r="J538" s="53" t="n"/>
      <c r="K538" s="55" t="str">
        <f>IF(COUNTA(A538:I538)=0,"",IF(F538="",IFERROR(INDEX(eq_dur,MATCH(B538,eq_code,0)),""),F538))</f>
        <v/>
      </c>
      <c r="L538" s="55" t="str">
        <f>IF(ISNUMBER(K538),N(IFERROR(INDEX(eq_pause,MATCH(B538,eq_code,0)),0))+SUMIFS(st_min,st_date,A538,st_eq,B538,st_po,C538,st_type,"Planifié"),"")</f>
        <v/>
      </c>
      <c r="M538" s="55" t="str">
        <f>IF(ISNUMBER(K538),K538-L538,"")</f>
        <v/>
      </c>
      <c r="N538" s="55" t="str">
        <f>IF(ISNUMBER(K538),SUMIFS(st_min,st_date,A538,st_eq,B538,st_po,C538,st_type,"Non planifié"),"")</f>
        <v/>
      </c>
      <c r="O538" s="55" t="str">
        <f>IF(ISNUMBER(K538),M538-N538,"")</f>
        <v/>
      </c>
      <c r="P538" s="55" t="str">
        <f>IF(COUNTA(A538:I538)=0,"",N(G538)+N(H538)+N(I538))</f>
        <v/>
      </c>
      <c r="Q538" s="56" t="str">
        <f>IF(COUNTA(A538:I538)=0,"",IF(N(IFERROR(INDEX(art_rate,MATCH(E538,art_ref,0)),0))&gt;0,N(IFERROR(INDEX(art_rate,MATCH(E538,art_ref,0)),0)),N(IFERROR(INDEX(po_rate,MATCH(C538,po_code,0)),0))))</f>
        <v/>
      </c>
      <c r="R538" s="55" t="str">
        <f>IF(AC538=1,P538*60/Q538,"")</f>
        <v/>
      </c>
      <c r="S538" s="55" t="str">
        <f>IF(AC538=1,N(G538)*60/Q538,"")</f>
        <v/>
      </c>
      <c r="T538" s="57" t="str">
        <f>IF(AC538=1,O538/M538,"")</f>
        <v/>
      </c>
      <c r="U538" s="57" t="str">
        <f>IF(AC538=1,IF(O538&gt;0,R538/O538,""),"")</f>
        <v/>
      </c>
      <c r="V538" s="57" t="str">
        <f>IF(AC538=1,IF(P538&gt;0,N(G538)/P538,""),"")</f>
        <v/>
      </c>
      <c r="W538" s="57" t="str">
        <f>IF(AC538=1,S538/M538,"")</f>
        <v/>
      </c>
      <c r="X538" s="57" t="str">
        <f>IF(AC538=1,S538/K538,"")</f>
        <v/>
      </c>
      <c r="Y538" s="58" t="str">
        <f>IF(W538="","",IF(W538&gt;=p_target,"Bon",IF(W538&gt;=p_alert,"À surveiller","Faible")))</f>
        <v/>
      </c>
      <c r="Z538" s="58" t="str">
        <f>IF(W538="","",IF(MIN(IF(T538="",1,T538),IF(U538="",1,U538),IF(V538="",1,V538))&gt;=1,"Aucune",IF(IF(T538="",1,T538)&lt;=MIN(IF(U538="",1,U538),IF(V538="",1,V538)),"Disponibilité",IF(IF(U538="",1,U538)&lt;=IF(V538="",1,V538),"Performance","Qualité"))))</f>
        <v/>
      </c>
      <c r="AA538" s="59" t="str">
        <f>IF(AC538=1,N(H538)*N(IFERROR(INDEX(art_cost,MATCH(E538,art_ref,0)),0)),"")</f>
        <v/>
      </c>
      <c r="AB538" s="58" t="str">
        <f>IF(COUNTA(A538:I538)=0,"",IF(N(A538)&lt;=0,"Date manquante ou invalide",IF(B538="","Équipe manquante",IF(ISNA(MATCH(B538,eq_code,0)),"Équipe inconnue",IF(INDEX(eq_check,MATCH(B538,eq_code,0))&lt;&gt;"OK","Équipe à corriger dans Paramètres",IF(C538="","Poste manquant",IF(ISNA(MATCH(C538,po_code,0)),"Poste inconnu",IF(AND(E538&lt;&gt;"",ISNA(MATCH(E538,art_ref,0))),"Article inconnu",IF(IF(E538="",FALSE,INDEX(art_check,MATCH(E538,art_ref,0))&lt;&gt;"OK"),"Article à corriger (feuille Articles)",IF(COUNTIFS(sj_date,A538,sj_eq,B538,sj_po,C538)&gt;1,"Ligne en double (même jour, équipe et poste)",IF(OR(NOT(ISNUMBER(K538)),N(K538)&lt;=0,N(K538)&gt;1440),"Temps d'ouverture invalide",IF(OR(AND(G538&lt;&gt;"",NOT(ISNUMBER(G538))),N(G538)&lt;0,N(G538)&lt;&gt;INT(N(G538)),AND(H538&lt;&gt;"",NOT(ISNUMBER(H538))),N(H538)&lt;0,N(H538)&lt;&gt;INT(N(H538)),AND(I538&lt;&gt;"",NOT(ISNUMBER(I538))),N(I538)&lt;0,N(I538)&lt;&gt;INT(N(I538))),"Quantité invalide",IF(Q538&lt;=0,"Cadence manquante (poste ou article)",IF(M538&lt;=0,"Arrêts planifiés supérieurs au temps d'ouverture",IF(O538&lt;0,"Arrêts supérieurs au temps requis",IF(AND(P538&gt;0,O538=0),"Pièces déclarées sans temps de marche",IF(AND(P538=0,O538&gt;0),"Aucune pièce déclarée",IF(P538*60/Q538&gt;O538+0.001,"Cadence dépassée : vérifiez la cadence","OK"))))))))))))))))))</f>
        <v/>
      </c>
      <c r="AC538">
        <f>IF(OR(AB538="OK",AB538="Aucune pièce déclarée",AB538="Cadence dépassée : vérifiez la cadence"),1,0)</f>
        <v>0.0</v>
      </c>
      <c r="AD538">
        <f>IF(AND(AC538=1,A538&gt;=p_from,A538&lt;=p_to),1,0)</f>
        <v>0.0</v>
      </c>
      <c r="AE538">
        <f>IF(AD538=1,IF(COUNTIFS($A$6:A538,A538,$AD$6:AD538,1)=1,1,0),0)</f>
        <v>0.0</v>
      </c>
      <c r="AF538" t="str">
        <f>IF(AE538=1,COUNTIFS(sj_first,1,sj_date,"&lt;"&amp;A538)+1,"")</f>
        <v/>
      </c>
      <c r="AG538" t="str">
        <f>IF(AND(AD538=1,N(W538)&lt;p_alert),ROUND(W538,4),"")</f>
        <v/>
      </c>
      <c r="AH538" t="str">
        <f>IF(AG538="","",COUNTIF(sj_akey,"&lt;"&amp;AG538)+COUNTIF($AG$6:AG538,AG538))</f>
        <v/>
      </c>
    </row>
    <row r="539">
      <c r="A539" s="51" t="n"/>
      <c r="B539" s="52" t="n"/>
      <c r="C539" s="52" t="n"/>
      <c r="D539" s="53" t="n"/>
      <c r="E539" s="53" t="n"/>
      <c r="F539" s="54" t="n"/>
      <c r="G539" s="54" t="n"/>
      <c r="H539" s="54" t="n"/>
      <c r="I539" s="54" t="n"/>
      <c r="J539" s="53" t="n"/>
      <c r="K539" s="55" t="str">
        <f>IF(COUNTA(A539:I539)=0,"",IF(F539="",IFERROR(INDEX(eq_dur,MATCH(B539,eq_code,0)),""),F539))</f>
        <v/>
      </c>
      <c r="L539" s="55" t="str">
        <f>IF(ISNUMBER(K539),N(IFERROR(INDEX(eq_pause,MATCH(B539,eq_code,0)),0))+SUMIFS(st_min,st_date,A539,st_eq,B539,st_po,C539,st_type,"Planifié"),"")</f>
        <v/>
      </c>
      <c r="M539" s="55" t="str">
        <f>IF(ISNUMBER(K539),K539-L539,"")</f>
        <v/>
      </c>
      <c r="N539" s="55" t="str">
        <f>IF(ISNUMBER(K539),SUMIFS(st_min,st_date,A539,st_eq,B539,st_po,C539,st_type,"Non planifié"),"")</f>
        <v/>
      </c>
      <c r="O539" s="55" t="str">
        <f>IF(ISNUMBER(K539),M539-N539,"")</f>
        <v/>
      </c>
      <c r="P539" s="55" t="str">
        <f>IF(COUNTA(A539:I539)=0,"",N(G539)+N(H539)+N(I539))</f>
        <v/>
      </c>
      <c r="Q539" s="56" t="str">
        <f>IF(COUNTA(A539:I539)=0,"",IF(N(IFERROR(INDEX(art_rate,MATCH(E539,art_ref,0)),0))&gt;0,N(IFERROR(INDEX(art_rate,MATCH(E539,art_ref,0)),0)),N(IFERROR(INDEX(po_rate,MATCH(C539,po_code,0)),0))))</f>
        <v/>
      </c>
      <c r="R539" s="55" t="str">
        <f>IF(AC539=1,P539*60/Q539,"")</f>
        <v/>
      </c>
      <c r="S539" s="55" t="str">
        <f>IF(AC539=1,N(G539)*60/Q539,"")</f>
        <v/>
      </c>
      <c r="T539" s="57" t="str">
        <f>IF(AC539=1,O539/M539,"")</f>
        <v/>
      </c>
      <c r="U539" s="57" t="str">
        <f>IF(AC539=1,IF(O539&gt;0,R539/O539,""),"")</f>
        <v/>
      </c>
      <c r="V539" s="57" t="str">
        <f>IF(AC539=1,IF(P539&gt;0,N(G539)/P539,""),"")</f>
        <v/>
      </c>
      <c r="W539" s="57" t="str">
        <f>IF(AC539=1,S539/M539,"")</f>
        <v/>
      </c>
      <c r="X539" s="57" t="str">
        <f>IF(AC539=1,S539/K539,"")</f>
        <v/>
      </c>
      <c r="Y539" s="58" t="str">
        <f>IF(W539="","",IF(W539&gt;=p_target,"Bon",IF(W539&gt;=p_alert,"À surveiller","Faible")))</f>
        <v/>
      </c>
      <c r="Z539" s="58" t="str">
        <f>IF(W539="","",IF(MIN(IF(T539="",1,T539),IF(U539="",1,U539),IF(V539="",1,V539))&gt;=1,"Aucune",IF(IF(T539="",1,T539)&lt;=MIN(IF(U539="",1,U539),IF(V539="",1,V539)),"Disponibilité",IF(IF(U539="",1,U539)&lt;=IF(V539="",1,V539),"Performance","Qualité"))))</f>
        <v/>
      </c>
      <c r="AA539" s="59" t="str">
        <f>IF(AC539=1,N(H539)*N(IFERROR(INDEX(art_cost,MATCH(E539,art_ref,0)),0)),"")</f>
        <v/>
      </c>
      <c r="AB539" s="58" t="str">
        <f>IF(COUNTA(A539:I539)=0,"",IF(N(A539)&lt;=0,"Date manquante ou invalide",IF(B539="","Équipe manquante",IF(ISNA(MATCH(B539,eq_code,0)),"Équipe inconnue",IF(INDEX(eq_check,MATCH(B539,eq_code,0))&lt;&gt;"OK","Équipe à corriger dans Paramètres",IF(C539="","Poste manquant",IF(ISNA(MATCH(C539,po_code,0)),"Poste inconnu",IF(AND(E539&lt;&gt;"",ISNA(MATCH(E539,art_ref,0))),"Article inconnu",IF(IF(E539="",FALSE,INDEX(art_check,MATCH(E539,art_ref,0))&lt;&gt;"OK"),"Article à corriger (feuille Articles)",IF(COUNTIFS(sj_date,A539,sj_eq,B539,sj_po,C539)&gt;1,"Ligne en double (même jour, équipe et poste)",IF(OR(NOT(ISNUMBER(K539)),N(K539)&lt;=0,N(K539)&gt;1440),"Temps d'ouverture invalide",IF(OR(AND(G539&lt;&gt;"",NOT(ISNUMBER(G539))),N(G539)&lt;0,N(G539)&lt;&gt;INT(N(G539)),AND(H539&lt;&gt;"",NOT(ISNUMBER(H539))),N(H539)&lt;0,N(H539)&lt;&gt;INT(N(H539)),AND(I539&lt;&gt;"",NOT(ISNUMBER(I539))),N(I539)&lt;0,N(I539)&lt;&gt;INT(N(I539))),"Quantité invalide",IF(Q539&lt;=0,"Cadence manquante (poste ou article)",IF(M539&lt;=0,"Arrêts planifiés supérieurs au temps d'ouverture",IF(O539&lt;0,"Arrêts supérieurs au temps requis",IF(AND(P539&gt;0,O539=0),"Pièces déclarées sans temps de marche",IF(AND(P539=0,O539&gt;0),"Aucune pièce déclarée",IF(P539*60/Q539&gt;O539+0.001,"Cadence dépassée : vérifiez la cadence","OK"))))))))))))))))))</f>
        <v/>
      </c>
      <c r="AC539">
        <f>IF(OR(AB539="OK",AB539="Aucune pièce déclarée",AB539="Cadence dépassée : vérifiez la cadence"),1,0)</f>
        <v>0.0</v>
      </c>
      <c r="AD539">
        <f>IF(AND(AC539=1,A539&gt;=p_from,A539&lt;=p_to),1,0)</f>
        <v>0.0</v>
      </c>
      <c r="AE539">
        <f>IF(AD539=1,IF(COUNTIFS($A$6:A539,A539,$AD$6:AD539,1)=1,1,0),0)</f>
        <v>0.0</v>
      </c>
      <c r="AF539" t="str">
        <f>IF(AE539=1,COUNTIFS(sj_first,1,sj_date,"&lt;"&amp;A539)+1,"")</f>
        <v/>
      </c>
      <c r="AG539" t="str">
        <f>IF(AND(AD539=1,N(W539)&lt;p_alert),ROUND(W539,4),"")</f>
        <v/>
      </c>
      <c r="AH539" t="str">
        <f>IF(AG539="","",COUNTIF(sj_akey,"&lt;"&amp;AG539)+COUNTIF($AG$6:AG539,AG539))</f>
        <v/>
      </c>
    </row>
    <row r="540">
      <c r="A540" s="51" t="n"/>
      <c r="B540" s="52" t="n"/>
      <c r="C540" s="52" t="n"/>
      <c r="D540" s="53" t="n"/>
      <c r="E540" s="53" t="n"/>
      <c r="F540" s="54" t="n"/>
      <c r="G540" s="54" t="n"/>
      <c r="H540" s="54" t="n"/>
      <c r="I540" s="54" t="n"/>
      <c r="J540" s="53" t="n"/>
      <c r="K540" s="55" t="str">
        <f>IF(COUNTA(A540:I540)=0,"",IF(F540="",IFERROR(INDEX(eq_dur,MATCH(B540,eq_code,0)),""),F540))</f>
        <v/>
      </c>
      <c r="L540" s="55" t="str">
        <f>IF(ISNUMBER(K540),N(IFERROR(INDEX(eq_pause,MATCH(B540,eq_code,0)),0))+SUMIFS(st_min,st_date,A540,st_eq,B540,st_po,C540,st_type,"Planifié"),"")</f>
        <v/>
      </c>
      <c r="M540" s="55" t="str">
        <f>IF(ISNUMBER(K540),K540-L540,"")</f>
        <v/>
      </c>
      <c r="N540" s="55" t="str">
        <f>IF(ISNUMBER(K540),SUMIFS(st_min,st_date,A540,st_eq,B540,st_po,C540,st_type,"Non planifié"),"")</f>
        <v/>
      </c>
      <c r="O540" s="55" t="str">
        <f>IF(ISNUMBER(K540),M540-N540,"")</f>
        <v/>
      </c>
      <c r="P540" s="55" t="str">
        <f>IF(COUNTA(A540:I540)=0,"",N(G540)+N(H540)+N(I540))</f>
        <v/>
      </c>
      <c r="Q540" s="56" t="str">
        <f>IF(COUNTA(A540:I540)=0,"",IF(N(IFERROR(INDEX(art_rate,MATCH(E540,art_ref,0)),0))&gt;0,N(IFERROR(INDEX(art_rate,MATCH(E540,art_ref,0)),0)),N(IFERROR(INDEX(po_rate,MATCH(C540,po_code,0)),0))))</f>
        <v/>
      </c>
      <c r="R540" s="55" t="str">
        <f>IF(AC540=1,P540*60/Q540,"")</f>
        <v/>
      </c>
      <c r="S540" s="55" t="str">
        <f>IF(AC540=1,N(G540)*60/Q540,"")</f>
        <v/>
      </c>
      <c r="T540" s="57" t="str">
        <f>IF(AC540=1,O540/M540,"")</f>
        <v/>
      </c>
      <c r="U540" s="57" t="str">
        <f>IF(AC540=1,IF(O540&gt;0,R540/O540,""),"")</f>
        <v/>
      </c>
      <c r="V540" s="57" t="str">
        <f>IF(AC540=1,IF(P540&gt;0,N(G540)/P540,""),"")</f>
        <v/>
      </c>
      <c r="W540" s="57" t="str">
        <f>IF(AC540=1,S540/M540,"")</f>
        <v/>
      </c>
      <c r="X540" s="57" t="str">
        <f>IF(AC540=1,S540/K540,"")</f>
        <v/>
      </c>
      <c r="Y540" s="58" t="str">
        <f>IF(W540="","",IF(W540&gt;=p_target,"Bon",IF(W540&gt;=p_alert,"À surveiller","Faible")))</f>
        <v/>
      </c>
      <c r="Z540" s="58" t="str">
        <f>IF(W540="","",IF(MIN(IF(T540="",1,T540),IF(U540="",1,U540),IF(V540="",1,V540))&gt;=1,"Aucune",IF(IF(T540="",1,T540)&lt;=MIN(IF(U540="",1,U540),IF(V540="",1,V540)),"Disponibilité",IF(IF(U540="",1,U540)&lt;=IF(V540="",1,V540),"Performance","Qualité"))))</f>
        <v/>
      </c>
      <c r="AA540" s="59" t="str">
        <f>IF(AC540=1,N(H540)*N(IFERROR(INDEX(art_cost,MATCH(E540,art_ref,0)),0)),"")</f>
        <v/>
      </c>
      <c r="AB540" s="58" t="str">
        <f>IF(COUNTA(A540:I540)=0,"",IF(N(A540)&lt;=0,"Date manquante ou invalide",IF(B540="","Équipe manquante",IF(ISNA(MATCH(B540,eq_code,0)),"Équipe inconnue",IF(INDEX(eq_check,MATCH(B540,eq_code,0))&lt;&gt;"OK","Équipe à corriger dans Paramètres",IF(C540="","Poste manquant",IF(ISNA(MATCH(C540,po_code,0)),"Poste inconnu",IF(AND(E540&lt;&gt;"",ISNA(MATCH(E540,art_ref,0))),"Article inconnu",IF(IF(E540="",FALSE,INDEX(art_check,MATCH(E540,art_ref,0))&lt;&gt;"OK"),"Article à corriger (feuille Articles)",IF(COUNTIFS(sj_date,A540,sj_eq,B540,sj_po,C540)&gt;1,"Ligne en double (même jour, équipe et poste)",IF(OR(NOT(ISNUMBER(K540)),N(K540)&lt;=0,N(K540)&gt;1440),"Temps d'ouverture invalide",IF(OR(AND(G540&lt;&gt;"",NOT(ISNUMBER(G540))),N(G540)&lt;0,N(G540)&lt;&gt;INT(N(G540)),AND(H540&lt;&gt;"",NOT(ISNUMBER(H540))),N(H540)&lt;0,N(H540)&lt;&gt;INT(N(H540)),AND(I540&lt;&gt;"",NOT(ISNUMBER(I540))),N(I540)&lt;0,N(I540)&lt;&gt;INT(N(I540))),"Quantité invalide",IF(Q540&lt;=0,"Cadence manquante (poste ou article)",IF(M540&lt;=0,"Arrêts planifiés supérieurs au temps d'ouverture",IF(O540&lt;0,"Arrêts supérieurs au temps requis",IF(AND(P540&gt;0,O540=0),"Pièces déclarées sans temps de marche",IF(AND(P540=0,O540&gt;0),"Aucune pièce déclarée",IF(P540*60/Q540&gt;O540+0.001,"Cadence dépassée : vérifiez la cadence","OK"))))))))))))))))))</f>
        <v/>
      </c>
      <c r="AC540">
        <f>IF(OR(AB540="OK",AB540="Aucune pièce déclarée",AB540="Cadence dépassée : vérifiez la cadence"),1,0)</f>
        <v>0.0</v>
      </c>
      <c r="AD540">
        <f>IF(AND(AC540=1,A540&gt;=p_from,A540&lt;=p_to),1,0)</f>
        <v>0.0</v>
      </c>
      <c r="AE540">
        <f>IF(AD540=1,IF(COUNTIFS($A$6:A540,A540,$AD$6:AD540,1)=1,1,0),0)</f>
        <v>0.0</v>
      </c>
      <c r="AF540" t="str">
        <f>IF(AE540=1,COUNTIFS(sj_first,1,sj_date,"&lt;"&amp;A540)+1,"")</f>
        <v/>
      </c>
      <c r="AG540" t="str">
        <f>IF(AND(AD540=1,N(W540)&lt;p_alert),ROUND(W540,4),"")</f>
        <v/>
      </c>
      <c r="AH540" t="str">
        <f>IF(AG540="","",COUNTIF(sj_akey,"&lt;"&amp;AG540)+COUNTIF($AG$6:AG540,AG540))</f>
        <v/>
      </c>
    </row>
    <row r="541">
      <c r="A541" s="51" t="n"/>
      <c r="B541" s="52" t="n"/>
      <c r="C541" s="52" t="n"/>
      <c r="D541" s="53" t="n"/>
      <c r="E541" s="53" t="n"/>
      <c r="F541" s="54" t="n"/>
      <c r="G541" s="54" t="n"/>
      <c r="H541" s="54" t="n"/>
      <c r="I541" s="54" t="n"/>
      <c r="J541" s="53" t="n"/>
      <c r="K541" s="55" t="str">
        <f>IF(COUNTA(A541:I541)=0,"",IF(F541="",IFERROR(INDEX(eq_dur,MATCH(B541,eq_code,0)),""),F541))</f>
        <v/>
      </c>
      <c r="L541" s="55" t="str">
        <f>IF(ISNUMBER(K541),N(IFERROR(INDEX(eq_pause,MATCH(B541,eq_code,0)),0))+SUMIFS(st_min,st_date,A541,st_eq,B541,st_po,C541,st_type,"Planifié"),"")</f>
        <v/>
      </c>
      <c r="M541" s="55" t="str">
        <f>IF(ISNUMBER(K541),K541-L541,"")</f>
        <v/>
      </c>
      <c r="N541" s="55" t="str">
        <f>IF(ISNUMBER(K541),SUMIFS(st_min,st_date,A541,st_eq,B541,st_po,C541,st_type,"Non planifié"),"")</f>
        <v/>
      </c>
      <c r="O541" s="55" t="str">
        <f>IF(ISNUMBER(K541),M541-N541,"")</f>
        <v/>
      </c>
      <c r="P541" s="55" t="str">
        <f>IF(COUNTA(A541:I541)=0,"",N(G541)+N(H541)+N(I541))</f>
        <v/>
      </c>
      <c r="Q541" s="56" t="str">
        <f>IF(COUNTA(A541:I541)=0,"",IF(N(IFERROR(INDEX(art_rate,MATCH(E541,art_ref,0)),0))&gt;0,N(IFERROR(INDEX(art_rate,MATCH(E541,art_ref,0)),0)),N(IFERROR(INDEX(po_rate,MATCH(C541,po_code,0)),0))))</f>
        <v/>
      </c>
      <c r="R541" s="55" t="str">
        <f>IF(AC541=1,P541*60/Q541,"")</f>
        <v/>
      </c>
      <c r="S541" s="55" t="str">
        <f>IF(AC541=1,N(G541)*60/Q541,"")</f>
        <v/>
      </c>
      <c r="T541" s="57" t="str">
        <f>IF(AC541=1,O541/M541,"")</f>
        <v/>
      </c>
      <c r="U541" s="57" t="str">
        <f>IF(AC541=1,IF(O541&gt;0,R541/O541,""),"")</f>
        <v/>
      </c>
      <c r="V541" s="57" t="str">
        <f>IF(AC541=1,IF(P541&gt;0,N(G541)/P541,""),"")</f>
        <v/>
      </c>
      <c r="W541" s="57" t="str">
        <f>IF(AC541=1,S541/M541,"")</f>
        <v/>
      </c>
      <c r="X541" s="57" t="str">
        <f>IF(AC541=1,S541/K541,"")</f>
        <v/>
      </c>
      <c r="Y541" s="58" t="str">
        <f>IF(W541="","",IF(W541&gt;=p_target,"Bon",IF(W541&gt;=p_alert,"À surveiller","Faible")))</f>
        <v/>
      </c>
      <c r="Z541" s="58" t="str">
        <f>IF(W541="","",IF(MIN(IF(T541="",1,T541),IF(U541="",1,U541),IF(V541="",1,V541))&gt;=1,"Aucune",IF(IF(T541="",1,T541)&lt;=MIN(IF(U541="",1,U541),IF(V541="",1,V541)),"Disponibilité",IF(IF(U541="",1,U541)&lt;=IF(V541="",1,V541),"Performance","Qualité"))))</f>
        <v/>
      </c>
      <c r="AA541" s="59" t="str">
        <f>IF(AC541=1,N(H541)*N(IFERROR(INDEX(art_cost,MATCH(E541,art_ref,0)),0)),"")</f>
        <v/>
      </c>
      <c r="AB541" s="58" t="str">
        <f>IF(COUNTA(A541:I541)=0,"",IF(N(A541)&lt;=0,"Date manquante ou invalide",IF(B541="","Équipe manquante",IF(ISNA(MATCH(B541,eq_code,0)),"Équipe inconnue",IF(INDEX(eq_check,MATCH(B541,eq_code,0))&lt;&gt;"OK","Équipe à corriger dans Paramètres",IF(C541="","Poste manquant",IF(ISNA(MATCH(C541,po_code,0)),"Poste inconnu",IF(AND(E541&lt;&gt;"",ISNA(MATCH(E541,art_ref,0))),"Article inconnu",IF(IF(E541="",FALSE,INDEX(art_check,MATCH(E541,art_ref,0))&lt;&gt;"OK"),"Article à corriger (feuille Articles)",IF(COUNTIFS(sj_date,A541,sj_eq,B541,sj_po,C541)&gt;1,"Ligne en double (même jour, équipe et poste)",IF(OR(NOT(ISNUMBER(K541)),N(K541)&lt;=0,N(K541)&gt;1440),"Temps d'ouverture invalide",IF(OR(AND(G541&lt;&gt;"",NOT(ISNUMBER(G541))),N(G541)&lt;0,N(G541)&lt;&gt;INT(N(G541)),AND(H541&lt;&gt;"",NOT(ISNUMBER(H541))),N(H541)&lt;0,N(H541)&lt;&gt;INT(N(H541)),AND(I541&lt;&gt;"",NOT(ISNUMBER(I541))),N(I541)&lt;0,N(I541)&lt;&gt;INT(N(I541))),"Quantité invalide",IF(Q541&lt;=0,"Cadence manquante (poste ou article)",IF(M541&lt;=0,"Arrêts planifiés supérieurs au temps d'ouverture",IF(O541&lt;0,"Arrêts supérieurs au temps requis",IF(AND(P541&gt;0,O541=0),"Pièces déclarées sans temps de marche",IF(AND(P541=0,O541&gt;0),"Aucune pièce déclarée",IF(P541*60/Q541&gt;O541+0.001,"Cadence dépassée : vérifiez la cadence","OK"))))))))))))))))))</f>
        <v/>
      </c>
      <c r="AC541">
        <f>IF(OR(AB541="OK",AB541="Aucune pièce déclarée",AB541="Cadence dépassée : vérifiez la cadence"),1,0)</f>
        <v>0.0</v>
      </c>
      <c r="AD541">
        <f>IF(AND(AC541=1,A541&gt;=p_from,A541&lt;=p_to),1,0)</f>
        <v>0.0</v>
      </c>
      <c r="AE541">
        <f>IF(AD541=1,IF(COUNTIFS($A$6:A541,A541,$AD$6:AD541,1)=1,1,0),0)</f>
        <v>0.0</v>
      </c>
      <c r="AF541" t="str">
        <f>IF(AE541=1,COUNTIFS(sj_first,1,sj_date,"&lt;"&amp;A541)+1,"")</f>
        <v/>
      </c>
      <c r="AG541" t="str">
        <f>IF(AND(AD541=1,N(W541)&lt;p_alert),ROUND(W541,4),"")</f>
        <v/>
      </c>
      <c r="AH541" t="str">
        <f>IF(AG541="","",COUNTIF(sj_akey,"&lt;"&amp;AG541)+COUNTIF($AG$6:AG541,AG541))</f>
        <v/>
      </c>
    </row>
    <row r="542">
      <c r="A542" s="51" t="n"/>
      <c r="B542" s="52" t="n"/>
      <c r="C542" s="52" t="n"/>
      <c r="D542" s="53" t="n"/>
      <c r="E542" s="53" t="n"/>
      <c r="F542" s="54" t="n"/>
      <c r="G542" s="54" t="n"/>
      <c r="H542" s="54" t="n"/>
      <c r="I542" s="54" t="n"/>
      <c r="J542" s="53" t="n"/>
      <c r="K542" s="55" t="str">
        <f>IF(COUNTA(A542:I542)=0,"",IF(F542="",IFERROR(INDEX(eq_dur,MATCH(B542,eq_code,0)),""),F542))</f>
        <v/>
      </c>
      <c r="L542" s="55" t="str">
        <f>IF(ISNUMBER(K542),N(IFERROR(INDEX(eq_pause,MATCH(B542,eq_code,0)),0))+SUMIFS(st_min,st_date,A542,st_eq,B542,st_po,C542,st_type,"Planifié"),"")</f>
        <v/>
      </c>
      <c r="M542" s="55" t="str">
        <f>IF(ISNUMBER(K542),K542-L542,"")</f>
        <v/>
      </c>
      <c r="N542" s="55" t="str">
        <f>IF(ISNUMBER(K542),SUMIFS(st_min,st_date,A542,st_eq,B542,st_po,C542,st_type,"Non planifié"),"")</f>
        <v/>
      </c>
      <c r="O542" s="55" t="str">
        <f>IF(ISNUMBER(K542),M542-N542,"")</f>
        <v/>
      </c>
      <c r="P542" s="55" t="str">
        <f>IF(COUNTA(A542:I542)=0,"",N(G542)+N(H542)+N(I542))</f>
        <v/>
      </c>
      <c r="Q542" s="56" t="str">
        <f>IF(COUNTA(A542:I542)=0,"",IF(N(IFERROR(INDEX(art_rate,MATCH(E542,art_ref,0)),0))&gt;0,N(IFERROR(INDEX(art_rate,MATCH(E542,art_ref,0)),0)),N(IFERROR(INDEX(po_rate,MATCH(C542,po_code,0)),0))))</f>
        <v/>
      </c>
      <c r="R542" s="55" t="str">
        <f>IF(AC542=1,P542*60/Q542,"")</f>
        <v/>
      </c>
      <c r="S542" s="55" t="str">
        <f>IF(AC542=1,N(G542)*60/Q542,"")</f>
        <v/>
      </c>
      <c r="T542" s="57" t="str">
        <f>IF(AC542=1,O542/M542,"")</f>
        <v/>
      </c>
      <c r="U542" s="57" t="str">
        <f>IF(AC542=1,IF(O542&gt;0,R542/O542,""),"")</f>
        <v/>
      </c>
      <c r="V542" s="57" t="str">
        <f>IF(AC542=1,IF(P542&gt;0,N(G542)/P542,""),"")</f>
        <v/>
      </c>
      <c r="W542" s="57" t="str">
        <f>IF(AC542=1,S542/M542,"")</f>
        <v/>
      </c>
      <c r="X542" s="57" t="str">
        <f>IF(AC542=1,S542/K542,"")</f>
        <v/>
      </c>
      <c r="Y542" s="58" t="str">
        <f>IF(W542="","",IF(W542&gt;=p_target,"Bon",IF(W542&gt;=p_alert,"À surveiller","Faible")))</f>
        <v/>
      </c>
      <c r="Z542" s="58" t="str">
        <f>IF(W542="","",IF(MIN(IF(T542="",1,T542),IF(U542="",1,U542),IF(V542="",1,V542))&gt;=1,"Aucune",IF(IF(T542="",1,T542)&lt;=MIN(IF(U542="",1,U542),IF(V542="",1,V542)),"Disponibilité",IF(IF(U542="",1,U542)&lt;=IF(V542="",1,V542),"Performance","Qualité"))))</f>
        <v/>
      </c>
      <c r="AA542" s="59" t="str">
        <f>IF(AC542=1,N(H542)*N(IFERROR(INDEX(art_cost,MATCH(E542,art_ref,0)),0)),"")</f>
        <v/>
      </c>
      <c r="AB542" s="58" t="str">
        <f>IF(COUNTA(A542:I542)=0,"",IF(N(A542)&lt;=0,"Date manquante ou invalide",IF(B542="","Équipe manquante",IF(ISNA(MATCH(B542,eq_code,0)),"Équipe inconnue",IF(INDEX(eq_check,MATCH(B542,eq_code,0))&lt;&gt;"OK","Équipe à corriger dans Paramètres",IF(C542="","Poste manquant",IF(ISNA(MATCH(C542,po_code,0)),"Poste inconnu",IF(AND(E542&lt;&gt;"",ISNA(MATCH(E542,art_ref,0))),"Article inconnu",IF(IF(E542="",FALSE,INDEX(art_check,MATCH(E542,art_ref,0))&lt;&gt;"OK"),"Article à corriger (feuille Articles)",IF(COUNTIFS(sj_date,A542,sj_eq,B542,sj_po,C542)&gt;1,"Ligne en double (même jour, équipe et poste)",IF(OR(NOT(ISNUMBER(K542)),N(K542)&lt;=0,N(K542)&gt;1440),"Temps d'ouverture invalide",IF(OR(AND(G542&lt;&gt;"",NOT(ISNUMBER(G542))),N(G542)&lt;0,N(G542)&lt;&gt;INT(N(G542)),AND(H542&lt;&gt;"",NOT(ISNUMBER(H542))),N(H542)&lt;0,N(H542)&lt;&gt;INT(N(H542)),AND(I542&lt;&gt;"",NOT(ISNUMBER(I542))),N(I542)&lt;0,N(I542)&lt;&gt;INT(N(I542))),"Quantité invalide",IF(Q542&lt;=0,"Cadence manquante (poste ou article)",IF(M542&lt;=0,"Arrêts planifiés supérieurs au temps d'ouverture",IF(O542&lt;0,"Arrêts supérieurs au temps requis",IF(AND(P542&gt;0,O542=0),"Pièces déclarées sans temps de marche",IF(AND(P542=0,O542&gt;0),"Aucune pièce déclarée",IF(P542*60/Q542&gt;O542+0.001,"Cadence dépassée : vérifiez la cadence","OK"))))))))))))))))))</f>
        <v/>
      </c>
      <c r="AC542">
        <f>IF(OR(AB542="OK",AB542="Aucune pièce déclarée",AB542="Cadence dépassée : vérifiez la cadence"),1,0)</f>
        <v>0.0</v>
      </c>
      <c r="AD542">
        <f>IF(AND(AC542=1,A542&gt;=p_from,A542&lt;=p_to),1,0)</f>
        <v>0.0</v>
      </c>
      <c r="AE542">
        <f>IF(AD542=1,IF(COUNTIFS($A$6:A542,A542,$AD$6:AD542,1)=1,1,0),0)</f>
        <v>0.0</v>
      </c>
      <c r="AF542" t="str">
        <f>IF(AE542=1,COUNTIFS(sj_first,1,sj_date,"&lt;"&amp;A542)+1,"")</f>
        <v/>
      </c>
      <c r="AG542" t="str">
        <f>IF(AND(AD542=1,N(W542)&lt;p_alert),ROUND(W542,4),"")</f>
        <v/>
      </c>
      <c r="AH542" t="str">
        <f>IF(AG542="","",COUNTIF(sj_akey,"&lt;"&amp;AG542)+COUNTIF($AG$6:AG542,AG542))</f>
        <v/>
      </c>
    </row>
    <row r="543">
      <c r="A543" s="51" t="n"/>
      <c r="B543" s="52" t="n"/>
      <c r="C543" s="52" t="n"/>
      <c r="D543" s="53" t="n"/>
      <c r="E543" s="53" t="n"/>
      <c r="F543" s="54" t="n"/>
      <c r="G543" s="54" t="n"/>
      <c r="H543" s="54" t="n"/>
      <c r="I543" s="54" t="n"/>
      <c r="J543" s="53" t="n"/>
      <c r="K543" s="55" t="str">
        <f>IF(COUNTA(A543:I543)=0,"",IF(F543="",IFERROR(INDEX(eq_dur,MATCH(B543,eq_code,0)),""),F543))</f>
        <v/>
      </c>
      <c r="L543" s="55" t="str">
        <f>IF(ISNUMBER(K543),N(IFERROR(INDEX(eq_pause,MATCH(B543,eq_code,0)),0))+SUMIFS(st_min,st_date,A543,st_eq,B543,st_po,C543,st_type,"Planifié"),"")</f>
        <v/>
      </c>
      <c r="M543" s="55" t="str">
        <f>IF(ISNUMBER(K543),K543-L543,"")</f>
        <v/>
      </c>
      <c r="N543" s="55" t="str">
        <f>IF(ISNUMBER(K543),SUMIFS(st_min,st_date,A543,st_eq,B543,st_po,C543,st_type,"Non planifié"),"")</f>
        <v/>
      </c>
      <c r="O543" s="55" t="str">
        <f>IF(ISNUMBER(K543),M543-N543,"")</f>
        <v/>
      </c>
      <c r="P543" s="55" t="str">
        <f>IF(COUNTA(A543:I543)=0,"",N(G543)+N(H543)+N(I543))</f>
        <v/>
      </c>
      <c r="Q543" s="56" t="str">
        <f>IF(COUNTA(A543:I543)=0,"",IF(N(IFERROR(INDEX(art_rate,MATCH(E543,art_ref,0)),0))&gt;0,N(IFERROR(INDEX(art_rate,MATCH(E543,art_ref,0)),0)),N(IFERROR(INDEX(po_rate,MATCH(C543,po_code,0)),0))))</f>
        <v/>
      </c>
      <c r="R543" s="55" t="str">
        <f>IF(AC543=1,P543*60/Q543,"")</f>
        <v/>
      </c>
      <c r="S543" s="55" t="str">
        <f>IF(AC543=1,N(G543)*60/Q543,"")</f>
        <v/>
      </c>
      <c r="T543" s="57" t="str">
        <f>IF(AC543=1,O543/M543,"")</f>
        <v/>
      </c>
      <c r="U543" s="57" t="str">
        <f>IF(AC543=1,IF(O543&gt;0,R543/O543,""),"")</f>
        <v/>
      </c>
      <c r="V543" s="57" t="str">
        <f>IF(AC543=1,IF(P543&gt;0,N(G543)/P543,""),"")</f>
        <v/>
      </c>
      <c r="W543" s="57" t="str">
        <f>IF(AC543=1,S543/M543,"")</f>
        <v/>
      </c>
      <c r="X543" s="57" t="str">
        <f>IF(AC543=1,S543/K543,"")</f>
        <v/>
      </c>
      <c r="Y543" s="58" t="str">
        <f>IF(W543="","",IF(W543&gt;=p_target,"Bon",IF(W543&gt;=p_alert,"À surveiller","Faible")))</f>
        <v/>
      </c>
      <c r="Z543" s="58" t="str">
        <f>IF(W543="","",IF(MIN(IF(T543="",1,T543),IF(U543="",1,U543),IF(V543="",1,V543))&gt;=1,"Aucune",IF(IF(T543="",1,T543)&lt;=MIN(IF(U543="",1,U543),IF(V543="",1,V543)),"Disponibilité",IF(IF(U543="",1,U543)&lt;=IF(V543="",1,V543),"Performance","Qualité"))))</f>
        <v/>
      </c>
      <c r="AA543" s="59" t="str">
        <f>IF(AC543=1,N(H543)*N(IFERROR(INDEX(art_cost,MATCH(E543,art_ref,0)),0)),"")</f>
        <v/>
      </c>
      <c r="AB543" s="58" t="str">
        <f>IF(COUNTA(A543:I543)=0,"",IF(N(A543)&lt;=0,"Date manquante ou invalide",IF(B543="","Équipe manquante",IF(ISNA(MATCH(B543,eq_code,0)),"Équipe inconnue",IF(INDEX(eq_check,MATCH(B543,eq_code,0))&lt;&gt;"OK","Équipe à corriger dans Paramètres",IF(C543="","Poste manquant",IF(ISNA(MATCH(C543,po_code,0)),"Poste inconnu",IF(AND(E543&lt;&gt;"",ISNA(MATCH(E543,art_ref,0))),"Article inconnu",IF(IF(E543="",FALSE,INDEX(art_check,MATCH(E543,art_ref,0))&lt;&gt;"OK"),"Article à corriger (feuille Articles)",IF(COUNTIFS(sj_date,A543,sj_eq,B543,sj_po,C543)&gt;1,"Ligne en double (même jour, équipe et poste)",IF(OR(NOT(ISNUMBER(K543)),N(K543)&lt;=0,N(K543)&gt;1440),"Temps d'ouverture invalide",IF(OR(AND(G543&lt;&gt;"",NOT(ISNUMBER(G543))),N(G543)&lt;0,N(G543)&lt;&gt;INT(N(G543)),AND(H543&lt;&gt;"",NOT(ISNUMBER(H543))),N(H543)&lt;0,N(H543)&lt;&gt;INT(N(H543)),AND(I543&lt;&gt;"",NOT(ISNUMBER(I543))),N(I543)&lt;0,N(I543)&lt;&gt;INT(N(I543))),"Quantité invalide",IF(Q543&lt;=0,"Cadence manquante (poste ou article)",IF(M543&lt;=0,"Arrêts planifiés supérieurs au temps d'ouverture",IF(O543&lt;0,"Arrêts supérieurs au temps requis",IF(AND(P543&gt;0,O543=0),"Pièces déclarées sans temps de marche",IF(AND(P543=0,O543&gt;0),"Aucune pièce déclarée",IF(P543*60/Q543&gt;O543+0.001,"Cadence dépassée : vérifiez la cadence","OK"))))))))))))))))))</f>
        <v/>
      </c>
      <c r="AC543">
        <f>IF(OR(AB543="OK",AB543="Aucune pièce déclarée",AB543="Cadence dépassée : vérifiez la cadence"),1,0)</f>
        <v>0.0</v>
      </c>
      <c r="AD543">
        <f>IF(AND(AC543=1,A543&gt;=p_from,A543&lt;=p_to),1,0)</f>
        <v>0.0</v>
      </c>
      <c r="AE543">
        <f>IF(AD543=1,IF(COUNTIFS($A$6:A543,A543,$AD$6:AD543,1)=1,1,0),0)</f>
        <v>0.0</v>
      </c>
      <c r="AF543" t="str">
        <f>IF(AE543=1,COUNTIFS(sj_first,1,sj_date,"&lt;"&amp;A543)+1,"")</f>
        <v/>
      </c>
      <c r="AG543" t="str">
        <f>IF(AND(AD543=1,N(W543)&lt;p_alert),ROUND(W543,4),"")</f>
        <v/>
      </c>
      <c r="AH543" t="str">
        <f>IF(AG543="","",COUNTIF(sj_akey,"&lt;"&amp;AG543)+COUNTIF($AG$6:AG543,AG543))</f>
        <v/>
      </c>
    </row>
    <row r="544">
      <c r="A544" s="51" t="n"/>
      <c r="B544" s="52" t="n"/>
      <c r="C544" s="52" t="n"/>
      <c r="D544" s="53" t="n"/>
      <c r="E544" s="53" t="n"/>
      <c r="F544" s="54" t="n"/>
      <c r="G544" s="54" t="n"/>
      <c r="H544" s="54" t="n"/>
      <c r="I544" s="54" t="n"/>
      <c r="J544" s="53" t="n"/>
      <c r="K544" s="55" t="str">
        <f>IF(COUNTA(A544:I544)=0,"",IF(F544="",IFERROR(INDEX(eq_dur,MATCH(B544,eq_code,0)),""),F544))</f>
        <v/>
      </c>
      <c r="L544" s="55" t="str">
        <f>IF(ISNUMBER(K544),N(IFERROR(INDEX(eq_pause,MATCH(B544,eq_code,0)),0))+SUMIFS(st_min,st_date,A544,st_eq,B544,st_po,C544,st_type,"Planifié"),"")</f>
        <v/>
      </c>
      <c r="M544" s="55" t="str">
        <f>IF(ISNUMBER(K544),K544-L544,"")</f>
        <v/>
      </c>
      <c r="N544" s="55" t="str">
        <f>IF(ISNUMBER(K544),SUMIFS(st_min,st_date,A544,st_eq,B544,st_po,C544,st_type,"Non planifié"),"")</f>
        <v/>
      </c>
      <c r="O544" s="55" t="str">
        <f>IF(ISNUMBER(K544),M544-N544,"")</f>
        <v/>
      </c>
      <c r="P544" s="55" t="str">
        <f>IF(COUNTA(A544:I544)=0,"",N(G544)+N(H544)+N(I544))</f>
        <v/>
      </c>
      <c r="Q544" s="56" t="str">
        <f>IF(COUNTA(A544:I544)=0,"",IF(N(IFERROR(INDEX(art_rate,MATCH(E544,art_ref,0)),0))&gt;0,N(IFERROR(INDEX(art_rate,MATCH(E544,art_ref,0)),0)),N(IFERROR(INDEX(po_rate,MATCH(C544,po_code,0)),0))))</f>
        <v/>
      </c>
      <c r="R544" s="55" t="str">
        <f>IF(AC544=1,P544*60/Q544,"")</f>
        <v/>
      </c>
      <c r="S544" s="55" t="str">
        <f>IF(AC544=1,N(G544)*60/Q544,"")</f>
        <v/>
      </c>
      <c r="T544" s="57" t="str">
        <f>IF(AC544=1,O544/M544,"")</f>
        <v/>
      </c>
      <c r="U544" s="57" t="str">
        <f>IF(AC544=1,IF(O544&gt;0,R544/O544,""),"")</f>
        <v/>
      </c>
      <c r="V544" s="57" t="str">
        <f>IF(AC544=1,IF(P544&gt;0,N(G544)/P544,""),"")</f>
        <v/>
      </c>
      <c r="W544" s="57" t="str">
        <f>IF(AC544=1,S544/M544,"")</f>
        <v/>
      </c>
      <c r="X544" s="57" t="str">
        <f>IF(AC544=1,S544/K544,"")</f>
        <v/>
      </c>
      <c r="Y544" s="58" t="str">
        <f>IF(W544="","",IF(W544&gt;=p_target,"Bon",IF(W544&gt;=p_alert,"À surveiller","Faible")))</f>
        <v/>
      </c>
      <c r="Z544" s="58" t="str">
        <f>IF(W544="","",IF(MIN(IF(T544="",1,T544),IF(U544="",1,U544),IF(V544="",1,V544))&gt;=1,"Aucune",IF(IF(T544="",1,T544)&lt;=MIN(IF(U544="",1,U544),IF(V544="",1,V544)),"Disponibilité",IF(IF(U544="",1,U544)&lt;=IF(V544="",1,V544),"Performance","Qualité"))))</f>
        <v/>
      </c>
      <c r="AA544" s="59" t="str">
        <f>IF(AC544=1,N(H544)*N(IFERROR(INDEX(art_cost,MATCH(E544,art_ref,0)),0)),"")</f>
        <v/>
      </c>
      <c r="AB544" s="58" t="str">
        <f>IF(COUNTA(A544:I544)=0,"",IF(N(A544)&lt;=0,"Date manquante ou invalide",IF(B544="","Équipe manquante",IF(ISNA(MATCH(B544,eq_code,0)),"Équipe inconnue",IF(INDEX(eq_check,MATCH(B544,eq_code,0))&lt;&gt;"OK","Équipe à corriger dans Paramètres",IF(C544="","Poste manquant",IF(ISNA(MATCH(C544,po_code,0)),"Poste inconnu",IF(AND(E544&lt;&gt;"",ISNA(MATCH(E544,art_ref,0))),"Article inconnu",IF(IF(E544="",FALSE,INDEX(art_check,MATCH(E544,art_ref,0))&lt;&gt;"OK"),"Article à corriger (feuille Articles)",IF(COUNTIFS(sj_date,A544,sj_eq,B544,sj_po,C544)&gt;1,"Ligne en double (même jour, équipe et poste)",IF(OR(NOT(ISNUMBER(K544)),N(K544)&lt;=0,N(K544)&gt;1440),"Temps d'ouverture invalide",IF(OR(AND(G544&lt;&gt;"",NOT(ISNUMBER(G544))),N(G544)&lt;0,N(G544)&lt;&gt;INT(N(G544)),AND(H544&lt;&gt;"",NOT(ISNUMBER(H544))),N(H544)&lt;0,N(H544)&lt;&gt;INT(N(H544)),AND(I544&lt;&gt;"",NOT(ISNUMBER(I544))),N(I544)&lt;0,N(I544)&lt;&gt;INT(N(I544))),"Quantité invalide",IF(Q544&lt;=0,"Cadence manquante (poste ou article)",IF(M544&lt;=0,"Arrêts planifiés supérieurs au temps d'ouverture",IF(O544&lt;0,"Arrêts supérieurs au temps requis",IF(AND(P544&gt;0,O544=0),"Pièces déclarées sans temps de marche",IF(AND(P544=0,O544&gt;0),"Aucune pièce déclarée",IF(P544*60/Q544&gt;O544+0.001,"Cadence dépassée : vérifiez la cadence","OK"))))))))))))))))))</f>
        <v/>
      </c>
      <c r="AC544">
        <f>IF(OR(AB544="OK",AB544="Aucune pièce déclarée",AB544="Cadence dépassée : vérifiez la cadence"),1,0)</f>
        <v>0.0</v>
      </c>
      <c r="AD544">
        <f>IF(AND(AC544=1,A544&gt;=p_from,A544&lt;=p_to),1,0)</f>
        <v>0.0</v>
      </c>
      <c r="AE544">
        <f>IF(AD544=1,IF(COUNTIFS($A$6:A544,A544,$AD$6:AD544,1)=1,1,0),0)</f>
        <v>0.0</v>
      </c>
      <c r="AF544" t="str">
        <f>IF(AE544=1,COUNTIFS(sj_first,1,sj_date,"&lt;"&amp;A544)+1,"")</f>
        <v/>
      </c>
      <c r="AG544" t="str">
        <f>IF(AND(AD544=1,N(W544)&lt;p_alert),ROUND(W544,4),"")</f>
        <v/>
      </c>
      <c r="AH544" t="str">
        <f>IF(AG544="","",COUNTIF(sj_akey,"&lt;"&amp;AG544)+COUNTIF($AG$6:AG544,AG544))</f>
        <v/>
      </c>
    </row>
    <row r="545">
      <c r="A545" s="51" t="n"/>
      <c r="B545" s="52" t="n"/>
      <c r="C545" s="52" t="n"/>
      <c r="D545" s="53" t="n"/>
      <c r="E545" s="53" t="n"/>
      <c r="F545" s="54" t="n"/>
      <c r="G545" s="54" t="n"/>
      <c r="H545" s="54" t="n"/>
      <c r="I545" s="54" t="n"/>
      <c r="J545" s="53" t="n"/>
      <c r="K545" s="55" t="str">
        <f>IF(COUNTA(A545:I545)=0,"",IF(F545="",IFERROR(INDEX(eq_dur,MATCH(B545,eq_code,0)),""),F545))</f>
        <v/>
      </c>
      <c r="L545" s="55" t="str">
        <f>IF(ISNUMBER(K545),N(IFERROR(INDEX(eq_pause,MATCH(B545,eq_code,0)),0))+SUMIFS(st_min,st_date,A545,st_eq,B545,st_po,C545,st_type,"Planifié"),"")</f>
        <v/>
      </c>
      <c r="M545" s="55" t="str">
        <f>IF(ISNUMBER(K545),K545-L545,"")</f>
        <v/>
      </c>
      <c r="N545" s="55" t="str">
        <f>IF(ISNUMBER(K545),SUMIFS(st_min,st_date,A545,st_eq,B545,st_po,C545,st_type,"Non planifié"),"")</f>
        <v/>
      </c>
      <c r="O545" s="55" t="str">
        <f>IF(ISNUMBER(K545),M545-N545,"")</f>
        <v/>
      </c>
      <c r="P545" s="55" t="str">
        <f>IF(COUNTA(A545:I545)=0,"",N(G545)+N(H545)+N(I545))</f>
        <v/>
      </c>
      <c r="Q545" s="56" t="str">
        <f>IF(COUNTA(A545:I545)=0,"",IF(N(IFERROR(INDEX(art_rate,MATCH(E545,art_ref,0)),0))&gt;0,N(IFERROR(INDEX(art_rate,MATCH(E545,art_ref,0)),0)),N(IFERROR(INDEX(po_rate,MATCH(C545,po_code,0)),0))))</f>
        <v/>
      </c>
      <c r="R545" s="55" t="str">
        <f>IF(AC545=1,P545*60/Q545,"")</f>
        <v/>
      </c>
      <c r="S545" s="55" t="str">
        <f>IF(AC545=1,N(G545)*60/Q545,"")</f>
        <v/>
      </c>
      <c r="T545" s="57" t="str">
        <f>IF(AC545=1,O545/M545,"")</f>
        <v/>
      </c>
      <c r="U545" s="57" t="str">
        <f>IF(AC545=1,IF(O545&gt;0,R545/O545,""),"")</f>
        <v/>
      </c>
      <c r="V545" s="57" t="str">
        <f>IF(AC545=1,IF(P545&gt;0,N(G545)/P545,""),"")</f>
        <v/>
      </c>
      <c r="W545" s="57" t="str">
        <f>IF(AC545=1,S545/M545,"")</f>
        <v/>
      </c>
      <c r="X545" s="57" t="str">
        <f>IF(AC545=1,S545/K545,"")</f>
        <v/>
      </c>
      <c r="Y545" s="58" t="str">
        <f>IF(W545="","",IF(W545&gt;=p_target,"Bon",IF(W545&gt;=p_alert,"À surveiller","Faible")))</f>
        <v/>
      </c>
      <c r="Z545" s="58" t="str">
        <f>IF(W545="","",IF(MIN(IF(T545="",1,T545),IF(U545="",1,U545),IF(V545="",1,V545))&gt;=1,"Aucune",IF(IF(T545="",1,T545)&lt;=MIN(IF(U545="",1,U545),IF(V545="",1,V545)),"Disponibilité",IF(IF(U545="",1,U545)&lt;=IF(V545="",1,V545),"Performance","Qualité"))))</f>
        <v/>
      </c>
      <c r="AA545" s="59" t="str">
        <f>IF(AC545=1,N(H545)*N(IFERROR(INDEX(art_cost,MATCH(E545,art_ref,0)),0)),"")</f>
        <v/>
      </c>
      <c r="AB545" s="58" t="str">
        <f>IF(COUNTA(A545:I545)=0,"",IF(N(A545)&lt;=0,"Date manquante ou invalide",IF(B545="","Équipe manquante",IF(ISNA(MATCH(B545,eq_code,0)),"Équipe inconnue",IF(INDEX(eq_check,MATCH(B545,eq_code,0))&lt;&gt;"OK","Équipe à corriger dans Paramètres",IF(C545="","Poste manquant",IF(ISNA(MATCH(C545,po_code,0)),"Poste inconnu",IF(AND(E545&lt;&gt;"",ISNA(MATCH(E545,art_ref,0))),"Article inconnu",IF(IF(E545="",FALSE,INDEX(art_check,MATCH(E545,art_ref,0))&lt;&gt;"OK"),"Article à corriger (feuille Articles)",IF(COUNTIFS(sj_date,A545,sj_eq,B545,sj_po,C545)&gt;1,"Ligne en double (même jour, équipe et poste)",IF(OR(NOT(ISNUMBER(K545)),N(K545)&lt;=0,N(K545)&gt;1440),"Temps d'ouverture invalide",IF(OR(AND(G545&lt;&gt;"",NOT(ISNUMBER(G545))),N(G545)&lt;0,N(G545)&lt;&gt;INT(N(G545)),AND(H545&lt;&gt;"",NOT(ISNUMBER(H545))),N(H545)&lt;0,N(H545)&lt;&gt;INT(N(H545)),AND(I545&lt;&gt;"",NOT(ISNUMBER(I545))),N(I545)&lt;0,N(I545)&lt;&gt;INT(N(I545))),"Quantité invalide",IF(Q545&lt;=0,"Cadence manquante (poste ou article)",IF(M545&lt;=0,"Arrêts planifiés supérieurs au temps d'ouverture",IF(O545&lt;0,"Arrêts supérieurs au temps requis",IF(AND(P545&gt;0,O545=0),"Pièces déclarées sans temps de marche",IF(AND(P545=0,O545&gt;0),"Aucune pièce déclarée",IF(P545*60/Q545&gt;O545+0.001,"Cadence dépassée : vérifiez la cadence","OK"))))))))))))))))))</f>
        <v/>
      </c>
      <c r="AC545">
        <f>IF(OR(AB545="OK",AB545="Aucune pièce déclarée",AB545="Cadence dépassée : vérifiez la cadence"),1,0)</f>
        <v>0.0</v>
      </c>
      <c r="AD545">
        <f>IF(AND(AC545=1,A545&gt;=p_from,A545&lt;=p_to),1,0)</f>
        <v>0.0</v>
      </c>
      <c r="AE545">
        <f>IF(AD545=1,IF(COUNTIFS($A$6:A545,A545,$AD$6:AD545,1)=1,1,0),0)</f>
        <v>0.0</v>
      </c>
      <c r="AF545" t="str">
        <f>IF(AE545=1,COUNTIFS(sj_first,1,sj_date,"&lt;"&amp;A545)+1,"")</f>
        <v/>
      </c>
      <c r="AG545" t="str">
        <f>IF(AND(AD545=1,N(W545)&lt;p_alert),ROUND(W545,4),"")</f>
        <v/>
      </c>
      <c r="AH545" t="str">
        <f>IF(AG545="","",COUNTIF(sj_akey,"&lt;"&amp;AG545)+COUNTIF($AG$6:AG545,AG545))</f>
        <v/>
      </c>
    </row>
    <row r="546">
      <c r="A546" s="51" t="n"/>
      <c r="B546" s="52" t="n"/>
      <c r="C546" s="52" t="n"/>
      <c r="D546" s="53" t="n"/>
      <c r="E546" s="53" t="n"/>
      <c r="F546" s="54" t="n"/>
      <c r="G546" s="54" t="n"/>
      <c r="H546" s="54" t="n"/>
      <c r="I546" s="54" t="n"/>
      <c r="J546" s="53" t="n"/>
      <c r="K546" s="55" t="str">
        <f>IF(COUNTA(A546:I546)=0,"",IF(F546="",IFERROR(INDEX(eq_dur,MATCH(B546,eq_code,0)),""),F546))</f>
        <v/>
      </c>
      <c r="L546" s="55" t="str">
        <f>IF(ISNUMBER(K546),N(IFERROR(INDEX(eq_pause,MATCH(B546,eq_code,0)),0))+SUMIFS(st_min,st_date,A546,st_eq,B546,st_po,C546,st_type,"Planifié"),"")</f>
        <v/>
      </c>
      <c r="M546" s="55" t="str">
        <f>IF(ISNUMBER(K546),K546-L546,"")</f>
        <v/>
      </c>
      <c r="N546" s="55" t="str">
        <f>IF(ISNUMBER(K546),SUMIFS(st_min,st_date,A546,st_eq,B546,st_po,C546,st_type,"Non planifié"),"")</f>
        <v/>
      </c>
      <c r="O546" s="55" t="str">
        <f>IF(ISNUMBER(K546),M546-N546,"")</f>
        <v/>
      </c>
      <c r="P546" s="55" t="str">
        <f>IF(COUNTA(A546:I546)=0,"",N(G546)+N(H546)+N(I546))</f>
        <v/>
      </c>
      <c r="Q546" s="56" t="str">
        <f>IF(COUNTA(A546:I546)=0,"",IF(N(IFERROR(INDEX(art_rate,MATCH(E546,art_ref,0)),0))&gt;0,N(IFERROR(INDEX(art_rate,MATCH(E546,art_ref,0)),0)),N(IFERROR(INDEX(po_rate,MATCH(C546,po_code,0)),0))))</f>
        <v/>
      </c>
      <c r="R546" s="55" t="str">
        <f>IF(AC546=1,P546*60/Q546,"")</f>
        <v/>
      </c>
      <c r="S546" s="55" t="str">
        <f>IF(AC546=1,N(G546)*60/Q546,"")</f>
        <v/>
      </c>
      <c r="T546" s="57" t="str">
        <f>IF(AC546=1,O546/M546,"")</f>
        <v/>
      </c>
      <c r="U546" s="57" t="str">
        <f>IF(AC546=1,IF(O546&gt;0,R546/O546,""),"")</f>
        <v/>
      </c>
      <c r="V546" s="57" t="str">
        <f>IF(AC546=1,IF(P546&gt;0,N(G546)/P546,""),"")</f>
        <v/>
      </c>
      <c r="W546" s="57" t="str">
        <f>IF(AC546=1,S546/M546,"")</f>
        <v/>
      </c>
      <c r="X546" s="57" t="str">
        <f>IF(AC546=1,S546/K546,"")</f>
        <v/>
      </c>
      <c r="Y546" s="58" t="str">
        <f>IF(W546="","",IF(W546&gt;=p_target,"Bon",IF(W546&gt;=p_alert,"À surveiller","Faible")))</f>
        <v/>
      </c>
      <c r="Z546" s="58" t="str">
        <f>IF(W546="","",IF(MIN(IF(T546="",1,T546),IF(U546="",1,U546),IF(V546="",1,V546))&gt;=1,"Aucune",IF(IF(T546="",1,T546)&lt;=MIN(IF(U546="",1,U546),IF(V546="",1,V546)),"Disponibilité",IF(IF(U546="",1,U546)&lt;=IF(V546="",1,V546),"Performance","Qualité"))))</f>
        <v/>
      </c>
      <c r="AA546" s="59" t="str">
        <f>IF(AC546=1,N(H546)*N(IFERROR(INDEX(art_cost,MATCH(E546,art_ref,0)),0)),"")</f>
        <v/>
      </c>
      <c r="AB546" s="58" t="str">
        <f>IF(COUNTA(A546:I546)=0,"",IF(N(A546)&lt;=0,"Date manquante ou invalide",IF(B546="","Équipe manquante",IF(ISNA(MATCH(B546,eq_code,0)),"Équipe inconnue",IF(INDEX(eq_check,MATCH(B546,eq_code,0))&lt;&gt;"OK","Équipe à corriger dans Paramètres",IF(C546="","Poste manquant",IF(ISNA(MATCH(C546,po_code,0)),"Poste inconnu",IF(AND(E546&lt;&gt;"",ISNA(MATCH(E546,art_ref,0))),"Article inconnu",IF(IF(E546="",FALSE,INDEX(art_check,MATCH(E546,art_ref,0))&lt;&gt;"OK"),"Article à corriger (feuille Articles)",IF(COUNTIFS(sj_date,A546,sj_eq,B546,sj_po,C546)&gt;1,"Ligne en double (même jour, équipe et poste)",IF(OR(NOT(ISNUMBER(K546)),N(K546)&lt;=0,N(K546)&gt;1440),"Temps d'ouverture invalide",IF(OR(AND(G546&lt;&gt;"",NOT(ISNUMBER(G546))),N(G546)&lt;0,N(G546)&lt;&gt;INT(N(G546)),AND(H546&lt;&gt;"",NOT(ISNUMBER(H546))),N(H546)&lt;0,N(H546)&lt;&gt;INT(N(H546)),AND(I546&lt;&gt;"",NOT(ISNUMBER(I546))),N(I546)&lt;0,N(I546)&lt;&gt;INT(N(I546))),"Quantité invalide",IF(Q546&lt;=0,"Cadence manquante (poste ou article)",IF(M546&lt;=0,"Arrêts planifiés supérieurs au temps d'ouverture",IF(O546&lt;0,"Arrêts supérieurs au temps requis",IF(AND(P546&gt;0,O546=0),"Pièces déclarées sans temps de marche",IF(AND(P546=0,O546&gt;0),"Aucune pièce déclarée",IF(P546*60/Q546&gt;O546+0.001,"Cadence dépassée : vérifiez la cadence","OK"))))))))))))))))))</f>
        <v/>
      </c>
      <c r="AC546">
        <f>IF(OR(AB546="OK",AB546="Aucune pièce déclarée",AB546="Cadence dépassée : vérifiez la cadence"),1,0)</f>
        <v>0.0</v>
      </c>
      <c r="AD546">
        <f>IF(AND(AC546=1,A546&gt;=p_from,A546&lt;=p_to),1,0)</f>
        <v>0.0</v>
      </c>
      <c r="AE546">
        <f>IF(AD546=1,IF(COUNTIFS($A$6:A546,A546,$AD$6:AD546,1)=1,1,0),0)</f>
        <v>0.0</v>
      </c>
      <c r="AF546" t="str">
        <f>IF(AE546=1,COUNTIFS(sj_first,1,sj_date,"&lt;"&amp;A546)+1,"")</f>
        <v/>
      </c>
      <c r="AG546" t="str">
        <f>IF(AND(AD546=1,N(W546)&lt;p_alert),ROUND(W546,4),"")</f>
        <v/>
      </c>
      <c r="AH546" t="str">
        <f>IF(AG546="","",COUNTIF(sj_akey,"&lt;"&amp;AG546)+COUNTIF($AG$6:AG546,AG546))</f>
        <v/>
      </c>
    </row>
    <row r="547">
      <c r="A547" s="51" t="n"/>
      <c r="B547" s="52" t="n"/>
      <c r="C547" s="52" t="n"/>
      <c r="D547" s="53" t="n"/>
      <c r="E547" s="53" t="n"/>
      <c r="F547" s="54" t="n"/>
      <c r="G547" s="54" t="n"/>
      <c r="H547" s="54" t="n"/>
      <c r="I547" s="54" t="n"/>
      <c r="J547" s="53" t="n"/>
      <c r="K547" s="55" t="str">
        <f>IF(COUNTA(A547:I547)=0,"",IF(F547="",IFERROR(INDEX(eq_dur,MATCH(B547,eq_code,0)),""),F547))</f>
        <v/>
      </c>
      <c r="L547" s="55" t="str">
        <f>IF(ISNUMBER(K547),N(IFERROR(INDEX(eq_pause,MATCH(B547,eq_code,0)),0))+SUMIFS(st_min,st_date,A547,st_eq,B547,st_po,C547,st_type,"Planifié"),"")</f>
        <v/>
      </c>
      <c r="M547" s="55" t="str">
        <f>IF(ISNUMBER(K547),K547-L547,"")</f>
        <v/>
      </c>
      <c r="N547" s="55" t="str">
        <f>IF(ISNUMBER(K547),SUMIFS(st_min,st_date,A547,st_eq,B547,st_po,C547,st_type,"Non planifié"),"")</f>
        <v/>
      </c>
      <c r="O547" s="55" t="str">
        <f>IF(ISNUMBER(K547),M547-N547,"")</f>
        <v/>
      </c>
      <c r="P547" s="55" t="str">
        <f>IF(COUNTA(A547:I547)=0,"",N(G547)+N(H547)+N(I547))</f>
        <v/>
      </c>
      <c r="Q547" s="56" t="str">
        <f>IF(COUNTA(A547:I547)=0,"",IF(N(IFERROR(INDEX(art_rate,MATCH(E547,art_ref,0)),0))&gt;0,N(IFERROR(INDEX(art_rate,MATCH(E547,art_ref,0)),0)),N(IFERROR(INDEX(po_rate,MATCH(C547,po_code,0)),0))))</f>
        <v/>
      </c>
      <c r="R547" s="55" t="str">
        <f>IF(AC547=1,P547*60/Q547,"")</f>
        <v/>
      </c>
      <c r="S547" s="55" t="str">
        <f>IF(AC547=1,N(G547)*60/Q547,"")</f>
        <v/>
      </c>
      <c r="T547" s="57" t="str">
        <f>IF(AC547=1,O547/M547,"")</f>
        <v/>
      </c>
      <c r="U547" s="57" t="str">
        <f>IF(AC547=1,IF(O547&gt;0,R547/O547,""),"")</f>
        <v/>
      </c>
      <c r="V547" s="57" t="str">
        <f>IF(AC547=1,IF(P547&gt;0,N(G547)/P547,""),"")</f>
        <v/>
      </c>
      <c r="W547" s="57" t="str">
        <f>IF(AC547=1,S547/M547,"")</f>
        <v/>
      </c>
      <c r="X547" s="57" t="str">
        <f>IF(AC547=1,S547/K547,"")</f>
        <v/>
      </c>
      <c r="Y547" s="58" t="str">
        <f>IF(W547="","",IF(W547&gt;=p_target,"Bon",IF(W547&gt;=p_alert,"À surveiller","Faible")))</f>
        <v/>
      </c>
      <c r="Z547" s="58" t="str">
        <f>IF(W547="","",IF(MIN(IF(T547="",1,T547),IF(U547="",1,U547),IF(V547="",1,V547))&gt;=1,"Aucune",IF(IF(T547="",1,T547)&lt;=MIN(IF(U547="",1,U547),IF(V547="",1,V547)),"Disponibilité",IF(IF(U547="",1,U547)&lt;=IF(V547="",1,V547),"Performance","Qualité"))))</f>
        <v/>
      </c>
      <c r="AA547" s="59" t="str">
        <f>IF(AC547=1,N(H547)*N(IFERROR(INDEX(art_cost,MATCH(E547,art_ref,0)),0)),"")</f>
        <v/>
      </c>
      <c r="AB547" s="58" t="str">
        <f>IF(COUNTA(A547:I547)=0,"",IF(N(A547)&lt;=0,"Date manquante ou invalide",IF(B547="","Équipe manquante",IF(ISNA(MATCH(B547,eq_code,0)),"Équipe inconnue",IF(INDEX(eq_check,MATCH(B547,eq_code,0))&lt;&gt;"OK","Équipe à corriger dans Paramètres",IF(C547="","Poste manquant",IF(ISNA(MATCH(C547,po_code,0)),"Poste inconnu",IF(AND(E547&lt;&gt;"",ISNA(MATCH(E547,art_ref,0))),"Article inconnu",IF(IF(E547="",FALSE,INDEX(art_check,MATCH(E547,art_ref,0))&lt;&gt;"OK"),"Article à corriger (feuille Articles)",IF(COUNTIFS(sj_date,A547,sj_eq,B547,sj_po,C547)&gt;1,"Ligne en double (même jour, équipe et poste)",IF(OR(NOT(ISNUMBER(K547)),N(K547)&lt;=0,N(K547)&gt;1440),"Temps d'ouverture invalide",IF(OR(AND(G547&lt;&gt;"",NOT(ISNUMBER(G547))),N(G547)&lt;0,N(G547)&lt;&gt;INT(N(G547)),AND(H547&lt;&gt;"",NOT(ISNUMBER(H547))),N(H547)&lt;0,N(H547)&lt;&gt;INT(N(H547)),AND(I547&lt;&gt;"",NOT(ISNUMBER(I547))),N(I547)&lt;0,N(I547)&lt;&gt;INT(N(I547))),"Quantité invalide",IF(Q547&lt;=0,"Cadence manquante (poste ou article)",IF(M547&lt;=0,"Arrêts planifiés supérieurs au temps d'ouverture",IF(O547&lt;0,"Arrêts supérieurs au temps requis",IF(AND(P547&gt;0,O547=0),"Pièces déclarées sans temps de marche",IF(AND(P547=0,O547&gt;0),"Aucune pièce déclarée",IF(P547*60/Q547&gt;O547+0.001,"Cadence dépassée : vérifiez la cadence","OK"))))))))))))))))))</f>
        <v/>
      </c>
      <c r="AC547">
        <f>IF(OR(AB547="OK",AB547="Aucune pièce déclarée",AB547="Cadence dépassée : vérifiez la cadence"),1,0)</f>
        <v>0.0</v>
      </c>
      <c r="AD547">
        <f>IF(AND(AC547=1,A547&gt;=p_from,A547&lt;=p_to),1,0)</f>
        <v>0.0</v>
      </c>
      <c r="AE547">
        <f>IF(AD547=1,IF(COUNTIFS($A$6:A547,A547,$AD$6:AD547,1)=1,1,0),0)</f>
        <v>0.0</v>
      </c>
      <c r="AF547" t="str">
        <f>IF(AE547=1,COUNTIFS(sj_first,1,sj_date,"&lt;"&amp;A547)+1,"")</f>
        <v/>
      </c>
      <c r="AG547" t="str">
        <f>IF(AND(AD547=1,N(W547)&lt;p_alert),ROUND(W547,4),"")</f>
        <v/>
      </c>
      <c r="AH547" t="str">
        <f>IF(AG547="","",COUNTIF(sj_akey,"&lt;"&amp;AG547)+COUNTIF($AG$6:AG547,AG547))</f>
        <v/>
      </c>
    </row>
    <row r="548">
      <c r="A548" s="51" t="n"/>
      <c r="B548" s="52" t="n"/>
      <c r="C548" s="52" t="n"/>
      <c r="D548" s="53" t="n"/>
      <c r="E548" s="53" t="n"/>
      <c r="F548" s="54" t="n"/>
      <c r="G548" s="54" t="n"/>
      <c r="H548" s="54" t="n"/>
      <c r="I548" s="54" t="n"/>
      <c r="J548" s="53" t="n"/>
      <c r="K548" s="55" t="str">
        <f>IF(COUNTA(A548:I548)=0,"",IF(F548="",IFERROR(INDEX(eq_dur,MATCH(B548,eq_code,0)),""),F548))</f>
        <v/>
      </c>
      <c r="L548" s="55" t="str">
        <f>IF(ISNUMBER(K548),N(IFERROR(INDEX(eq_pause,MATCH(B548,eq_code,0)),0))+SUMIFS(st_min,st_date,A548,st_eq,B548,st_po,C548,st_type,"Planifié"),"")</f>
        <v/>
      </c>
      <c r="M548" s="55" t="str">
        <f>IF(ISNUMBER(K548),K548-L548,"")</f>
        <v/>
      </c>
      <c r="N548" s="55" t="str">
        <f>IF(ISNUMBER(K548),SUMIFS(st_min,st_date,A548,st_eq,B548,st_po,C548,st_type,"Non planifié"),"")</f>
        <v/>
      </c>
      <c r="O548" s="55" t="str">
        <f>IF(ISNUMBER(K548),M548-N548,"")</f>
        <v/>
      </c>
      <c r="P548" s="55" t="str">
        <f>IF(COUNTA(A548:I548)=0,"",N(G548)+N(H548)+N(I548))</f>
        <v/>
      </c>
      <c r="Q548" s="56" t="str">
        <f>IF(COUNTA(A548:I548)=0,"",IF(N(IFERROR(INDEX(art_rate,MATCH(E548,art_ref,0)),0))&gt;0,N(IFERROR(INDEX(art_rate,MATCH(E548,art_ref,0)),0)),N(IFERROR(INDEX(po_rate,MATCH(C548,po_code,0)),0))))</f>
        <v/>
      </c>
      <c r="R548" s="55" t="str">
        <f>IF(AC548=1,P548*60/Q548,"")</f>
        <v/>
      </c>
      <c r="S548" s="55" t="str">
        <f>IF(AC548=1,N(G548)*60/Q548,"")</f>
        <v/>
      </c>
      <c r="T548" s="57" t="str">
        <f>IF(AC548=1,O548/M548,"")</f>
        <v/>
      </c>
      <c r="U548" s="57" t="str">
        <f>IF(AC548=1,IF(O548&gt;0,R548/O548,""),"")</f>
        <v/>
      </c>
      <c r="V548" s="57" t="str">
        <f>IF(AC548=1,IF(P548&gt;0,N(G548)/P548,""),"")</f>
        <v/>
      </c>
      <c r="W548" s="57" t="str">
        <f>IF(AC548=1,S548/M548,"")</f>
        <v/>
      </c>
      <c r="X548" s="57" t="str">
        <f>IF(AC548=1,S548/K548,"")</f>
        <v/>
      </c>
      <c r="Y548" s="58" t="str">
        <f>IF(W548="","",IF(W548&gt;=p_target,"Bon",IF(W548&gt;=p_alert,"À surveiller","Faible")))</f>
        <v/>
      </c>
      <c r="Z548" s="58" t="str">
        <f>IF(W548="","",IF(MIN(IF(T548="",1,T548),IF(U548="",1,U548),IF(V548="",1,V548))&gt;=1,"Aucune",IF(IF(T548="",1,T548)&lt;=MIN(IF(U548="",1,U548),IF(V548="",1,V548)),"Disponibilité",IF(IF(U548="",1,U548)&lt;=IF(V548="",1,V548),"Performance","Qualité"))))</f>
        <v/>
      </c>
      <c r="AA548" s="59" t="str">
        <f>IF(AC548=1,N(H548)*N(IFERROR(INDEX(art_cost,MATCH(E548,art_ref,0)),0)),"")</f>
        <v/>
      </c>
      <c r="AB548" s="58" t="str">
        <f>IF(COUNTA(A548:I548)=0,"",IF(N(A548)&lt;=0,"Date manquante ou invalide",IF(B548="","Équipe manquante",IF(ISNA(MATCH(B548,eq_code,0)),"Équipe inconnue",IF(INDEX(eq_check,MATCH(B548,eq_code,0))&lt;&gt;"OK","Équipe à corriger dans Paramètres",IF(C548="","Poste manquant",IF(ISNA(MATCH(C548,po_code,0)),"Poste inconnu",IF(AND(E548&lt;&gt;"",ISNA(MATCH(E548,art_ref,0))),"Article inconnu",IF(IF(E548="",FALSE,INDEX(art_check,MATCH(E548,art_ref,0))&lt;&gt;"OK"),"Article à corriger (feuille Articles)",IF(COUNTIFS(sj_date,A548,sj_eq,B548,sj_po,C548)&gt;1,"Ligne en double (même jour, équipe et poste)",IF(OR(NOT(ISNUMBER(K548)),N(K548)&lt;=0,N(K548)&gt;1440),"Temps d'ouverture invalide",IF(OR(AND(G548&lt;&gt;"",NOT(ISNUMBER(G548))),N(G548)&lt;0,N(G548)&lt;&gt;INT(N(G548)),AND(H548&lt;&gt;"",NOT(ISNUMBER(H548))),N(H548)&lt;0,N(H548)&lt;&gt;INT(N(H548)),AND(I548&lt;&gt;"",NOT(ISNUMBER(I548))),N(I548)&lt;0,N(I548)&lt;&gt;INT(N(I548))),"Quantité invalide",IF(Q548&lt;=0,"Cadence manquante (poste ou article)",IF(M548&lt;=0,"Arrêts planifiés supérieurs au temps d'ouverture",IF(O548&lt;0,"Arrêts supérieurs au temps requis",IF(AND(P548&gt;0,O548=0),"Pièces déclarées sans temps de marche",IF(AND(P548=0,O548&gt;0),"Aucune pièce déclarée",IF(P548*60/Q548&gt;O548+0.001,"Cadence dépassée : vérifiez la cadence","OK"))))))))))))))))))</f>
        <v/>
      </c>
      <c r="AC548">
        <f>IF(OR(AB548="OK",AB548="Aucune pièce déclarée",AB548="Cadence dépassée : vérifiez la cadence"),1,0)</f>
        <v>0.0</v>
      </c>
      <c r="AD548">
        <f>IF(AND(AC548=1,A548&gt;=p_from,A548&lt;=p_to),1,0)</f>
        <v>0.0</v>
      </c>
      <c r="AE548">
        <f>IF(AD548=1,IF(COUNTIFS($A$6:A548,A548,$AD$6:AD548,1)=1,1,0),0)</f>
        <v>0.0</v>
      </c>
      <c r="AF548" t="str">
        <f>IF(AE548=1,COUNTIFS(sj_first,1,sj_date,"&lt;"&amp;A548)+1,"")</f>
        <v/>
      </c>
      <c r="AG548" t="str">
        <f>IF(AND(AD548=1,N(W548)&lt;p_alert),ROUND(W548,4),"")</f>
        <v/>
      </c>
      <c r="AH548" t="str">
        <f>IF(AG548="","",COUNTIF(sj_akey,"&lt;"&amp;AG548)+COUNTIF($AG$6:AG548,AG548))</f>
        <v/>
      </c>
    </row>
    <row r="549">
      <c r="A549" s="51" t="n"/>
      <c r="B549" s="52" t="n"/>
      <c r="C549" s="52" t="n"/>
      <c r="D549" s="53" t="n"/>
      <c r="E549" s="53" t="n"/>
      <c r="F549" s="54" t="n"/>
      <c r="G549" s="54" t="n"/>
      <c r="H549" s="54" t="n"/>
      <c r="I549" s="54" t="n"/>
      <c r="J549" s="53" t="n"/>
      <c r="K549" s="55" t="str">
        <f>IF(COUNTA(A549:I549)=0,"",IF(F549="",IFERROR(INDEX(eq_dur,MATCH(B549,eq_code,0)),""),F549))</f>
        <v/>
      </c>
      <c r="L549" s="55" t="str">
        <f>IF(ISNUMBER(K549),N(IFERROR(INDEX(eq_pause,MATCH(B549,eq_code,0)),0))+SUMIFS(st_min,st_date,A549,st_eq,B549,st_po,C549,st_type,"Planifié"),"")</f>
        <v/>
      </c>
      <c r="M549" s="55" t="str">
        <f>IF(ISNUMBER(K549),K549-L549,"")</f>
        <v/>
      </c>
      <c r="N549" s="55" t="str">
        <f>IF(ISNUMBER(K549),SUMIFS(st_min,st_date,A549,st_eq,B549,st_po,C549,st_type,"Non planifié"),"")</f>
        <v/>
      </c>
      <c r="O549" s="55" t="str">
        <f>IF(ISNUMBER(K549),M549-N549,"")</f>
        <v/>
      </c>
      <c r="P549" s="55" t="str">
        <f>IF(COUNTA(A549:I549)=0,"",N(G549)+N(H549)+N(I549))</f>
        <v/>
      </c>
      <c r="Q549" s="56" t="str">
        <f>IF(COUNTA(A549:I549)=0,"",IF(N(IFERROR(INDEX(art_rate,MATCH(E549,art_ref,0)),0))&gt;0,N(IFERROR(INDEX(art_rate,MATCH(E549,art_ref,0)),0)),N(IFERROR(INDEX(po_rate,MATCH(C549,po_code,0)),0))))</f>
        <v/>
      </c>
      <c r="R549" s="55" t="str">
        <f>IF(AC549=1,P549*60/Q549,"")</f>
        <v/>
      </c>
      <c r="S549" s="55" t="str">
        <f>IF(AC549=1,N(G549)*60/Q549,"")</f>
        <v/>
      </c>
      <c r="T549" s="57" t="str">
        <f>IF(AC549=1,O549/M549,"")</f>
        <v/>
      </c>
      <c r="U549" s="57" t="str">
        <f>IF(AC549=1,IF(O549&gt;0,R549/O549,""),"")</f>
        <v/>
      </c>
      <c r="V549" s="57" t="str">
        <f>IF(AC549=1,IF(P549&gt;0,N(G549)/P549,""),"")</f>
        <v/>
      </c>
      <c r="W549" s="57" t="str">
        <f>IF(AC549=1,S549/M549,"")</f>
        <v/>
      </c>
      <c r="X549" s="57" t="str">
        <f>IF(AC549=1,S549/K549,"")</f>
        <v/>
      </c>
      <c r="Y549" s="58" t="str">
        <f>IF(W549="","",IF(W549&gt;=p_target,"Bon",IF(W549&gt;=p_alert,"À surveiller","Faible")))</f>
        <v/>
      </c>
      <c r="Z549" s="58" t="str">
        <f>IF(W549="","",IF(MIN(IF(T549="",1,T549),IF(U549="",1,U549),IF(V549="",1,V549))&gt;=1,"Aucune",IF(IF(T549="",1,T549)&lt;=MIN(IF(U549="",1,U549),IF(V549="",1,V549)),"Disponibilité",IF(IF(U549="",1,U549)&lt;=IF(V549="",1,V549),"Performance","Qualité"))))</f>
        <v/>
      </c>
      <c r="AA549" s="59" t="str">
        <f>IF(AC549=1,N(H549)*N(IFERROR(INDEX(art_cost,MATCH(E549,art_ref,0)),0)),"")</f>
        <v/>
      </c>
      <c r="AB549" s="58" t="str">
        <f>IF(COUNTA(A549:I549)=0,"",IF(N(A549)&lt;=0,"Date manquante ou invalide",IF(B549="","Équipe manquante",IF(ISNA(MATCH(B549,eq_code,0)),"Équipe inconnue",IF(INDEX(eq_check,MATCH(B549,eq_code,0))&lt;&gt;"OK","Équipe à corriger dans Paramètres",IF(C549="","Poste manquant",IF(ISNA(MATCH(C549,po_code,0)),"Poste inconnu",IF(AND(E549&lt;&gt;"",ISNA(MATCH(E549,art_ref,0))),"Article inconnu",IF(IF(E549="",FALSE,INDEX(art_check,MATCH(E549,art_ref,0))&lt;&gt;"OK"),"Article à corriger (feuille Articles)",IF(COUNTIFS(sj_date,A549,sj_eq,B549,sj_po,C549)&gt;1,"Ligne en double (même jour, équipe et poste)",IF(OR(NOT(ISNUMBER(K549)),N(K549)&lt;=0,N(K549)&gt;1440),"Temps d'ouverture invalide",IF(OR(AND(G549&lt;&gt;"",NOT(ISNUMBER(G549))),N(G549)&lt;0,N(G549)&lt;&gt;INT(N(G549)),AND(H549&lt;&gt;"",NOT(ISNUMBER(H549))),N(H549)&lt;0,N(H549)&lt;&gt;INT(N(H549)),AND(I549&lt;&gt;"",NOT(ISNUMBER(I549))),N(I549)&lt;0,N(I549)&lt;&gt;INT(N(I549))),"Quantité invalide",IF(Q549&lt;=0,"Cadence manquante (poste ou article)",IF(M549&lt;=0,"Arrêts planifiés supérieurs au temps d'ouverture",IF(O549&lt;0,"Arrêts supérieurs au temps requis",IF(AND(P549&gt;0,O549=0),"Pièces déclarées sans temps de marche",IF(AND(P549=0,O549&gt;0),"Aucune pièce déclarée",IF(P549*60/Q549&gt;O549+0.001,"Cadence dépassée : vérifiez la cadence","OK"))))))))))))))))))</f>
        <v/>
      </c>
      <c r="AC549">
        <f>IF(OR(AB549="OK",AB549="Aucune pièce déclarée",AB549="Cadence dépassée : vérifiez la cadence"),1,0)</f>
        <v>0.0</v>
      </c>
      <c r="AD549">
        <f>IF(AND(AC549=1,A549&gt;=p_from,A549&lt;=p_to),1,0)</f>
        <v>0.0</v>
      </c>
      <c r="AE549">
        <f>IF(AD549=1,IF(COUNTIFS($A$6:A549,A549,$AD$6:AD549,1)=1,1,0),0)</f>
        <v>0.0</v>
      </c>
      <c r="AF549" t="str">
        <f>IF(AE549=1,COUNTIFS(sj_first,1,sj_date,"&lt;"&amp;A549)+1,"")</f>
        <v/>
      </c>
      <c r="AG549" t="str">
        <f>IF(AND(AD549=1,N(W549)&lt;p_alert),ROUND(W549,4),"")</f>
        <v/>
      </c>
      <c r="AH549" t="str">
        <f>IF(AG549="","",COUNTIF(sj_akey,"&lt;"&amp;AG549)+COUNTIF($AG$6:AG549,AG549))</f>
        <v/>
      </c>
    </row>
    <row r="550">
      <c r="A550" s="51" t="n"/>
      <c r="B550" s="52" t="n"/>
      <c r="C550" s="52" t="n"/>
      <c r="D550" s="53" t="n"/>
      <c r="E550" s="53" t="n"/>
      <c r="F550" s="54" t="n"/>
      <c r="G550" s="54" t="n"/>
      <c r="H550" s="54" t="n"/>
      <c r="I550" s="54" t="n"/>
      <c r="J550" s="53" t="n"/>
      <c r="K550" s="55" t="str">
        <f>IF(COUNTA(A550:I550)=0,"",IF(F550="",IFERROR(INDEX(eq_dur,MATCH(B550,eq_code,0)),""),F550))</f>
        <v/>
      </c>
      <c r="L550" s="55" t="str">
        <f>IF(ISNUMBER(K550),N(IFERROR(INDEX(eq_pause,MATCH(B550,eq_code,0)),0))+SUMIFS(st_min,st_date,A550,st_eq,B550,st_po,C550,st_type,"Planifié"),"")</f>
        <v/>
      </c>
      <c r="M550" s="55" t="str">
        <f>IF(ISNUMBER(K550),K550-L550,"")</f>
        <v/>
      </c>
      <c r="N550" s="55" t="str">
        <f>IF(ISNUMBER(K550),SUMIFS(st_min,st_date,A550,st_eq,B550,st_po,C550,st_type,"Non planifié"),"")</f>
        <v/>
      </c>
      <c r="O550" s="55" t="str">
        <f>IF(ISNUMBER(K550),M550-N550,"")</f>
        <v/>
      </c>
      <c r="P550" s="55" t="str">
        <f>IF(COUNTA(A550:I550)=0,"",N(G550)+N(H550)+N(I550))</f>
        <v/>
      </c>
      <c r="Q550" s="56" t="str">
        <f>IF(COUNTA(A550:I550)=0,"",IF(N(IFERROR(INDEX(art_rate,MATCH(E550,art_ref,0)),0))&gt;0,N(IFERROR(INDEX(art_rate,MATCH(E550,art_ref,0)),0)),N(IFERROR(INDEX(po_rate,MATCH(C550,po_code,0)),0))))</f>
        <v/>
      </c>
      <c r="R550" s="55" t="str">
        <f>IF(AC550=1,P550*60/Q550,"")</f>
        <v/>
      </c>
      <c r="S550" s="55" t="str">
        <f>IF(AC550=1,N(G550)*60/Q550,"")</f>
        <v/>
      </c>
      <c r="T550" s="57" t="str">
        <f>IF(AC550=1,O550/M550,"")</f>
        <v/>
      </c>
      <c r="U550" s="57" t="str">
        <f>IF(AC550=1,IF(O550&gt;0,R550/O550,""),"")</f>
        <v/>
      </c>
      <c r="V550" s="57" t="str">
        <f>IF(AC550=1,IF(P550&gt;0,N(G550)/P550,""),"")</f>
        <v/>
      </c>
      <c r="W550" s="57" t="str">
        <f>IF(AC550=1,S550/M550,"")</f>
        <v/>
      </c>
      <c r="X550" s="57" t="str">
        <f>IF(AC550=1,S550/K550,"")</f>
        <v/>
      </c>
      <c r="Y550" s="58" t="str">
        <f>IF(W550="","",IF(W550&gt;=p_target,"Bon",IF(W550&gt;=p_alert,"À surveiller","Faible")))</f>
        <v/>
      </c>
      <c r="Z550" s="58" t="str">
        <f>IF(W550="","",IF(MIN(IF(T550="",1,T550),IF(U550="",1,U550),IF(V550="",1,V550))&gt;=1,"Aucune",IF(IF(T550="",1,T550)&lt;=MIN(IF(U550="",1,U550),IF(V550="",1,V550)),"Disponibilité",IF(IF(U550="",1,U550)&lt;=IF(V550="",1,V550),"Performance","Qualité"))))</f>
        <v/>
      </c>
      <c r="AA550" s="59" t="str">
        <f>IF(AC550=1,N(H550)*N(IFERROR(INDEX(art_cost,MATCH(E550,art_ref,0)),0)),"")</f>
        <v/>
      </c>
      <c r="AB550" s="58" t="str">
        <f>IF(COUNTA(A550:I550)=0,"",IF(N(A550)&lt;=0,"Date manquante ou invalide",IF(B550="","Équipe manquante",IF(ISNA(MATCH(B550,eq_code,0)),"Équipe inconnue",IF(INDEX(eq_check,MATCH(B550,eq_code,0))&lt;&gt;"OK","Équipe à corriger dans Paramètres",IF(C550="","Poste manquant",IF(ISNA(MATCH(C550,po_code,0)),"Poste inconnu",IF(AND(E550&lt;&gt;"",ISNA(MATCH(E550,art_ref,0))),"Article inconnu",IF(IF(E550="",FALSE,INDEX(art_check,MATCH(E550,art_ref,0))&lt;&gt;"OK"),"Article à corriger (feuille Articles)",IF(COUNTIFS(sj_date,A550,sj_eq,B550,sj_po,C550)&gt;1,"Ligne en double (même jour, équipe et poste)",IF(OR(NOT(ISNUMBER(K550)),N(K550)&lt;=0,N(K550)&gt;1440),"Temps d'ouverture invalide",IF(OR(AND(G550&lt;&gt;"",NOT(ISNUMBER(G550))),N(G550)&lt;0,N(G550)&lt;&gt;INT(N(G550)),AND(H550&lt;&gt;"",NOT(ISNUMBER(H550))),N(H550)&lt;0,N(H550)&lt;&gt;INT(N(H550)),AND(I550&lt;&gt;"",NOT(ISNUMBER(I550))),N(I550)&lt;0,N(I550)&lt;&gt;INT(N(I550))),"Quantité invalide",IF(Q550&lt;=0,"Cadence manquante (poste ou article)",IF(M550&lt;=0,"Arrêts planifiés supérieurs au temps d'ouverture",IF(O550&lt;0,"Arrêts supérieurs au temps requis",IF(AND(P550&gt;0,O550=0),"Pièces déclarées sans temps de marche",IF(AND(P550=0,O550&gt;0),"Aucune pièce déclarée",IF(P550*60/Q550&gt;O550+0.001,"Cadence dépassée : vérifiez la cadence","OK"))))))))))))))))))</f>
        <v/>
      </c>
      <c r="AC550">
        <f>IF(OR(AB550="OK",AB550="Aucune pièce déclarée",AB550="Cadence dépassée : vérifiez la cadence"),1,0)</f>
        <v>0.0</v>
      </c>
      <c r="AD550">
        <f>IF(AND(AC550=1,A550&gt;=p_from,A550&lt;=p_to),1,0)</f>
        <v>0.0</v>
      </c>
      <c r="AE550">
        <f>IF(AD550=1,IF(COUNTIFS($A$6:A550,A550,$AD$6:AD550,1)=1,1,0),0)</f>
        <v>0.0</v>
      </c>
      <c r="AF550" t="str">
        <f>IF(AE550=1,COUNTIFS(sj_first,1,sj_date,"&lt;"&amp;A550)+1,"")</f>
        <v/>
      </c>
      <c r="AG550" t="str">
        <f>IF(AND(AD550=1,N(W550)&lt;p_alert),ROUND(W550,4),"")</f>
        <v/>
      </c>
      <c r="AH550" t="str">
        <f>IF(AG550="","",COUNTIF(sj_akey,"&lt;"&amp;AG550)+COUNTIF($AG$6:AG550,AG550))</f>
        <v/>
      </c>
    </row>
    <row r="551">
      <c r="A551" s="51" t="n"/>
      <c r="B551" s="52" t="n"/>
      <c r="C551" s="52" t="n"/>
      <c r="D551" s="53" t="n"/>
      <c r="E551" s="53" t="n"/>
      <c r="F551" s="54" t="n"/>
      <c r="G551" s="54" t="n"/>
      <c r="H551" s="54" t="n"/>
      <c r="I551" s="54" t="n"/>
      <c r="J551" s="53" t="n"/>
      <c r="K551" s="55" t="str">
        <f>IF(COUNTA(A551:I551)=0,"",IF(F551="",IFERROR(INDEX(eq_dur,MATCH(B551,eq_code,0)),""),F551))</f>
        <v/>
      </c>
      <c r="L551" s="55" t="str">
        <f>IF(ISNUMBER(K551),N(IFERROR(INDEX(eq_pause,MATCH(B551,eq_code,0)),0))+SUMIFS(st_min,st_date,A551,st_eq,B551,st_po,C551,st_type,"Planifié"),"")</f>
        <v/>
      </c>
      <c r="M551" s="55" t="str">
        <f>IF(ISNUMBER(K551),K551-L551,"")</f>
        <v/>
      </c>
      <c r="N551" s="55" t="str">
        <f>IF(ISNUMBER(K551),SUMIFS(st_min,st_date,A551,st_eq,B551,st_po,C551,st_type,"Non planifié"),"")</f>
        <v/>
      </c>
      <c r="O551" s="55" t="str">
        <f>IF(ISNUMBER(K551),M551-N551,"")</f>
        <v/>
      </c>
      <c r="P551" s="55" t="str">
        <f>IF(COUNTA(A551:I551)=0,"",N(G551)+N(H551)+N(I551))</f>
        <v/>
      </c>
      <c r="Q551" s="56" t="str">
        <f>IF(COUNTA(A551:I551)=0,"",IF(N(IFERROR(INDEX(art_rate,MATCH(E551,art_ref,0)),0))&gt;0,N(IFERROR(INDEX(art_rate,MATCH(E551,art_ref,0)),0)),N(IFERROR(INDEX(po_rate,MATCH(C551,po_code,0)),0))))</f>
        <v/>
      </c>
      <c r="R551" s="55" t="str">
        <f>IF(AC551=1,P551*60/Q551,"")</f>
        <v/>
      </c>
      <c r="S551" s="55" t="str">
        <f>IF(AC551=1,N(G551)*60/Q551,"")</f>
        <v/>
      </c>
      <c r="T551" s="57" t="str">
        <f>IF(AC551=1,O551/M551,"")</f>
        <v/>
      </c>
      <c r="U551" s="57" t="str">
        <f>IF(AC551=1,IF(O551&gt;0,R551/O551,""),"")</f>
        <v/>
      </c>
      <c r="V551" s="57" t="str">
        <f>IF(AC551=1,IF(P551&gt;0,N(G551)/P551,""),"")</f>
        <v/>
      </c>
      <c r="W551" s="57" t="str">
        <f>IF(AC551=1,S551/M551,"")</f>
        <v/>
      </c>
      <c r="X551" s="57" t="str">
        <f>IF(AC551=1,S551/K551,"")</f>
        <v/>
      </c>
      <c r="Y551" s="58" t="str">
        <f>IF(W551="","",IF(W551&gt;=p_target,"Bon",IF(W551&gt;=p_alert,"À surveiller","Faible")))</f>
        <v/>
      </c>
      <c r="Z551" s="58" t="str">
        <f>IF(W551="","",IF(MIN(IF(T551="",1,T551),IF(U551="",1,U551),IF(V551="",1,V551))&gt;=1,"Aucune",IF(IF(T551="",1,T551)&lt;=MIN(IF(U551="",1,U551),IF(V551="",1,V551)),"Disponibilité",IF(IF(U551="",1,U551)&lt;=IF(V551="",1,V551),"Performance","Qualité"))))</f>
        <v/>
      </c>
      <c r="AA551" s="59" t="str">
        <f>IF(AC551=1,N(H551)*N(IFERROR(INDEX(art_cost,MATCH(E551,art_ref,0)),0)),"")</f>
        <v/>
      </c>
      <c r="AB551" s="58" t="str">
        <f>IF(COUNTA(A551:I551)=0,"",IF(N(A551)&lt;=0,"Date manquante ou invalide",IF(B551="","Équipe manquante",IF(ISNA(MATCH(B551,eq_code,0)),"Équipe inconnue",IF(INDEX(eq_check,MATCH(B551,eq_code,0))&lt;&gt;"OK","Équipe à corriger dans Paramètres",IF(C551="","Poste manquant",IF(ISNA(MATCH(C551,po_code,0)),"Poste inconnu",IF(AND(E551&lt;&gt;"",ISNA(MATCH(E551,art_ref,0))),"Article inconnu",IF(IF(E551="",FALSE,INDEX(art_check,MATCH(E551,art_ref,0))&lt;&gt;"OK"),"Article à corriger (feuille Articles)",IF(COUNTIFS(sj_date,A551,sj_eq,B551,sj_po,C551)&gt;1,"Ligne en double (même jour, équipe et poste)",IF(OR(NOT(ISNUMBER(K551)),N(K551)&lt;=0,N(K551)&gt;1440),"Temps d'ouverture invalide",IF(OR(AND(G551&lt;&gt;"",NOT(ISNUMBER(G551))),N(G551)&lt;0,N(G551)&lt;&gt;INT(N(G551)),AND(H551&lt;&gt;"",NOT(ISNUMBER(H551))),N(H551)&lt;0,N(H551)&lt;&gt;INT(N(H551)),AND(I551&lt;&gt;"",NOT(ISNUMBER(I551))),N(I551)&lt;0,N(I551)&lt;&gt;INT(N(I551))),"Quantité invalide",IF(Q551&lt;=0,"Cadence manquante (poste ou article)",IF(M551&lt;=0,"Arrêts planifiés supérieurs au temps d'ouverture",IF(O551&lt;0,"Arrêts supérieurs au temps requis",IF(AND(P551&gt;0,O551=0),"Pièces déclarées sans temps de marche",IF(AND(P551=0,O551&gt;0),"Aucune pièce déclarée",IF(P551*60/Q551&gt;O551+0.001,"Cadence dépassée : vérifiez la cadence","OK"))))))))))))))))))</f>
        <v/>
      </c>
      <c r="AC551">
        <f>IF(OR(AB551="OK",AB551="Aucune pièce déclarée",AB551="Cadence dépassée : vérifiez la cadence"),1,0)</f>
        <v>0.0</v>
      </c>
      <c r="AD551">
        <f>IF(AND(AC551=1,A551&gt;=p_from,A551&lt;=p_to),1,0)</f>
        <v>0.0</v>
      </c>
      <c r="AE551">
        <f>IF(AD551=1,IF(COUNTIFS($A$6:A551,A551,$AD$6:AD551,1)=1,1,0),0)</f>
        <v>0.0</v>
      </c>
      <c r="AF551" t="str">
        <f>IF(AE551=1,COUNTIFS(sj_first,1,sj_date,"&lt;"&amp;A551)+1,"")</f>
        <v/>
      </c>
      <c r="AG551" t="str">
        <f>IF(AND(AD551=1,N(W551)&lt;p_alert),ROUND(W551,4),"")</f>
        <v/>
      </c>
      <c r="AH551" t="str">
        <f>IF(AG551="","",COUNTIF(sj_akey,"&lt;"&amp;AG551)+COUNTIF($AG$6:AG551,AG551))</f>
        <v/>
      </c>
    </row>
    <row r="552">
      <c r="A552" s="51" t="n"/>
      <c r="B552" s="52" t="n"/>
      <c r="C552" s="52" t="n"/>
      <c r="D552" s="53" t="n"/>
      <c r="E552" s="53" t="n"/>
      <c r="F552" s="54" t="n"/>
      <c r="G552" s="54" t="n"/>
      <c r="H552" s="54" t="n"/>
      <c r="I552" s="54" t="n"/>
      <c r="J552" s="53" t="n"/>
      <c r="K552" s="55" t="str">
        <f>IF(COUNTA(A552:I552)=0,"",IF(F552="",IFERROR(INDEX(eq_dur,MATCH(B552,eq_code,0)),""),F552))</f>
        <v/>
      </c>
      <c r="L552" s="55" t="str">
        <f>IF(ISNUMBER(K552),N(IFERROR(INDEX(eq_pause,MATCH(B552,eq_code,0)),0))+SUMIFS(st_min,st_date,A552,st_eq,B552,st_po,C552,st_type,"Planifié"),"")</f>
        <v/>
      </c>
      <c r="M552" s="55" t="str">
        <f>IF(ISNUMBER(K552),K552-L552,"")</f>
        <v/>
      </c>
      <c r="N552" s="55" t="str">
        <f>IF(ISNUMBER(K552),SUMIFS(st_min,st_date,A552,st_eq,B552,st_po,C552,st_type,"Non planifié"),"")</f>
        <v/>
      </c>
      <c r="O552" s="55" t="str">
        <f>IF(ISNUMBER(K552),M552-N552,"")</f>
        <v/>
      </c>
      <c r="P552" s="55" t="str">
        <f>IF(COUNTA(A552:I552)=0,"",N(G552)+N(H552)+N(I552))</f>
        <v/>
      </c>
      <c r="Q552" s="56" t="str">
        <f>IF(COUNTA(A552:I552)=0,"",IF(N(IFERROR(INDEX(art_rate,MATCH(E552,art_ref,0)),0))&gt;0,N(IFERROR(INDEX(art_rate,MATCH(E552,art_ref,0)),0)),N(IFERROR(INDEX(po_rate,MATCH(C552,po_code,0)),0))))</f>
        <v/>
      </c>
      <c r="R552" s="55" t="str">
        <f>IF(AC552=1,P552*60/Q552,"")</f>
        <v/>
      </c>
      <c r="S552" s="55" t="str">
        <f>IF(AC552=1,N(G552)*60/Q552,"")</f>
        <v/>
      </c>
      <c r="T552" s="57" t="str">
        <f>IF(AC552=1,O552/M552,"")</f>
        <v/>
      </c>
      <c r="U552" s="57" t="str">
        <f>IF(AC552=1,IF(O552&gt;0,R552/O552,""),"")</f>
        <v/>
      </c>
      <c r="V552" s="57" t="str">
        <f>IF(AC552=1,IF(P552&gt;0,N(G552)/P552,""),"")</f>
        <v/>
      </c>
      <c r="W552" s="57" t="str">
        <f>IF(AC552=1,S552/M552,"")</f>
        <v/>
      </c>
      <c r="X552" s="57" t="str">
        <f>IF(AC552=1,S552/K552,"")</f>
        <v/>
      </c>
      <c r="Y552" s="58" t="str">
        <f>IF(W552="","",IF(W552&gt;=p_target,"Bon",IF(W552&gt;=p_alert,"À surveiller","Faible")))</f>
        <v/>
      </c>
      <c r="Z552" s="58" t="str">
        <f>IF(W552="","",IF(MIN(IF(T552="",1,T552),IF(U552="",1,U552),IF(V552="",1,V552))&gt;=1,"Aucune",IF(IF(T552="",1,T552)&lt;=MIN(IF(U552="",1,U552),IF(V552="",1,V552)),"Disponibilité",IF(IF(U552="",1,U552)&lt;=IF(V552="",1,V552),"Performance","Qualité"))))</f>
        <v/>
      </c>
      <c r="AA552" s="59" t="str">
        <f>IF(AC552=1,N(H552)*N(IFERROR(INDEX(art_cost,MATCH(E552,art_ref,0)),0)),"")</f>
        <v/>
      </c>
      <c r="AB552" s="58" t="str">
        <f>IF(COUNTA(A552:I552)=0,"",IF(N(A552)&lt;=0,"Date manquante ou invalide",IF(B552="","Équipe manquante",IF(ISNA(MATCH(B552,eq_code,0)),"Équipe inconnue",IF(INDEX(eq_check,MATCH(B552,eq_code,0))&lt;&gt;"OK","Équipe à corriger dans Paramètres",IF(C552="","Poste manquant",IF(ISNA(MATCH(C552,po_code,0)),"Poste inconnu",IF(AND(E552&lt;&gt;"",ISNA(MATCH(E552,art_ref,0))),"Article inconnu",IF(IF(E552="",FALSE,INDEX(art_check,MATCH(E552,art_ref,0))&lt;&gt;"OK"),"Article à corriger (feuille Articles)",IF(COUNTIFS(sj_date,A552,sj_eq,B552,sj_po,C552)&gt;1,"Ligne en double (même jour, équipe et poste)",IF(OR(NOT(ISNUMBER(K552)),N(K552)&lt;=0,N(K552)&gt;1440),"Temps d'ouverture invalide",IF(OR(AND(G552&lt;&gt;"",NOT(ISNUMBER(G552))),N(G552)&lt;0,N(G552)&lt;&gt;INT(N(G552)),AND(H552&lt;&gt;"",NOT(ISNUMBER(H552))),N(H552)&lt;0,N(H552)&lt;&gt;INT(N(H552)),AND(I552&lt;&gt;"",NOT(ISNUMBER(I552))),N(I552)&lt;0,N(I552)&lt;&gt;INT(N(I552))),"Quantité invalide",IF(Q552&lt;=0,"Cadence manquante (poste ou article)",IF(M552&lt;=0,"Arrêts planifiés supérieurs au temps d'ouverture",IF(O552&lt;0,"Arrêts supérieurs au temps requis",IF(AND(P552&gt;0,O552=0),"Pièces déclarées sans temps de marche",IF(AND(P552=0,O552&gt;0),"Aucune pièce déclarée",IF(P552*60/Q552&gt;O552+0.001,"Cadence dépassée : vérifiez la cadence","OK"))))))))))))))))))</f>
        <v/>
      </c>
      <c r="AC552">
        <f>IF(OR(AB552="OK",AB552="Aucune pièce déclarée",AB552="Cadence dépassée : vérifiez la cadence"),1,0)</f>
        <v>0.0</v>
      </c>
      <c r="AD552">
        <f>IF(AND(AC552=1,A552&gt;=p_from,A552&lt;=p_to),1,0)</f>
        <v>0.0</v>
      </c>
      <c r="AE552">
        <f>IF(AD552=1,IF(COUNTIFS($A$6:A552,A552,$AD$6:AD552,1)=1,1,0),0)</f>
        <v>0.0</v>
      </c>
      <c r="AF552" t="str">
        <f>IF(AE552=1,COUNTIFS(sj_first,1,sj_date,"&lt;"&amp;A552)+1,"")</f>
        <v/>
      </c>
      <c r="AG552" t="str">
        <f>IF(AND(AD552=1,N(W552)&lt;p_alert),ROUND(W552,4),"")</f>
        <v/>
      </c>
      <c r="AH552" t="str">
        <f>IF(AG552="","",COUNTIF(sj_akey,"&lt;"&amp;AG552)+COUNTIF($AG$6:AG552,AG552))</f>
        <v/>
      </c>
    </row>
    <row r="553">
      <c r="A553" s="51" t="n"/>
      <c r="B553" s="52" t="n"/>
      <c r="C553" s="52" t="n"/>
      <c r="D553" s="53" t="n"/>
      <c r="E553" s="53" t="n"/>
      <c r="F553" s="54" t="n"/>
      <c r="G553" s="54" t="n"/>
      <c r="H553" s="54" t="n"/>
      <c r="I553" s="54" t="n"/>
      <c r="J553" s="53" t="n"/>
      <c r="K553" s="55" t="str">
        <f>IF(COUNTA(A553:I553)=0,"",IF(F553="",IFERROR(INDEX(eq_dur,MATCH(B553,eq_code,0)),""),F553))</f>
        <v/>
      </c>
      <c r="L553" s="55" t="str">
        <f>IF(ISNUMBER(K553),N(IFERROR(INDEX(eq_pause,MATCH(B553,eq_code,0)),0))+SUMIFS(st_min,st_date,A553,st_eq,B553,st_po,C553,st_type,"Planifié"),"")</f>
        <v/>
      </c>
      <c r="M553" s="55" t="str">
        <f>IF(ISNUMBER(K553),K553-L553,"")</f>
        <v/>
      </c>
      <c r="N553" s="55" t="str">
        <f>IF(ISNUMBER(K553),SUMIFS(st_min,st_date,A553,st_eq,B553,st_po,C553,st_type,"Non planifié"),"")</f>
        <v/>
      </c>
      <c r="O553" s="55" t="str">
        <f>IF(ISNUMBER(K553),M553-N553,"")</f>
        <v/>
      </c>
      <c r="P553" s="55" t="str">
        <f>IF(COUNTA(A553:I553)=0,"",N(G553)+N(H553)+N(I553))</f>
        <v/>
      </c>
      <c r="Q553" s="56" t="str">
        <f>IF(COUNTA(A553:I553)=0,"",IF(N(IFERROR(INDEX(art_rate,MATCH(E553,art_ref,0)),0))&gt;0,N(IFERROR(INDEX(art_rate,MATCH(E553,art_ref,0)),0)),N(IFERROR(INDEX(po_rate,MATCH(C553,po_code,0)),0))))</f>
        <v/>
      </c>
      <c r="R553" s="55" t="str">
        <f>IF(AC553=1,P553*60/Q553,"")</f>
        <v/>
      </c>
      <c r="S553" s="55" t="str">
        <f>IF(AC553=1,N(G553)*60/Q553,"")</f>
        <v/>
      </c>
      <c r="T553" s="57" t="str">
        <f>IF(AC553=1,O553/M553,"")</f>
        <v/>
      </c>
      <c r="U553" s="57" t="str">
        <f>IF(AC553=1,IF(O553&gt;0,R553/O553,""),"")</f>
        <v/>
      </c>
      <c r="V553" s="57" t="str">
        <f>IF(AC553=1,IF(P553&gt;0,N(G553)/P553,""),"")</f>
        <v/>
      </c>
      <c r="W553" s="57" t="str">
        <f>IF(AC553=1,S553/M553,"")</f>
        <v/>
      </c>
      <c r="X553" s="57" t="str">
        <f>IF(AC553=1,S553/K553,"")</f>
        <v/>
      </c>
      <c r="Y553" s="58" t="str">
        <f>IF(W553="","",IF(W553&gt;=p_target,"Bon",IF(W553&gt;=p_alert,"À surveiller","Faible")))</f>
        <v/>
      </c>
      <c r="Z553" s="58" t="str">
        <f>IF(W553="","",IF(MIN(IF(T553="",1,T553),IF(U553="",1,U553),IF(V553="",1,V553))&gt;=1,"Aucune",IF(IF(T553="",1,T553)&lt;=MIN(IF(U553="",1,U553),IF(V553="",1,V553)),"Disponibilité",IF(IF(U553="",1,U553)&lt;=IF(V553="",1,V553),"Performance","Qualité"))))</f>
        <v/>
      </c>
      <c r="AA553" s="59" t="str">
        <f>IF(AC553=1,N(H553)*N(IFERROR(INDEX(art_cost,MATCH(E553,art_ref,0)),0)),"")</f>
        <v/>
      </c>
      <c r="AB553" s="58" t="str">
        <f>IF(COUNTA(A553:I553)=0,"",IF(N(A553)&lt;=0,"Date manquante ou invalide",IF(B553="","Équipe manquante",IF(ISNA(MATCH(B553,eq_code,0)),"Équipe inconnue",IF(INDEX(eq_check,MATCH(B553,eq_code,0))&lt;&gt;"OK","Équipe à corriger dans Paramètres",IF(C553="","Poste manquant",IF(ISNA(MATCH(C553,po_code,0)),"Poste inconnu",IF(AND(E553&lt;&gt;"",ISNA(MATCH(E553,art_ref,0))),"Article inconnu",IF(IF(E553="",FALSE,INDEX(art_check,MATCH(E553,art_ref,0))&lt;&gt;"OK"),"Article à corriger (feuille Articles)",IF(COUNTIFS(sj_date,A553,sj_eq,B553,sj_po,C553)&gt;1,"Ligne en double (même jour, équipe et poste)",IF(OR(NOT(ISNUMBER(K553)),N(K553)&lt;=0,N(K553)&gt;1440),"Temps d'ouverture invalide",IF(OR(AND(G553&lt;&gt;"",NOT(ISNUMBER(G553))),N(G553)&lt;0,N(G553)&lt;&gt;INT(N(G553)),AND(H553&lt;&gt;"",NOT(ISNUMBER(H553))),N(H553)&lt;0,N(H553)&lt;&gt;INT(N(H553)),AND(I553&lt;&gt;"",NOT(ISNUMBER(I553))),N(I553)&lt;0,N(I553)&lt;&gt;INT(N(I553))),"Quantité invalide",IF(Q553&lt;=0,"Cadence manquante (poste ou article)",IF(M553&lt;=0,"Arrêts planifiés supérieurs au temps d'ouverture",IF(O553&lt;0,"Arrêts supérieurs au temps requis",IF(AND(P553&gt;0,O553=0),"Pièces déclarées sans temps de marche",IF(AND(P553=0,O553&gt;0),"Aucune pièce déclarée",IF(P553*60/Q553&gt;O553+0.001,"Cadence dépassée : vérifiez la cadence","OK"))))))))))))))))))</f>
        <v/>
      </c>
      <c r="AC553">
        <f>IF(OR(AB553="OK",AB553="Aucune pièce déclarée",AB553="Cadence dépassée : vérifiez la cadence"),1,0)</f>
        <v>0.0</v>
      </c>
      <c r="AD553">
        <f>IF(AND(AC553=1,A553&gt;=p_from,A553&lt;=p_to),1,0)</f>
        <v>0.0</v>
      </c>
      <c r="AE553">
        <f>IF(AD553=1,IF(COUNTIFS($A$6:A553,A553,$AD$6:AD553,1)=1,1,0),0)</f>
        <v>0.0</v>
      </c>
      <c r="AF553" t="str">
        <f>IF(AE553=1,COUNTIFS(sj_first,1,sj_date,"&lt;"&amp;A553)+1,"")</f>
        <v/>
      </c>
      <c r="AG553" t="str">
        <f>IF(AND(AD553=1,N(W553)&lt;p_alert),ROUND(W553,4),"")</f>
        <v/>
      </c>
      <c r="AH553" t="str">
        <f>IF(AG553="","",COUNTIF(sj_akey,"&lt;"&amp;AG553)+COUNTIF($AG$6:AG553,AG553))</f>
        <v/>
      </c>
    </row>
    <row r="554">
      <c r="A554" s="51" t="n"/>
      <c r="B554" s="52" t="n"/>
      <c r="C554" s="52" t="n"/>
      <c r="D554" s="53" t="n"/>
      <c r="E554" s="53" t="n"/>
      <c r="F554" s="54" t="n"/>
      <c r="G554" s="54" t="n"/>
      <c r="H554" s="54" t="n"/>
      <c r="I554" s="54" t="n"/>
      <c r="J554" s="53" t="n"/>
      <c r="K554" s="55" t="str">
        <f>IF(COUNTA(A554:I554)=0,"",IF(F554="",IFERROR(INDEX(eq_dur,MATCH(B554,eq_code,0)),""),F554))</f>
        <v/>
      </c>
      <c r="L554" s="55" t="str">
        <f>IF(ISNUMBER(K554),N(IFERROR(INDEX(eq_pause,MATCH(B554,eq_code,0)),0))+SUMIFS(st_min,st_date,A554,st_eq,B554,st_po,C554,st_type,"Planifié"),"")</f>
        <v/>
      </c>
      <c r="M554" s="55" t="str">
        <f>IF(ISNUMBER(K554),K554-L554,"")</f>
        <v/>
      </c>
      <c r="N554" s="55" t="str">
        <f>IF(ISNUMBER(K554),SUMIFS(st_min,st_date,A554,st_eq,B554,st_po,C554,st_type,"Non planifié"),"")</f>
        <v/>
      </c>
      <c r="O554" s="55" t="str">
        <f>IF(ISNUMBER(K554),M554-N554,"")</f>
        <v/>
      </c>
      <c r="P554" s="55" t="str">
        <f>IF(COUNTA(A554:I554)=0,"",N(G554)+N(H554)+N(I554))</f>
        <v/>
      </c>
      <c r="Q554" s="56" t="str">
        <f>IF(COUNTA(A554:I554)=0,"",IF(N(IFERROR(INDEX(art_rate,MATCH(E554,art_ref,0)),0))&gt;0,N(IFERROR(INDEX(art_rate,MATCH(E554,art_ref,0)),0)),N(IFERROR(INDEX(po_rate,MATCH(C554,po_code,0)),0))))</f>
        <v/>
      </c>
      <c r="R554" s="55" t="str">
        <f>IF(AC554=1,P554*60/Q554,"")</f>
        <v/>
      </c>
      <c r="S554" s="55" t="str">
        <f>IF(AC554=1,N(G554)*60/Q554,"")</f>
        <v/>
      </c>
      <c r="T554" s="57" t="str">
        <f>IF(AC554=1,O554/M554,"")</f>
        <v/>
      </c>
      <c r="U554" s="57" t="str">
        <f>IF(AC554=1,IF(O554&gt;0,R554/O554,""),"")</f>
        <v/>
      </c>
      <c r="V554" s="57" t="str">
        <f>IF(AC554=1,IF(P554&gt;0,N(G554)/P554,""),"")</f>
        <v/>
      </c>
      <c r="W554" s="57" t="str">
        <f>IF(AC554=1,S554/M554,"")</f>
        <v/>
      </c>
      <c r="X554" s="57" t="str">
        <f>IF(AC554=1,S554/K554,"")</f>
        <v/>
      </c>
      <c r="Y554" s="58" t="str">
        <f>IF(W554="","",IF(W554&gt;=p_target,"Bon",IF(W554&gt;=p_alert,"À surveiller","Faible")))</f>
        <v/>
      </c>
      <c r="Z554" s="58" t="str">
        <f>IF(W554="","",IF(MIN(IF(T554="",1,T554),IF(U554="",1,U554),IF(V554="",1,V554))&gt;=1,"Aucune",IF(IF(T554="",1,T554)&lt;=MIN(IF(U554="",1,U554),IF(V554="",1,V554)),"Disponibilité",IF(IF(U554="",1,U554)&lt;=IF(V554="",1,V554),"Performance","Qualité"))))</f>
        <v/>
      </c>
      <c r="AA554" s="59" t="str">
        <f>IF(AC554=1,N(H554)*N(IFERROR(INDEX(art_cost,MATCH(E554,art_ref,0)),0)),"")</f>
        <v/>
      </c>
      <c r="AB554" s="58" t="str">
        <f>IF(COUNTA(A554:I554)=0,"",IF(N(A554)&lt;=0,"Date manquante ou invalide",IF(B554="","Équipe manquante",IF(ISNA(MATCH(B554,eq_code,0)),"Équipe inconnue",IF(INDEX(eq_check,MATCH(B554,eq_code,0))&lt;&gt;"OK","Équipe à corriger dans Paramètres",IF(C554="","Poste manquant",IF(ISNA(MATCH(C554,po_code,0)),"Poste inconnu",IF(AND(E554&lt;&gt;"",ISNA(MATCH(E554,art_ref,0))),"Article inconnu",IF(IF(E554="",FALSE,INDEX(art_check,MATCH(E554,art_ref,0))&lt;&gt;"OK"),"Article à corriger (feuille Articles)",IF(COUNTIFS(sj_date,A554,sj_eq,B554,sj_po,C554)&gt;1,"Ligne en double (même jour, équipe et poste)",IF(OR(NOT(ISNUMBER(K554)),N(K554)&lt;=0,N(K554)&gt;1440),"Temps d'ouverture invalide",IF(OR(AND(G554&lt;&gt;"",NOT(ISNUMBER(G554))),N(G554)&lt;0,N(G554)&lt;&gt;INT(N(G554)),AND(H554&lt;&gt;"",NOT(ISNUMBER(H554))),N(H554)&lt;0,N(H554)&lt;&gt;INT(N(H554)),AND(I554&lt;&gt;"",NOT(ISNUMBER(I554))),N(I554)&lt;0,N(I554)&lt;&gt;INT(N(I554))),"Quantité invalide",IF(Q554&lt;=0,"Cadence manquante (poste ou article)",IF(M554&lt;=0,"Arrêts planifiés supérieurs au temps d'ouverture",IF(O554&lt;0,"Arrêts supérieurs au temps requis",IF(AND(P554&gt;0,O554=0),"Pièces déclarées sans temps de marche",IF(AND(P554=0,O554&gt;0),"Aucune pièce déclarée",IF(P554*60/Q554&gt;O554+0.001,"Cadence dépassée : vérifiez la cadence","OK"))))))))))))))))))</f>
        <v/>
      </c>
      <c r="AC554">
        <f>IF(OR(AB554="OK",AB554="Aucune pièce déclarée",AB554="Cadence dépassée : vérifiez la cadence"),1,0)</f>
        <v>0.0</v>
      </c>
      <c r="AD554">
        <f>IF(AND(AC554=1,A554&gt;=p_from,A554&lt;=p_to),1,0)</f>
        <v>0.0</v>
      </c>
      <c r="AE554">
        <f>IF(AD554=1,IF(COUNTIFS($A$6:A554,A554,$AD$6:AD554,1)=1,1,0),0)</f>
        <v>0.0</v>
      </c>
      <c r="AF554" t="str">
        <f>IF(AE554=1,COUNTIFS(sj_first,1,sj_date,"&lt;"&amp;A554)+1,"")</f>
        <v/>
      </c>
      <c r="AG554" t="str">
        <f>IF(AND(AD554=1,N(W554)&lt;p_alert),ROUND(W554,4),"")</f>
        <v/>
      </c>
      <c r="AH554" t="str">
        <f>IF(AG554="","",COUNTIF(sj_akey,"&lt;"&amp;AG554)+COUNTIF($AG$6:AG554,AG554))</f>
        <v/>
      </c>
    </row>
    <row r="555">
      <c r="A555" s="51" t="n"/>
      <c r="B555" s="52" t="n"/>
      <c r="C555" s="52" t="n"/>
      <c r="D555" s="53" t="n"/>
      <c r="E555" s="53" t="n"/>
      <c r="F555" s="54" t="n"/>
      <c r="G555" s="54" t="n"/>
      <c r="H555" s="54" t="n"/>
      <c r="I555" s="54" t="n"/>
      <c r="J555" s="53" t="n"/>
      <c r="K555" s="55" t="str">
        <f>IF(COUNTA(A555:I555)=0,"",IF(F555="",IFERROR(INDEX(eq_dur,MATCH(B555,eq_code,0)),""),F555))</f>
        <v/>
      </c>
      <c r="L555" s="55" t="str">
        <f>IF(ISNUMBER(K555),N(IFERROR(INDEX(eq_pause,MATCH(B555,eq_code,0)),0))+SUMIFS(st_min,st_date,A555,st_eq,B555,st_po,C555,st_type,"Planifié"),"")</f>
        <v/>
      </c>
      <c r="M555" s="55" t="str">
        <f>IF(ISNUMBER(K555),K555-L555,"")</f>
        <v/>
      </c>
      <c r="N555" s="55" t="str">
        <f>IF(ISNUMBER(K555),SUMIFS(st_min,st_date,A555,st_eq,B555,st_po,C555,st_type,"Non planifié"),"")</f>
        <v/>
      </c>
      <c r="O555" s="55" t="str">
        <f>IF(ISNUMBER(K555),M555-N555,"")</f>
        <v/>
      </c>
      <c r="P555" s="55" t="str">
        <f>IF(COUNTA(A555:I555)=0,"",N(G555)+N(H555)+N(I555))</f>
        <v/>
      </c>
      <c r="Q555" s="56" t="str">
        <f>IF(COUNTA(A555:I555)=0,"",IF(N(IFERROR(INDEX(art_rate,MATCH(E555,art_ref,0)),0))&gt;0,N(IFERROR(INDEX(art_rate,MATCH(E555,art_ref,0)),0)),N(IFERROR(INDEX(po_rate,MATCH(C555,po_code,0)),0))))</f>
        <v/>
      </c>
      <c r="R555" s="55" t="str">
        <f>IF(AC555=1,P555*60/Q555,"")</f>
        <v/>
      </c>
      <c r="S555" s="55" t="str">
        <f>IF(AC555=1,N(G555)*60/Q555,"")</f>
        <v/>
      </c>
      <c r="T555" s="57" t="str">
        <f>IF(AC555=1,O555/M555,"")</f>
        <v/>
      </c>
      <c r="U555" s="57" t="str">
        <f>IF(AC555=1,IF(O555&gt;0,R555/O555,""),"")</f>
        <v/>
      </c>
      <c r="V555" s="57" t="str">
        <f>IF(AC555=1,IF(P555&gt;0,N(G555)/P555,""),"")</f>
        <v/>
      </c>
      <c r="W555" s="57" t="str">
        <f>IF(AC555=1,S555/M555,"")</f>
        <v/>
      </c>
      <c r="X555" s="57" t="str">
        <f>IF(AC555=1,S555/K555,"")</f>
        <v/>
      </c>
      <c r="Y555" s="58" t="str">
        <f>IF(W555="","",IF(W555&gt;=p_target,"Bon",IF(W555&gt;=p_alert,"À surveiller","Faible")))</f>
        <v/>
      </c>
      <c r="Z555" s="58" t="str">
        <f>IF(W555="","",IF(MIN(IF(T555="",1,T555),IF(U555="",1,U555),IF(V555="",1,V555))&gt;=1,"Aucune",IF(IF(T555="",1,T555)&lt;=MIN(IF(U555="",1,U555),IF(V555="",1,V555)),"Disponibilité",IF(IF(U555="",1,U555)&lt;=IF(V555="",1,V555),"Performance","Qualité"))))</f>
        <v/>
      </c>
      <c r="AA555" s="59" t="str">
        <f>IF(AC555=1,N(H555)*N(IFERROR(INDEX(art_cost,MATCH(E555,art_ref,0)),0)),"")</f>
        <v/>
      </c>
      <c r="AB555" s="58" t="str">
        <f>IF(COUNTA(A555:I555)=0,"",IF(N(A555)&lt;=0,"Date manquante ou invalide",IF(B555="","Équipe manquante",IF(ISNA(MATCH(B555,eq_code,0)),"Équipe inconnue",IF(INDEX(eq_check,MATCH(B555,eq_code,0))&lt;&gt;"OK","Équipe à corriger dans Paramètres",IF(C555="","Poste manquant",IF(ISNA(MATCH(C555,po_code,0)),"Poste inconnu",IF(AND(E555&lt;&gt;"",ISNA(MATCH(E555,art_ref,0))),"Article inconnu",IF(IF(E555="",FALSE,INDEX(art_check,MATCH(E555,art_ref,0))&lt;&gt;"OK"),"Article à corriger (feuille Articles)",IF(COUNTIFS(sj_date,A555,sj_eq,B555,sj_po,C555)&gt;1,"Ligne en double (même jour, équipe et poste)",IF(OR(NOT(ISNUMBER(K555)),N(K555)&lt;=0,N(K555)&gt;1440),"Temps d'ouverture invalide",IF(OR(AND(G555&lt;&gt;"",NOT(ISNUMBER(G555))),N(G555)&lt;0,N(G555)&lt;&gt;INT(N(G555)),AND(H555&lt;&gt;"",NOT(ISNUMBER(H555))),N(H555)&lt;0,N(H555)&lt;&gt;INT(N(H555)),AND(I555&lt;&gt;"",NOT(ISNUMBER(I555))),N(I555)&lt;0,N(I555)&lt;&gt;INT(N(I555))),"Quantité invalide",IF(Q555&lt;=0,"Cadence manquante (poste ou article)",IF(M555&lt;=0,"Arrêts planifiés supérieurs au temps d'ouverture",IF(O555&lt;0,"Arrêts supérieurs au temps requis",IF(AND(P555&gt;0,O555=0),"Pièces déclarées sans temps de marche",IF(AND(P555=0,O555&gt;0),"Aucune pièce déclarée",IF(P555*60/Q555&gt;O555+0.001,"Cadence dépassée : vérifiez la cadence","OK"))))))))))))))))))</f>
        <v/>
      </c>
      <c r="AC555">
        <f>IF(OR(AB555="OK",AB555="Aucune pièce déclarée",AB555="Cadence dépassée : vérifiez la cadence"),1,0)</f>
        <v>0.0</v>
      </c>
      <c r="AD555">
        <f>IF(AND(AC555=1,A555&gt;=p_from,A555&lt;=p_to),1,0)</f>
        <v>0.0</v>
      </c>
      <c r="AE555">
        <f>IF(AD555=1,IF(COUNTIFS($A$6:A555,A555,$AD$6:AD555,1)=1,1,0),0)</f>
        <v>0.0</v>
      </c>
      <c r="AF555" t="str">
        <f>IF(AE555=1,COUNTIFS(sj_first,1,sj_date,"&lt;"&amp;A555)+1,"")</f>
        <v/>
      </c>
      <c r="AG555" t="str">
        <f>IF(AND(AD555=1,N(W555)&lt;p_alert),ROUND(W555,4),"")</f>
        <v/>
      </c>
      <c r="AH555" t="str">
        <f>IF(AG555="","",COUNTIF(sj_akey,"&lt;"&amp;AG555)+COUNTIF($AG$6:AG555,AG555))</f>
        <v/>
      </c>
    </row>
    <row r="556">
      <c r="A556" s="51" t="n"/>
      <c r="B556" s="52" t="n"/>
      <c r="C556" s="52" t="n"/>
      <c r="D556" s="53" t="n"/>
      <c r="E556" s="53" t="n"/>
      <c r="F556" s="54" t="n"/>
      <c r="G556" s="54" t="n"/>
      <c r="H556" s="54" t="n"/>
      <c r="I556" s="54" t="n"/>
      <c r="J556" s="53" t="n"/>
      <c r="K556" s="55" t="str">
        <f>IF(COUNTA(A556:I556)=0,"",IF(F556="",IFERROR(INDEX(eq_dur,MATCH(B556,eq_code,0)),""),F556))</f>
        <v/>
      </c>
      <c r="L556" s="55" t="str">
        <f>IF(ISNUMBER(K556),N(IFERROR(INDEX(eq_pause,MATCH(B556,eq_code,0)),0))+SUMIFS(st_min,st_date,A556,st_eq,B556,st_po,C556,st_type,"Planifié"),"")</f>
        <v/>
      </c>
      <c r="M556" s="55" t="str">
        <f>IF(ISNUMBER(K556),K556-L556,"")</f>
        <v/>
      </c>
      <c r="N556" s="55" t="str">
        <f>IF(ISNUMBER(K556),SUMIFS(st_min,st_date,A556,st_eq,B556,st_po,C556,st_type,"Non planifié"),"")</f>
        <v/>
      </c>
      <c r="O556" s="55" t="str">
        <f>IF(ISNUMBER(K556),M556-N556,"")</f>
        <v/>
      </c>
      <c r="P556" s="55" t="str">
        <f>IF(COUNTA(A556:I556)=0,"",N(G556)+N(H556)+N(I556))</f>
        <v/>
      </c>
      <c r="Q556" s="56" t="str">
        <f>IF(COUNTA(A556:I556)=0,"",IF(N(IFERROR(INDEX(art_rate,MATCH(E556,art_ref,0)),0))&gt;0,N(IFERROR(INDEX(art_rate,MATCH(E556,art_ref,0)),0)),N(IFERROR(INDEX(po_rate,MATCH(C556,po_code,0)),0))))</f>
        <v/>
      </c>
      <c r="R556" s="55" t="str">
        <f>IF(AC556=1,P556*60/Q556,"")</f>
        <v/>
      </c>
      <c r="S556" s="55" t="str">
        <f>IF(AC556=1,N(G556)*60/Q556,"")</f>
        <v/>
      </c>
      <c r="T556" s="57" t="str">
        <f>IF(AC556=1,O556/M556,"")</f>
        <v/>
      </c>
      <c r="U556" s="57" t="str">
        <f>IF(AC556=1,IF(O556&gt;0,R556/O556,""),"")</f>
        <v/>
      </c>
      <c r="V556" s="57" t="str">
        <f>IF(AC556=1,IF(P556&gt;0,N(G556)/P556,""),"")</f>
        <v/>
      </c>
      <c r="W556" s="57" t="str">
        <f>IF(AC556=1,S556/M556,"")</f>
        <v/>
      </c>
      <c r="X556" s="57" t="str">
        <f>IF(AC556=1,S556/K556,"")</f>
        <v/>
      </c>
      <c r="Y556" s="58" t="str">
        <f>IF(W556="","",IF(W556&gt;=p_target,"Bon",IF(W556&gt;=p_alert,"À surveiller","Faible")))</f>
        <v/>
      </c>
      <c r="Z556" s="58" t="str">
        <f>IF(W556="","",IF(MIN(IF(T556="",1,T556),IF(U556="",1,U556),IF(V556="",1,V556))&gt;=1,"Aucune",IF(IF(T556="",1,T556)&lt;=MIN(IF(U556="",1,U556),IF(V556="",1,V556)),"Disponibilité",IF(IF(U556="",1,U556)&lt;=IF(V556="",1,V556),"Performance","Qualité"))))</f>
        <v/>
      </c>
      <c r="AA556" s="59" t="str">
        <f>IF(AC556=1,N(H556)*N(IFERROR(INDEX(art_cost,MATCH(E556,art_ref,0)),0)),"")</f>
        <v/>
      </c>
      <c r="AB556" s="58" t="str">
        <f>IF(COUNTA(A556:I556)=0,"",IF(N(A556)&lt;=0,"Date manquante ou invalide",IF(B556="","Équipe manquante",IF(ISNA(MATCH(B556,eq_code,0)),"Équipe inconnue",IF(INDEX(eq_check,MATCH(B556,eq_code,0))&lt;&gt;"OK","Équipe à corriger dans Paramètres",IF(C556="","Poste manquant",IF(ISNA(MATCH(C556,po_code,0)),"Poste inconnu",IF(AND(E556&lt;&gt;"",ISNA(MATCH(E556,art_ref,0))),"Article inconnu",IF(IF(E556="",FALSE,INDEX(art_check,MATCH(E556,art_ref,0))&lt;&gt;"OK"),"Article à corriger (feuille Articles)",IF(COUNTIFS(sj_date,A556,sj_eq,B556,sj_po,C556)&gt;1,"Ligne en double (même jour, équipe et poste)",IF(OR(NOT(ISNUMBER(K556)),N(K556)&lt;=0,N(K556)&gt;1440),"Temps d'ouverture invalide",IF(OR(AND(G556&lt;&gt;"",NOT(ISNUMBER(G556))),N(G556)&lt;0,N(G556)&lt;&gt;INT(N(G556)),AND(H556&lt;&gt;"",NOT(ISNUMBER(H556))),N(H556)&lt;0,N(H556)&lt;&gt;INT(N(H556)),AND(I556&lt;&gt;"",NOT(ISNUMBER(I556))),N(I556)&lt;0,N(I556)&lt;&gt;INT(N(I556))),"Quantité invalide",IF(Q556&lt;=0,"Cadence manquante (poste ou article)",IF(M556&lt;=0,"Arrêts planifiés supérieurs au temps d'ouverture",IF(O556&lt;0,"Arrêts supérieurs au temps requis",IF(AND(P556&gt;0,O556=0),"Pièces déclarées sans temps de marche",IF(AND(P556=0,O556&gt;0),"Aucune pièce déclarée",IF(P556*60/Q556&gt;O556+0.001,"Cadence dépassée : vérifiez la cadence","OK"))))))))))))))))))</f>
        <v/>
      </c>
      <c r="AC556">
        <f>IF(OR(AB556="OK",AB556="Aucune pièce déclarée",AB556="Cadence dépassée : vérifiez la cadence"),1,0)</f>
        <v>0.0</v>
      </c>
      <c r="AD556">
        <f>IF(AND(AC556=1,A556&gt;=p_from,A556&lt;=p_to),1,0)</f>
        <v>0.0</v>
      </c>
      <c r="AE556">
        <f>IF(AD556=1,IF(COUNTIFS($A$6:A556,A556,$AD$6:AD556,1)=1,1,0),0)</f>
        <v>0.0</v>
      </c>
      <c r="AF556" t="str">
        <f>IF(AE556=1,COUNTIFS(sj_first,1,sj_date,"&lt;"&amp;A556)+1,"")</f>
        <v/>
      </c>
      <c r="AG556" t="str">
        <f>IF(AND(AD556=1,N(W556)&lt;p_alert),ROUND(W556,4),"")</f>
        <v/>
      </c>
      <c r="AH556" t="str">
        <f>IF(AG556="","",COUNTIF(sj_akey,"&lt;"&amp;AG556)+COUNTIF($AG$6:AG556,AG556))</f>
        <v/>
      </c>
    </row>
    <row r="557">
      <c r="A557" s="51" t="n"/>
      <c r="B557" s="52" t="n"/>
      <c r="C557" s="52" t="n"/>
      <c r="D557" s="53" t="n"/>
      <c r="E557" s="53" t="n"/>
      <c r="F557" s="54" t="n"/>
      <c r="G557" s="54" t="n"/>
      <c r="H557" s="54" t="n"/>
      <c r="I557" s="54" t="n"/>
      <c r="J557" s="53" t="n"/>
      <c r="K557" s="55" t="str">
        <f>IF(COUNTA(A557:I557)=0,"",IF(F557="",IFERROR(INDEX(eq_dur,MATCH(B557,eq_code,0)),""),F557))</f>
        <v/>
      </c>
      <c r="L557" s="55" t="str">
        <f>IF(ISNUMBER(K557),N(IFERROR(INDEX(eq_pause,MATCH(B557,eq_code,0)),0))+SUMIFS(st_min,st_date,A557,st_eq,B557,st_po,C557,st_type,"Planifié"),"")</f>
        <v/>
      </c>
      <c r="M557" s="55" t="str">
        <f>IF(ISNUMBER(K557),K557-L557,"")</f>
        <v/>
      </c>
      <c r="N557" s="55" t="str">
        <f>IF(ISNUMBER(K557),SUMIFS(st_min,st_date,A557,st_eq,B557,st_po,C557,st_type,"Non planifié"),"")</f>
        <v/>
      </c>
      <c r="O557" s="55" t="str">
        <f>IF(ISNUMBER(K557),M557-N557,"")</f>
        <v/>
      </c>
      <c r="P557" s="55" t="str">
        <f>IF(COUNTA(A557:I557)=0,"",N(G557)+N(H557)+N(I557))</f>
        <v/>
      </c>
      <c r="Q557" s="56" t="str">
        <f>IF(COUNTA(A557:I557)=0,"",IF(N(IFERROR(INDEX(art_rate,MATCH(E557,art_ref,0)),0))&gt;0,N(IFERROR(INDEX(art_rate,MATCH(E557,art_ref,0)),0)),N(IFERROR(INDEX(po_rate,MATCH(C557,po_code,0)),0))))</f>
        <v/>
      </c>
      <c r="R557" s="55" t="str">
        <f>IF(AC557=1,P557*60/Q557,"")</f>
        <v/>
      </c>
      <c r="S557" s="55" t="str">
        <f>IF(AC557=1,N(G557)*60/Q557,"")</f>
        <v/>
      </c>
      <c r="T557" s="57" t="str">
        <f>IF(AC557=1,O557/M557,"")</f>
        <v/>
      </c>
      <c r="U557" s="57" t="str">
        <f>IF(AC557=1,IF(O557&gt;0,R557/O557,""),"")</f>
        <v/>
      </c>
      <c r="V557" s="57" t="str">
        <f>IF(AC557=1,IF(P557&gt;0,N(G557)/P557,""),"")</f>
        <v/>
      </c>
      <c r="W557" s="57" t="str">
        <f>IF(AC557=1,S557/M557,"")</f>
        <v/>
      </c>
      <c r="X557" s="57" t="str">
        <f>IF(AC557=1,S557/K557,"")</f>
        <v/>
      </c>
      <c r="Y557" s="58" t="str">
        <f>IF(W557="","",IF(W557&gt;=p_target,"Bon",IF(W557&gt;=p_alert,"À surveiller","Faible")))</f>
        <v/>
      </c>
      <c r="Z557" s="58" t="str">
        <f>IF(W557="","",IF(MIN(IF(T557="",1,T557),IF(U557="",1,U557),IF(V557="",1,V557))&gt;=1,"Aucune",IF(IF(T557="",1,T557)&lt;=MIN(IF(U557="",1,U557),IF(V557="",1,V557)),"Disponibilité",IF(IF(U557="",1,U557)&lt;=IF(V557="",1,V557),"Performance","Qualité"))))</f>
        <v/>
      </c>
      <c r="AA557" s="59" t="str">
        <f>IF(AC557=1,N(H557)*N(IFERROR(INDEX(art_cost,MATCH(E557,art_ref,0)),0)),"")</f>
        <v/>
      </c>
      <c r="AB557" s="58" t="str">
        <f>IF(COUNTA(A557:I557)=0,"",IF(N(A557)&lt;=0,"Date manquante ou invalide",IF(B557="","Équipe manquante",IF(ISNA(MATCH(B557,eq_code,0)),"Équipe inconnue",IF(INDEX(eq_check,MATCH(B557,eq_code,0))&lt;&gt;"OK","Équipe à corriger dans Paramètres",IF(C557="","Poste manquant",IF(ISNA(MATCH(C557,po_code,0)),"Poste inconnu",IF(AND(E557&lt;&gt;"",ISNA(MATCH(E557,art_ref,0))),"Article inconnu",IF(IF(E557="",FALSE,INDEX(art_check,MATCH(E557,art_ref,0))&lt;&gt;"OK"),"Article à corriger (feuille Articles)",IF(COUNTIFS(sj_date,A557,sj_eq,B557,sj_po,C557)&gt;1,"Ligne en double (même jour, équipe et poste)",IF(OR(NOT(ISNUMBER(K557)),N(K557)&lt;=0,N(K557)&gt;1440),"Temps d'ouverture invalide",IF(OR(AND(G557&lt;&gt;"",NOT(ISNUMBER(G557))),N(G557)&lt;0,N(G557)&lt;&gt;INT(N(G557)),AND(H557&lt;&gt;"",NOT(ISNUMBER(H557))),N(H557)&lt;0,N(H557)&lt;&gt;INT(N(H557)),AND(I557&lt;&gt;"",NOT(ISNUMBER(I557))),N(I557)&lt;0,N(I557)&lt;&gt;INT(N(I557))),"Quantité invalide",IF(Q557&lt;=0,"Cadence manquante (poste ou article)",IF(M557&lt;=0,"Arrêts planifiés supérieurs au temps d'ouverture",IF(O557&lt;0,"Arrêts supérieurs au temps requis",IF(AND(P557&gt;0,O557=0),"Pièces déclarées sans temps de marche",IF(AND(P557=0,O557&gt;0),"Aucune pièce déclarée",IF(P557*60/Q557&gt;O557+0.001,"Cadence dépassée : vérifiez la cadence","OK"))))))))))))))))))</f>
        <v/>
      </c>
      <c r="AC557">
        <f>IF(OR(AB557="OK",AB557="Aucune pièce déclarée",AB557="Cadence dépassée : vérifiez la cadence"),1,0)</f>
        <v>0.0</v>
      </c>
      <c r="AD557">
        <f>IF(AND(AC557=1,A557&gt;=p_from,A557&lt;=p_to),1,0)</f>
        <v>0.0</v>
      </c>
      <c r="AE557">
        <f>IF(AD557=1,IF(COUNTIFS($A$6:A557,A557,$AD$6:AD557,1)=1,1,0),0)</f>
        <v>0.0</v>
      </c>
      <c r="AF557" t="str">
        <f>IF(AE557=1,COUNTIFS(sj_first,1,sj_date,"&lt;"&amp;A557)+1,"")</f>
        <v/>
      </c>
      <c r="AG557" t="str">
        <f>IF(AND(AD557=1,N(W557)&lt;p_alert),ROUND(W557,4),"")</f>
        <v/>
      </c>
      <c r="AH557" t="str">
        <f>IF(AG557="","",COUNTIF(sj_akey,"&lt;"&amp;AG557)+COUNTIF($AG$6:AG557,AG557))</f>
        <v/>
      </c>
    </row>
    <row r="558">
      <c r="A558" s="51" t="n"/>
      <c r="B558" s="52" t="n"/>
      <c r="C558" s="52" t="n"/>
      <c r="D558" s="53" t="n"/>
      <c r="E558" s="53" t="n"/>
      <c r="F558" s="54" t="n"/>
      <c r="G558" s="54" t="n"/>
      <c r="H558" s="54" t="n"/>
      <c r="I558" s="54" t="n"/>
      <c r="J558" s="53" t="n"/>
      <c r="K558" s="55" t="str">
        <f>IF(COUNTA(A558:I558)=0,"",IF(F558="",IFERROR(INDEX(eq_dur,MATCH(B558,eq_code,0)),""),F558))</f>
        <v/>
      </c>
      <c r="L558" s="55" t="str">
        <f>IF(ISNUMBER(K558),N(IFERROR(INDEX(eq_pause,MATCH(B558,eq_code,0)),0))+SUMIFS(st_min,st_date,A558,st_eq,B558,st_po,C558,st_type,"Planifié"),"")</f>
        <v/>
      </c>
      <c r="M558" s="55" t="str">
        <f>IF(ISNUMBER(K558),K558-L558,"")</f>
        <v/>
      </c>
      <c r="N558" s="55" t="str">
        <f>IF(ISNUMBER(K558),SUMIFS(st_min,st_date,A558,st_eq,B558,st_po,C558,st_type,"Non planifié"),"")</f>
        <v/>
      </c>
      <c r="O558" s="55" t="str">
        <f>IF(ISNUMBER(K558),M558-N558,"")</f>
        <v/>
      </c>
      <c r="P558" s="55" t="str">
        <f>IF(COUNTA(A558:I558)=0,"",N(G558)+N(H558)+N(I558))</f>
        <v/>
      </c>
      <c r="Q558" s="56" t="str">
        <f>IF(COUNTA(A558:I558)=0,"",IF(N(IFERROR(INDEX(art_rate,MATCH(E558,art_ref,0)),0))&gt;0,N(IFERROR(INDEX(art_rate,MATCH(E558,art_ref,0)),0)),N(IFERROR(INDEX(po_rate,MATCH(C558,po_code,0)),0))))</f>
        <v/>
      </c>
      <c r="R558" s="55" t="str">
        <f>IF(AC558=1,P558*60/Q558,"")</f>
        <v/>
      </c>
      <c r="S558" s="55" t="str">
        <f>IF(AC558=1,N(G558)*60/Q558,"")</f>
        <v/>
      </c>
      <c r="T558" s="57" t="str">
        <f>IF(AC558=1,O558/M558,"")</f>
        <v/>
      </c>
      <c r="U558" s="57" t="str">
        <f>IF(AC558=1,IF(O558&gt;0,R558/O558,""),"")</f>
        <v/>
      </c>
      <c r="V558" s="57" t="str">
        <f>IF(AC558=1,IF(P558&gt;0,N(G558)/P558,""),"")</f>
        <v/>
      </c>
      <c r="W558" s="57" t="str">
        <f>IF(AC558=1,S558/M558,"")</f>
        <v/>
      </c>
      <c r="X558" s="57" t="str">
        <f>IF(AC558=1,S558/K558,"")</f>
        <v/>
      </c>
      <c r="Y558" s="58" t="str">
        <f>IF(W558="","",IF(W558&gt;=p_target,"Bon",IF(W558&gt;=p_alert,"À surveiller","Faible")))</f>
        <v/>
      </c>
      <c r="Z558" s="58" t="str">
        <f>IF(W558="","",IF(MIN(IF(T558="",1,T558),IF(U558="",1,U558),IF(V558="",1,V558))&gt;=1,"Aucune",IF(IF(T558="",1,T558)&lt;=MIN(IF(U558="",1,U558),IF(V558="",1,V558)),"Disponibilité",IF(IF(U558="",1,U558)&lt;=IF(V558="",1,V558),"Performance","Qualité"))))</f>
        <v/>
      </c>
      <c r="AA558" s="59" t="str">
        <f>IF(AC558=1,N(H558)*N(IFERROR(INDEX(art_cost,MATCH(E558,art_ref,0)),0)),"")</f>
        <v/>
      </c>
      <c r="AB558" s="58" t="str">
        <f>IF(COUNTA(A558:I558)=0,"",IF(N(A558)&lt;=0,"Date manquante ou invalide",IF(B558="","Équipe manquante",IF(ISNA(MATCH(B558,eq_code,0)),"Équipe inconnue",IF(INDEX(eq_check,MATCH(B558,eq_code,0))&lt;&gt;"OK","Équipe à corriger dans Paramètres",IF(C558="","Poste manquant",IF(ISNA(MATCH(C558,po_code,0)),"Poste inconnu",IF(AND(E558&lt;&gt;"",ISNA(MATCH(E558,art_ref,0))),"Article inconnu",IF(IF(E558="",FALSE,INDEX(art_check,MATCH(E558,art_ref,0))&lt;&gt;"OK"),"Article à corriger (feuille Articles)",IF(COUNTIFS(sj_date,A558,sj_eq,B558,sj_po,C558)&gt;1,"Ligne en double (même jour, équipe et poste)",IF(OR(NOT(ISNUMBER(K558)),N(K558)&lt;=0,N(K558)&gt;1440),"Temps d'ouverture invalide",IF(OR(AND(G558&lt;&gt;"",NOT(ISNUMBER(G558))),N(G558)&lt;0,N(G558)&lt;&gt;INT(N(G558)),AND(H558&lt;&gt;"",NOT(ISNUMBER(H558))),N(H558)&lt;0,N(H558)&lt;&gt;INT(N(H558)),AND(I558&lt;&gt;"",NOT(ISNUMBER(I558))),N(I558)&lt;0,N(I558)&lt;&gt;INT(N(I558))),"Quantité invalide",IF(Q558&lt;=0,"Cadence manquante (poste ou article)",IF(M558&lt;=0,"Arrêts planifiés supérieurs au temps d'ouverture",IF(O558&lt;0,"Arrêts supérieurs au temps requis",IF(AND(P558&gt;0,O558=0),"Pièces déclarées sans temps de marche",IF(AND(P558=0,O558&gt;0),"Aucune pièce déclarée",IF(P558*60/Q558&gt;O558+0.001,"Cadence dépassée : vérifiez la cadence","OK"))))))))))))))))))</f>
        <v/>
      </c>
      <c r="AC558">
        <f>IF(OR(AB558="OK",AB558="Aucune pièce déclarée",AB558="Cadence dépassée : vérifiez la cadence"),1,0)</f>
        <v>0.0</v>
      </c>
      <c r="AD558">
        <f>IF(AND(AC558=1,A558&gt;=p_from,A558&lt;=p_to),1,0)</f>
        <v>0.0</v>
      </c>
      <c r="AE558">
        <f>IF(AD558=1,IF(COUNTIFS($A$6:A558,A558,$AD$6:AD558,1)=1,1,0),0)</f>
        <v>0.0</v>
      </c>
      <c r="AF558" t="str">
        <f>IF(AE558=1,COUNTIFS(sj_first,1,sj_date,"&lt;"&amp;A558)+1,"")</f>
        <v/>
      </c>
      <c r="AG558" t="str">
        <f>IF(AND(AD558=1,N(W558)&lt;p_alert),ROUND(W558,4),"")</f>
        <v/>
      </c>
      <c r="AH558" t="str">
        <f>IF(AG558="","",COUNTIF(sj_akey,"&lt;"&amp;AG558)+COUNTIF($AG$6:AG558,AG558))</f>
        <v/>
      </c>
    </row>
    <row r="559">
      <c r="A559" s="51" t="n"/>
      <c r="B559" s="52" t="n"/>
      <c r="C559" s="52" t="n"/>
      <c r="D559" s="53" t="n"/>
      <c r="E559" s="53" t="n"/>
      <c r="F559" s="54" t="n"/>
      <c r="G559" s="54" t="n"/>
      <c r="H559" s="54" t="n"/>
      <c r="I559" s="54" t="n"/>
      <c r="J559" s="53" t="n"/>
      <c r="K559" s="55" t="str">
        <f>IF(COUNTA(A559:I559)=0,"",IF(F559="",IFERROR(INDEX(eq_dur,MATCH(B559,eq_code,0)),""),F559))</f>
        <v/>
      </c>
      <c r="L559" s="55" t="str">
        <f>IF(ISNUMBER(K559),N(IFERROR(INDEX(eq_pause,MATCH(B559,eq_code,0)),0))+SUMIFS(st_min,st_date,A559,st_eq,B559,st_po,C559,st_type,"Planifié"),"")</f>
        <v/>
      </c>
      <c r="M559" s="55" t="str">
        <f>IF(ISNUMBER(K559),K559-L559,"")</f>
        <v/>
      </c>
      <c r="N559" s="55" t="str">
        <f>IF(ISNUMBER(K559),SUMIFS(st_min,st_date,A559,st_eq,B559,st_po,C559,st_type,"Non planifié"),"")</f>
        <v/>
      </c>
      <c r="O559" s="55" t="str">
        <f>IF(ISNUMBER(K559),M559-N559,"")</f>
        <v/>
      </c>
      <c r="P559" s="55" t="str">
        <f>IF(COUNTA(A559:I559)=0,"",N(G559)+N(H559)+N(I559))</f>
        <v/>
      </c>
      <c r="Q559" s="56" t="str">
        <f>IF(COUNTA(A559:I559)=0,"",IF(N(IFERROR(INDEX(art_rate,MATCH(E559,art_ref,0)),0))&gt;0,N(IFERROR(INDEX(art_rate,MATCH(E559,art_ref,0)),0)),N(IFERROR(INDEX(po_rate,MATCH(C559,po_code,0)),0))))</f>
        <v/>
      </c>
      <c r="R559" s="55" t="str">
        <f>IF(AC559=1,P559*60/Q559,"")</f>
        <v/>
      </c>
      <c r="S559" s="55" t="str">
        <f>IF(AC559=1,N(G559)*60/Q559,"")</f>
        <v/>
      </c>
      <c r="T559" s="57" t="str">
        <f>IF(AC559=1,O559/M559,"")</f>
        <v/>
      </c>
      <c r="U559" s="57" t="str">
        <f>IF(AC559=1,IF(O559&gt;0,R559/O559,""),"")</f>
        <v/>
      </c>
      <c r="V559" s="57" t="str">
        <f>IF(AC559=1,IF(P559&gt;0,N(G559)/P559,""),"")</f>
        <v/>
      </c>
      <c r="W559" s="57" t="str">
        <f>IF(AC559=1,S559/M559,"")</f>
        <v/>
      </c>
      <c r="X559" s="57" t="str">
        <f>IF(AC559=1,S559/K559,"")</f>
        <v/>
      </c>
      <c r="Y559" s="58" t="str">
        <f>IF(W559="","",IF(W559&gt;=p_target,"Bon",IF(W559&gt;=p_alert,"À surveiller","Faible")))</f>
        <v/>
      </c>
      <c r="Z559" s="58" t="str">
        <f>IF(W559="","",IF(MIN(IF(T559="",1,T559),IF(U559="",1,U559),IF(V559="",1,V559))&gt;=1,"Aucune",IF(IF(T559="",1,T559)&lt;=MIN(IF(U559="",1,U559),IF(V559="",1,V559)),"Disponibilité",IF(IF(U559="",1,U559)&lt;=IF(V559="",1,V559),"Performance","Qualité"))))</f>
        <v/>
      </c>
      <c r="AA559" s="59" t="str">
        <f>IF(AC559=1,N(H559)*N(IFERROR(INDEX(art_cost,MATCH(E559,art_ref,0)),0)),"")</f>
        <v/>
      </c>
      <c r="AB559" s="58" t="str">
        <f>IF(COUNTA(A559:I559)=0,"",IF(N(A559)&lt;=0,"Date manquante ou invalide",IF(B559="","Équipe manquante",IF(ISNA(MATCH(B559,eq_code,0)),"Équipe inconnue",IF(INDEX(eq_check,MATCH(B559,eq_code,0))&lt;&gt;"OK","Équipe à corriger dans Paramètres",IF(C559="","Poste manquant",IF(ISNA(MATCH(C559,po_code,0)),"Poste inconnu",IF(AND(E559&lt;&gt;"",ISNA(MATCH(E559,art_ref,0))),"Article inconnu",IF(IF(E559="",FALSE,INDEX(art_check,MATCH(E559,art_ref,0))&lt;&gt;"OK"),"Article à corriger (feuille Articles)",IF(COUNTIFS(sj_date,A559,sj_eq,B559,sj_po,C559)&gt;1,"Ligne en double (même jour, équipe et poste)",IF(OR(NOT(ISNUMBER(K559)),N(K559)&lt;=0,N(K559)&gt;1440),"Temps d'ouverture invalide",IF(OR(AND(G559&lt;&gt;"",NOT(ISNUMBER(G559))),N(G559)&lt;0,N(G559)&lt;&gt;INT(N(G559)),AND(H559&lt;&gt;"",NOT(ISNUMBER(H559))),N(H559)&lt;0,N(H559)&lt;&gt;INT(N(H559)),AND(I559&lt;&gt;"",NOT(ISNUMBER(I559))),N(I559)&lt;0,N(I559)&lt;&gt;INT(N(I559))),"Quantité invalide",IF(Q559&lt;=0,"Cadence manquante (poste ou article)",IF(M559&lt;=0,"Arrêts planifiés supérieurs au temps d'ouverture",IF(O559&lt;0,"Arrêts supérieurs au temps requis",IF(AND(P559&gt;0,O559=0),"Pièces déclarées sans temps de marche",IF(AND(P559=0,O559&gt;0),"Aucune pièce déclarée",IF(P559*60/Q559&gt;O559+0.001,"Cadence dépassée : vérifiez la cadence","OK"))))))))))))))))))</f>
        <v/>
      </c>
      <c r="AC559">
        <f>IF(OR(AB559="OK",AB559="Aucune pièce déclarée",AB559="Cadence dépassée : vérifiez la cadence"),1,0)</f>
        <v>0.0</v>
      </c>
      <c r="AD559">
        <f>IF(AND(AC559=1,A559&gt;=p_from,A559&lt;=p_to),1,0)</f>
        <v>0.0</v>
      </c>
      <c r="AE559">
        <f>IF(AD559=1,IF(COUNTIFS($A$6:A559,A559,$AD$6:AD559,1)=1,1,0),0)</f>
        <v>0.0</v>
      </c>
      <c r="AF559" t="str">
        <f>IF(AE559=1,COUNTIFS(sj_first,1,sj_date,"&lt;"&amp;A559)+1,"")</f>
        <v/>
      </c>
      <c r="AG559" t="str">
        <f>IF(AND(AD559=1,N(W559)&lt;p_alert),ROUND(W559,4),"")</f>
        <v/>
      </c>
      <c r="AH559" t="str">
        <f>IF(AG559="","",COUNTIF(sj_akey,"&lt;"&amp;AG559)+COUNTIF($AG$6:AG559,AG559))</f>
        <v/>
      </c>
    </row>
    <row r="560">
      <c r="A560" s="51" t="n"/>
      <c r="B560" s="52" t="n"/>
      <c r="C560" s="52" t="n"/>
      <c r="D560" s="53" t="n"/>
      <c r="E560" s="53" t="n"/>
      <c r="F560" s="54" t="n"/>
      <c r="G560" s="54" t="n"/>
      <c r="H560" s="54" t="n"/>
      <c r="I560" s="54" t="n"/>
      <c r="J560" s="53" t="n"/>
      <c r="K560" s="55" t="str">
        <f>IF(COUNTA(A560:I560)=0,"",IF(F560="",IFERROR(INDEX(eq_dur,MATCH(B560,eq_code,0)),""),F560))</f>
        <v/>
      </c>
      <c r="L560" s="55" t="str">
        <f>IF(ISNUMBER(K560),N(IFERROR(INDEX(eq_pause,MATCH(B560,eq_code,0)),0))+SUMIFS(st_min,st_date,A560,st_eq,B560,st_po,C560,st_type,"Planifié"),"")</f>
        <v/>
      </c>
      <c r="M560" s="55" t="str">
        <f>IF(ISNUMBER(K560),K560-L560,"")</f>
        <v/>
      </c>
      <c r="N560" s="55" t="str">
        <f>IF(ISNUMBER(K560),SUMIFS(st_min,st_date,A560,st_eq,B560,st_po,C560,st_type,"Non planifié"),"")</f>
        <v/>
      </c>
      <c r="O560" s="55" t="str">
        <f>IF(ISNUMBER(K560),M560-N560,"")</f>
        <v/>
      </c>
      <c r="P560" s="55" t="str">
        <f>IF(COUNTA(A560:I560)=0,"",N(G560)+N(H560)+N(I560))</f>
        <v/>
      </c>
      <c r="Q560" s="56" t="str">
        <f>IF(COUNTA(A560:I560)=0,"",IF(N(IFERROR(INDEX(art_rate,MATCH(E560,art_ref,0)),0))&gt;0,N(IFERROR(INDEX(art_rate,MATCH(E560,art_ref,0)),0)),N(IFERROR(INDEX(po_rate,MATCH(C560,po_code,0)),0))))</f>
        <v/>
      </c>
      <c r="R560" s="55" t="str">
        <f>IF(AC560=1,P560*60/Q560,"")</f>
        <v/>
      </c>
      <c r="S560" s="55" t="str">
        <f>IF(AC560=1,N(G560)*60/Q560,"")</f>
        <v/>
      </c>
      <c r="T560" s="57" t="str">
        <f>IF(AC560=1,O560/M560,"")</f>
        <v/>
      </c>
      <c r="U560" s="57" t="str">
        <f>IF(AC560=1,IF(O560&gt;0,R560/O560,""),"")</f>
        <v/>
      </c>
      <c r="V560" s="57" t="str">
        <f>IF(AC560=1,IF(P560&gt;0,N(G560)/P560,""),"")</f>
        <v/>
      </c>
      <c r="W560" s="57" t="str">
        <f>IF(AC560=1,S560/M560,"")</f>
        <v/>
      </c>
      <c r="X560" s="57" t="str">
        <f>IF(AC560=1,S560/K560,"")</f>
        <v/>
      </c>
      <c r="Y560" s="58" t="str">
        <f>IF(W560="","",IF(W560&gt;=p_target,"Bon",IF(W560&gt;=p_alert,"À surveiller","Faible")))</f>
        <v/>
      </c>
      <c r="Z560" s="58" t="str">
        <f>IF(W560="","",IF(MIN(IF(T560="",1,T560),IF(U560="",1,U560),IF(V560="",1,V560))&gt;=1,"Aucune",IF(IF(T560="",1,T560)&lt;=MIN(IF(U560="",1,U560),IF(V560="",1,V560)),"Disponibilité",IF(IF(U560="",1,U560)&lt;=IF(V560="",1,V560),"Performance","Qualité"))))</f>
        <v/>
      </c>
      <c r="AA560" s="59" t="str">
        <f>IF(AC560=1,N(H560)*N(IFERROR(INDEX(art_cost,MATCH(E560,art_ref,0)),0)),"")</f>
        <v/>
      </c>
      <c r="AB560" s="58" t="str">
        <f>IF(COUNTA(A560:I560)=0,"",IF(N(A560)&lt;=0,"Date manquante ou invalide",IF(B560="","Équipe manquante",IF(ISNA(MATCH(B560,eq_code,0)),"Équipe inconnue",IF(INDEX(eq_check,MATCH(B560,eq_code,0))&lt;&gt;"OK","Équipe à corriger dans Paramètres",IF(C560="","Poste manquant",IF(ISNA(MATCH(C560,po_code,0)),"Poste inconnu",IF(AND(E560&lt;&gt;"",ISNA(MATCH(E560,art_ref,0))),"Article inconnu",IF(IF(E560="",FALSE,INDEX(art_check,MATCH(E560,art_ref,0))&lt;&gt;"OK"),"Article à corriger (feuille Articles)",IF(COUNTIFS(sj_date,A560,sj_eq,B560,sj_po,C560)&gt;1,"Ligne en double (même jour, équipe et poste)",IF(OR(NOT(ISNUMBER(K560)),N(K560)&lt;=0,N(K560)&gt;1440),"Temps d'ouverture invalide",IF(OR(AND(G560&lt;&gt;"",NOT(ISNUMBER(G560))),N(G560)&lt;0,N(G560)&lt;&gt;INT(N(G560)),AND(H560&lt;&gt;"",NOT(ISNUMBER(H560))),N(H560)&lt;0,N(H560)&lt;&gt;INT(N(H560)),AND(I560&lt;&gt;"",NOT(ISNUMBER(I560))),N(I560)&lt;0,N(I560)&lt;&gt;INT(N(I560))),"Quantité invalide",IF(Q560&lt;=0,"Cadence manquante (poste ou article)",IF(M560&lt;=0,"Arrêts planifiés supérieurs au temps d'ouverture",IF(O560&lt;0,"Arrêts supérieurs au temps requis",IF(AND(P560&gt;0,O560=0),"Pièces déclarées sans temps de marche",IF(AND(P560=0,O560&gt;0),"Aucune pièce déclarée",IF(P560*60/Q560&gt;O560+0.001,"Cadence dépassée : vérifiez la cadence","OK"))))))))))))))))))</f>
        <v/>
      </c>
      <c r="AC560">
        <f>IF(OR(AB560="OK",AB560="Aucune pièce déclarée",AB560="Cadence dépassée : vérifiez la cadence"),1,0)</f>
        <v>0.0</v>
      </c>
      <c r="AD560">
        <f>IF(AND(AC560=1,A560&gt;=p_from,A560&lt;=p_to),1,0)</f>
        <v>0.0</v>
      </c>
      <c r="AE560">
        <f>IF(AD560=1,IF(COUNTIFS($A$6:A560,A560,$AD$6:AD560,1)=1,1,0),0)</f>
        <v>0.0</v>
      </c>
      <c r="AF560" t="str">
        <f>IF(AE560=1,COUNTIFS(sj_first,1,sj_date,"&lt;"&amp;A560)+1,"")</f>
        <v/>
      </c>
      <c r="AG560" t="str">
        <f>IF(AND(AD560=1,N(W560)&lt;p_alert),ROUND(W560,4),"")</f>
        <v/>
      </c>
      <c r="AH560" t="str">
        <f>IF(AG560="","",COUNTIF(sj_akey,"&lt;"&amp;AG560)+COUNTIF($AG$6:AG560,AG560))</f>
        <v/>
      </c>
    </row>
    <row r="561">
      <c r="A561" s="51" t="n"/>
      <c r="B561" s="52" t="n"/>
      <c r="C561" s="52" t="n"/>
      <c r="D561" s="53" t="n"/>
      <c r="E561" s="53" t="n"/>
      <c r="F561" s="54" t="n"/>
      <c r="G561" s="54" t="n"/>
      <c r="H561" s="54" t="n"/>
      <c r="I561" s="54" t="n"/>
      <c r="J561" s="53" t="n"/>
      <c r="K561" s="55" t="str">
        <f>IF(COUNTA(A561:I561)=0,"",IF(F561="",IFERROR(INDEX(eq_dur,MATCH(B561,eq_code,0)),""),F561))</f>
        <v/>
      </c>
      <c r="L561" s="55" t="str">
        <f>IF(ISNUMBER(K561),N(IFERROR(INDEX(eq_pause,MATCH(B561,eq_code,0)),0))+SUMIFS(st_min,st_date,A561,st_eq,B561,st_po,C561,st_type,"Planifié"),"")</f>
        <v/>
      </c>
      <c r="M561" s="55" t="str">
        <f>IF(ISNUMBER(K561),K561-L561,"")</f>
        <v/>
      </c>
      <c r="N561" s="55" t="str">
        <f>IF(ISNUMBER(K561),SUMIFS(st_min,st_date,A561,st_eq,B561,st_po,C561,st_type,"Non planifié"),"")</f>
        <v/>
      </c>
      <c r="O561" s="55" t="str">
        <f>IF(ISNUMBER(K561),M561-N561,"")</f>
        <v/>
      </c>
      <c r="P561" s="55" t="str">
        <f>IF(COUNTA(A561:I561)=0,"",N(G561)+N(H561)+N(I561))</f>
        <v/>
      </c>
      <c r="Q561" s="56" t="str">
        <f>IF(COUNTA(A561:I561)=0,"",IF(N(IFERROR(INDEX(art_rate,MATCH(E561,art_ref,0)),0))&gt;0,N(IFERROR(INDEX(art_rate,MATCH(E561,art_ref,0)),0)),N(IFERROR(INDEX(po_rate,MATCH(C561,po_code,0)),0))))</f>
        <v/>
      </c>
      <c r="R561" s="55" t="str">
        <f>IF(AC561=1,P561*60/Q561,"")</f>
        <v/>
      </c>
      <c r="S561" s="55" t="str">
        <f>IF(AC561=1,N(G561)*60/Q561,"")</f>
        <v/>
      </c>
      <c r="T561" s="57" t="str">
        <f>IF(AC561=1,O561/M561,"")</f>
        <v/>
      </c>
      <c r="U561" s="57" t="str">
        <f>IF(AC561=1,IF(O561&gt;0,R561/O561,""),"")</f>
        <v/>
      </c>
      <c r="V561" s="57" t="str">
        <f>IF(AC561=1,IF(P561&gt;0,N(G561)/P561,""),"")</f>
        <v/>
      </c>
      <c r="W561" s="57" t="str">
        <f>IF(AC561=1,S561/M561,"")</f>
        <v/>
      </c>
      <c r="X561" s="57" t="str">
        <f>IF(AC561=1,S561/K561,"")</f>
        <v/>
      </c>
      <c r="Y561" s="58" t="str">
        <f>IF(W561="","",IF(W561&gt;=p_target,"Bon",IF(W561&gt;=p_alert,"À surveiller","Faible")))</f>
        <v/>
      </c>
      <c r="Z561" s="58" t="str">
        <f>IF(W561="","",IF(MIN(IF(T561="",1,T561),IF(U561="",1,U561),IF(V561="",1,V561))&gt;=1,"Aucune",IF(IF(T561="",1,T561)&lt;=MIN(IF(U561="",1,U561),IF(V561="",1,V561)),"Disponibilité",IF(IF(U561="",1,U561)&lt;=IF(V561="",1,V561),"Performance","Qualité"))))</f>
        <v/>
      </c>
      <c r="AA561" s="59" t="str">
        <f>IF(AC561=1,N(H561)*N(IFERROR(INDEX(art_cost,MATCH(E561,art_ref,0)),0)),"")</f>
        <v/>
      </c>
      <c r="AB561" s="58" t="str">
        <f>IF(COUNTA(A561:I561)=0,"",IF(N(A561)&lt;=0,"Date manquante ou invalide",IF(B561="","Équipe manquante",IF(ISNA(MATCH(B561,eq_code,0)),"Équipe inconnue",IF(INDEX(eq_check,MATCH(B561,eq_code,0))&lt;&gt;"OK","Équipe à corriger dans Paramètres",IF(C561="","Poste manquant",IF(ISNA(MATCH(C561,po_code,0)),"Poste inconnu",IF(AND(E561&lt;&gt;"",ISNA(MATCH(E561,art_ref,0))),"Article inconnu",IF(IF(E561="",FALSE,INDEX(art_check,MATCH(E561,art_ref,0))&lt;&gt;"OK"),"Article à corriger (feuille Articles)",IF(COUNTIFS(sj_date,A561,sj_eq,B561,sj_po,C561)&gt;1,"Ligne en double (même jour, équipe et poste)",IF(OR(NOT(ISNUMBER(K561)),N(K561)&lt;=0,N(K561)&gt;1440),"Temps d'ouverture invalide",IF(OR(AND(G561&lt;&gt;"",NOT(ISNUMBER(G561))),N(G561)&lt;0,N(G561)&lt;&gt;INT(N(G561)),AND(H561&lt;&gt;"",NOT(ISNUMBER(H561))),N(H561)&lt;0,N(H561)&lt;&gt;INT(N(H561)),AND(I561&lt;&gt;"",NOT(ISNUMBER(I561))),N(I561)&lt;0,N(I561)&lt;&gt;INT(N(I561))),"Quantité invalide",IF(Q561&lt;=0,"Cadence manquante (poste ou article)",IF(M561&lt;=0,"Arrêts planifiés supérieurs au temps d'ouverture",IF(O561&lt;0,"Arrêts supérieurs au temps requis",IF(AND(P561&gt;0,O561=0),"Pièces déclarées sans temps de marche",IF(AND(P561=0,O561&gt;0),"Aucune pièce déclarée",IF(P561*60/Q561&gt;O561+0.001,"Cadence dépassée : vérifiez la cadence","OK"))))))))))))))))))</f>
        <v/>
      </c>
      <c r="AC561">
        <f>IF(OR(AB561="OK",AB561="Aucune pièce déclarée",AB561="Cadence dépassée : vérifiez la cadence"),1,0)</f>
        <v>0.0</v>
      </c>
      <c r="AD561">
        <f>IF(AND(AC561=1,A561&gt;=p_from,A561&lt;=p_to),1,0)</f>
        <v>0.0</v>
      </c>
      <c r="AE561">
        <f>IF(AD561=1,IF(COUNTIFS($A$6:A561,A561,$AD$6:AD561,1)=1,1,0),0)</f>
        <v>0.0</v>
      </c>
      <c r="AF561" t="str">
        <f>IF(AE561=1,COUNTIFS(sj_first,1,sj_date,"&lt;"&amp;A561)+1,"")</f>
        <v/>
      </c>
      <c r="AG561" t="str">
        <f>IF(AND(AD561=1,N(W561)&lt;p_alert),ROUND(W561,4),"")</f>
        <v/>
      </c>
      <c r="AH561" t="str">
        <f>IF(AG561="","",COUNTIF(sj_akey,"&lt;"&amp;AG561)+COUNTIF($AG$6:AG561,AG561))</f>
        <v/>
      </c>
    </row>
    <row r="562">
      <c r="A562" s="51" t="n"/>
      <c r="B562" s="52" t="n"/>
      <c r="C562" s="52" t="n"/>
      <c r="D562" s="53" t="n"/>
      <c r="E562" s="53" t="n"/>
      <c r="F562" s="54" t="n"/>
      <c r="G562" s="54" t="n"/>
      <c r="H562" s="54" t="n"/>
      <c r="I562" s="54" t="n"/>
      <c r="J562" s="53" t="n"/>
      <c r="K562" s="55" t="str">
        <f>IF(COUNTA(A562:I562)=0,"",IF(F562="",IFERROR(INDEX(eq_dur,MATCH(B562,eq_code,0)),""),F562))</f>
        <v/>
      </c>
      <c r="L562" s="55" t="str">
        <f>IF(ISNUMBER(K562),N(IFERROR(INDEX(eq_pause,MATCH(B562,eq_code,0)),0))+SUMIFS(st_min,st_date,A562,st_eq,B562,st_po,C562,st_type,"Planifié"),"")</f>
        <v/>
      </c>
      <c r="M562" s="55" t="str">
        <f>IF(ISNUMBER(K562),K562-L562,"")</f>
        <v/>
      </c>
      <c r="N562" s="55" t="str">
        <f>IF(ISNUMBER(K562),SUMIFS(st_min,st_date,A562,st_eq,B562,st_po,C562,st_type,"Non planifié"),"")</f>
        <v/>
      </c>
      <c r="O562" s="55" t="str">
        <f>IF(ISNUMBER(K562),M562-N562,"")</f>
        <v/>
      </c>
      <c r="P562" s="55" t="str">
        <f>IF(COUNTA(A562:I562)=0,"",N(G562)+N(H562)+N(I562))</f>
        <v/>
      </c>
      <c r="Q562" s="56" t="str">
        <f>IF(COUNTA(A562:I562)=0,"",IF(N(IFERROR(INDEX(art_rate,MATCH(E562,art_ref,0)),0))&gt;0,N(IFERROR(INDEX(art_rate,MATCH(E562,art_ref,0)),0)),N(IFERROR(INDEX(po_rate,MATCH(C562,po_code,0)),0))))</f>
        <v/>
      </c>
      <c r="R562" s="55" t="str">
        <f>IF(AC562=1,P562*60/Q562,"")</f>
        <v/>
      </c>
      <c r="S562" s="55" t="str">
        <f>IF(AC562=1,N(G562)*60/Q562,"")</f>
        <v/>
      </c>
      <c r="T562" s="57" t="str">
        <f>IF(AC562=1,O562/M562,"")</f>
        <v/>
      </c>
      <c r="U562" s="57" t="str">
        <f>IF(AC562=1,IF(O562&gt;0,R562/O562,""),"")</f>
        <v/>
      </c>
      <c r="V562" s="57" t="str">
        <f>IF(AC562=1,IF(P562&gt;0,N(G562)/P562,""),"")</f>
        <v/>
      </c>
      <c r="W562" s="57" t="str">
        <f>IF(AC562=1,S562/M562,"")</f>
        <v/>
      </c>
      <c r="X562" s="57" t="str">
        <f>IF(AC562=1,S562/K562,"")</f>
        <v/>
      </c>
      <c r="Y562" s="58" t="str">
        <f>IF(W562="","",IF(W562&gt;=p_target,"Bon",IF(W562&gt;=p_alert,"À surveiller","Faible")))</f>
        <v/>
      </c>
      <c r="Z562" s="58" t="str">
        <f>IF(W562="","",IF(MIN(IF(T562="",1,T562),IF(U562="",1,U562),IF(V562="",1,V562))&gt;=1,"Aucune",IF(IF(T562="",1,T562)&lt;=MIN(IF(U562="",1,U562),IF(V562="",1,V562)),"Disponibilité",IF(IF(U562="",1,U562)&lt;=IF(V562="",1,V562),"Performance","Qualité"))))</f>
        <v/>
      </c>
      <c r="AA562" s="59" t="str">
        <f>IF(AC562=1,N(H562)*N(IFERROR(INDEX(art_cost,MATCH(E562,art_ref,0)),0)),"")</f>
        <v/>
      </c>
      <c r="AB562" s="58" t="str">
        <f>IF(COUNTA(A562:I562)=0,"",IF(N(A562)&lt;=0,"Date manquante ou invalide",IF(B562="","Équipe manquante",IF(ISNA(MATCH(B562,eq_code,0)),"Équipe inconnue",IF(INDEX(eq_check,MATCH(B562,eq_code,0))&lt;&gt;"OK","Équipe à corriger dans Paramètres",IF(C562="","Poste manquant",IF(ISNA(MATCH(C562,po_code,0)),"Poste inconnu",IF(AND(E562&lt;&gt;"",ISNA(MATCH(E562,art_ref,0))),"Article inconnu",IF(IF(E562="",FALSE,INDEX(art_check,MATCH(E562,art_ref,0))&lt;&gt;"OK"),"Article à corriger (feuille Articles)",IF(COUNTIFS(sj_date,A562,sj_eq,B562,sj_po,C562)&gt;1,"Ligne en double (même jour, équipe et poste)",IF(OR(NOT(ISNUMBER(K562)),N(K562)&lt;=0,N(K562)&gt;1440),"Temps d'ouverture invalide",IF(OR(AND(G562&lt;&gt;"",NOT(ISNUMBER(G562))),N(G562)&lt;0,N(G562)&lt;&gt;INT(N(G562)),AND(H562&lt;&gt;"",NOT(ISNUMBER(H562))),N(H562)&lt;0,N(H562)&lt;&gt;INT(N(H562)),AND(I562&lt;&gt;"",NOT(ISNUMBER(I562))),N(I562)&lt;0,N(I562)&lt;&gt;INT(N(I562))),"Quantité invalide",IF(Q562&lt;=0,"Cadence manquante (poste ou article)",IF(M562&lt;=0,"Arrêts planifiés supérieurs au temps d'ouverture",IF(O562&lt;0,"Arrêts supérieurs au temps requis",IF(AND(P562&gt;0,O562=0),"Pièces déclarées sans temps de marche",IF(AND(P562=0,O562&gt;0),"Aucune pièce déclarée",IF(P562*60/Q562&gt;O562+0.001,"Cadence dépassée : vérifiez la cadence","OK"))))))))))))))))))</f>
        <v/>
      </c>
      <c r="AC562">
        <f>IF(OR(AB562="OK",AB562="Aucune pièce déclarée",AB562="Cadence dépassée : vérifiez la cadence"),1,0)</f>
        <v>0.0</v>
      </c>
      <c r="AD562">
        <f>IF(AND(AC562=1,A562&gt;=p_from,A562&lt;=p_to),1,0)</f>
        <v>0.0</v>
      </c>
      <c r="AE562">
        <f>IF(AD562=1,IF(COUNTIFS($A$6:A562,A562,$AD$6:AD562,1)=1,1,0),0)</f>
        <v>0.0</v>
      </c>
      <c r="AF562" t="str">
        <f>IF(AE562=1,COUNTIFS(sj_first,1,sj_date,"&lt;"&amp;A562)+1,"")</f>
        <v/>
      </c>
      <c r="AG562" t="str">
        <f>IF(AND(AD562=1,N(W562)&lt;p_alert),ROUND(W562,4),"")</f>
        <v/>
      </c>
      <c r="AH562" t="str">
        <f>IF(AG562="","",COUNTIF(sj_akey,"&lt;"&amp;AG562)+COUNTIF($AG$6:AG562,AG562))</f>
        <v/>
      </c>
    </row>
    <row r="563">
      <c r="A563" s="51" t="n"/>
      <c r="B563" s="52" t="n"/>
      <c r="C563" s="52" t="n"/>
      <c r="D563" s="53" t="n"/>
      <c r="E563" s="53" t="n"/>
      <c r="F563" s="54" t="n"/>
      <c r="G563" s="54" t="n"/>
      <c r="H563" s="54" t="n"/>
      <c r="I563" s="54" t="n"/>
      <c r="J563" s="53" t="n"/>
      <c r="K563" s="55" t="str">
        <f>IF(COUNTA(A563:I563)=0,"",IF(F563="",IFERROR(INDEX(eq_dur,MATCH(B563,eq_code,0)),""),F563))</f>
        <v/>
      </c>
      <c r="L563" s="55" t="str">
        <f>IF(ISNUMBER(K563),N(IFERROR(INDEX(eq_pause,MATCH(B563,eq_code,0)),0))+SUMIFS(st_min,st_date,A563,st_eq,B563,st_po,C563,st_type,"Planifié"),"")</f>
        <v/>
      </c>
      <c r="M563" s="55" t="str">
        <f>IF(ISNUMBER(K563),K563-L563,"")</f>
        <v/>
      </c>
      <c r="N563" s="55" t="str">
        <f>IF(ISNUMBER(K563),SUMIFS(st_min,st_date,A563,st_eq,B563,st_po,C563,st_type,"Non planifié"),"")</f>
        <v/>
      </c>
      <c r="O563" s="55" t="str">
        <f>IF(ISNUMBER(K563),M563-N563,"")</f>
        <v/>
      </c>
      <c r="P563" s="55" t="str">
        <f>IF(COUNTA(A563:I563)=0,"",N(G563)+N(H563)+N(I563))</f>
        <v/>
      </c>
      <c r="Q563" s="56" t="str">
        <f>IF(COUNTA(A563:I563)=0,"",IF(N(IFERROR(INDEX(art_rate,MATCH(E563,art_ref,0)),0))&gt;0,N(IFERROR(INDEX(art_rate,MATCH(E563,art_ref,0)),0)),N(IFERROR(INDEX(po_rate,MATCH(C563,po_code,0)),0))))</f>
        <v/>
      </c>
      <c r="R563" s="55" t="str">
        <f>IF(AC563=1,P563*60/Q563,"")</f>
        <v/>
      </c>
      <c r="S563" s="55" t="str">
        <f>IF(AC563=1,N(G563)*60/Q563,"")</f>
        <v/>
      </c>
      <c r="T563" s="57" t="str">
        <f>IF(AC563=1,O563/M563,"")</f>
        <v/>
      </c>
      <c r="U563" s="57" t="str">
        <f>IF(AC563=1,IF(O563&gt;0,R563/O563,""),"")</f>
        <v/>
      </c>
      <c r="V563" s="57" t="str">
        <f>IF(AC563=1,IF(P563&gt;0,N(G563)/P563,""),"")</f>
        <v/>
      </c>
      <c r="W563" s="57" t="str">
        <f>IF(AC563=1,S563/M563,"")</f>
        <v/>
      </c>
      <c r="X563" s="57" t="str">
        <f>IF(AC563=1,S563/K563,"")</f>
        <v/>
      </c>
      <c r="Y563" s="58" t="str">
        <f>IF(W563="","",IF(W563&gt;=p_target,"Bon",IF(W563&gt;=p_alert,"À surveiller","Faible")))</f>
        <v/>
      </c>
      <c r="Z563" s="58" t="str">
        <f>IF(W563="","",IF(MIN(IF(T563="",1,T563),IF(U563="",1,U563),IF(V563="",1,V563))&gt;=1,"Aucune",IF(IF(T563="",1,T563)&lt;=MIN(IF(U563="",1,U563),IF(V563="",1,V563)),"Disponibilité",IF(IF(U563="",1,U563)&lt;=IF(V563="",1,V563),"Performance","Qualité"))))</f>
        <v/>
      </c>
      <c r="AA563" s="59" t="str">
        <f>IF(AC563=1,N(H563)*N(IFERROR(INDEX(art_cost,MATCH(E563,art_ref,0)),0)),"")</f>
        <v/>
      </c>
      <c r="AB563" s="58" t="str">
        <f>IF(COUNTA(A563:I563)=0,"",IF(N(A563)&lt;=0,"Date manquante ou invalide",IF(B563="","Équipe manquante",IF(ISNA(MATCH(B563,eq_code,0)),"Équipe inconnue",IF(INDEX(eq_check,MATCH(B563,eq_code,0))&lt;&gt;"OK","Équipe à corriger dans Paramètres",IF(C563="","Poste manquant",IF(ISNA(MATCH(C563,po_code,0)),"Poste inconnu",IF(AND(E563&lt;&gt;"",ISNA(MATCH(E563,art_ref,0))),"Article inconnu",IF(IF(E563="",FALSE,INDEX(art_check,MATCH(E563,art_ref,0))&lt;&gt;"OK"),"Article à corriger (feuille Articles)",IF(COUNTIFS(sj_date,A563,sj_eq,B563,sj_po,C563)&gt;1,"Ligne en double (même jour, équipe et poste)",IF(OR(NOT(ISNUMBER(K563)),N(K563)&lt;=0,N(K563)&gt;1440),"Temps d'ouverture invalide",IF(OR(AND(G563&lt;&gt;"",NOT(ISNUMBER(G563))),N(G563)&lt;0,N(G563)&lt;&gt;INT(N(G563)),AND(H563&lt;&gt;"",NOT(ISNUMBER(H563))),N(H563)&lt;0,N(H563)&lt;&gt;INT(N(H563)),AND(I563&lt;&gt;"",NOT(ISNUMBER(I563))),N(I563)&lt;0,N(I563)&lt;&gt;INT(N(I563))),"Quantité invalide",IF(Q563&lt;=0,"Cadence manquante (poste ou article)",IF(M563&lt;=0,"Arrêts planifiés supérieurs au temps d'ouverture",IF(O563&lt;0,"Arrêts supérieurs au temps requis",IF(AND(P563&gt;0,O563=0),"Pièces déclarées sans temps de marche",IF(AND(P563=0,O563&gt;0),"Aucune pièce déclarée",IF(P563*60/Q563&gt;O563+0.001,"Cadence dépassée : vérifiez la cadence","OK"))))))))))))))))))</f>
        <v/>
      </c>
      <c r="AC563">
        <f>IF(OR(AB563="OK",AB563="Aucune pièce déclarée",AB563="Cadence dépassée : vérifiez la cadence"),1,0)</f>
        <v>0.0</v>
      </c>
      <c r="AD563">
        <f>IF(AND(AC563=1,A563&gt;=p_from,A563&lt;=p_to),1,0)</f>
        <v>0.0</v>
      </c>
      <c r="AE563">
        <f>IF(AD563=1,IF(COUNTIFS($A$6:A563,A563,$AD$6:AD563,1)=1,1,0),0)</f>
        <v>0.0</v>
      </c>
      <c r="AF563" t="str">
        <f>IF(AE563=1,COUNTIFS(sj_first,1,sj_date,"&lt;"&amp;A563)+1,"")</f>
        <v/>
      </c>
      <c r="AG563" t="str">
        <f>IF(AND(AD563=1,N(W563)&lt;p_alert),ROUND(W563,4),"")</f>
        <v/>
      </c>
      <c r="AH563" t="str">
        <f>IF(AG563="","",COUNTIF(sj_akey,"&lt;"&amp;AG563)+COUNTIF($AG$6:AG563,AG563))</f>
        <v/>
      </c>
    </row>
    <row r="564">
      <c r="A564" s="51" t="n"/>
      <c r="B564" s="52" t="n"/>
      <c r="C564" s="52" t="n"/>
      <c r="D564" s="53" t="n"/>
      <c r="E564" s="53" t="n"/>
      <c r="F564" s="54" t="n"/>
      <c r="G564" s="54" t="n"/>
      <c r="H564" s="54" t="n"/>
      <c r="I564" s="54" t="n"/>
      <c r="J564" s="53" t="n"/>
      <c r="K564" s="55" t="str">
        <f>IF(COUNTA(A564:I564)=0,"",IF(F564="",IFERROR(INDEX(eq_dur,MATCH(B564,eq_code,0)),""),F564))</f>
        <v/>
      </c>
      <c r="L564" s="55" t="str">
        <f>IF(ISNUMBER(K564),N(IFERROR(INDEX(eq_pause,MATCH(B564,eq_code,0)),0))+SUMIFS(st_min,st_date,A564,st_eq,B564,st_po,C564,st_type,"Planifié"),"")</f>
        <v/>
      </c>
      <c r="M564" s="55" t="str">
        <f>IF(ISNUMBER(K564),K564-L564,"")</f>
        <v/>
      </c>
      <c r="N564" s="55" t="str">
        <f>IF(ISNUMBER(K564),SUMIFS(st_min,st_date,A564,st_eq,B564,st_po,C564,st_type,"Non planifié"),"")</f>
        <v/>
      </c>
      <c r="O564" s="55" t="str">
        <f>IF(ISNUMBER(K564),M564-N564,"")</f>
        <v/>
      </c>
      <c r="P564" s="55" t="str">
        <f>IF(COUNTA(A564:I564)=0,"",N(G564)+N(H564)+N(I564))</f>
        <v/>
      </c>
      <c r="Q564" s="56" t="str">
        <f>IF(COUNTA(A564:I564)=0,"",IF(N(IFERROR(INDEX(art_rate,MATCH(E564,art_ref,0)),0))&gt;0,N(IFERROR(INDEX(art_rate,MATCH(E564,art_ref,0)),0)),N(IFERROR(INDEX(po_rate,MATCH(C564,po_code,0)),0))))</f>
        <v/>
      </c>
      <c r="R564" s="55" t="str">
        <f>IF(AC564=1,P564*60/Q564,"")</f>
        <v/>
      </c>
      <c r="S564" s="55" t="str">
        <f>IF(AC564=1,N(G564)*60/Q564,"")</f>
        <v/>
      </c>
      <c r="T564" s="57" t="str">
        <f>IF(AC564=1,O564/M564,"")</f>
        <v/>
      </c>
      <c r="U564" s="57" t="str">
        <f>IF(AC564=1,IF(O564&gt;0,R564/O564,""),"")</f>
        <v/>
      </c>
      <c r="V564" s="57" t="str">
        <f>IF(AC564=1,IF(P564&gt;0,N(G564)/P564,""),"")</f>
        <v/>
      </c>
      <c r="W564" s="57" t="str">
        <f>IF(AC564=1,S564/M564,"")</f>
        <v/>
      </c>
      <c r="X564" s="57" t="str">
        <f>IF(AC564=1,S564/K564,"")</f>
        <v/>
      </c>
      <c r="Y564" s="58" t="str">
        <f>IF(W564="","",IF(W564&gt;=p_target,"Bon",IF(W564&gt;=p_alert,"À surveiller","Faible")))</f>
        <v/>
      </c>
      <c r="Z564" s="58" t="str">
        <f>IF(W564="","",IF(MIN(IF(T564="",1,T564),IF(U564="",1,U564),IF(V564="",1,V564))&gt;=1,"Aucune",IF(IF(T564="",1,T564)&lt;=MIN(IF(U564="",1,U564),IF(V564="",1,V564)),"Disponibilité",IF(IF(U564="",1,U564)&lt;=IF(V564="",1,V564),"Performance","Qualité"))))</f>
        <v/>
      </c>
      <c r="AA564" s="59" t="str">
        <f>IF(AC564=1,N(H564)*N(IFERROR(INDEX(art_cost,MATCH(E564,art_ref,0)),0)),"")</f>
        <v/>
      </c>
      <c r="AB564" s="58" t="str">
        <f>IF(COUNTA(A564:I564)=0,"",IF(N(A564)&lt;=0,"Date manquante ou invalide",IF(B564="","Équipe manquante",IF(ISNA(MATCH(B564,eq_code,0)),"Équipe inconnue",IF(INDEX(eq_check,MATCH(B564,eq_code,0))&lt;&gt;"OK","Équipe à corriger dans Paramètres",IF(C564="","Poste manquant",IF(ISNA(MATCH(C564,po_code,0)),"Poste inconnu",IF(AND(E564&lt;&gt;"",ISNA(MATCH(E564,art_ref,0))),"Article inconnu",IF(IF(E564="",FALSE,INDEX(art_check,MATCH(E564,art_ref,0))&lt;&gt;"OK"),"Article à corriger (feuille Articles)",IF(COUNTIFS(sj_date,A564,sj_eq,B564,sj_po,C564)&gt;1,"Ligne en double (même jour, équipe et poste)",IF(OR(NOT(ISNUMBER(K564)),N(K564)&lt;=0,N(K564)&gt;1440),"Temps d'ouverture invalide",IF(OR(AND(G564&lt;&gt;"",NOT(ISNUMBER(G564))),N(G564)&lt;0,N(G564)&lt;&gt;INT(N(G564)),AND(H564&lt;&gt;"",NOT(ISNUMBER(H564))),N(H564)&lt;0,N(H564)&lt;&gt;INT(N(H564)),AND(I564&lt;&gt;"",NOT(ISNUMBER(I564))),N(I564)&lt;0,N(I564)&lt;&gt;INT(N(I564))),"Quantité invalide",IF(Q564&lt;=0,"Cadence manquante (poste ou article)",IF(M564&lt;=0,"Arrêts planifiés supérieurs au temps d'ouverture",IF(O564&lt;0,"Arrêts supérieurs au temps requis",IF(AND(P564&gt;0,O564=0),"Pièces déclarées sans temps de marche",IF(AND(P564=0,O564&gt;0),"Aucune pièce déclarée",IF(P564*60/Q564&gt;O564+0.001,"Cadence dépassée : vérifiez la cadence","OK"))))))))))))))))))</f>
        <v/>
      </c>
      <c r="AC564">
        <f>IF(OR(AB564="OK",AB564="Aucune pièce déclarée",AB564="Cadence dépassée : vérifiez la cadence"),1,0)</f>
        <v>0.0</v>
      </c>
      <c r="AD564">
        <f>IF(AND(AC564=1,A564&gt;=p_from,A564&lt;=p_to),1,0)</f>
        <v>0.0</v>
      </c>
      <c r="AE564">
        <f>IF(AD564=1,IF(COUNTIFS($A$6:A564,A564,$AD$6:AD564,1)=1,1,0),0)</f>
        <v>0.0</v>
      </c>
      <c r="AF564" t="str">
        <f>IF(AE564=1,COUNTIFS(sj_first,1,sj_date,"&lt;"&amp;A564)+1,"")</f>
        <v/>
      </c>
      <c r="AG564" t="str">
        <f>IF(AND(AD564=1,N(W564)&lt;p_alert),ROUND(W564,4),"")</f>
        <v/>
      </c>
      <c r="AH564" t="str">
        <f>IF(AG564="","",COUNTIF(sj_akey,"&lt;"&amp;AG564)+COUNTIF($AG$6:AG564,AG564))</f>
        <v/>
      </c>
    </row>
    <row r="565">
      <c r="A565" s="51" t="n"/>
      <c r="B565" s="52" t="n"/>
      <c r="C565" s="52" t="n"/>
      <c r="D565" s="53" t="n"/>
      <c r="E565" s="53" t="n"/>
      <c r="F565" s="54" t="n"/>
      <c r="G565" s="54" t="n"/>
      <c r="H565" s="54" t="n"/>
      <c r="I565" s="54" t="n"/>
      <c r="J565" s="53" t="n"/>
      <c r="K565" s="55" t="str">
        <f>IF(COUNTA(A565:I565)=0,"",IF(F565="",IFERROR(INDEX(eq_dur,MATCH(B565,eq_code,0)),""),F565))</f>
        <v/>
      </c>
      <c r="L565" s="55" t="str">
        <f>IF(ISNUMBER(K565),N(IFERROR(INDEX(eq_pause,MATCH(B565,eq_code,0)),0))+SUMIFS(st_min,st_date,A565,st_eq,B565,st_po,C565,st_type,"Planifié"),"")</f>
        <v/>
      </c>
      <c r="M565" s="55" t="str">
        <f>IF(ISNUMBER(K565),K565-L565,"")</f>
        <v/>
      </c>
      <c r="N565" s="55" t="str">
        <f>IF(ISNUMBER(K565),SUMIFS(st_min,st_date,A565,st_eq,B565,st_po,C565,st_type,"Non planifié"),"")</f>
        <v/>
      </c>
      <c r="O565" s="55" t="str">
        <f>IF(ISNUMBER(K565),M565-N565,"")</f>
        <v/>
      </c>
      <c r="P565" s="55" t="str">
        <f>IF(COUNTA(A565:I565)=0,"",N(G565)+N(H565)+N(I565))</f>
        <v/>
      </c>
      <c r="Q565" s="56" t="str">
        <f>IF(COUNTA(A565:I565)=0,"",IF(N(IFERROR(INDEX(art_rate,MATCH(E565,art_ref,0)),0))&gt;0,N(IFERROR(INDEX(art_rate,MATCH(E565,art_ref,0)),0)),N(IFERROR(INDEX(po_rate,MATCH(C565,po_code,0)),0))))</f>
        <v/>
      </c>
      <c r="R565" s="55" t="str">
        <f>IF(AC565=1,P565*60/Q565,"")</f>
        <v/>
      </c>
      <c r="S565" s="55" t="str">
        <f>IF(AC565=1,N(G565)*60/Q565,"")</f>
        <v/>
      </c>
      <c r="T565" s="57" t="str">
        <f>IF(AC565=1,O565/M565,"")</f>
        <v/>
      </c>
      <c r="U565" s="57" t="str">
        <f>IF(AC565=1,IF(O565&gt;0,R565/O565,""),"")</f>
        <v/>
      </c>
      <c r="V565" s="57" t="str">
        <f>IF(AC565=1,IF(P565&gt;0,N(G565)/P565,""),"")</f>
        <v/>
      </c>
      <c r="W565" s="57" t="str">
        <f>IF(AC565=1,S565/M565,"")</f>
        <v/>
      </c>
      <c r="X565" s="57" t="str">
        <f>IF(AC565=1,S565/K565,"")</f>
        <v/>
      </c>
      <c r="Y565" s="58" t="str">
        <f>IF(W565="","",IF(W565&gt;=p_target,"Bon",IF(W565&gt;=p_alert,"À surveiller","Faible")))</f>
        <v/>
      </c>
      <c r="Z565" s="58" t="str">
        <f>IF(W565="","",IF(MIN(IF(T565="",1,T565),IF(U565="",1,U565),IF(V565="",1,V565))&gt;=1,"Aucune",IF(IF(T565="",1,T565)&lt;=MIN(IF(U565="",1,U565),IF(V565="",1,V565)),"Disponibilité",IF(IF(U565="",1,U565)&lt;=IF(V565="",1,V565),"Performance","Qualité"))))</f>
        <v/>
      </c>
      <c r="AA565" s="59" t="str">
        <f>IF(AC565=1,N(H565)*N(IFERROR(INDEX(art_cost,MATCH(E565,art_ref,0)),0)),"")</f>
        <v/>
      </c>
      <c r="AB565" s="58" t="str">
        <f>IF(COUNTA(A565:I565)=0,"",IF(N(A565)&lt;=0,"Date manquante ou invalide",IF(B565="","Équipe manquante",IF(ISNA(MATCH(B565,eq_code,0)),"Équipe inconnue",IF(INDEX(eq_check,MATCH(B565,eq_code,0))&lt;&gt;"OK","Équipe à corriger dans Paramètres",IF(C565="","Poste manquant",IF(ISNA(MATCH(C565,po_code,0)),"Poste inconnu",IF(AND(E565&lt;&gt;"",ISNA(MATCH(E565,art_ref,0))),"Article inconnu",IF(IF(E565="",FALSE,INDEX(art_check,MATCH(E565,art_ref,0))&lt;&gt;"OK"),"Article à corriger (feuille Articles)",IF(COUNTIFS(sj_date,A565,sj_eq,B565,sj_po,C565)&gt;1,"Ligne en double (même jour, équipe et poste)",IF(OR(NOT(ISNUMBER(K565)),N(K565)&lt;=0,N(K565)&gt;1440),"Temps d'ouverture invalide",IF(OR(AND(G565&lt;&gt;"",NOT(ISNUMBER(G565))),N(G565)&lt;0,N(G565)&lt;&gt;INT(N(G565)),AND(H565&lt;&gt;"",NOT(ISNUMBER(H565))),N(H565)&lt;0,N(H565)&lt;&gt;INT(N(H565)),AND(I565&lt;&gt;"",NOT(ISNUMBER(I565))),N(I565)&lt;0,N(I565)&lt;&gt;INT(N(I565))),"Quantité invalide",IF(Q565&lt;=0,"Cadence manquante (poste ou article)",IF(M565&lt;=0,"Arrêts planifiés supérieurs au temps d'ouverture",IF(O565&lt;0,"Arrêts supérieurs au temps requis",IF(AND(P565&gt;0,O565=0),"Pièces déclarées sans temps de marche",IF(AND(P565=0,O565&gt;0),"Aucune pièce déclarée",IF(P565*60/Q565&gt;O565+0.001,"Cadence dépassée : vérifiez la cadence","OK"))))))))))))))))))</f>
        <v/>
      </c>
      <c r="AC565">
        <f>IF(OR(AB565="OK",AB565="Aucune pièce déclarée",AB565="Cadence dépassée : vérifiez la cadence"),1,0)</f>
        <v>0.0</v>
      </c>
      <c r="AD565">
        <f>IF(AND(AC565=1,A565&gt;=p_from,A565&lt;=p_to),1,0)</f>
        <v>0.0</v>
      </c>
      <c r="AE565">
        <f>IF(AD565=1,IF(COUNTIFS($A$6:A565,A565,$AD$6:AD565,1)=1,1,0),0)</f>
        <v>0.0</v>
      </c>
      <c r="AF565" t="str">
        <f>IF(AE565=1,COUNTIFS(sj_first,1,sj_date,"&lt;"&amp;A565)+1,"")</f>
        <v/>
      </c>
      <c r="AG565" t="str">
        <f>IF(AND(AD565=1,N(W565)&lt;p_alert),ROUND(W565,4),"")</f>
        <v/>
      </c>
      <c r="AH565" t="str">
        <f>IF(AG565="","",COUNTIF(sj_akey,"&lt;"&amp;AG565)+COUNTIF($AG$6:AG565,AG565))</f>
        <v/>
      </c>
    </row>
    <row r="566">
      <c r="A566" s="51" t="n"/>
      <c r="B566" s="52" t="n"/>
      <c r="C566" s="52" t="n"/>
      <c r="D566" s="53" t="n"/>
      <c r="E566" s="53" t="n"/>
      <c r="F566" s="54" t="n"/>
      <c r="G566" s="54" t="n"/>
      <c r="H566" s="54" t="n"/>
      <c r="I566" s="54" t="n"/>
      <c r="J566" s="53" t="n"/>
      <c r="K566" s="55" t="str">
        <f>IF(COUNTA(A566:I566)=0,"",IF(F566="",IFERROR(INDEX(eq_dur,MATCH(B566,eq_code,0)),""),F566))</f>
        <v/>
      </c>
      <c r="L566" s="55" t="str">
        <f>IF(ISNUMBER(K566),N(IFERROR(INDEX(eq_pause,MATCH(B566,eq_code,0)),0))+SUMIFS(st_min,st_date,A566,st_eq,B566,st_po,C566,st_type,"Planifié"),"")</f>
        <v/>
      </c>
      <c r="M566" s="55" t="str">
        <f>IF(ISNUMBER(K566),K566-L566,"")</f>
        <v/>
      </c>
      <c r="N566" s="55" t="str">
        <f>IF(ISNUMBER(K566),SUMIFS(st_min,st_date,A566,st_eq,B566,st_po,C566,st_type,"Non planifié"),"")</f>
        <v/>
      </c>
      <c r="O566" s="55" t="str">
        <f>IF(ISNUMBER(K566),M566-N566,"")</f>
        <v/>
      </c>
      <c r="P566" s="55" t="str">
        <f>IF(COUNTA(A566:I566)=0,"",N(G566)+N(H566)+N(I566))</f>
        <v/>
      </c>
      <c r="Q566" s="56" t="str">
        <f>IF(COUNTA(A566:I566)=0,"",IF(N(IFERROR(INDEX(art_rate,MATCH(E566,art_ref,0)),0))&gt;0,N(IFERROR(INDEX(art_rate,MATCH(E566,art_ref,0)),0)),N(IFERROR(INDEX(po_rate,MATCH(C566,po_code,0)),0))))</f>
        <v/>
      </c>
      <c r="R566" s="55" t="str">
        <f>IF(AC566=1,P566*60/Q566,"")</f>
        <v/>
      </c>
      <c r="S566" s="55" t="str">
        <f>IF(AC566=1,N(G566)*60/Q566,"")</f>
        <v/>
      </c>
      <c r="T566" s="57" t="str">
        <f>IF(AC566=1,O566/M566,"")</f>
        <v/>
      </c>
      <c r="U566" s="57" t="str">
        <f>IF(AC566=1,IF(O566&gt;0,R566/O566,""),"")</f>
        <v/>
      </c>
      <c r="V566" s="57" t="str">
        <f>IF(AC566=1,IF(P566&gt;0,N(G566)/P566,""),"")</f>
        <v/>
      </c>
      <c r="W566" s="57" t="str">
        <f>IF(AC566=1,S566/M566,"")</f>
        <v/>
      </c>
      <c r="X566" s="57" t="str">
        <f>IF(AC566=1,S566/K566,"")</f>
        <v/>
      </c>
      <c r="Y566" s="58" t="str">
        <f>IF(W566="","",IF(W566&gt;=p_target,"Bon",IF(W566&gt;=p_alert,"À surveiller","Faible")))</f>
        <v/>
      </c>
      <c r="Z566" s="58" t="str">
        <f>IF(W566="","",IF(MIN(IF(T566="",1,T566),IF(U566="",1,U566),IF(V566="",1,V566))&gt;=1,"Aucune",IF(IF(T566="",1,T566)&lt;=MIN(IF(U566="",1,U566),IF(V566="",1,V566)),"Disponibilité",IF(IF(U566="",1,U566)&lt;=IF(V566="",1,V566),"Performance","Qualité"))))</f>
        <v/>
      </c>
      <c r="AA566" s="59" t="str">
        <f>IF(AC566=1,N(H566)*N(IFERROR(INDEX(art_cost,MATCH(E566,art_ref,0)),0)),"")</f>
        <v/>
      </c>
      <c r="AB566" s="58" t="str">
        <f>IF(COUNTA(A566:I566)=0,"",IF(N(A566)&lt;=0,"Date manquante ou invalide",IF(B566="","Équipe manquante",IF(ISNA(MATCH(B566,eq_code,0)),"Équipe inconnue",IF(INDEX(eq_check,MATCH(B566,eq_code,0))&lt;&gt;"OK","Équipe à corriger dans Paramètres",IF(C566="","Poste manquant",IF(ISNA(MATCH(C566,po_code,0)),"Poste inconnu",IF(AND(E566&lt;&gt;"",ISNA(MATCH(E566,art_ref,0))),"Article inconnu",IF(IF(E566="",FALSE,INDEX(art_check,MATCH(E566,art_ref,0))&lt;&gt;"OK"),"Article à corriger (feuille Articles)",IF(COUNTIFS(sj_date,A566,sj_eq,B566,sj_po,C566)&gt;1,"Ligne en double (même jour, équipe et poste)",IF(OR(NOT(ISNUMBER(K566)),N(K566)&lt;=0,N(K566)&gt;1440),"Temps d'ouverture invalide",IF(OR(AND(G566&lt;&gt;"",NOT(ISNUMBER(G566))),N(G566)&lt;0,N(G566)&lt;&gt;INT(N(G566)),AND(H566&lt;&gt;"",NOT(ISNUMBER(H566))),N(H566)&lt;0,N(H566)&lt;&gt;INT(N(H566)),AND(I566&lt;&gt;"",NOT(ISNUMBER(I566))),N(I566)&lt;0,N(I566)&lt;&gt;INT(N(I566))),"Quantité invalide",IF(Q566&lt;=0,"Cadence manquante (poste ou article)",IF(M566&lt;=0,"Arrêts planifiés supérieurs au temps d'ouverture",IF(O566&lt;0,"Arrêts supérieurs au temps requis",IF(AND(P566&gt;0,O566=0),"Pièces déclarées sans temps de marche",IF(AND(P566=0,O566&gt;0),"Aucune pièce déclarée",IF(P566*60/Q566&gt;O566+0.001,"Cadence dépassée : vérifiez la cadence","OK"))))))))))))))))))</f>
        <v/>
      </c>
      <c r="AC566">
        <f>IF(OR(AB566="OK",AB566="Aucune pièce déclarée",AB566="Cadence dépassée : vérifiez la cadence"),1,0)</f>
        <v>0.0</v>
      </c>
      <c r="AD566">
        <f>IF(AND(AC566=1,A566&gt;=p_from,A566&lt;=p_to),1,0)</f>
        <v>0.0</v>
      </c>
      <c r="AE566">
        <f>IF(AD566=1,IF(COUNTIFS($A$6:A566,A566,$AD$6:AD566,1)=1,1,0),0)</f>
        <v>0.0</v>
      </c>
      <c r="AF566" t="str">
        <f>IF(AE566=1,COUNTIFS(sj_first,1,sj_date,"&lt;"&amp;A566)+1,"")</f>
        <v/>
      </c>
      <c r="AG566" t="str">
        <f>IF(AND(AD566=1,N(W566)&lt;p_alert),ROUND(W566,4),"")</f>
        <v/>
      </c>
      <c r="AH566" t="str">
        <f>IF(AG566="","",COUNTIF(sj_akey,"&lt;"&amp;AG566)+COUNTIF($AG$6:AG566,AG566))</f>
        <v/>
      </c>
    </row>
    <row r="567">
      <c r="A567" s="51" t="n"/>
      <c r="B567" s="52" t="n"/>
      <c r="C567" s="52" t="n"/>
      <c r="D567" s="53" t="n"/>
      <c r="E567" s="53" t="n"/>
      <c r="F567" s="54" t="n"/>
      <c r="G567" s="54" t="n"/>
      <c r="H567" s="54" t="n"/>
      <c r="I567" s="54" t="n"/>
      <c r="J567" s="53" t="n"/>
      <c r="K567" s="55" t="str">
        <f>IF(COUNTA(A567:I567)=0,"",IF(F567="",IFERROR(INDEX(eq_dur,MATCH(B567,eq_code,0)),""),F567))</f>
        <v/>
      </c>
      <c r="L567" s="55" t="str">
        <f>IF(ISNUMBER(K567),N(IFERROR(INDEX(eq_pause,MATCH(B567,eq_code,0)),0))+SUMIFS(st_min,st_date,A567,st_eq,B567,st_po,C567,st_type,"Planifié"),"")</f>
        <v/>
      </c>
      <c r="M567" s="55" t="str">
        <f>IF(ISNUMBER(K567),K567-L567,"")</f>
        <v/>
      </c>
      <c r="N567" s="55" t="str">
        <f>IF(ISNUMBER(K567),SUMIFS(st_min,st_date,A567,st_eq,B567,st_po,C567,st_type,"Non planifié"),"")</f>
        <v/>
      </c>
      <c r="O567" s="55" t="str">
        <f>IF(ISNUMBER(K567),M567-N567,"")</f>
        <v/>
      </c>
      <c r="P567" s="55" t="str">
        <f>IF(COUNTA(A567:I567)=0,"",N(G567)+N(H567)+N(I567))</f>
        <v/>
      </c>
      <c r="Q567" s="56" t="str">
        <f>IF(COUNTA(A567:I567)=0,"",IF(N(IFERROR(INDEX(art_rate,MATCH(E567,art_ref,0)),0))&gt;0,N(IFERROR(INDEX(art_rate,MATCH(E567,art_ref,0)),0)),N(IFERROR(INDEX(po_rate,MATCH(C567,po_code,0)),0))))</f>
        <v/>
      </c>
      <c r="R567" s="55" t="str">
        <f>IF(AC567=1,P567*60/Q567,"")</f>
        <v/>
      </c>
      <c r="S567" s="55" t="str">
        <f>IF(AC567=1,N(G567)*60/Q567,"")</f>
        <v/>
      </c>
      <c r="T567" s="57" t="str">
        <f>IF(AC567=1,O567/M567,"")</f>
        <v/>
      </c>
      <c r="U567" s="57" t="str">
        <f>IF(AC567=1,IF(O567&gt;0,R567/O567,""),"")</f>
        <v/>
      </c>
      <c r="V567" s="57" t="str">
        <f>IF(AC567=1,IF(P567&gt;0,N(G567)/P567,""),"")</f>
        <v/>
      </c>
      <c r="W567" s="57" t="str">
        <f>IF(AC567=1,S567/M567,"")</f>
        <v/>
      </c>
      <c r="X567" s="57" t="str">
        <f>IF(AC567=1,S567/K567,"")</f>
        <v/>
      </c>
      <c r="Y567" s="58" t="str">
        <f>IF(W567="","",IF(W567&gt;=p_target,"Bon",IF(W567&gt;=p_alert,"À surveiller","Faible")))</f>
        <v/>
      </c>
      <c r="Z567" s="58" t="str">
        <f>IF(W567="","",IF(MIN(IF(T567="",1,T567),IF(U567="",1,U567),IF(V567="",1,V567))&gt;=1,"Aucune",IF(IF(T567="",1,T567)&lt;=MIN(IF(U567="",1,U567),IF(V567="",1,V567)),"Disponibilité",IF(IF(U567="",1,U567)&lt;=IF(V567="",1,V567),"Performance","Qualité"))))</f>
        <v/>
      </c>
      <c r="AA567" s="59" t="str">
        <f>IF(AC567=1,N(H567)*N(IFERROR(INDEX(art_cost,MATCH(E567,art_ref,0)),0)),"")</f>
        <v/>
      </c>
      <c r="AB567" s="58" t="str">
        <f>IF(COUNTA(A567:I567)=0,"",IF(N(A567)&lt;=0,"Date manquante ou invalide",IF(B567="","Équipe manquante",IF(ISNA(MATCH(B567,eq_code,0)),"Équipe inconnue",IF(INDEX(eq_check,MATCH(B567,eq_code,0))&lt;&gt;"OK","Équipe à corriger dans Paramètres",IF(C567="","Poste manquant",IF(ISNA(MATCH(C567,po_code,0)),"Poste inconnu",IF(AND(E567&lt;&gt;"",ISNA(MATCH(E567,art_ref,0))),"Article inconnu",IF(IF(E567="",FALSE,INDEX(art_check,MATCH(E567,art_ref,0))&lt;&gt;"OK"),"Article à corriger (feuille Articles)",IF(COUNTIFS(sj_date,A567,sj_eq,B567,sj_po,C567)&gt;1,"Ligne en double (même jour, équipe et poste)",IF(OR(NOT(ISNUMBER(K567)),N(K567)&lt;=0,N(K567)&gt;1440),"Temps d'ouverture invalide",IF(OR(AND(G567&lt;&gt;"",NOT(ISNUMBER(G567))),N(G567)&lt;0,N(G567)&lt;&gt;INT(N(G567)),AND(H567&lt;&gt;"",NOT(ISNUMBER(H567))),N(H567)&lt;0,N(H567)&lt;&gt;INT(N(H567)),AND(I567&lt;&gt;"",NOT(ISNUMBER(I567))),N(I567)&lt;0,N(I567)&lt;&gt;INT(N(I567))),"Quantité invalide",IF(Q567&lt;=0,"Cadence manquante (poste ou article)",IF(M567&lt;=0,"Arrêts planifiés supérieurs au temps d'ouverture",IF(O567&lt;0,"Arrêts supérieurs au temps requis",IF(AND(P567&gt;0,O567=0),"Pièces déclarées sans temps de marche",IF(AND(P567=0,O567&gt;0),"Aucune pièce déclarée",IF(P567*60/Q567&gt;O567+0.001,"Cadence dépassée : vérifiez la cadence","OK"))))))))))))))))))</f>
        <v/>
      </c>
      <c r="AC567">
        <f>IF(OR(AB567="OK",AB567="Aucune pièce déclarée",AB567="Cadence dépassée : vérifiez la cadence"),1,0)</f>
        <v>0.0</v>
      </c>
      <c r="AD567">
        <f>IF(AND(AC567=1,A567&gt;=p_from,A567&lt;=p_to),1,0)</f>
        <v>0.0</v>
      </c>
      <c r="AE567">
        <f>IF(AD567=1,IF(COUNTIFS($A$6:A567,A567,$AD$6:AD567,1)=1,1,0),0)</f>
        <v>0.0</v>
      </c>
      <c r="AF567" t="str">
        <f>IF(AE567=1,COUNTIFS(sj_first,1,sj_date,"&lt;"&amp;A567)+1,"")</f>
        <v/>
      </c>
      <c r="AG567" t="str">
        <f>IF(AND(AD567=1,N(W567)&lt;p_alert),ROUND(W567,4),"")</f>
        <v/>
      </c>
      <c r="AH567" t="str">
        <f>IF(AG567="","",COUNTIF(sj_akey,"&lt;"&amp;AG567)+COUNTIF($AG$6:AG567,AG567))</f>
        <v/>
      </c>
    </row>
    <row r="568">
      <c r="A568" s="51" t="n"/>
      <c r="B568" s="52" t="n"/>
      <c r="C568" s="52" t="n"/>
      <c r="D568" s="53" t="n"/>
      <c r="E568" s="53" t="n"/>
      <c r="F568" s="54" t="n"/>
      <c r="G568" s="54" t="n"/>
      <c r="H568" s="54" t="n"/>
      <c r="I568" s="54" t="n"/>
      <c r="J568" s="53" t="n"/>
      <c r="K568" s="55" t="str">
        <f>IF(COUNTA(A568:I568)=0,"",IF(F568="",IFERROR(INDEX(eq_dur,MATCH(B568,eq_code,0)),""),F568))</f>
        <v/>
      </c>
      <c r="L568" s="55" t="str">
        <f>IF(ISNUMBER(K568),N(IFERROR(INDEX(eq_pause,MATCH(B568,eq_code,0)),0))+SUMIFS(st_min,st_date,A568,st_eq,B568,st_po,C568,st_type,"Planifié"),"")</f>
        <v/>
      </c>
      <c r="M568" s="55" t="str">
        <f>IF(ISNUMBER(K568),K568-L568,"")</f>
        <v/>
      </c>
      <c r="N568" s="55" t="str">
        <f>IF(ISNUMBER(K568),SUMIFS(st_min,st_date,A568,st_eq,B568,st_po,C568,st_type,"Non planifié"),"")</f>
        <v/>
      </c>
      <c r="O568" s="55" t="str">
        <f>IF(ISNUMBER(K568),M568-N568,"")</f>
        <v/>
      </c>
      <c r="P568" s="55" t="str">
        <f>IF(COUNTA(A568:I568)=0,"",N(G568)+N(H568)+N(I568))</f>
        <v/>
      </c>
      <c r="Q568" s="56" t="str">
        <f>IF(COUNTA(A568:I568)=0,"",IF(N(IFERROR(INDEX(art_rate,MATCH(E568,art_ref,0)),0))&gt;0,N(IFERROR(INDEX(art_rate,MATCH(E568,art_ref,0)),0)),N(IFERROR(INDEX(po_rate,MATCH(C568,po_code,0)),0))))</f>
        <v/>
      </c>
      <c r="R568" s="55" t="str">
        <f>IF(AC568=1,P568*60/Q568,"")</f>
        <v/>
      </c>
      <c r="S568" s="55" t="str">
        <f>IF(AC568=1,N(G568)*60/Q568,"")</f>
        <v/>
      </c>
      <c r="T568" s="57" t="str">
        <f>IF(AC568=1,O568/M568,"")</f>
        <v/>
      </c>
      <c r="U568" s="57" t="str">
        <f>IF(AC568=1,IF(O568&gt;0,R568/O568,""),"")</f>
        <v/>
      </c>
      <c r="V568" s="57" t="str">
        <f>IF(AC568=1,IF(P568&gt;0,N(G568)/P568,""),"")</f>
        <v/>
      </c>
      <c r="W568" s="57" t="str">
        <f>IF(AC568=1,S568/M568,"")</f>
        <v/>
      </c>
      <c r="X568" s="57" t="str">
        <f>IF(AC568=1,S568/K568,"")</f>
        <v/>
      </c>
      <c r="Y568" s="58" t="str">
        <f>IF(W568="","",IF(W568&gt;=p_target,"Bon",IF(W568&gt;=p_alert,"À surveiller","Faible")))</f>
        <v/>
      </c>
      <c r="Z568" s="58" t="str">
        <f>IF(W568="","",IF(MIN(IF(T568="",1,T568),IF(U568="",1,U568),IF(V568="",1,V568))&gt;=1,"Aucune",IF(IF(T568="",1,T568)&lt;=MIN(IF(U568="",1,U568),IF(V568="",1,V568)),"Disponibilité",IF(IF(U568="",1,U568)&lt;=IF(V568="",1,V568),"Performance","Qualité"))))</f>
        <v/>
      </c>
      <c r="AA568" s="59" t="str">
        <f>IF(AC568=1,N(H568)*N(IFERROR(INDEX(art_cost,MATCH(E568,art_ref,0)),0)),"")</f>
        <v/>
      </c>
      <c r="AB568" s="58" t="str">
        <f>IF(COUNTA(A568:I568)=0,"",IF(N(A568)&lt;=0,"Date manquante ou invalide",IF(B568="","Équipe manquante",IF(ISNA(MATCH(B568,eq_code,0)),"Équipe inconnue",IF(INDEX(eq_check,MATCH(B568,eq_code,0))&lt;&gt;"OK","Équipe à corriger dans Paramètres",IF(C568="","Poste manquant",IF(ISNA(MATCH(C568,po_code,0)),"Poste inconnu",IF(AND(E568&lt;&gt;"",ISNA(MATCH(E568,art_ref,0))),"Article inconnu",IF(IF(E568="",FALSE,INDEX(art_check,MATCH(E568,art_ref,0))&lt;&gt;"OK"),"Article à corriger (feuille Articles)",IF(COUNTIFS(sj_date,A568,sj_eq,B568,sj_po,C568)&gt;1,"Ligne en double (même jour, équipe et poste)",IF(OR(NOT(ISNUMBER(K568)),N(K568)&lt;=0,N(K568)&gt;1440),"Temps d'ouverture invalide",IF(OR(AND(G568&lt;&gt;"",NOT(ISNUMBER(G568))),N(G568)&lt;0,N(G568)&lt;&gt;INT(N(G568)),AND(H568&lt;&gt;"",NOT(ISNUMBER(H568))),N(H568)&lt;0,N(H568)&lt;&gt;INT(N(H568)),AND(I568&lt;&gt;"",NOT(ISNUMBER(I568))),N(I568)&lt;0,N(I568)&lt;&gt;INT(N(I568))),"Quantité invalide",IF(Q568&lt;=0,"Cadence manquante (poste ou article)",IF(M568&lt;=0,"Arrêts planifiés supérieurs au temps d'ouverture",IF(O568&lt;0,"Arrêts supérieurs au temps requis",IF(AND(P568&gt;0,O568=0),"Pièces déclarées sans temps de marche",IF(AND(P568=0,O568&gt;0),"Aucune pièce déclarée",IF(P568*60/Q568&gt;O568+0.001,"Cadence dépassée : vérifiez la cadence","OK"))))))))))))))))))</f>
        <v/>
      </c>
      <c r="AC568">
        <f>IF(OR(AB568="OK",AB568="Aucune pièce déclarée",AB568="Cadence dépassée : vérifiez la cadence"),1,0)</f>
        <v>0.0</v>
      </c>
      <c r="AD568">
        <f>IF(AND(AC568=1,A568&gt;=p_from,A568&lt;=p_to),1,0)</f>
        <v>0.0</v>
      </c>
      <c r="AE568">
        <f>IF(AD568=1,IF(COUNTIFS($A$6:A568,A568,$AD$6:AD568,1)=1,1,0),0)</f>
        <v>0.0</v>
      </c>
      <c r="AF568" t="str">
        <f>IF(AE568=1,COUNTIFS(sj_first,1,sj_date,"&lt;"&amp;A568)+1,"")</f>
        <v/>
      </c>
      <c r="AG568" t="str">
        <f>IF(AND(AD568=1,N(W568)&lt;p_alert),ROUND(W568,4),"")</f>
        <v/>
      </c>
      <c r="AH568" t="str">
        <f>IF(AG568="","",COUNTIF(sj_akey,"&lt;"&amp;AG568)+COUNTIF($AG$6:AG568,AG568))</f>
        <v/>
      </c>
    </row>
    <row r="569">
      <c r="A569" s="51" t="n"/>
      <c r="B569" s="52" t="n"/>
      <c r="C569" s="52" t="n"/>
      <c r="D569" s="53" t="n"/>
      <c r="E569" s="53" t="n"/>
      <c r="F569" s="54" t="n"/>
      <c r="G569" s="54" t="n"/>
      <c r="H569" s="54" t="n"/>
      <c r="I569" s="54" t="n"/>
      <c r="J569" s="53" t="n"/>
      <c r="K569" s="55" t="str">
        <f>IF(COUNTA(A569:I569)=0,"",IF(F569="",IFERROR(INDEX(eq_dur,MATCH(B569,eq_code,0)),""),F569))</f>
        <v/>
      </c>
      <c r="L569" s="55" t="str">
        <f>IF(ISNUMBER(K569),N(IFERROR(INDEX(eq_pause,MATCH(B569,eq_code,0)),0))+SUMIFS(st_min,st_date,A569,st_eq,B569,st_po,C569,st_type,"Planifié"),"")</f>
        <v/>
      </c>
      <c r="M569" s="55" t="str">
        <f>IF(ISNUMBER(K569),K569-L569,"")</f>
        <v/>
      </c>
      <c r="N569" s="55" t="str">
        <f>IF(ISNUMBER(K569),SUMIFS(st_min,st_date,A569,st_eq,B569,st_po,C569,st_type,"Non planifié"),"")</f>
        <v/>
      </c>
      <c r="O569" s="55" t="str">
        <f>IF(ISNUMBER(K569),M569-N569,"")</f>
        <v/>
      </c>
      <c r="P569" s="55" t="str">
        <f>IF(COUNTA(A569:I569)=0,"",N(G569)+N(H569)+N(I569))</f>
        <v/>
      </c>
      <c r="Q569" s="56" t="str">
        <f>IF(COUNTA(A569:I569)=0,"",IF(N(IFERROR(INDEX(art_rate,MATCH(E569,art_ref,0)),0))&gt;0,N(IFERROR(INDEX(art_rate,MATCH(E569,art_ref,0)),0)),N(IFERROR(INDEX(po_rate,MATCH(C569,po_code,0)),0))))</f>
        <v/>
      </c>
      <c r="R569" s="55" t="str">
        <f>IF(AC569=1,P569*60/Q569,"")</f>
        <v/>
      </c>
      <c r="S569" s="55" t="str">
        <f>IF(AC569=1,N(G569)*60/Q569,"")</f>
        <v/>
      </c>
      <c r="T569" s="57" t="str">
        <f>IF(AC569=1,O569/M569,"")</f>
        <v/>
      </c>
      <c r="U569" s="57" t="str">
        <f>IF(AC569=1,IF(O569&gt;0,R569/O569,""),"")</f>
        <v/>
      </c>
      <c r="V569" s="57" t="str">
        <f>IF(AC569=1,IF(P569&gt;0,N(G569)/P569,""),"")</f>
        <v/>
      </c>
      <c r="W569" s="57" t="str">
        <f>IF(AC569=1,S569/M569,"")</f>
        <v/>
      </c>
      <c r="X569" s="57" t="str">
        <f>IF(AC569=1,S569/K569,"")</f>
        <v/>
      </c>
      <c r="Y569" s="58" t="str">
        <f>IF(W569="","",IF(W569&gt;=p_target,"Bon",IF(W569&gt;=p_alert,"À surveiller","Faible")))</f>
        <v/>
      </c>
      <c r="Z569" s="58" t="str">
        <f>IF(W569="","",IF(MIN(IF(T569="",1,T569),IF(U569="",1,U569),IF(V569="",1,V569))&gt;=1,"Aucune",IF(IF(T569="",1,T569)&lt;=MIN(IF(U569="",1,U569),IF(V569="",1,V569)),"Disponibilité",IF(IF(U569="",1,U569)&lt;=IF(V569="",1,V569),"Performance","Qualité"))))</f>
        <v/>
      </c>
      <c r="AA569" s="59" t="str">
        <f>IF(AC569=1,N(H569)*N(IFERROR(INDEX(art_cost,MATCH(E569,art_ref,0)),0)),"")</f>
        <v/>
      </c>
      <c r="AB569" s="58" t="str">
        <f>IF(COUNTA(A569:I569)=0,"",IF(N(A569)&lt;=0,"Date manquante ou invalide",IF(B569="","Équipe manquante",IF(ISNA(MATCH(B569,eq_code,0)),"Équipe inconnue",IF(INDEX(eq_check,MATCH(B569,eq_code,0))&lt;&gt;"OK","Équipe à corriger dans Paramètres",IF(C569="","Poste manquant",IF(ISNA(MATCH(C569,po_code,0)),"Poste inconnu",IF(AND(E569&lt;&gt;"",ISNA(MATCH(E569,art_ref,0))),"Article inconnu",IF(IF(E569="",FALSE,INDEX(art_check,MATCH(E569,art_ref,0))&lt;&gt;"OK"),"Article à corriger (feuille Articles)",IF(COUNTIFS(sj_date,A569,sj_eq,B569,sj_po,C569)&gt;1,"Ligne en double (même jour, équipe et poste)",IF(OR(NOT(ISNUMBER(K569)),N(K569)&lt;=0,N(K569)&gt;1440),"Temps d'ouverture invalide",IF(OR(AND(G569&lt;&gt;"",NOT(ISNUMBER(G569))),N(G569)&lt;0,N(G569)&lt;&gt;INT(N(G569)),AND(H569&lt;&gt;"",NOT(ISNUMBER(H569))),N(H569)&lt;0,N(H569)&lt;&gt;INT(N(H569)),AND(I569&lt;&gt;"",NOT(ISNUMBER(I569))),N(I569)&lt;0,N(I569)&lt;&gt;INT(N(I569))),"Quantité invalide",IF(Q569&lt;=0,"Cadence manquante (poste ou article)",IF(M569&lt;=0,"Arrêts planifiés supérieurs au temps d'ouverture",IF(O569&lt;0,"Arrêts supérieurs au temps requis",IF(AND(P569&gt;0,O569=0),"Pièces déclarées sans temps de marche",IF(AND(P569=0,O569&gt;0),"Aucune pièce déclarée",IF(P569*60/Q569&gt;O569+0.001,"Cadence dépassée : vérifiez la cadence","OK"))))))))))))))))))</f>
        <v/>
      </c>
      <c r="AC569">
        <f>IF(OR(AB569="OK",AB569="Aucune pièce déclarée",AB569="Cadence dépassée : vérifiez la cadence"),1,0)</f>
        <v>0.0</v>
      </c>
      <c r="AD569">
        <f>IF(AND(AC569=1,A569&gt;=p_from,A569&lt;=p_to),1,0)</f>
        <v>0.0</v>
      </c>
      <c r="AE569">
        <f>IF(AD569=1,IF(COUNTIFS($A$6:A569,A569,$AD$6:AD569,1)=1,1,0),0)</f>
        <v>0.0</v>
      </c>
      <c r="AF569" t="str">
        <f>IF(AE569=1,COUNTIFS(sj_first,1,sj_date,"&lt;"&amp;A569)+1,"")</f>
        <v/>
      </c>
      <c r="AG569" t="str">
        <f>IF(AND(AD569=1,N(W569)&lt;p_alert),ROUND(W569,4),"")</f>
        <v/>
      </c>
      <c r="AH569" t="str">
        <f>IF(AG569="","",COUNTIF(sj_akey,"&lt;"&amp;AG569)+COUNTIF($AG$6:AG569,AG569))</f>
        <v/>
      </c>
    </row>
    <row r="570">
      <c r="A570" s="51" t="n"/>
      <c r="B570" s="52" t="n"/>
      <c r="C570" s="52" t="n"/>
      <c r="D570" s="53" t="n"/>
      <c r="E570" s="53" t="n"/>
      <c r="F570" s="54" t="n"/>
      <c r="G570" s="54" t="n"/>
      <c r="H570" s="54" t="n"/>
      <c r="I570" s="54" t="n"/>
      <c r="J570" s="53" t="n"/>
      <c r="K570" s="55" t="str">
        <f>IF(COUNTA(A570:I570)=0,"",IF(F570="",IFERROR(INDEX(eq_dur,MATCH(B570,eq_code,0)),""),F570))</f>
        <v/>
      </c>
      <c r="L570" s="55" t="str">
        <f>IF(ISNUMBER(K570),N(IFERROR(INDEX(eq_pause,MATCH(B570,eq_code,0)),0))+SUMIFS(st_min,st_date,A570,st_eq,B570,st_po,C570,st_type,"Planifié"),"")</f>
        <v/>
      </c>
      <c r="M570" s="55" t="str">
        <f>IF(ISNUMBER(K570),K570-L570,"")</f>
        <v/>
      </c>
      <c r="N570" s="55" t="str">
        <f>IF(ISNUMBER(K570),SUMIFS(st_min,st_date,A570,st_eq,B570,st_po,C570,st_type,"Non planifié"),"")</f>
        <v/>
      </c>
      <c r="O570" s="55" t="str">
        <f>IF(ISNUMBER(K570),M570-N570,"")</f>
        <v/>
      </c>
      <c r="P570" s="55" t="str">
        <f>IF(COUNTA(A570:I570)=0,"",N(G570)+N(H570)+N(I570))</f>
        <v/>
      </c>
      <c r="Q570" s="56" t="str">
        <f>IF(COUNTA(A570:I570)=0,"",IF(N(IFERROR(INDEX(art_rate,MATCH(E570,art_ref,0)),0))&gt;0,N(IFERROR(INDEX(art_rate,MATCH(E570,art_ref,0)),0)),N(IFERROR(INDEX(po_rate,MATCH(C570,po_code,0)),0))))</f>
        <v/>
      </c>
      <c r="R570" s="55" t="str">
        <f>IF(AC570=1,P570*60/Q570,"")</f>
        <v/>
      </c>
      <c r="S570" s="55" t="str">
        <f>IF(AC570=1,N(G570)*60/Q570,"")</f>
        <v/>
      </c>
      <c r="T570" s="57" t="str">
        <f>IF(AC570=1,O570/M570,"")</f>
        <v/>
      </c>
      <c r="U570" s="57" t="str">
        <f>IF(AC570=1,IF(O570&gt;0,R570/O570,""),"")</f>
        <v/>
      </c>
      <c r="V570" s="57" t="str">
        <f>IF(AC570=1,IF(P570&gt;0,N(G570)/P570,""),"")</f>
        <v/>
      </c>
      <c r="W570" s="57" t="str">
        <f>IF(AC570=1,S570/M570,"")</f>
        <v/>
      </c>
      <c r="X570" s="57" t="str">
        <f>IF(AC570=1,S570/K570,"")</f>
        <v/>
      </c>
      <c r="Y570" s="58" t="str">
        <f>IF(W570="","",IF(W570&gt;=p_target,"Bon",IF(W570&gt;=p_alert,"À surveiller","Faible")))</f>
        <v/>
      </c>
      <c r="Z570" s="58" t="str">
        <f>IF(W570="","",IF(MIN(IF(T570="",1,T570),IF(U570="",1,U570),IF(V570="",1,V570))&gt;=1,"Aucune",IF(IF(T570="",1,T570)&lt;=MIN(IF(U570="",1,U570),IF(V570="",1,V570)),"Disponibilité",IF(IF(U570="",1,U570)&lt;=IF(V570="",1,V570),"Performance","Qualité"))))</f>
        <v/>
      </c>
      <c r="AA570" s="59" t="str">
        <f>IF(AC570=1,N(H570)*N(IFERROR(INDEX(art_cost,MATCH(E570,art_ref,0)),0)),"")</f>
        <v/>
      </c>
      <c r="AB570" s="58" t="str">
        <f>IF(COUNTA(A570:I570)=0,"",IF(N(A570)&lt;=0,"Date manquante ou invalide",IF(B570="","Équipe manquante",IF(ISNA(MATCH(B570,eq_code,0)),"Équipe inconnue",IF(INDEX(eq_check,MATCH(B570,eq_code,0))&lt;&gt;"OK","Équipe à corriger dans Paramètres",IF(C570="","Poste manquant",IF(ISNA(MATCH(C570,po_code,0)),"Poste inconnu",IF(AND(E570&lt;&gt;"",ISNA(MATCH(E570,art_ref,0))),"Article inconnu",IF(IF(E570="",FALSE,INDEX(art_check,MATCH(E570,art_ref,0))&lt;&gt;"OK"),"Article à corriger (feuille Articles)",IF(COUNTIFS(sj_date,A570,sj_eq,B570,sj_po,C570)&gt;1,"Ligne en double (même jour, équipe et poste)",IF(OR(NOT(ISNUMBER(K570)),N(K570)&lt;=0,N(K570)&gt;1440),"Temps d'ouverture invalide",IF(OR(AND(G570&lt;&gt;"",NOT(ISNUMBER(G570))),N(G570)&lt;0,N(G570)&lt;&gt;INT(N(G570)),AND(H570&lt;&gt;"",NOT(ISNUMBER(H570))),N(H570)&lt;0,N(H570)&lt;&gt;INT(N(H570)),AND(I570&lt;&gt;"",NOT(ISNUMBER(I570))),N(I570)&lt;0,N(I570)&lt;&gt;INT(N(I570))),"Quantité invalide",IF(Q570&lt;=0,"Cadence manquante (poste ou article)",IF(M570&lt;=0,"Arrêts planifiés supérieurs au temps d'ouverture",IF(O570&lt;0,"Arrêts supérieurs au temps requis",IF(AND(P570&gt;0,O570=0),"Pièces déclarées sans temps de marche",IF(AND(P570=0,O570&gt;0),"Aucune pièce déclarée",IF(P570*60/Q570&gt;O570+0.001,"Cadence dépassée : vérifiez la cadence","OK"))))))))))))))))))</f>
        <v/>
      </c>
      <c r="AC570">
        <f>IF(OR(AB570="OK",AB570="Aucune pièce déclarée",AB570="Cadence dépassée : vérifiez la cadence"),1,0)</f>
        <v>0.0</v>
      </c>
      <c r="AD570">
        <f>IF(AND(AC570=1,A570&gt;=p_from,A570&lt;=p_to),1,0)</f>
        <v>0.0</v>
      </c>
      <c r="AE570">
        <f>IF(AD570=1,IF(COUNTIFS($A$6:A570,A570,$AD$6:AD570,1)=1,1,0),0)</f>
        <v>0.0</v>
      </c>
      <c r="AF570" t="str">
        <f>IF(AE570=1,COUNTIFS(sj_first,1,sj_date,"&lt;"&amp;A570)+1,"")</f>
        <v/>
      </c>
      <c r="AG570" t="str">
        <f>IF(AND(AD570=1,N(W570)&lt;p_alert),ROUND(W570,4),"")</f>
        <v/>
      </c>
      <c r="AH570" t="str">
        <f>IF(AG570="","",COUNTIF(sj_akey,"&lt;"&amp;AG570)+COUNTIF($AG$6:AG570,AG570))</f>
        <v/>
      </c>
    </row>
    <row r="571">
      <c r="A571" s="51" t="n"/>
      <c r="B571" s="52" t="n"/>
      <c r="C571" s="52" t="n"/>
      <c r="D571" s="53" t="n"/>
      <c r="E571" s="53" t="n"/>
      <c r="F571" s="54" t="n"/>
      <c r="G571" s="54" t="n"/>
      <c r="H571" s="54" t="n"/>
      <c r="I571" s="54" t="n"/>
      <c r="J571" s="53" t="n"/>
      <c r="K571" s="55" t="str">
        <f>IF(COUNTA(A571:I571)=0,"",IF(F571="",IFERROR(INDEX(eq_dur,MATCH(B571,eq_code,0)),""),F571))</f>
        <v/>
      </c>
      <c r="L571" s="55" t="str">
        <f>IF(ISNUMBER(K571),N(IFERROR(INDEX(eq_pause,MATCH(B571,eq_code,0)),0))+SUMIFS(st_min,st_date,A571,st_eq,B571,st_po,C571,st_type,"Planifié"),"")</f>
        <v/>
      </c>
      <c r="M571" s="55" t="str">
        <f>IF(ISNUMBER(K571),K571-L571,"")</f>
        <v/>
      </c>
      <c r="N571" s="55" t="str">
        <f>IF(ISNUMBER(K571),SUMIFS(st_min,st_date,A571,st_eq,B571,st_po,C571,st_type,"Non planifié"),"")</f>
        <v/>
      </c>
      <c r="O571" s="55" t="str">
        <f>IF(ISNUMBER(K571),M571-N571,"")</f>
        <v/>
      </c>
      <c r="P571" s="55" t="str">
        <f>IF(COUNTA(A571:I571)=0,"",N(G571)+N(H571)+N(I571))</f>
        <v/>
      </c>
      <c r="Q571" s="56" t="str">
        <f>IF(COUNTA(A571:I571)=0,"",IF(N(IFERROR(INDEX(art_rate,MATCH(E571,art_ref,0)),0))&gt;0,N(IFERROR(INDEX(art_rate,MATCH(E571,art_ref,0)),0)),N(IFERROR(INDEX(po_rate,MATCH(C571,po_code,0)),0))))</f>
        <v/>
      </c>
      <c r="R571" s="55" t="str">
        <f>IF(AC571=1,P571*60/Q571,"")</f>
        <v/>
      </c>
      <c r="S571" s="55" t="str">
        <f>IF(AC571=1,N(G571)*60/Q571,"")</f>
        <v/>
      </c>
      <c r="T571" s="57" t="str">
        <f>IF(AC571=1,O571/M571,"")</f>
        <v/>
      </c>
      <c r="U571" s="57" t="str">
        <f>IF(AC571=1,IF(O571&gt;0,R571/O571,""),"")</f>
        <v/>
      </c>
      <c r="V571" s="57" t="str">
        <f>IF(AC571=1,IF(P571&gt;0,N(G571)/P571,""),"")</f>
        <v/>
      </c>
      <c r="W571" s="57" t="str">
        <f>IF(AC571=1,S571/M571,"")</f>
        <v/>
      </c>
      <c r="X571" s="57" t="str">
        <f>IF(AC571=1,S571/K571,"")</f>
        <v/>
      </c>
      <c r="Y571" s="58" t="str">
        <f>IF(W571="","",IF(W571&gt;=p_target,"Bon",IF(W571&gt;=p_alert,"À surveiller","Faible")))</f>
        <v/>
      </c>
      <c r="Z571" s="58" t="str">
        <f>IF(W571="","",IF(MIN(IF(T571="",1,T571),IF(U571="",1,U571),IF(V571="",1,V571))&gt;=1,"Aucune",IF(IF(T571="",1,T571)&lt;=MIN(IF(U571="",1,U571),IF(V571="",1,V571)),"Disponibilité",IF(IF(U571="",1,U571)&lt;=IF(V571="",1,V571),"Performance","Qualité"))))</f>
        <v/>
      </c>
      <c r="AA571" s="59" t="str">
        <f>IF(AC571=1,N(H571)*N(IFERROR(INDEX(art_cost,MATCH(E571,art_ref,0)),0)),"")</f>
        <v/>
      </c>
      <c r="AB571" s="58" t="str">
        <f>IF(COUNTA(A571:I571)=0,"",IF(N(A571)&lt;=0,"Date manquante ou invalide",IF(B571="","Équipe manquante",IF(ISNA(MATCH(B571,eq_code,0)),"Équipe inconnue",IF(INDEX(eq_check,MATCH(B571,eq_code,0))&lt;&gt;"OK","Équipe à corriger dans Paramètres",IF(C571="","Poste manquant",IF(ISNA(MATCH(C571,po_code,0)),"Poste inconnu",IF(AND(E571&lt;&gt;"",ISNA(MATCH(E571,art_ref,0))),"Article inconnu",IF(IF(E571="",FALSE,INDEX(art_check,MATCH(E571,art_ref,0))&lt;&gt;"OK"),"Article à corriger (feuille Articles)",IF(COUNTIFS(sj_date,A571,sj_eq,B571,sj_po,C571)&gt;1,"Ligne en double (même jour, équipe et poste)",IF(OR(NOT(ISNUMBER(K571)),N(K571)&lt;=0,N(K571)&gt;1440),"Temps d'ouverture invalide",IF(OR(AND(G571&lt;&gt;"",NOT(ISNUMBER(G571))),N(G571)&lt;0,N(G571)&lt;&gt;INT(N(G571)),AND(H571&lt;&gt;"",NOT(ISNUMBER(H571))),N(H571)&lt;0,N(H571)&lt;&gt;INT(N(H571)),AND(I571&lt;&gt;"",NOT(ISNUMBER(I571))),N(I571)&lt;0,N(I571)&lt;&gt;INT(N(I571))),"Quantité invalide",IF(Q571&lt;=0,"Cadence manquante (poste ou article)",IF(M571&lt;=0,"Arrêts planifiés supérieurs au temps d'ouverture",IF(O571&lt;0,"Arrêts supérieurs au temps requis",IF(AND(P571&gt;0,O571=0),"Pièces déclarées sans temps de marche",IF(AND(P571=0,O571&gt;0),"Aucune pièce déclarée",IF(P571*60/Q571&gt;O571+0.001,"Cadence dépassée : vérifiez la cadence","OK"))))))))))))))))))</f>
        <v/>
      </c>
      <c r="AC571">
        <f>IF(OR(AB571="OK",AB571="Aucune pièce déclarée",AB571="Cadence dépassée : vérifiez la cadence"),1,0)</f>
        <v>0.0</v>
      </c>
      <c r="AD571">
        <f>IF(AND(AC571=1,A571&gt;=p_from,A571&lt;=p_to),1,0)</f>
        <v>0.0</v>
      </c>
      <c r="AE571">
        <f>IF(AD571=1,IF(COUNTIFS($A$6:A571,A571,$AD$6:AD571,1)=1,1,0),0)</f>
        <v>0.0</v>
      </c>
      <c r="AF571" t="str">
        <f>IF(AE571=1,COUNTIFS(sj_first,1,sj_date,"&lt;"&amp;A571)+1,"")</f>
        <v/>
      </c>
      <c r="AG571" t="str">
        <f>IF(AND(AD571=1,N(W571)&lt;p_alert),ROUND(W571,4),"")</f>
        <v/>
      </c>
      <c r="AH571" t="str">
        <f>IF(AG571="","",COUNTIF(sj_akey,"&lt;"&amp;AG571)+COUNTIF($AG$6:AG571,AG571))</f>
        <v/>
      </c>
    </row>
    <row r="572">
      <c r="A572" s="51" t="n"/>
      <c r="B572" s="52" t="n"/>
      <c r="C572" s="52" t="n"/>
      <c r="D572" s="53" t="n"/>
      <c r="E572" s="53" t="n"/>
      <c r="F572" s="54" t="n"/>
      <c r="G572" s="54" t="n"/>
      <c r="H572" s="54" t="n"/>
      <c r="I572" s="54" t="n"/>
      <c r="J572" s="53" t="n"/>
      <c r="K572" s="55" t="str">
        <f>IF(COUNTA(A572:I572)=0,"",IF(F572="",IFERROR(INDEX(eq_dur,MATCH(B572,eq_code,0)),""),F572))</f>
        <v/>
      </c>
      <c r="L572" s="55" t="str">
        <f>IF(ISNUMBER(K572),N(IFERROR(INDEX(eq_pause,MATCH(B572,eq_code,0)),0))+SUMIFS(st_min,st_date,A572,st_eq,B572,st_po,C572,st_type,"Planifié"),"")</f>
        <v/>
      </c>
      <c r="M572" s="55" t="str">
        <f>IF(ISNUMBER(K572),K572-L572,"")</f>
        <v/>
      </c>
      <c r="N572" s="55" t="str">
        <f>IF(ISNUMBER(K572),SUMIFS(st_min,st_date,A572,st_eq,B572,st_po,C572,st_type,"Non planifié"),"")</f>
        <v/>
      </c>
      <c r="O572" s="55" t="str">
        <f>IF(ISNUMBER(K572),M572-N572,"")</f>
        <v/>
      </c>
      <c r="P572" s="55" t="str">
        <f>IF(COUNTA(A572:I572)=0,"",N(G572)+N(H572)+N(I572))</f>
        <v/>
      </c>
      <c r="Q572" s="56" t="str">
        <f>IF(COUNTA(A572:I572)=0,"",IF(N(IFERROR(INDEX(art_rate,MATCH(E572,art_ref,0)),0))&gt;0,N(IFERROR(INDEX(art_rate,MATCH(E572,art_ref,0)),0)),N(IFERROR(INDEX(po_rate,MATCH(C572,po_code,0)),0))))</f>
        <v/>
      </c>
      <c r="R572" s="55" t="str">
        <f>IF(AC572=1,P572*60/Q572,"")</f>
        <v/>
      </c>
      <c r="S572" s="55" t="str">
        <f>IF(AC572=1,N(G572)*60/Q572,"")</f>
        <v/>
      </c>
      <c r="T572" s="57" t="str">
        <f>IF(AC572=1,O572/M572,"")</f>
        <v/>
      </c>
      <c r="U572" s="57" t="str">
        <f>IF(AC572=1,IF(O572&gt;0,R572/O572,""),"")</f>
        <v/>
      </c>
      <c r="V572" s="57" t="str">
        <f>IF(AC572=1,IF(P572&gt;0,N(G572)/P572,""),"")</f>
        <v/>
      </c>
      <c r="W572" s="57" t="str">
        <f>IF(AC572=1,S572/M572,"")</f>
        <v/>
      </c>
      <c r="X572" s="57" t="str">
        <f>IF(AC572=1,S572/K572,"")</f>
        <v/>
      </c>
      <c r="Y572" s="58" t="str">
        <f>IF(W572="","",IF(W572&gt;=p_target,"Bon",IF(W572&gt;=p_alert,"À surveiller","Faible")))</f>
        <v/>
      </c>
      <c r="Z572" s="58" t="str">
        <f>IF(W572="","",IF(MIN(IF(T572="",1,T572),IF(U572="",1,U572),IF(V572="",1,V572))&gt;=1,"Aucune",IF(IF(T572="",1,T572)&lt;=MIN(IF(U572="",1,U572),IF(V572="",1,V572)),"Disponibilité",IF(IF(U572="",1,U572)&lt;=IF(V572="",1,V572),"Performance","Qualité"))))</f>
        <v/>
      </c>
      <c r="AA572" s="59" t="str">
        <f>IF(AC572=1,N(H572)*N(IFERROR(INDEX(art_cost,MATCH(E572,art_ref,0)),0)),"")</f>
        <v/>
      </c>
      <c r="AB572" s="58" t="str">
        <f>IF(COUNTA(A572:I572)=0,"",IF(N(A572)&lt;=0,"Date manquante ou invalide",IF(B572="","Équipe manquante",IF(ISNA(MATCH(B572,eq_code,0)),"Équipe inconnue",IF(INDEX(eq_check,MATCH(B572,eq_code,0))&lt;&gt;"OK","Équipe à corriger dans Paramètres",IF(C572="","Poste manquant",IF(ISNA(MATCH(C572,po_code,0)),"Poste inconnu",IF(AND(E572&lt;&gt;"",ISNA(MATCH(E572,art_ref,0))),"Article inconnu",IF(IF(E572="",FALSE,INDEX(art_check,MATCH(E572,art_ref,0))&lt;&gt;"OK"),"Article à corriger (feuille Articles)",IF(COUNTIFS(sj_date,A572,sj_eq,B572,sj_po,C572)&gt;1,"Ligne en double (même jour, équipe et poste)",IF(OR(NOT(ISNUMBER(K572)),N(K572)&lt;=0,N(K572)&gt;1440),"Temps d'ouverture invalide",IF(OR(AND(G572&lt;&gt;"",NOT(ISNUMBER(G572))),N(G572)&lt;0,N(G572)&lt;&gt;INT(N(G572)),AND(H572&lt;&gt;"",NOT(ISNUMBER(H572))),N(H572)&lt;0,N(H572)&lt;&gt;INT(N(H572)),AND(I572&lt;&gt;"",NOT(ISNUMBER(I572))),N(I572)&lt;0,N(I572)&lt;&gt;INT(N(I572))),"Quantité invalide",IF(Q572&lt;=0,"Cadence manquante (poste ou article)",IF(M572&lt;=0,"Arrêts planifiés supérieurs au temps d'ouverture",IF(O572&lt;0,"Arrêts supérieurs au temps requis",IF(AND(P572&gt;0,O572=0),"Pièces déclarées sans temps de marche",IF(AND(P572=0,O572&gt;0),"Aucune pièce déclarée",IF(P572*60/Q572&gt;O572+0.001,"Cadence dépassée : vérifiez la cadence","OK"))))))))))))))))))</f>
        <v/>
      </c>
      <c r="AC572">
        <f>IF(OR(AB572="OK",AB572="Aucune pièce déclarée",AB572="Cadence dépassée : vérifiez la cadence"),1,0)</f>
        <v>0.0</v>
      </c>
      <c r="AD572">
        <f>IF(AND(AC572=1,A572&gt;=p_from,A572&lt;=p_to),1,0)</f>
        <v>0.0</v>
      </c>
      <c r="AE572">
        <f>IF(AD572=1,IF(COUNTIFS($A$6:A572,A572,$AD$6:AD572,1)=1,1,0),0)</f>
        <v>0.0</v>
      </c>
      <c r="AF572" t="str">
        <f>IF(AE572=1,COUNTIFS(sj_first,1,sj_date,"&lt;"&amp;A572)+1,"")</f>
        <v/>
      </c>
      <c r="AG572" t="str">
        <f>IF(AND(AD572=1,N(W572)&lt;p_alert),ROUND(W572,4),"")</f>
        <v/>
      </c>
      <c r="AH572" t="str">
        <f>IF(AG572="","",COUNTIF(sj_akey,"&lt;"&amp;AG572)+COUNTIF($AG$6:AG572,AG572))</f>
        <v/>
      </c>
    </row>
    <row r="573">
      <c r="A573" s="51" t="n"/>
      <c r="B573" s="52" t="n"/>
      <c r="C573" s="52" t="n"/>
      <c r="D573" s="53" t="n"/>
      <c r="E573" s="53" t="n"/>
      <c r="F573" s="54" t="n"/>
      <c r="G573" s="54" t="n"/>
      <c r="H573" s="54" t="n"/>
      <c r="I573" s="54" t="n"/>
      <c r="J573" s="53" t="n"/>
      <c r="K573" s="55" t="str">
        <f>IF(COUNTA(A573:I573)=0,"",IF(F573="",IFERROR(INDEX(eq_dur,MATCH(B573,eq_code,0)),""),F573))</f>
        <v/>
      </c>
      <c r="L573" s="55" t="str">
        <f>IF(ISNUMBER(K573),N(IFERROR(INDEX(eq_pause,MATCH(B573,eq_code,0)),0))+SUMIFS(st_min,st_date,A573,st_eq,B573,st_po,C573,st_type,"Planifié"),"")</f>
        <v/>
      </c>
      <c r="M573" s="55" t="str">
        <f>IF(ISNUMBER(K573),K573-L573,"")</f>
        <v/>
      </c>
      <c r="N573" s="55" t="str">
        <f>IF(ISNUMBER(K573),SUMIFS(st_min,st_date,A573,st_eq,B573,st_po,C573,st_type,"Non planifié"),"")</f>
        <v/>
      </c>
      <c r="O573" s="55" t="str">
        <f>IF(ISNUMBER(K573),M573-N573,"")</f>
        <v/>
      </c>
      <c r="P573" s="55" t="str">
        <f>IF(COUNTA(A573:I573)=0,"",N(G573)+N(H573)+N(I573))</f>
        <v/>
      </c>
      <c r="Q573" s="56" t="str">
        <f>IF(COUNTA(A573:I573)=0,"",IF(N(IFERROR(INDEX(art_rate,MATCH(E573,art_ref,0)),0))&gt;0,N(IFERROR(INDEX(art_rate,MATCH(E573,art_ref,0)),0)),N(IFERROR(INDEX(po_rate,MATCH(C573,po_code,0)),0))))</f>
        <v/>
      </c>
      <c r="R573" s="55" t="str">
        <f>IF(AC573=1,P573*60/Q573,"")</f>
        <v/>
      </c>
      <c r="S573" s="55" t="str">
        <f>IF(AC573=1,N(G573)*60/Q573,"")</f>
        <v/>
      </c>
      <c r="T573" s="57" t="str">
        <f>IF(AC573=1,O573/M573,"")</f>
        <v/>
      </c>
      <c r="U573" s="57" t="str">
        <f>IF(AC573=1,IF(O573&gt;0,R573/O573,""),"")</f>
        <v/>
      </c>
      <c r="V573" s="57" t="str">
        <f>IF(AC573=1,IF(P573&gt;0,N(G573)/P573,""),"")</f>
        <v/>
      </c>
      <c r="W573" s="57" t="str">
        <f>IF(AC573=1,S573/M573,"")</f>
        <v/>
      </c>
      <c r="X573" s="57" t="str">
        <f>IF(AC573=1,S573/K573,"")</f>
        <v/>
      </c>
      <c r="Y573" s="58" t="str">
        <f>IF(W573="","",IF(W573&gt;=p_target,"Bon",IF(W573&gt;=p_alert,"À surveiller","Faible")))</f>
        <v/>
      </c>
      <c r="Z573" s="58" t="str">
        <f>IF(W573="","",IF(MIN(IF(T573="",1,T573),IF(U573="",1,U573),IF(V573="",1,V573))&gt;=1,"Aucune",IF(IF(T573="",1,T573)&lt;=MIN(IF(U573="",1,U573),IF(V573="",1,V573)),"Disponibilité",IF(IF(U573="",1,U573)&lt;=IF(V573="",1,V573),"Performance","Qualité"))))</f>
        <v/>
      </c>
      <c r="AA573" s="59" t="str">
        <f>IF(AC573=1,N(H573)*N(IFERROR(INDEX(art_cost,MATCH(E573,art_ref,0)),0)),"")</f>
        <v/>
      </c>
      <c r="AB573" s="58" t="str">
        <f>IF(COUNTA(A573:I573)=0,"",IF(N(A573)&lt;=0,"Date manquante ou invalide",IF(B573="","Équipe manquante",IF(ISNA(MATCH(B573,eq_code,0)),"Équipe inconnue",IF(INDEX(eq_check,MATCH(B573,eq_code,0))&lt;&gt;"OK","Équipe à corriger dans Paramètres",IF(C573="","Poste manquant",IF(ISNA(MATCH(C573,po_code,0)),"Poste inconnu",IF(AND(E573&lt;&gt;"",ISNA(MATCH(E573,art_ref,0))),"Article inconnu",IF(IF(E573="",FALSE,INDEX(art_check,MATCH(E573,art_ref,0))&lt;&gt;"OK"),"Article à corriger (feuille Articles)",IF(COUNTIFS(sj_date,A573,sj_eq,B573,sj_po,C573)&gt;1,"Ligne en double (même jour, équipe et poste)",IF(OR(NOT(ISNUMBER(K573)),N(K573)&lt;=0,N(K573)&gt;1440),"Temps d'ouverture invalide",IF(OR(AND(G573&lt;&gt;"",NOT(ISNUMBER(G573))),N(G573)&lt;0,N(G573)&lt;&gt;INT(N(G573)),AND(H573&lt;&gt;"",NOT(ISNUMBER(H573))),N(H573)&lt;0,N(H573)&lt;&gt;INT(N(H573)),AND(I573&lt;&gt;"",NOT(ISNUMBER(I573))),N(I573)&lt;0,N(I573)&lt;&gt;INT(N(I573))),"Quantité invalide",IF(Q573&lt;=0,"Cadence manquante (poste ou article)",IF(M573&lt;=0,"Arrêts planifiés supérieurs au temps d'ouverture",IF(O573&lt;0,"Arrêts supérieurs au temps requis",IF(AND(P573&gt;0,O573=0),"Pièces déclarées sans temps de marche",IF(AND(P573=0,O573&gt;0),"Aucune pièce déclarée",IF(P573*60/Q573&gt;O573+0.001,"Cadence dépassée : vérifiez la cadence","OK"))))))))))))))))))</f>
        <v/>
      </c>
      <c r="AC573">
        <f>IF(OR(AB573="OK",AB573="Aucune pièce déclarée",AB573="Cadence dépassée : vérifiez la cadence"),1,0)</f>
        <v>0.0</v>
      </c>
      <c r="AD573">
        <f>IF(AND(AC573=1,A573&gt;=p_from,A573&lt;=p_to),1,0)</f>
        <v>0.0</v>
      </c>
      <c r="AE573">
        <f>IF(AD573=1,IF(COUNTIFS($A$6:A573,A573,$AD$6:AD573,1)=1,1,0),0)</f>
        <v>0.0</v>
      </c>
      <c r="AF573" t="str">
        <f>IF(AE573=1,COUNTIFS(sj_first,1,sj_date,"&lt;"&amp;A573)+1,"")</f>
        <v/>
      </c>
      <c r="AG573" t="str">
        <f>IF(AND(AD573=1,N(W573)&lt;p_alert),ROUND(W573,4),"")</f>
        <v/>
      </c>
      <c r="AH573" t="str">
        <f>IF(AG573="","",COUNTIF(sj_akey,"&lt;"&amp;AG573)+COUNTIF($AG$6:AG573,AG573))</f>
        <v/>
      </c>
    </row>
    <row r="574">
      <c r="A574" s="51" t="n"/>
      <c r="B574" s="52" t="n"/>
      <c r="C574" s="52" t="n"/>
      <c r="D574" s="53" t="n"/>
      <c r="E574" s="53" t="n"/>
      <c r="F574" s="54" t="n"/>
      <c r="G574" s="54" t="n"/>
      <c r="H574" s="54" t="n"/>
      <c r="I574" s="54" t="n"/>
      <c r="J574" s="53" t="n"/>
      <c r="K574" s="55" t="str">
        <f>IF(COUNTA(A574:I574)=0,"",IF(F574="",IFERROR(INDEX(eq_dur,MATCH(B574,eq_code,0)),""),F574))</f>
        <v/>
      </c>
      <c r="L574" s="55" t="str">
        <f>IF(ISNUMBER(K574),N(IFERROR(INDEX(eq_pause,MATCH(B574,eq_code,0)),0))+SUMIFS(st_min,st_date,A574,st_eq,B574,st_po,C574,st_type,"Planifié"),"")</f>
        <v/>
      </c>
      <c r="M574" s="55" t="str">
        <f>IF(ISNUMBER(K574),K574-L574,"")</f>
        <v/>
      </c>
      <c r="N574" s="55" t="str">
        <f>IF(ISNUMBER(K574),SUMIFS(st_min,st_date,A574,st_eq,B574,st_po,C574,st_type,"Non planifié"),"")</f>
        <v/>
      </c>
      <c r="O574" s="55" t="str">
        <f>IF(ISNUMBER(K574),M574-N574,"")</f>
        <v/>
      </c>
      <c r="P574" s="55" t="str">
        <f>IF(COUNTA(A574:I574)=0,"",N(G574)+N(H574)+N(I574))</f>
        <v/>
      </c>
      <c r="Q574" s="56" t="str">
        <f>IF(COUNTA(A574:I574)=0,"",IF(N(IFERROR(INDEX(art_rate,MATCH(E574,art_ref,0)),0))&gt;0,N(IFERROR(INDEX(art_rate,MATCH(E574,art_ref,0)),0)),N(IFERROR(INDEX(po_rate,MATCH(C574,po_code,0)),0))))</f>
        <v/>
      </c>
      <c r="R574" s="55" t="str">
        <f>IF(AC574=1,P574*60/Q574,"")</f>
        <v/>
      </c>
      <c r="S574" s="55" t="str">
        <f>IF(AC574=1,N(G574)*60/Q574,"")</f>
        <v/>
      </c>
      <c r="T574" s="57" t="str">
        <f>IF(AC574=1,O574/M574,"")</f>
        <v/>
      </c>
      <c r="U574" s="57" t="str">
        <f>IF(AC574=1,IF(O574&gt;0,R574/O574,""),"")</f>
        <v/>
      </c>
      <c r="V574" s="57" t="str">
        <f>IF(AC574=1,IF(P574&gt;0,N(G574)/P574,""),"")</f>
        <v/>
      </c>
      <c r="W574" s="57" t="str">
        <f>IF(AC574=1,S574/M574,"")</f>
        <v/>
      </c>
      <c r="X574" s="57" t="str">
        <f>IF(AC574=1,S574/K574,"")</f>
        <v/>
      </c>
      <c r="Y574" s="58" t="str">
        <f>IF(W574="","",IF(W574&gt;=p_target,"Bon",IF(W574&gt;=p_alert,"À surveiller","Faible")))</f>
        <v/>
      </c>
      <c r="Z574" s="58" t="str">
        <f>IF(W574="","",IF(MIN(IF(T574="",1,T574),IF(U574="",1,U574),IF(V574="",1,V574))&gt;=1,"Aucune",IF(IF(T574="",1,T574)&lt;=MIN(IF(U574="",1,U574),IF(V574="",1,V574)),"Disponibilité",IF(IF(U574="",1,U574)&lt;=IF(V574="",1,V574),"Performance","Qualité"))))</f>
        <v/>
      </c>
      <c r="AA574" s="59" t="str">
        <f>IF(AC574=1,N(H574)*N(IFERROR(INDEX(art_cost,MATCH(E574,art_ref,0)),0)),"")</f>
        <v/>
      </c>
      <c r="AB574" s="58" t="str">
        <f>IF(COUNTA(A574:I574)=0,"",IF(N(A574)&lt;=0,"Date manquante ou invalide",IF(B574="","Équipe manquante",IF(ISNA(MATCH(B574,eq_code,0)),"Équipe inconnue",IF(INDEX(eq_check,MATCH(B574,eq_code,0))&lt;&gt;"OK","Équipe à corriger dans Paramètres",IF(C574="","Poste manquant",IF(ISNA(MATCH(C574,po_code,0)),"Poste inconnu",IF(AND(E574&lt;&gt;"",ISNA(MATCH(E574,art_ref,0))),"Article inconnu",IF(IF(E574="",FALSE,INDEX(art_check,MATCH(E574,art_ref,0))&lt;&gt;"OK"),"Article à corriger (feuille Articles)",IF(COUNTIFS(sj_date,A574,sj_eq,B574,sj_po,C574)&gt;1,"Ligne en double (même jour, équipe et poste)",IF(OR(NOT(ISNUMBER(K574)),N(K574)&lt;=0,N(K574)&gt;1440),"Temps d'ouverture invalide",IF(OR(AND(G574&lt;&gt;"",NOT(ISNUMBER(G574))),N(G574)&lt;0,N(G574)&lt;&gt;INT(N(G574)),AND(H574&lt;&gt;"",NOT(ISNUMBER(H574))),N(H574)&lt;0,N(H574)&lt;&gt;INT(N(H574)),AND(I574&lt;&gt;"",NOT(ISNUMBER(I574))),N(I574)&lt;0,N(I574)&lt;&gt;INT(N(I574))),"Quantité invalide",IF(Q574&lt;=0,"Cadence manquante (poste ou article)",IF(M574&lt;=0,"Arrêts planifiés supérieurs au temps d'ouverture",IF(O574&lt;0,"Arrêts supérieurs au temps requis",IF(AND(P574&gt;0,O574=0),"Pièces déclarées sans temps de marche",IF(AND(P574=0,O574&gt;0),"Aucune pièce déclarée",IF(P574*60/Q574&gt;O574+0.001,"Cadence dépassée : vérifiez la cadence","OK"))))))))))))))))))</f>
        <v/>
      </c>
      <c r="AC574">
        <f>IF(OR(AB574="OK",AB574="Aucune pièce déclarée",AB574="Cadence dépassée : vérifiez la cadence"),1,0)</f>
        <v>0.0</v>
      </c>
      <c r="AD574">
        <f>IF(AND(AC574=1,A574&gt;=p_from,A574&lt;=p_to),1,0)</f>
        <v>0.0</v>
      </c>
      <c r="AE574">
        <f>IF(AD574=1,IF(COUNTIFS($A$6:A574,A574,$AD$6:AD574,1)=1,1,0),0)</f>
        <v>0.0</v>
      </c>
      <c r="AF574" t="str">
        <f>IF(AE574=1,COUNTIFS(sj_first,1,sj_date,"&lt;"&amp;A574)+1,"")</f>
        <v/>
      </c>
      <c r="AG574" t="str">
        <f>IF(AND(AD574=1,N(W574)&lt;p_alert),ROUND(W574,4),"")</f>
        <v/>
      </c>
      <c r="AH574" t="str">
        <f>IF(AG574="","",COUNTIF(sj_akey,"&lt;"&amp;AG574)+COUNTIF($AG$6:AG574,AG574))</f>
        <v/>
      </c>
    </row>
    <row r="575">
      <c r="A575" s="51" t="n"/>
      <c r="B575" s="52" t="n"/>
      <c r="C575" s="52" t="n"/>
      <c r="D575" s="53" t="n"/>
      <c r="E575" s="53" t="n"/>
      <c r="F575" s="54" t="n"/>
      <c r="G575" s="54" t="n"/>
      <c r="H575" s="54" t="n"/>
      <c r="I575" s="54" t="n"/>
      <c r="J575" s="53" t="n"/>
      <c r="K575" s="55" t="str">
        <f>IF(COUNTA(A575:I575)=0,"",IF(F575="",IFERROR(INDEX(eq_dur,MATCH(B575,eq_code,0)),""),F575))</f>
        <v/>
      </c>
      <c r="L575" s="55" t="str">
        <f>IF(ISNUMBER(K575),N(IFERROR(INDEX(eq_pause,MATCH(B575,eq_code,0)),0))+SUMIFS(st_min,st_date,A575,st_eq,B575,st_po,C575,st_type,"Planifié"),"")</f>
        <v/>
      </c>
      <c r="M575" s="55" t="str">
        <f>IF(ISNUMBER(K575),K575-L575,"")</f>
        <v/>
      </c>
      <c r="N575" s="55" t="str">
        <f>IF(ISNUMBER(K575),SUMIFS(st_min,st_date,A575,st_eq,B575,st_po,C575,st_type,"Non planifié"),"")</f>
        <v/>
      </c>
      <c r="O575" s="55" t="str">
        <f>IF(ISNUMBER(K575),M575-N575,"")</f>
        <v/>
      </c>
      <c r="P575" s="55" t="str">
        <f>IF(COUNTA(A575:I575)=0,"",N(G575)+N(H575)+N(I575))</f>
        <v/>
      </c>
      <c r="Q575" s="56" t="str">
        <f>IF(COUNTA(A575:I575)=0,"",IF(N(IFERROR(INDEX(art_rate,MATCH(E575,art_ref,0)),0))&gt;0,N(IFERROR(INDEX(art_rate,MATCH(E575,art_ref,0)),0)),N(IFERROR(INDEX(po_rate,MATCH(C575,po_code,0)),0))))</f>
        <v/>
      </c>
      <c r="R575" s="55" t="str">
        <f>IF(AC575=1,P575*60/Q575,"")</f>
        <v/>
      </c>
      <c r="S575" s="55" t="str">
        <f>IF(AC575=1,N(G575)*60/Q575,"")</f>
        <v/>
      </c>
      <c r="T575" s="57" t="str">
        <f>IF(AC575=1,O575/M575,"")</f>
        <v/>
      </c>
      <c r="U575" s="57" t="str">
        <f>IF(AC575=1,IF(O575&gt;0,R575/O575,""),"")</f>
        <v/>
      </c>
      <c r="V575" s="57" t="str">
        <f>IF(AC575=1,IF(P575&gt;0,N(G575)/P575,""),"")</f>
        <v/>
      </c>
      <c r="W575" s="57" t="str">
        <f>IF(AC575=1,S575/M575,"")</f>
        <v/>
      </c>
      <c r="X575" s="57" t="str">
        <f>IF(AC575=1,S575/K575,"")</f>
        <v/>
      </c>
      <c r="Y575" s="58" t="str">
        <f>IF(W575="","",IF(W575&gt;=p_target,"Bon",IF(W575&gt;=p_alert,"À surveiller","Faible")))</f>
        <v/>
      </c>
      <c r="Z575" s="58" t="str">
        <f>IF(W575="","",IF(MIN(IF(T575="",1,T575),IF(U575="",1,U575),IF(V575="",1,V575))&gt;=1,"Aucune",IF(IF(T575="",1,T575)&lt;=MIN(IF(U575="",1,U575),IF(V575="",1,V575)),"Disponibilité",IF(IF(U575="",1,U575)&lt;=IF(V575="",1,V575),"Performance","Qualité"))))</f>
        <v/>
      </c>
      <c r="AA575" s="59" t="str">
        <f>IF(AC575=1,N(H575)*N(IFERROR(INDEX(art_cost,MATCH(E575,art_ref,0)),0)),"")</f>
        <v/>
      </c>
      <c r="AB575" s="58" t="str">
        <f>IF(COUNTA(A575:I575)=0,"",IF(N(A575)&lt;=0,"Date manquante ou invalide",IF(B575="","Équipe manquante",IF(ISNA(MATCH(B575,eq_code,0)),"Équipe inconnue",IF(INDEX(eq_check,MATCH(B575,eq_code,0))&lt;&gt;"OK","Équipe à corriger dans Paramètres",IF(C575="","Poste manquant",IF(ISNA(MATCH(C575,po_code,0)),"Poste inconnu",IF(AND(E575&lt;&gt;"",ISNA(MATCH(E575,art_ref,0))),"Article inconnu",IF(IF(E575="",FALSE,INDEX(art_check,MATCH(E575,art_ref,0))&lt;&gt;"OK"),"Article à corriger (feuille Articles)",IF(COUNTIFS(sj_date,A575,sj_eq,B575,sj_po,C575)&gt;1,"Ligne en double (même jour, équipe et poste)",IF(OR(NOT(ISNUMBER(K575)),N(K575)&lt;=0,N(K575)&gt;1440),"Temps d'ouverture invalide",IF(OR(AND(G575&lt;&gt;"",NOT(ISNUMBER(G575))),N(G575)&lt;0,N(G575)&lt;&gt;INT(N(G575)),AND(H575&lt;&gt;"",NOT(ISNUMBER(H575))),N(H575)&lt;0,N(H575)&lt;&gt;INT(N(H575)),AND(I575&lt;&gt;"",NOT(ISNUMBER(I575))),N(I575)&lt;0,N(I575)&lt;&gt;INT(N(I575))),"Quantité invalide",IF(Q575&lt;=0,"Cadence manquante (poste ou article)",IF(M575&lt;=0,"Arrêts planifiés supérieurs au temps d'ouverture",IF(O575&lt;0,"Arrêts supérieurs au temps requis",IF(AND(P575&gt;0,O575=0),"Pièces déclarées sans temps de marche",IF(AND(P575=0,O575&gt;0),"Aucune pièce déclarée",IF(P575*60/Q575&gt;O575+0.001,"Cadence dépassée : vérifiez la cadence","OK"))))))))))))))))))</f>
        <v/>
      </c>
      <c r="AC575">
        <f>IF(OR(AB575="OK",AB575="Aucune pièce déclarée",AB575="Cadence dépassée : vérifiez la cadence"),1,0)</f>
        <v>0.0</v>
      </c>
      <c r="AD575">
        <f>IF(AND(AC575=1,A575&gt;=p_from,A575&lt;=p_to),1,0)</f>
        <v>0.0</v>
      </c>
      <c r="AE575">
        <f>IF(AD575=1,IF(COUNTIFS($A$6:A575,A575,$AD$6:AD575,1)=1,1,0),0)</f>
        <v>0.0</v>
      </c>
      <c r="AF575" t="str">
        <f>IF(AE575=1,COUNTIFS(sj_first,1,sj_date,"&lt;"&amp;A575)+1,"")</f>
        <v/>
      </c>
      <c r="AG575" t="str">
        <f>IF(AND(AD575=1,N(W575)&lt;p_alert),ROUND(W575,4),"")</f>
        <v/>
      </c>
      <c r="AH575" t="str">
        <f>IF(AG575="","",COUNTIF(sj_akey,"&lt;"&amp;AG575)+COUNTIF($AG$6:AG575,AG575))</f>
        <v/>
      </c>
    </row>
    <row r="576">
      <c r="A576" s="51" t="n"/>
      <c r="B576" s="52" t="n"/>
      <c r="C576" s="52" t="n"/>
      <c r="D576" s="53" t="n"/>
      <c r="E576" s="53" t="n"/>
      <c r="F576" s="54" t="n"/>
      <c r="G576" s="54" t="n"/>
      <c r="H576" s="54" t="n"/>
      <c r="I576" s="54" t="n"/>
      <c r="J576" s="53" t="n"/>
      <c r="K576" s="55" t="str">
        <f>IF(COUNTA(A576:I576)=0,"",IF(F576="",IFERROR(INDEX(eq_dur,MATCH(B576,eq_code,0)),""),F576))</f>
        <v/>
      </c>
      <c r="L576" s="55" t="str">
        <f>IF(ISNUMBER(K576),N(IFERROR(INDEX(eq_pause,MATCH(B576,eq_code,0)),0))+SUMIFS(st_min,st_date,A576,st_eq,B576,st_po,C576,st_type,"Planifié"),"")</f>
        <v/>
      </c>
      <c r="M576" s="55" t="str">
        <f>IF(ISNUMBER(K576),K576-L576,"")</f>
        <v/>
      </c>
      <c r="N576" s="55" t="str">
        <f>IF(ISNUMBER(K576),SUMIFS(st_min,st_date,A576,st_eq,B576,st_po,C576,st_type,"Non planifié"),"")</f>
        <v/>
      </c>
      <c r="O576" s="55" t="str">
        <f>IF(ISNUMBER(K576),M576-N576,"")</f>
        <v/>
      </c>
      <c r="P576" s="55" t="str">
        <f>IF(COUNTA(A576:I576)=0,"",N(G576)+N(H576)+N(I576))</f>
        <v/>
      </c>
      <c r="Q576" s="56" t="str">
        <f>IF(COUNTA(A576:I576)=0,"",IF(N(IFERROR(INDEX(art_rate,MATCH(E576,art_ref,0)),0))&gt;0,N(IFERROR(INDEX(art_rate,MATCH(E576,art_ref,0)),0)),N(IFERROR(INDEX(po_rate,MATCH(C576,po_code,0)),0))))</f>
        <v/>
      </c>
      <c r="R576" s="55" t="str">
        <f>IF(AC576=1,P576*60/Q576,"")</f>
        <v/>
      </c>
      <c r="S576" s="55" t="str">
        <f>IF(AC576=1,N(G576)*60/Q576,"")</f>
        <v/>
      </c>
      <c r="T576" s="57" t="str">
        <f>IF(AC576=1,O576/M576,"")</f>
        <v/>
      </c>
      <c r="U576" s="57" t="str">
        <f>IF(AC576=1,IF(O576&gt;0,R576/O576,""),"")</f>
        <v/>
      </c>
      <c r="V576" s="57" t="str">
        <f>IF(AC576=1,IF(P576&gt;0,N(G576)/P576,""),"")</f>
        <v/>
      </c>
      <c r="W576" s="57" t="str">
        <f>IF(AC576=1,S576/M576,"")</f>
        <v/>
      </c>
      <c r="X576" s="57" t="str">
        <f>IF(AC576=1,S576/K576,"")</f>
        <v/>
      </c>
      <c r="Y576" s="58" t="str">
        <f>IF(W576="","",IF(W576&gt;=p_target,"Bon",IF(W576&gt;=p_alert,"À surveiller","Faible")))</f>
        <v/>
      </c>
      <c r="Z576" s="58" t="str">
        <f>IF(W576="","",IF(MIN(IF(T576="",1,T576),IF(U576="",1,U576),IF(V576="",1,V576))&gt;=1,"Aucune",IF(IF(T576="",1,T576)&lt;=MIN(IF(U576="",1,U576),IF(V576="",1,V576)),"Disponibilité",IF(IF(U576="",1,U576)&lt;=IF(V576="",1,V576),"Performance","Qualité"))))</f>
        <v/>
      </c>
      <c r="AA576" s="59" t="str">
        <f>IF(AC576=1,N(H576)*N(IFERROR(INDEX(art_cost,MATCH(E576,art_ref,0)),0)),"")</f>
        <v/>
      </c>
      <c r="AB576" s="58" t="str">
        <f>IF(COUNTA(A576:I576)=0,"",IF(N(A576)&lt;=0,"Date manquante ou invalide",IF(B576="","Équipe manquante",IF(ISNA(MATCH(B576,eq_code,0)),"Équipe inconnue",IF(INDEX(eq_check,MATCH(B576,eq_code,0))&lt;&gt;"OK","Équipe à corriger dans Paramètres",IF(C576="","Poste manquant",IF(ISNA(MATCH(C576,po_code,0)),"Poste inconnu",IF(AND(E576&lt;&gt;"",ISNA(MATCH(E576,art_ref,0))),"Article inconnu",IF(IF(E576="",FALSE,INDEX(art_check,MATCH(E576,art_ref,0))&lt;&gt;"OK"),"Article à corriger (feuille Articles)",IF(COUNTIFS(sj_date,A576,sj_eq,B576,sj_po,C576)&gt;1,"Ligne en double (même jour, équipe et poste)",IF(OR(NOT(ISNUMBER(K576)),N(K576)&lt;=0,N(K576)&gt;1440),"Temps d'ouverture invalide",IF(OR(AND(G576&lt;&gt;"",NOT(ISNUMBER(G576))),N(G576)&lt;0,N(G576)&lt;&gt;INT(N(G576)),AND(H576&lt;&gt;"",NOT(ISNUMBER(H576))),N(H576)&lt;0,N(H576)&lt;&gt;INT(N(H576)),AND(I576&lt;&gt;"",NOT(ISNUMBER(I576))),N(I576)&lt;0,N(I576)&lt;&gt;INT(N(I576))),"Quantité invalide",IF(Q576&lt;=0,"Cadence manquante (poste ou article)",IF(M576&lt;=0,"Arrêts planifiés supérieurs au temps d'ouverture",IF(O576&lt;0,"Arrêts supérieurs au temps requis",IF(AND(P576&gt;0,O576=0),"Pièces déclarées sans temps de marche",IF(AND(P576=0,O576&gt;0),"Aucune pièce déclarée",IF(P576*60/Q576&gt;O576+0.001,"Cadence dépassée : vérifiez la cadence","OK"))))))))))))))))))</f>
        <v/>
      </c>
      <c r="AC576">
        <f>IF(OR(AB576="OK",AB576="Aucune pièce déclarée",AB576="Cadence dépassée : vérifiez la cadence"),1,0)</f>
        <v>0.0</v>
      </c>
      <c r="AD576">
        <f>IF(AND(AC576=1,A576&gt;=p_from,A576&lt;=p_to),1,0)</f>
        <v>0.0</v>
      </c>
      <c r="AE576">
        <f>IF(AD576=1,IF(COUNTIFS($A$6:A576,A576,$AD$6:AD576,1)=1,1,0),0)</f>
        <v>0.0</v>
      </c>
      <c r="AF576" t="str">
        <f>IF(AE576=1,COUNTIFS(sj_first,1,sj_date,"&lt;"&amp;A576)+1,"")</f>
        <v/>
      </c>
      <c r="AG576" t="str">
        <f>IF(AND(AD576=1,N(W576)&lt;p_alert),ROUND(W576,4),"")</f>
        <v/>
      </c>
      <c r="AH576" t="str">
        <f>IF(AG576="","",COUNTIF(sj_akey,"&lt;"&amp;AG576)+COUNTIF($AG$6:AG576,AG576))</f>
        <v/>
      </c>
    </row>
    <row r="577">
      <c r="A577" s="51" t="n"/>
      <c r="B577" s="52" t="n"/>
      <c r="C577" s="52" t="n"/>
      <c r="D577" s="53" t="n"/>
      <c r="E577" s="53" t="n"/>
      <c r="F577" s="54" t="n"/>
      <c r="G577" s="54" t="n"/>
      <c r="H577" s="54" t="n"/>
      <c r="I577" s="54" t="n"/>
      <c r="J577" s="53" t="n"/>
      <c r="K577" s="55" t="str">
        <f>IF(COUNTA(A577:I577)=0,"",IF(F577="",IFERROR(INDEX(eq_dur,MATCH(B577,eq_code,0)),""),F577))</f>
        <v/>
      </c>
      <c r="L577" s="55" t="str">
        <f>IF(ISNUMBER(K577),N(IFERROR(INDEX(eq_pause,MATCH(B577,eq_code,0)),0))+SUMIFS(st_min,st_date,A577,st_eq,B577,st_po,C577,st_type,"Planifié"),"")</f>
        <v/>
      </c>
      <c r="M577" s="55" t="str">
        <f>IF(ISNUMBER(K577),K577-L577,"")</f>
        <v/>
      </c>
      <c r="N577" s="55" t="str">
        <f>IF(ISNUMBER(K577),SUMIFS(st_min,st_date,A577,st_eq,B577,st_po,C577,st_type,"Non planifié"),"")</f>
        <v/>
      </c>
      <c r="O577" s="55" t="str">
        <f>IF(ISNUMBER(K577),M577-N577,"")</f>
        <v/>
      </c>
      <c r="P577" s="55" t="str">
        <f>IF(COUNTA(A577:I577)=0,"",N(G577)+N(H577)+N(I577))</f>
        <v/>
      </c>
      <c r="Q577" s="56" t="str">
        <f>IF(COUNTA(A577:I577)=0,"",IF(N(IFERROR(INDEX(art_rate,MATCH(E577,art_ref,0)),0))&gt;0,N(IFERROR(INDEX(art_rate,MATCH(E577,art_ref,0)),0)),N(IFERROR(INDEX(po_rate,MATCH(C577,po_code,0)),0))))</f>
        <v/>
      </c>
      <c r="R577" s="55" t="str">
        <f>IF(AC577=1,P577*60/Q577,"")</f>
        <v/>
      </c>
      <c r="S577" s="55" t="str">
        <f>IF(AC577=1,N(G577)*60/Q577,"")</f>
        <v/>
      </c>
      <c r="T577" s="57" t="str">
        <f>IF(AC577=1,O577/M577,"")</f>
        <v/>
      </c>
      <c r="U577" s="57" t="str">
        <f>IF(AC577=1,IF(O577&gt;0,R577/O577,""),"")</f>
        <v/>
      </c>
      <c r="V577" s="57" t="str">
        <f>IF(AC577=1,IF(P577&gt;0,N(G577)/P577,""),"")</f>
        <v/>
      </c>
      <c r="W577" s="57" t="str">
        <f>IF(AC577=1,S577/M577,"")</f>
        <v/>
      </c>
      <c r="X577" s="57" t="str">
        <f>IF(AC577=1,S577/K577,"")</f>
        <v/>
      </c>
      <c r="Y577" s="58" t="str">
        <f>IF(W577="","",IF(W577&gt;=p_target,"Bon",IF(W577&gt;=p_alert,"À surveiller","Faible")))</f>
        <v/>
      </c>
      <c r="Z577" s="58" t="str">
        <f>IF(W577="","",IF(MIN(IF(T577="",1,T577),IF(U577="",1,U577),IF(V577="",1,V577))&gt;=1,"Aucune",IF(IF(T577="",1,T577)&lt;=MIN(IF(U577="",1,U577),IF(V577="",1,V577)),"Disponibilité",IF(IF(U577="",1,U577)&lt;=IF(V577="",1,V577),"Performance","Qualité"))))</f>
        <v/>
      </c>
      <c r="AA577" s="59" t="str">
        <f>IF(AC577=1,N(H577)*N(IFERROR(INDEX(art_cost,MATCH(E577,art_ref,0)),0)),"")</f>
        <v/>
      </c>
      <c r="AB577" s="58" t="str">
        <f>IF(COUNTA(A577:I577)=0,"",IF(N(A577)&lt;=0,"Date manquante ou invalide",IF(B577="","Équipe manquante",IF(ISNA(MATCH(B577,eq_code,0)),"Équipe inconnue",IF(INDEX(eq_check,MATCH(B577,eq_code,0))&lt;&gt;"OK","Équipe à corriger dans Paramètres",IF(C577="","Poste manquant",IF(ISNA(MATCH(C577,po_code,0)),"Poste inconnu",IF(AND(E577&lt;&gt;"",ISNA(MATCH(E577,art_ref,0))),"Article inconnu",IF(IF(E577="",FALSE,INDEX(art_check,MATCH(E577,art_ref,0))&lt;&gt;"OK"),"Article à corriger (feuille Articles)",IF(COUNTIFS(sj_date,A577,sj_eq,B577,sj_po,C577)&gt;1,"Ligne en double (même jour, équipe et poste)",IF(OR(NOT(ISNUMBER(K577)),N(K577)&lt;=0,N(K577)&gt;1440),"Temps d'ouverture invalide",IF(OR(AND(G577&lt;&gt;"",NOT(ISNUMBER(G577))),N(G577)&lt;0,N(G577)&lt;&gt;INT(N(G577)),AND(H577&lt;&gt;"",NOT(ISNUMBER(H577))),N(H577)&lt;0,N(H577)&lt;&gt;INT(N(H577)),AND(I577&lt;&gt;"",NOT(ISNUMBER(I577))),N(I577)&lt;0,N(I577)&lt;&gt;INT(N(I577))),"Quantité invalide",IF(Q577&lt;=0,"Cadence manquante (poste ou article)",IF(M577&lt;=0,"Arrêts planifiés supérieurs au temps d'ouverture",IF(O577&lt;0,"Arrêts supérieurs au temps requis",IF(AND(P577&gt;0,O577=0),"Pièces déclarées sans temps de marche",IF(AND(P577=0,O577&gt;0),"Aucune pièce déclarée",IF(P577*60/Q577&gt;O577+0.001,"Cadence dépassée : vérifiez la cadence","OK"))))))))))))))))))</f>
        <v/>
      </c>
      <c r="AC577">
        <f>IF(OR(AB577="OK",AB577="Aucune pièce déclarée",AB577="Cadence dépassée : vérifiez la cadence"),1,0)</f>
        <v>0.0</v>
      </c>
      <c r="AD577">
        <f>IF(AND(AC577=1,A577&gt;=p_from,A577&lt;=p_to),1,0)</f>
        <v>0.0</v>
      </c>
      <c r="AE577">
        <f>IF(AD577=1,IF(COUNTIFS($A$6:A577,A577,$AD$6:AD577,1)=1,1,0),0)</f>
        <v>0.0</v>
      </c>
      <c r="AF577" t="str">
        <f>IF(AE577=1,COUNTIFS(sj_first,1,sj_date,"&lt;"&amp;A577)+1,"")</f>
        <v/>
      </c>
      <c r="AG577" t="str">
        <f>IF(AND(AD577=1,N(W577)&lt;p_alert),ROUND(W577,4),"")</f>
        <v/>
      </c>
      <c r="AH577" t="str">
        <f>IF(AG577="","",COUNTIF(sj_akey,"&lt;"&amp;AG577)+COUNTIF($AG$6:AG577,AG577))</f>
        <v/>
      </c>
    </row>
    <row r="578">
      <c r="A578" s="51" t="n"/>
      <c r="B578" s="52" t="n"/>
      <c r="C578" s="52" t="n"/>
      <c r="D578" s="53" t="n"/>
      <c r="E578" s="53" t="n"/>
      <c r="F578" s="54" t="n"/>
      <c r="G578" s="54" t="n"/>
      <c r="H578" s="54" t="n"/>
      <c r="I578" s="54" t="n"/>
      <c r="J578" s="53" t="n"/>
      <c r="K578" s="55" t="str">
        <f>IF(COUNTA(A578:I578)=0,"",IF(F578="",IFERROR(INDEX(eq_dur,MATCH(B578,eq_code,0)),""),F578))</f>
        <v/>
      </c>
      <c r="L578" s="55" t="str">
        <f>IF(ISNUMBER(K578),N(IFERROR(INDEX(eq_pause,MATCH(B578,eq_code,0)),0))+SUMIFS(st_min,st_date,A578,st_eq,B578,st_po,C578,st_type,"Planifié"),"")</f>
        <v/>
      </c>
      <c r="M578" s="55" t="str">
        <f>IF(ISNUMBER(K578),K578-L578,"")</f>
        <v/>
      </c>
      <c r="N578" s="55" t="str">
        <f>IF(ISNUMBER(K578),SUMIFS(st_min,st_date,A578,st_eq,B578,st_po,C578,st_type,"Non planifié"),"")</f>
        <v/>
      </c>
      <c r="O578" s="55" t="str">
        <f>IF(ISNUMBER(K578),M578-N578,"")</f>
        <v/>
      </c>
      <c r="P578" s="55" t="str">
        <f>IF(COUNTA(A578:I578)=0,"",N(G578)+N(H578)+N(I578))</f>
        <v/>
      </c>
      <c r="Q578" s="56" t="str">
        <f>IF(COUNTA(A578:I578)=0,"",IF(N(IFERROR(INDEX(art_rate,MATCH(E578,art_ref,0)),0))&gt;0,N(IFERROR(INDEX(art_rate,MATCH(E578,art_ref,0)),0)),N(IFERROR(INDEX(po_rate,MATCH(C578,po_code,0)),0))))</f>
        <v/>
      </c>
      <c r="R578" s="55" t="str">
        <f>IF(AC578=1,P578*60/Q578,"")</f>
        <v/>
      </c>
      <c r="S578" s="55" t="str">
        <f>IF(AC578=1,N(G578)*60/Q578,"")</f>
        <v/>
      </c>
      <c r="T578" s="57" t="str">
        <f>IF(AC578=1,O578/M578,"")</f>
        <v/>
      </c>
      <c r="U578" s="57" t="str">
        <f>IF(AC578=1,IF(O578&gt;0,R578/O578,""),"")</f>
        <v/>
      </c>
      <c r="V578" s="57" t="str">
        <f>IF(AC578=1,IF(P578&gt;0,N(G578)/P578,""),"")</f>
        <v/>
      </c>
      <c r="W578" s="57" t="str">
        <f>IF(AC578=1,S578/M578,"")</f>
        <v/>
      </c>
      <c r="X578" s="57" t="str">
        <f>IF(AC578=1,S578/K578,"")</f>
        <v/>
      </c>
      <c r="Y578" s="58" t="str">
        <f>IF(W578="","",IF(W578&gt;=p_target,"Bon",IF(W578&gt;=p_alert,"À surveiller","Faible")))</f>
        <v/>
      </c>
      <c r="Z578" s="58" t="str">
        <f>IF(W578="","",IF(MIN(IF(T578="",1,T578),IF(U578="",1,U578),IF(V578="",1,V578))&gt;=1,"Aucune",IF(IF(T578="",1,T578)&lt;=MIN(IF(U578="",1,U578),IF(V578="",1,V578)),"Disponibilité",IF(IF(U578="",1,U578)&lt;=IF(V578="",1,V578),"Performance","Qualité"))))</f>
        <v/>
      </c>
      <c r="AA578" s="59" t="str">
        <f>IF(AC578=1,N(H578)*N(IFERROR(INDEX(art_cost,MATCH(E578,art_ref,0)),0)),"")</f>
        <v/>
      </c>
      <c r="AB578" s="58" t="str">
        <f>IF(COUNTA(A578:I578)=0,"",IF(N(A578)&lt;=0,"Date manquante ou invalide",IF(B578="","Équipe manquante",IF(ISNA(MATCH(B578,eq_code,0)),"Équipe inconnue",IF(INDEX(eq_check,MATCH(B578,eq_code,0))&lt;&gt;"OK","Équipe à corriger dans Paramètres",IF(C578="","Poste manquant",IF(ISNA(MATCH(C578,po_code,0)),"Poste inconnu",IF(AND(E578&lt;&gt;"",ISNA(MATCH(E578,art_ref,0))),"Article inconnu",IF(IF(E578="",FALSE,INDEX(art_check,MATCH(E578,art_ref,0))&lt;&gt;"OK"),"Article à corriger (feuille Articles)",IF(COUNTIFS(sj_date,A578,sj_eq,B578,sj_po,C578)&gt;1,"Ligne en double (même jour, équipe et poste)",IF(OR(NOT(ISNUMBER(K578)),N(K578)&lt;=0,N(K578)&gt;1440),"Temps d'ouverture invalide",IF(OR(AND(G578&lt;&gt;"",NOT(ISNUMBER(G578))),N(G578)&lt;0,N(G578)&lt;&gt;INT(N(G578)),AND(H578&lt;&gt;"",NOT(ISNUMBER(H578))),N(H578)&lt;0,N(H578)&lt;&gt;INT(N(H578)),AND(I578&lt;&gt;"",NOT(ISNUMBER(I578))),N(I578)&lt;0,N(I578)&lt;&gt;INT(N(I578))),"Quantité invalide",IF(Q578&lt;=0,"Cadence manquante (poste ou article)",IF(M578&lt;=0,"Arrêts planifiés supérieurs au temps d'ouverture",IF(O578&lt;0,"Arrêts supérieurs au temps requis",IF(AND(P578&gt;0,O578=0),"Pièces déclarées sans temps de marche",IF(AND(P578=0,O578&gt;0),"Aucune pièce déclarée",IF(P578*60/Q578&gt;O578+0.001,"Cadence dépassée : vérifiez la cadence","OK"))))))))))))))))))</f>
        <v/>
      </c>
      <c r="AC578">
        <f>IF(OR(AB578="OK",AB578="Aucune pièce déclarée",AB578="Cadence dépassée : vérifiez la cadence"),1,0)</f>
        <v>0.0</v>
      </c>
      <c r="AD578">
        <f>IF(AND(AC578=1,A578&gt;=p_from,A578&lt;=p_to),1,0)</f>
        <v>0.0</v>
      </c>
      <c r="AE578">
        <f>IF(AD578=1,IF(COUNTIFS($A$6:A578,A578,$AD$6:AD578,1)=1,1,0),0)</f>
        <v>0.0</v>
      </c>
      <c r="AF578" t="str">
        <f>IF(AE578=1,COUNTIFS(sj_first,1,sj_date,"&lt;"&amp;A578)+1,"")</f>
        <v/>
      </c>
      <c r="AG578" t="str">
        <f>IF(AND(AD578=1,N(W578)&lt;p_alert),ROUND(W578,4),"")</f>
        <v/>
      </c>
      <c r="AH578" t="str">
        <f>IF(AG578="","",COUNTIF(sj_akey,"&lt;"&amp;AG578)+COUNTIF($AG$6:AG578,AG578))</f>
        <v/>
      </c>
    </row>
    <row r="579">
      <c r="A579" s="51" t="n"/>
      <c r="B579" s="52" t="n"/>
      <c r="C579" s="52" t="n"/>
      <c r="D579" s="53" t="n"/>
      <c r="E579" s="53" t="n"/>
      <c r="F579" s="54" t="n"/>
      <c r="G579" s="54" t="n"/>
      <c r="H579" s="54" t="n"/>
      <c r="I579" s="54" t="n"/>
      <c r="J579" s="53" t="n"/>
      <c r="K579" s="55" t="str">
        <f>IF(COUNTA(A579:I579)=0,"",IF(F579="",IFERROR(INDEX(eq_dur,MATCH(B579,eq_code,0)),""),F579))</f>
        <v/>
      </c>
      <c r="L579" s="55" t="str">
        <f>IF(ISNUMBER(K579),N(IFERROR(INDEX(eq_pause,MATCH(B579,eq_code,0)),0))+SUMIFS(st_min,st_date,A579,st_eq,B579,st_po,C579,st_type,"Planifié"),"")</f>
        <v/>
      </c>
      <c r="M579" s="55" t="str">
        <f>IF(ISNUMBER(K579),K579-L579,"")</f>
        <v/>
      </c>
      <c r="N579" s="55" t="str">
        <f>IF(ISNUMBER(K579),SUMIFS(st_min,st_date,A579,st_eq,B579,st_po,C579,st_type,"Non planifié"),"")</f>
        <v/>
      </c>
      <c r="O579" s="55" t="str">
        <f>IF(ISNUMBER(K579),M579-N579,"")</f>
        <v/>
      </c>
      <c r="P579" s="55" t="str">
        <f>IF(COUNTA(A579:I579)=0,"",N(G579)+N(H579)+N(I579))</f>
        <v/>
      </c>
      <c r="Q579" s="56" t="str">
        <f>IF(COUNTA(A579:I579)=0,"",IF(N(IFERROR(INDEX(art_rate,MATCH(E579,art_ref,0)),0))&gt;0,N(IFERROR(INDEX(art_rate,MATCH(E579,art_ref,0)),0)),N(IFERROR(INDEX(po_rate,MATCH(C579,po_code,0)),0))))</f>
        <v/>
      </c>
      <c r="R579" s="55" t="str">
        <f>IF(AC579=1,P579*60/Q579,"")</f>
        <v/>
      </c>
      <c r="S579" s="55" t="str">
        <f>IF(AC579=1,N(G579)*60/Q579,"")</f>
        <v/>
      </c>
      <c r="T579" s="57" t="str">
        <f>IF(AC579=1,O579/M579,"")</f>
        <v/>
      </c>
      <c r="U579" s="57" t="str">
        <f>IF(AC579=1,IF(O579&gt;0,R579/O579,""),"")</f>
        <v/>
      </c>
      <c r="V579" s="57" t="str">
        <f>IF(AC579=1,IF(P579&gt;0,N(G579)/P579,""),"")</f>
        <v/>
      </c>
      <c r="W579" s="57" t="str">
        <f>IF(AC579=1,S579/M579,"")</f>
        <v/>
      </c>
      <c r="X579" s="57" t="str">
        <f>IF(AC579=1,S579/K579,"")</f>
        <v/>
      </c>
      <c r="Y579" s="58" t="str">
        <f>IF(W579="","",IF(W579&gt;=p_target,"Bon",IF(W579&gt;=p_alert,"À surveiller","Faible")))</f>
        <v/>
      </c>
      <c r="Z579" s="58" t="str">
        <f>IF(W579="","",IF(MIN(IF(T579="",1,T579),IF(U579="",1,U579),IF(V579="",1,V579))&gt;=1,"Aucune",IF(IF(T579="",1,T579)&lt;=MIN(IF(U579="",1,U579),IF(V579="",1,V579)),"Disponibilité",IF(IF(U579="",1,U579)&lt;=IF(V579="",1,V579),"Performance","Qualité"))))</f>
        <v/>
      </c>
      <c r="AA579" s="59" t="str">
        <f>IF(AC579=1,N(H579)*N(IFERROR(INDEX(art_cost,MATCH(E579,art_ref,0)),0)),"")</f>
        <v/>
      </c>
      <c r="AB579" s="58" t="str">
        <f>IF(COUNTA(A579:I579)=0,"",IF(N(A579)&lt;=0,"Date manquante ou invalide",IF(B579="","Équipe manquante",IF(ISNA(MATCH(B579,eq_code,0)),"Équipe inconnue",IF(INDEX(eq_check,MATCH(B579,eq_code,0))&lt;&gt;"OK","Équipe à corriger dans Paramètres",IF(C579="","Poste manquant",IF(ISNA(MATCH(C579,po_code,0)),"Poste inconnu",IF(AND(E579&lt;&gt;"",ISNA(MATCH(E579,art_ref,0))),"Article inconnu",IF(IF(E579="",FALSE,INDEX(art_check,MATCH(E579,art_ref,0))&lt;&gt;"OK"),"Article à corriger (feuille Articles)",IF(COUNTIFS(sj_date,A579,sj_eq,B579,sj_po,C579)&gt;1,"Ligne en double (même jour, équipe et poste)",IF(OR(NOT(ISNUMBER(K579)),N(K579)&lt;=0,N(K579)&gt;1440),"Temps d'ouverture invalide",IF(OR(AND(G579&lt;&gt;"",NOT(ISNUMBER(G579))),N(G579)&lt;0,N(G579)&lt;&gt;INT(N(G579)),AND(H579&lt;&gt;"",NOT(ISNUMBER(H579))),N(H579)&lt;0,N(H579)&lt;&gt;INT(N(H579)),AND(I579&lt;&gt;"",NOT(ISNUMBER(I579))),N(I579)&lt;0,N(I579)&lt;&gt;INT(N(I579))),"Quantité invalide",IF(Q579&lt;=0,"Cadence manquante (poste ou article)",IF(M579&lt;=0,"Arrêts planifiés supérieurs au temps d'ouverture",IF(O579&lt;0,"Arrêts supérieurs au temps requis",IF(AND(P579&gt;0,O579=0),"Pièces déclarées sans temps de marche",IF(AND(P579=0,O579&gt;0),"Aucune pièce déclarée",IF(P579*60/Q579&gt;O579+0.001,"Cadence dépassée : vérifiez la cadence","OK"))))))))))))))))))</f>
        <v/>
      </c>
      <c r="AC579">
        <f>IF(OR(AB579="OK",AB579="Aucune pièce déclarée",AB579="Cadence dépassée : vérifiez la cadence"),1,0)</f>
        <v>0.0</v>
      </c>
      <c r="AD579">
        <f>IF(AND(AC579=1,A579&gt;=p_from,A579&lt;=p_to),1,0)</f>
        <v>0.0</v>
      </c>
      <c r="AE579">
        <f>IF(AD579=1,IF(COUNTIFS($A$6:A579,A579,$AD$6:AD579,1)=1,1,0),0)</f>
        <v>0.0</v>
      </c>
      <c r="AF579" t="str">
        <f>IF(AE579=1,COUNTIFS(sj_first,1,sj_date,"&lt;"&amp;A579)+1,"")</f>
        <v/>
      </c>
      <c r="AG579" t="str">
        <f>IF(AND(AD579=1,N(W579)&lt;p_alert),ROUND(W579,4),"")</f>
        <v/>
      </c>
      <c r="AH579" t="str">
        <f>IF(AG579="","",COUNTIF(sj_akey,"&lt;"&amp;AG579)+COUNTIF($AG$6:AG579,AG579))</f>
        <v/>
      </c>
    </row>
    <row r="580">
      <c r="A580" s="51" t="n"/>
      <c r="B580" s="52" t="n"/>
      <c r="C580" s="52" t="n"/>
      <c r="D580" s="53" t="n"/>
      <c r="E580" s="53" t="n"/>
      <c r="F580" s="54" t="n"/>
      <c r="G580" s="54" t="n"/>
      <c r="H580" s="54" t="n"/>
      <c r="I580" s="54" t="n"/>
      <c r="J580" s="53" t="n"/>
      <c r="K580" s="55" t="str">
        <f>IF(COUNTA(A580:I580)=0,"",IF(F580="",IFERROR(INDEX(eq_dur,MATCH(B580,eq_code,0)),""),F580))</f>
        <v/>
      </c>
      <c r="L580" s="55" t="str">
        <f>IF(ISNUMBER(K580),N(IFERROR(INDEX(eq_pause,MATCH(B580,eq_code,0)),0))+SUMIFS(st_min,st_date,A580,st_eq,B580,st_po,C580,st_type,"Planifié"),"")</f>
        <v/>
      </c>
      <c r="M580" s="55" t="str">
        <f>IF(ISNUMBER(K580),K580-L580,"")</f>
        <v/>
      </c>
      <c r="N580" s="55" t="str">
        <f>IF(ISNUMBER(K580),SUMIFS(st_min,st_date,A580,st_eq,B580,st_po,C580,st_type,"Non planifié"),"")</f>
        <v/>
      </c>
      <c r="O580" s="55" t="str">
        <f>IF(ISNUMBER(K580),M580-N580,"")</f>
        <v/>
      </c>
      <c r="P580" s="55" t="str">
        <f>IF(COUNTA(A580:I580)=0,"",N(G580)+N(H580)+N(I580))</f>
        <v/>
      </c>
      <c r="Q580" s="56" t="str">
        <f>IF(COUNTA(A580:I580)=0,"",IF(N(IFERROR(INDEX(art_rate,MATCH(E580,art_ref,0)),0))&gt;0,N(IFERROR(INDEX(art_rate,MATCH(E580,art_ref,0)),0)),N(IFERROR(INDEX(po_rate,MATCH(C580,po_code,0)),0))))</f>
        <v/>
      </c>
      <c r="R580" s="55" t="str">
        <f>IF(AC580=1,P580*60/Q580,"")</f>
        <v/>
      </c>
      <c r="S580" s="55" t="str">
        <f>IF(AC580=1,N(G580)*60/Q580,"")</f>
        <v/>
      </c>
      <c r="T580" s="57" t="str">
        <f>IF(AC580=1,O580/M580,"")</f>
        <v/>
      </c>
      <c r="U580" s="57" t="str">
        <f>IF(AC580=1,IF(O580&gt;0,R580/O580,""),"")</f>
        <v/>
      </c>
      <c r="V580" s="57" t="str">
        <f>IF(AC580=1,IF(P580&gt;0,N(G580)/P580,""),"")</f>
        <v/>
      </c>
      <c r="W580" s="57" t="str">
        <f>IF(AC580=1,S580/M580,"")</f>
        <v/>
      </c>
      <c r="X580" s="57" t="str">
        <f>IF(AC580=1,S580/K580,"")</f>
        <v/>
      </c>
      <c r="Y580" s="58" t="str">
        <f>IF(W580="","",IF(W580&gt;=p_target,"Bon",IF(W580&gt;=p_alert,"À surveiller","Faible")))</f>
        <v/>
      </c>
      <c r="Z580" s="58" t="str">
        <f>IF(W580="","",IF(MIN(IF(T580="",1,T580),IF(U580="",1,U580),IF(V580="",1,V580))&gt;=1,"Aucune",IF(IF(T580="",1,T580)&lt;=MIN(IF(U580="",1,U580),IF(V580="",1,V580)),"Disponibilité",IF(IF(U580="",1,U580)&lt;=IF(V580="",1,V580),"Performance","Qualité"))))</f>
        <v/>
      </c>
      <c r="AA580" s="59" t="str">
        <f>IF(AC580=1,N(H580)*N(IFERROR(INDEX(art_cost,MATCH(E580,art_ref,0)),0)),"")</f>
        <v/>
      </c>
      <c r="AB580" s="58" t="str">
        <f>IF(COUNTA(A580:I580)=0,"",IF(N(A580)&lt;=0,"Date manquante ou invalide",IF(B580="","Équipe manquante",IF(ISNA(MATCH(B580,eq_code,0)),"Équipe inconnue",IF(INDEX(eq_check,MATCH(B580,eq_code,0))&lt;&gt;"OK","Équipe à corriger dans Paramètres",IF(C580="","Poste manquant",IF(ISNA(MATCH(C580,po_code,0)),"Poste inconnu",IF(AND(E580&lt;&gt;"",ISNA(MATCH(E580,art_ref,0))),"Article inconnu",IF(IF(E580="",FALSE,INDEX(art_check,MATCH(E580,art_ref,0))&lt;&gt;"OK"),"Article à corriger (feuille Articles)",IF(COUNTIFS(sj_date,A580,sj_eq,B580,sj_po,C580)&gt;1,"Ligne en double (même jour, équipe et poste)",IF(OR(NOT(ISNUMBER(K580)),N(K580)&lt;=0,N(K580)&gt;1440),"Temps d'ouverture invalide",IF(OR(AND(G580&lt;&gt;"",NOT(ISNUMBER(G580))),N(G580)&lt;0,N(G580)&lt;&gt;INT(N(G580)),AND(H580&lt;&gt;"",NOT(ISNUMBER(H580))),N(H580)&lt;0,N(H580)&lt;&gt;INT(N(H580)),AND(I580&lt;&gt;"",NOT(ISNUMBER(I580))),N(I580)&lt;0,N(I580)&lt;&gt;INT(N(I580))),"Quantité invalide",IF(Q580&lt;=0,"Cadence manquante (poste ou article)",IF(M580&lt;=0,"Arrêts planifiés supérieurs au temps d'ouverture",IF(O580&lt;0,"Arrêts supérieurs au temps requis",IF(AND(P580&gt;0,O580=0),"Pièces déclarées sans temps de marche",IF(AND(P580=0,O580&gt;0),"Aucune pièce déclarée",IF(P580*60/Q580&gt;O580+0.001,"Cadence dépassée : vérifiez la cadence","OK"))))))))))))))))))</f>
        <v/>
      </c>
      <c r="AC580">
        <f>IF(OR(AB580="OK",AB580="Aucune pièce déclarée",AB580="Cadence dépassée : vérifiez la cadence"),1,0)</f>
        <v>0.0</v>
      </c>
      <c r="AD580">
        <f>IF(AND(AC580=1,A580&gt;=p_from,A580&lt;=p_to),1,0)</f>
        <v>0.0</v>
      </c>
      <c r="AE580">
        <f>IF(AD580=1,IF(COUNTIFS($A$6:A580,A580,$AD$6:AD580,1)=1,1,0),0)</f>
        <v>0.0</v>
      </c>
      <c r="AF580" t="str">
        <f>IF(AE580=1,COUNTIFS(sj_first,1,sj_date,"&lt;"&amp;A580)+1,"")</f>
        <v/>
      </c>
      <c r="AG580" t="str">
        <f>IF(AND(AD580=1,N(W580)&lt;p_alert),ROUND(W580,4),"")</f>
        <v/>
      </c>
      <c r="AH580" t="str">
        <f>IF(AG580="","",COUNTIF(sj_akey,"&lt;"&amp;AG580)+COUNTIF($AG$6:AG580,AG580))</f>
        <v/>
      </c>
    </row>
    <row r="581">
      <c r="A581" s="51" t="n"/>
      <c r="B581" s="52" t="n"/>
      <c r="C581" s="52" t="n"/>
      <c r="D581" s="53" t="n"/>
      <c r="E581" s="53" t="n"/>
      <c r="F581" s="54" t="n"/>
      <c r="G581" s="54" t="n"/>
      <c r="H581" s="54" t="n"/>
      <c r="I581" s="54" t="n"/>
      <c r="J581" s="53" t="n"/>
      <c r="K581" s="55" t="str">
        <f>IF(COUNTA(A581:I581)=0,"",IF(F581="",IFERROR(INDEX(eq_dur,MATCH(B581,eq_code,0)),""),F581))</f>
        <v/>
      </c>
      <c r="L581" s="55" t="str">
        <f>IF(ISNUMBER(K581),N(IFERROR(INDEX(eq_pause,MATCH(B581,eq_code,0)),0))+SUMIFS(st_min,st_date,A581,st_eq,B581,st_po,C581,st_type,"Planifié"),"")</f>
        <v/>
      </c>
      <c r="M581" s="55" t="str">
        <f>IF(ISNUMBER(K581),K581-L581,"")</f>
        <v/>
      </c>
      <c r="N581" s="55" t="str">
        <f>IF(ISNUMBER(K581),SUMIFS(st_min,st_date,A581,st_eq,B581,st_po,C581,st_type,"Non planifié"),"")</f>
        <v/>
      </c>
      <c r="O581" s="55" t="str">
        <f>IF(ISNUMBER(K581),M581-N581,"")</f>
        <v/>
      </c>
      <c r="P581" s="55" t="str">
        <f>IF(COUNTA(A581:I581)=0,"",N(G581)+N(H581)+N(I581))</f>
        <v/>
      </c>
      <c r="Q581" s="56" t="str">
        <f>IF(COUNTA(A581:I581)=0,"",IF(N(IFERROR(INDEX(art_rate,MATCH(E581,art_ref,0)),0))&gt;0,N(IFERROR(INDEX(art_rate,MATCH(E581,art_ref,0)),0)),N(IFERROR(INDEX(po_rate,MATCH(C581,po_code,0)),0))))</f>
        <v/>
      </c>
      <c r="R581" s="55" t="str">
        <f>IF(AC581=1,P581*60/Q581,"")</f>
        <v/>
      </c>
      <c r="S581" s="55" t="str">
        <f>IF(AC581=1,N(G581)*60/Q581,"")</f>
        <v/>
      </c>
      <c r="T581" s="57" t="str">
        <f>IF(AC581=1,O581/M581,"")</f>
        <v/>
      </c>
      <c r="U581" s="57" t="str">
        <f>IF(AC581=1,IF(O581&gt;0,R581/O581,""),"")</f>
        <v/>
      </c>
      <c r="V581" s="57" t="str">
        <f>IF(AC581=1,IF(P581&gt;0,N(G581)/P581,""),"")</f>
        <v/>
      </c>
      <c r="W581" s="57" t="str">
        <f>IF(AC581=1,S581/M581,"")</f>
        <v/>
      </c>
      <c r="X581" s="57" t="str">
        <f>IF(AC581=1,S581/K581,"")</f>
        <v/>
      </c>
      <c r="Y581" s="58" t="str">
        <f>IF(W581="","",IF(W581&gt;=p_target,"Bon",IF(W581&gt;=p_alert,"À surveiller","Faible")))</f>
        <v/>
      </c>
      <c r="Z581" s="58" t="str">
        <f>IF(W581="","",IF(MIN(IF(T581="",1,T581),IF(U581="",1,U581),IF(V581="",1,V581))&gt;=1,"Aucune",IF(IF(T581="",1,T581)&lt;=MIN(IF(U581="",1,U581),IF(V581="",1,V581)),"Disponibilité",IF(IF(U581="",1,U581)&lt;=IF(V581="",1,V581),"Performance","Qualité"))))</f>
        <v/>
      </c>
      <c r="AA581" s="59" t="str">
        <f>IF(AC581=1,N(H581)*N(IFERROR(INDEX(art_cost,MATCH(E581,art_ref,0)),0)),"")</f>
        <v/>
      </c>
      <c r="AB581" s="58" t="str">
        <f>IF(COUNTA(A581:I581)=0,"",IF(N(A581)&lt;=0,"Date manquante ou invalide",IF(B581="","Équipe manquante",IF(ISNA(MATCH(B581,eq_code,0)),"Équipe inconnue",IF(INDEX(eq_check,MATCH(B581,eq_code,0))&lt;&gt;"OK","Équipe à corriger dans Paramètres",IF(C581="","Poste manquant",IF(ISNA(MATCH(C581,po_code,0)),"Poste inconnu",IF(AND(E581&lt;&gt;"",ISNA(MATCH(E581,art_ref,0))),"Article inconnu",IF(IF(E581="",FALSE,INDEX(art_check,MATCH(E581,art_ref,0))&lt;&gt;"OK"),"Article à corriger (feuille Articles)",IF(COUNTIFS(sj_date,A581,sj_eq,B581,sj_po,C581)&gt;1,"Ligne en double (même jour, équipe et poste)",IF(OR(NOT(ISNUMBER(K581)),N(K581)&lt;=0,N(K581)&gt;1440),"Temps d'ouverture invalide",IF(OR(AND(G581&lt;&gt;"",NOT(ISNUMBER(G581))),N(G581)&lt;0,N(G581)&lt;&gt;INT(N(G581)),AND(H581&lt;&gt;"",NOT(ISNUMBER(H581))),N(H581)&lt;0,N(H581)&lt;&gt;INT(N(H581)),AND(I581&lt;&gt;"",NOT(ISNUMBER(I581))),N(I581)&lt;0,N(I581)&lt;&gt;INT(N(I581))),"Quantité invalide",IF(Q581&lt;=0,"Cadence manquante (poste ou article)",IF(M581&lt;=0,"Arrêts planifiés supérieurs au temps d'ouverture",IF(O581&lt;0,"Arrêts supérieurs au temps requis",IF(AND(P581&gt;0,O581=0),"Pièces déclarées sans temps de marche",IF(AND(P581=0,O581&gt;0),"Aucune pièce déclarée",IF(P581*60/Q581&gt;O581+0.001,"Cadence dépassée : vérifiez la cadence","OK"))))))))))))))))))</f>
        <v/>
      </c>
      <c r="AC581">
        <f>IF(OR(AB581="OK",AB581="Aucune pièce déclarée",AB581="Cadence dépassée : vérifiez la cadence"),1,0)</f>
        <v>0.0</v>
      </c>
      <c r="AD581">
        <f>IF(AND(AC581=1,A581&gt;=p_from,A581&lt;=p_to),1,0)</f>
        <v>0.0</v>
      </c>
      <c r="AE581">
        <f>IF(AD581=1,IF(COUNTIFS($A$6:A581,A581,$AD$6:AD581,1)=1,1,0),0)</f>
        <v>0.0</v>
      </c>
      <c r="AF581" t="str">
        <f>IF(AE581=1,COUNTIFS(sj_first,1,sj_date,"&lt;"&amp;A581)+1,"")</f>
        <v/>
      </c>
      <c r="AG581" t="str">
        <f>IF(AND(AD581=1,N(W581)&lt;p_alert),ROUND(W581,4),"")</f>
        <v/>
      </c>
      <c r="AH581" t="str">
        <f>IF(AG581="","",COUNTIF(sj_akey,"&lt;"&amp;AG581)+COUNTIF($AG$6:AG581,AG581))</f>
        <v/>
      </c>
    </row>
    <row r="582">
      <c r="A582" s="51" t="n"/>
      <c r="B582" s="52" t="n"/>
      <c r="C582" s="52" t="n"/>
      <c r="D582" s="53" t="n"/>
      <c r="E582" s="53" t="n"/>
      <c r="F582" s="54" t="n"/>
      <c r="G582" s="54" t="n"/>
      <c r="H582" s="54" t="n"/>
      <c r="I582" s="54" t="n"/>
      <c r="J582" s="53" t="n"/>
      <c r="K582" s="55" t="str">
        <f>IF(COUNTA(A582:I582)=0,"",IF(F582="",IFERROR(INDEX(eq_dur,MATCH(B582,eq_code,0)),""),F582))</f>
        <v/>
      </c>
      <c r="L582" s="55" t="str">
        <f>IF(ISNUMBER(K582),N(IFERROR(INDEX(eq_pause,MATCH(B582,eq_code,0)),0))+SUMIFS(st_min,st_date,A582,st_eq,B582,st_po,C582,st_type,"Planifié"),"")</f>
        <v/>
      </c>
      <c r="M582" s="55" t="str">
        <f>IF(ISNUMBER(K582),K582-L582,"")</f>
        <v/>
      </c>
      <c r="N582" s="55" t="str">
        <f>IF(ISNUMBER(K582),SUMIFS(st_min,st_date,A582,st_eq,B582,st_po,C582,st_type,"Non planifié"),"")</f>
        <v/>
      </c>
      <c r="O582" s="55" t="str">
        <f>IF(ISNUMBER(K582),M582-N582,"")</f>
        <v/>
      </c>
      <c r="P582" s="55" t="str">
        <f>IF(COUNTA(A582:I582)=0,"",N(G582)+N(H582)+N(I582))</f>
        <v/>
      </c>
      <c r="Q582" s="56" t="str">
        <f>IF(COUNTA(A582:I582)=0,"",IF(N(IFERROR(INDEX(art_rate,MATCH(E582,art_ref,0)),0))&gt;0,N(IFERROR(INDEX(art_rate,MATCH(E582,art_ref,0)),0)),N(IFERROR(INDEX(po_rate,MATCH(C582,po_code,0)),0))))</f>
        <v/>
      </c>
      <c r="R582" s="55" t="str">
        <f>IF(AC582=1,P582*60/Q582,"")</f>
        <v/>
      </c>
      <c r="S582" s="55" t="str">
        <f>IF(AC582=1,N(G582)*60/Q582,"")</f>
        <v/>
      </c>
      <c r="T582" s="57" t="str">
        <f>IF(AC582=1,O582/M582,"")</f>
        <v/>
      </c>
      <c r="U582" s="57" t="str">
        <f>IF(AC582=1,IF(O582&gt;0,R582/O582,""),"")</f>
        <v/>
      </c>
      <c r="V582" s="57" t="str">
        <f>IF(AC582=1,IF(P582&gt;0,N(G582)/P582,""),"")</f>
        <v/>
      </c>
      <c r="W582" s="57" t="str">
        <f>IF(AC582=1,S582/M582,"")</f>
        <v/>
      </c>
      <c r="X582" s="57" t="str">
        <f>IF(AC582=1,S582/K582,"")</f>
        <v/>
      </c>
      <c r="Y582" s="58" t="str">
        <f>IF(W582="","",IF(W582&gt;=p_target,"Bon",IF(W582&gt;=p_alert,"À surveiller","Faible")))</f>
        <v/>
      </c>
      <c r="Z582" s="58" t="str">
        <f>IF(W582="","",IF(MIN(IF(T582="",1,T582),IF(U582="",1,U582),IF(V582="",1,V582))&gt;=1,"Aucune",IF(IF(T582="",1,T582)&lt;=MIN(IF(U582="",1,U582),IF(V582="",1,V582)),"Disponibilité",IF(IF(U582="",1,U582)&lt;=IF(V582="",1,V582),"Performance","Qualité"))))</f>
        <v/>
      </c>
      <c r="AA582" s="59" t="str">
        <f>IF(AC582=1,N(H582)*N(IFERROR(INDEX(art_cost,MATCH(E582,art_ref,0)),0)),"")</f>
        <v/>
      </c>
      <c r="AB582" s="58" t="str">
        <f>IF(COUNTA(A582:I582)=0,"",IF(N(A582)&lt;=0,"Date manquante ou invalide",IF(B582="","Équipe manquante",IF(ISNA(MATCH(B582,eq_code,0)),"Équipe inconnue",IF(INDEX(eq_check,MATCH(B582,eq_code,0))&lt;&gt;"OK","Équipe à corriger dans Paramètres",IF(C582="","Poste manquant",IF(ISNA(MATCH(C582,po_code,0)),"Poste inconnu",IF(AND(E582&lt;&gt;"",ISNA(MATCH(E582,art_ref,0))),"Article inconnu",IF(IF(E582="",FALSE,INDEX(art_check,MATCH(E582,art_ref,0))&lt;&gt;"OK"),"Article à corriger (feuille Articles)",IF(COUNTIFS(sj_date,A582,sj_eq,B582,sj_po,C582)&gt;1,"Ligne en double (même jour, équipe et poste)",IF(OR(NOT(ISNUMBER(K582)),N(K582)&lt;=0,N(K582)&gt;1440),"Temps d'ouverture invalide",IF(OR(AND(G582&lt;&gt;"",NOT(ISNUMBER(G582))),N(G582)&lt;0,N(G582)&lt;&gt;INT(N(G582)),AND(H582&lt;&gt;"",NOT(ISNUMBER(H582))),N(H582)&lt;0,N(H582)&lt;&gt;INT(N(H582)),AND(I582&lt;&gt;"",NOT(ISNUMBER(I582))),N(I582)&lt;0,N(I582)&lt;&gt;INT(N(I582))),"Quantité invalide",IF(Q582&lt;=0,"Cadence manquante (poste ou article)",IF(M582&lt;=0,"Arrêts planifiés supérieurs au temps d'ouverture",IF(O582&lt;0,"Arrêts supérieurs au temps requis",IF(AND(P582&gt;0,O582=0),"Pièces déclarées sans temps de marche",IF(AND(P582=0,O582&gt;0),"Aucune pièce déclarée",IF(P582*60/Q582&gt;O582+0.001,"Cadence dépassée : vérifiez la cadence","OK"))))))))))))))))))</f>
        <v/>
      </c>
      <c r="AC582">
        <f>IF(OR(AB582="OK",AB582="Aucune pièce déclarée",AB582="Cadence dépassée : vérifiez la cadence"),1,0)</f>
        <v>0.0</v>
      </c>
      <c r="AD582">
        <f>IF(AND(AC582=1,A582&gt;=p_from,A582&lt;=p_to),1,0)</f>
        <v>0.0</v>
      </c>
      <c r="AE582">
        <f>IF(AD582=1,IF(COUNTIFS($A$6:A582,A582,$AD$6:AD582,1)=1,1,0),0)</f>
        <v>0.0</v>
      </c>
      <c r="AF582" t="str">
        <f>IF(AE582=1,COUNTIFS(sj_first,1,sj_date,"&lt;"&amp;A582)+1,"")</f>
        <v/>
      </c>
      <c r="AG582" t="str">
        <f>IF(AND(AD582=1,N(W582)&lt;p_alert),ROUND(W582,4),"")</f>
        <v/>
      </c>
      <c r="AH582" t="str">
        <f>IF(AG582="","",COUNTIF(sj_akey,"&lt;"&amp;AG582)+COUNTIF($AG$6:AG582,AG582))</f>
        <v/>
      </c>
    </row>
    <row r="583">
      <c r="A583" s="51" t="n"/>
      <c r="B583" s="52" t="n"/>
      <c r="C583" s="52" t="n"/>
      <c r="D583" s="53" t="n"/>
      <c r="E583" s="53" t="n"/>
      <c r="F583" s="54" t="n"/>
      <c r="G583" s="54" t="n"/>
      <c r="H583" s="54" t="n"/>
      <c r="I583" s="54" t="n"/>
      <c r="J583" s="53" t="n"/>
      <c r="K583" s="55" t="str">
        <f>IF(COUNTA(A583:I583)=0,"",IF(F583="",IFERROR(INDEX(eq_dur,MATCH(B583,eq_code,0)),""),F583))</f>
        <v/>
      </c>
      <c r="L583" s="55" t="str">
        <f>IF(ISNUMBER(K583),N(IFERROR(INDEX(eq_pause,MATCH(B583,eq_code,0)),0))+SUMIFS(st_min,st_date,A583,st_eq,B583,st_po,C583,st_type,"Planifié"),"")</f>
        <v/>
      </c>
      <c r="M583" s="55" t="str">
        <f>IF(ISNUMBER(K583),K583-L583,"")</f>
        <v/>
      </c>
      <c r="N583" s="55" t="str">
        <f>IF(ISNUMBER(K583),SUMIFS(st_min,st_date,A583,st_eq,B583,st_po,C583,st_type,"Non planifié"),"")</f>
        <v/>
      </c>
      <c r="O583" s="55" t="str">
        <f>IF(ISNUMBER(K583),M583-N583,"")</f>
        <v/>
      </c>
      <c r="P583" s="55" t="str">
        <f>IF(COUNTA(A583:I583)=0,"",N(G583)+N(H583)+N(I583))</f>
        <v/>
      </c>
      <c r="Q583" s="56" t="str">
        <f>IF(COUNTA(A583:I583)=0,"",IF(N(IFERROR(INDEX(art_rate,MATCH(E583,art_ref,0)),0))&gt;0,N(IFERROR(INDEX(art_rate,MATCH(E583,art_ref,0)),0)),N(IFERROR(INDEX(po_rate,MATCH(C583,po_code,0)),0))))</f>
        <v/>
      </c>
      <c r="R583" s="55" t="str">
        <f>IF(AC583=1,P583*60/Q583,"")</f>
        <v/>
      </c>
      <c r="S583" s="55" t="str">
        <f>IF(AC583=1,N(G583)*60/Q583,"")</f>
        <v/>
      </c>
      <c r="T583" s="57" t="str">
        <f>IF(AC583=1,O583/M583,"")</f>
        <v/>
      </c>
      <c r="U583" s="57" t="str">
        <f>IF(AC583=1,IF(O583&gt;0,R583/O583,""),"")</f>
        <v/>
      </c>
      <c r="V583" s="57" t="str">
        <f>IF(AC583=1,IF(P583&gt;0,N(G583)/P583,""),"")</f>
        <v/>
      </c>
      <c r="W583" s="57" t="str">
        <f>IF(AC583=1,S583/M583,"")</f>
        <v/>
      </c>
      <c r="X583" s="57" t="str">
        <f>IF(AC583=1,S583/K583,"")</f>
        <v/>
      </c>
      <c r="Y583" s="58" t="str">
        <f>IF(W583="","",IF(W583&gt;=p_target,"Bon",IF(W583&gt;=p_alert,"À surveiller","Faible")))</f>
        <v/>
      </c>
      <c r="Z583" s="58" t="str">
        <f>IF(W583="","",IF(MIN(IF(T583="",1,T583),IF(U583="",1,U583),IF(V583="",1,V583))&gt;=1,"Aucune",IF(IF(T583="",1,T583)&lt;=MIN(IF(U583="",1,U583),IF(V583="",1,V583)),"Disponibilité",IF(IF(U583="",1,U583)&lt;=IF(V583="",1,V583),"Performance","Qualité"))))</f>
        <v/>
      </c>
      <c r="AA583" s="59" t="str">
        <f>IF(AC583=1,N(H583)*N(IFERROR(INDEX(art_cost,MATCH(E583,art_ref,0)),0)),"")</f>
        <v/>
      </c>
      <c r="AB583" s="58" t="str">
        <f>IF(COUNTA(A583:I583)=0,"",IF(N(A583)&lt;=0,"Date manquante ou invalide",IF(B583="","Équipe manquante",IF(ISNA(MATCH(B583,eq_code,0)),"Équipe inconnue",IF(INDEX(eq_check,MATCH(B583,eq_code,0))&lt;&gt;"OK","Équipe à corriger dans Paramètres",IF(C583="","Poste manquant",IF(ISNA(MATCH(C583,po_code,0)),"Poste inconnu",IF(AND(E583&lt;&gt;"",ISNA(MATCH(E583,art_ref,0))),"Article inconnu",IF(IF(E583="",FALSE,INDEX(art_check,MATCH(E583,art_ref,0))&lt;&gt;"OK"),"Article à corriger (feuille Articles)",IF(COUNTIFS(sj_date,A583,sj_eq,B583,sj_po,C583)&gt;1,"Ligne en double (même jour, équipe et poste)",IF(OR(NOT(ISNUMBER(K583)),N(K583)&lt;=0,N(K583)&gt;1440),"Temps d'ouverture invalide",IF(OR(AND(G583&lt;&gt;"",NOT(ISNUMBER(G583))),N(G583)&lt;0,N(G583)&lt;&gt;INT(N(G583)),AND(H583&lt;&gt;"",NOT(ISNUMBER(H583))),N(H583)&lt;0,N(H583)&lt;&gt;INT(N(H583)),AND(I583&lt;&gt;"",NOT(ISNUMBER(I583))),N(I583)&lt;0,N(I583)&lt;&gt;INT(N(I583))),"Quantité invalide",IF(Q583&lt;=0,"Cadence manquante (poste ou article)",IF(M583&lt;=0,"Arrêts planifiés supérieurs au temps d'ouverture",IF(O583&lt;0,"Arrêts supérieurs au temps requis",IF(AND(P583&gt;0,O583=0),"Pièces déclarées sans temps de marche",IF(AND(P583=0,O583&gt;0),"Aucune pièce déclarée",IF(P583*60/Q583&gt;O583+0.001,"Cadence dépassée : vérifiez la cadence","OK"))))))))))))))))))</f>
        <v/>
      </c>
      <c r="AC583">
        <f>IF(OR(AB583="OK",AB583="Aucune pièce déclarée",AB583="Cadence dépassée : vérifiez la cadence"),1,0)</f>
        <v>0.0</v>
      </c>
      <c r="AD583">
        <f>IF(AND(AC583=1,A583&gt;=p_from,A583&lt;=p_to),1,0)</f>
        <v>0.0</v>
      </c>
      <c r="AE583">
        <f>IF(AD583=1,IF(COUNTIFS($A$6:A583,A583,$AD$6:AD583,1)=1,1,0),0)</f>
        <v>0.0</v>
      </c>
      <c r="AF583" t="str">
        <f>IF(AE583=1,COUNTIFS(sj_first,1,sj_date,"&lt;"&amp;A583)+1,"")</f>
        <v/>
      </c>
      <c r="AG583" t="str">
        <f>IF(AND(AD583=1,N(W583)&lt;p_alert),ROUND(W583,4),"")</f>
        <v/>
      </c>
      <c r="AH583" t="str">
        <f>IF(AG583="","",COUNTIF(sj_akey,"&lt;"&amp;AG583)+COUNTIF($AG$6:AG583,AG583))</f>
        <v/>
      </c>
    </row>
    <row r="584">
      <c r="A584" s="51" t="n"/>
      <c r="B584" s="52" t="n"/>
      <c r="C584" s="52" t="n"/>
      <c r="D584" s="53" t="n"/>
      <c r="E584" s="53" t="n"/>
      <c r="F584" s="54" t="n"/>
      <c r="G584" s="54" t="n"/>
      <c r="H584" s="54" t="n"/>
      <c r="I584" s="54" t="n"/>
      <c r="J584" s="53" t="n"/>
      <c r="K584" s="55" t="str">
        <f>IF(COUNTA(A584:I584)=0,"",IF(F584="",IFERROR(INDEX(eq_dur,MATCH(B584,eq_code,0)),""),F584))</f>
        <v/>
      </c>
      <c r="L584" s="55" t="str">
        <f>IF(ISNUMBER(K584),N(IFERROR(INDEX(eq_pause,MATCH(B584,eq_code,0)),0))+SUMIFS(st_min,st_date,A584,st_eq,B584,st_po,C584,st_type,"Planifié"),"")</f>
        <v/>
      </c>
      <c r="M584" s="55" t="str">
        <f>IF(ISNUMBER(K584),K584-L584,"")</f>
        <v/>
      </c>
      <c r="N584" s="55" t="str">
        <f>IF(ISNUMBER(K584),SUMIFS(st_min,st_date,A584,st_eq,B584,st_po,C584,st_type,"Non planifié"),"")</f>
        <v/>
      </c>
      <c r="O584" s="55" t="str">
        <f>IF(ISNUMBER(K584),M584-N584,"")</f>
        <v/>
      </c>
      <c r="P584" s="55" t="str">
        <f>IF(COUNTA(A584:I584)=0,"",N(G584)+N(H584)+N(I584))</f>
        <v/>
      </c>
      <c r="Q584" s="56" t="str">
        <f>IF(COUNTA(A584:I584)=0,"",IF(N(IFERROR(INDEX(art_rate,MATCH(E584,art_ref,0)),0))&gt;0,N(IFERROR(INDEX(art_rate,MATCH(E584,art_ref,0)),0)),N(IFERROR(INDEX(po_rate,MATCH(C584,po_code,0)),0))))</f>
        <v/>
      </c>
      <c r="R584" s="55" t="str">
        <f>IF(AC584=1,P584*60/Q584,"")</f>
        <v/>
      </c>
      <c r="S584" s="55" t="str">
        <f>IF(AC584=1,N(G584)*60/Q584,"")</f>
        <v/>
      </c>
      <c r="T584" s="57" t="str">
        <f>IF(AC584=1,O584/M584,"")</f>
        <v/>
      </c>
      <c r="U584" s="57" t="str">
        <f>IF(AC584=1,IF(O584&gt;0,R584/O584,""),"")</f>
        <v/>
      </c>
      <c r="V584" s="57" t="str">
        <f>IF(AC584=1,IF(P584&gt;0,N(G584)/P584,""),"")</f>
        <v/>
      </c>
      <c r="W584" s="57" t="str">
        <f>IF(AC584=1,S584/M584,"")</f>
        <v/>
      </c>
      <c r="X584" s="57" t="str">
        <f>IF(AC584=1,S584/K584,"")</f>
        <v/>
      </c>
      <c r="Y584" s="58" t="str">
        <f>IF(W584="","",IF(W584&gt;=p_target,"Bon",IF(W584&gt;=p_alert,"À surveiller","Faible")))</f>
        <v/>
      </c>
      <c r="Z584" s="58" t="str">
        <f>IF(W584="","",IF(MIN(IF(T584="",1,T584),IF(U584="",1,U584),IF(V584="",1,V584))&gt;=1,"Aucune",IF(IF(T584="",1,T584)&lt;=MIN(IF(U584="",1,U584),IF(V584="",1,V584)),"Disponibilité",IF(IF(U584="",1,U584)&lt;=IF(V584="",1,V584),"Performance","Qualité"))))</f>
        <v/>
      </c>
      <c r="AA584" s="59" t="str">
        <f>IF(AC584=1,N(H584)*N(IFERROR(INDEX(art_cost,MATCH(E584,art_ref,0)),0)),"")</f>
        <v/>
      </c>
      <c r="AB584" s="58" t="str">
        <f>IF(COUNTA(A584:I584)=0,"",IF(N(A584)&lt;=0,"Date manquante ou invalide",IF(B584="","Équipe manquante",IF(ISNA(MATCH(B584,eq_code,0)),"Équipe inconnue",IF(INDEX(eq_check,MATCH(B584,eq_code,0))&lt;&gt;"OK","Équipe à corriger dans Paramètres",IF(C584="","Poste manquant",IF(ISNA(MATCH(C584,po_code,0)),"Poste inconnu",IF(AND(E584&lt;&gt;"",ISNA(MATCH(E584,art_ref,0))),"Article inconnu",IF(IF(E584="",FALSE,INDEX(art_check,MATCH(E584,art_ref,0))&lt;&gt;"OK"),"Article à corriger (feuille Articles)",IF(COUNTIFS(sj_date,A584,sj_eq,B584,sj_po,C584)&gt;1,"Ligne en double (même jour, équipe et poste)",IF(OR(NOT(ISNUMBER(K584)),N(K584)&lt;=0,N(K584)&gt;1440),"Temps d'ouverture invalide",IF(OR(AND(G584&lt;&gt;"",NOT(ISNUMBER(G584))),N(G584)&lt;0,N(G584)&lt;&gt;INT(N(G584)),AND(H584&lt;&gt;"",NOT(ISNUMBER(H584))),N(H584)&lt;0,N(H584)&lt;&gt;INT(N(H584)),AND(I584&lt;&gt;"",NOT(ISNUMBER(I584))),N(I584)&lt;0,N(I584)&lt;&gt;INT(N(I584))),"Quantité invalide",IF(Q584&lt;=0,"Cadence manquante (poste ou article)",IF(M584&lt;=0,"Arrêts planifiés supérieurs au temps d'ouverture",IF(O584&lt;0,"Arrêts supérieurs au temps requis",IF(AND(P584&gt;0,O584=0),"Pièces déclarées sans temps de marche",IF(AND(P584=0,O584&gt;0),"Aucune pièce déclarée",IF(P584*60/Q584&gt;O584+0.001,"Cadence dépassée : vérifiez la cadence","OK"))))))))))))))))))</f>
        <v/>
      </c>
      <c r="AC584">
        <f>IF(OR(AB584="OK",AB584="Aucune pièce déclarée",AB584="Cadence dépassée : vérifiez la cadence"),1,0)</f>
        <v>0.0</v>
      </c>
      <c r="AD584">
        <f>IF(AND(AC584=1,A584&gt;=p_from,A584&lt;=p_to),1,0)</f>
        <v>0.0</v>
      </c>
      <c r="AE584">
        <f>IF(AD584=1,IF(COUNTIFS($A$6:A584,A584,$AD$6:AD584,1)=1,1,0),0)</f>
        <v>0.0</v>
      </c>
      <c r="AF584" t="str">
        <f>IF(AE584=1,COUNTIFS(sj_first,1,sj_date,"&lt;"&amp;A584)+1,"")</f>
        <v/>
      </c>
      <c r="AG584" t="str">
        <f>IF(AND(AD584=1,N(W584)&lt;p_alert),ROUND(W584,4),"")</f>
        <v/>
      </c>
      <c r="AH584" t="str">
        <f>IF(AG584="","",COUNTIF(sj_akey,"&lt;"&amp;AG584)+COUNTIF($AG$6:AG584,AG584))</f>
        <v/>
      </c>
    </row>
    <row r="585">
      <c r="A585" s="51" t="n"/>
      <c r="B585" s="52" t="n"/>
      <c r="C585" s="52" t="n"/>
      <c r="D585" s="53" t="n"/>
      <c r="E585" s="53" t="n"/>
      <c r="F585" s="54" t="n"/>
      <c r="G585" s="54" t="n"/>
      <c r="H585" s="54" t="n"/>
      <c r="I585" s="54" t="n"/>
      <c r="J585" s="53" t="n"/>
      <c r="K585" s="55" t="str">
        <f>IF(COUNTA(A585:I585)=0,"",IF(F585="",IFERROR(INDEX(eq_dur,MATCH(B585,eq_code,0)),""),F585))</f>
        <v/>
      </c>
      <c r="L585" s="55" t="str">
        <f>IF(ISNUMBER(K585),N(IFERROR(INDEX(eq_pause,MATCH(B585,eq_code,0)),0))+SUMIFS(st_min,st_date,A585,st_eq,B585,st_po,C585,st_type,"Planifié"),"")</f>
        <v/>
      </c>
      <c r="M585" s="55" t="str">
        <f>IF(ISNUMBER(K585),K585-L585,"")</f>
        <v/>
      </c>
      <c r="N585" s="55" t="str">
        <f>IF(ISNUMBER(K585),SUMIFS(st_min,st_date,A585,st_eq,B585,st_po,C585,st_type,"Non planifié"),"")</f>
        <v/>
      </c>
      <c r="O585" s="55" t="str">
        <f>IF(ISNUMBER(K585),M585-N585,"")</f>
        <v/>
      </c>
      <c r="P585" s="55" t="str">
        <f>IF(COUNTA(A585:I585)=0,"",N(G585)+N(H585)+N(I585))</f>
        <v/>
      </c>
      <c r="Q585" s="56" t="str">
        <f>IF(COUNTA(A585:I585)=0,"",IF(N(IFERROR(INDEX(art_rate,MATCH(E585,art_ref,0)),0))&gt;0,N(IFERROR(INDEX(art_rate,MATCH(E585,art_ref,0)),0)),N(IFERROR(INDEX(po_rate,MATCH(C585,po_code,0)),0))))</f>
        <v/>
      </c>
      <c r="R585" s="55" t="str">
        <f>IF(AC585=1,P585*60/Q585,"")</f>
        <v/>
      </c>
      <c r="S585" s="55" t="str">
        <f>IF(AC585=1,N(G585)*60/Q585,"")</f>
        <v/>
      </c>
      <c r="T585" s="57" t="str">
        <f>IF(AC585=1,O585/M585,"")</f>
        <v/>
      </c>
      <c r="U585" s="57" t="str">
        <f>IF(AC585=1,IF(O585&gt;0,R585/O585,""),"")</f>
        <v/>
      </c>
      <c r="V585" s="57" t="str">
        <f>IF(AC585=1,IF(P585&gt;0,N(G585)/P585,""),"")</f>
        <v/>
      </c>
      <c r="W585" s="57" t="str">
        <f>IF(AC585=1,S585/M585,"")</f>
        <v/>
      </c>
      <c r="X585" s="57" t="str">
        <f>IF(AC585=1,S585/K585,"")</f>
        <v/>
      </c>
      <c r="Y585" s="58" t="str">
        <f>IF(W585="","",IF(W585&gt;=p_target,"Bon",IF(W585&gt;=p_alert,"À surveiller","Faible")))</f>
        <v/>
      </c>
      <c r="Z585" s="58" t="str">
        <f>IF(W585="","",IF(MIN(IF(T585="",1,T585),IF(U585="",1,U585),IF(V585="",1,V585))&gt;=1,"Aucune",IF(IF(T585="",1,T585)&lt;=MIN(IF(U585="",1,U585),IF(V585="",1,V585)),"Disponibilité",IF(IF(U585="",1,U585)&lt;=IF(V585="",1,V585),"Performance","Qualité"))))</f>
        <v/>
      </c>
      <c r="AA585" s="59" t="str">
        <f>IF(AC585=1,N(H585)*N(IFERROR(INDEX(art_cost,MATCH(E585,art_ref,0)),0)),"")</f>
        <v/>
      </c>
      <c r="AB585" s="58" t="str">
        <f>IF(COUNTA(A585:I585)=0,"",IF(N(A585)&lt;=0,"Date manquante ou invalide",IF(B585="","Équipe manquante",IF(ISNA(MATCH(B585,eq_code,0)),"Équipe inconnue",IF(INDEX(eq_check,MATCH(B585,eq_code,0))&lt;&gt;"OK","Équipe à corriger dans Paramètres",IF(C585="","Poste manquant",IF(ISNA(MATCH(C585,po_code,0)),"Poste inconnu",IF(AND(E585&lt;&gt;"",ISNA(MATCH(E585,art_ref,0))),"Article inconnu",IF(IF(E585="",FALSE,INDEX(art_check,MATCH(E585,art_ref,0))&lt;&gt;"OK"),"Article à corriger (feuille Articles)",IF(COUNTIFS(sj_date,A585,sj_eq,B585,sj_po,C585)&gt;1,"Ligne en double (même jour, équipe et poste)",IF(OR(NOT(ISNUMBER(K585)),N(K585)&lt;=0,N(K585)&gt;1440),"Temps d'ouverture invalide",IF(OR(AND(G585&lt;&gt;"",NOT(ISNUMBER(G585))),N(G585)&lt;0,N(G585)&lt;&gt;INT(N(G585)),AND(H585&lt;&gt;"",NOT(ISNUMBER(H585))),N(H585)&lt;0,N(H585)&lt;&gt;INT(N(H585)),AND(I585&lt;&gt;"",NOT(ISNUMBER(I585))),N(I585)&lt;0,N(I585)&lt;&gt;INT(N(I585))),"Quantité invalide",IF(Q585&lt;=0,"Cadence manquante (poste ou article)",IF(M585&lt;=0,"Arrêts planifiés supérieurs au temps d'ouverture",IF(O585&lt;0,"Arrêts supérieurs au temps requis",IF(AND(P585&gt;0,O585=0),"Pièces déclarées sans temps de marche",IF(AND(P585=0,O585&gt;0),"Aucune pièce déclarée",IF(P585*60/Q585&gt;O585+0.001,"Cadence dépassée : vérifiez la cadence","OK"))))))))))))))))))</f>
        <v/>
      </c>
      <c r="AC585">
        <f>IF(OR(AB585="OK",AB585="Aucune pièce déclarée",AB585="Cadence dépassée : vérifiez la cadence"),1,0)</f>
        <v>0.0</v>
      </c>
      <c r="AD585">
        <f>IF(AND(AC585=1,A585&gt;=p_from,A585&lt;=p_to),1,0)</f>
        <v>0.0</v>
      </c>
      <c r="AE585">
        <f>IF(AD585=1,IF(COUNTIFS($A$6:A585,A585,$AD$6:AD585,1)=1,1,0),0)</f>
        <v>0.0</v>
      </c>
      <c r="AF585" t="str">
        <f>IF(AE585=1,COUNTIFS(sj_first,1,sj_date,"&lt;"&amp;A585)+1,"")</f>
        <v/>
      </c>
      <c r="AG585" t="str">
        <f>IF(AND(AD585=1,N(W585)&lt;p_alert),ROUND(W585,4),"")</f>
        <v/>
      </c>
      <c r="AH585" t="str">
        <f>IF(AG585="","",COUNTIF(sj_akey,"&lt;"&amp;AG585)+COUNTIF($AG$6:AG585,AG585))</f>
        <v/>
      </c>
    </row>
    <row r="586">
      <c r="A586" s="51" t="n"/>
      <c r="B586" s="52" t="n"/>
      <c r="C586" s="52" t="n"/>
      <c r="D586" s="53" t="n"/>
      <c r="E586" s="53" t="n"/>
      <c r="F586" s="54" t="n"/>
      <c r="G586" s="54" t="n"/>
      <c r="H586" s="54" t="n"/>
      <c r="I586" s="54" t="n"/>
      <c r="J586" s="53" t="n"/>
      <c r="K586" s="55" t="str">
        <f>IF(COUNTA(A586:I586)=0,"",IF(F586="",IFERROR(INDEX(eq_dur,MATCH(B586,eq_code,0)),""),F586))</f>
        <v/>
      </c>
      <c r="L586" s="55" t="str">
        <f>IF(ISNUMBER(K586),N(IFERROR(INDEX(eq_pause,MATCH(B586,eq_code,0)),0))+SUMIFS(st_min,st_date,A586,st_eq,B586,st_po,C586,st_type,"Planifié"),"")</f>
        <v/>
      </c>
      <c r="M586" s="55" t="str">
        <f>IF(ISNUMBER(K586),K586-L586,"")</f>
        <v/>
      </c>
      <c r="N586" s="55" t="str">
        <f>IF(ISNUMBER(K586),SUMIFS(st_min,st_date,A586,st_eq,B586,st_po,C586,st_type,"Non planifié"),"")</f>
        <v/>
      </c>
      <c r="O586" s="55" t="str">
        <f>IF(ISNUMBER(K586),M586-N586,"")</f>
        <v/>
      </c>
      <c r="P586" s="55" t="str">
        <f>IF(COUNTA(A586:I586)=0,"",N(G586)+N(H586)+N(I586))</f>
        <v/>
      </c>
      <c r="Q586" s="56" t="str">
        <f>IF(COUNTA(A586:I586)=0,"",IF(N(IFERROR(INDEX(art_rate,MATCH(E586,art_ref,0)),0))&gt;0,N(IFERROR(INDEX(art_rate,MATCH(E586,art_ref,0)),0)),N(IFERROR(INDEX(po_rate,MATCH(C586,po_code,0)),0))))</f>
        <v/>
      </c>
      <c r="R586" s="55" t="str">
        <f>IF(AC586=1,P586*60/Q586,"")</f>
        <v/>
      </c>
      <c r="S586" s="55" t="str">
        <f>IF(AC586=1,N(G586)*60/Q586,"")</f>
        <v/>
      </c>
      <c r="T586" s="57" t="str">
        <f>IF(AC586=1,O586/M586,"")</f>
        <v/>
      </c>
      <c r="U586" s="57" t="str">
        <f>IF(AC586=1,IF(O586&gt;0,R586/O586,""),"")</f>
        <v/>
      </c>
      <c r="V586" s="57" t="str">
        <f>IF(AC586=1,IF(P586&gt;0,N(G586)/P586,""),"")</f>
        <v/>
      </c>
      <c r="W586" s="57" t="str">
        <f>IF(AC586=1,S586/M586,"")</f>
        <v/>
      </c>
      <c r="X586" s="57" t="str">
        <f>IF(AC586=1,S586/K586,"")</f>
        <v/>
      </c>
      <c r="Y586" s="58" t="str">
        <f>IF(W586="","",IF(W586&gt;=p_target,"Bon",IF(W586&gt;=p_alert,"À surveiller","Faible")))</f>
        <v/>
      </c>
      <c r="Z586" s="58" t="str">
        <f>IF(W586="","",IF(MIN(IF(T586="",1,T586),IF(U586="",1,U586),IF(V586="",1,V586))&gt;=1,"Aucune",IF(IF(T586="",1,T586)&lt;=MIN(IF(U586="",1,U586),IF(V586="",1,V586)),"Disponibilité",IF(IF(U586="",1,U586)&lt;=IF(V586="",1,V586),"Performance","Qualité"))))</f>
        <v/>
      </c>
      <c r="AA586" s="59" t="str">
        <f>IF(AC586=1,N(H586)*N(IFERROR(INDEX(art_cost,MATCH(E586,art_ref,0)),0)),"")</f>
        <v/>
      </c>
      <c r="AB586" s="58" t="str">
        <f>IF(COUNTA(A586:I586)=0,"",IF(N(A586)&lt;=0,"Date manquante ou invalide",IF(B586="","Équipe manquante",IF(ISNA(MATCH(B586,eq_code,0)),"Équipe inconnue",IF(INDEX(eq_check,MATCH(B586,eq_code,0))&lt;&gt;"OK","Équipe à corriger dans Paramètres",IF(C586="","Poste manquant",IF(ISNA(MATCH(C586,po_code,0)),"Poste inconnu",IF(AND(E586&lt;&gt;"",ISNA(MATCH(E586,art_ref,0))),"Article inconnu",IF(IF(E586="",FALSE,INDEX(art_check,MATCH(E586,art_ref,0))&lt;&gt;"OK"),"Article à corriger (feuille Articles)",IF(COUNTIFS(sj_date,A586,sj_eq,B586,sj_po,C586)&gt;1,"Ligne en double (même jour, équipe et poste)",IF(OR(NOT(ISNUMBER(K586)),N(K586)&lt;=0,N(K586)&gt;1440),"Temps d'ouverture invalide",IF(OR(AND(G586&lt;&gt;"",NOT(ISNUMBER(G586))),N(G586)&lt;0,N(G586)&lt;&gt;INT(N(G586)),AND(H586&lt;&gt;"",NOT(ISNUMBER(H586))),N(H586)&lt;0,N(H586)&lt;&gt;INT(N(H586)),AND(I586&lt;&gt;"",NOT(ISNUMBER(I586))),N(I586)&lt;0,N(I586)&lt;&gt;INT(N(I586))),"Quantité invalide",IF(Q586&lt;=0,"Cadence manquante (poste ou article)",IF(M586&lt;=0,"Arrêts planifiés supérieurs au temps d'ouverture",IF(O586&lt;0,"Arrêts supérieurs au temps requis",IF(AND(P586&gt;0,O586=0),"Pièces déclarées sans temps de marche",IF(AND(P586=0,O586&gt;0),"Aucune pièce déclarée",IF(P586*60/Q586&gt;O586+0.001,"Cadence dépassée : vérifiez la cadence","OK"))))))))))))))))))</f>
        <v/>
      </c>
      <c r="AC586">
        <f>IF(OR(AB586="OK",AB586="Aucune pièce déclarée",AB586="Cadence dépassée : vérifiez la cadence"),1,0)</f>
        <v>0.0</v>
      </c>
      <c r="AD586">
        <f>IF(AND(AC586=1,A586&gt;=p_from,A586&lt;=p_to),1,0)</f>
        <v>0.0</v>
      </c>
      <c r="AE586">
        <f>IF(AD586=1,IF(COUNTIFS($A$6:A586,A586,$AD$6:AD586,1)=1,1,0),0)</f>
        <v>0.0</v>
      </c>
      <c r="AF586" t="str">
        <f>IF(AE586=1,COUNTIFS(sj_first,1,sj_date,"&lt;"&amp;A586)+1,"")</f>
        <v/>
      </c>
      <c r="AG586" t="str">
        <f>IF(AND(AD586=1,N(W586)&lt;p_alert),ROUND(W586,4),"")</f>
        <v/>
      </c>
      <c r="AH586" t="str">
        <f>IF(AG586="","",COUNTIF(sj_akey,"&lt;"&amp;AG586)+COUNTIF($AG$6:AG586,AG586))</f>
        <v/>
      </c>
    </row>
    <row r="587">
      <c r="A587" s="51" t="n"/>
      <c r="B587" s="52" t="n"/>
      <c r="C587" s="52" t="n"/>
      <c r="D587" s="53" t="n"/>
      <c r="E587" s="53" t="n"/>
      <c r="F587" s="54" t="n"/>
      <c r="G587" s="54" t="n"/>
      <c r="H587" s="54" t="n"/>
      <c r="I587" s="54" t="n"/>
      <c r="J587" s="53" t="n"/>
      <c r="K587" s="55" t="str">
        <f>IF(COUNTA(A587:I587)=0,"",IF(F587="",IFERROR(INDEX(eq_dur,MATCH(B587,eq_code,0)),""),F587))</f>
        <v/>
      </c>
      <c r="L587" s="55" t="str">
        <f>IF(ISNUMBER(K587),N(IFERROR(INDEX(eq_pause,MATCH(B587,eq_code,0)),0))+SUMIFS(st_min,st_date,A587,st_eq,B587,st_po,C587,st_type,"Planifié"),"")</f>
        <v/>
      </c>
      <c r="M587" s="55" t="str">
        <f>IF(ISNUMBER(K587),K587-L587,"")</f>
        <v/>
      </c>
      <c r="N587" s="55" t="str">
        <f>IF(ISNUMBER(K587),SUMIFS(st_min,st_date,A587,st_eq,B587,st_po,C587,st_type,"Non planifié"),"")</f>
        <v/>
      </c>
      <c r="O587" s="55" t="str">
        <f>IF(ISNUMBER(K587),M587-N587,"")</f>
        <v/>
      </c>
      <c r="P587" s="55" t="str">
        <f>IF(COUNTA(A587:I587)=0,"",N(G587)+N(H587)+N(I587))</f>
        <v/>
      </c>
      <c r="Q587" s="56" t="str">
        <f>IF(COUNTA(A587:I587)=0,"",IF(N(IFERROR(INDEX(art_rate,MATCH(E587,art_ref,0)),0))&gt;0,N(IFERROR(INDEX(art_rate,MATCH(E587,art_ref,0)),0)),N(IFERROR(INDEX(po_rate,MATCH(C587,po_code,0)),0))))</f>
        <v/>
      </c>
      <c r="R587" s="55" t="str">
        <f>IF(AC587=1,P587*60/Q587,"")</f>
        <v/>
      </c>
      <c r="S587" s="55" t="str">
        <f>IF(AC587=1,N(G587)*60/Q587,"")</f>
        <v/>
      </c>
      <c r="T587" s="57" t="str">
        <f>IF(AC587=1,O587/M587,"")</f>
        <v/>
      </c>
      <c r="U587" s="57" t="str">
        <f>IF(AC587=1,IF(O587&gt;0,R587/O587,""),"")</f>
        <v/>
      </c>
      <c r="V587" s="57" t="str">
        <f>IF(AC587=1,IF(P587&gt;0,N(G587)/P587,""),"")</f>
        <v/>
      </c>
      <c r="W587" s="57" t="str">
        <f>IF(AC587=1,S587/M587,"")</f>
        <v/>
      </c>
      <c r="X587" s="57" t="str">
        <f>IF(AC587=1,S587/K587,"")</f>
        <v/>
      </c>
      <c r="Y587" s="58" t="str">
        <f>IF(W587="","",IF(W587&gt;=p_target,"Bon",IF(W587&gt;=p_alert,"À surveiller","Faible")))</f>
        <v/>
      </c>
      <c r="Z587" s="58" t="str">
        <f>IF(W587="","",IF(MIN(IF(T587="",1,T587),IF(U587="",1,U587),IF(V587="",1,V587))&gt;=1,"Aucune",IF(IF(T587="",1,T587)&lt;=MIN(IF(U587="",1,U587),IF(V587="",1,V587)),"Disponibilité",IF(IF(U587="",1,U587)&lt;=IF(V587="",1,V587),"Performance","Qualité"))))</f>
        <v/>
      </c>
      <c r="AA587" s="59" t="str">
        <f>IF(AC587=1,N(H587)*N(IFERROR(INDEX(art_cost,MATCH(E587,art_ref,0)),0)),"")</f>
        <v/>
      </c>
      <c r="AB587" s="58" t="str">
        <f>IF(COUNTA(A587:I587)=0,"",IF(N(A587)&lt;=0,"Date manquante ou invalide",IF(B587="","Équipe manquante",IF(ISNA(MATCH(B587,eq_code,0)),"Équipe inconnue",IF(INDEX(eq_check,MATCH(B587,eq_code,0))&lt;&gt;"OK","Équipe à corriger dans Paramètres",IF(C587="","Poste manquant",IF(ISNA(MATCH(C587,po_code,0)),"Poste inconnu",IF(AND(E587&lt;&gt;"",ISNA(MATCH(E587,art_ref,0))),"Article inconnu",IF(IF(E587="",FALSE,INDEX(art_check,MATCH(E587,art_ref,0))&lt;&gt;"OK"),"Article à corriger (feuille Articles)",IF(COUNTIFS(sj_date,A587,sj_eq,B587,sj_po,C587)&gt;1,"Ligne en double (même jour, équipe et poste)",IF(OR(NOT(ISNUMBER(K587)),N(K587)&lt;=0,N(K587)&gt;1440),"Temps d'ouverture invalide",IF(OR(AND(G587&lt;&gt;"",NOT(ISNUMBER(G587))),N(G587)&lt;0,N(G587)&lt;&gt;INT(N(G587)),AND(H587&lt;&gt;"",NOT(ISNUMBER(H587))),N(H587)&lt;0,N(H587)&lt;&gt;INT(N(H587)),AND(I587&lt;&gt;"",NOT(ISNUMBER(I587))),N(I587)&lt;0,N(I587)&lt;&gt;INT(N(I587))),"Quantité invalide",IF(Q587&lt;=0,"Cadence manquante (poste ou article)",IF(M587&lt;=0,"Arrêts planifiés supérieurs au temps d'ouverture",IF(O587&lt;0,"Arrêts supérieurs au temps requis",IF(AND(P587&gt;0,O587=0),"Pièces déclarées sans temps de marche",IF(AND(P587=0,O587&gt;0),"Aucune pièce déclarée",IF(P587*60/Q587&gt;O587+0.001,"Cadence dépassée : vérifiez la cadence","OK"))))))))))))))))))</f>
        <v/>
      </c>
      <c r="AC587">
        <f>IF(OR(AB587="OK",AB587="Aucune pièce déclarée",AB587="Cadence dépassée : vérifiez la cadence"),1,0)</f>
        <v>0.0</v>
      </c>
      <c r="AD587">
        <f>IF(AND(AC587=1,A587&gt;=p_from,A587&lt;=p_to),1,0)</f>
        <v>0.0</v>
      </c>
      <c r="AE587">
        <f>IF(AD587=1,IF(COUNTIFS($A$6:A587,A587,$AD$6:AD587,1)=1,1,0),0)</f>
        <v>0.0</v>
      </c>
      <c r="AF587" t="str">
        <f>IF(AE587=1,COUNTIFS(sj_first,1,sj_date,"&lt;"&amp;A587)+1,"")</f>
        <v/>
      </c>
      <c r="AG587" t="str">
        <f>IF(AND(AD587=1,N(W587)&lt;p_alert),ROUND(W587,4),"")</f>
        <v/>
      </c>
      <c r="AH587" t="str">
        <f>IF(AG587="","",COUNTIF(sj_akey,"&lt;"&amp;AG587)+COUNTIF($AG$6:AG587,AG587))</f>
        <v/>
      </c>
    </row>
    <row r="588">
      <c r="A588" s="51" t="n"/>
      <c r="B588" s="52" t="n"/>
      <c r="C588" s="52" t="n"/>
      <c r="D588" s="53" t="n"/>
      <c r="E588" s="53" t="n"/>
      <c r="F588" s="54" t="n"/>
      <c r="G588" s="54" t="n"/>
      <c r="H588" s="54" t="n"/>
      <c r="I588" s="54" t="n"/>
      <c r="J588" s="53" t="n"/>
      <c r="K588" s="55" t="str">
        <f>IF(COUNTA(A588:I588)=0,"",IF(F588="",IFERROR(INDEX(eq_dur,MATCH(B588,eq_code,0)),""),F588))</f>
        <v/>
      </c>
      <c r="L588" s="55" t="str">
        <f>IF(ISNUMBER(K588),N(IFERROR(INDEX(eq_pause,MATCH(B588,eq_code,0)),0))+SUMIFS(st_min,st_date,A588,st_eq,B588,st_po,C588,st_type,"Planifié"),"")</f>
        <v/>
      </c>
      <c r="M588" s="55" t="str">
        <f>IF(ISNUMBER(K588),K588-L588,"")</f>
        <v/>
      </c>
      <c r="N588" s="55" t="str">
        <f>IF(ISNUMBER(K588),SUMIFS(st_min,st_date,A588,st_eq,B588,st_po,C588,st_type,"Non planifié"),"")</f>
        <v/>
      </c>
      <c r="O588" s="55" t="str">
        <f>IF(ISNUMBER(K588),M588-N588,"")</f>
        <v/>
      </c>
      <c r="P588" s="55" t="str">
        <f>IF(COUNTA(A588:I588)=0,"",N(G588)+N(H588)+N(I588))</f>
        <v/>
      </c>
      <c r="Q588" s="56" t="str">
        <f>IF(COUNTA(A588:I588)=0,"",IF(N(IFERROR(INDEX(art_rate,MATCH(E588,art_ref,0)),0))&gt;0,N(IFERROR(INDEX(art_rate,MATCH(E588,art_ref,0)),0)),N(IFERROR(INDEX(po_rate,MATCH(C588,po_code,0)),0))))</f>
        <v/>
      </c>
      <c r="R588" s="55" t="str">
        <f>IF(AC588=1,P588*60/Q588,"")</f>
        <v/>
      </c>
      <c r="S588" s="55" t="str">
        <f>IF(AC588=1,N(G588)*60/Q588,"")</f>
        <v/>
      </c>
      <c r="T588" s="57" t="str">
        <f>IF(AC588=1,O588/M588,"")</f>
        <v/>
      </c>
      <c r="U588" s="57" t="str">
        <f>IF(AC588=1,IF(O588&gt;0,R588/O588,""),"")</f>
        <v/>
      </c>
      <c r="V588" s="57" t="str">
        <f>IF(AC588=1,IF(P588&gt;0,N(G588)/P588,""),"")</f>
        <v/>
      </c>
      <c r="W588" s="57" t="str">
        <f>IF(AC588=1,S588/M588,"")</f>
        <v/>
      </c>
      <c r="X588" s="57" t="str">
        <f>IF(AC588=1,S588/K588,"")</f>
        <v/>
      </c>
      <c r="Y588" s="58" t="str">
        <f>IF(W588="","",IF(W588&gt;=p_target,"Bon",IF(W588&gt;=p_alert,"À surveiller","Faible")))</f>
        <v/>
      </c>
      <c r="Z588" s="58" t="str">
        <f>IF(W588="","",IF(MIN(IF(T588="",1,T588),IF(U588="",1,U588),IF(V588="",1,V588))&gt;=1,"Aucune",IF(IF(T588="",1,T588)&lt;=MIN(IF(U588="",1,U588),IF(V588="",1,V588)),"Disponibilité",IF(IF(U588="",1,U588)&lt;=IF(V588="",1,V588),"Performance","Qualité"))))</f>
        <v/>
      </c>
      <c r="AA588" s="59" t="str">
        <f>IF(AC588=1,N(H588)*N(IFERROR(INDEX(art_cost,MATCH(E588,art_ref,0)),0)),"")</f>
        <v/>
      </c>
      <c r="AB588" s="58" t="str">
        <f>IF(COUNTA(A588:I588)=0,"",IF(N(A588)&lt;=0,"Date manquante ou invalide",IF(B588="","Équipe manquante",IF(ISNA(MATCH(B588,eq_code,0)),"Équipe inconnue",IF(INDEX(eq_check,MATCH(B588,eq_code,0))&lt;&gt;"OK","Équipe à corriger dans Paramètres",IF(C588="","Poste manquant",IF(ISNA(MATCH(C588,po_code,0)),"Poste inconnu",IF(AND(E588&lt;&gt;"",ISNA(MATCH(E588,art_ref,0))),"Article inconnu",IF(IF(E588="",FALSE,INDEX(art_check,MATCH(E588,art_ref,0))&lt;&gt;"OK"),"Article à corriger (feuille Articles)",IF(COUNTIFS(sj_date,A588,sj_eq,B588,sj_po,C588)&gt;1,"Ligne en double (même jour, équipe et poste)",IF(OR(NOT(ISNUMBER(K588)),N(K588)&lt;=0,N(K588)&gt;1440),"Temps d'ouverture invalide",IF(OR(AND(G588&lt;&gt;"",NOT(ISNUMBER(G588))),N(G588)&lt;0,N(G588)&lt;&gt;INT(N(G588)),AND(H588&lt;&gt;"",NOT(ISNUMBER(H588))),N(H588)&lt;0,N(H588)&lt;&gt;INT(N(H588)),AND(I588&lt;&gt;"",NOT(ISNUMBER(I588))),N(I588)&lt;0,N(I588)&lt;&gt;INT(N(I588))),"Quantité invalide",IF(Q588&lt;=0,"Cadence manquante (poste ou article)",IF(M588&lt;=0,"Arrêts planifiés supérieurs au temps d'ouverture",IF(O588&lt;0,"Arrêts supérieurs au temps requis",IF(AND(P588&gt;0,O588=0),"Pièces déclarées sans temps de marche",IF(AND(P588=0,O588&gt;0),"Aucune pièce déclarée",IF(P588*60/Q588&gt;O588+0.001,"Cadence dépassée : vérifiez la cadence","OK"))))))))))))))))))</f>
        <v/>
      </c>
      <c r="AC588">
        <f>IF(OR(AB588="OK",AB588="Aucune pièce déclarée",AB588="Cadence dépassée : vérifiez la cadence"),1,0)</f>
        <v>0.0</v>
      </c>
      <c r="AD588">
        <f>IF(AND(AC588=1,A588&gt;=p_from,A588&lt;=p_to),1,0)</f>
        <v>0.0</v>
      </c>
      <c r="AE588">
        <f>IF(AD588=1,IF(COUNTIFS($A$6:A588,A588,$AD$6:AD588,1)=1,1,0),0)</f>
        <v>0.0</v>
      </c>
      <c r="AF588" t="str">
        <f>IF(AE588=1,COUNTIFS(sj_first,1,sj_date,"&lt;"&amp;A588)+1,"")</f>
        <v/>
      </c>
      <c r="AG588" t="str">
        <f>IF(AND(AD588=1,N(W588)&lt;p_alert),ROUND(W588,4),"")</f>
        <v/>
      </c>
      <c r="AH588" t="str">
        <f>IF(AG588="","",COUNTIF(sj_akey,"&lt;"&amp;AG588)+COUNTIF($AG$6:AG588,AG588))</f>
        <v/>
      </c>
    </row>
    <row r="589">
      <c r="A589" s="51" t="n"/>
      <c r="B589" s="52" t="n"/>
      <c r="C589" s="52" t="n"/>
      <c r="D589" s="53" t="n"/>
      <c r="E589" s="53" t="n"/>
      <c r="F589" s="54" t="n"/>
      <c r="G589" s="54" t="n"/>
      <c r="H589" s="54" t="n"/>
      <c r="I589" s="54" t="n"/>
      <c r="J589" s="53" t="n"/>
      <c r="K589" s="55" t="str">
        <f>IF(COUNTA(A589:I589)=0,"",IF(F589="",IFERROR(INDEX(eq_dur,MATCH(B589,eq_code,0)),""),F589))</f>
        <v/>
      </c>
      <c r="L589" s="55" t="str">
        <f>IF(ISNUMBER(K589),N(IFERROR(INDEX(eq_pause,MATCH(B589,eq_code,0)),0))+SUMIFS(st_min,st_date,A589,st_eq,B589,st_po,C589,st_type,"Planifié"),"")</f>
        <v/>
      </c>
      <c r="M589" s="55" t="str">
        <f>IF(ISNUMBER(K589),K589-L589,"")</f>
        <v/>
      </c>
      <c r="N589" s="55" t="str">
        <f>IF(ISNUMBER(K589),SUMIFS(st_min,st_date,A589,st_eq,B589,st_po,C589,st_type,"Non planifié"),"")</f>
        <v/>
      </c>
      <c r="O589" s="55" t="str">
        <f>IF(ISNUMBER(K589),M589-N589,"")</f>
        <v/>
      </c>
      <c r="P589" s="55" t="str">
        <f>IF(COUNTA(A589:I589)=0,"",N(G589)+N(H589)+N(I589))</f>
        <v/>
      </c>
      <c r="Q589" s="56" t="str">
        <f>IF(COUNTA(A589:I589)=0,"",IF(N(IFERROR(INDEX(art_rate,MATCH(E589,art_ref,0)),0))&gt;0,N(IFERROR(INDEX(art_rate,MATCH(E589,art_ref,0)),0)),N(IFERROR(INDEX(po_rate,MATCH(C589,po_code,0)),0))))</f>
        <v/>
      </c>
      <c r="R589" s="55" t="str">
        <f>IF(AC589=1,P589*60/Q589,"")</f>
        <v/>
      </c>
      <c r="S589" s="55" t="str">
        <f>IF(AC589=1,N(G589)*60/Q589,"")</f>
        <v/>
      </c>
      <c r="T589" s="57" t="str">
        <f>IF(AC589=1,O589/M589,"")</f>
        <v/>
      </c>
      <c r="U589" s="57" t="str">
        <f>IF(AC589=1,IF(O589&gt;0,R589/O589,""),"")</f>
        <v/>
      </c>
      <c r="V589" s="57" t="str">
        <f>IF(AC589=1,IF(P589&gt;0,N(G589)/P589,""),"")</f>
        <v/>
      </c>
      <c r="W589" s="57" t="str">
        <f>IF(AC589=1,S589/M589,"")</f>
        <v/>
      </c>
      <c r="X589" s="57" t="str">
        <f>IF(AC589=1,S589/K589,"")</f>
        <v/>
      </c>
      <c r="Y589" s="58" t="str">
        <f>IF(W589="","",IF(W589&gt;=p_target,"Bon",IF(W589&gt;=p_alert,"À surveiller","Faible")))</f>
        <v/>
      </c>
      <c r="Z589" s="58" t="str">
        <f>IF(W589="","",IF(MIN(IF(T589="",1,T589),IF(U589="",1,U589),IF(V589="",1,V589))&gt;=1,"Aucune",IF(IF(T589="",1,T589)&lt;=MIN(IF(U589="",1,U589),IF(V589="",1,V589)),"Disponibilité",IF(IF(U589="",1,U589)&lt;=IF(V589="",1,V589),"Performance","Qualité"))))</f>
        <v/>
      </c>
      <c r="AA589" s="59" t="str">
        <f>IF(AC589=1,N(H589)*N(IFERROR(INDEX(art_cost,MATCH(E589,art_ref,0)),0)),"")</f>
        <v/>
      </c>
      <c r="AB589" s="58" t="str">
        <f>IF(COUNTA(A589:I589)=0,"",IF(N(A589)&lt;=0,"Date manquante ou invalide",IF(B589="","Équipe manquante",IF(ISNA(MATCH(B589,eq_code,0)),"Équipe inconnue",IF(INDEX(eq_check,MATCH(B589,eq_code,0))&lt;&gt;"OK","Équipe à corriger dans Paramètres",IF(C589="","Poste manquant",IF(ISNA(MATCH(C589,po_code,0)),"Poste inconnu",IF(AND(E589&lt;&gt;"",ISNA(MATCH(E589,art_ref,0))),"Article inconnu",IF(IF(E589="",FALSE,INDEX(art_check,MATCH(E589,art_ref,0))&lt;&gt;"OK"),"Article à corriger (feuille Articles)",IF(COUNTIFS(sj_date,A589,sj_eq,B589,sj_po,C589)&gt;1,"Ligne en double (même jour, équipe et poste)",IF(OR(NOT(ISNUMBER(K589)),N(K589)&lt;=0,N(K589)&gt;1440),"Temps d'ouverture invalide",IF(OR(AND(G589&lt;&gt;"",NOT(ISNUMBER(G589))),N(G589)&lt;0,N(G589)&lt;&gt;INT(N(G589)),AND(H589&lt;&gt;"",NOT(ISNUMBER(H589))),N(H589)&lt;0,N(H589)&lt;&gt;INT(N(H589)),AND(I589&lt;&gt;"",NOT(ISNUMBER(I589))),N(I589)&lt;0,N(I589)&lt;&gt;INT(N(I589))),"Quantité invalide",IF(Q589&lt;=0,"Cadence manquante (poste ou article)",IF(M589&lt;=0,"Arrêts planifiés supérieurs au temps d'ouverture",IF(O589&lt;0,"Arrêts supérieurs au temps requis",IF(AND(P589&gt;0,O589=0),"Pièces déclarées sans temps de marche",IF(AND(P589=0,O589&gt;0),"Aucune pièce déclarée",IF(P589*60/Q589&gt;O589+0.001,"Cadence dépassée : vérifiez la cadence","OK"))))))))))))))))))</f>
        <v/>
      </c>
      <c r="AC589">
        <f>IF(OR(AB589="OK",AB589="Aucune pièce déclarée",AB589="Cadence dépassée : vérifiez la cadence"),1,0)</f>
        <v>0.0</v>
      </c>
      <c r="AD589">
        <f>IF(AND(AC589=1,A589&gt;=p_from,A589&lt;=p_to),1,0)</f>
        <v>0.0</v>
      </c>
      <c r="AE589">
        <f>IF(AD589=1,IF(COUNTIFS($A$6:A589,A589,$AD$6:AD589,1)=1,1,0),0)</f>
        <v>0.0</v>
      </c>
      <c r="AF589" t="str">
        <f>IF(AE589=1,COUNTIFS(sj_first,1,sj_date,"&lt;"&amp;A589)+1,"")</f>
        <v/>
      </c>
      <c r="AG589" t="str">
        <f>IF(AND(AD589=1,N(W589)&lt;p_alert),ROUND(W589,4),"")</f>
        <v/>
      </c>
      <c r="AH589" t="str">
        <f>IF(AG589="","",COUNTIF(sj_akey,"&lt;"&amp;AG589)+COUNTIF($AG$6:AG589,AG589))</f>
        <v/>
      </c>
    </row>
    <row r="590">
      <c r="A590" s="51" t="n"/>
      <c r="B590" s="52" t="n"/>
      <c r="C590" s="52" t="n"/>
      <c r="D590" s="53" t="n"/>
      <c r="E590" s="53" t="n"/>
      <c r="F590" s="54" t="n"/>
      <c r="G590" s="54" t="n"/>
      <c r="H590" s="54" t="n"/>
      <c r="I590" s="54" t="n"/>
      <c r="J590" s="53" t="n"/>
      <c r="K590" s="55" t="str">
        <f>IF(COUNTA(A590:I590)=0,"",IF(F590="",IFERROR(INDEX(eq_dur,MATCH(B590,eq_code,0)),""),F590))</f>
        <v/>
      </c>
      <c r="L590" s="55" t="str">
        <f>IF(ISNUMBER(K590),N(IFERROR(INDEX(eq_pause,MATCH(B590,eq_code,0)),0))+SUMIFS(st_min,st_date,A590,st_eq,B590,st_po,C590,st_type,"Planifié"),"")</f>
        <v/>
      </c>
      <c r="M590" s="55" t="str">
        <f>IF(ISNUMBER(K590),K590-L590,"")</f>
        <v/>
      </c>
      <c r="N590" s="55" t="str">
        <f>IF(ISNUMBER(K590),SUMIFS(st_min,st_date,A590,st_eq,B590,st_po,C590,st_type,"Non planifié"),"")</f>
        <v/>
      </c>
      <c r="O590" s="55" t="str">
        <f>IF(ISNUMBER(K590),M590-N590,"")</f>
        <v/>
      </c>
      <c r="P590" s="55" t="str">
        <f>IF(COUNTA(A590:I590)=0,"",N(G590)+N(H590)+N(I590))</f>
        <v/>
      </c>
      <c r="Q590" s="56" t="str">
        <f>IF(COUNTA(A590:I590)=0,"",IF(N(IFERROR(INDEX(art_rate,MATCH(E590,art_ref,0)),0))&gt;0,N(IFERROR(INDEX(art_rate,MATCH(E590,art_ref,0)),0)),N(IFERROR(INDEX(po_rate,MATCH(C590,po_code,0)),0))))</f>
        <v/>
      </c>
      <c r="R590" s="55" t="str">
        <f>IF(AC590=1,P590*60/Q590,"")</f>
        <v/>
      </c>
      <c r="S590" s="55" t="str">
        <f>IF(AC590=1,N(G590)*60/Q590,"")</f>
        <v/>
      </c>
      <c r="T590" s="57" t="str">
        <f>IF(AC590=1,O590/M590,"")</f>
        <v/>
      </c>
      <c r="U590" s="57" t="str">
        <f>IF(AC590=1,IF(O590&gt;0,R590/O590,""),"")</f>
        <v/>
      </c>
      <c r="V590" s="57" t="str">
        <f>IF(AC590=1,IF(P590&gt;0,N(G590)/P590,""),"")</f>
        <v/>
      </c>
      <c r="W590" s="57" t="str">
        <f>IF(AC590=1,S590/M590,"")</f>
        <v/>
      </c>
      <c r="X590" s="57" t="str">
        <f>IF(AC590=1,S590/K590,"")</f>
        <v/>
      </c>
      <c r="Y590" s="58" t="str">
        <f>IF(W590="","",IF(W590&gt;=p_target,"Bon",IF(W590&gt;=p_alert,"À surveiller","Faible")))</f>
        <v/>
      </c>
      <c r="Z590" s="58" t="str">
        <f>IF(W590="","",IF(MIN(IF(T590="",1,T590),IF(U590="",1,U590),IF(V590="",1,V590))&gt;=1,"Aucune",IF(IF(T590="",1,T590)&lt;=MIN(IF(U590="",1,U590),IF(V590="",1,V590)),"Disponibilité",IF(IF(U590="",1,U590)&lt;=IF(V590="",1,V590),"Performance","Qualité"))))</f>
        <v/>
      </c>
      <c r="AA590" s="59" t="str">
        <f>IF(AC590=1,N(H590)*N(IFERROR(INDEX(art_cost,MATCH(E590,art_ref,0)),0)),"")</f>
        <v/>
      </c>
      <c r="AB590" s="58" t="str">
        <f>IF(COUNTA(A590:I590)=0,"",IF(N(A590)&lt;=0,"Date manquante ou invalide",IF(B590="","Équipe manquante",IF(ISNA(MATCH(B590,eq_code,0)),"Équipe inconnue",IF(INDEX(eq_check,MATCH(B590,eq_code,0))&lt;&gt;"OK","Équipe à corriger dans Paramètres",IF(C590="","Poste manquant",IF(ISNA(MATCH(C590,po_code,0)),"Poste inconnu",IF(AND(E590&lt;&gt;"",ISNA(MATCH(E590,art_ref,0))),"Article inconnu",IF(IF(E590="",FALSE,INDEX(art_check,MATCH(E590,art_ref,0))&lt;&gt;"OK"),"Article à corriger (feuille Articles)",IF(COUNTIFS(sj_date,A590,sj_eq,B590,sj_po,C590)&gt;1,"Ligne en double (même jour, équipe et poste)",IF(OR(NOT(ISNUMBER(K590)),N(K590)&lt;=0,N(K590)&gt;1440),"Temps d'ouverture invalide",IF(OR(AND(G590&lt;&gt;"",NOT(ISNUMBER(G590))),N(G590)&lt;0,N(G590)&lt;&gt;INT(N(G590)),AND(H590&lt;&gt;"",NOT(ISNUMBER(H590))),N(H590)&lt;0,N(H590)&lt;&gt;INT(N(H590)),AND(I590&lt;&gt;"",NOT(ISNUMBER(I590))),N(I590)&lt;0,N(I590)&lt;&gt;INT(N(I590))),"Quantité invalide",IF(Q590&lt;=0,"Cadence manquante (poste ou article)",IF(M590&lt;=0,"Arrêts planifiés supérieurs au temps d'ouverture",IF(O590&lt;0,"Arrêts supérieurs au temps requis",IF(AND(P590&gt;0,O590=0),"Pièces déclarées sans temps de marche",IF(AND(P590=0,O590&gt;0),"Aucune pièce déclarée",IF(P590*60/Q590&gt;O590+0.001,"Cadence dépassée : vérifiez la cadence","OK"))))))))))))))))))</f>
        <v/>
      </c>
      <c r="AC590">
        <f>IF(OR(AB590="OK",AB590="Aucune pièce déclarée",AB590="Cadence dépassée : vérifiez la cadence"),1,0)</f>
        <v>0.0</v>
      </c>
      <c r="AD590">
        <f>IF(AND(AC590=1,A590&gt;=p_from,A590&lt;=p_to),1,0)</f>
        <v>0.0</v>
      </c>
      <c r="AE590">
        <f>IF(AD590=1,IF(COUNTIFS($A$6:A590,A590,$AD$6:AD590,1)=1,1,0),0)</f>
        <v>0.0</v>
      </c>
      <c r="AF590" t="str">
        <f>IF(AE590=1,COUNTIFS(sj_first,1,sj_date,"&lt;"&amp;A590)+1,"")</f>
        <v/>
      </c>
      <c r="AG590" t="str">
        <f>IF(AND(AD590=1,N(W590)&lt;p_alert),ROUND(W590,4),"")</f>
        <v/>
      </c>
      <c r="AH590" t="str">
        <f>IF(AG590="","",COUNTIF(sj_akey,"&lt;"&amp;AG590)+COUNTIF($AG$6:AG590,AG590))</f>
        <v/>
      </c>
    </row>
    <row r="591">
      <c r="A591" s="51" t="n"/>
      <c r="B591" s="52" t="n"/>
      <c r="C591" s="52" t="n"/>
      <c r="D591" s="53" t="n"/>
      <c r="E591" s="53" t="n"/>
      <c r="F591" s="54" t="n"/>
      <c r="G591" s="54" t="n"/>
      <c r="H591" s="54" t="n"/>
      <c r="I591" s="54" t="n"/>
      <c r="J591" s="53" t="n"/>
      <c r="K591" s="55" t="str">
        <f>IF(COUNTA(A591:I591)=0,"",IF(F591="",IFERROR(INDEX(eq_dur,MATCH(B591,eq_code,0)),""),F591))</f>
        <v/>
      </c>
      <c r="L591" s="55" t="str">
        <f>IF(ISNUMBER(K591),N(IFERROR(INDEX(eq_pause,MATCH(B591,eq_code,0)),0))+SUMIFS(st_min,st_date,A591,st_eq,B591,st_po,C591,st_type,"Planifié"),"")</f>
        <v/>
      </c>
      <c r="M591" s="55" t="str">
        <f>IF(ISNUMBER(K591),K591-L591,"")</f>
        <v/>
      </c>
      <c r="N591" s="55" t="str">
        <f>IF(ISNUMBER(K591),SUMIFS(st_min,st_date,A591,st_eq,B591,st_po,C591,st_type,"Non planifié"),"")</f>
        <v/>
      </c>
      <c r="O591" s="55" t="str">
        <f>IF(ISNUMBER(K591),M591-N591,"")</f>
        <v/>
      </c>
      <c r="P591" s="55" t="str">
        <f>IF(COUNTA(A591:I591)=0,"",N(G591)+N(H591)+N(I591))</f>
        <v/>
      </c>
      <c r="Q591" s="56" t="str">
        <f>IF(COUNTA(A591:I591)=0,"",IF(N(IFERROR(INDEX(art_rate,MATCH(E591,art_ref,0)),0))&gt;0,N(IFERROR(INDEX(art_rate,MATCH(E591,art_ref,0)),0)),N(IFERROR(INDEX(po_rate,MATCH(C591,po_code,0)),0))))</f>
        <v/>
      </c>
      <c r="R591" s="55" t="str">
        <f>IF(AC591=1,P591*60/Q591,"")</f>
        <v/>
      </c>
      <c r="S591" s="55" t="str">
        <f>IF(AC591=1,N(G591)*60/Q591,"")</f>
        <v/>
      </c>
      <c r="T591" s="57" t="str">
        <f>IF(AC591=1,O591/M591,"")</f>
        <v/>
      </c>
      <c r="U591" s="57" t="str">
        <f>IF(AC591=1,IF(O591&gt;0,R591/O591,""),"")</f>
        <v/>
      </c>
      <c r="V591" s="57" t="str">
        <f>IF(AC591=1,IF(P591&gt;0,N(G591)/P591,""),"")</f>
        <v/>
      </c>
      <c r="W591" s="57" t="str">
        <f>IF(AC591=1,S591/M591,"")</f>
        <v/>
      </c>
      <c r="X591" s="57" t="str">
        <f>IF(AC591=1,S591/K591,"")</f>
        <v/>
      </c>
      <c r="Y591" s="58" t="str">
        <f>IF(W591="","",IF(W591&gt;=p_target,"Bon",IF(W591&gt;=p_alert,"À surveiller","Faible")))</f>
        <v/>
      </c>
      <c r="Z591" s="58" t="str">
        <f>IF(W591="","",IF(MIN(IF(T591="",1,T591),IF(U591="",1,U591),IF(V591="",1,V591))&gt;=1,"Aucune",IF(IF(T591="",1,T591)&lt;=MIN(IF(U591="",1,U591),IF(V591="",1,V591)),"Disponibilité",IF(IF(U591="",1,U591)&lt;=IF(V591="",1,V591),"Performance","Qualité"))))</f>
        <v/>
      </c>
      <c r="AA591" s="59" t="str">
        <f>IF(AC591=1,N(H591)*N(IFERROR(INDEX(art_cost,MATCH(E591,art_ref,0)),0)),"")</f>
        <v/>
      </c>
      <c r="AB591" s="58" t="str">
        <f>IF(COUNTA(A591:I591)=0,"",IF(N(A591)&lt;=0,"Date manquante ou invalide",IF(B591="","Équipe manquante",IF(ISNA(MATCH(B591,eq_code,0)),"Équipe inconnue",IF(INDEX(eq_check,MATCH(B591,eq_code,0))&lt;&gt;"OK","Équipe à corriger dans Paramètres",IF(C591="","Poste manquant",IF(ISNA(MATCH(C591,po_code,0)),"Poste inconnu",IF(AND(E591&lt;&gt;"",ISNA(MATCH(E591,art_ref,0))),"Article inconnu",IF(IF(E591="",FALSE,INDEX(art_check,MATCH(E591,art_ref,0))&lt;&gt;"OK"),"Article à corriger (feuille Articles)",IF(COUNTIFS(sj_date,A591,sj_eq,B591,sj_po,C591)&gt;1,"Ligne en double (même jour, équipe et poste)",IF(OR(NOT(ISNUMBER(K591)),N(K591)&lt;=0,N(K591)&gt;1440),"Temps d'ouverture invalide",IF(OR(AND(G591&lt;&gt;"",NOT(ISNUMBER(G591))),N(G591)&lt;0,N(G591)&lt;&gt;INT(N(G591)),AND(H591&lt;&gt;"",NOT(ISNUMBER(H591))),N(H591)&lt;0,N(H591)&lt;&gt;INT(N(H591)),AND(I591&lt;&gt;"",NOT(ISNUMBER(I591))),N(I591)&lt;0,N(I591)&lt;&gt;INT(N(I591))),"Quantité invalide",IF(Q591&lt;=0,"Cadence manquante (poste ou article)",IF(M591&lt;=0,"Arrêts planifiés supérieurs au temps d'ouverture",IF(O591&lt;0,"Arrêts supérieurs au temps requis",IF(AND(P591&gt;0,O591=0),"Pièces déclarées sans temps de marche",IF(AND(P591=0,O591&gt;0),"Aucune pièce déclarée",IF(P591*60/Q591&gt;O591+0.001,"Cadence dépassée : vérifiez la cadence","OK"))))))))))))))))))</f>
        <v/>
      </c>
      <c r="AC591">
        <f>IF(OR(AB591="OK",AB591="Aucune pièce déclarée",AB591="Cadence dépassée : vérifiez la cadence"),1,0)</f>
        <v>0.0</v>
      </c>
      <c r="AD591">
        <f>IF(AND(AC591=1,A591&gt;=p_from,A591&lt;=p_to),1,0)</f>
        <v>0.0</v>
      </c>
      <c r="AE591">
        <f>IF(AD591=1,IF(COUNTIFS($A$6:A591,A591,$AD$6:AD591,1)=1,1,0),0)</f>
        <v>0.0</v>
      </c>
      <c r="AF591" t="str">
        <f>IF(AE591=1,COUNTIFS(sj_first,1,sj_date,"&lt;"&amp;A591)+1,"")</f>
        <v/>
      </c>
      <c r="AG591" t="str">
        <f>IF(AND(AD591=1,N(W591)&lt;p_alert),ROUND(W591,4),"")</f>
        <v/>
      </c>
      <c r="AH591" t="str">
        <f>IF(AG591="","",COUNTIF(sj_akey,"&lt;"&amp;AG591)+COUNTIF($AG$6:AG591,AG591))</f>
        <v/>
      </c>
    </row>
    <row r="592">
      <c r="A592" s="51" t="n"/>
      <c r="B592" s="52" t="n"/>
      <c r="C592" s="52" t="n"/>
      <c r="D592" s="53" t="n"/>
      <c r="E592" s="53" t="n"/>
      <c r="F592" s="54" t="n"/>
      <c r="G592" s="54" t="n"/>
      <c r="H592" s="54" t="n"/>
      <c r="I592" s="54" t="n"/>
      <c r="J592" s="53" t="n"/>
      <c r="K592" s="55" t="str">
        <f>IF(COUNTA(A592:I592)=0,"",IF(F592="",IFERROR(INDEX(eq_dur,MATCH(B592,eq_code,0)),""),F592))</f>
        <v/>
      </c>
      <c r="L592" s="55" t="str">
        <f>IF(ISNUMBER(K592),N(IFERROR(INDEX(eq_pause,MATCH(B592,eq_code,0)),0))+SUMIFS(st_min,st_date,A592,st_eq,B592,st_po,C592,st_type,"Planifié"),"")</f>
        <v/>
      </c>
      <c r="M592" s="55" t="str">
        <f>IF(ISNUMBER(K592),K592-L592,"")</f>
        <v/>
      </c>
      <c r="N592" s="55" t="str">
        <f>IF(ISNUMBER(K592),SUMIFS(st_min,st_date,A592,st_eq,B592,st_po,C592,st_type,"Non planifié"),"")</f>
        <v/>
      </c>
      <c r="O592" s="55" t="str">
        <f>IF(ISNUMBER(K592),M592-N592,"")</f>
        <v/>
      </c>
      <c r="P592" s="55" t="str">
        <f>IF(COUNTA(A592:I592)=0,"",N(G592)+N(H592)+N(I592))</f>
        <v/>
      </c>
      <c r="Q592" s="56" t="str">
        <f>IF(COUNTA(A592:I592)=0,"",IF(N(IFERROR(INDEX(art_rate,MATCH(E592,art_ref,0)),0))&gt;0,N(IFERROR(INDEX(art_rate,MATCH(E592,art_ref,0)),0)),N(IFERROR(INDEX(po_rate,MATCH(C592,po_code,0)),0))))</f>
        <v/>
      </c>
      <c r="R592" s="55" t="str">
        <f>IF(AC592=1,P592*60/Q592,"")</f>
        <v/>
      </c>
      <c r="S592" s="55" t="str">
        <f>IF(AC592=1,N(G592)*60/Q592,"")</f>
        <v/>
      </c>
      <c r="T592" s="57" t="str">
        <f>IF(AC592=1,O592/M592,"")</f>
        <v/>
      </c>
      <c r="U592" s="57" t="str">
        <f>IF(AC592=1,IF(O592&gt;0,R592/O592,""),"")</f>
        <v/>
      </c>
      <c r="V592" s="57" t="str">
        <f>IF(AC592=1,IF(P592&gt;0,N(G592)/P592,""),"")</f>
        <v/>
      </c>
      <c r="W592" s="57" t="str">
        <f>IF(AC592=1,S592/M592,"")</f>
        <v/>
      </c>
      <c r="X592" s="57" t="str">
        <f>IF(AC592=1,S592/K592,"")</f>
        <v/>
      </c>
      <c r="Y592" s="58" t="str">
        <f>IF(W592="","",IF(W592&gt;=p_target,"Bon",IF(W592&gt;=p_alert,"À surveiller","Faible")))</f>
        <v/>
      </c>
      <c r="Z592" s="58" t="str">
        <f>IF(W592="","",IF(MIN(IF(T592="",1,T592),IF(U592="",1,U592),IF(V592="",1,V592))&gt;=1,"Aucune",IF(IF(T592="",1,T592)&lt;=MIN(IF(U592="",1,U592),IF(V592="",1,V592)),"Disponibilité",IF(IF(U592="",1,U592)&lt;=IF(V592="",1,V592),"Performance","Qualité"))))</f>
        <v/>
      </c>
      <c r="AA592" s="59" t="str">
        <f>IF(AC592=1,N(H592)*N(IFERROR(INDEX(art_cost,MATCH(E592,art_ref,0)),0)),"")</f>
        <v/>
      </c>
      <c r="AB592" s="58" t="str">
        <f>IF(COUNTA(A592:I592)=0,"",IF(N(A592)&lt;=0,"Date manquante ou invalide",IF(B592="","Équipe manquante",IF(ISNA(MATCH(B592,eq_code,0)),"Équipe inconnue",IF(INDEX(eq_check,MATCH(B592,eq_code,0))&lt;&gt;"OK","Équipe à corriger dans Paramètres",IF(C592="","Poste manquant",IF(ISNA(MATCH(C592,po_code,0)),"Poste inconnu",IF(AND(E592&lt;&gt;"",ISNA(MATCH(E592,art_ref,0))),"Article inconnu",IF(IF(E592="",FALSE,INDEX(art_check,MATCH(E592,art_ref,0))&lt;&gt;"OK"),"Article à corriger (feuille Articles)",IF(COUNTIFS(sj_date,A592,sj_eq,B592,sj_po,C592)&gt;1,"Ligne en double (même jour, équipe et poste)",IF(OR(NOT(ISNUMBER(K592)),N(K592)&lt;=0,N(K592)&gt;1440),"Temps d'ouverture invalide",IF(OR(AND(G592&lt;&gt;"",NOT(ISNUMBER(G592))),N(G592)&lt;0,N(G592)&lt;&gt;INT(N(G592)),AND(H592&lt;&gt;"",NOT(ISNUMBER(H592))),N(H592)&lt;0,N(H592)&lt;&gt;INT(N(H592)),AND(I592&lt;&gt;"",NOT(ISNUMBER(I592))),N(I592)&lt;0,N(I592)&lt;&gt;INT(N(I592))),"Quantité invalide",IF(Q592&lt;=0,"Cadence manquante (poste ou article)",IF(M592&lt;=0,"Arrêts planifiés supérieurs au temps d'ouverture",IF(O592&lt;0,"Arrêts supérieurs au temps requis",IF(AND(P592&gt;0,O592=0),"Pièces déclarées sans temps de marche",IF(AND(P592=0,O592&gt;0),"Aucune pièce déclarée",IF(P592*60/Q592&gt;O592+0.001,"Cadence dépassée : vérifiez la cadence","OK"))))))))))))))))))</f>
        <v/>
      </c>
      <c r="AC592">
        <f>IF(OR(AB592="OK",AB592="Aucune pièce déclarée",AB592="Cadence dépassée : vérifiez la cadence"),1,0)</f>
        <v>0.0</v>
      </c>
      <c r="AD592">
        <f>IF(AND(AC592=1,A592&gt;=p_from,A592&lt;=p_to),1,0)</f>
        <v>0.0</v>
      </c>
      <c r="AE592">
        <f>IF(AD592=1,IF(COUNTIFS($A$6:A592,A592,$AD$6:AD592,1)=1,1,0),0)</f>
        <v>0.0</v>
      </c>
      <c r="AF592" t="str">
        <f>IF(AE592=1,COUNTIFS(sj_first,1,sj_date,"&lt;"&amp;A592)+1,"")</f>
        <v/>
      </c>
      <c r="AG592" t="str">
        <f>IF(AND(AD592=1,N(W592)&lt;p_alert),ROUND(W592,4),"")</f>
        <v/>
      </c>
      <c r="AH592" t="str">
        <f>IF(AG592="","",COUNTIF(sj_akey,"&lt;"&amp;AG592)+COUNTIF($AG$6:AG592,AG592))</f>
        <v/>
      </c>
    </row>
    <row r="593">
      <c r="A593" s="51" t="n"/>
      <c r="B593" s="52" t="n"/>
      <c r="C593" s="52" t="n"/>
      <c r="D593" s="53" t="n"/>
      <c r="E593" s="53" t="n"/>
      <c r="F593" s="54" t="n"/>
      <c r="G593" s="54" t="n"/>
      <c r="H593" s="54" t="n"/>
      <c r="I593" s="54" t="n"/>
      <c r="J593" s="53" t="n"/>
      <c r="K593" s="55" t="str">
        <f>IF(COUNTA(A593:I593)=0,"",IF(F593="",IFERROR(INDEX(eq_dur,MATCH(B593,eq_code,0)),""),F593))</f>
        <v/>
      </c>
      <c r="L593" s="55" t="str">
        <f>IF(ISNUMBER(K593),N(IFERROR(INDEX(eq_pause,MATCH(B593,eq_code,0)),0))+SUMIFS(st_min,st_date,A593,st_eq,B593,st_po,C593,st_type,"Planifié"),"")</f>
        <v/>
      </c>
      <c r="M593" s="55" t="str">
        <f>IF(ISNUMBER(K593),K593-L593,"")</f>
        <v/>
      </c>
      <c r="N593" s="55" t="str">
        <f>IF(ISNUMBER(K593),SUMIFS(st_min,st_date,A593,st_eq,B593,st_po,C593,st_type,"Non planifié"),"")</f>
        <v/>
      </c>
      <c r="O593" s="55" t="str">
        <f>IF(ISNUMBER(K593),M593-N593,"")</f>
        <v/>
      </c>
      <c r="P593" s="55" t="str">
        <f>IF(COUNTA(A593:I593)=0,"",N(G593)+N(H593)+N(I593))</f>
        <v/>
      </c>
      <c r="Q593" s="56" t="str">
        <f>IF(COUNTA(A593:I593)=0,"",IF(N(IFERROR(INDEX(art_rate,MATCH(E593,art_ref,0)),0))&gt;0,N(IFERROR(INDEX(art_rate,MATCH(E593,art_ref,0)),0)),N(IFERROR(INDEX(po_rate,MATCH(C593,po_code,0)),0))))</f>
        <v/>
      </c>
      <c r="R593" s="55" t="str">
        <f>IF(AC593=1,P593*60/Q593,"")</f>
        <v/>
      </c>
      <c r="S593" s="55" t="str">
        <f>IF(AC593=1,N(G593)*60/Q593,"")</f>
        <v/>
      </c>
      <c r="T593" s="57" t="str">
        <f>IF(AC593=1,O593/M593,"")</f>
        <v/>
      </c>
      <c r="U593" s="57" t="str">
        <f>IF(AC593=1,IF(O593&gt;0,R593/O593,""),"")</f>
        <v/>
      </c>
      <c r="V593" s="57" t="str">
        <f>IF(AC593=1,IF(P593&gt;0,N(G593)/P593,""),"")</f>
        <v/>
      </c>
      <c r="W593" s="57" t="str">
        <f>IF(AC593=1,S593/M593,"")</f>
        <v/>
      </c>
      <c r="X593" s="57" t="str">
        <f>IF(AC593=1,S593/K593,"")</f>
        <v/>
      </c>
      <c r="Y593" s="58" t="str">
        <f>IF(W593="","",IF(W593&gt;=p_target,"Bon",IF(W593&gt;=p_alert,"À surveiller","Faible")))</f>
        <v/>
      </c>
      <c r="Z593" s="58" t="str">
        <f>IF(W593="","",IF(MIN(IF(T593="",1,T593),IF(U593="",1,U593),IF(V593="",1,V593))&gt;=1,"Aucune",IF(IF(T593="",1,T593)&lt;=MIN(IF(U593="",1,U593),IF(V593="",1,V593)),"Disponibilité",IF(IF(U593="",1,U593)&lt;=IF(V593="",1,V593),"Performance","Qualité"))))</f>
        <v/>
      </c>
      <c r="AA593" s="59" t="str">
        <f>IF(AC593=1,N(H593)*N(IFERROR(INDEX(art_cost,MATCH(E593,art_ref,0)),0)),"")</f>
        <v/>
      </c>
      <c r="AB593" s="58" t="str">
        <f>IF(COUNTA(A593:I593)=0,"",IF(N(A593)&lt;=0,"Date manquante ou invalide",IF(B593="","Équipe manquante",IF(ISNA(MATCH(B593,eq_code,0)),"Équipe inconnue",IF(INDEX(eq_check,MATCH(B593,eq_code,0))&lt;&gt;"OK","Équipe à corriger dans Paramètres",IF(C593="","Poste manquant",IF(ISNA(MATCH(C593,po_code,0)),"Poste inconnu",IF(AND(E593&lt;&gt;"",ISNA(MATCH(E593,art_ref,0))),"Article inconnu",IF(IF(E593="",FALSE,INDEX(art_check,MATCH(E593,art_ref,0))&lt;&gt;"OK"),"Article à corriger (feuille Articles)",IF(COUNTIFS(sj_date,A593,sj_eq,B593,sj_po,C593)&gt;1,"Ligne en double (même jour, équipe et poste)",IF(OR(NOT(ISNUMBER(K593)),N(K593)&lt;=0,N(K593)&gt;1440),"Temps d'ouverture invalide",IF(OR(AND(G593&lt;&gt;"",NOT(ISNUMBER(G593))),N(G593)&lt;0,N(G593)&lt;&gt;INT(N(G593)),AND(H593&lt;&gt;"",NOT(ISNUMBER(H593))),N(H593)&lt;0,N(H593)&lt;&gt;INT(N(H593)),AND(I593&lt;&gt;"",NOT(ISNUMBER(I593))),N(I593)&lt;0,N(I593)&lt;&gt;INT(N(I593))),"Quantité invalide",IF(Q593&lt;=0,"Cadence manquante (poste ou article)",IF(M593&lt;=0,"Arrêts planifiés supérieurs au temps d'ouverture",IF(O593&lt;0,"Arrêts supérieurs au temps requis",IF(AND(P593&gt;0,O593=0),"Pièces déclarées sans temps de marche",IF(AND(P593=0,O593&gt;0),"Aucune pièce déclarée",IF(P593*60/Q593&gt;O593+0.001,"Cadence dépassée : vérifiez la cadence","OK"))))))))))))))))))</f>
        <v/>
      </c>
      <c r="AC593">
        <f>IF(OR(AB593="OK",AB593="Aucune pièce déclarée",AB593="Cadence dépassée : vérifiez la cadence"),1,0)</f>
        <v>0.0</v>
      </c>
      <c r="AD593">
        <f>IF(AND(AC593=1,A593&gt;=p_from,A593&lt;=p_to),1,0)</f>
        <v>0.0</v>
      </c>
      <c r="AE593">
        <f>IF(AD593=1,IF(COUNTIFS($A$6:A593,A593,$AD$6:AD593,1)=1,1,0),0)</f>
        <v>0.0</v>
      </c>
      <c r="AF593" t="str">
        <f>IF(AE593=1,COUNTIFS(sj_first,1,sj_date,"&lt;"&amp;A593)+1,"")</f>
        <v/>
      </c>
      <c r="AG593" t="str">
        <f>IF(AND(AD593=1,N(W593)&lt;p_alert),ROUND(W593,4),"")</f>
        <v/>
      </c>
      <c r="AH593" t="str">
        <f>IF(AG593="","",COUNTIF(sj_akey,"&lt;"&amp;AG593)+COUNTIF($AG$6:AG593,AG593))</f>
        <v/>
      </c>
    </row>
    <row r="594">
      <c r="A594" s="51" t="n"/>
      <c r="B594" s="52" t="n"/>
      <c r="C594" s="52" t="n"/>
      <c r="D594" s="53" t="n"/>
      <c r="E594" s="53" t="n"/>
      <c r="F594" s="54" t="n"/>
      <c r="G594" s="54" t="n"/>
      <c r="H594" s="54" t="n"/>
      <c r="I594" s="54" t="n"/>
      <c r="J594" s="53" t="n"/>
      <c r="K594" s="55" t="str">
        <f>IF(COUNTA(A594:I594)=0,"",IF(F594="",IFERROR(INDEX(eq_dur,MATCH(B594,eq_code,0)),""),F594))</f>
        <v/>
      </c>
      <c r="L594" s="55" t="str">
        <f>IF(ISNUMBER(K594),N(IFERROR(INDEX(eq_pause,MATCH(B594,eq_code,0)),0))+SUMIFS(st_min,st_date,A594,st_eq,B594,st_po,C594,st_type,"Planifié"),"")</f>
        <v/>
      </c>
      <c r="M594" s="55" t="str">
        <f>IF(ISNUMBER(K594),K594-L594,"")</f>
        <v/>
      </c>
      <c r="N594" s="55" t="str">
        <f>IF(ISNUMBER(K594),SUMIFS(st_min,st_date,A594,st_eq,B594,st_po,C594,st_type,"Non planifié"),"")</f>
        <v/>
      </c>
      <c r="O594" s="55" t="str">
        <f>IF(ISNUMBER(K594),M594-N594,"")</f>
        <v/>
      </c>
      <c r="P594" s="55" t="str">
        <f>IF(COUNTA(A594:I594)=0,"",N(G594)+N(H594)+N(I594))</f>
        <v/>
      </c>
      <c r="Q594" s="56" t="str">
        <f>IF(COUNTA(A594:I594)=0,"",IF(N(IFERROR(INDEX(art_rate,MATCH(E594,art_ref,0)),0))&gt;0,N(IFERROR(INDEX(art_rate,MATCH(E594,art_ref,0)),0)),N(IFERROR(INDEX(po_rate,MATCH(C594,po_code,0)),0))))</f>
        <v/>
      </c>
      <c r="R594" s="55" t="str">
        <f>IF(AC594=1,P594*60/Q594,"")</f>
        <v/>
      </c>
      <c r="S594" s="55" t="str">
        <f>IF(AC594=1,N(G594)*60/Q594,"")</f>
        <v/>
      </c>
      <c r="T594" s="57" t="str">
        <f>IF(AC594=1,O594/M594,"")</f>
        <v/>
      </c>
      <c r="U594" s="57" t="str">
        <f>IF(AC594=1,IF(O594&gt;0,R594/O594,""),"")</f>
        <v/>
      </c>
      <c r="V594" s="57" t="str">
        <f>IF(AC594=1,IF(P594&gt;0,N(G594)/P594,""),"")</f>
        <v/>
      </c>
      <c r="W594" s="57" t="str">
        <f>IF(AC594=1,S594/M594,"")</f>
        <v/>
      </c>
      <c r="X594" s="57" t="str">
        <f>IF(AC594=1,S594/K594,"")</f>
        <v/>
      </c>
      <c r="Y594" s="58" t="str">
        <f>IF(W594="","",IF(W594&gt;=p_target,"Bon",IF(W594&gt;=p_alert,"À surveiller","Faible")))</f>
        <v/>
      </c>
      <c r="Z594" s="58" t="str">
        <f>IF(W594="","",IF(MIN(IF(T594="",1,T594),IF(U594="",1,U594),IF(V594="",1,V594))&gt;=1,"Aucune",IF(IF(T594="",1,T594)&lt;=MIN(IF(U594="",1,U594),IF(V594="",1,V594)),"Disponibilité",IF(IF(U594="",1,U594)&lt;=IF(V594="",1,V594),"Performance","Qualité"))))</f>
        <v/>
      </c>
      <c r="AA594" s="59" t="str">
        <f>IF(AC594=1,N(H594)*N(IFERROR(INDEX(art_cost,MATCH(E594,art_ref,0)),0)),"")</f>
        <v/>
      </c>
      <c r="AB594" s="58" t="str">
        <f>IF(COUNTA(A594:I594)=0,"",IF(N(A594)&lt;=0,"Date manquante ou invalide",IF(B594="","Équipe manquante",IF(ISNA(MATCH(B594,eq_code,0)),"Équipe inconnue",IF(INDEX(eq_check,MATCH(B594,eq_code,0))&lt;&gt;"OK","Équipe à corriger dans Paramètres",IF(C594="","Poste manquant",IF(ISNA(MATCH(C594,po_code,0)),"Poste inconnu",IF(AND(E594&lt;&gt;"",ISNA(MATCH(E594,art_ref,0))),"Article inconnu",IF(IF(E594="",FALSE,INDEX(art_check,MATCH(E594,art_ref,0))&lt;&gt;"OK"),"Article à corriger (feuille Articles)",IF(COUNTIFS(sj_date,A594,sj_eq,B594,sj_po,C594)&gt;1,"Ligne en double (même jour, équipe et poste)",IF(OR(NOT(ISNUMBER(K594)),N(K594)&lt;=0,N(K594)&gt;1440),"Temps d'ouverture invalide",IF(OR(AND(G594&lt;&gt;"",NOT(ISNUMBER(G594))),N(G594)&lt;0,N(G594)&lt;&gt;INT(N(G594)),AND(H594&lt;&gt;"",NOT(ISNUMBER(H594))),N(H594)&lt;0,N(H594)&lt;&gt;INT(N(H594)),AND(I594&lt;&gt;"",NOT(ISNUMBER(I594))),N(I594)&lt;0,N(I594)&lt;&gt;INT(N(I594))),"Quantité invalide",IF(Q594&lt;=0,"Cadence manquante (poste ou article)",IF(M594&lt;=0,"Arrêts planifiés supérieurs au temps d'ouverture",IF(O594&lt;0,"Arrêts supérieurs au temps requis",IF(AND(P594&gt;0,O594=0),"Pièces déclarées sans temps de marche",IF(AND(P594=0,O594&gt;0),"Aucune pièce déclarée",IF(P594*60/Q594&gt;O594+0.001,"Cadence dépassée : vérifiez la cadence","OK"))))))))))))))))))</f>
        <v/>
      </c>
      <c r="AC594">
        <f>IF(OR(AB594="OK",AB594="Aucune pièce déclarée",AB594="Cadence dépassée : vérifiez la cadence"),1,0)</f>
        <v>0.0</v>
      </c>
      <c r="AD594">
        <f>IF(AND(AC594=1,A594&gt;=p_from,A594&lt;=p_to),1,0)</f>
        <v>0.0</v>
      </c>
      <c r="AE594">
        <f>IF(AD594=1,IF(COUNTIFS($A$6:A594,A594,$AD$6:AD594,1)=1,1,0),0)</f>
        <v>0.0</v>
      </c>
      <c r="AF594" t="str">
        <f>IF(AE594=1,COUNTIFS(sj_first,1,sj_date,"&lt;"&amp;A594)+1,"")</f>
        <v/>
      </c>
      <c r="AG594" t="str">
        <f>IF(AND(AD594=1,N(W594)&lt;p_alert),ROUND(W594,4),"")</f>
        <v/>
      </c>
      <c r="AH594" t="str">
        <f>IF(AG594="","",COUNTIF(sj_akey,"&lt;"&amp;AG594)+COUNTIF($AG$6:AG594,AG594))</f>
        <v/>
      </c>
    </row>
    <row r="595">
      <c r="A595" s="51" t="n"/>
      <c r="B595" s="52" t="n"/>
      <c r="C595" s="52" t="n"/>
      <c r="D595" s="53" t="n"/>
      <c r="E595" s="53" t="n"/>
      <c r="F595" s="54" t="n"/>
      <c r="G595" s="54" t="n"/>
      <c r="H595" s="54" t="n"/>
      <c r="I595" s="54" t="n"/>
      <c r="J595" s="53" t="n"/>
      <c r="K595" s="55" t="str">
        <f>IF(COUNTA(A595:I595)=0,"",IF(F595="",IFERROR(INDEX(eq_dur,MATCH(B595,eq_code,0)),""),F595))</f>
        <v/>
      </c>
      <c r="L595" s="55" t="str">
        <f>IF(ISNUMBER(K595),N(IFERROR(INDEX(eq_pause,MATCH(B595,eq_code,0)),0))+SUMIFS(st_min,st_date,A595,st_eq,B595,st_po,C595,st_type,"Planifié"),"")</f>
        <v/>
      </c>
      <c r="M595" s="55" t="str">
        <f>IF(ISNUMBER(K595),K595-L595,"")</f>
        <v/>
      </c>
      <c r="N595" s="55" t="str">
        <f>IF(ISNUMBER(K595),SUMIFS(st_min,st_date,A595,st_eq,B595,st_po,C595,st_type,"Non planifié"),"")</f>
        <v/>
      </c>
      <c r="O595" s="55" t="str">
        <f>IF(ISNUMBER(K595),M595-N595,"")</f>
        <v/>
      </c>
      <c r="P595" s="55" t="str">
        <f>IF(COUNTA(A595:I595)=0,"",N(G595)+N(H595)+N(I595))</f>
        <v/>
      </c>
      <c r="Q595" s="56" t="str">
        <f>IF(COUNTA(A595:I595)=0,"",IF(N(IFERROR(INDEX(art_rate,MATCH(E595,art_ref,0)),0))&gt;0,N(IFERROR(INDEX(art_rate,MATCH(E595,art_ref,0)),0)),N(IFERROR(INDEX(po_rate,MATCH(C595,po_code,0)),0))))</f>
        <v/>
      </c>
      <c r="R595" s="55" t="str">
        <f>IF(AC595=1,P595*60/Q595,"")</f>
        <v/>
      </c>
      <c r="S595" s="55" t="str">
        <f>IF(AC595=1,N(G595)*60/Q595,"")</f>
        <v/>
      </c>
      <c r="T595" s="57" t="str">
        <f>IF(AC595=1,O595/M595,"")</f>
        <v/>
      </c>
      <c r="U595" s="57" t="str">
        <f>IF(AC595=1,IF(O595&gt;0,R595/O595,""),"")</f>
        <v/>
      </c>
      <c r="V595" s="57" t="str">
        <f>IF(AC595=1,IF(P595&gt;0,N(G595)/P595,""),"")</f>
        <v/>
      </c>
      <c r="W595" s="57" t="str">
        <f>IF(AC595=1,S595/M595,"")</f>
        <v/>
      </c>
      <c r="X595" s="57" t="str">
        <f>IF(AC595=1,S595/K595,"")</f>
        <v/>
      </c>
      <c r="Y595" s="58" t="str">
        <f>IF(W595="","",IF(W595&gt;=p_target,"Bon",IF(W595&gt;=p_alert,"À surveiller","Faible")))</f>
        <v/>
      </c>
      <c r="Z595" s="58" t="str">
        <f>IF(W595="","",IF(MIN(IF(T595="",1,T595),IF(U595="",1,U595),IF(V595="",1,V595))&gt;=1,"Aucune",IF(IF(T595="",1,T595)&lt;=MIN(IF(U595="",1,U595),IF(V595="",1,V595)),"Disponibilité",IF(IF(U595="",1,U595)&lt;=IF(V595="",1,V595),"Performance","Qualité"))))</f>
        <v/>
      </c>
      <c r="AA595" s="59" t="str">
        <f>IF(AC595=1,N(H595)*N(IFERROR(INDEX(art_cost,MATCH(E595,art_ref,0)),0)),"")</f>
        <v/>
      </c>
      <c r="AB595" s="58" t="str">
        <f>IF(COUNTA(A595:I595)=0,"",IF(N(A595)&lt;=0,"Date manquante ou invalide",IF(B595="","Équipe manquante",IF(ISNA(MATCH(B595,eq_code,0)),"Équipe inconnue",IF(INDEX(eq_check,MATCH(B595,eq_code,0))&lt;&gt;"OK","Équipe à corriger dans Paramètres",IF(C595="","Poste manquant",IF(ISNA(MATCH(C595,po_code,0)),"Poste inconnu",IF(AND(E595&lt;&gt;"",ISNA(MATCH(E595,art_ref,0))),"Article inconnu",IF(IF(E595="",FALSE,INDEX(art_check,MATCH(E595,art_ref,0))&lt;&gt;"OK"),"Article à corriger (feuille Articles)",IF(COUNTIFS(sj_date,A595,sj_eq,B595,sj_po,C595)&gt;1,"Ligne en double (même jour, équipe et poste)",IF(OR(NOT(ISNUMBER(K595)),N(K595)&lt;=0,N(K595)&gt;1440),"Temps d'ouverture invalide",IF(OR(AND(G595&lt;&gt;"",NOT(ISNUMBER(G595))),N(G595)&lt;0,N(G595)&lt;&gt;INT(N(G595)),AND(H595&lt;&gt;"",NOT(ISNUMBER(H595))),N(H595)&lt;0,N(H595)&lt;&gt;INT(N(H595)),AND(I595&lt;&gt;"",NOT(ISNUMBER(I595))),N(I595)&lt;0,N(I595)&lt;&gt;INT(N(I595))),"Quantité invalide",IF(Q595&lt;=0,"Cadence manquante (poste ou article)",IF(M595&lt;=0,"Arrêts planifiés supérieurs au temps d'ouverture",IF(O595&lt;0,"Arrêts supérieurs au temps requis",IF(AND(P595&gt;0,O595=0),"Pièces déclarées sans temps de marche",IF(AND(P595=0,O595&gt;0),"Aucune pièce déclarée",IF(P595*60/Q595&gt;O595+0.001,"Cadence dépassée : vérifiez la cadence","OK"))))))))))))))))))</f>
        <v/>
      </c>
      <c r="AC595">
        <f>IF(OR(AB595="OK",AB595="Aucune pièce déclarée",AB595="Cadence dépassée : vérifiez la cadence"),1,0)</f>
        <v>0.0</v>
      </c>
      <c r="AD595">
        <f>IF(AND(AC595=1,A595&gt;=p_from,A595&lt;=p_to),1,0)</f>
        <v>0.0</v>
      </c>
      <c r="AE595">
        <f>IF(AD595=1,IF(COUNTIFS($A$6:A595,A595,$AD$6:AD595,1)=1,1,0),0)</f>
        <v>0.0</v>
      </c>
      <c r="AF595" t="str">
        <f>IF(AE595=1,COUNTIFS(sj_first,1,sj_date,"&lt;"&amp;A595)+1,"")</f>
        <v/>
      </c>
      <c r="AG595" t="str">
        <f>IF(AND(AD595=1,N(W595)&lt;p_alert),ROUND(W595,4),"")</f>
        <v/>
      </c>
      <c r="AH595" t="str">
        <f>IF(AG595="","",COUNTIF(sj_akey,"&lt;"&amp;AG595)+COUNTIF($AG$6:AG595,AG595))</f>
        <v/>
      </c>
    </row>
    <row r="596">
      <c r="A596" s="51" t="n"/>
      <c r="B596" s="52" t="n"/>
      <c r="C596" s="52" t="n"/>
      <c r="D596" s="53" t="n"/>
      <c r="E596" s="53" t="n"/>
      <c r="F596" s="54" t="n"/>
      <c r="G596" s="54" t="n"/>
      <c r="H596" s="54" t="n"/>
      <c r="I596" s="54" t="n"/>
      <c r="J596" s="53" t="n"/>
      <c r="K596" s="55" t="str">
        <f>IF(COUNTA(A596:I596)=0,"",IF(F596="",IFERROR(INDEX(eq_dur,MATCH(B596,eq_code,0)),""),F596))</f>
        <v/>
      </c>
      <c r="L596" s="55" t="str">
        <f>IF(ISNUMBER(K596),N(IFERROR(INDEX(eq_pause,MATCH(B596,eq_code,0)),0))+SUMIFS(st_min,st_date,A596,st_eq,B596,st_po,C596,st_type,"Planifié"),"")</f>
        <v/>
      </c>
      <c r="M596" s="55" t="str">
        <f>IF(ISNUMBER(K596),K596-L596,"")</f>
        <v/>
      </c>
      <c r="N596" s="55" t="str">
        <f>IF(ISNUMBER(K596),SUMIFS(st_min,st_date,A596,st_eq,B596,st_po,C596,st_type,"Non planifié"),"")</f>
        <v/>
      </c>
      <c r="O596" s="55" t="str">
        <f>IF(ISNUMBER(K596),M596-N596,"")</f>
        <v/>
      </c>
      <c r="P596" s="55" t="str">
        <f>IF(COUNTA(A596:I596)=0,"",N(G596)+N(H596)+N(I596))</f>
        <v/>
      </c>
      <c r="Q596" s="56" t="str">
        <f>IF(COUNTA(A596:I596)=0,"",IF(N(IFERROR(INDEX(art_rate,MATCH(E596,art_ref,0)),0))&gt;0,N(IFERROR(INDEX(art_rate,MATCH(E596,art_ref,0)),0)),N(IFERROR(INDEX(po_rate,MATCH(C596,po_code,0)),0))))</f>
        <v/>
      </c>
      <c r="R596" s="55" t="str">
        <f>IF(AC596=1,P596*60/Q596,"")</f>
        <v/>
      </c>
      <c r="S596" s="55" t="str">
        <f>IF(AC596=1,N(G596)*60/Q596,"")</f>
        <v/>
      </c>
      <c r="T596" s="57" t="str">
        <f>IF(AC596=1,O596/M596,"")</f>
        <v/>
      </c>
      <c r="U596" s="57" t="str">
        <f>IF(AC596=1,IF(O596&gt;0,R596/O596,""),"")</f>
        <v/>
      </c>
      <c r="V596" s="57" t="str">
        <f>IF(AC596=1,IF(P596&gt;0,N(G596)/P596,""),"")</f>
        <v/>
      </c>
      <c r="W596" s="57" t="str">
        <f>IF(AC596=1,S596/M596,"")</f>
        <v/>
      </c>
      <c r="X596" s="57" t="str">
        <f>IF(AC596=1,S596/K596,"")</f>
        <v/>
      </c>
      <c r="Y596" s="58" t="str">
        <f>IF(W596="","",IF(W596&gt;=p_target,"Bon",IF(W596&gt;=p_alert,"À surveiller","Faible")))</f>
        <v/>
      </c>
      <c r="Z596" s="58" t="str">
        <f>IF(W596="","",IF(MIN(IF(T596="",1,T596),IF(U596="",1,U596),IF(V596="",1,V596))&gt;=1,"Aucune",IF(IF(T596="",1,T596)&lt;=MIN(IF(U596="",1,U596),IF(V596="",1,V596)),"Disponibilité",IF(IF(U596="",1,U596)&lt;=IF(V596="",1,V596),"Performance","Qualité"))))</f>
        <v/>
      </c>
      <c r="AA596" s="59" t="str">
        <f>IF(AC596=1,N(H596)*N(IFERROR(INDEX(art_cost,MATCH(E596,art_ref,0)),0)),"")</f>
        <v/>
      </c>
      <c r="AB596" s="58" t="str">
        <f>IF(COUNTA(A596:I596)=0,"",IF(N(A596)&lt;=0,"Date manquante ou invalide",IF(B596="","Équipe manquante",IF(ISNA(MATCH(B596,eq_code,0)),"Équipe inconnue",IF(INDEX(eq_check,MATCH(B596,eq_code,0))&lt;&gt;"OK","Équipe à corriger dans Paramètres",IF(C596="","Poste manquant",IF(ISNA(MATCH(C596,po_code,0)),"Poste inconnu",IF(AND(E596&lt;&gt;"",ISNA(MATCH(E596,art_ref,0))),"Article inconnu",IF(IF(E596="",FALSE,INDEX(art_check,MATCH(E596,art_ref,0))&lt;&gt;"OK"),"Article à corriger (feuille Articles)",IF(COUNTIFS(sj_date,A596,sj_eq,B596,sj_po,C596)&gt;1,"Ligne en double (même jour, équipe et poste)",IF(OR(NOT(ISNUMBER(K596)),N(K596)&lt;=0,N(K596)&gt;1440),"Temps d'ouverture invalide",IF(OR(AND(G596&lt;&gt;"",NOT(ISNUMBER(G596))),N(G596)&lt;0,N(G596)&lt;&gt;INT(N(G596)),AND(H596&lt;&gt;"",NOT(ISNUMBER(H596))),N(H596)&lt;0,N(H596)&lt;&gt;INT(N(H596)),AND(I596&lt;&gt;"",NOT(ISNUMBER(I596))),N(I596)&lt;0,N(I596)&lt;&gt;INT(N(I596))),"Quantité invalide",IF(Q596&lt;=0,"Cadence manquante (poste ou article)",IF(M596&lt;=0,"Arrêts planifiés supérieurs au temps d'ouverture",IF(O596&lt;0,"Arrêts supérieurs au temps requis",IF(AND(P596&gt;0,O596=0),"Pièces déclarées sans temps de marche",IF(AND(P596=0,O596&gt;0),"Aucune pièce déclarée",IF(P596*60/Q596&gt;O596+0.001,"Cadence dépassée : vérifiez la cadence","OK"))))))))))))))))))</f>
        <v/>
      </c>
      <c r="AC596">
        <f>IF(OR(AB596="OK",AB596="Aucune pièce déclarée",AB596="Cadence dépassée : vérifiez la cadence"),1,0)</f>
        <v>0.0</v>
      </c>
      <c r="AD596">
        <f>IF(AND(AC596=1,A596&gt;=p_from,A596&lt;=p_to),1,0)</f>
        <v>0.0</v>
      </c>
      <c r="AE596">
        <f>IF(AD596=1,IF(COUNTIFS($A$6:A596,A596,$AD$6:AD596,1)=1,1,0),0)</f>
        <v>0.0</v>
      </c>
      <c r="AF596" t="str">
        <f>IF(AE596=1,COUNTIFS(sj_first,1,sj_date,"&lt;"&amp;A596)+1,"")</f>
        <v/>
      </c>
      <c r="AG596" t="str">
        <f>IF(AND(AD596=1,N(W596)&lt;p_alert),ROUND(W596,4),"")</f>
        <v/>
      </c>
      <c r="AH596" t="str">
        <f>IF(AG596="","",COUNTIF(sj_akey,"&lt;"&amp;AG596)+COUNTIF($AG$6:AG596,AG596))</f>
        <v/>
      </c>
    </row>
    <row r="597">
      <c r="A597" s="51" t="n"/>
      <c r="B597" s="52" t="n"/>
      <c r="C597" s="52" t="n"/>
      <c r="D597" s="53" t="n"/>
      <c r="E597" s="53" t="n"/>
      <c r="F597" s="54" t="n"/>
      <c r="G597" s="54" t="n"/>
      <c r="H597" s="54" t="n"/>
      <c r="I597" s="54" t="n"/>
      <c r="J597" s="53" t="n"/>
      <c r="K597" s="55" t="str">
        <f>IF(COUNTA(A597:I597)=0,"",IF(F597="",IFERROR(INDEX(eq_dur,MATCH(B597,eq_code,0)),""),F597))</f>
        <v/>
      </c>
      <c r="L597" s="55" t="str">
        <f>IF(ISNUMBER(K597),N(IFERROR(INDEX(eq_pause,MATCH(B597,eq_code,0)),0))+SUMIFS(st_min,st_date,A597,st_eq,B597,st_po,C597,st_type,"Planifié"),"")</f>
        <v/>
      </c>
      <c r="M597" s="55" t="str">
        <f>IF(ISNUMBER(K597),K597-L597,"")</f>
        <v/>
      </c>
      <c r="N597" s="55" t="str">
        <f>IF(ISNUMBER(K597),SUMIFS(st_min,st_date,A597,st_eq,B597,st_po,C597,st_type,"Non planifié"),"")</f>
        <v/>
      </c>
      <c r="O597" s="55" t="str">
        <f>IF(ISNUMBER(K597),M597-N597,"")</f>
        <v/>
      </c>
      <c r="P597" s="55" t="str">
        <f>IF(COUNTA(A597:I597)=0,"",N(G597)+N(H597)+N(I597))</f>
        <v/>
      </c>
      <c r="Q597" s="56" t="str">
        <f>IF(COUNTA(A597:I597)=0,"",IF(N(IFERROR(INDEX(art_rate,MATCH(E597,art_ref,0)),0))&gt;0,N(IFERROR(INDEX(art_rate,MATCH(E597,art_ref,0)),0)),N(IFERROR(INDEX(po_rate,MATCH(C597,po_code,0)),0))))</f>
        <v/>
      </c>
      <c r="R597" s="55" t="str">
        <f>IF(AC597=1,P597*60/Q597,"")</f>
        <v/>
      </c>
      <c r="S597" s="55" t="str">
        <f>IF(AC597=1,N(G597)*60/Q597,"")</f>
        <v/>
      </c>
      <c r="T597" s="57" t="str">
        <f>IF(AC597=1,O597/M597,"")</f>
        <v/>
      </c>
      <c r="U597" s="57" t="str">
        <f>IF(AC597=1,IF(O597&gt;0,R597/O597,""),"")</f>
        <v/>
      </c>
      <c r="V597" s="57" t="str">
        <f>IF(AC597=1,IF(P597&gt;0,N(G597)/P597,""),"")</f>
        <v/>
      </c>
      <c r="W597" s="57" t="str">
        <f>IF(AC597=1,S597/M597,"")</f>
        <v/>
      </c>
      <c r="X597" s="57" t="str">
        <f>IF(AC597=1,S597/K597,"")</f>
        <v/>
      </c>
      <c r="Y597" s="58" t="str">
        <f>IF(W597="","",IF(W597&gt;=p_target,"Bon",IF(W597&gt;=p_alert,"À surveiller","Faible")))</f>
        <v/>
      </c>
      <c r="Z597" s="58" t="str">
        <f>IF(W597="","",IF(MIN(IF(T597="",1,T597),IF(U597="",1,U597),IF(V597="",1,V597))&gt;=1,"Aucune",IF(IF(T597="",1,T597)&lt;=MIN(IF(U597="",1,U597),IF(V597="",1,V597)),"Disponibilité",IF(IF(U597="",1,U597)&lt;=IF(V597="",1,V597),"Performance","Qualité"))))</f>
        <v/>
      </c>
      <c r="AA597" s="59" t="str">
        <f>IF(AC597=1,N(H597)*N(IFERROR(INDEX(art_cost,MATCH(E597,art_ref,0)),0)),"")</f>
        <v/>
      </c>
      <c r="AB597" s="58" t="str">
        <f>IF(COUNTA(A597:I597)=0,"",IF(N(A597)&lt;=0,"Date manquante ou invalide",IF(B597="","Équipe manquante",IF(ISNA(MATCH(B597,eq_code,0)),"Équipe inconnue",IF(INDEX(eq_check,MATCH(B597,eq_code,0))&lt;&gt;"OK","Équipe à corriger dans Paramètres",IF(C597="","Poste manquant",IF(ISNA(MATCH(C597,po_code,0)),"Poste inconnu",IF(AND(E597&lt;&gt;"",ISNA(MATCH(E597,art_ref,0))),"Article inconnu",IF(IF(E597="",FALSE,INDEX(art_check,MATCH(E597,art_ref,0))&lt;&gt;"OK"),"Article à corriger (feuille Articles)",IF(COUNTIFS(sj_date,A597,sj_eq,B597,sj_po,C597)&gt;1,"Ligne en double (même jour, équipe et poste)",IF(OR(NOT(ISNUMBER(K597)),N(K597)&lt;=0,N(K597)&gt;1440),"Temps d'ouverture invalide",IF(OR(AND(G597&lt;&gt;"",NOT(ISNUMBER(G597))),N(G597)&lt;0,N(G597)&lt;&gt;INT(N(G597)),AND(H597&lt;&gt;"",NOT(ISNUMBER(H597))),N(H597)&lt;0,N(H597)&lt;&gt;INT(N(H597)),AND(I597&lt;&gt;"",NOT(ISNUMBER(I597))),N(I597)&lt;0,N(I597)&lt;&gt;INT(N(I597))),"Quantité invalide",IF(Q597&lt;=0,"Cadence manquante (poste ou article)",IF(M597&lt;=0,"Arrêts planifiés supérieurs au temps d'ouverture",IF(O597&lt;0,"Arrêts supérieurs au temps requis",IF(AND(P597&gt;0,O597=0),"Pièces déclarées sans temps de marche",IF(AND(P597=0,O597&gt;0),"Aucune pièce déclarée",IF(P597*60/Q597&gt;O597+0.001,"Cadence dépassée : vérifiez la cadence","OK"))))))))))))))))))</f>
        <v/>
      </c>
      <c r="AC597">
        <f>IF(OR(AB597="OK",AB597="Aucune pièce déclarée",AB597="Cadence dépassée : vérifiez la cadence"),1,0)</f>
        <v>0.0</v>
      </c>
      <c r="AD597">
        <f>IF(AND(AC597=1,A597&gt;=p_from,A597&lt;=p_to),1,0)</f>
        <v>0.0</v>
      </c>
      <c r="AE597">
        <f>IF(AD597=1,IF(COUNTIFS($A$6:A597,A597,$AD$6:AD597,1)=1,1,0),0)</f>
        <v>0.0</v>
      </c>
      <c r="AF597" t="str">
        <f>IF(AE597=1,COUNTIFS(sj_first,1,sj_date,"&lt;"&amp;A597)+1,"")</f>
        <v/>
      </c>
      <c r="AG597" t="str">
        <f>IF(AND(AD597=1,N(W597)&lt;p_alert),ROUND(W597,4),"")</f>
        <v/>
      </c>
      <c r="AH597" t="str">
        <f>IF(AG597="","",COUNTIF(sj_akey,"&lt;"&amp;AG597)+COUNTIF($AG$6:AG597,AG597))</f>
        <v/>
      </c>
    </row>
    <row r="598">
      <c r="A598" s="51" t="n"/>
      <c r="B598" s="52" t="n"/>
      <c r="C598" s="52" t="n"/>
      <c r="D598" s="53" t="n"/>
      <c r="E598" s="53" t="n"/>
      <c r="F598" s="54" t="n"/>
      <c r="G598" s="54" t="n"/>
      <c r="H598" s="54" t="n"/>
      <c r="I598" s="54" t="n"/>
      <c r="J598" s="53" t="n"/>
      <c r="K598" s="55" t="str">
        <f>IF(COUNTA(A598:I598)=0,"",IF(F598="",IFERROR(INDEX(eq_dur,MATCH(B598,eq_code,0)),""),F598))</f>
        <v/>
      </c>
      <c r="L598" s="55" t="str">
        <f>IF(ISNUMBER(K598),N(IFERROR(INDEX(eq_pause,MATCH(B598,eq_code,0)),0))+SUMIFS(st_min,st_date,A598,st_eq,B598,st_po,C598,st_type,"Planifié"),"")</f>
        <v/>
      </c>
      <c r="M598" s="55" t="str">
        <f>IF(ISNUMBER(K598),K598-L598,"")</f>
        <v/>
      </c>
      <c r="N598" s="55" t="str">
        <f>IF(ISNUMBER(K598),SUMIFS(st_min,st_date,A598,st_eq,B598,st_po,C598,st_type,"Non planifié"),"")</f>
        <v/>
      </c>
      <c r="O598" s="55" t="str">
        <f>IF(ISNUMBER(K598),M598-N598,"")</f>
        <v/>
      </c>
      <c r="P598" s="55" t="str">
        <f>IF(COUNTA(A598:I598)=0,"",N(G598)+N(H598)+N(I598))</f>
        <v/>
      </c>
      <c r="Q598" s="56" t="str">
        <f>IF(COUNTA(A598:I598)=0,"",IF(N(IFERROR(INDEX(art_rate,MATCH(E598,art_ref,0)),0))&gt;0,N(IFERROR(INDEX(art_rate,MATCH(E598,art_ref,0)),0)),N(IFERROR(INDEX(po_rate,MATCH(C598,po_code,0)),0))))</f>
        <v/>
      </c>
      <c r="R598" s="55" t="str">
        <f>IF(AC598=1,P598*60/Q598,"")</f>
        <v/>
      </c>
      <c r="S598" s="55" t="str">
        <f>IF(AC598=1,N(G598)*60/Q598,"")</f>
        <v/>
      </c>
      <c r="T598" s="57" t="str">
        <f>IF(AC598=1,O598/M598,"")</f>
        <v/>
      </c>
      <c r="U598" s="57" t="str">
        <f>IF(AC598=1,IF(O598&gt;0,R598/O598,""),"")</f>
        <v/>
      </c>
      <c r="V598" s="57" t="str">
        <f>IF(AC598=1,IF(P598&gt;0,N(G598)/P598,""),"")</f>
        <v/>
      </c>
      <c r="W598" s="57" t="str">
        <f>IF(AC598=1,S598/M598,"")</f>
        <v/>
      </c>
      <c r="X598" s="57" t="str">
        <f>IF(AC598=1,S598/K598,"")</f>
        <v/>
      </c>
      <c r="Y598" s="58" t="str">
        <f>IF(W598="","",IF(W598&gt;=p_target,"Bon",IF(W598&gt;=p_alert,"À surveiller","Faible")))</f>
        <v/>
      </c>
      <c r="Z598" s="58" t="str">
        <f>IF(W598="","",IF(MIN(IF(T598="",1,T598),IF(U598="",1,U598),IF(V598="",1,V598))&gt;=1,"Aucune",IF(IF(T598="",1,T598)&lt;=MIN(IF(U598="",1,U598),IF(V598="",1,V598)),"Disponibilité",IF(IF(U598="",1,U598)&lt;=IF(V598="",1,V598),"Performance","Qualité"))))</f>
        <v/>
      </c>
      <c r="AA598" s="59" t="str">
        <f>IF(AC598=1,N(H598)*N(IFERROR(INDEX(art_cost,MATCH(E598,art_ref,0)),0)),"")</f>
        <v/>
      </c>
      <c r="AB598" s="58" t="str">
        <f>IF(COUNTA(A598:I598)=0,"",IF(N(A598)&lt;=0,"Date manquante ou invalide",IF(B598="","Équipe manquante",IF(ISNA(MATCH(B598,eq_code,0)),"Équipe inconnue",IF(INDEX(eq_check,MATCH(B598,eq_code,0))&lt;&gt;"OK","Équipe à corriger dans Paramètres",IF(C598="","Poste manquant",IF(ISNA(MATCH(C598,po_code,0)),"Poste inconnu",IF(AND(E598&lt;&gt;"",ISNA(MATCH(E598,art_ref,0))),"Article inconnu",IF(IF(E598="",FALSE,INDEX(art_check,MATCH(E598,art_ref,0))&lt;&gt;"OK"),"Article à corriger (feuille Articles)",IF(COUNTIFS(sj_date,A598,sj_eq,B598,sj_po,C598)&gt;1,"Ligne en double (même jour, équipe et poste)",IF(OR(NOT(ISNUMBER(K598)),N(K598)&lt;=0,N(K598)&gt;1440),"Temps d'ouverture invalide",IF(OR(AND(G598&lt;&gt;"",NOT(ISNUMBER(G598))),N(G598)&lt;0,N(G598)&lt;&gt;INT(N(G598)),AND(H598&lt;&gt;"",NOT(ISNUMBER(H598))),N(H598)&lt;0,N(H598)&lt;&gt;INT(N(H598)),AND(I598&lt;&gt;"",NOT(ISNUMBER(I598))),N(I598)&lt;0,N(I598)&lt;&gt;INT(N(I598))),"Quantité invalide",IF(Q598&lt;=0,"Cadence manquante (poste ou article)",IF(M598&lt;=0,"Arrêts planifiés supérieurs au temps d'ouverture",IF(O598&lt;0,"Arrêts supérieurs au temps requis",IF(AND(P598&gt;0,O598=0),"Pièces déclarées sans temps de marche",IF(AND(P598=0,O598&gt;0),"Aucune pièce déclarée",IF(P598*60/Q598&gt;O598+0.001,"Cadence dépassée : vérifiez la cadence","OK"))))))))))))))))))</f>
        <v/>
      </c>
      <c r="AC598">
        <f>IF(OR(AB598="OK",AB598="Aucune pièce déclarée",AB598="Cadence dépassée : vérifiez la cadence"),1,0)</f>
        <v>0.0</v>
      </c>
      <c r="AD598">
        <f>IF(AND(AC598=1,A598&gt;=p_from,A598&lt;=p_to),1,0)</f>
        <v>0.0</v>
      </c>
      <c r="AE598">
        <f>IF(AD598=1,IF(COUNTIFS($A$6:A598,A598,$AD$6:AD598,1)=1,1,0),0)</f>
        <v>0.0</v>
      </c>
      <c r="AF598" t="str">
        <f>IF(AE598=1,COUNTIFS(sj_first,1,sj_date,"&lt;"&amp;A598)+1,"")</f>
        <v/>
      </c>
      <c r="AG598" t="str">
        <f>IF(AND(AD598=1,N(W598)&lt;p_alert),ROUND(W598,4),"")</f>
        <v/>
      </c>
      <c r="AH598" t="str">
        <f>IF(AG598="","",COUNTIF(sj_akey,"&lt;"&amp;AG598)+COUNTIF($AG$6:AG598,AG598))</f>
        <v/>
      </c>
    </row>
    <row r="599">
      <c r="A599" s="51" t="n"/>
      <c r="B599" s="52" t="n"/>
      <c r="C599" s="52" t="n"/>
      <c r="D599" s="53" t="n"/>
      <c r="E599" s="53" t="n"/>
      <c r="F599" s="54" t="n"/>
      <c r="G599" s="54" t="n"/>
      <c r="H599" s="54" t="n"/>
      <c r="I599" s="54" t="n"/>
      <c r="J599" s="53" t="n"/>
      <c r="K599" s="55" t="str">
        <f>IF(COUNTA(A599:I599)=0,"",IF(F599="",IFERROR(INDEX(eq_dur,MATCH(B599,eq_code,0)),""),F599))</f>
        <v/>
      </c>
      <c r="L599" s="55" t="str">
        <f>IF(ISNUMBER(K599),N(IFERROR(INDEX(eq_pause,MATCH(B599,eq_code,0)),0))+SUMIFS(st_min,st_date,A599,st_eq,B599,st_po,C599,st_type,"Planifié"),"")</f>
        <v/>
      </c>
      <c r="M599" s="55" t="str">
        <f>IF(ISNUMBER(K599),K599-L599,"")</f>
        <v/>
      </c>
      <c r="N599" s="55" t="str">
        <f>IF(ISNUMBER(K599),SUMIFS(st_min,st_date,A599,st_eq,B599,st_po,C599,st_type,"Non planifié"),"")</f>
        <v/>
      </c>
      <c r="O599" s="55" t="str">
        <f>IF(ISNUMBER(K599),M599-N599,"")</f>
        <v/>
      </c>
      <c r="P599" s="55" t="str">
        <f>IF(COUNTA(A599:I599)=0,"",N(G599)+N(H599)+N(I599))</f>
        <v/>
      </c>
      <c r="Q599" s="56" t="str">
        <f>IF(COUNTA(A599:I599)=0,"",IF(N(IFERROR(INDEX(art_rate,MATCH(E599,art_ref,0)),0))&gt;0,N(IFERROR(INDEX(art_rate,MATCH(E599,art_ref,0)),0)),N(IFERROR(INDEX(po_rate,MATCH(C599,po_code,0)),0))))</f>
        <v/>
      </c>
      <c r="R599" s="55" t="str">
        <f>IF(AC599=1,P599*60/Q599,"")</f>
        <v/>
      </c>
      <c r="S599" s="55" t="str">
        <f>IF(AC599=1,N(G599)*60/Q599,"")</f>
        <v/>
      </c>
      <c r="T599" s="57" t="str">
        <f>IF(AC599=1,O599/M599,"")</f>
        <v/>
      </c>
      <c r="U599" s="57" t="str">
        <f>IF(AC599=1,IF(O599&gt;0,R599/O599,""),"")</f>
        <v/>
      </c>
      <c r="V599" s="57" t="str">
        <f>IF(AC599=1,IF(P599&gt;0,N(G599)/P599,""),"")</f>
        <v/>
      </c>
      <c r="W599" s="57" t="str">
        <f>IF(AC599=1,S599/M599,"")</f>
        <v/>
      </c>
      <c r="X599" s="57" t="str">
        <f>IF(AC599=1,S599/K599,"")</f>
        <v/>
      </c>
      <c r="Y599" s="58" t="str">
        <f>IF(W599="","",IF(W599&gt;=p_target,"Bon",IF(W599&gt;=p_alert,"À surveiller","Faible")))</f>
        <v/>
      </c>
      <c r="Z599" s="58" t="str">
        <f>IF(W599="","",IF(MIN(IF(T599="",1,T599),IF(U599="",1,U599),IF(V599="",1,V599))&gt;=1,"Aucune",IF(IF(T599="",1,T599)&lt;=MIN(IF(U599="",1,U599),IF(V599="",1,V599)),"Disponibilité",IF(IF(U599="",1,U599)&lt;=IF(V599="",1,V599),"Performance","Qualité"))))</f>
        <v/>
      </c>
      <c r="AA599" s="59" t="str">
        <f>IF(AC599=1,N(H599)*N(IFERROR(INDEX(art_cost,MATCH(E599,art_ref,0)),0)),"")</f>
        <v/>
      </c>
      <c r="AB599" s="58" t="str">
        <f>IF(COUNTA(A599:I599)=0,"",IF(N(A599)&lt;=0,"Date manquante ou invalide",IF(B599="","Équipe manquante",IF(ISNA(MATCH(B599,eq_code,0)),"Équipe inconnue",IF(INDEX(eq_check,MATCH(B599,eq_code,0))&lt;&gt;"OK","Équipe à corriger dans Paramètres",IF(C599="","Poste manquant",IF(ISNA(MATCH(C599,po_code,0)),"Poste inconnu",IF(AND(E599&lt;&gt;"",ISNA(MATCH(E599,art_ref,0))),"Article inconnu",IF(IF(E599="",FALSE,INDEX(art_check,MATCH(E599,art_ref,0))&lt;&gt;"OK"),"Article à corriger (feuille Articles)",IF(COUNTIFS(sj_date,A599,sj_eq,B599,sj_po,C599)&gt;1,"Ligne en double (même jour, équipe et poste)",IF(OR(NOT(ISNUMBER(K599)),N(K599)&lt;=0,N(K599)&gt;1440),"Temps d'ouverture invalide",IF(OR(AND(G599&lt;&gt;"",NOT(ISNUMBER(G599))),N(G599)&lt;0,N(G599)&lt;&gt;INT(N(G599)),AND(H599&lt;&gt;"",NOT(ISNUMBER(H599))),N(H599)&lt;0,N(H599)&lt;&gt;INT(N(H599)),AND(I599&lt;&gt;"",NOT(ISNUMBER(I599))),N(I599)&lt;0,N(I599)&lt;&gt;INT(N(I599))),"Quantité invalide",IF(Q599&lt;=0,"Cadence manquante (poste ou article)",IF(M599&lt;=0,"Arrêts planifiés supérieurs au temps d'ouverture",IF(O599&lt;0,"Arrêts supérieurs au temps requis",IF(AND(P599&gt;0,O599=0),"Pièces déclarées sans temps de marche",IF(AND(P599=0,O599&gt;0),"Aucune pièce déclarée",IF(P599*60/Q599&gt;O599+0.001,"Cadence dépassée : vérifiez la cadence","OK"))))))))))))))))))</f>
        <v/>
      </c>
      <c r="AC599">
        <f>IF(OR(AB599="OK",AB599="Aucune pièce déclarée",AB599="Cadence dépassée : vérifiez la cadence"),1,0)</f>
        <v>0.0</v>
      </c>
      <c r="AD599">
        <f>IF(AND(AC599=1,A599&gt;=p_from,A599&lt;=p_to),1,0)</f>
        <v>0.0</v>
      </c>
      <c r="AE599">
        <f>IF(AD599=1,IF(COUNTIFS($A$6:A599,A599,$AD$6:AD599,1)=1,1,0),0)</f>
        <v>0.0</v>
      </c>
      <c r="AF599" t="str">
        <f>IF(AE599=1,COUNTIFS(sj_first,1,sj_date,"&lt;"&amp;A599)+1,"")</f>
        <v/>
      </c>
      <c r="AG599" t="str">
        <f>IF(AND(AD599=1,N(W599)&lt;p_alert),ROUND(W599,4),"")</f>
        <v/>
      </c>
      <c r="AH599" t="str">
        <f>IF(AG599="","",COUNTIF(sj_akey,"&lt;"&amp;AG599)+COUNTIF($AG$6:AG599,AG599))</f>
        <v/>
      </c>
    </row>
    <row r="600">
      <c r="A600" s="51" t="n"/>
      <c r="B600" s="52" t="n"/>
      <c r="C600" s="52" t="n"/>
      <c r="D600" s="53" t="n"/>
      <c r="E600" s="53" t="n"/>
      <c r="F600" s="54" t="n"/>
      <c r="G600" s="54" t="n"/>
      <c r="H600" s="54" t="n"/>
      <c r="I600" s="54" t="n"/>
      <c r="J600" s="53" t="n"/>
      <c r="K600" s="55" t="str">
        <f>IF(COUNTA(A600:I600)=0,"",IF(F600="",IFERROR(INDEX(eq_dur,MATCH(B600,eq_code,0)),""),F600))</f>
        <v/>
      </c>
      <c r="L600" s="55" t="str">
        <f>IF(ISNUMBER(K600),N(IFERROR(INDEX(eq_pause,MATCH(B600,eq_code,0)),0))+SUMIFS(st_min,st_date,A600,st_eq,B600,st_po,C600,st_type,"Planifié"),"")</f>
        <v/>
      </c>
      <c r="M600" s="55" t="str">
        <f>IF(ISNUMBER(K600),K600-L600,"")</f>
        <v/>
      </c>
      <c r="N600" s="55" t="str">
        <f>IF(ISNUMBER(K600),SUMIFS(st_min,st_date,A600,st_eq,B600,st_po,C600,st_type,"Non planifié"),"")</f>
        <v/>
      </c>
      <c r="O600" s="55" t="str">
        <f>IF(ISNUMBER(K600),M600-N600,"")</f>
        <v/>
      </c>
      <c r="P600" s="55" t="str">
        <f>IF(COUNTA(A600:I600)=0,"",N(G600)+N(H600)+N(I600))</f>
        <v/>
      </c>
      <c r="Q600" s="56" t="str">
        <f>IF(COUNTA(A600:I600)=0,"",IF(N(IFERROR(INDEX(art_rate,MATCH(E600,art_ref,0)),0))&gt;0,N(IFERROR(INDEX(art_rate,MATCH(E600,art_ref,0)),0)),N(IFERROR(INDEX(po_rate,MATCH(C600,po_code,0)),0))))</f>
        <v/>
      </c>
      <c r="R600" s="55" t="str">
        <f>IF(AC600=1,P600*60/Q600,"")</f>
        <v/>
      </c>
      <c r="S600" s="55" t="str">
        <f>IF(AC600=1,N(G600)*60/Q600,"")</f>
        <v/>
      </c>
      <c r="T600" s="57" t="str">
        <f>IF(AC600=1,O600/M600,"")</f>
        <v/>
      </c>
      <c r="U600" s="57" t="str">
        <f>IF(AC600=1,IF(O600&gt;0,R600/O600,""),"")</f>
        <v/>
      </c>
      <c r="V600" s="57" t="str">
        <f>IF(AC600=1,IF(P600&gt;0,N(G600)/P600,""),"")</f>
        <v/>
      </c>
      <c r="W600" s="57" t="str">
        <f>IF(AC600=1,S600/M600,"")</f>
        <v/>
      </c>
      <c r="X600" s="57" t="str">
        <f>IF(AC600=1,S600/K600,"")</f>
        <v/>
      </c>
      <c r="Y600" s="58" t="str">
        <f>IF(W600="","",IF(W600&gt;=p_target,"Bon",IF(W600&gt;=p_alert,"À surveiller","Faible")))</f>
        <v/>
      </c>
      <c r="Z600" s="58" t="str">
        <f>IF(W600="","",IF(MIN(IF(T600="",1,T600),IF(U600="",1,U600),IF(V600="",1,V600))&gt;=1,"Aucune",IF(IF(T600="",1,T600)&lt;=MIN(IF(U600="",1,U600),IF(V600="",1,V600)),"Disponibilité",IF(IF(U600="",1,U600)&lt;=IF(V600="",1,V600),"Performance","Qualité"))))</f>
        <v/>
      </c>
      <c r="AA600" s="59" t="str">
        <f>IF(AC600=1,N(H600)*N(IFERROR(INDEX(art_cost,MATCH(E600,art_ref,0)),0)),"")</f>
        <v/>
      </c>
      <c r="AB600" s="58" t="str">
        <f>IF(COUNTA(A600:I600)=0,"",IF(N(A600)&lt;=0,"Date manquante ou invalide",IF(B600="","Équipe manquante",IF(ISNA(MATCH(B600,eq_code,0)),"Équipe inconnue",IF(INDEX(eq_check,MATCH(B600,eq_code,0))&lt;&gt;"OK","Équipe à corriger dans Paramètres",IF(C600="","Poste manquant",IF(ISNA(MATCH(C600,po_code,0)),"Poste inconnu",IF(AND(E600&lt;&gt;"",ISNA(MATCH(E600,art_ref,0))),"Article inconnu",IF(IF(E600="",FALSE,INDEX(art_check,MATCH(E600,art_ref,0))&lt;&gt;"OK"),"Article à corriger (feuille Articles)",IF(COUNTIFS(sj_date,A600,sj_eq,B600,sj_po,C600)&gt;1,"Ligne en double (même jour, équipe et poste)",IF(OR(NOT(ISNUMBER(K600)),N(K600)&lt;=0,N(K600)&gt;1440),"Temps d'ouverture invalide",IF(OR(AND(G600&lt;&gt;"",NOT(ISNUMBER(G600))),N(G600)&lt;0,N(G600)&lt;&gt;INT(N(G600)),AND(H600&lt;&gt;"",NOT(ISNUMBER(H600))),N(H600)&lt;0,N(H600)&lt;&gt;INT(N(H600)),AND(I600&lt;&gt;"",NOT(ISNUMBER(I600))),N(I600)&lt;0,N(I600)&lt;&gt;INT(N(I600))),"Quantité invalide",IF(Q600&lt;=0,"Cadence manquante (poste ou article)",IF(M600&lt;=0,"Arrêts planifiés supérieurs au temps d'ouverture",IF(O600&lt;0,"Arrêts supérieurs au temps requis",IF(AND(P600&gt;0,O600=0),"Pièces déclarées sans temps de marche",IF(AND(P600=0,O600&gt;0),"Aucune pièce déclarée",IF(P600*60/Q600&gt;O600+0.001,"Cadence dépassée : vérifiez la cadence","OK"))))))))))))))))))</f>
        <v/>
      </c>
      <c r="AC600">
        <f>IF(OR(AB600="OK",AB600="Aucune pièce déclarée",AB600="Cadence dépassée : vérifiez la cadence"),1,0)</f>
        <v>0.0</v>
      </c>
      <c r="AD600">
        <f>IF(AND(AC600=1,A600&gt;=p_from,A600&lt;=p_to),1,0)</f>
        <v>0.0</v>
      </c>
      <c r="AE600">
        <f>IF(AD600=1,IF(COUNTIFS($A$6:A600,A600,$AD$6:AD600,1)=1,1,0),0)</f>
        <v>0.0</v>
      </c>
      <c r="AF600" t="str">
        <f>IF(AE600=1,COUNTIFS(sj_first,1,sj_date,"&lt;"&amp;A600)+1,"")</f>
        <v/>
      </c>
      <c r="AG600" t="str">
        <f>IF(AND(AD600=1,N(W600)&lt;p_alert),ROUND(W600,4),"")</f>
        <v/>
      </c>
      <c r="AH600" t="str">
        <f>IF(AG600="","",COUNTIF(sj_akey,"&lt;"&amp;AG600)+COUNTIF($AG$6:AG600,AG600))</f>
        <v/>
      </c>
    </row>
    <row r="601">
      <c r="A601" s="51" t="n"/>
      <c r="B601" s="52" t="n"/>
      <c r="C601" s="52" t="n"/>
      <c r="D601" s="53" t="n"/>
      <c r="E601" s="53" t="n"/>
      <c r="F601" s="54" t="n"/>
      <c r="G601" s="54" t="n"/>
      <c r="H601" s="54" t="n"/>
      <c r="I601" s="54" t="n"/>
      <c r="J601" s="53" t="n"/>
      <c r="K601" s="55" t="str">
        <f>IF(COUNTA(A601:I601)=0,"",IF(F601="",IFERROR(INDEX(eq_dur,MATCH(B601,eq_code,0)),""),F601))</f>
        <v/>
      </c>
      <c r="L601" s="55" t="str">
        <f>IF(ISNUMBER(K601),N(IFERROR(INDEX(eq_pause,MATCH(B601,eq_code,0)),0))+SUMIFS(st_min,st_date,A601,st_eq,B601,st_po,C601,st_type,"Planifié"),"")</f>
        <v/>
      </c>
      <c r="M601" s="55" t="str">
        <f>IF(ISNUMBER(K601),K601-L601,"")</f>
        <v/>
      </c>
      <c r="N601" s="55" t="str">
        <f>IF(ISNUMBER(K601),SUMIFS(st_min,st_date,A601,st_eq,B601,st_po,C601,st_type,"Non planifié"),"")</f>
        <v/>
      </c>
      <c r="O601" s="55" t="str">
        <f>IF(ISNUMBER(K601),M601-N601,"")</f>
        <v/>
      </c>
      <c r="P601" s="55" t="str">
        <f>IF(COUNTA(A601:I601)=0,"",N(G601)+N(H601)+N(I601))</f>
        <v/>
      </c>
      <c r="Q601" s="56" t="str">
        <f>IF(COUNTA(A601:I601)=0,"",IF(N(IFERROR(INDEX(art_rate,MATCH(E601,art_ref,0)),0))&gt;0,N(IFERROR(INDEX(art_rate,MATCH(E601,art_ref,0)),0)),N(IFERROR(INDEX(po_rate,MATCH(C601,po_code,0)),0))))</f>
        <v/>
      </c>
      <c r="R601" s="55" t="str">
        <f>IF(AC601=1,P601*60/Q601,"")</f>
        <v/>
      </c>
      <c r="S601" s="55" t="str">
        <f>IF(AC601=1,N(G601)*60/Q601,"")</f>
        <v/>
      </c>
      <c r="T601" s="57" t="str">
        <f>IF(AC601=1,O601/M601,"")</f>
        <v/>
      </c>
      <c r="U601" s="57" t="str">
        <f>IF(AC601=1,IF(O601&gt;0,R601/O601,""),"")</f>
        <v/>
      </c>
      <c r="V601" s="57" t="str">
        <f>IF(AC601=1,IF(P601&gt;0,N(G601)/P601,""),"")</f>
        <v/>
      </c>
      <c r="W601" s="57" t="str">
        <f>IF(AC601=1,S601/M601,"")</f>
        <v/>
      </c>
      <c r="X601" s="57" t="str">
        <f>IF(AC601=1,S601/K601,"")</f>
        <v/>
      </c>
      <c r="Y601" s="58" t="str">
        <f>IF(W601="","",IF(W601&gt;=p_target,"Bon",IF(W601&gt;=p_alert,"À surveiller","Faible")))</f>
        <v/>
      </c>
      <c r="Z601" s="58" t="str">
        <f>IF(W601="","",IF(MIN(IF(T601="",1,T601),IF(U601="",1,U601),IF(V601="",1,V601))&gt;=1,"Aucune",IF(IF(T601="",1,T601)&lt;=MIN(IF(U601="",1,U601),IF(V601="",1,V601)),"Disponibilité",IF(IF(U601="",1,U601)&lt;=IF(V601="",1,V601),"Performance","Qualité"))))</f>
        <v/>
      </c>
      <c r="AA601" s="59" t="str">
        <f>IF(AC601=1,N(H601)*N(IFERROR(INDEX(art_cost,MATCH(E601,art_ref,0)),0)),"")</f>
        <v/>
      </c>
      <c r="AB601" s="58" t="str">
        <f>IF(COUNTA(A601:I601)=0,"",IF(N(A601)&lt;=0,"Date manquante ou invalide",IF(B601="","Équipe manquante",IF(ISNA(MATCH(B601,eq_code,0)),"Équipe inconnue",IF(INDEX(eq_check,MATCH(B601,eq_code,0))&lt;&gt;"OK","Équipe à corriger dans Paramètres",IF(C601="","Poste manquant",IF(ISNA(MATCH(C601,po_code,0)),"Poste inconnu",IF(AND(E601&lt;&gt;"",ISNA(MATCH(E601,art_ref,0))),"Article inconnu",IF(IF(E601="",FALSE,INDEX(art_check,MATCH(E601,art_ref,0))&lt;&gt;"OK"),"Article à corriger (feuille Articles)",IF(COUNTIFS(sj_date,A601,sj_eq,B601,sj_po,C601)&gt;1,"Ligne en double (même jour, équipe et poste)",IF(OR(NOT(ISNUMBER(K601)),N(K601)&lt;=0,N(K601)&gt;1440),"Temps d'ouverture invalide",IF(OR(AND(G601&lt;&gt;"",NOT(ISNUMBER(G601))),N(G601)&lt;0,N(G601)&lt;&gt;INT(N(G601)),AND(H601&lt;&gt;"",NOT(ISNUMBER(H601))),N(H601)&lt;0,N(H601)&lt;&gt;INT(N(H601)),AND(I601&lt;&gt;"",NOT(ISNUMBER(I601))),N(I601)&lt;0,N(I601)&lt;&gt;INT(N(I601))),"Quantité invalide",IF(Q601&lt;=0,"Cadence manquante (poste ou article)",IF(M601&lt;=0,"Arrêts planifiés supérieurs au temps d'ouverture",IF(O601&lt;0,"Arrêts supérieurs au temps requis",IF(AND(P601&gt;0,O601=0),"Pièces déclarées sans temps de marche",IF(AND(P601=0,O601&gt;0),"Aucune pièce déclarée",IF(P601*60/Q601&gt;O601+0.001,"Cadence dépassée : vérifiez la cadence","OK"))))))))))))))))))</f>
        <v/>
      </c>
      <c r="AC601">
        <f>IF(OR(AB601="OK",AB601="Aucune pièce déclarée",AB601="Cadence dépassée : vérifiez la cadence"),1,0)</f>
        <v>0.0</v>
      </c>
      <c r="AD601">
        <f>IF(AND(AC601=1,A601&gt;=p_from,A601&lt;=p_to),1,0)</f>
        <v>0.0</v>
      </c>
      <c r="AE601">
        <f>IF(AD601=1,IF(COUNTIFS($A$6:A601,A601,$AD$6:AD601,1)=1,1,0),0)</f>
        <v>0.0</v>
      </c>
      <c r="AF601" t="str">
        <f>IF(AE601=1,COUNTIFS(sj_first,1,sj_date,"&lt;"&amp;A601)+1,"")</f>
        <v/>
      </c>
      <c r="AG601" t="str">
        <f>IF(AND(AD601=1,N(W601)&lt;p_alert),ROUND(W601,4),"")</f>
        <v/>
      </c>
      <c r="AH601" t="str">
        <f>IF(AG601="","",COUNTIF(sj_akey,"&lt;"&amp;AG601)+COUNTIF($AG$6:AG601,AG601))</f>
        <v/>
      </c>
    </row>
    <row r="602">
      <c r="A602" s="51" t="n"/>
      <c r="B602" s="52" t="n"/>
      <c r="C602" s="52" t="n"/>
      <c r="D602" s="53" t="n"/>
      <c r="E602" s="53" t="n"/>
      <c r="F602" s="54" t="n"/>
      <c r="G602" s="54" t="n"/>
      <c r="H602" s="54" t="n"/>
      <c r="I602" s="54" t="n"/>
      <c r="J602" s="53" t="n"/>
      <c r="K602" s="55" t="str">
        <f>IF(COUNTA(A602:I602)=0,"",IF(F602="",IFERROR(INDEX(eq_dur,MATCH(B602,eq_code,0)),""),F602))</f>
        <v/>
      </c>
      <c r="L602" s="55" t="str">
        <f>IF(ISNUMBER(K602),N(IFERROR(INDEX(eq_pause,MATCH(B602,eq_code,0)),0))+SUMIFS(st_min,st_date,A602,st_eq,B602,st_po,C602,st_type,"Planifié"),"")</f>
        <v/>
      </c>
      <c r="M602" s="55" t="str">
        <f>IF(ISNUMBER(K602),K602-L602,"")</f>
        <v/>
      </c>
      <c r="N602" s="55" t="str">
        <f>IF(ISNUMBER(K602),SUMIFS(st_min,st_date,A602,st_eq,B602,st_po,C602,st_type,"Non planifié"),"")</f>
        <v/>
      </c>
      <c r="O602" s="55" t="str">
        <f>IF(ISNUMBER(K602),M602-N602,"")</f>
        <v/>
      </c>
      <c r="P602" s="55" t="str">
        <f>IF(COUNTA(A602:I602)=0,"",N(G602)+N(H602)+N(I602))</f>
        <v/>
      </c>
      <c r="Q602" s="56" t="str">
        <f>IF(COUNTA(A602:I602)=0,"",IF(N(IFERROR(INDEX(art_rate,MATCH(E602,art_ref,0)),0))&gt;0,N(IFERROR(INDEX(art_rate,MATCH(E602,art_ref,0)),0)),N(IFERROR(INDEX(po_rate,MATCH(C602,po_code,0)),0))))</f>
        <v/>
      </c>
      <c r="R602" s="55" t="str">
        <f>IF(AC602=1,P602*60/Q602,"")</f>
        <v/>
      </c>
      <c r="S602" s="55" t="str">
        <f>IF(AC602=1,N(G602)*60/Q602,"")</f>
        <v/>
      </c>
      <c r="T602" s="57" t="str">
        <f>IF(AC602=1,O602/M602,"")</f>
        <v/>
      </c>
      <c r="U602" s="57" t="str">
        <f>IF(AC602=1,IF(O602&gt;0,R602/O602,""),"")</f>
        <v/>
      </c>
      <c r="V602" s="57" t="str">
        <f>IF(AC602=1,IF(P602&gt;0,N(G602)/P602,""),"")</f>
        <v/>
      </c>
      <c r="W602" s="57" t="str">
        <f>IF(AC602=1,S602/M602,"")</f>
        <v/>
      </c>
      <c r="X602" s="57" t="str">
        <f>IF(AC602=1,S602/K602,"")</f>
        <v/>
      </c>
      <c r="Y602" s="58" t="str">
        <f>IF(W602="","",IF(W602&gt;=p_target,"Bon",IF(W602&gt;=p_alert,"À surveiller","Faible")))</f>
        <v/>
      </c>
      <c r="Z602" s="58" t="str">
        <f>IF(W602="","",IF(MIN(IF(T602="",1,T602),IF(U602="",1,U602),IF(V602="",1,V602))&gt;=1,"Aucune",IF(IF(T602="",1,T602)&lt;=MIN(IF(U602="",1,U602),IF(V602="",1,V602)),"Disponibilité",IF(IF(U602="",1,U602)&lt;=IF(V602="",1,V602),"Performance","Qualité"))))</f>
        <v/>
      </c>
      <c r="AA602" s="59" t="str">
        <f>IF(AC602=1,N(H602)*N(IFERROR(INDEX(art_cost,MATCH(E602,art_ref,0)),0)),"")</f>
        <v/>
      </c>
      <c r="AB602" s="58" t="str">
        <f>IF(COUNTA(A602:I602)=0,"",IF(N(A602)&lt;=0,"Date manquante ou invalide",IF(B602="","Équipe manquante",IF(ISNA(MATCH(B602,eq_code,0)),"Équipe inconnue",IF(INDEX(eq_check,MATCH(B602,eq_code,0))&lt;&gt;"OK","Équipe à corriger dans Paramètres",IF(C602="","Poste manquant",IF(ISNA(MATCH(C602,po_code,0)),"Poste inconnu",IF(AND(E602&lt;&gt;"",ISNA(MATCH(E602,art_ref,0))),"Article inconnu",IF(IF(E602="",FALSE,INDEX(art_check,MATCH(E602,art_ref,0))&lt;&gt;"OK"),"Article à corriger (feuille Articles)",IF(COUNTIFS(sj_date,A602,sj_eq,B602,sj_po,C602)&gt;1,"Ligne en double (même jour, équipe et poste)",IF(OR(NOT(ISNUMBER(K602)),N(K602)&lt;=0,N(K602)&gt;1440),"Temps d'ouverture invalide",IF(OR(AND(G602&lt;&gt;"",NOT(ISNUMBER(G602))),N(G602)&lt;0,N(G602)&lt;&gt;INT(N(G602)),AND(H602&lt;&gt;"",NOT(ISNUMBER(H602))),N(H602)&lt;0,N(H602)&lt;&gt;INT(N(H602)),AND(I602&lt;&gt;"",NOT(ISNUMBER(I602))),N(I602)&lt;0,N(I602)&lt;&gt;INT(N(I602))),"Quantité invalide",IF(Q602&lt;=0,"Cadence manquante (poste ou article)",IF(M602&lt;=0,"Arrêts planifiés supérieurs au temps d'ouverture",IF(O602&lt;0,"Arrêts supérieurs au temps requis",IF(AND(P602&gt;0,O602=0),"Pièces déclarées sans temps de marche",IF(AND(P602=0,O602&gt;0),"Aucune pièce déclarée",IF(P602*60/Q602&gt;O602+0.001,"Cadence dépassée : vérifiez la cadence","OK"))))))))))))))))))</f>
        <v/>
      </c>
      <c r="AC602">
        <f>IF(OR(AB602="OK",AB602="Aucune pièce déclarée",AB602="Cadence dépassée : vérifiez la cadence"),1,0)</f>
        <v>0.0</v>
      </c>
      <c r="AD602">
        <f>IF(AND(AC602=1,A602&gt;=p_from,A602&lt;=p_to),1,0)</f>
        <v>0.0</v>
      </c>
      <c r="AE602">
        <f>IF(AD602=1,IF(COUNTIFS($A$6:A602,A602,$AD$6:AD602,1)=1,1,0),0)</f>
        <v>0.0</v>
      </c>
      <c r="AF602" t="str">
        <f>IF(AE602=1,COUNTIFS(sj_first,1,sj_date,"&lt;"&amp;A602)+1,"")</f>
        <v/>
      </c>
      <c r="AG602" t="str">
        <f>IF(AND(AD602=1,N(W602)&lt;p_alert),ROUND(W602,4),"")</f>
        <v/>
      </c>
      <c r="AH602" t="str">
        <f>IF(AG602="","",COUNTIF(sj_akey,"&lt;"&amp;AG602)+COUNTIF($AG$6:AG602,AG602))</f>
        <v/>
      </c>
    </row>
    <row r="603">
      <c r="A603" s="51" t="n"/>
      <c r="B603" s="52" t="n"/>
      <c r="C603" s="52" t="n"/>
      <c r="D603" s="53" t="n"/>
      <c r="E603" s="53" t="n"/>
      <c r="F603" s="54" t="n"/>
      <c r="G603" s="54" t="n"/>
      <c r="H603" s="54" t="n"/>
      <c r="I603" s="54" t="n"/>
      <c r="J603" s="53" t="n"/>
      <c r="K603" s="55" t="str">
        <f>IF(COUNTA(A603:I603)=0,"",IF(F603="",IFERROR(INDEX(eq_dur,MATCH(B603,eq_code,0)),""),F603))</f>
        <v/>
      </c>
      <c r="L603" s="55" t="str">
        <f>IF(ISNUMBER(K603),N(IFERROR(INDEX(eq_pause,MATCH(B603,eq_code,0)),0))+SUMIFS(st_min,st_date,A603,st_eq,B603,st_po,C603,st_type,"Planifié"),"")</f>
        <v/>
      </c>
      <c r="M603" s="55" t="str">
        <f>IF(ISNUMBER(K603),K603-L603,"")</f>
        <v/>
      </c>
      <c r="N603" s="55" t="str">
        <f>IF(ISNUMBER(K603),SUMIFS(st_min,st_date,A603,st_eq,B603,st_po,C603,st_type,"Non planifié"),"")</f>
        <v/>
      </c>
      <c r="O603" s="55" t="str">
        <f>IF(ISNUMBER(K603),M603-N603,"")</f>
        <v/>
      </c>
      <c r="P603" s="55" t="str">
        <f>IF(COUNTA(A603:I603)=0,"",N(G603)+N(H603)+N(I603))</f>
        <v/>
      </c>
      <c r="Q603" s="56" t="str">
        <f>IF(COUNTA(A603:I603)=0,"",IF(N(IFERROR(INDEX(art_rate,MATCH(E603,art_ref,0)),0))&gt;0,N(IFERROR(INDEX(art_rate,MATCH(E603,art_ref,0)),0)),N(IFERROR(INDEX(po_rate,MATCH(C603,po_code,0)),0))))</f>
        <v/>
      </c>
      <c r="R603" s="55" t="str">
        <f>IF(AC603=1,P603*60/Q603,"")</f>
        <v/>
      </c>
      <c r="S603" s="55" t="str">
        <f>IF(AC603=1,N(G603)*60/Q603,"")</f>
        <v/>
      </c>
      <c r="T603" s="57" t="str">
        <f>IF(AC603=1,O603/M603,"")</f>
        <v/>
      </c>
      <c r="U603" s="57" t="str">
        <f>IF(AC603=1,IF(O603&gt;0,R603/O603,""),"")</f>
        <v/>
      </c>
      <c r="V603" s="57" t="str">
        <f>IF(AC603=1,IF(P603&gt;0,N(G603)/P603,""),"")</f>
        <v/>
      </c>
      <c r="W603" s="57" t="str">
        <f>IF(AC603=1,S603/M603,"")</f>
        <v/>
      </c>
      <c r="X603" s="57" t="str">
        <f>IF(AC603=1,S603/K603,"")</f>
        <v/>
      </c>
      <c r="Y603" s="58" t="str">
        <f>IF(W603="","",IF(W603&gt;=p_target,"Bon",IF(W603&gt;=p_alert,"À surveiller","Faible")))</f>
        <v/>
      </c>
      <c r="Z603" s="58" t="str">
        <f>IF(W603="","",IF(MIN(IF(T603="",1,T603),IF(U603="",1,U603),IF(V603="",1,V603))&gt;=1,"Aucune",IF(IF(T603="",1,T603)&lt;=MIN(IF(U603="",1,U603),IF(V603="",1,V603)),"Disponibilité",IF(IF(U603="",1,U603)&lt;=IF(V603="",1,V603),"Performance","Qualité"))))</f>
        <v/>
      </c>
      <c r="AA603" s="59" t="str">
        <f>IF(AC603=1,N(H603)*N(IFERROR(INDEX(art_cost,MATCH(E603,art_ref,0)),0)),"")</f>
        <v/>
      </c>
      <c r="AB603" s="58" t="str">
        <f>IF(COUNTA(A603:I603)=0,"",IF(N(A603)&lt;=0,"Date manquante ou invalide",IF(B603="","Équipe manquante",IF(ISNA(MATCH(B603,eq_code,0)),"Équipe inconnue",IF(INDEX(eq_check,MATCH(B603,eq_code,0))&lt;&gt;"OK","Équipe à corriger dans Paramètres",IF(C603="","Poste manquant",IF(ISNA(MATCH(C603,po_code,0)),"Poste inconnu",IF(AND(E603&lt;&gt;"",ISNA(MATCH(E603,art_ref,0))),"Article inconnu",IF(IF(E603="",FALSE,INDEX(art_check,MATCH(E603,art_ref,0))&lt;&gt;"OK"),"Article à corriger (feuille Articles)",IF(COUNTIFS(sj_date,A603,sj_eq,B603,sj_po,C603)&gt;1,"Ligne en double (même jour, équipe et poste)",IF(OR(NOT(ISNUMBER(K603)),N(K603)&lt;=0,N(K603)&gt;1440),"Temps d'ouverture invalide",IF(OR(AND(G603&lt;&gt;"",NOT(ISNUMBER(G603))),N(G603)&lt;0,N(G603)&lt;&gt;INT(N(G603)),AND(H603&lt;&gt;"",NOT(ISNUMBER(H603))),N(H603)&lt;0,N(H603)&lt;&gt;INT(N(H603)),AND(I603&lt;&gt;"",NOT(ISNUMBER(I603))),N(I603)&lt;0,N(I603)&lt;&gt;INT(N(I603))),"Quantité invalide",IF(Q603&lt;=0,"Cadence manquante (poste ou article)",IF(M603&lt;=0,"Arrêts planifiés supérieurs au temps d'ouverture",IF(O603&lt;0,"Arrêts supérieurs au temps requis",IF(AND(P603&gt;0,O603=0),"Pièces déclarées sans temps de marche",IF(AND(P603=0,O603&gt;0),"Aucune pièce déclarée",IF(P603*60/Q603&gt;O603+0.001,"Cadence dépassée : vérifiez la cadence","OK"))))))))))))))))))</f>
        <v/>
      </c>
      <c r="AC603">
        <f>IF(OR(AB603="OK",AB603="Aucune pièce déclarée",AB603="Cadence dépassée : vérifiez la cadence"),1,0)</f>
        <v>0.0</v>
      </c>
      <c r="AD603">
        <f>IF(AND(AC603=1,A603&gt;=p_from,A603&lt;=p_to),1,0)</f>
        <v>0.0</v>
      </c>
      <c r="AE603">
        <f>IF(AD603=1,IF(COUNTIFS($A$6:A603,A603,$AD$6:AD603,1)=1,1,0),0)</f>
        <v>0.0</v>
      </c>
      <c r="AF603" t="str">
        <f>IF(AE603=1,COUNTIFS(sj_first,1,sj_date,"&lt;"&amp;A603)+1,"")</f>
        <v/>
      </c>
      <c r="AG603" t="str">
        <f>IF(AND(AD603=1,N(W603)&lt;p_alert),ROUND(W603,4),"")</f>
        <v/>
      </c>
      <c r="AH603" t="str">
        <f>IF(AG603="","",COUNTIF(sj_akey,"&lt;"&amp;AG603)+COUNTIF($AG$6:AG603,AG603))</f>
        <v/>
      </c>
    </row>
    <row r="604">
      <c r="A604" s="51" t="n"/>
      <c r="B604" s="52" t="n"/>
      <c r="C604" s="52" t="n"/>
      <c r="D604" s="53" t="n"/>
      <c r="E604" s="53" t="n"/>
      <c r="F604" s="54" t="n"/>
      <c r="G604" s="54" t="n"/>
      <c r="H604" s="54" t="n"/>
      <c r="I604" s="54" t="n"/>
      <c r="J604" s="53" t="n"/>
      <c r="K604" s="55" t="str">
        <f>IF(COUNTA(A604:I604)=0,"",IF(F604="",IFERROR(INDEX(eq_dur,MATCH(B604,eq_code,0)),""),F604))</f>
        <v/>
      </c>
      <c r="L604" s="55" t="str">
        <f>IF(ISNUMBER(K604),N(IFERROR(INDEX(eq_pause,MATCH(B604,eq_code,0)),0))+SUMIFS(st_min,st_date,A604,st_eq,B604,st_po,C604,st_type,"Planifié"),"")</f>
        <v/>
      </c>
      <c r="M604" s="55" t="str">
        <f>IF(ISNUMBER(K604),K604-L604,"")</f>
        <v/>
      </c>
      <c r="N604" s="55" t="str">
        <f>IF(ISNUMBER(K604),SUMIFS(st_min,st_date,A604,st_eq,B604,st_po,C604,st_type,"Non planifié"),"")</f>
        <v/>
      </c>
      <c r="O604" s="55" t="str">
        <f>IF(ISNUMBER(K604),M604-N604,"")</f>
        <v/>
      </c>
      <c r="P604" s="55" t="str">
        <f>IF(COUNTA(A604:I604)=0,"",N(G604)+N(H604)+N(I604))</f>
        <v/>
      </c>
      <c r="Q604" s="56" t="str">
        <f>IF(COUNTA(A604:I604)=0,"",IF(N(IFERROR(INDEX(art_rate,MATCH(E604,art_ref,0)),0))&gt;0,N(IFERROR(INDEX(art_rate,MATCH(E604,art_ref,0)),0)),N(IFERROR(INDEX(po_rate,MATCH(C604,po_code,0)),0))))</f>
        <v/>
      </c>
      <c r="R604" s="55" t="str">
        <f>IF(AC604=1,P604*60/Q604,"")</f>
        <v/>
      </c>
      <c r="S604" s="55" t="str">
        <f>IF(AC604=1,N(G604)*60/Q604,"")</f>
        <v/>
      </c>
      <c r="T604" s="57" t="str">
        <f>IF(AC604=1,O604/M604,"")</f>
        <v/>
      </c>
      <c r="U604" s="57" t="str">
        <f>IF(AC604=1,IF(O604&gt;0,R604/O604,""),"")</f>
        <v/>
      </c>
      <c r="V604" s="57" t="str">
        <f>IF(AC604=1,IF(P604&gt;0,N(G604)/P604,""),"")</f>
        <v/>
      </c>
      <c r="W604" s="57" t="str">
        <f>IF(AC604=1,S604/M604,"")</f>
        <v/>
      </c>
      <c r="X604" s="57" t="str">
        <f>IF(AC604=1,S604/K604,"")</f>
        <v/>
      </c>
      <c r="Y604" s="58" t="str">
        <f>IF(W604="","",IF(W604&gt;=p_target,"Bon",IF(W604&gt;=p_alert,"À surveiller","Faible")))</f>
        <v/>
      </c>
      <c r="Z604" s="58" t="str">
        <f>IF(W604="","",IF(MIN(IF(T604="",1,T604),IF(U604="",1,U604),IF(V604="",1,V604))&gt;=1,"Aucune",IF(IF(T604="",1,T604)&lt;=MIN(IF(U604="",1,U604),IF(V604="",1,V604)),"Disponibilité",IF(IF(U604="",1,U604)&lt;=IF(V604="",1,V604),"Performance","Qualité"))))</f>
        <v/>
      </c>
      <c r="AA604" s="59" t="str">
        <f>IF(AC604=1,N(H604)*N(IFERROR(INDEX(art_cost,MATCH(E604,art_ref,0)),0)),"")</f>
        <v/>
      </c>
      <c r="AB604" s="58" t="str">
        <f>IF(COUNTA(A604:I604)=0,"",IF(N(A604)&lt;=0,"Date manquante ou invalide",IF(B604="","Équipe manquante",IF(ISNA(MATCH(B604,eq_code,0)),"Équipe inconnue",IF(INDEX(eq_check,MATCH(B604,eq_code,0))&lt;&gt;"OK","Équipe à corriger dans Paramètres",IF(C604="","Poste manquant",IF(ISNA(MATCH(C604,po_code,0)),"Poste inconnu",IF(AND(E604&lt;&gt;"",ISNA(MATCH(E604,art_ref,0))),"Article inconnu",IF(IF(E604="",FALSE,INDEX(art_check,MATCH(E604,art_ref,0))&lt;&gt;"OK"),"Article à corriger (feuille Articles)",IF(COUNTIFS(sj_date,A604,sj_eq,B604,sj_po,C604)&gt;1,"Ligne en double (même jour, équipe et poste)",IF(OR(NOT(ISNUMBER(K604)),N(K604)&lt;=0,N(K604)&gt;1440),"Temps d'ouverture invalide",IF(OR(AND(G604&lt;&gt;"",NOT(ISNUMBER(G604))),N(G604)&lt;0,N(G604)&lt;&gt;INT(N(G604)),AND(H604&lt;&gt;"",NOT(ISNUMBER(H604))),N(H604)&lt;0,N(H604)&lt;&gt;INT(N(H604)),AND(I604&lt;&gt;"",NOT(ISNUMBER(I604))),N(I604)&lt;0,N(I604)&lt;&gt;INT(N(I604))),"Quantité invalide",IF(Q604&lt;=0,"Cadence manquante (poste ou article)",IF(M604&lt;=0,"Arrêts planifiés supérieurs au temps d'ouverture",IF(O604&lt;0,"Arrêts supérieurs au temps requis",IF(AND(P604&gt;0,O604=0),"Pièces déclarées sans temps de marche",IF(AND(P604=0,O604&gt;0),"Aucune pièce déclarée",IF(P604*60/Q604&gt;O604+0.001,"Cadence dépassée : vérifiez la cadence","OK"))))))))))))))))))</f>
        <v/>
      </c>
      <c r="AC604">
        <f>IF(OR(AB604="OK",AB604="Aucune pièce déclarée",AB604="Cadence dépassée : vérifiez la cadence"),1,0)</f>
        <v>0.0</v>
      </c>
      <c r="AD604">
        <f>IF(AND(AC604=1,A604&gt;=p_from,A604&lt;=p_to),1,0)</f>
        <v>0.0</v>
      </c>
      <c r="AE604">
        <f>IF(AD604=1,IF(COUNTIFS($A$6:A604,A604,$AD$6:AD604,1)=1,1,0),0)</f>
        <v>0.0</v>
      </c>
      <c r="AF604" t="str">
        <f>IF(AE604=1,COUNTIFS(sj_first,1,sj_date,"&lt;"&amp;A604)+1,"")</f>
        <v/>
      </c>
      <c r="AG604" t="str">
        <f>IF(AND(AD604=1,N(W604)&lt;p_alert),ROUND(W604,4),"")</f>
        <v/>
      </c>
      <c r="AH604" t="str">
        <f>IF(AG604="","",COUNTIF(sj_akey,"&lt;"&amp;AG604)+COUNTIF($AG$6:AG604,AG604))</f>
        <v/>
      </c>
    </row>
    <row r="605">
      <c r="A605" s="51" t="n"/>
      <c r="B605" s="52" t="n"/>
      <c r="C605" s="52" t="n"/>
      <c r="D605" s="53" t="n"/>
      <c r="E605" s="53" t="n"/>
      <c r="F605" s="54" t="n"/>
      <c r="G605" s="54" t="n"/>
      <c r="H605" s="54" t="n"/>
      <c r="I605" s="54" t="n"/>
      <c r="J605" s="53" t="n"/>
      <c r="K605" s="55" t="str">
        <f>IF(COUNTA(A605:I605)=0,"",IF(F605="",IFERROR(INDEX(eq_dur,MATCH(B605,eq_code,0)),""),F605))</f>
        <v/>
      </c>
      <c r="L605" s="55" t="str">
        <f>IF(ISNUMBER(K605),N(IFERROR(INDEX(eq_pause,MATCH(B605,eq_code,0)),0))+SUMIFS(st_min,st_date,A605,st_eq,B605,st_po,C605,st_type,"Planifié"),"")</f>
        <v/>
      </c>
      <c r="M605" s="55" t="str">
        <f>IF(ISNUMBER(K605),K605-L605,"")</f>
        <v/>
      </c>
      <c r="N605" s="55" t="str">
        <f>IF(ISNUMBER(K605),SUMIFS(st_min,st_date,A605,st_eq,B605,st_po,C605,st_type,"Non planifié"),"")</f>
        <v/>
      </c>
      <c r="O605" s="55" t="str">
        <f>IF(ISNUMBER(K605),M605-N605,"")</f>
        <v/>
      </c>
      <c r="P605" s="55" t="str">
        <f>IF(COUNTA(A605:I605)=0,"",N(G605)+N(H605)+N(I605))</f>
        <v/>
      </c>
      <c r="Q605" s="56" t="str">
        <f>IF(COUNTA(A605:I605)=0,"",IF(N(IFERROR(INDEX(art_rate,MATCH(E605,art_ref,0)),0))&gt;0,N(IFERROR(INDEX(art_rate,MATCH(E605,art_ref,0)),0)),N(IFERROR(INDEX(po_rate,MATCH(C605,po_code,0)),0))))</f>
        <v/>
      </c>
      <c r="R605" s="55" t="str">
        <f>IF(AC605=1,P605*60/Q605,"")</f>
        <v/>
      </c>
      <c r="S605" s="55" t="str">
        <f>IF(AC605=1,N(G605)*60/Q605,"")</f>
        <v/>
      </c>
      <c r="T605" s="57" t="str">
        <f>IF(AC605=1,O605/M605,"")</f>
        <v/>
      </c>
      <c r="U605" s="57" t="str">
        <f>IF(AC605=1,IF(O605&gt;0,R605/O605,""),"")</f>
        <v/>
      </c>
      <c r="V605" s="57" t="str">
        <f>IF(AC605=1,IF(P605&gt;0,N(G605)/P605,""),"")</f>
        <v/>
      </c>
      <c r="W605" s="57" t="str">
        <f>IF(AC605=1,S605/M605,"")</f>
        <v/>
      </c>
      <c r="X605" s="57" t="str">
        <f>IF(AC605=1,S605/K605,"")</f>
        <v/>
      </c>
      <c r="Y605" s="58" t="str">
        <f>IF(W605="","",IF(W605&gt;=p_target,"Bon",IF(W605&gt;=p_alert,"À surveiller","Faible")))</f>
        <v/>
      </c>
      <c r="Z605" s="58" t="str">
        <f>IF(W605="","",IF(MIN(IF(T605="",1,T605),IF(U605="",1,U605),IF(V605="",1,V605))&gt;=1,"Aucune",IF(IF(T605="",1,T605)&lt;=MIN(IF(U605="",1,U605),IF(V605="",1,V605)),"Disponibilité",IF(IF(U605="",1,U605)&lt;=IF(V605="",1,V605),"Performance","Qualité"))))</f>
        <v/>
      </c>
      <c r="AA605" s="59" t="str">
        <f>IF(AC605=1,N(H605)*N(IFERROR(INDEX(art_cost,MATCH(E605,art_ref,0)),0)),"")</f>
        <v/>
      </c>
      <c r="AB605" s="58" t="str">
        <f>IF(COUNTA(A605:I605)=0,"",IF(N(A605)&lt;=0,"Date manquante ou invalide",IF(B605="","Équipe manquante",IF(ISNA(MATCH(B605,eq_code,0)),"Équipe inconnue",IF(INDEX(eq_check,MATCH(B605,eq_code,0))&lt;&gt;"OK","Équipe à corriger dans Paramètres",IF(C605="","Poste manquant",IF(ISNA(MATCH(C605,po_code,0)),"Poste inconnu",IF(AND(E605&lt;&gt;"",ISNA(MATCH(E605,art_ref,0))),"Article inconnu",IF(IF(E605="",FALSE,INDEX(art_check,MATCH(E605,art_ref,0))&lt;&gt;"OK"),"Article à corriger (feuille Articles)",IF(COUNTIFS(sj_date,A605,sj_eq,B605,sj_po,C605)&gt;1,"Ligne en double (même jour, équipe et poste)",IF(OR(NOT(ISNUMBER(K605)),N(K605)&lt;=0,N(K605)&gt;1440),"Temps d'ouverture invalide",IF(OR(AND(G605&lt;&gt;"",NOT(ISNUMBER(G605))),N(G605)&lt;0,N(G605)&lt;&gt;INT(N(G605)),AND(H605&lt;&gt;"",NOT(ISNUMBER(H605))),N(H605)&lt;0,N(H605)&lt;&gt;INT(N(H605)),AND(I605&lt;&gt;"",NOT(ISNUMBER(I605))),N(I605)&lt;0,N(I605)&lt;&gt;INT(N(I605))),"Quantité invalide",IF(Q605&lt;=0,"Cadence manquante (poste ou article)",IF(M605&lt;=0,"Arrêts planifiés supérieurs au temps d'ouverture",IF(O605&lt;0,"Arrêts supérieurs au temps requis",IF(AND(P605&gt;0,O605=0),"Pièces déclarées sans temps de marche",IF(AND(P605=0,O605&gt;0),"Aucune pièce déclarée",IF(P605*60/Q605&gt;O605+0.001,"Cadence dépassée : vérifiez la cadence","OK"))))))))))))))))))</f>
        <v/>
      </c>
      <c r="AC605">
        <f>IF(OR(AB605="OK",AB605="Aucune pièce déclarée",AB605="Cadence dépassée : vérifiez la cadence"),1,0)</f>
        <v>0.0</v>
      </c>
      <c r="AD605">
        <f>IF(AND(AC605=1,A605&gt;=p_from,A605&lt;=p_to),1,0)</f>
        <v>0.0</v>
      </c>
      <c r="AE605">
        <f>IF(AD605=1,IF(COUNTIFS($A$6:A605,A605,$AD$6:AD605,1)=1,1,0),0)</f>
        <v>0.0</v>
      </c>
      <c r="AF605" t="str">
        <f>IF(AE605=1,COUNTIFS(sj_first,1,sj_date,"&lt;"&amp;A605)+1,"")</f>
        <v/>
      </c>
      <c r="AG605" t="str">
        <f>IF(AND(AD605=1,N(W605)&lt;p_alert),ROUND(W605,4),"")</f>
        <v/>
      </c>
      <c r="AH605" t="str">
        <f>IF(AG605="","",COUNTIF(sj_akey,"&lt;"&amp;AG605)+COUNTIF($AG$6:AG605,AG605))</f>
        <v/>
      </c>
    </row>
    <row r="606">
      <c r="A606" s="51" t="n"/>
      <c r="B606" s="52" t="n"/>
      <c r="C606" s="52" t="n"/>
      <c r="D606" s="53" t="n"/>
      <c r="E606" s="53" t="n"/>
      <c r="F606" s="54" t="n"/>
      <c r="G606" s="54" t="n"/>
      <c r="H606" s="54" t="n"/>
      <c r="I606" s="54" t="n"/>
      <c r="J606" s="53" t="n"/>
      <c r="K606" s="55" t="str">
        <f>IF(COUNTA(A606:I606)=0,"",IF(F606="",IFERROR(INDEX(eq_dur,MATCH(B606,eq_code,0)),""),F606))</f>
        <v/>
      </c>
      <c r="L606" s="55" t="str">
        <f>IF(ISNUMBER(K606),N(IFERROR(INDEX(eq_pause,MATCH(B606,eq_code,0)),0))+SUMIFS(st_min,st_date,A606,st_eq,B606,st_po,C606,st_type,"Planifié"),"")</f>
        <v/>
      </c>
      <c r="M606" s="55" t="str">
        <f>IF(ISNUMBER(K606),K606-L606,"")</f>
        <v/>
      </c>
      <c r="N606" s="55" t="str">
        <f>IF(ISNUMBER(K606),SUMIFS(st_min,st_date,A606,st_eq,B606,st_po,C606,st_type,"Non planifié"),"")</f>
        <v/>
      </c>
      <c r="O606" s="55" t="str">
        <f>IF(ISNUMBER(K606),M606-N606,"")</f>
        <v/>
      </c>
      <c r="P606" s="55" t="str">
        <f>IF(COUNTA(A606:I606)=0,"",N(G606)+N(H606)+N(I606))</f>
        <v/>
      </c>
      <c r="Q606" s="56" t="str">
        <f>IF(COUNTA(A606:I606)=0,"",IF(N(IFERROR(INDEX(art_rate,MATCH(E606,art_ref,0)),0))&gt;0,N(IFERROR(INDEX(art_rate,MATCH(E606,art_ref,0)),0)),N(IFERROR(INDEX(po_rate,MATCH(C606,po_code,0)),0))))</f>
        <v/>
      </c>
      <c r="R606" s="55" t="str">
        <f>IF(AC606=1,P606*60/Q606,"")</f>
        <v/>
      </c>
      <c r="S606" s="55" t="str">
        <f>IF(AC606=1,N(G606)*60/Q606,"")</f>
        <v/>
      </c>
      <c r="T606" s="57" t="str">
        <f>IF(AC606=1,O606/M606,"")</f>
        <v/>
      </c>
      <c r="U606" s="57" t="str">
        <f>IF(AC606=1,IF(O606&gt;0,R606/O606,""),"")</f>
        <v/>
      </c>
      <c r="V606" s="57" t="str">
        <f>IF(AC606=1,IF(P606&gt;0,N(G606)/P606,""),"")</f>
        <v/>
      </c>
      <c r="W606" s="57" t="str">
        <f>IF(AC606=1,S606/M606,"")</f>
        <v/>
      </c>
      <c r="X606" s="57" t="str">
        <f>IF(AC606=1,S606/K606,"")</f>
        <v/>
      </c>
      <c r="Y606" s="58" t="str">
        <f>IF(W606="","",IF(W606&gt;=p_target,"Bon",IF(W606&gt;=p_alert,"À surveiller","Faible")))</f>
        <v/>
      </c>
      <c r="Z606" s="58" t="str">
        <f>IF(W606="","",IF(MIN(IF(T606="",1,T606),IF(U606="",1,U606),IF(V606="",1,V606))&gt;=1,"Aucune",IF(IF(T606="",1,T606)&lt;=MIN(IF(U606="",1,U606),IF(V606="",1,V606)),"Disponibilité",IF(IF(U606="",1,U606)&lt;=IF(V606="",1,V606),"Performance","Qualité"))))</f>
        <v/>
      </c>
      <c r="AA606" s="59" t="str">
        <f>IF(AC606=1,N(H606)*N(IFERROR(INDEX(art_cost,MATCH(E606,art_ref,0)),0)),"")</f>
        <v/>
      </c>
      <c r="AB606" s="58" t="str">
        <f>IF(COUNTA(A606:I606)=0,"",IF(N(A606)&lt;=0,"Date manquante ou invalide",IF(B606="","Équipe manquante",IF(ISNA(MATCH(B606,eq_code,0)),"Équipe inconnue",IF(INDEX(eq_check,MATCH(B606,eq_code,0))&lt;&gt;"OK","Équipe à corriger dans Paramètres",IF(C606="","Poste manquant",IF(ISNA(MATCH(C606,po_code,0)),"Poste inconnu",IF(AND(E606&lt;&gt;"",ISNA(MATCH(E606,art_ref,0))),"Article inconnu",IF(IF(E606="",FALSE,INDEX(art_check,MATCH(E606,art_ref,0))&lt;&gt;"OK"),"Article à corriger (feuille Articles)",IF(COUNTIFS(sj_date,A606,sj_eq,B606,sj_po,C606)&gt;1,"Ligne en double (même jour, équipe et poste)",IF(OR(NOT(ISNUMBER(K606)),N(K606)&lt;=0,N(K606)&gt;1440),"Temps d'ouverture invalide",IF(OR(AND(G606&lt;&gt;"",NOT(ISNUMBER(G606))),N(G606)&lt;0,N(G606)&lt;&gt;INT(N(G606)),AND(H606&lt;&gt;"",NOT(ISNUMBER(H606))),N(H606)&lt;0,N(H606)&lt;&gt;INT(N(H606)),AND(I606&lt;&gt;"",NOT(ISNUMBER(I606))),N(I606)&lt;0,N(I606)&lt;&gt;INT(N(I606))),"Quantité invalide",IF(Q606&lt;=0,"Cadence manquante (poste ou article)",IF(M606&lt;=0,"Arrêts planifiés supérieurs au temps d'ouverture",IF(O606&lt;0,"Arrêts supérieurs au temps requis",IF(AND(P606&gt;0,O606=0),"Pièces déclarées sans temps de marche",IF(AND(P606=0,O606&gt;0),"Aucune pièce déclarée",IF(P606*60/Q606&gt;O606+0.001,"Cadence dépassée : vérifiez la cadence","OK"))))))))))))))))))</f>
        <v/>
      </c>
      <c r="AC606">
        <f>IF(OR(AB606="OK",AB606="Aucune pièce déclarée",AB606="Cadence dépassée : vérifiez la cadence"),1,0)</f>
        <v>0.0</v>
      </c>
      <c r="AD606">
        <f>IF(AND(AC606=1,A606&gt;=p_from,A606&lt;=p_to),1,0)</f>
        <v>0.0</v>
      </c>
      <c r="AE606">
        <f>IF(AD606=1,IF(COUNTIFS($A$6:A606,A606,$AD$6:AD606,1)=1,1,0),0)</f>
        <v>0.0</v>
      </c>
      <c r="AF606" t="str">
        <f>IF(AE606=1,COUNTIFS(sj_first,1,sj_date,"&lt;"&amp;A606)+1,"")</f>
        <v/>
      </c>
      <c r="AG606" t="str">
        <f>IF(AND(AD606=1,N(W606)&lt;p_alert),ROUND(W606,4),"")</f>
        <v/>
      </c>
      <c r="AH606" t="str">
        <f>IF(AG606="","",COUNTIF(sj_akey,"&lt;"&amp;AG606)+COUNTIF($AG$6:AG606,AG606))</f>
        <v/>
      </c>
    </row>
    <row r="607">
      <c r="A607" s="51" t="n"/>
      <c r="B607" s="52" t="n"/>
      <c r="C607" s="52" t="n"/>
      <c r="D607" s="53" t="n"/>
      <c r="E607" s="53" t="n"/>
      <c r="F607" s="54" t="n"/>
      <c r="G607" s="54" t="n"/>
      <c r="H607" s="54" t="n"/>
      <c r="I607" s="54" t="n"/>
      <c r="J607" s="53" t="n"/>
      <c r="K607" s="55" t="str">
        <f>IF(COUNTA(A607:I607)=0,"",IF(F607="",IFERROR(INDEX(eq_dur,MATCH(B607,eq_code,0)),""),F607))</f>
        <v/>
      </c>
      <c r="L607" s="55" t="str">
        <f>IF(ISNUMBER(K607),N(IFERROR(INDEX(eq_pause,MATCH(B607,eq_code,0)),0))+SUMIFS(st_min,st_date,A607,st_eq,B607,st_po,C607,st_type,"Planifié"),"")</f>
        <v/>
      </c>
      <c r="M607" s="55" t="str">
        <f>IF(ISNUMBER(K607),K607-L607,"")</f>
        <v/>
      </c>
      <c r="N607" s="55" t="str">
        <f>IF(ISNUMBER(K607),SUMIFS(st_min,st_date,A607,st_eq,B607,st_po,C607,st_type,"Non planifié"),"")</f>
        <v/>
      </c>
      <c r="O607" s="55" t="str">
        <f>IF(ISNUMBER(K607),M607-N607,"")</f>
        <v/>
      </c>
      <c r="P607" s="55" t="str">
        <f>IF(COUNTA(A607:I607)=0,"",N(G607)+N(H607)+N(I607))</f>
        <v/>
      </c>
      <c r="Q607" s="56" t="str">
        <f>IF(COUNTA(A607:I607)=0,"",IF(N(IFERROR(INDEX(art_rate,MATCH(E607,art_ref,0)),0))&gt;0,N(IFERROR(INDEX(art_rate,MATCH(E607,art_ref,0)),0)),N(IFERROR(INDEX(po_rate,MATCH(C607,po_code,0)),0))))</f>
        <v/>
      </c>
      <c r="R607" s="55" t="str">
        <f>IF(AC607=1,P607*60/Q607,"")</f>
        <v/>
      </c>
      <c r="S607" s="55" t="str">
        <f>IF(AC607=1,N(G607)*60/Q607,"")</f>
        <v/>
      </c>
      <c r="T607" s="57" t="str">
        <f>IF(AC607=1,O607/M607,"")</f>
        <v/>
      </c>
      <c r="U607" s="57" t="str">
        <f>IF(AC607=1,IF(O607&gt;0,R607/O607,""),"")</f>
        <v/>
      </c>
      <c r="V607" s="57" t="str">
        <f>IF(AC607=1,IF(P607&gt;0,N(G607)/P607,""),"")</f>
        <v/>
      </c>
      <c r="W607" s="57" t="str">
        <f>IF(AC607=1,S607/M607,"")</f>
        <v/>
      </c>
      <c r="X607" s="57" t="str">
        <f>IF(AC607=1,S607/K607,"")</f>
        <v/>
      </c>
      <c r="Y607" s="58" t="str">
        <f>IF(W607="","",IF(W607&gt;=p_target,"Bon",IF(W607&gt;=p_alert,"À surveiller","Faible")))</f>
        <v/>
      </c>
      <c r="Z607" s="58" t="str">
        <f>IF(W607="","",IF(MIN(IF(T607="",1,T607),IF(U607="",1,U607),IF(V607="",1,V607))&gt;=1,"Aucune",IF(IF(T607="",1,T607)&lt;=MIN(IF(U607="",1,U607),IF(V607="",1,V607)),"Disponibilité",IF(IF(U607="",1,U607)&lt;=IF(V607="",1,V607),"Performance","Qualité"))))</f>
        <v/>
      </c>
      <c r="AA607" s="59" t="str">
        <f>IF(AC607=1,N(H607)*N(IFERROR(INDEX(art_cost,MATCH(E607,art_ref,0)),0)),"")</f>
        <v/>
      </c>
      <c r="AB607" s="58" t="str">
        <f>IF(COUNTA(A607:I607)=0,"",IF(N(A607)&lt;=0,"Date manquante ou invalide",IF(B607="","Équipe manquante",IF(ISNA(MATCH(B607,eq_code,0)),"Équipe inconnue",IF(INDEX(eq_check,MATCH(B607,eq_code,0))&lt;&gt;"OK","Équipe à corriger dans Paramètres",IF(C607="","Poste manquant",IF(ISNA(MATCH(C607,po_code,0)),"Poste inconnu",IF(AND(E607&lt;&gt;"",ISNA(MATCH(E607,art_ref,0))),"Article inconnu",IF(IF(E607="",FALSE,INDEX(art_check,MATCH(E607,art_ref,0))&lt;&gt;"OK"),"Article à corriger (feuille Articles)",IF(COUNTIFS(sj_date,A607,sj_eq,B607,sj_po,C607)&gt;1,"Ligne en double (même jour, équipe et poste)",IF(OR(NOT(ISNUMBER(K607)),N(K607)&lt;=0,N(K607)&gt;1440),"Temps d'ouverture invalide",IF(OR(AND(G607&lt;&gt;"",NOT(ISNUMBER(G607))),N(G607)&lt;0,N(G607)&lt;&gt;INT(N(G607)),AND(H607&lt;&gt;"",NOT(ISNUMBER(H607))),N(H607)&lt;0,N(H607)&lt;&gt;INT(N(H607)),AND(I607&lt;&gt;"",NOT(ISNUMBER(I607))),N(I607)&lt;0,N(I607)&lt;&gt;INT(N(I607))),"Quantité invalide",IF(Q607&lt;=0,"Cadence manquante (poste ou article)",IF(M607&lt;=0,"Arrêts planifiés supérieurs au temps d'ouverture",IF(O607&lt;0,"Arrêts supérieurs au temps requis",IF(AND(P607&gt;0,O607=0),"Pièces déclarées sans temps de marche",IF(AND(P607=0,O607&gt;0),"Aucune pièce déclarée",IF(P607*60/Q607&gt;O607+0.001,"Cadence dépassée : vérifiez la cadence","OK"))))))))))))))))))</f>
        <v/>
      </c>
      <c r="AC607">
        <f>IF(OR(AB607="OK",AB607="Aucune pièce déclarée",AB607="Cadence dépassée : vérifiez la cadence"),1,0)</f>
        <v>0.0</v>
      </c>
      <c r="AD607">
        <f>IF(AND(AC607=1,A607&gt;=p_from,A607&lt;=p_to),1,0)</f>
        <v>0.0</v>
      </c>
      <c r="AE607">
        <f>IF(AD607=1,IF(COUNTIFS($A$6:A607,A607,$AD$6:AD607,1)=1,1,0),0)</f>
        <v>0.0</v>
      </c>
      <c r="AF607" t="str">
        <f>IF(AE607=1,COUNTIFS(sj_first,1,sj_date,"&lt;"&amp;A607)+1,"")</f>
        <v/>
      </c>
      <c r="AG607" t="str">
        <f>IF(AND(AD607=1,N(W607)&lt;p_alert),ROUND(W607,4),"")</f>
        <v/>
      </c>
      <c r="AH607" t="str">
        <f>IF(AG607="","",COUNTIF(sj_akey,"&lt;"&amp;AG607)+COUNTIF($AG$6:AG607,AG607))</f>
        <v/>
      </c>
    </row>
    <row r="608">
      <c r="A608" s="51" t="n"/>
      <c r="B608" s="52" t="n"/>
      <c r="C608" s="52" t="n"/>
      <c r="D608" s="53" t="n"/>
      <c r="E608" s="53" t="n"/>
      <c r="F608" s="54" t="n"/>
      <c r="G608" s="54" t="n"/>
      <c r="H608" s="54" t="n"/>
      <c r="I608" s="54" t="n"/>
      <c r="J608" s="53" t="n"/>
      <c r="K608" s="55" t="str">
        <f>IF(COUNTA(A608:I608)=0,"",IF(F608="",IFERROR(INDEX(eq_dur,MATCH(B608,eq_code,0)),""),F608))</f>
        <v/>
      </c>
      <c r="L608" s="55" t="str">
        <f>IF(ISNUMBER(K608),N(IFERROR(INDEX(eq_pause,MATCH(B608,eq_code,0)),0))+SUMIFS(st_min,st_date,A608,st_eq,B608,st_po,C608,st_type,"Planifié"),"")</f>
        <v/>
      </c>
      <c r="M608" s="55" t="str">
        <f>IF(ISNUMBER(K608),K608-L608,"")</f>
        <v/>
      </c>
      <c r="N608" s="55" t="str">
        <f>IF(ISNUMBER(K608),SUMIFS(st_min,st_date,A608,st_eq,B608,st_po,C608,st_type,"Non planifié"),"")</f>
        <v/>
      </c>
      <c r="O608" s="55" t="str">
        <f>IF(ISNUMBER(K608),M608-N608,"")</f>
        <v/>
      </c>
      <c r="P608" s="55" t="str">
        <f>IF(COUNTA(A608:I608)=0,"",N(G608)+N(H608)+N(I608))</f>
        <v/>
      </c>
      <c r="Q608" s="56" t="str">
        <f>IF(COUNTA(A608:I608)=0,"",IF(N(IFERROR(INDEX(art_rate,MATCH(E608,art_ref,0)),0))&gt;0,N(IFERROR(INDEX(art_rate,MATCH(E608,art_ref,0)),0)),N(IFERROR(INDEX(po_rate,MATCH(C608,po_code,0)),0))))</f>
        <v/>
      </c>
      <c r="R608" s="55" t="str">
        <f>IF(AC608=1,P608*60/Q608,"")</f>
        <v/>
      </c>
      <c r="S608" s="55" t="str">
        <f>IF(AC608=1,N(G608)*60/Q608,"")</f>
        <v/>
      </c>
      <c r="T608" s="57" t="str">
        <f>IF(AC608=1,O608/M608,"")</f>
        <v/>
      </c>
      <c r="U608" s="57" t="str">
        <f>IF(AC608=1,IF(O608&gt;0,R608/O608,""),"")</f>
        <v/>
      </c>
      <c r="V608" s="57" t="str">
        <f>IF(AC608=1,IF(P608&gt;0,N(G608)/P608,""),"")</f>
        <v/>
      </c>
      <c r="W608" s="57" t="str">
        <f>IF(AC608=1,S608/M608,"")</f>
        <v/>
      </c>
      <c r="X608" s="57" t="str">
        <f>IF(AC608=1,S608/K608,"")</f>
        <v/>
      </c>
      <c r="Y608" s="58" t="str">
        <f>IF(W608="","",IF(W608&gt;=p_target,"Bon",IF(W608&gt;=p_alert,"À surveiller","Faible")))</f>
        <v/>
      </c>
      <c r="Z608" s="58" t="str">
        <f>IF(W608="","",IF(MIN(IF(T608="",1,T608),IF(U608="",1,U608),IF(V608="",1,V608))&gt;=1,"Aucune",IF(IF(T608="",1,T608)&lt;=MIN(IF(U608="",1,U608),IF(V608="",1,V608)),"Disponibilité",IF(IF(U608="",1,U608)&lt;=IF(V608="",1,V608),"Performance","Qualité"))))</f>
        <v/>
      </c>
      <c r="AA608" s="59" t="str">
        <f>IF(AC608=1,N(H608)*N(IFERROR(INDEX(art_cost,MATCH(E608,art_ref,0)),0)),"")</f>
        <v/>
      </c>
      <c r="AB608" s="58" t="str">
        <f>IF(COUNTA(A608:I608)=0,"",IF(N(A608)&lt;=0,"Date manquante ou invalide",IF(B608="","Équipe manquante",IF(ISNA(MATCH(B608,eq_code,0)),"Équipe inconnue",IF(INDEX(eq_check,MATCH(B608,eq_code,0))&lt;&gt;"OK","Équipe à corriger dans Paramètres",IF(C608="","Poste manquant",IF(ISNA(MATCH(C608,po_code,0)),"Poste inconnu",IF(AND(E608&lt;&gt;"",ISNA(MATCH(E608,art_ref,0))),"Article inconnu",IF(IF(E608="",FALSE,INDEX(art_check,MATCH(E608,art_ref,0))&lt;&gt;"OK"),"Article à corriger (feuille Articles)",IF(COUNTIFS(sj_date,A608,sj_eq,B608,sj_po,C608)&gt;1,"Ligne en double (même jour, équipe et poste)",IF(OR(NOT(ISNUMBER(K608)),N(K608)&lt;=0,N(K608)&gt;1440),"Temps d'ouverture invalide",IF(OR(AND(G608&lt;&gt;"",NOT(ISNUMBER(G608))),N(G608)&lt;0,N(G608)&lt;&gt;INT(N(G608)),AND(H608&lt;&gt;"",NOT(ISNUMBER(H608))),N(H608)&lt;0,N(H608)&lt;&gt;INT(N(H608)),AND(I608&lt;&gt;"",NOT(ISNUMBER(I608))),N(I608)&lt;0,N(I608)&lt;&gt;INT(N(I608))),"Quantité invalide",IF(Q608&lt;=0,"Cadence manquante (poste ou article)",IF(M608&lt;=0,"Arrêts planifiés supérieurs au temps d'ouverture",IF(O608&lt;0,"Arrêts supérieurs au temps requis",IF(AND(P608&gt;0,O608=0),"Pièces déclarées sans temps de marche",IF(AND(P608=0,O608&gt;0),"Aucune pièce déclarée",IF(P608*60/Q608&gt;O608+0.001,"Cadence dépassée : vérifiez la cadence","OK"))))))))))))))))))</f>
        <v/>
      </c>
      <c r="AC608">
        <f>IF(OR(AB608="OK",AB608="Aucune pièce déclarée",AB608="Cadence dépassée : vérifiez la cadence"),1,0)</f>
        <v>0.0</v>
      </c>
      <c r="AD608">
        <f>IF(AND(AC608=1,A608&gt;=p_from,A608&lt;=p_to),1,0)</f>
        <v>0.0</v>
      </c>
      <c r="AE608">
        <f>IF(AD608=1,IF(COUNTIFS($A$6:A608,A608,$AD$6:AD608,1)=1,1,0),0)</f>
        <v>0.0</v>
      </c>
      <c r="AF608" t="str">
        <f>IF(AE608=1,COUNTIFS(sj_first,1,sj_date,"&lt;"&amp;A608)+1,"")</f>
        <v/>
      </c>
      <c r="AG608" t="str">
        <f>IF(AND(AD608=1,N(W608)&lt;p_alert),ROUND(W608,4),"")</f>
        <v/>
      </c>
      <c r="AH608" t="str">
        <f>IF(AG608="","",COUNTIF(sj_akey,"&lt;"&amp;AG608)+COUNTIF($AG$6:AG608,AG608))</f>
        <v/>
      </c>
    </row>
    <row r="609">
      <c r="A609" s="51" t="n"/>
      <c r="B609" s="52" t="n"/>
      <c r="C609" s="52" t="n"/>
      <c r="D609" s="53" t="n"/>
      <c r="E609" s="53" t="n"/>
      <c r="F609" s="54" t="n"/>
      <c r="G609" s="54" t="n"/>
      <c r="H609" s="54" t="n"/>
      <c r="I609" s="54" t="n"/>
      <c r="J609" s="53" t="n"/>
      <c r="K609" s="55" t="str">
        <f>IF(COUNTA(A609:I609)=0,"",IF(F609="",IFERROR(INDEX(eq_dur,MATCH(B609,eq_code,0)),""),F609))</f>
        <v/>
      </c>
      <c r="L609" s="55" t="str">
        <f>IF(ISNUMBER(K609),N(IFERROR(INDEX(eq_pause,MATCH(B609,eq_code,0)),0))+SUMIFS(st_min,st_date,A609,st_eq,B609,st_po,C609,st_type,"Planifié"),"")</f>
        <v/>
      </c>
      <c r="M609" s="55" t="str">
        <f>IF(ISNUMBER(K609),K609-L609,"")</f>
        <v/>
      </c>
      <c r="N609" s="55" t="str">
        <f>IF(ISNUMBER(K609),SUMIFS(st_min,st_date,A609,st_eq,B609,st_po,C609,st_type,"Non planifié"),"")</f>
        <v/>
      </c>
      <c r="O609" s="55" t="str">
        <f>IF(ISNUMBER(K609),M609-N609,"")</f>
        <v/>
      </c>
      <c r="P609" s="55" t="str">
        <f>IF(COUNTA(A609:I609)=0,"",N(G609)+N(H609)+N(I609))</f>
        <v/>
      </c>
      <c r="Q609" s="56" t="str">
        <f>IF(COUNTA(A609:I609)=0,"",IF(N(IFERROR(INDEX(art_rate,MATCH(E609,art_ref,0)),0))&gt;0,N(IFERROR(INDEX(art_rate,MATCH(E609,art_ref,0)),0)),N(IFERROR(INDEX(po_rate,MATCH(C609,po_code,0)),0))))</f>
        <v/>
      </c>
      <c r="R609" s="55" t="str">
        <f>IF(AC609=1,P609*60/Q609,"")</f>
        <v/>
      </c>
      <c r="S609" s="55" t="str">
        <f>IF(AC609=1,N(G609)*60/Q609,"")</f>
        <v/>
      </c>
      <c r="T609" s="57" t="str">
        <f>IF(AC609=1,O609/M609,"")</f>
        <v/>
      </c>
      <c r="U609" s="57" t="str">
        <f>IF(AC609=1,IF(O609&gt;0,R609/O609,""),"")</f>
        <v/>
      </c>
      <c r="V609" s="57" t="str">
        <f>IF(AC609=1,IF(P609&gt;0,N(G609)/P609,""),"")</f>
        <v/>
      </c>
      <c r="W609" s="57" t="str">
        <f>IF(AC609=1,S609/M609,"")</f>
        <v/>
      </c>
      <c r="X609" s="57" t="str">
        <f>IF(AC609=1,S609/K609,"")</f>
        <v/>
      </c>
      <c r="Y609" s="58" t="str">
        <f>IF(W609="","",IF(W609&gt;=p_target,"Bon",IF(W609&gt;=p_alert,"À surveiller","Faible")))</f>
        <v/>
      </c>
      <c r="Z609" s="58" t="str">
        <f>IF(W609="","",IF(MIN(IF(T609="",1,T609),IF(U609="",1,U609),IF(V609="",1,V609))&gt;=1,"Aucune",IF(IF(T609="",1,T609)&lt;=MIN(IF(U609="",1,U609),IF(V609="",1,V609)),"Disponibilité",IF(IF(U609="",1,U609)&lt;=IF(V609="",1,V609),"Performance","Qualité"))))</f>
        <v/>
      </c>
      <c r="AA609" s="59" t="str">
        <f>IF(AC609=1,N(H609)*N(IFERROR(INDEX(art_cost,MATCH(E609,art_ref,0)),0)),"")</f>
        <v/>
      </c>
      <c r="AB609" s="58" t="str">
        <f>IF(COUNTA(A609:I609)=0,"",IF(N(A609)&lt;=0,"Date manquante ou invalide",IF(B609="","Équipe manquante",IF(ISNA(MATCH(B609,eq_code,0)),"Équipe inconnue",IF(INDEX(eq_check,MATCH(B609,eq_code,0))&lt;&gt;"OK","Équipe à corriger dans Paramètres",IF(C609="","Poste manquant",IF(ISNA(MATCH(C609,po_code,0)),"Poste inconnu",IF(AND(E609&lt;&gt;"",ISNA(MATCH(E609,art_ref,0))),"Article inconnu",IF(IF(E609="",FALSE,INDEX(art_check,MATCH(E609,art_ref,0))&lt;&gt;"OK"),"Article à corriger (feuille Articles)",IF(COUNTIFS(sj_date,A609,sj_eq,B609,sj_po,C609)&gt;1,"Ligne en double (même jour, équipe et poste)",IF(OR(NOT(ISNUMBER(K609)),N(K609)&lt;=0,N(K609)&gt;1440),"Temps d'ouverture invalide",IF(OR(AND(G609&lt;&gt;"",NOT(ISNUMBER(G609))),N(G609)&lt;0,N(G609)&lt;&gt;INT(N(G609)),AND(H609&lt;&gt;"",NOT(ISNUMBER(H609))),N(H609)&lt;0,N(H609)&lt;&gt;INT(N(H609)),AND(I609&lt;&gt;"",NOT(ISNUMBER(I609))),N(I609)&lt;0,N(I609)&lt;&gt;INT(N(I609))),"Quantité invalide",IF(Q609&lt;=0,"Cadence manquante (poste ou article)",IF(M609&lt;=0,"Arrêts planifiés supérieurs au temps d'ouverture",IF(O609&lt;0,"Arrêts supérieurs au temps requis",IF(AND(P609&gt;0,O609=0),"Pièces déclarées sans temps de marche",IF(AND(P609=0,O609&gt;0),"Aucune pièce déclarée",IF(P609*60/Q609&gt;O609+0.001,"Cadence dépassée : vérifiez la cadence","OK"))))))))))))))))))</f>
        <v/>
      </c>
      <c r="AC609">
        <f>IF(OR(AB609="OK",AB609="Aucune pièce déclarée",AB609="Cadence dépassée : vérifiez la cadence"),1,0)</f>
        <v>0.0</v>
      </c>
      <c r="AD609">
        <f>IF(AND(AC609=1,A609&gt;=p_from,A609&lt;=p_to),1,0)</f>
        <v>0.0</v>
      </c>
      <c r="AE609">
        <f>IF(AD609=1,IF(COUNTIFS($A$6:A609,A609,$AD$6:AD609,1)=1,1,0),0)</f>
        <v>0.0</v>
      </c>
      <c r="AF609" t="str">
        <f>IF(AE609=1,COUNTIFS(sj_first,1,sj_date,"&lt;"&amp;A609)+1,"")</f>
        <v/>
      </c>
      <c r="AG609" t="str">
        <f>IF(AND(AD609=1,N(W609)&lt;p_alert),ROUND(W609,4),"")</f>
        <v/>
      </c>
      <c r="AH609" t="str">
        <f>IF(AG609="","",COUNTIF(sj_akey,"&lt;"&amp;AG609)+COUNTIF($AG$6:AG609,AG609))</f>
        <v/>
      </c>
    </row>
    <row r="610">
      <c r="A610" s="51" t="n"/>
      <c r="B610" s="52" t="n"/>
      <c r="C610" s="52" t="n"/>
      <c r="D610" s="53" t="n"/>
      <c r="E610" s="53" t="n"/>
      <c r="F610" s="54" t="n"/>
      <c r="G610" s="54" t="n"/>
      <c r="H610" s="54" t="n"/>
      <c r="I610" s="54" t="n"/>
      <c r="J610" s="53" t="n"/>
      <c r="K610" s="55" t="str">
        <f>IF(COUNTA(A610:I610)=0,"",IF(F610="",IFERROR(INDEX(eq_dur,MATCH(B610,eq_code,0)),""),F610))</f>
        <v/>
      </c>
      <c r="L610" s="55" t="str">
        <f>IF(ISNUMBER(K610),N(IFERROR(INDEX(eq_pause,MATCH(B610,eq_code,0)),0))+SUMIFS(st_min,st_date,A610,st_eq,B610,st_po,C610,st_type,"Planifié"),"")</f>
        <v/>
      </c>
      <c r="M610" s="55" t="str">
        <f>IF(ISNUMBER(K610),K610-L610,"")</f>
        <v/>
      </c>
      <c r="N610" s="55" t="str">
        <f>IF(ISNUMBER(K610),SUMIFS(st_min,st_date,A610,st_eq,B610,st_po,C610,st_type,"Non planifié"),"")</f>
        <v/>
      </c>
      <c r="O610" s="55" t="str">
        <f>IF(ISNUMBER(K610),M610-N610,"")</f>
        <v/>
      </c>
      <c r="P610" s="55" t="str">
        <f>IF(COUNTA(A610:I610)=0,"",N(G610)+N(H610)+N(I610))</f>
        <v/>
      </c>
      <c r="Q610" s="56" t="str">
        <f>IF(COUNTA(A610:I610)=0,"",IF(N(IFERROR(INDEX(art_rate,MATCH(E610,art_ref,0)),0))&gt;0,N(IFERROR(INDEX(art_rate,MATCH(E610,art_ref,0)),0)),N(IFERROR(INDEX(po_rate,MATCH(C610,po_code,0)),0))))</f>
        <v/>
      </c>
      <c r="R610" s="55" t="str">
        <f>IF(AC610=1,P610*60/Q610,"")</f>
        <v/>
      </c>
      <c r="S610" s="55" t="str">
        <f>IF(AC610=1,N(G610)*60/Q610,"")</f>
        <v/>
      </c>
      <c r="T610" s="57" t="str">
        <f>IF(AC610=1,O610/M610,"")</f>
        <v/>
      </c>
      <c r="U610" s="57" t="str">
        <f>IF(AC610=1,IF(O610&gt;0,R610/O610,""),"")</f>
        <v/>
      </c>
      <c r="V610" s="57" t="str">
        <f>IF(AC610=1,IF(P610&gt;0,N(G610)/P610,""),"")</f>
        <v/>
      </c>
      <c r="W610" s="57" t="str">
        <f>IF(AC610=1,S610/M610,"")</f>
        <v/>
      </c>
      <c r="X610" s="57" t="str">
        <f>IF(AC610=1,S610/K610,"")</f>
        <v/>
      </c>
      <c r="Y610" s="58" t="str">
        <f>IF(W610="","",IF(W610&gt;=p_target,"Bon",IF(W610&gt;=p_alert,"À surveiller","Faible")))</f>
        <v/>
      </c>
      <c r="Z610" s="58" t="str">
        <f>IF(W610="","",IF(MIN(IF(T610="",1,T610),IF(U610="",1,U610),IF(V610="",1,V610))&gt;=1,"Aucune",IF(IF(T610="",1,T610)&lt;=MIN(IF(U610="",1,U610),IF(V610="",1,V610)),"Disponibilité",IF(IF(U610="",1,U610)&lt;=IF(V610="",1,V610),"Performance","Qualité"))))</f>
        <v/>
      </c>
      <c r="AA610" s="59" t="str">
        <f>IF(AC610=1,N(H610)*N(IFERROR(INDEX(art_cost,MATCH(E610,art_ref,0)),0)),"")</f>
        <v/>
      </c>
      <c r="AB610" s="58" t="str">
        <f>IF(COUNTA(A610:I610)=0,"",IF(N(A610)&lt;=0,"Date manquante ou invalide",IF(B610="","Équipe manquante",IF(ISNA(MATCH(B610,eq_code,0)),"Équipe inconnue",IF(INDEX(eq_check,MATCH(B610,eq_code,0))&lt;&gt;"OK","Équipe à corriger dans Paramètres",IF(C610="","Poste manquant",IF(ISNA(MATCH(C610,po_code,0)),"Poste inconnu",IF(AND(E610&lt;&gt;"",ISNA(MATCH(E610,art_ref,0))),"Article inconnu",IF(IF(E610="",FALSE,INDEX(art_check,MATCH(E610,art_ref,0))&lt;&gt;"OK"),"Article à corriger (feuille Articles)",IF(COUNTIFS(sj_date,A610,sj_eq,B610,sj_po,C610)&gt;1,"Ligne en double (même jour, équipe et poste)",IF(OR(NOT(ISNUMBER(K610)),N(K610)&lt;=0,N(K610)&gt;1440),"Temps d'ouverture invalide",IF(OR(AND(G610&lt;&gt;"",NOT(ISNUMBER(G610))),N(G610)&lt;0,N(G610)&lt;&gt;INT(N(G610)),AND(H610&lt;&gt;"",NOT(ISNUMBER(H610))),N(H610)&lt;0,N(H610)&lt;&gt;INT(N(H610)),AND(I610&lt;&gt;"",NOT(ISNUMBER(I610))),N(I610)&lt;0,N(I610)&lt;&gt;INT(N(I610))),"Quantité invalide",IF(Q610&lt;=0,"Cadence manquante (poste ou article)",IF(M610&lt;=0,"Arrêts planifiés supérieurs au temps d'ouverture",IF(O610&lt;0,"Arrêts supérieurs au temps requis",IF(AND(P610&gt;0,O610=0),"Pièces déclarées sans temps de marche",IF(AND(P610=0,O610&gt;0),"Aucune pièce déclarée",IF(P610*60/Q610&gt;O610+0.001,"Cadence dépassée : vérifiez la cadence","OK"))))))))))))))))))</f>
        <v/>
      </c>
      <c r="AC610">
        <f>IF(OR(AB610="OK",AB610="Aucune pièce déclarée",AB610="Cadence dépassée : vérifiez la cadence"),1,0)</f>
        <v>0.0</v>
      </c>
      <c r="AD610">
        <f>IF(AND(AC610=1,A610&gt;=p_from,A610&lt;=p_to),1,0)</f>
        <v>0.0</v>
      </c>
      <c r="AE610">
        <f>IF(AD610=1,IF(COUNTIFS($A$6:A610,A610,$AD$6:AD610,1)=1,1,0),0)</f>
        <v>0.0</v>
      </c>
      <c r="AF610" t="str">
        <f>IF(AE610=1,COUNTIFS(sj_first,1,sj_date,"&lt;"&amp;A610)+1,"")</f>
        <v/>
      </c>
      <c r="AG610" t="str">
        <f>IF(AND(AD610=1,N(W610)&lt;p_alert),ROUND(W610,4),"")</f>
        <v/>
      </c>
      <c r="AH610" t="str">
        <f>IF(AG610="","",COUNTIF(sj_akey,"&lt;"&amp;AG610)+COUNTIF($AG$6:AG610,AG610))</f>
        <v/>
      </c>
    </row>
    <row r="611">
      <c r="A611" s="51" t="n"/>
      <c r="B611" s="52" t="n"/>
      <c r="C611" s="52" t="n"/>
      <c r="D611" s="53" t="n"/>
      <c r="E611" s="53" t="n"/>
      <c r="F611" s="54" t="n"/>
      <c r="G611" s="54" t="n"/>
      <c r="H611" s="54" t="n"/>
      <c r="I611" s="54" t="n"/>
      <c r="J611" s="53" t="n"/>
      <c r="K611" s="55" t="str">
        <f>IF(COUNTA(A611:I611)=0,"",IF(F611="",IFERROR(INDEX(eq_dur,MATCH(B611,eq_code,0)),""),F611))</f>
        <v/>
      </c>
      <c r="L611" s="55" t="str">
        <f>IF(ISNUMBER(K611),N(IFERROR(INDEX(eq_pause,MATCH(B611,eq_code,0)),0))+SUMIFS(st_min,st_date,A611,st_eq,B611,st_po,C611,st_type,"Planifié"),"")</f>
        <v/>
      </c>
      <c r="M611" s="55" t="str">
        <f>IF(ISNUMBER(K611),K611-L611,"")</f>
        <v/>
      </c>
      <c r="N611" s="55" t="str">
        <f>IF(ISNUMBER(K611),SUMIFS(st_min,st_date,A611,st_eq,B611,st_po,C611,st_type,"Non planifié"),"")</f>
        <v/>
      </c>
      <c r="O611" s="55" t="str">
        <f>IF(ISNUMBER(K611),M611-N611,"")</f>
        <v/>
      </c>
      <c r="P611" s="55" t="str">
        <f>IF(COUNTA(A611:I611)=0,"",N(G611)+N(H611)+N(I611))</f>
        <v/>
      </c>
      <c r="Q611" s="56" t="str">
        <f>IF(COUNTA(A611:I611)=0,"",IF(N(IFERROR(INDEX(art_rate,MATCH(E611,art_ref,0)),0))&gt;0,N(IFERROR(INDEX(art_rate,MATCH(E611,art_ref,0)),0)),N(IFERROR(INDEX(po_rate,MATCH(C611,po_code,0)),0))))</f>
        <v/>
      </c>
      <c r="R611" s="55" t="str">
        <f>IF(AC611=1,P611*60/Q611,"")</f>
        <v/>
      </c>
      <c r="S611" s="55" t="str">
        <f>IF(AC611=1,N(G611)*60/Q611,"")</f>
        <v/>
      </c>
      <c r="T611" s="57" t="str">
        <f>IF(AC611=1,O611/M611,"")</f>
        <v/>
      </c>
      <c r="U611" s="57" t="str">
        <f>IF(AC611=1,IF(O611&gt;0,R611/O611,""),"")</f>
        <v/>
      </c>
      <c r="V611" s="57" t="str">
        <f>IF(AC611=1,IF(P611&gt;0,N(G611)/P611,""),"")</f>
        <v/>
      </c>
      <c r="W611" s="57" t="str">
        <f>IF(AC611=1,S611/M611,"")</f>
        <v/>
      </c>
      <c r="X611" s="57" t="str">
        <f>IF(AC611=1,S611/K611,"")</f>
        <v/>
      </c>
      <c r="Y611" s="58" t="str">
        <f>IF(W611="","",IF(W611&gt;=p_target,"Bon",IF(W611&gt;=p_alert,"À surveiller","Faible")))</f>
        <v/>
      </c>
      <c r="Z611" s="58" t="str">
        <f>IF(W611="","",IF(MIN(IF(T611="",1,T611),IF(U611="",1,U611),IF(V611="",1,V611))&gt;=1,"Aucune",IF(IF(T611="",1,T611)&lt;=MIN(IF(U611="",1,U611),IF(V611="",1,V611)),"Disponibilité",IF(IF(U611="",1,U611)&lt;=IF(V611="",1,V611),"Performance","Qualité"))))</f>
        <v/>
      </c>
      <c r="AA611" s="59" t="str">
        <f>IF(AC611=1,N(H611)*N(IFERROR(INDEX(art_cost,MATCH(E611,art_ref,0)),0)),"")</f>
        <v/>
      </c>
      <c r="AB611" s="58" t="str">
        <f>IF(COUNTA(A611:I611)=0,"",IF(N(A611)&lt;=0,"Date manquante ou invalide",IF(B611="","Équipe manquante",IF(ISNA(MATCH(B611,eq_code,0)),"Équipe inconnue",IF(INDEX(eq_check,MATCH(B611,eq_code,0))&lt;&gt;"OK","Équipe à corriger dans Paramètres",IF(C611="","Poste manquant",IF(ISNA(MATCH(C611,po_code,0)),"Poste inconnu",IF(AND(E611&lt;&gt;"",ISNA(MATCH(E611,art_ref,0))),"Article inconnu",IF(IF(E611="",FALSE,INDEX(art_check,MATCH(E611,art_ref,0))&lt;&gt;"OK"),"Article à corriger (feuille Articles)",IF(COUNTIFS(sj_date,A611,sj_eq,B611,sj_po,C611)&gt;1,"Ligne en double (même jour, équipe et poste)",IF(OR(NOT(ISNUMBER(K611)),N(K611)&lt;=0,N(K611)&gt;1440),"Temps d'ouverture invalide",IF(OR(AND(G611&lt;&gt;"",NOT(ISNUMBER(G611))),N(G611)&lt;0,N(G611)&lt;&gt;INT(N(G611)),AND(H611&lt;&gt;"",NOT(ISNUMBER(H611))),N(H611)&lt;0,N(H611)&lt;&gt;INT(N(H611)),AND(I611&lt;&gt;"",NOT(ISNUMBER(I611))),N(I611)&lt;0,N(I611)&lt;&gt;INT(N(I611))),"Quantité invalide",IF(Q611&lt;=0,"Cadence manquante (poste ou article)",IF(M611&lt;=0,"Arrêts planifiés supérieurs au temps d'ouverture",IF(O611&lt;0,"Arrêts supérieurs au temps requis",IF(AND(P611&gt;0,O611=0),"Pièces déclarées sans temps de marche",IF(AND(P611=0,O611&gt;0),"Aucune pièce déclarée",IF(P611*60/Q611&gt;O611+0.001,"Cadence dépassée : vérifiez la cadence","OK"))))))))))))))))))</f>
        <v/>
      </c>
      <c r="AC611">
        <f>IF(OR(AB611="OK",AB611="Aucune pièce déclarée",AB611="Cadence dépassée : vérifiez la cadence"),1,0)</f>
        <v>0.0</v>
      </c>
      <c r="AD611">
        <f>IF(AND(AC611=1,A611&gt;=p_from,A611&lt;=p_to),1,0)</f>
        <v>0.0</v>
      </c>
      <c r="AE611">
        <f>IF(AD611=1,IF(COUNTIFS($A$6:A611,A611,$AD$6:AD611,1)=1,1,0),0)</f>
        <v>0.0</v>
      </c>
      <c r="AF611" t="str">
        <f>IF(AE611=1,COUNTIFS(sj_first,1,sj_date,"&lt;"&amp;A611)+1,"")</f>
        <v/>
      </c>
      <c r="AG611" t="str">
        <f>IF(AND(AD611=1,N(W611)&lt;p_alert),ROUND(W611,4),"")</f>
        <v/>
      </c>
      <c r="AH611" t="str">
        <f>IF(AG611="","",COUNTIF(sj_akey,"&lt;"&amp;AG611)+COUNTIF($AG$6:AG611,AG611))</f>
        <v/>
      </c>
    </row>
    <row r="612">
      <c r="A612" s="51" t="n"/>
      <c r="B612" s="52" t="n"/>
      <c r="C612" s="52" t="n"/>
      <c r="D612" s="53" t="n"/>
      <c r="E612" s="53" t="n"/>
      <c r="F612" s="54" t="n"/>
      <c r="G612" s="54" t="n"/>
      <c r="H612" s="54" t="n"/>
      <c r="I612" s="54" t="n"/>
      <c r="J612" s="53" t="n"/>
      <c r="K612" s="55" t="str">
        <f>IF(COUNTA(A612:I612)=0,"",IF(F612="",IFERROR(INDEX(eq_dur,MATCH(B612,eq_code,0)),""),F612))</f>
        <v/>
      </c>
      <c r="L612" s="55" t="str">
        <f>IF(ISNUMBER(K612),N(IFERROR(INDEX(eq_pause,MATCH(B612,eq_code,0)),0))+SUMIFS(st_min,st_date,A612,st_eq,B612,st_po,C612,st_type,"Planifié"),"")</f>
        <v/>
      </c>
      <c r="M612" s="55" t="str">
        <f>IF(ISNUMBER(K612),K612-L612,"")</f>
        <v/>
      </c>
      <c r="N612" s="55" t="str">
        <f>IF(ISNUMBER(K612),SUMIFS(st_min,st_date,A612,st_eq,B612,st_po,C612,st_type,"Non planifié"),"")</f>
        <v/>
      </c>
      <c r="O612" s="55" t="str">
        <f>IF(ISNUMBER(K612),M612-N612,"")</f>
        <v/>
      </c>
      <c r="P612" s="55" t="str">
        <f>IF(COUNTA(A612:I612)=0,"",N(G612)+N(H612)+N(I612))</f>
        <v/>
      </c>
      <c r="Q612" s="56" t="str">
        <f>IF(COUNTA(A612:I612)=0,"",IF(N(IFERROR(INDEX(art_rate,MATCH(E612,art_ref,0)),0))&gt;0,N(IFERROR(INDEX(art_rate,MATCH(E612,art_ref,0)),0)),N(IFERROR(INDEX(po_rate,MATCH(C612,po_code,0)),0))))</f>
        <v/>
      </c>
      <c r="R612" s="55" t="str">
        <f>IF(AC612=1,P612*60/Q612,"")</f>
        <v/>
      </c>
      <c r="S612" s="55" t="str">
        <f>IF(AC612=1,N(G612)*60/Q612,"")</f>
        <v/>
      </c>
      <c r="T612" s="57" t="str">
        <f>IF(AC612=1,O612/M612,"")</f>
        <v/>
      </c>
      <c r="U612" s="57" t="str">
        <f>IF(AC612=1,IF(O612&gt;0,R612/O612,""),"")</f>
        <v/>
      </c>
      <c r="V612" s="57" t="str">
        <f>IF(AC612=1,IF(P612&gt;0,N(G612)/P612,""),"")</f>
        <v/>
      </c>
      <c r="W612" s="57" t="str">
        <f>IF(AC612=1,S612/M612,"")</f>
        <v/>
      </c>
      <c r="X612" s="57" t="str">
        <f>IF(AC612=1,S612/K612,"")</f>
        <v/>
      </c>
      <c r="Y612" s="58" t="str">
        <f>IF(W612="","",IF(W612&gt;=p_target,"Bon",IF(W612&gt;=p_alert,"À surveiller","Faible")))</f>
        <v/>
      </c>
      <c r="Z612" s="58" t="str">
        <f>IF(W612="","",IF(MIN(IF(T612="",1,T612),IF(U612="",1,U612),IF(V612="",1,V612))&gt;=1,"Aucune",IF(IF(T612="",1,T612)&lt;=MIN(IF(U612="",1,U612),IF(V612="",1,V612)),"Disponibilité",IF(IF(U612="",1,U612)&lt;=IF(V612="",1,V612),"Performance","Qualité"))))</f>
        <v/>
      </c>
      <c r="AA612" s="59" t="str">
        <f>IF(AC612=1,N(H612)*N(IFERROR(INDEX(art_cost,MATCH(E612,art_ref,0)),0)),"")</f>
        <v/>
      </c>
      <c r="AB612" s="58" t="str">
        <f>IF(COUNTA(A612:I612)=0,"",IF(N(A612)&lt;=0,"Date manquante ou invalide",IF(B612="","Équipe manquante",IF(ISNA(MATCH(B612,eq_code,0)),"Équipe inconnue",IF(INDEX(eq_check,MATCH(B612,eq_code,0))&lt;&gt;"OK","Équipe à corriger dans Paramètres",IF(C612="","Poste manquant",IF(ISNA(MATCH(C612,po_code,0)),"Poste inconnu",IF(AND(E612&lt;&gt;"",ISNA(MATCH(E612,art_ref,0))),"Article inconnu",IF(IF(E612="",FALSE,INDEX(art_check,MATCH(E612,art_ref,0))&lt;&gt;"OK"),"Article à corriger (feuille Articles)",IF(COUNTIFS(sj_date,A612,sj_eq,B612,sj_po,C612)&gt;1,"Ligne en double (même jour, équipe et poste)",IF(OR(NOT(ISNUMBER(K612)),N(K612)&lt;=0,N(K612)&gt;1440),"Temps d'ouverture invalide",IF(OR(AND(G612&lt;&gt;"",NOT(ISNUMBER(G612))),N(G612)&lt;0,N(G612)&lt;&gt;INT(N(G612)),AND(H612&lt;&gt;"",NOT(ISNUMBER(H612))),N(H612)&lt;0,N(H612)&lt;&gt;INT(N(H612)),AND(I612&lt;&gt;"",NOT(ISNUMBER(I612))),N(I612)&lt;0,N(I612)&lt;&gt;INT(N(I612))),"Quantité invalide",IF(Q612&lt;=0,"Cadence manquante (poste ou article)",IF(M612&lt;=0,"Arrêts planifiés supérieurs au temps d'ouverture",IF(O612&lt;0,"Arrêts supérieurs au temps requis",IF(AND(P612&gt;0,O612=0),"Pièces déclarées sans temps de marche",IF(AND(P612=0,O612&gt;0),"Aucune pièce déclarée",IF(P612*60/Q612&gt;O612+0.001,"Cadence dépassée : vérifiez la cadence","OK"))))))))))))))))))</f>
        <v/>
      </c>
      <c r="AC612">
        <f>IF(OR(AB612="OK",AB612="Aucune pièce déclarée",AB612="Cadence dépassée : vérifiez la cadence"),1,0)</f>
        <v>0.0</v>
      </c>
      <c r="AD612">
        <f>IF(AND(AC612=1,A612&gt;=p_from,A612&lt;=p_to),1,0)</f>
        <v>0.0</v>
      </c>
      <c r="AE612">
        <f>IF(AD612=1,IF(COUNTIFS($A$6:A612,A612,$AD$6:AD612,1)=1,1,0),0)</f>
        <v>0.0</v>
      </c>
      <c r="AF612" t="str">
        <f>IF(AE612=1,COUNTIFS(sj_first,1,sj_date,"&lt;"&amp;A612)+1,"")</f>
        <v/>
      </c>
      <c r="AG612" t="str">
        <f>IF(AND(AD612=1,N(W612)&lt;p_alert),ROUND(W612,4),"")</f>
        <v/>
      </c>
      <c r="AH612" t="str">
        <f>IF(AG612="","",COUNTIF(sj_akey,"&lt;"&amp;AG612)+COUNTIF($AG$6:AG612,AG612))</f>
        <v/>
      </c>
    </row>
    <row r="613">
      <c r="A613" s="51" t="n"/>
      <c r="B613" s="52" t="n"/>
      <c r="C613" s="52" t="n"/>
      <c r="D613" s="53" t="n"/>
      <c r="E613" s="53" t="n"/>
      <c r="F613" s="54" t="n"/>
      <c r="G613" s="54" t="n"/>
      <c r="H613" s="54" t="n"/>
      <c r="I613" s="54" t="n"/>
      <c r="J613" s="53" t="n"/>
      <c r="K613" s="55" t="str">
        <f>IF(COUNTA(A613:I613)=0,"",IF(F613="",IFERROR(INDEX(eq_dur,MATCH(B613,eq_code,0)),""),F613))</f>
        <v/>
      </c>
      <c r="L613" s="55" t="str">
        <f>IF(ISNUMBER(K613),N(IFERROR(INDEX(eq_pause,MATCH(B613,eq_code,0)),0))+SUMIFS(st_min,st_date,A613,st_eq,B613,st_po,C613,st_type,"Planifié"),"")</f>
        <v/>
      </c>
      <c r="M613" s="55" t="str">
        <f>IF(ISNUMBER(K613),K613-L613,"")</f>
        <v/>
      </c>
      <c r="N613" s="55" t="str">
        <f>IF(ISNUMBER(K613),SUMIFS(st_min,st_date,A613,st_eq,B613,st_po,C613,st_type,"Non planifié"),"")</f>
        <v/>
      </c>
      <c r="O613" s="55" t="str">
        <f>IF(ISNUMBER(K613),M613-N613,"")</f>
        <v/>
      </c>
      <c r="P613" s="55" t="str">
        <f>IF(COUNTA(A613:I613)=0,"",N(G613)+N(H613)+N(I613))</f>
        <v/>
      </c>
      <c r="Q613" s="56" t="str">
        <f>IF(COUNTA(A613:I613)=0,"",IF(N(IFERROR(INDEX(art_rate,MATCH(E613,art_ref,0)),0))&gt;0,N(IFERROR(INDEX(art_rate,MATCH(E613,art_ref,0)),0)),N(IFERROR(INDEX(po_rate,MATCH(C613,po_code,0)),0))))</f>
        <v/>
      </c>
      <c r="R613" s="55" t="str">
        <f>IF(AC613=1,P613*60/Q613,"")</f>
        <v/>
      </c>
      <c r="S613" s="55" t="str">
        <f>IF(AC613=1,N(G613)*60/Q613,"")</f>
        <v/>
      </c>
      <c r="T613" s="57" t="str">
        <f>IF(AC613=1,O613/M613,"")</f>
        <v/>
      </c>
      <c r="U613" s="57" t="str">
        <f>IF(AC613=1,IF(O613&gt;0,R613/O613,""),"")</f>
        <v/>
      </c>
      <c r="V613" s="57" t="str">
        <f>IF(AC613=1,IF(P613&gt;0,N(G613)/P613,""),"")</f>
        <v/>
      </c>
      <c r="W613" s="57" t="str">
        <f>IF(AC613=1,S613/M613,"")</f>
        <v/>
      </c>
      <c r="X613" s="57" t="str">
        <f>IF(AC613=1,S613/K613,"")</f>
        <v/>
      </c>
      <c r="Y613" s="58" t="str">
        <f>IF(W613="","",IF(W613&gt;=p_target,"Bon",IF(W613&gt;=p_alert,"À surveiller","Faible")))</f>
        <v/>
      </c>
      <c r="Z613" s="58" t="str">
        <f>IF(W613="","",IF(MIN(IF(T613="",1,T613),IF(U613="",1,U613),IF(V613="",1,V613))&gt;=1,"Aucune",IF(IF(T613="",1,T613)&lt;=MIN(IF(U613="",1,U613),IF(V613="",1,V613)),"Disponibilité",IF(IF(U613="",1,U613)&lt;=IF(V613="",1,V613),"Performance","Qualité"))))</f>
        <v/>
      </c>
      <c r="AA613" s="59" t="str">
        <f>IF(AC613=1,N(H613)*N(IFERROR(INDEX(art_cost,MATCH(E613,art_ref,0)),0)),"")</f>
        <v/>
      </c>
      <c r="AB613" s="58" t="str">
        <f>IF(COUNTA(A613:I613)=0,"",IF(N(A613)&lt;=0,"Date manquante ou invalide",IF(B613="","Équipe manquante",IF(ISNA(MATCH(B613,eq_code,0)),"Équipe inconnue",IF(INDEX(eq_check,MATCH(B613,eq_code,0))&lt;&gt;"OK","Équipe à corriger dans Paramètres",IF(C613="","Poste manquant",IF(ISNA(MATCH(C613,po_code,0)),"Poste inconnu",IF(AND(E613&lt;&gt;"",ISNA(MATCH(E613,art_ref,0))),"Article inconnu",IF(IF(E613="",FALSE,INDEX(art_check,MATCH(E613,art_ref,0))&lt;&gt;"OK"),"Article à corriger (feuille Articles)",IF(COUNTIFS(sj_date,A613,sj_eq,B613,sj_po,C613)&gt;1,"Ligne en double (même jour, équipe et poste)",IF(OR(NOT(ISNUMBER(K613)),N(K613)&lt;=0,N(K613)&gt;1440),"Temps d'ouverture invalide",IF(OR(AND(G613&lt;&gt;"",NOT(ISNUMBER(G613))),N(G613)&lt;0,N(G613)&lt;&gt;INT(N(G613)),AND(H613&lt;&gt;"",NOT(ISNUMBER(H613))),N(H613)&lt;0,N(H613)&lt;&gt;INT(N(H613)),AND(I613&lt;&gt;"",NOT(ISNUMBER(I613))),N(I613)&lt;0,N(I613)&lt;&gt;INT(N(I613))),"Quantité invalide",IF(Q613&lt;=0,"Cadence manquante (poste ou article)",IF(M613&lt;=0,"Arrêts planifiés supérieurs au temps d'ouverture",IF(O613&lt;0,"Arrêts supérieurs au temps requis",IF(AND(P613&gt;0,O613=0),"Pièces déclarées sans temps de marche",IF(AND(P613=0,O613&gt;0),"Aucune pièce déclarée",IF(P613*60/Q613&gt;O613+0.001,"Cadence dépassée : vérifiez la cadence","OK"))))))))))))))))))</f>
        <v/>
      </c>
      <c r="AC613">
        <f>IF(OR(AB613="OK",AB613="Aucune pièce déclarée",AB613="Cadence dépassée : vérifiez la cadence"),1,0)</f>
        <v>0.0</v>
      </c>
      <c r="AD613">
        <f>IF(AND(AC613=1,A613&gt;=p_from,A613&lt;=p_to),1,0)</f>
        <v>0.0</v>
      </c>
      <c r="AE613">
        <f>IF(AD613=1,IF(COUNTIFS($A$6:A613,A613,$AD$6:AD613,1)=1,1,0),0)</f>
        <v>0.0</v>
      </c>
      <c r="AF613" t="str">
        <f>IF(AE613=1,COUNTIFS(sj_first,1,sj_date,"&lt;"&amp;A613)+1,"")</f>
        <v/>
      </c>
      <c r="AG613" t="str">
        <f>IF(AND(AD613=1,N(W613)&lt;p_alert),ROUND(W613,4),"")</f>
        <v/>
      </c>
      <c r="AH613" t="str">
        <f>IF(AG613="","",COUNTIF(sj_akey,"&lt;"&amp;AG613)+COUNTIF($AG$6:AG613,AG613))</f>
        <v/>
      </c>
    </row>
    <row r="614">
      <c r="A614" s="51" t="n"/>
      <c r="B614" s="52" t="n"/>
      <c r="C614" s="52" t="n"/>
      <c r="D614" s="53" t="n"/>
      <c r="E614" s="53" t="n"/>
      <c r="F614" s="54" t="n"/>
      <c r="G614" s="54" t="n"/>
      <c r="H614" s="54" t="n"/>
      <c r="I614" s="54" t="n"/>
      <c r="J614" s="53" t="n"/>
      <c r="K614" s="55" t="str">
        <f>IF(COUNTA(A614:I614)=0,"",IF(F614="",IFERROR(INDEX(eq_dur,MATCH(B614,eq_code,0)),""),F614))</f>
        <v/>
      </c>
      <c r="L614" s="55" t="str">
        <f>IF(ISNUMBER(K614),N(IFERROR(INDEX(eq_pause,MATCH(B614,eq_code,0)),0))+SUMIFS(st_min,st_date,A614,st_eq,B614,st_po,C614,st_type,"Planifié"),"")</f>
        <v/>
      </c>
      <c r="M614" s="55" t="str">
        <f>IF(ISNUMBER(K614),K614-L614,"")</f>
        <v/>
      </c>
      <c r="N614" s="55" t="str">
        <f>IF(ISNUMBER(K614),SUMIFS(st_min,st_date,A614,st_eq,B614,st_po,C614,st_type,"Non planifié"),"")</f>
        <v/>
      </c>
      <c r="O614" s="55" t="str">
        <f>IF(ISNUMBER(K614),M614-N614,"")</f>
        <v/>
      </c>
      <c r="P614" s="55" t="str">
        <f>IF(COUNTA(A614:I614)=0,"",N(G614)+N(H614)+N(I614))</f>
        <v/>
      </c>
      <c r="Q614" s="56" t="str">
        <f>IF(COUNTA(A614:I614)=0,"",IF(N(IFERROR(INDEX(art_rate,MATCH(E614,art_ref,0)),0))&gt;0,N(IFERROR(INDEX(art_rate,MATCH(E614,art_ref,0)),0)),N(IFERROR(INDEX(po_rate,MATCH(C614,po_code,0)),0))))</f>
        <v/>
      </c>
      <c r="R614" s="55" t="str">
        <f>IF(AC614=1,P614*60/Q614,"")</f>
        <v/>
      </c>
      <c r="S614" s="55" t="str">
        <f>IF(AC614=1,N(G614)*60/Q614,"")</f>
        <v/>
      </c>
      <c r="T614" s="57" t="str">
        <f>IF(AC614=1,O614/M614,"")</f>
        <v/>
      </c>
      <c r="U614" s="57" t="str">
        <f>IF(AC614=1,IF(O614&gt;0,R614/O614,""),"")</f>
        <v/>
      </c>
      <c r="V614" s="57" t="str">
        <f>IF(AC614=1,IF(P614&gt;0,N(G614)/P614,""),"")</f>
        <v/>
      </c>
      <c r="W614" s="57" t="str">
        <f>IF(AC614=1,S614/M614,"")</f>
        <v/>
      </c>
      <c r="X614" s="57" t="str">
        <f>IF(AC614=1,S614/K614,"")</f>
        <v/>
      </c>
      <c r="Y614" s="58" t="str">
        <f>IF(W614="","",IF(W614&gt;=p_target,"Bon",IF(W614&gt;=p_alert,"À surveiller","Faible")))</f>
        <v/>
      </c>
      <c r="Z614" s="58" t="str">
        <f>IF(W614="","",IF(MIN(IF(T614="",1,T614),IF(U614="",1,U614),IF(V614="",1,V614))&gt;=1,"Aucune",IF(IF(T614="",1,T614)&lt;=MIN(IF(U614="",1,U614),IF(V614="",1,V614)),"Disponibilité",IF(IF(U614="",1,U614)&lt;=IF(V614="",1,V614),"Performance","Qualité"))))</f>
        <v/>
      </c>
      <c r="AA614" s="59" t="str">
        <f>IF(AC614=1,N(H614)*N(IFERROR(INDEX(art_cost,MATCH(E614,art_ref,0)),0)),"")</f>
        <v/>
      </c>
      <c r="AB614" s="58" t="str">
        <f>IF(COUNTA(A614:I614)=0,"",IF(N(A614)&lt;=0,"Date manquante ou invalide",IF(B614="","Équipe manquante",IF(ISNA(MATCH(B614,eq_code,0)),"Équipe inconnue",IF(INDEX(eq_check,MATCH(B614,eq_code,0))&lt;&gt;"OK","Équipe à corriger dans Paramètres",IF(C614="","Poste manquant",IF(ISNA(MATCH(C614,po_code,0)),"Poste inconnu",IF(AND(E614&lt;&gt;"",ISNA(MATCH(E614,art_ref,0))),"Article inconnu",IF(IF(E614="",FALSE,INDEX(art_check,MATCH(E614,art_ref,0))&lt;&gt;"OK"),"Article à corriger (feuille Articles)",IF(COUNTIFS(sj_date,A614,sj_eq,B614,sj_po,C614)&gt;1,"Ligne en double (même jour, équipe et poste)",IF(OR(NOT(ISNUMBER(K614)),N(K614)&lt;=0,N(K614)&gt;1440),"Temps d'ouverture invalide",IF(OR(AND(G614&lt;&gt;"",NOT(ISNUMBER(G614))),N(G614)&lt;0,N(G614)&lt;&gt;INT(N(G614)),AND(H614&lt;&gt;"",NOT(ISNUMBER(H614))),N(H614)&lt;0,N(H614)&lt;&gt;INT(N(H614)),AND(I614&lt;&gt;"",NOT(ISNUMBER(I614))),N(I614)&lt;0,N(I614)&lt;&gt;INT(N(I614))),"Quantité invalide",IF(Q614&lt;=0,"Cadence manquante (poste ou article)",IF(M614&lt;=0,"Arrêts planifiés supérieurs au temps d'ouverture",IF(O614&lt;0,"Arrêts supérieurs au temps requis",IF(AND(P614&gt;0,O614=0),"Pièces déclarées sans temps de marche",IF(AND(P614=0,O614&gt;0),"Aucune pièce déclarée",IF(P614*60/Q614&gt;O614+0.001,"Cadence dépassée : vérifiez la cadence","OK"))))))))))))))))))</f>
        <v/>
      </c>
      <c r="AC614">
        <f>IF(OR(AB614="OK",AB614="Aucune pièce déclarée",AB614="Cadence dépassée : vérifiez la cadence"),1,0)</f>
        <v>0.0</v>
      </c>
      <c r="AD614">
        <f>IF(AND(AC614=1,A614&gt;=p_from,A614&lt;=p_to),1,0)</f>
        <v>0.0</v>
      </c>
      <c r="AE614">
        <f>IF(AD614=1,IF(COUNTIFS($A$6:A614,A614,$AD$6:AD614,1)=1,1,0),0)</f>
        <v>0.0</v>
      </c>
      <c r="AF614" t="str">
        <f>IF(AE614=1,COUNTIFS(sj_first,1,sj_date,"&lt;"&amp;A614)+1,"")</f>
        <v/>
      </c>
      <c r="AG614" t="str">
        <f>IF(AND(AD614=1,N(W614)&lt;p_alert),ROUND(W614,4),"")</f>
        <v/>
      </c>
      <c r="AH614" t="str">
        <f>IF(AG614="","",COUNTIF(sj_akey,"&lt;"&amp;AG614)+COUNTIF($AG$6:AG614,AG614))</f>
        <v/>
      </c>
    </row>
    <row r="615">
      <c r="A615" s="51" t="n"/>
      <c r="B615" s="52" t="n"/>
      <c r="C615" s="52" t="n"/>
      <c r="D615" s="53" t="n"/>
      <c r="E615" s="53" t="n"/>
      <c r="F615" s="54" t="n"/>
      <c r="G615" s="54" t="n"/>
      <c r="H615" s="54" t="n"/>
      <c r="I615" s="54" t="n"/>
      <c r="J615" s="53" t="n"/>
      <c r="K615" s="55" t="str">
        <f>IF(COUNTA(A615:I615)=0,"",IF(F615="",IFERROR(INDEX(eq_dur,MATCH(B615,eq_code,0)),""),F615))</f>
        <v/>
      </c>
      <c r="L615" s="55" t="str">
        <f>IF(ISNUMBER(K615),N(IFERROR(INDEX(eq_pause,MATCH(B615,eq_code,0)),0))+SUMIFS(st_min,st_date,A615,st_eq,B615,st_po,C615,st_type,"Planifié"),"")</f>
        <v/>
      </c>
      <c r="M615" s="55" t="str">
        <f>IF(ISNUMBER(K615),K615-L615,"")</f>
        <v/>
      </c>
      <c r="N615" s="55" t="str">
        <f>IF(ISNUMBER(K615),SUMIFS(st_min,st_date,A615,st_eq,B615,st_po,C615,st_type,"Non planifié"),"")</f>
        <v/>
      </c>
      <c r="O615" s="55" t="str">
        <f>IF(ISNUMBER(K615),M615-N615,"")</f>
        <v/>
      </c>
      <c r="P615" s="55" t="str">
        <f>IF(COUNTA(A615:I615)=0,"",N(G615)+N(H615)+N(I615))</f>
        <v/>
      </c>
      <c r="Q615" s="56" t="str">
        <f>IF(COUNTA(A615:I615)=0,"",IF(N(IFERROR(INDEX(art_rate,MATCH(E615,art_ref,0)),0))&gt;0,N(IFERROR(INDEX(art_rate,MATCH(E615,art_ref,0)),0)),N(IFERROR(INDEX(po_rate,MATCH(C615,po_code,0)),0))))</f>
        <v/>
      </c>
      <c r="R615" s="55" t="str">
        <f>IF(AC615=1,P615*60/Q615,"")</f>
        <v/>
      </c>
      <c r="S615" s="55" t="str">
        <f>IF(AC615=1,N(G615)*60/Q615,"")</f>
        <v/>
      </c>
      <c r="T615" s="57" t="str">
        <f>IF(AC615=1,O615/M615,"")</f>
        <v/>
      </c>
      <c r="U615" s="57" t="str">
        <f>IF(AC615=1,IF(O615&gt;0,R615/O615,""),"")</f>
        <v/>
      </c>
      <c r="V615" s="57" t="str">
        <f>IF(AC615=1,IF(P615&gt;0,N(G615)/P615,""),"")</f>
        <v/>
      </c>
      <c r="W615" s="57" t="str">
        <f>IF(AC615=1,S615/M615,"")</f>
        <v/>
      </c>
      <c r="X615" s="57" t="str">
        <f>IF(AC615=1,S615/K615,"")</f>
        <v/>
      </c>
      <c r="Y615" s="58" t="str">
        <f>IF(W615="","",IF(W615&gt;=p_target,"Bon",IF(W615&gt;=p_alert,"À surveiller","Faible")))</f>
        <v/>
      </c>
      <c r="Z615" s="58" t="str">
        <f>IF(W615="","",IF(MIN(IF(T615="",1,T615),IF(U615="",1,U615),IF(V615="",1,V615))&gt;=1,"Aucune",IF(IF(T615="",1,T615)&lt;=MIN(IF(U615="",1,U615),IF(V615="",1,V615)),"Disponibilité",IF(IF(U615="",1,U615)&lt;=IF(V615="",1,V615),"Performance","Qualité"))))</f>
        <v/>
      </c>
      <c r="AA615" s="59" t="str">
        <f>IF(AC615=1,N(H615)*N(IFERROR(INDEX(art_cost,MATCH(E615,art_ref,0)),0)),"")</f>
        <v/>
      </c>
      <c r="AB615" s="58" t="str">
        <f>IF(COUNTA(A615:I615)=0,"",IF(N(A615)&lt;=0,"Date manquante ou invalide",IF(B615="","Équipe manquante",IF(ISNA(MATCH(B615,eq_code,0)),"Équipe inconnue",IF(INDEX(eq_check,MATCH(B615,eq_code,0))&lt;&gt;"OK","Équipe à corriger dans Paramètres",IF(C615="","Poste manquant",IF(ISNA(MATCH(C615,po_code,0)),"Poste inconnu",IF(AND(E615&lt;&gt;"",ISNA(MATCH(E615,art_ref,0))),"Article inconnu",IF(IF(E615="",FALSE,INDEX(art_check,MATCH(E615,art_ref,0))&lt;&gt;"OK"),"Article à corriger (feuille Articles)",IF(COUNTIFS(sj_date,A615,sj_eq,B615,sj_po,C615)&gt;1,"Ligne en double (même jour, équipe et poste)",IF(OR(NOT(ISNUMBER(K615)),N(K615)&lt;=0,N(K615)&gt;1440),"Temps d'ouverture invalide",IF(OR(AND(G615&lt;&gt;"",NOT(ISNUMBER(G615))),N(G615)&lt;0,N(G615)&lt;&gt;INT(N(G615)),AND(H615&lt;&gt;"",NOT(ISNUMBER(H615))),N(H615)&lt;0,N(H615)&lt;&gt;INT(N(H615)),AND(I615&lt;&gt;"",NOT(ISNUMBER(I615))),N(I615)&lt;0,N(I615)&lt;&gt;INT(N(I615))),"Quantité invalide",IF(Q615&lt;=0,"Cadence manquante (poste ou article)",IF(M615&lt;=0,"Arrêts planifiés supérieurs au temps d'ouverture",IF(O615&lt;0,"Arrêts supérieurs au temps requis",IF(AND(P615&gt;0,O615=0),"Pièces déclarées sans temps de marche",IF(AND(P615=0,O615&gt;0),"Aucune pièce déclarée",IF(P615*60/Q615&gt;O615+0.001,"Cadence dépassée : vérifiez la cadence","OK"))))))))))))))))))</f>
        <v/>
      </c>
      <c r="AC615">
        <f>IF(OR(AB615="OK",AB615="Aucune pièce déclarée",AB615="Cadence dépassée : vérifiez la cadence"),1,0)</f>
        <v>0.0</v>
      </c>
      <c r="AD615">
        <f>IF(AND(AC615=1,A615&gt;=p_from,A615&lt;=p_to),1,0)</f>
        <v>0.0</v>
      </c>
      <c r="AE615">
        <f>IF(AD615=1,IF(COUNTIFS($A$6:A615,A615,$AD$6:AD615,1)=1,1,0),0)</f>
        <v>0.0</v>
      </c>
      <c r="AF615" t="str">
        <f>IF(AE615=1,COUNTIFS(sj_first,1,sj_date,"&lt;"&amp;A615)+1,"")</f>
        <v/>
      </c>
      <c r="AG615" t="str">
        <f>IF(AND(AD615=1,N(W615)&lt;p_alert),ROUND(W615,4),"")</f>
        <v/>
      </c>
      <c r="AH615" t="str">
        <f>IF(AG615="","",COUNTIF(sj_akey,"&lt;"&amp;AG615)+COUNTIF($AG$6:AG615,AG615))</f>
        <v/>
      </c>
    </row>
    <row r="616">
      <c r="A616" s="51" t="n"/>
      <c r="B616" s="52" t="n"/>
      <c r="C616" s="52" t="n"/>
      <c r="D616" s="53" t="n"/>
      <c r="E616" s="53" t="n"/>
      <c r="F616" s="54" t="n"/>
      <c r="G616" s="54" t="n"/>
      <c r="H616" s="54" t="n"/>
      <c r="I616" s="54" t="n"/>
      <c r="J616" s="53" t="n"/>
      <c r="K616" s="55" t="str">
        <f>IF(COUNTA(A616:I616)=0,"",IF(F616="",IFERROR(INDEX(eq_dur,MATCH(B616,eq_code,0)),""),F616))</f>
        <v/>
      </c>
      <c r="L616" s="55" t="str">
        <f>IF(ISNUMBER(K616),N(IFERROR(INDEX(eq_pause,MATCH(B616,eq_code,0)),0))+SUMIFS(st_min,st_date,A616,st_eq,B616,st_po,C616,st_type,"Planifié"),"")</f>
        <v/>
      </c>
      <c r="M616" s="55" t="str">
        <f>IF(ISNUMBER(K616),K616-L616,"")</f>
        <v/>
      </c>
      <c r="N616" s="55" t="str">
        <f>IF(ISNUMBER(K616),SUMIFS(st_min,st_date,A616,st_eq,B616,st_po,C616,st_type,"Non planifié"),"")</f>
        <v/>
      </c>
      <c r="O616" s="55" t="str">
        <f>IF(ISNUMBER(K616),M616-N616,"")</f>
        <v/>
      </c>
      <c r="P616" s="55" t="str">
        <f>IF(COUNTA(A616:I616)=0,"",N(G616)+N(H616)+N(I616))</f>
        <v/>
      </c>
      <c r="Q616" s="56" t="str">
        <f>IF(COUNTA(A616:I616)=0,"",IF(N(IFERROR(INDEX(art_rate,MATCH(E616,art_ref,0)),0))&gt;0,N(IFERROR(INDEX(art_rate,MATCH(E616,art_ref,0)),0)),N(IFERROR(INDEX(po_rate,MATCH(C616,po_code,0)),0))))</f>
        <v/>
      </c>
      <c r="R616" s="55" t="str">
        <f>IF(AC616=1,P616*60/Q616,"")</f>
        <v/>
      </c>
      <c r="S616" s="55" t="str">
        <f>IF(AC616=1,N(G616)*60/Q616,"")</f>
        <v/>
      </c>
      <c r="T616" s="57" t="str">
        <f>IF(AC616=1,O616/M616,"")</f>
        <v/>
      </c>
      <c r="U616" s="57" t="str">
        <f>IF(AC616=1,IF(O616&gt;0,R616/O616,""),"")</f>
        <v/>
      </c>
      <c r="V616" s="57" t="str">
        <f>IF(AC616=1,IF(P616&gt;0,N(G616)/P616,""),"")</f>
        <v/>
      </c>
      <c r="W616" s="57" t="str">
        <f>IF(AC616=1,S616/M616,"")</f>
        <v/>
      </c>
      <c r="X616" s="57" t="str">
        <f>IF(AC616=1,S616/K616,"")</f>
        <v/>
      </c>
      <c r="Y616" s="58" t="str">
        <f>IF(W616="","",IF(W616&gt;=p_target,"Bon",IF(W616&gt;=p_alert,"À surveiller","Faible")))</f>
        <v/>
      </c>
      <c r="Z616" s="58" t="str">
        <f>IF(W616="","",IF(MIN(IF(T616="",1,T616),IF(U616="",1,U616),IF(V616="",1,V616))&gt;=1,"Aucune",IF(IF(T616="",1,T616)&lt;=MIN(IF(U616="",1,U616),IF(V616="",1,V616)),"Disponibilité",IF(IF(U616="",1,U616)&lt;=IF(V616="",1,V616),"Performance","Qualité"))))</f>
        <v/>
      </c>
      <c r="AA616" s="59" t="str">
        <f>IF(AC616=1,N(H616)*N(IFERROR(INDEX(art_cost,MATCH(E616,art_ref,0)),0)),"")</f>
        <v/>
      </c>
      <c r="AB616" s="58" t="str">
        <f>IF(COUNTA(A616:I616)=0,"",IF(N(A616)&lt;=0,"Date manquante ou invalide",IF(B616="","Équipe manquante",IF(ISNA(MATCH(B616,eq_code,0)),"Équipe inconnue",IF(INDEX(eq_check,MATCH(B616,eq_code,0))&lt;&gt;"OK","Équipe à corriger dans Paramètres",IF(C616="","Poste manquant",IF(ISNA(MATCH(C616,po_code,0)),"Poste inconnu",IF(AND(E616&lt;&gt;"",ISNA(MATCH(E616,art_ref,0))),"Article inconnu",IF(IF(E616="",FALSE,INDEX(art_check,MATCH(E616,art_ref,0))&lt;&gt;"OK"),"Article à corriger (feuille Articles)",IF(COUNTIFS(sj_date,A616,sj_eq,B616,sj_po,C616)&gt;1,"Ligne en double (même jour, équipe et poste)",IF(OR(NOT(ISNUMBER(K616)),N(K616)&lt;=0,N(K616)&gt;1440),"Temps d'ouverture invalide",IF(OR(AND(G616&lt;&gt;"",NOT(ISNUMBER(G616))),N(G616)&lt;0,N(G616)&lt;&gt;INT(N(G616)),AND(H616&lt;&gt;"",NOT(ISNUMBER(H616))),N(H616)&lt;0,N(H616)&lt;&gt;INT(N(H616)),AND(I616&lt;&gt;"",NOT(ISNUMBER(I616))),N(I616)&lt;0,N(I616)&lt;&gt;INT(N(I616))),"Quantité invalide",IF(Q616&lt;=0,"Cadence manquante (poste ou article)",IF(M616&lt;=0,"Arrêts planifiés supérieurs au temps d'ouverture",IF(O616&lt;0,"Arrêts supérieurs au temps requis",IF(AND(P616&gt;0,O616=0),"Pièces déclarées sans temps de marche",IF(AND(P616=0,O616&gt;0),"Aucune pièce déclarée",IF(P616*60/Q616&gt;O616+0.001,"Cadence dépassée : vérifiez la cadence","OK"))))))))))))))))))</f>
        <v/>
      </c>
      <c r="AC616">
        <f>IF(OR(AB616="OK",AB616="Aucune pièce déclarée",AB616="Cadence dépassée : vérifiez la cadence"),1,0)</f>
        <v>0.0</v>
      </c>
      <c r="AD616">
        <f>IF(AND(AC616=1,A616&gt;=p_from,A616&lt;=p_to),1,0)</f>
        <v>0.0</v>
      </c>
      <c r="AE616">
        <f>IF(AD616=1,IF(COUNTIFS($A$6:A616,A616,$AD$6:AD616,1)=1,1,0),0)</f>
        <v>0.0</v>
      </c>
      <c r="AF616" t="str">
        <f>IF(AE616=1,COUNTIFS(sj_first,1,sj_date,"&lt;"&amp;A616)+1,"")</f>
        <v/>
      </c>
      <c r="AG616" t="str">
        <f>IF(AND(AD616=1,N(W616)&lt;p_alert),ROUND(W616,4),"")</f>
        <v/>
      </c>
      <c r="AH616" t="str">
        <f>IF(AG616="","",COUNTIF(sj_akey,"&lt;"&amp;AG616)+COUNTIF($AG$6:AG616,AG616))</f>
        <v/>
      </c>
    </row>
    <row r="617">
      <c r="A617" s="51" t="n"/>
      <c r="B617" s="52" t="n"/>
      <c r="C617" s="52" t="n"/>
      <c r="D617" s="53" t="n"/>
      <c r="E617" s="53" t="n"/>
      <c r="F617" s="54" t="n"/>
      <c r="G617" s="54" t="n"/>
      <c r="H617" s="54" t="n"/>
      <c r="I617" s="54" t="n"/>
      <c r="J617" s="53" t="n"/>
      <c r="K617" s="55" t="str">
        <f>IF(COUNTA(A617:I617)=0,"",IF(F617="",IFERROR(INDEX(eq_dur,MATCH(B617,eq_code,0)),""),F617))</f>
        <v/>
      </c>
      <c r="L617" s="55" t="str">
        <f>IF(ISNUMBER(K617),N(IFERROR(INDEX(eq_pause,MATCH(B617,eq_code,0)),0))+SUMIFS(st_min,st_date,A617,st_eq,B617,st_po,C617,st_type,"Planifié"),"")</f>
        <v/>
      </c>
      <c r="M617" s="55" t="str">
        <f>IF(ISNUMBER(K617),K617-L617,"")</f>
        <v/>
      </c>
      <c r="N617" s="55" t="str">
        <f>IF(ISNUMBER(K617),SUMIFS(st_min,st_date,A617,st_eq,B617,st_po,C617,st_type,"Non planifié"),"")</f>
        <v/>
      </c>
      <c r="O617" s="55" t="str">
        <f>IF(ISNUMBER(K617),M617-N617,"")</f>
        <v/>
      </c>
      <c r="P617" s="55" t="str">
        <f>IF(COUNTA(A617:I617)=0,"",N(G617)+N(H617)+N(I617))</f>
        <v/>
      </c>
      <c r="Q617" s="56" t="str">
        <f>IF(COUNTA(A617:I617)=0,"",IF(N(IFERROR(INDEX(art_rate,MATCH(E617,art_ref,0)),0))&gt;0,N(IFERROR(INDEX(art_rate,MATCH(E617,art_ref,0)),0)),N(IFERROR(INDEX(po_rate,MATCH(C617,po_code,0)),0))))</f>
        <v/>
      </c>
      <c r="R617" s="55" t="str">
        <f>IF(AC617=1,P617*60/Q617,"")</f>
        <v/>
      </c>
      <c r="S617" s="55" t="str">
        <f>IF(AC617=1,N(G617)*60/Q617,"")</f>
        <v/>
      </c>
      <c r="T617" s="57" t="str">
        <f>IF(AC617=1,O617/M617,"")</f>
        <v/>
      </c>
      <c r="U617" s="57" t="str">
        <f>IF(AC617=1,IF(O617&gt;0,R617/O617,""),"")</f>
        <v/>
      </c>
      <c r="V617" s="57" t="str">
        <f>IF(AC617=1,IF(P617&gt;0,N(G617)/P617,""),"")</f>
        <v/>
      </c>
      <c r="W617" s="57" t="str">
        <f>IF(AC617=1,S617/M617,"")</f>
        <v/>
      </c>
      <c r="X617" s="57" t="str">
        <f>IF(AC617=1,S617/K617,"")</f>
        <v/>
      </c>
      <c r="Y617" s="58" t="str">
        <f>IF(W617="","",IF(W617&gt;=p_target,"Bon",IF(W617&gt;=p_alert,"À surveiller","Faible")))</f>
        <v/>
      </c>
      <c r="Z617" s="58" t="str">
        <f>IF(W617="","",IF(MIN(IF(T617="",1,T617),IF(U617="",1,U617),IF(V617="",1,V617))&gt;=1,"Aucune",IF(IF(T617="",1,T617)&lt;=MIN(IF(U617="",1,U617),IF(V617="",1,V617)),"Disponibilité",IF(IF(U617="",1,U617)&lt;=IF(V617="",1,V617),"Performance","Qualité"))))</f>
        <v/>
      </c>
      <c r="AA617" s="59" t="str">
        <f>IF(AC617=1,N(H617)*N(IFERROR(INDEX(art_cost,MATCH(E617,art_ref,0)),0)),"")</f>
        <v/>
      </c>
      <c r="AB617" s="58" t="str">
        <f>IF(COUNTA(A617:I617)=0,"",IF(N(A617)&lt;=0,"Date manquante ou invalide",IF(B617="","Équipe manquante",IF(ISNA(MATCH(B617,eq_code,0)),"Équipe inconnue",IF(INDEX(eq_check,MATCH(B617,eq_code,0))&lt;&gt;"OK","Équipe à corriger dans Paramètres",IF(C617="","Poste manquant",IF(ISNA(MATCH(C617,po_code,0)),"Poste inconnu",IF(AND(E617&lt;&gt;"",ISNA(MATCH(E617,art_ref,0))),"Article inconnu",IF(IF(E617="",FALSE,INDEX(art_check,MATCH(E617,art_ref,0))&lt;&gt;"OK"),"Article à corriger (feuille Articles)",IF(COUNTIFS(sj_date,A617,sj_eq,B617,sj_po,C617)&gt;1,"Ligne en double (même jour, équipe et poste)",IF(OR(NOT(ISNUMBER(K617)),N(K617)&lt;=0,N(K617)&gt;1440),"Temps d'ouverture invalide",IF(OR(AND(G617&lt;&gt;"",NOT(ISNUMBER(G617))),N(G617)&lt;0,N(G617)&lt;&gt;INT(N(G617)),AND(H617&lt;&gt;"",NOT(ISNUMBER(H617))),N(H617)&lt;0,N(H617)&lt;&gt;INT(N(H617)),AND(I617&lt;&gt;"",NOT(ISNUMBER(I617))),N(I617)&lt;0,N(I617)&lt;&gt;INT(N(I617))),"Quantité invalide",IF(Q617&lt;=0,"Cadence manquante (poste ou article)",IF(M617&lt;=0,"Arrêts planifiés supérieurs au temps d'ouverture",IF(O617&lt;0,"Arrêts supérieurs au temps requis",IF(AND(P617&gt;0,O617=0),"Pièces déclarées sans temps de marche",IF(AND(P617=0,O617&gt;0),"Aucune pièce déclarée",IF(P617*60/Q617&gt;O617+0.001,"Cadence dépassée : vérifiez la cadence","OK"))))))))))))))))))</f>
        <v/>
      </c>
      <c r="AC617">
        <f>IF(OR(AB617="OK",AB617="Aucune pièce déclarée",AB617="Cadence dépassée : vérifiez la cadence"),1,0)</f>
        <v>0.0</v>
      </c>
      <c r="AD617">
        <f>IF(AND(AC617=1,A617&gt;=p_from,A617&lt;=p_to),1,0)</f>
        <v>0.0</v>
      </c>
      <c r="AE617">
        <f>IF(AD617=1,IF(COUNTIFS($A$6:A617,A617,$AD$6:AD617,1)=1,1,0),0)</f>
        <v>0.0</v>
      </c>
      <c r="AF617" t="str">
        <f>IF(AE617=1,COUNTIFS(sj_first,1,sj_date,"&lt;"&amp;A617)+1,"")</f>
        <v/>
      </c>
      <c r="AG617" t="str">
        <f>IF(AND(AD617=1,N(W617)&lt;p_alert),ROUND(W617,4),"")</f>
        <v/>
      </c>
      <c r="AH617" t="str">
        <f>IF(AG617="","",COUNTIF(sj_akey,"&lt;"&amp;AG617)+COUNTIF($AG$6:AG617,AG617))</f>
        <v/>
      </c>
    </row>
    <row r="618">
      <c r="A618" s="51" t="n"/>
      <c r="B618" s="52" t="n"/>
      <c r="C618" s="52" t="n"/>
      <c r="D618" s="53" t="n"/>
      <c r="E618" s="53" t="n"/>
      <c r="F618" s="54" t="n"/>
      <c r="G618" s="54" t="n"/>
      <c r="H618" s="54" t="n"/>
      <c r="I618" s="54" t="n"/>
      <c r="J618" s="53" t="n"/>
      <c r="K618" s="55" t="str">
        <f>IF(COUNTA(A618:I618)=0,"",IF(F618="",IFERROR(INDEX(eq_dur,MATCH(B618,eq_code,0)),""),F618))</f>
        <v/>
      </c>
      <c r="L618" s="55" t="str">
        <f>IF(ISNUMBER(K618),N(IFERROR(INDEX(eq_pause,MATCH(B618,eq_code,0)),0))+SUMIFS(st_min,st_date,A618,st_eq,B618,st_po,C618,st_type,"Planifié"),"")</f>
        <v/>
      </c>
      <c r="M618" s="55" t="str">
        <f>IF(ISNUMBER(K618),K618-L618,"")</f>
        <v/>
      </c>
      <c r="N618" s="55" t="str">
        <f>IF(ISNUMBER(K618),SUMIFS(st_min,st_date,A618,st_eq,B618,st_po,C618,st_type,"Non planifié"),"")</f>
        <v/>
      </c>
      <c r="O618" s="55" t="str">
        <f>IF(ISNUMBER(K618),M618-N618,"")</f>
        <v/>
      </c>
      <c r="P618" s="55" t="str">
        <f>IF(COUNTA(A618:I618)=0,"",N(G618)+N(H618)+N(I618))</f>
        <v/>
      </c>
      <c r="Q618" s="56" t="str">
        <f>IF(COUNTA(A618:I618)=0,"",IF(N(IFERROR(INDEX(art_rate,MATCH(E618,art_ref,0)),0))&gt;0,N(IFERROR(INDEX(art_rate,MATCH(E618,art_ref,0)),0)),N(IFERROR(INDEX(po_rate,MATCH(C618,po_code,0)),0))))</f>
        <v/>
      </c>
      <c r="R618" s="55" t="str">
        <f>IF(AC618=1,P618*60/Q618,"")</f>
        <v/>
      </c>
      <c r="S618" s="55" t="str">
        <f>IF(AC618=1,N(G618)*60/Q618,"")</f>
        <v/>
      </c>
      <c r="T618" s="57" t="str">
        <f>IF(AC618=1,O618/M618,"")</f>
        <v/>
      </c>
      <c r="U618" s="57" t="str">
        <f>IF(AC618=1,IF(O618&gt;0,R618/O618,""),"")</f>
        <v/>
      </c>
      <c r="V618" s="57" t="str">
        <f>IF(AC618=1,IF(P618&gt;0,N(G618)/P618,""),"")</f>
        <v/>
      </c>
      <c r="W618" s="57" t="str">
        <f>IF(AC618=1,S618/M618,"")</f>
        <v/>
      </c>
      <c r="X618" s="57" t="str">
        <f>IF(AC618=1,S618/K618,"")</f>
        <v/>
      </c>
      <c r="Y618" s="58" t="str">
        <f>IF(W618="","",IF(W618&gt;=p_target,"Bon",IF(W618&gt;=p_alert,"À surveiller","Faible")))</f>
        <v/>
      </c>
      <c r="Z618" s="58" t="str">
        <f>IF(W618="","",IF(MIN(IF(T618="",1,T618),IF(U618="",1,U618),IF(V618="",1,V618))&gt;=1,"Aucune",IF(IF(T618="",1,T618)&lt;=MIN(IF(U618="",1,U618),IF(V618="",1,V618)),"Disponibilité",IF(IF(U618="",1,U618)&lt;=IF(V618="",1,V618),"Performance","Qualité"))))</f>
        <v/>
      </c>
      <c r="AA618" s="59" t="str">
        <f>IF(AC618=1,N(H618)*N(IFERROR(INDEX(art_cost,MATCH(E618,art_ref,0)),0)),"")</f>
        <v/>
      </c>
      <c r="AB618" s="58" t="str">
        <f>IF(COUNTA(A618:I618)=0,"",IF(N(A618)&lt;=0,"Date manquante ou invalide",IF(B618="","Équipe manquante",IF(ISNA(MATCH(B618,eq_code,0)),"Équipe inconnue",IF(INDEX(eq_check,MATCH(B618,eq_code,0))&lt;&gt;"OK","Équipe à corriger dans Paramètres",IF(C618="","Poste manquant",IF(ISNA(MATCH(C618,po_code,0)),"Poste inconnu",IF(AND(E618&lt;&gt;"",ISNA(MATCH(E618,art_ref,0))),"Article inconnu",IF(IF(E618="",FALSE,INDEX(art_check,MATCH(E618,art_ref,0))&lt;&gt;"OK"),"Article à corriger (feuille Articles)",IF(COUNTIFS(sj_date,A618,sj_eq,B618,sj_po,C618)&gt;1,"Ligne en double (même jour, équipe et poste)",IF(OR(NOT(ISNUMBER(K618)),N(K618)&lt;=0,N(K618)&gt;1440),"Temps d'ouverture invalide",IF(OR(AND(G618&lt;&gt;"",NOT(ISNUMBER(G618))),N(G618)&lt;0,N(G618)&lt;&gt;INT(N(G618)),AND(H618&lt;&gt;"",NOT(ISNUMBER(H618))),N(H618)&lt;0,N(H618)&lt;&gt;INT(N(H618)),AND(I618&lt;&gt;"",NOT(ISNUMBER(I618))),N(I618)&lt;0,N(I618)&lt;&gt;INT(N(I618))),"Quantité invalide",IF(Q618&lt;=0,"Cadence manquante (poste ou article)",IF(M618&lt;=0,"Arrêts planifiés supérieurs au temps d'ouverture",IF(O618&lt;0,"Arrêts supérieurs au temps requis",IF(AND(P618&gt;0,O618=0),"Pièces déclarées sans temps de marche",IF(AND(P618=0,O618&gt;0),"Aucune pièce déclarée",IF(P618*60/Q618&gt;O618+0.001,"Cadence dépassée : vérifiez la cadence","OK"))))))))))))))))))</f>
        <v/>
      </c>
      <c r="AC618">
        <f>IF(OR(AB618="OK",AB618="Aucune pièce déclarée",AB618="Cadence dépassée : vérifiez la cadence"),1,0)</f>
        <v>0.0</v>
      </c>
      <c r="AD618">
        <f>IF(AND(AC618=1,A618&gt;=p_from,A618&lt;=p_to),1,0)</f>
        <v>0.0</v>
      </c>
      <c r="AE618">
        <f>IF(AD618=1,IF(COUNTIFS($A$6:A618,A618,$AD$6:AD618,1)=1,1,0),0)</f>
        <v>0.0</v>
      </c>
      <c r="AF618" t="str">
        <f>IF(AE618=1,COUNTIFS(sj_first,1,sj_date,"&lt;"&amp;A618)+1,"")</f>
        <v/>
      </c>
      <c r="AG618" t="str">
        <f>IF(AND(AD618=1,N(W618)&lt;p_alert),ROUND(W618,4),"")</f>
        <v/>
      </c>
      <c r="AH618" t="str">
        <f>IF(AG618="","",COUNTIF(sj_akey,"&lt;"&amp;AG618)+COUNTIF($AG$6:AG618,AG618))</f>
        <v/>
      </c>
    </row>
    <row r="619">
      <c r="A619" s="51" t="n"/>
      <c r="B619" s="52" t="n"/>
      <c r="C619" s="52" t="n"/>
      <c r="D619" s="53" t="n"/>
      <c r="E619" s="53" t="n"/>
      <c r="F619" s="54" t="n"/>
      <c r="G619" s="54" t="n"/>
      <c r="H619" s="54" t="n"/>
      <c r="I619" s="54" t="n"/>
      <c r="J619" s="53" t="n"/>
      <c r="K619" s="55" t="str">
        <f>IF(COUNTA(A619:I619)=0,"",IF(F619="",IFERROR(INDEX(eq_dur,MATCH(B619,eq_code,0)),""),F619))</f>
        <v/>
      </c>
      <c r="L619" s="55" t="str">
        <f>IF(ISNUMBER(K619),N(IFERROR(INDEX(eq_pause,MATCH(B619,eq_code,0)),0))+SUMIFS(st_min,st_date,A619,st_eq,B619,st_po,C619,st_type,"Planifié"),"")</f>
        <v/>
      </c>
      <c r="M619" s="55" t="str">
        <f>IF(ISNUMBER(K619),K619-L619,"")</f>
        <v/>
      </c>
      <c r="N619" s="55" t="str">
        <f>IF(ISNUMBER(K619),SUMIFS(st_min,st_date,A619,st_eq,B619,st_po,C619,st_type,"Non planifié"),"")</f>
        <v/>
      </c>
      <c r="O619" s="55" t="str">
        <f>IF(ISNUMBER(K619),M619-N619,"")</f>
        <v/>
      </c>
      <c r="P619" s="55" t="str">
        <f>IF(COUNTA(A619:I619)=0,"",N(G619)+N(H619)+N(I619))</f>
        <v/>
      </c>
      <c r="Q619" s="56" t="str">
        <f>IF(COUNTA(A619:I619)=0,"",IF(N(IFERROR(INDEX(art_rate,MATCH(E619,art_ref,0)),0))&gt;0,N(IFERROR(INDEX(art_rate,MATCH(E619,art_ref,0)),0)),N(IFERROR(INDEX(po_rate,MATCH(C619,po_code,0)),0))))</f>
        <v/>
      </c>
      <c r="R619" s="55" t="str">
        <f>IF(AC619=1,P619*60/Q619,"")</f>
        <v/>
      </c>
      <c r="S619" s="55" t="str">
        <f>IF(AC619=1,N(G619)*60/Q619,"")</f>
        <v/>
      </c>
      <c r="T619" s="57" t="str">
        <f>IF(AC619=1,O619/M619,"")</f>
        <v/>
      </c>
      <c r="U619" s="57" t="str">
        <f>IF(AC619=1,IF(O619&gt;0,R619/O619,""),"")</f>
        <v/>
      </c>
      <c r="V619" s="57" t="str">
        <f>IF(AC619=1,IF(P619&gt;0,N(G619)/P619,""),"")</f>
        <v/>
      </c>
      <c r="W619" s="57" t="str">
        <f>IF(AC619=1,S619/M619,"")</f>
        <v/>
      </c>
      <c r="X619" s="57" t="str">
        <f>IF(AC619=1,S619/K619,"")</f>
        <v/>
      </c>
      <c r="Y619" s="58" t="str">
        <f>IF(W619="","",IF(W619&gt;=p_target,"Bon",IF(W619&gt;=p_alert,"À surveiller","Faible")))</f>
        <v/>
      </c>
      <c r="Z619" s="58" t="str">
        <f>IF(W619="","",IF(MIN(IF(T619="",1,T619),IF(U619="",1,U619),IF(V619="",1,V619))&gt;=1,"Aucune",IF(IF(T619="",1,T619)&lt;=MIN(IF(U619="",1,U619),IF(V619="",1,V619)),"Disponibilité",IF(IF(U619="",1,U619)&lt;=IF(V619="",1,V619),"Performance","Qualité"))))</f>
        <v/>
      </c>
      <c r="AA619" s="59" t="str">
        <f>IF(AC619=1,N(H619)*N(IFERROR(INDEX(art_cost,MATCH(E619,art_ref,0)),0)),"")</f>
        <v/>
      </c>
      <c r="AB619" s="58" t="str">
        <f>IF(COUNTA(A619:I619)=0,"",IF(N(A619)&lt;=0,"Date manquante ou invalide",IF(B619="","Équipe manquante",IF(ISNA(MATCH(B619,eq_code,0)),"Équipe inconnue",IF(INDEX(eq_check,MATCH(B619,eq_code,0))&lt;&gt;"OK","Équipe à corriger dans Paramètres",IF(C619="","Poste manquant",IF(ISNA(MATCH(C619,po_code,0)),"Poste inconnu",IF(AND(E619&lt;&gt;"",ISNA(MATCH(E619,art_ref,0))),"Article inconnu",IF(IF(E619="",FALSE,INDEX(art_check,MATCH(E619,art_ref,0))&lt;&gt;"OK"),"Article à corriger (feuille Articles)",IF(COUNTIFS(sj_date,A619,sj_eq,B619,sj_po,C619)&gt;1,"Ligne en double (même jour, équipe et poste)",IF(OR(NOT(ISNUMBER(K619)),N(K619)&lt;=0,N(K619)&gt;1440),"Temps d'ouverture invalide",IF(OR(AND(G619&lt;&gt;"",NOT(ISNUMBER(G619))),N(G619)&lt;0,N(G619)&lt;&gt;INT(N(G619)),AND(H619&lt;&gt;"",NOT(ISNUMBER(H619))),N(H619)&lt;0,N(H619)&lt;&gt;INT(N(H619)),AND(I619&lt;&gt;"",NOT(ISNUMBER(I619))),N(I619)&lt;0,N(I619)&lt;&gt;INT(N(I619))),"Quantité invalide",IF(Q619&lt;=0,"Cadence manquante (poste ou article)",IF(M619&lt;=0,"Arrêts planifiés supérieurs au temps d'ouverture",IF(O619&lt;0,"Arrêts supérieurs au temps requis",IF(AND(P619&gt;0,O619=0),"Pièces déclarées sans temps de marche",IF(AND(P619=0,O619&gt;0),"Aucune pièce déclarée",IF(P619*60/Q619&gt;O619+0.001,"Cadence dépassée : vérifiez la cadence","OK"))))))))))))))))))</f>
        <v/>
      </c>
      <c r="AC619">
        <f>IF(OR(AB619="OK",AB619="Aucune pièce déclarée",AB619="Cadence dépassée : vérifiez la cadence"),1,0)</f>
        <v>0.0</v>
      </c>
      <c r="AD619">
        <f>IF(AND(AC619=1,A619&gt;=p_from,A619&lt;=p_to),1,0)</f>
        <v>0.0</v>
      </c>
      <c r="AE619">
        <f>IF(AD619=1,IF(COUNTIFS($A$6:A619,A619,$AD$6:AD619,1)=1,1,0),0)</f>
        <v>0.0</v>
      </c>
      <c r="AF619" t="str">
        <f>IF(AE619=1,COUNTIFS(sj_first,1,sj_date,"&lt;"&amp;A619)+1,"")</f>
        <v/>
      </c>
      <c r="AG619" t="str">
        <f>IF(AND(AD619=1,N(W619)&lt;p_alert),ROUND(W619,4),"")</f>
        <v/>
      </c>
      <c r="AH619" t="str">
        <f>IF(AG619="","",COUNTIF(sj_akey,"&lt;"&amp;AG619)+COUNTIF($AG$6:AG619,AG619))</f>
        <v/>
      </c>
    </row>
    <row r="620">
      <c r="A620" s="51" t="n"/>
      <c r="B620" s="52" t="n"/>
      <c r="C620" s="52" t="n"/>
      <c r="D620" s="53" t="n"/>
      <c r="E620" s="53" t="n"/>
      <c r="F620" s="54" t="n"/>
      <c r="G620" s="54" t="n"/>
      <c r="H620" s="54" t="n"/>
      <c r="I620" s="54" t="n"/>
      <c r="J620" s="53" t="n"/>
      <c r="K620" s="55" t="str">
        <f>IF(COUNTA(A620:I620)=0,"",IF(F620="",IFERROR(INDEX(eq_dur,MATCH(B620,eq_code,0)),""),F620))</f>
        <v/>
      </c>
      <c r="L620" s="55" t="str">
        <f>IF(ISNUMBER(K620),N(IFERROR(INDEX(eq_pause,MATCH(B620,eq_code,0)),0))+SUMIFS(st_min,st_date,A620,st_eq,B620,st_po,C620,st_type,"Planifié"),"")</f>
        <v/>
      </c>
      <c r="M620" s="55" t="str">
        <f>IF(ISNUMBER(K620),K620-L620,"")</f>
        <v/>
      </c>
      <c r="N620" s="55" t="str">
        <f>IF(ISNUMBER(K620),SUMIFS(st_min,st_date,A620,st_eq,B620,st_po,C620,st_type,"Non planifié"),"")</f>
        <v/>
      </c>
      <c r="O620" s="55" t="str">
        <f>IF(ISNUMBER(K620),M620-N620,"")</f>
        <v/>
      </c>
      <c r="P620" s="55" t="str">
        <f>IF(COUNTA(A620:I620)=0,"",N(G620)+N(H620)+N(I620))</f>
        <v/>
      </c>
      <c r="Q620" s="56" t="str">
        <f>IF(COUNTA(A620:I620)=0,"",IF(N(IFERROR(INDEX(art_rate,MATCH(E620,art_ref,0)),0))&gt;0,N(IFERROR(INDEX(art_rate,MATCH(E620,art_ref,0)),0)),N(IFERROR(INDEX(po_rate,MATCH(C620,po_code,0)),0))))</f>
        <v/>
      </c>
      <c r="R620" s="55" t="str">
        <f>IF(AC620=1,P620*60/Q620,"")</f>
        <v/>
      </c>
      <c r="S620" s="55" t="str">
        <f>IF(AC620=1,N(G620)*60/Q620,"")</f>
        <v/>
      </c>
      <c r="T620" s="57" t="str">
        <f>IF(AC620=1,O620/M620,"")</f>
        <v/>
      </c>
      <c r="U620" s="57" t="str">
        <f>IF(AC620=1,IF(O620&gt;0,R620/O620,""),"")</f>
        <v/>
      </c>
      <c r="V620" s="57" t="str">
        <f>IF(AC620=1,IF(P620&gt;0,N(G620)/P620,""),"")</f>
        <v/>
      </c>
      <c r="W620" s="57" t="str">
        <f>IF(AC620=1,S620/M620,"")</f>
        <v/>
      </c>
      <c r="X620" s="57" t="str">
        <f>IF(AC620=1,S620/K620,"")</f>
        <v/>
      </c>
      <c r="Y620" s="58" t="str">
        <f>IF(W620="","",IF(W620&gt;=p_target,"Bon",IF(W620&gt;=p_alert,"À surveiller","Faible")))</f>
        <v/>
      </c>
      <c r="Z620" s="58" t="str">
        <f>IF(W620="","",IF(MIN(IF(T620="",1,T620),IF(U620="",1,U620),IF(V620="",1,V620))&gt;=1,"Aucune",IF(IF(T620="",1,T620)&lt;=MIN(IF(U620="",1,U620),IF(V620="",1,V620)),"Disponibilité",IF(IF(U620="",1,U620)&lt;=IF(V620="",1,V620),"Performance","Qualité"))))</f>
        <v/>
      </c>
      <c r="AA620" s="59" t="str">
        <f>IF(AC620=1,N(H620)*N(IFERROR(INDEX(art_cost,MATCH(E620,art_ref,0)),0)),"")</f>
        <v/>
      </c>
      <c r="AB620" s="58" t="str">
        <f>IF(COUNTA(A620:I620)=0,"",IF(N(A620)&lt;=0,"Date manquante ou invalide",IF(B620="","Équipe manquante",IF(ISNA(MATCH(B620,eq_code,0)),"Équipe inconnue",IF(INDEX(eq_check,MATCH(B620,eq_code,0))&lt;&gt;"OK","Équipe à corriger dans Paramètres",IF(C620="","Poste manquant",IF(ISNA(MATCH(C620,po_code,0)),"Poste inconnu",IF(AND(E620&lt;&gt;"",ISNA(MATCH(E620,art_ref,0))),"Article inconnu",IF(IF(E620="",FALSE,INDEX(art_check,MATCH(E620,art_ref,0))&lt;&gt;"OK"),"Article à corriger (feuille Articles)",IF(COUNTIFS(sj_date,A620,sj_eq,B620,sj_po,C620)&gt;1,"Ligne en double (même jour, équipe et poste)",IF(OR(NOT(ISNUMBER(K620)),N(K620)&lt;=0,N(K620)&gt;1440),"Temps d'ouverture invalide",IF(OR(AND(G620&lt;&gt;"",NOT(ISNUMBER(G620))),N(G620)&lt;0,N(G620)&lt;&gt;INT(N(G620)),AND(H620&lt;&gt;"",NOT(ISNUMBER(H620))),N(H620)&lt;0,N(H620)&lt;&gt;INT(N(H620)),AND(I620&lt;&gt;"",NOT(ISNUMBER(I620))),N(I620)&lt;0,N(I620)&lt;&gt;INT(N(I620))),"Quantité invalide",IF(Q620&lt;=0,"Cadence manquante (poste ou article)",IF(M620&lt;=0,"Arrêts planifiés supérieurs au temps d'ouverture",IF(O620&lt;0,"Arrêts supérieurs au temps requis",IF(AND(P620&gt;0,O620=0),"Pièces déclarées sans temps de marche",IF(AND(P620=0,O620&gt;0),"Aucune pièce déclarée",IF(P620*60/Q620&gt;O620+0.001,"Cadence dépassée : vérifiez la cadence","OK"))))))))))))))))))</f>
        <v/>
      </c>
      <c r="AC620">
        <f>IF(OR(AB620="OK",AB620="Aucune pièce déclarée",AB620="Cadence dépassée : vérifiez la cadence"),1,0)</f>
        <v>0.0</v>
      </c>
      <c r="AD620">
        <f>IF(AND(AC620=1,A620&gt;=p_from,A620&lt;=p_to),1,0)</f>
        <v>0.0</v>
      </c>
      <c r="AE620">
        <f>IF(AD620=1,IF(COUNTIFS($A$6:A620,A620,$AD$6:AD620,1)=1,1,0),0)</f>
        <v>0.0</v>
      </c>
      <c r="AF620" t="str">
        <f>IF(AE620=1,COUNTIFS(sj_first,1,sj_date,"&lt;"&amp;A620)+1,"")</f>
        <v/>
      </c>
      <c r="AG620" t="str">
        <f>IF(AND(AD620=1,N(W620)&lt;p_alert),ROUND(W620,4),"")</f>
        <v/>
      </c>
      <c r="AH620" t="str">
        <f>IF(AG620="","",COUNTIF(sj_akey,"&lt;"&amp;AG620)+COUNTIF($AG$6:AG620,AG620))</f>
        <v/>
      </c>
    </row>
    <row r="621">
      <c r="A621" s="51" t="n"/>
      <c r="B621" s="52" t="n"/>
      <c r="C621" s="52" t="n"/>
      <c r="D621" s="53" t="n"/>
      <c r="E621" s="53" t="n"/>
      <c r="F621" s="54" t="n"/>
      <c r="G621" s="54" t="n"/>
      <c r="H621" s="54" t="n"/>
      <c r="I621" s="54" t="n"/>
      <c r="J621" s="53" t="n"/>
      <c r="K621" s="55" t="str">
        <f>IF(COUNTA(A621:I621)=0,"",IF(F621="",IFERROR(INDEX(eq_dur,MATCH(B621,eq_code,0)),""),F621))</f>
        <v/>
      </c>
      <c r="L621" s="55" t="str">
        <f>IF(ISNUMBER(K621),N(IFERROR(INDEX(eq_pause,MATCH(B621,eq_code,0)),0))+SUMIFS(st_min,st_date,A621,st_eq,B621,st_po,C621,st_type,"Planifié"),"")</f>
        <v/>
      </c>
      <c r="M621" s="55" t="str">
        <f>IF(ISNUMBER(K621),K621-L621,"")</f>
        <v/>
      </c>
      <c r="N621" s="55" t="str">
        <f>IF(ISNUMBER(K621),SUMIFS(st_min,st_date,A621,st_eq,B621,st_po,C621,st_type,"Non planifié"),"")</f>
        <v/>
      </c>
      <c r="O621" s="55" t="str">
        <f>IF(ISNUMBER(K621),M621-N621,"")</f>
        <v/>
      </c>
      <c r="P621" s="55" t="str">
        <f>IF(COUNTA(A621:I621)=0,"",N(G621)+N(H621)+N(I621))</f>
        <v/>
      </c>
      <c r="Q621" s="56" t="str">
        <f>IF(COUNTA(A621:I621)=0,"",IF(N(IFERROR(INDEX(art_rate,MATCH(E621,art_ref,0)),0))&gt;0,N(IFERROR(INDEX(art_rate,MATCH(E621,art_ref,0)),0)),N(IFERROR(INDEX(po_rate,MATCH(C621,po_code,0)),0))))</f>
        <v/>
      </c>
      <c r="R621" s="55" t="str">
        <f>IF(AC621=1,P621*60/Q621,"")</f>
        <v/>
      </c>
      <c r="S621" s="55" t="str">
        <f>IF(AC621=1,N(G621)*60/Q621,"")</f>
        <v/>
      </c>
      <c r="T621" s="57" t="str">
        <f>IF(AC621=1,O621/M621,"")</f>
        <v/>
      </c>
      <c r="U621" s="57" t="str">
        <f>IF(AC621=1,IF(O621&gt;0,R621/O621,""),"")</f>
        <v/>
      </c>
      <c r="V621" s="57" t="str">
        <f>IF(AC621=1,IF(P621&gt;0,N(G621)/P621,""),"")</f>
        <v/>
      </c>
      <c r="W621" s="57" t="str">
        <f>IF(AC621=1,S621/M621,"")</f>
        <v/>
      </c>
      <c r="X621" s="57" t="str">
        <f>IF(AC621=1,S621/K621,"")</f>
        <v/>
      </c>
      <c r="Y621" s="58" t="str">
        <f>IF(W621="","",IF(W621&gt;=p_target,"Bon",IF(W621&gt;=p_alert,"À surveiller","Faible")))</f>
        <v/>
      </c>
      <c r="Z621" s="58" t="str">
        <f>IF(W621="","",IF(MIN(IF(T621="",1,T621),IF(U621="",1,U621),IF(V621="",1,V621))&gt;=1,"Aucune",IF(IF(T621="",1,T621)&lt;=MIN(IF(U621="",1,U621),IF(V621="",1,V621)),"Disponibilité",IF(IF(U621="",1,U621)&lt;=IF(V621="",1,V621),"Performance","Qualité"))))</f>
        <v/>
      </c>
      <c r="AA621" s="59" t="str">
        <f>IF(AC621=1,N(H621)*N(IFERROR(INDEX(art_cost,MATCH(E621,art_ref,0)),0)),"")</f>
        <v/>
      </c>
      <c r="AB621" s="58" t="str">
        <f>IF(COUNTA(A621:I621)=0,"",IF(N(A621)&lt;=0,"Date manquante ou invalide",IF(B621="","Équipe manquante",IF(ISNA(MATCH(B621,eq_code,0)),"Équipe inconnue",IF(INDEX(eq_check,MATCH(B621,eq_code,0))&lt;&gt;"OK","Équipe à corriger dans Paramètres",IF(C621="","Poste manquant",IF(ISNA(MATCH(C621,po_code,0)),"Poste inconnu",IF(AND(E621&lt;&gt;"",ISNA(MATCH(E621,art_ref,0))),"Article inconnu",IF(IF(E621="",FALSE,INDEX(art_check,MATCH(E621,art_ref,0))&lt;&gt;"OK"),"Article à corriger (feuille Articles)",IF(COUNTIFS(sj_date,A621,sj_eq,B621,sj_po,C621)&gt;1,"Ligne en double (même jour, équipe et poste)",IF(OR(NOT(ISNUMBER(K621)),N(K621)&lt;=0,N(K621)&gt;1440),"Temps d'ouverture invalide",IF(OR(AND(G621&lt;&gt;"",NOT(ISNUMBER(G621))),N(G621)&lt;0,N(G621)&lt;&gt;INT(N(G621)),AND(H621&lt;&gt;"",NOT(ISNUMBER(H621))),N(H621)&lt;0,N(H621)&lt;&gt;INT(N(H621)),AND(I621&lt;&gt;"",NOT(ISNUMBER(I621))),N(I621)&lt;0,N(I621)&lt;&gt;INT(N(I621))),"Quantité invalide",IF(Q621&lt;=0,"Cadence manquante (poste ou article)",IF(M621&lt;=0,"Arrêts planifiés supérieurs au temps d'ouverture",IF(O621&lt;0,"Arrêts supérieurs au temps requis",IF(AND(P621&gt;0,O621=0),"Pièces déclarées sans temps de marche",IF(AND(P621=0,O621&gt;0),"Aucune pièce déclarée",IF(P621*60/Q621&gt;O621+0.001,"Cadence dépassée : vérifiez la cadence","OK"))))))))))))))))))</f>
        <v/>
      </c>
      <c r="AC621">
        <f>IF(OR(AB621="OK",AB621="Aucune pièce déclarée",AB621="Cadence dépassée : vérifiez la cadence"),1,0)</f>
        <v>0.0</v>
      </c>
      <c r="AD621">
        <f>IF(AND(AC621=1,A621&gt;=p_from,A621&lt;=p_to),1,0)</f>
        <v>0.0</v>
      </c>
      <c r="AE621">
        <f>IF(AD621=1,IF(COUNTIFS($A$6:A621,A621,$AD$6:AD621,1)=1,1,0),0)</f>
        <v>0.0</v>
      </c>
      <c r="AF621" t="str">
        <f>IF(AE621=1,COUNTIFS(sj_first,1,sj_date,"&lt;"&amp;A621)+1,"")</f>
        <v/>
      </c>
      <c r="AG621" t="str">
        <f>IF(AND(AD621=1,N(W621)&lt;p_alert),ROUND(W621,4),"")</f>
        <v/>
      </c>
      <c r="AH621" t="str">
        <f>IF(AG621="","",COUNTIF(sj_akey,"&lt;"&amp;AG621)+COUNTIF($AG$6:AG621,AG621))</f>
        <v/>
      </c>
    </row>
    <row r="622">
      <c r="A622" s="51" t="n"/>
      <c r="B622" s="52" t="n"/>
      <c r="C622" s="52" t="n"/>
      <c r="D622" s="53" t="n"/>
      <c r="E622" s="53" t="n"/>
      <c r="F622" s="54" t="n"/>
      <c r="G622" s="54" t="n"/>
      <c r="H622" s="54" t="n"/>
      <c r="I622" s="54" t="n"/>
      <c r="J622" s="53" t="n"/>
      <c r="K622" s="55" t="str">
        <f>IF(COUNTA(A622:I622)=0,"",IF(F622="",IFERROR(INDEX(eq_dur,MATCH(B622,eq_code,0)),""),F622))</f>
        <v/>
      </c>
      <c r="L622" s="55" t="str">
        <f>IF(ISNUMBER(K622),N(IFERROR(INDEX(eq_pause,MATCH(B622,eq_code,0)),0))+SUMIFS(st_min,st_date,A622,st_eq,B622,st_po,C622,st_type,"Planifié"),"")</f>
        <v/>
      </c>
      <c r="M622" s="55" t="str">
        <f>IF(ISNUMBER(K622),K622-L622,"")</f>
        <v/>
      </c>
      <c r="N622" s="55" t="str">
        <f>IF(ISNUMBER(K622),SUMIFS(st_min,st_date,A622,st_eq,B622,st_po,C622,st_type,"Non planifié"),"")</f>
        <v/>
      </c>
      <c r="O622" s="55" t="str">
        <f>IF(ISNUMBER(K622),M622-N622,"")</f>
        <v/>
      </c>
      <c r="P622" s="55" t="str">
        <f>IF(COUNTA(A622:I622)=0,"",N(G622)+N(H622)+N(I622))</f>
        <v/>
      </c>
      <c r="Q622" s="56" t="str">
        <f>IF(COUNTA(A622:I622)=0,"",IF(N(IFERROR(INDEX(art_rate,MATCH(E622,art_ref,0)),0))&gt;0,N(IFERROR(INDEX(art_rate,MATCH(E622,art_ref,0)),0)),N(IFERROR(INDEX(po_rate,MATCH(C622,po_code,0)),0))))</f>
        <v/>
      </c>
      <c r="R622" s="55" t="str">
        <f>IF(AC622=1,P622*60/Q622,"")</f>
        <v/>
      </c>
      <c r="S622" s="55" t="str">
        <f>IF(AC622=1,N(G622)*60/Q622,"")</f>
        <v/>
      </c>
      <c r="T622" s="57" t="str">
        <f>IF(AC622=1,O622/M622,"")</f>
        <v/>
      </c>
      <c r="U622" s="57" t="str">
        <f>IF(AC622=1,IF(O622&gt;0,R622/O622,""),"")</f>
        <v/>
      </c>
      <c r="V622" s="57" t="str">
        <f>IF(AC622=1,IF(P622&gt;0,N(G622)/P622,""),"")</f>
        <v/>
      </c>
      <c r="W622" s="57" t="str">
        <f>IF(AC622=1,S622/M622,"")</f>
        <v/>
      </c>
      <c r="X622" s="57" t="str">
        <f>IF(AC622=1,S622/K622,"")</f>
        <v/>
      </c>
      <c r="Y622" s="58" t="str">
        <f>IF(W622="","",IF(W622&gt;=p_target,"Bon",IF(W622&gt;=p_alert,"À surveiller","Faible")))</f>
        <v/>
      </c>
      <c r="Z622" s="58" t="str">
        <f>IF(W622="","",IF(MIN(IF(T622="",1,T622),IF(U622="",1,U622),IF(V622="",1,V622))&gt;=1,"Aucune",IF(IF(T622="",1,T622)&lt;=MIN(IF(U622="",1,U622),IF(V622="",1,V622)),"Disponibilité",IF(IF(U622="",1,U622)&lt;=IF(V622="",1,V622),"Performance","Qualité"))))</f>
        <v/>
      </c>
      <c r="AA622" s="59" t="str">
        <f>IF(AC622=1,N(H622)*N(IFERROR(INDEX(art_cost,MATCH(E622,art_ref,0)),0)),"")</f>
        <v/>
      </c>
      <c r="AB622" s="58" t="str">
        <f>IF(COUNTA(A622:I622)=0,"",IF(N(A622)&lt;=0,"Date manquante ou invalide",IF(B622="","Équipe manquante",IF(ISNA(MATCH(B622,eq_code,0)),"Équipe inconnue",IF(INDEX(eq_check,MATCH(B622,eq_code,0))&lt;&gt;"OK","Équipe à corriger dans Paramètres",IF(C622="","Poste manquant",IF(ISNA(MATCH(C622,po_code,0)),"Poste inconnu",IF(AND(E622&lt;&gt;"",ISNA(MATCH(E622,art_ref,0))),"Article inconnu",IF(IF(E622="",FALSE,INDEX(art_check,MATCH(E622,art_ref,0))&lt;&gt;"OK"),"Article à corriger (feuille Articles)",IF(COUNTIFS(sj_date,A622,sj_eq,B622,sj_po,C622)&gt;1,"Ligne en double (même jour, équipe et poste)",IF(OR(NOT(ISNUMBER(K622)),N(K622)&lt;=0,N(K622)&gt;1440),"Temps d'ouverture invalide",IF(OR(AND(G622&lt;&gt;"",NOT(ISNUMBER(G622))),N(G622)&lt;0,N(G622)&lt;&gt;INT(N(G622)),AND(H622&lt;&gt;"",NOT(ISNUMBER(H622))),N(H622)&lt;0,N(H622)&lt;&gt;INT(N(H622)),AND(I622&lt;&gt;"",NOT(ISNUMBER(I622))),N(I622)&lt;0,N(I622)&lt;&gt;INT(N(I622))),"Quantité invalide",IF(Q622&lt;=0,"Cadence manquante (poste ou article)",IF(M622&lt;=0,"Arrêts planifiés supérieurs au temps d'ouverture",IF(O622&lt;0,"Arrêts supérieurs au temps requis",IF(AND(P622&gt;0,O622=0),"Pièces déclarées sans temps de marche",IF(AND(P622=0,O622&gt;0),"Aucune pièce déclarée",IF(P622*60/Q622&gt;O622+0.001,"Cadence dépassée : vérifiez la cadence","OK"))))))))))))))))))</f>
        <v/>
      </c>
      <c r="AC622">
        <f>IF(OR(AB622="OK",AB622="Aucune pièce déclarée",AB622="Cadence dépassée : vérifiez la cadence"),1,0)</f>
        <v>0.0</v>
      </c>
      <c r="AD622">
        <f>IF(AND(AC622=1,A622&gt;=p_from,A622&lt;=p_to),1,0)</f>
        <v>0.0</v>
      </c>
      <c r="AE622">
        <f>IF(AD622=1,IF(COUNTIFS($A$6:A622,A622,$AD$6:AD622,1)=1,1,0),0)</f>
        <v>0.0</v>
      </c>
      <c r="AF622" t="str">
        <f>IF(AE622=1,COUNTIFS(sj_first,1,sj_date,"&lt;"&amp;A622)+1,"")</f>
        <v/>
      </c>
      <c r="AG622" t="str">
        <f>IF(AND(AD622=1,N(W622)&lt;p_alert),ROUND(W622,4),"")</f>
        <v/>
      </c>
      <c r="AH622" t="str">
        <f>IF(AG622="","",COUNTIF(sj_akey,"&lt;"&amp;AG622)+COUNTIF($AG$6:AG622,AG622))</f>
        <v/>
      </c>
    </row>
    <row r="623">
      <c r="A623" s="51" t="n"/>
      <c r="B623" s="52" t="n"/>
      <c r="C623" s="52" t="n"/>
      <c r="D623" s="53" t="n"/>
      <c r="E623" s="53" t="n"/>
      <c r="F623" s="54" t="n"/>
      <c r="G623" s="54" t="n"/>
      <c r="H623" s="54" t="n"/>
      <c r="I623" s="54" t="n"/>
      <c r="J623" s="53" t="n"/>
      <c r="K623" s="55" t="str">
        <f>IF(COUNTA(A623:I623)=0,"",IF(F623="",IFERROR(INDEX(eq_dur,MATCH(B623,eq_code,0)),""),F623))</f>
        <v/>
      </c>
      <c r="L623" s="55" t="str">
        <f>IF(ISNUMBER(K623),N(IFERROR(INDEX(eq_pause,MATCH(B623,eq_code,0)),0))+SUMIFS(st_min,st_date,A623,st_eq,B623,st_po,C623,st_type,"Planifié"),"")</f>
        <v/>
      </c>
      <c r="M623" s="55" t="str">
        <f>IF(ISNUMBER(K623),K623-L623,"")</f>
        <v/>
      </c>
      <c r="N623" s="55" t="str">
        <f>IF(ISNUMBER(K623),SUMIFS(st_min,st_date,A623,st_eq,B623,st_po,C623,st_type,"Non planifié"),"")</f>
        <v/>
      </c>
      <c r="O623" s="55" t="str">
        <f>IF(ISNUMBER(K623),M623-N623,"")</f>
        <v/>
      </c>
      <c r="P623" s="55" t="str">
        <f>IF(COUNTA(A623:I623)=0,"",N(G623)+N(H623)+N(I623))</f>
        <v/>
      </c>
      <c r="Q623" s="56" t="str">
        <f>IF(COUNTA(A623:I623)=0,"",IF(N(IFERROR(INDEX(art_rate,MATCH(E623,art_ref,0)),0))&gt;0,N(IFERROR(INDEX(art_rate,MATCH(E623,art_ref,0)),0)),N(IFERROR(INDEX(po_rate,MATCH(C623,po_code,0)),0))))</f>
        <v/>
      </c>
      <c r="R623" s="55" t="str">
        <f>IF(AC623=1,P623*60/Q623,"")</f>
        <v/>
      </c>
      <c r="S623" s="55" t="str">
        <f>IF(AC623=1,N(G623)*60/Q623,"")</f>
        <v/>
      </c>
      <c r="T623" s="57" t="str">
        <f>IF(AC623=1,O623/M623,"")</f>
        <v/>
      </c>
      <c r="U623" s="57" t="str">
        <f>IF(AC623=1,IF(O623&gt;0,R623/O623,""),"")</f>
        <v/>
      </c>
      <c r="V623" s="57" t="str">
        <f>IF(AC623=1,IF(P623&gt;0,N(G623)/P623,""),"")</f>
        <v/>
      </c>
      <c r="W623" s="57" t="str">
        <f>IF(AC623=1,S623/M623,"")</f>
        <v/>
      </c>
      <c r="X623" s="57" t="str">
        <f>IF(AC623=1,S623/K623,"")</f>
        <v/>
      </c>
      <c r="Y623" s="58" t="str">
        <f>IF(W623="","",IF(W623&gt;=p_target,"Bon",IF(W623&gt;=p_alert,"À surveiller","Faible")))</f>
        <v/>
      </c>
      <c r="Z623" s="58" t="str">
        <f>IF(W623="","",IF(MIN(IF(T623="",1,T623),IF(U623="",1,U623),IF(V623="",1,V623))&gt;=1,"Aucune",IF(IF(T623="",1,T623)&lt;=MIN(IF(U623="",1,U623),IF(V623="",1,V623)),"Disponibilité",IF(IF(U623="",1,U623)&lt;=IF(V623="",1,V623),"Performance","Qualité"))))</f>
        <v/>
      </c>
      <c r="AA623" s="59" t="str">
        <f>IF(AC623=1,N(H623)*N(IFERROR(INDEX(art_cost,MATCH(E623,art_ref,0)),0)),"")</f>
        <v/>
      </c>
      <c r="AB623" s="58" t="str">
        <f>IF(COUNTA(A623:I623)=0,"",IF(N(A623)&lt;=0,"Date manquante ou invalide",IF(B623="","Équipe manquante",IF(ISNA(MATCH(B623,eq_code,0)),"Équipe inconnue",IF(INDEX(eq_check,MATCH(B623,eq_code,0))&lt;&gt;"OK","Équipe à corriger dans Paramètres",IF(C623="","Poste manquant",IF(ISNA(MATCH(C623,po_code,0)),"Poste inconnu",IF(AND(E623&lt;&gt;"",ISNA(MATCH(E623,art_ref,0))),"Article inconnu",IF(IF(E623="",FALSE,INDEX(art_check,MATCH(E623,art_ref,0))&lt;&gt;"OK"),"Article à corriger (feuille Articles)",IF(COUNTIFS(sj_date,A623,sj_eq,B623,sj_po,C623)&gt;1,"Ligne en double (même jour, équipe et poste)",IF(OR(NOT(ISNUMBER(K623)),N(K623)&lt;=0,N(K623)&gt;1440),"Temps d'ouverture invalide",IF(OR(AND(G623&lt;&gt;"",NOT(ISNUMBER(G623))),N(G623)&lt;0,N(G623)&lt;&gt;INT(N(G623)),AND(H623&lt;&gt;"",NOT(ISNUMBER(H623))),N(H623)&lt;0,N(H623)&lt;&gt;INT(N(H623)),AND(I623&lt;&gt;"",NOT(ISNUMBER(I623))),N(I623)&lt;0,N(I623)&lt;&gt;INT(N(I623))),"Quantité invalide",IF(Q623&lt;=0,"Cadence manquante (poste ou article)",IF(M623&lt;=0,"Arrêts planifiés supérieurs au temps d'ouverture",IF(O623&lt;0,"Arrêts supérieurs au temps requis",IF(AND(P623&gt;0,O623=0),"Pièces déclarées sans temps de marche",IF(AND(P623=0,O623&gt;0),"Aucune pièce déclarée",IF(P623*60/Q623&gt;O623+0.001,"Cadence dépassée : vérifiez la cadence","OK"))))))))))))))))))</f>
        <v/>
      </c>
      <c r="AC623">
        <f>IF(OR(AB623="OK",AB623="Aucune pièce déclarée",AB623="Cadence dépassée : vérifiez la cadence"),1,0)</f>
        <v>0.0</v>
      </c>
      <c r="AD623">
        <f>IF(AND(AC623=1,A623&gt;=p_from,A623&lt;=p_to),1,0)</f>
        <v>0.0</v>
      </c>
      <c r="AE623">
        <f>IF(AD623=1,IF(COUNTIFS($A$6:A623,A623,$AD$6:AD623,1)=1,1,0),0)</f>
        <v>0.0</v>
      </c>
      <c r="AF623" t="str">
        <f>IF(AE623=1,COUNTIFS(sj_first,1,sj_date,"&lt;"&amp;A623)+1,"")</f>
        <v/>
      </c>
      <c r="AG623" t="str">
        <f>IF(AND(AD623=1,N(W623)&lt;p_alert),ROUND(W623,4),"")</f>
        <v/>
      </c>
      <c r="AH623" t="str">
        <f>IF(AG623="","",COUNTIF(sj_akey,"&lt;"&amp;AG623)+COUNTIF($AG$6:AG623,AG623))</f>
        <v/>
      </c>
    </row>
    <row r="624">
      <c r="A624" s="51" t="n"/>
      <c r="B624" s="52" t="n"/>
      <c r="C624" s="52" t="n"/>
      <c r="D624" s="53" t="n"/>
      <c r="E624" s="53" t="n"/>
      <c r="F624" s="54" t="n"/>
      <c r="G624" s="54" t="n"/>
      <c r="H624" s="54" t="n"/>
      <c r="I624" s="54" t="n"/>
      <c r="J624" s="53" t="n"/>
      <c r="K624" s="55" t="str">
        <f>IF(COUNTA(A624:I624)=0,"",IF(F624="",IFERROR(INDEX(eq_dur,MATCH(B624,eq_code,0)),""),F624))</f>
        <v/>
      </c>
      <c r="L624" s="55" t="str">
        <f>IF(ISNUMBER(K624),N(IFERROR(INDEX(eq_pause,MATCH(B624,eq_code,0)),0))+SUMIFS(st_min,st_date,A624,st_eq,B624,st_po,C624,st_type,"Planifié"),"")</f>
        <v/>
      </c>
      <c r="M624" s="55" t="str">
        <f>IF(ISNUMBER(K624),K624-L624,"")</f>
        <v/>
      </c>
      <c r="N624" s="55" t="str">
        <f>IF(ISNUMBER(K624),SUMIFS(st_min,st_date,A624,st_eq,B624,st_po,C624,st_type,"Non planifié"),"")</f>
        <v/>
      </c>
      <c r="O624" s="55" t="str">
        <f>IF(ISNUMBER(K624),M624-N624,"")</f>
        <v/>
      </c>
      <c r="P624" s="55" t="str">
        <f>IF(COUNTA(A624:I624)=0,"",N(G624)+N(H624)+N(I624))</f>
        <v/>
      </c>
      <c r="Q624" s="56" t="str">
        <f>IF(COUNTA(A624:I624)=0,"",IF(N(IFERROR(INDEX(art_rate,MATCH(E624,art_ref,0)),0))&gt;0,N(IFERROR(INDEX(art_rate,MATCH(E624,art_ref,0)),0)),N(IFERROR(INDEX(po_rate,MATCH(C624,po_code,0)),0))))</f>
        <v/>
      </c>
      <c r="R624" s="55" t="str">
        <f>IF(AC624=1,P624*60/Q624,"")</f>
        <v/>
      </c>
      <c r="S624" s="55" t="str">
        <f>IF(AC624=1,N(G624)*60/Q624,"")</f>
        <v/>
      </c>
      <c r="T624" s="57" t="str">
        <f>IF(AC624=1,O624/M624,"")</f>
        <v/>
      </c>
      <c r="U624" s="57" t="str">
        <f>IF(AC624=1,IF(O624&gt;0,R624/O624,""),"")</f>
        <v/>
      </c>
      <c r="V624" s="57" t="str">
        <f>IF(AC624=1,IF(P624&gt;0,N(G624)/P624,""),"")</f>
        <v/>
      </c>
      <c r="W624" s="57" t="str">
        <f>IF(AC624=1,S624/M624,"")</f>
        <v/>
      </c>
      <c r="X624" s="57" t="str">
        <f>IF(AC624=1,S624/K624,"")</f>
        <v/>
      </c>
      <c r="Y624" s="58" t="str">
        <f>IF(W624="","",IF(W624&gt;=p_target,"Bon",IF(W624&gt;=p_alert,"À surveiller","Faible")))</f>
        <v/>
      </c>
      <c r="Z624" s="58" t="str">
        <f>IF(W624="","",IF(MIN(IF(T624="",1,T624),IF(U624="",1,U624),IF(V624="",1,V624))&gt;=1,"Aucune",IF(IF(T624="",1,T624)&lt;=MIN(IF(U624="",1,U624),IF(V624="",1,V624)),"Disponibilité",IF(IF(U624="",1,U624)&lt;=IF(V624="",1,V624),"Performance","Qualité"))))</f>
        <v/>
      </c>
      <c r="AA624" s="59" t="str">
        <f>IF(AC624=1,N(H624)*N(IFERROR(INDEX(art_cost,MATCH(E624,art_ref,0)),0)),"")</f>
        <v/>
      </c>
      <c r="AB624" s="58" t="str">
        <f>IF(COUNTA(A624:I624)=0,"",IF(N(A624)&lt;=0,"Date manquante ou invalide",IF(B624="","Équipe manquante",IF(ISNA(MATCH(B624,eq_code,0)),"Équipe inconnue",IF(INDEX(eq_check,MATCH(B624,eq_code,0))&lt;&gt;"OK","Équipe à corriger dans Paramètres",IF(C624="","Poste manquant",IF(ISNA(MATCH(C624,po_code,0)),"Poste inconnu",IF(AND(E624&lt;&gt;"",ISNA(MATCH(E624,art_ref,0))),"Article inconnu",IF(IF(E624="",FALSE,INDEX(art_check,MATCH(E624,art_ref,0))&lt;&gt;"OK"),"Article à corriger (feuille Articles)",IF(COUNTIFS(sj_date,A624,sj_eq,B624,sj_po,C624)&gt;1,"Ligne en double (même jour, équipe et poste)",IF(OR(NOT(ISNUMBER(K624)),N(K624)&lt;=0,N(K624)&gt;1440),"Temps d'ouverture invalide",IF(OR(AND(G624&lt;&gt;"",NOT(ISNUMBER(G624))),N(G624)&lt;0,N(G624)&lt;&gt;INT(N(G624)),AND(H624&lt;&gt;"",NOT(ISNUMBER(H624))),N(H624)&lt;0,N(H624)&lt;&gt;INT(N(H624)),AND(I624&lt;&gt;"",NOT(ISNUMBER(I624))),N(I624)&lt;0,N(I624)&lt;&gt;INT(N(I624))),"Quantité invalide",IF(Q624&lt;=0,"Cadence manquante (poste ou article)",IF(M624&lt;=0,"Arrêts planifiés supérieurs au temps d'ouverture",IF(O624&lt;0,"Arrêts supérieurs au temps requis",IF(AND(P624&gt;0,O624=0),"Pièces déclarées sans temps de marche",IF(AND(P624=0,O624&gt;0),"Aucune pièce déclarée",IF(P624*60/Q624&gt;O624+0.001,"Cadence dépassée : vérifiez la cadence","OK"))))))))))))))))))</f>
        <v/>
      </c>
      <c r="AC624">
        <f>IF(OR(AB624="OK",AB624="Aucune pièce déclarée",AB624="Cadence dépassée : vérifiez la cadence"),1,0)</f>
        <v>0.0</v>
      </c>
      <c r="AD624">
        <f>IF(AND(AC624=1,A624&gt;=p_from,A624&lt;=p_to),1,0)</f>
        <v>0.0</v>
      </c>
      <c r="AE624">
        <f>IF(AD624=1,IF(COUNTIFS($A$6:A624,A624,$AD$6:AD624,1)=1,1,0),0)</f>
        <v>0.0</v>
      </c>
      <c r="AF624" t="str">
        <f>IF(AE624=1,COUNTIFS(sj_first,1,sj_date,"&lt;"&amp;A624)+1,"")</f>
        <v/>
      </c>
      <c r="AG624" t="str">
        <f>IF(AND(AD624=1,N(W624)&lt;p_alert),ROUND(W624,4),"")</f>
        <v/>
      </c>
      <c r="AH624" t="str">
        <f>IF(AG624="","",COUNTIF(sj_akey,"&lt;"&amp;AG624)+COUNTIF($AG$6:AG624,AG624))</f>
        <v/>
      </c>
    </row>
    <row r="625">
      <c r="A625" s="51" t="n"/>
      <c r="B625" s="52" t="n"/>
      <c r="C625" s="52" t="n"/>
      <c r="D625" s="53" t="n"/>
      <c r="E625" s="53" t="n"/>
      <c r="F625" s="54" t="n"/>
      <c r="G625" s="54" t="n"/>
      <c r="H625" s="54" t="n"/>
      <c r="I625" s="54" t="n"/>
      <c r="J625" s="53" t="n"/>
      <c r="K625" s="55" t="str">
        <f>IF(COUNTA(A625:I625)=0,"",IF(F625="",IFERROR(INDEX(eq_dur,MATCH(B625,eq_code,0)),""),F625))</f>
        <v/>
      </c>
      <c r="L625" s="55" t="str">
        <f>IF(ISNUMBER(K625),N(IFERROR(INDEX(eq_pause,MATCH(B625,eq_code,0)),0))+SUMIFS(st_min,st_date,A625,st_eq,B625,st_po,C625,st_type,"Planifié"),"")</f>
        <v/>
      </c>
      <c r="M625" s="55" t="str">
        <f>IF(ISNUMBER(K625),K625-L625,"")</f>
        <v/>
      </c>
      <c r="N625" s="55" t="str">
        <f>IF(ISNUMBER(K625),SUMIFS(st_min,st_date,A625,st_eq,B625,st_po,C625,st_type,"Non planifié"),"")</f>
        <v/>
      </c>
      <c r="O625" s="55" t="str">
        <f>IF(ISNUMBER(K625),M625-N625,"")</f>
        <v/>
      </c>
      <c r="P625" s="55" t="str">
        <f>IF(COUNTA(A625:I625)=0,"",N(G625)+N(H625)+N(I625))</f>
        <v/>
      </c>
      <c r="Q625" s="56" t="str">
        <f>IF(COUNTA(A625:I625)=0,"",IF(N(IFERROR(INDEX(art_rate,MATCH(E625,art_ref,0)),0))&gt;0,N(IFERROR(INDEX(art_rate,MATCH(E625,art_ref,0)),0)),N(IFERROR(INDEX(po_rate,MATCH(C625,po_code,0)),0))))</f>
        <v/>
      </c>
      <c r="R625" s="55" t="str">
        <f>IF(AC625=1,P625*60/Q625,"")</f>
        <v/>
      </c>
      <c r="S625" s="55" t="str">
        <f>IF(AC625=1,N(G625)*60/Q625,"")</f>
        <v/>
      </c>
      <c r="T625" s="57" t="str">
        <f>IF(AC625=1,O625/M625,"")</f>
        <v/>
      </c>
      <c r="U625" s="57" t="str">
        <f>IF(AC625=1,IF(O625&gt;0,R625/O625,""),"")</f>
        <v/>
      </c>
      <c r="V625" s="57" t="str">
        <f>IF(AC625=1,IF(P625&gt;0,N(G625)/P625,""),"")</f>
        <v/>
      </c>
      <c r="W625" s="57" t="str">
        <f>IF(AC625=1,S625/M625,"")</f>
        <v/>
      </c>
      <c r="X625" s="57" t="str">
        <f>IF(AC625=1,S625/K625,"")</f>
        <v/>
      </c>
      <c r="Y625" s="58" t="str">
        <f>IF(W625="","",IF(W625&gt;=p_target,"Bon",IF(W625&gt;=p_alert,"À surveiller","Faible")))</f>
        <v/>
      </c>
      <c r="Z625" s="58" t="str">
        <f>IF(W625="","",IF(MIN(IF(T625="",1,T625),IF(U625="",1,U625),IF(V625="",1,V625))&gt;=1,"Aucune",IF(IF(T625="",1,T625)&lt;=MIN(IF(U625="",1,U625),IF(V625="",1,V625)),"Disponibilité",IF(IF(U625="",1,U625)&lt;=IF(V625="",1,V625),"Performance","Qualité"))))</f>
        <v/>
      </c>
      <c r="AA625" s="59" t="str">
        <f>IF(AC625=1,N(H625)*N(IFERROR(INDEX(art_cost,MATCH(E625,art_ref,0)),0)),"")</f>
        <v/>
      </c>
      <c r="AB625" s="58" t="str">
        <f>IF(COUNTA(A625:I625)=0,"",IF(N(A625)&lt;=0,"Date manquante ou invalide",IF(B625="","Équipe manquante",IF(ISNA(MATCH(B625,eq_code,0)),"Équipe inconnue",IF(INDEX(eq_check,MATCH(B625,eq_code,0))&lt;&gt;"OK","Équipe à corriger dans Paramètres",IF(C625="","Poste manquant",IF(ISNA(MATCH(C625,po_code,0)),"Poste inconnu",IF(AND(E625&lt;&gt;"",ISNA(MATCH(E625,art_ref,0))),"Article inconnu",IF(IF(E625="",FALSE,INDEX(art_check,MATCH(E625,art_ref,0))&lt;&gt;"OK"),"Article à corriger (feuille Articles)",IF(COUNTIFS(sj_date,A625,sj_eq,B625,sj_po,C625)&gt;1,"Ligne en double (même jour, équipe et poste)",IF(OR(NOT(ISNUMBER(K625)),N(K625)&lt;=0,N(K625)&gt;1440),"Temps d'ouverture invalide",IF(OR(AND(G625&lt;&gt;"",NOT(ISNUMBER(G625))),N(G625)&lt;0,N(G625)&lt;&gt;INT(N(G625)),AND(H625&lt;&gt;"",NOT(ISNUMBER(H625))),N(H625)&lt;0,N(H625)&lt;&gt;INT(N(H625)),AND(I625&lt;&gt;"",NOT(ISNUMBER(I625))),N(I625)&lt;0,N(I625)&lt;&gt;INT(N(I625))),"Quantité invalide",IF(Q625&lt;=0,"Cadence manquante (poste ou article)",IF(M625&lt;=0,"Arrêts planifiés supérieurs au temps d'ouverture",IF(O625&lt;0,"Arrêts supérieurs au temps requis",IF(AND(P625&gt;0,O625=0),"Pièces déclarées sans temps de marche",IF(AND(P625=0,O625&gt;0),"Aucune pièce déclarée",IF(P625*60/Q625&gt;O625+0.001,"Cadence dépassée : vérifiez la cadence","OK"))))))))))))))))))</f>
        <v/>
      </c>
      <c r="AC625">
        <f>IF(OR(AB625="OK",AB625="Aucune pièce déclarée",AB625="Cadence dépassée : vérifiez la cadence"),1,0)</f>
        <v>0.0</v>
      </c>
      <c r="AD625">
        <f>IF(AND(AC625=1,A625&gt;=p_from,A625&lt;=p_to),1,0)</f>
        <v>0.0</v>
      </c>
      <c r="AE625">
        <f>IF(AD625=1,IF(COUNTIFS($A$6:A625,A625,$AD$6:AD625,1)=1,1,0),0)</f>
        <v>0.0</v>
      </c>
      <c r="AF625" t="str">
        <f>IF(AE625=1,COUNTIFS(sj_first,1,sj_date,"&lt;"&amp;A625)+1,"")</f>
        <v/>
      </c>
      <c r="AG625" t="str">
        <f>IF(AND(AD625=1,N(W625)&lt;p_alert),ROUND(W625,4),"")</f>
        <v/>
      </c>
      <c r="AH625" t="str">
        <f>IF(AG625="","",COUNTIF(sj_akey,"&lt;"&amp;AG625)+COUNTIF($AG$6:AG625,AG625))</f>
        <v/>
      </c>
    </row>
    <row r="626">
      <c r="A626" s="51" t="n"/>
      <c r="B626" s="52" t="n"/>
      <c r="C626" s="52" t="n"/>
      <c r="D626" s="53" t="n"/>
      <c r="E626" s="53" t="n"/>
      <c r="F626" s="54" t="n"/>
      <c r="G626" s="54" t="n"/>
      <c r="H626" s="54" t="n"/>
      <c r="I626" s="54" t="n"/>
      <c r="J626" s="53" t="n"/>
      <c r="K626" s="55" t="str">
        <f>IF(COUNTA(A626:I626)=0,"",IF(F626="",IFERROR(INDEX(eq_dur,MATCH(B626,eq_code,0)),""),F626))</f>
        <v/>
      </c>
      <c r="L626" s="55" t="str">
        <f>IF(ISNUMBER(K626),N(IFERROR(INDEX(eq_pause,MATCH(B626,eq_code,0)),0))+SUMIFS(st_min,st_date,A626,st_eq,B626,st_po,C626,st_type,"Planifié"),"")</f>
        <v/>
      </c>
      <c r="M626" s="55" t="str">
        <f>IF(ISNUMBER(K626),K626-L626,"")</f>
        <v/>
      </c>
      <c r="N626" s="55" t="str">
        <f>IF(ISNUMBER(K626),SUMIFS(st_min,st_date,A626,st_eq,B626,st_po,C626,st_type,"Non planifié"),"")</f>
        <v/>
      </c>
      <c r="O626" s="55" t="str">
        <f>IF(ISNUMBER(K626),M626-N626,"")</f>
        <v/>
      </c>
      <c r="P626" s="55" t="str">
        <f>IF(COUNTA(A626:I626)=0,"",N(G626)+N(H626)+N(I626))</f>
        <v/>
      </c>
      <c r="Q626" s="56" t="str">
        <f>IF(COUNTA(A626:I626)=0,"",IF(N(IFERROR(INDEX(art_rate,MATCH(E626,art_ref,0)),0))&gt;0,N(IFERROR(INDEX(art_rate,MATCH(E626,art_ref,0)),0)),N(IFERROR(INDEX(po_rate,MATCH(C626,po_code,0)),0))))</f>
        <v/>
      </c>
      <c r="R626" s="55" t="str">
        <f>IF(AC626=1,P626*60/Q626,"")</f>
        <v/>
      </c>
      <c r="S626" s="55" t="str">
        <f>IF(AC626=1,N(G626)*60/Q626,"")</f>
        <v/>
      </c>
      <c r="T626" s="57" t="str">
        <f>IF(AC626=1,O626/M626,"")</f>
        <v/>
      </c>
      <c r="U626" s="57" t="str">
        <f>IF(AC626=1,IF(O626&gt;0,R626/O626,""),"")</f>
        <v/>
      </c>
      <c r="V626" s="57" t="str">
        <f>IF(AC626=1,IF(P626&gt;0,N(G626)/P626,""),"")</f>
        <v/>
      </c>
      <c r="W626" s="57" t="str">
        <f>IF(AC626=1,S626/M626,"")</f>
        <v/>
      </c>
      <c r="X626" s="57" t="str">
        <f>IF(AC626=1,S626/K626,"")</f>
        <v/>
      </c>
      <c r="Y626" s="58" t="str">
        <f>IF(W626="","",IF(W626&gt;=p_target,"Bon",IF(W626&gt;=p_alert,"À surveiller","Faible")))</f>
        <v/>
      </c>
      <c r="Z626" s="58" t="str">
        <f>IF(W626="","",IF(MIN(IF(T626="",1,T626),IF(U626="",1,U626),IF(V626="",1,V626))&gt;=1,"Aucune",IF(IF(T626="",1,T626)&lt;=MIN(IF(U626="",1,U626),IF(V626="",1,V626)),"Disponibilité",IF(IF(U626="",1,U626)&lt;=IF(V626="",1,V626),"Performance","Qualité"))))</f>
        <v/>
      </c>
      <c r="AA626" s="59" t="str">
        <f>IF(AC626=1,N(H626)*N(IFERROR(INDEX(art_cost,MATCH(E626,art_ref,0)),0)),"")</f>
        <v/>
      </c>
      <c r="AB626" s="58" t="str">
        <f>IF(COUNTA(A626:I626)=0,"",IF(N(A626)&lt;=0,"Date manquante ou invalide",IF(B626="","Équipe manquante",IF(ISNA(MATCH(B626,eq_code,0)),"Équipe inconnue",IF(INDEX(eq_check,MATCH(B626,eq_code,0))&lt;&gt;"OK","Équipe à corriger dans Paramètres",IF(C626="","Poste manquant",IF(ISNA(MATCH(C626,po_code,0)),"Poste inconnu",IF(AND(E626&lt;&gt;"",ISNA(MATCH(E626,art_ref,0))),"Article inconnu",IF(IF(E626="",FALSE,INDEX(art_check,MATCH(E626,art_ref,0))&lt;&gt;"OK"),"Article à corriger (feuille Articles)",IF(COUNTIFS(sj_date,A626,sj_eq,B626,sj_po,C626)&gt;1,"Ligne en double (même jour, équipe et poste)",IF(OR(NOT(ISNUMBER(K626)),N(K626)&lt;=0,N(K626)&gt;1440),"Temps d'ouverture invalide",IF(OR(AND(G626&lt;&gt;"",NOT(ISNUMBER(G626))),N(G626)&lt;0,N(G626)&lt;&gt;INT(N(G626)),AND(H626&lt;&gt;"",NOT(ISNUMBER(H626))),N(H626)&lt;0,N(H626)&lt;&gt;INT(N(H626)),AND(I626&lt;&gt;"",NOT(ISNUMBER(I626))),N(I626)&lt;0,N(I626)&lt;&gt;INT(N(I626))),"Quantité invalide",IF(Q626&lt;=0,"Cadence manquante (poste ou article)",IF(M626&lt;=0,"Arrêts planifiés supérieurs au temps d'ouverture",IF(O626&lt;0,"Arrêts supérieurs au temps requis",IF(AND(P626&gt;0,O626=0),"Pièces déclarées sans temps de marche",IF(AND(P626=0,O626&gt;0),"Aucune pièce déclarée",IF(P626*60/Q626&gt;O626+0.001,"Cadence dépassée : vérifiez la cadence","OK"))))))))))))))))))</f>
        <v/>
      </c>
      <c r="AC626">
        <f>IF(OR(AB626="OK",AB626="Aucune pièce déclarée",AB626="Cadence dépassée : vérifiez la cadence"),1,0)</f>
        <v>0.0</v>
      </c>
      <c r="AD626">
        <f>IF(AND(AC626=1,A626&gt;=p_from,A626&lt;=p_to),1,0)</f>
        <v>0.0</v>
      </c>
      <c r="AE626">
        <f>IF(AD626=1,IF(COUNTIFS($A$6:A626,A626,$AD$6:AD626,1)=1,1,0),0)</f>
        <v>0.0</v>
      </c>
      <c r="AF626" t="str">
        <f>IF(AE626=1,COUNTIFS(sj_first,1,sj_date,"&lt;"&amp;A626)+1,"")</f>
        <v/>
      </c>
      <c r="AG626" t="str">
        <f>IF(AND(AD626=1,N(W626)&lt;p_alert),ROUND(W626,4),"")</f>
        <v/>
      </c>
      <c r="AH626" t="str">
        <f>IF(AG626="","",COUNTIF(sj_akey,"&lt;"&amp;AG626)+COUNTIF($AG$6:AG626,AG626))</f>
        <v/>
      </c>
    </row>
    <row r="627">
      <c r="A627" s="51" t="n"/>
      <c r="B627" s="52" t="n"/>
      <c r="C627" s="52" t="n"/>
      <c r="D627" s="53" t="n"/>
      <c r="E627" s="53" t="n"/>
      <c r="F627" s="54" t="n"/>
      <c r="G627" s="54" t="n"/>
      <c r="H627" s="54" t="n"/>
      <c r="I627" s="54" t="n"/>
      <c r="J627" s="53" t="n"/>
      <c r="K627" s="55" t="str">
        <f>IF(COUNTA(A627:I627)=0,"",IF(F627="",IFERROR(INDEX(eq_dur,MATCH(B627,eq_code,0)),""),F627))</f>
        <v/>
      </c>
      <c r="L627" s="55" t="str">
        <f>IF(ISNUMBER(K627),N(IFERROR(INDEX(eq_pause,MATCH(B627,eq_code,0)),0))+SUMIFS(st_min,st_date,A627,st_eq,B627,st_po,C627,st_type,"Planifié"),"")</f>
        <v/>
      </c>
      <c r="M627" s="55" t="str">
        <f>IF(ISNUMBER(K627),K627-L627,"")</f>
        <v/>
      </c>
      <c r="N627" s="55" t="str">
        <f>IF(ISNUMBER(K627),SUMIFS(st_min,st_date,A627,st_eq,B627,st_po,C627,st_type,"Non planifié"),"")</f>
        <v/>
      </c>
      <c r="O627" s="55" t="str">
        <f>IF(ISNUMBER(K627),M627-N627,"")</f>
        <v/>
      </c>
      <c r="P627" s="55" t="str">
        <f>IF(COUNTA(A627:I627)=0,"",N(G627)+N(H627)+N(I627))</f>
        <v/>
      </c>
      <c r="Q627" s="56" t="str">
        <f>IF(COUNTA(A627:I627)=0,"",IF(N(IFERROR(INDEX(art_rate,MATCH(E627,art_ref,0)),0))&gt;0,N(IFERROR(INDEX(art_rate,MATCH(E627,art_ref,0)),0)),N(IFERROR(INDEX(po_rate,MATCH(C627,po_code,0)),0))))</f>
        <v/>
      </c>
      <c r="R627" s="55" t="str">
        <f>IF(AC627=1,P627*60/Q627,"")</f>
        <v/>
      </c>
      <c r="S627" s="55" t="str">
        <f>IF(AC627=1,N(G627)*60/Q627,"")</f>
        <v/>
      </c>
      <c r="T627" s="57" t="str">
        <f>IF(AC627=1,O627/M627,"")</f>
        <v/>
      </c>
      <c r="U627" s="57" t="str">
        <f>IF(AC627=1,IF(O627&gt;0,R627/O627,""),"")</f>
        <v/>
      </c>
      <c r="V627" s="57" t="str">
        <f>IF(AC627=1,IF(P627&gt;0,N(G627)/P627,""),"")</f>
        <v/>
      </c>
      <c r="W627" s="57" t="str">
        <f>IF(AC627=1,S627/M627,"")</f>
        <v/>
      </c>
      <c r="X627" s="57" t="str">
        <f>IF(AC627=1,S627/K627,"")</f>
        <v/>
      </c>
      <c r="Y627" s="58" t="str">
        <f>IF(W627="","",IF(W627&gt;=p_target,"Bon",IF(W627&gt;=p_alert,"À surveiller","Faible")))</f>
        <v/>
      </c>
      <c r="Z627" s="58" t="str">
        <f>IF(W627="","",IF(MIN(IF(T627="",1,T627),IF(U627="",1,U627),IF(V627="",1,V627))&gt;=1,"Aucune",IF(IF(T627="",1,T627)&lt;=MIN(IF(U627="",1,U627),IF(V627="",1,V627)),"Disponibilité",IF(IF(U627="",1,U627)&lt;=IF(V627="",1,V627),"Performance","Qualité"))))</f>
        <v/>
      </c>
      <c r="AA627" s="59" t="str">
        <f>IF(AC627=1,N(H627)*N(IFERROR(INDEX(art_cost,MATCH(E627,art_ref,0)),0)),"")</f>
        <v/>
      </c>
      <c r="AB627" s="58" t="str">
        <f>IF(COUNTA(A627:I627)=0,"",IF(N(A627)&lt;=0,"Date manquante ou invalide",IF(B627="","Équipe manquante",IF(ISNA(MATCH(B627,eq_code,0)),"Équipe inconnue",IF(INDEX(eq_check,MATCH(B627,eq_code,0))&lt;&gt;"OK","Équipe à corriger dans Paramètres",IF(C627="","Poste manquant",IF(ISNA(MATCH(C627,po_code,0)),"Poste inconnu",IF(AND(E627&lt;&gt;"",ISNA(MATCH(E627,art_ref,0))),"Article inconnu",IF(IF(E627="",FALSE,INDEX(art_check,MATCH(E627,art_ref,0))&lt;&gt;"OK"),"Article à corriger (feuille Articles)",IF(COUNTIFS(sj_date,A627,sj_eq,B627,sj_po,C627)&gt;1,"Ligne en double (même jour, équipe et poste)",IF(OR(NOT(ISNUMBER(K627)),N(K627)&lt;=0,N(K627)&gt;1440),"Temps d'ouverture invalide",IF(OR(AND(G627&lt;&gt;"",NOT(ISNUMBER(G627))),N(G627)&lt;0,N(G627)&lt;&gt;INT(N(G627)),AND(H627&lt;&gt;"",NOT(ISNUMBER(H627))),N(H627)&lt;0,N(H627)&lt;&gt;INT(N(H627)),AND(I627&lt;&gt;"",NOT(ISNUMBER(I627))),N(I627)&lt;0,N(I627)&lt;&gt;INT(N(I627))),"Quantité invalide",IF(Q627&lt;=0,"Cadence manquante (poste ou article)",IF(M627&lt;=0,"Arrêts planifiés supérieurs au temps d'ouverture",IF(O627&lt;0,"Arrêts supérieurs au temps requis",IF(AND(P627&gt;0,O627=0),"Pièces déclarées sans temps de marche",IF(AND(P627=0,O627&gt;0),"Aucune pièce déclarée",IF(P627*60/Q627&gt;O627+0.001,"Cadence dépassée : vérifiez la cadence","OK"))))))))))))))))))</f>
        <v/>
      </c>
      <c r="AC627">
        <f>IF(OR(AB627="OK",AB627="Aucune pièce déclarée",AB627="Cadence dépassée : vérifiez la cadence"),1,0)</f>
        <v>0.0</v>
      </c>
      <c r="AD627">
        <f>IF(AND(AC627=1,A627&gt;=p_from,A627&lt;=p_to),1,0)</f>
        <v>0.0</v>
      </c>
      <c r="AE627">
        <f>IF(AD627=1,IF(COUNTIFS($A$6:A627,A627,$AD$6:AD627,1)=1,1,0),0)</f>
        <v>0.0</v>
      </c>
      <c r="AF627" t="str">
        <f>IF(AE627=1,COUNTIFS(sj_first,1,sj_date,"&lt;"&amp;A627)+1,"")</f>
        <v/>
      </c>
      <c r="AG627" t="str">
        <f>IF(AND(AD627=1,N(W627)&lt;p_alert),ROUND(W627,4),"")</f>
        <v/>
      </c>
      <c r="AH627" t="str">
        <f>IF(AG627="","",COUNTIF(sj_akey,"&lt;"&amp;AG627)+COUNTIF($AG$6:AG627,AG627))</f>
        <v/>
      </c>
    </row>
    <row r="628">
      <c r="A628" s="51" t="n"/>
      <c r="B628" s="52" t="n"/>
      <c r="C628" s="52" t="n"/>
      <c r="D628" s="53" t="n"/>
      <c r="E628" s="53" t="n"/>
      <c r="F628" s="54" t="n"/>
      <c r="G628" s="54" t="n"/>
      <c r="H628" s="54" t="n"/>
      <c r="I628" s="54" t="n"/>
      <c r="J628" s="53" t="n"/>
      <c r="K628" s="55" t="str">
        <f>IF(COUNTA(A628:I628)=0,"",IF(F628="",IFERROR(INDEX(eq_dur,MATCH(B628,eq_code,0)),""),F628))</f>
        <v/>
      </c>
      <c r="L628" s="55" t="str">
        <f>IF(ISNUMBER(K628),N(IFERROR(INDEX(eq_pause,MATCH(B628,eq_code,0)),0))+SUMIFS(st_min,st_date,A628,st_eq,B628,st_po,C628,st_type,"Planifié"),"")</f>
        <v/>
      </c>
      <c r="M628" s="55" t="str">
        <f>IF(ISNUMBER(K628),K628-L628,"")</f>
        <v/>
      </c>
      <c r="N628" s="55" t="str">
        <f>IF(ISNUMBER(K628),SUMIFS(st_min,st_date,A628,st_eq,B628,st_po,C628,st_type,"Non planifié"),"")</f>
        <v/>
      </c>
      <c r="O628" s="55" t="str">
        <f>IF(ISNUMBER(K628),M628-N628,"")</f>
        <v/>
      </c>
      <c r="P628" s="55" t="str">
        <f>IF(COUNTA(A628:I628)=0,"",N(G628)+N(H628)+N(I628))</f>
        <v/>
      </c>
      <c r="Q628" s="56" t="str">
        <f>IF(COUNTA(A628:I628)=0,"",IF(N(IFERROR(INDEX(art_rate,MATCH(E628,art_ref,0)),0))&gt;0,N(IFERROR(INDEX(art_rate,MATCH(E628,art_ref,0)),0)),N(IFERROR(INDEX(po_rate,MATCH(C628,po_code,0)),0))))</f>
        <v/>
      </c>
      <c r="R628" s="55" t="str">
        <f>IF(AC628=1,P628*60/Q628,"")</f>
        <v/>
      </c>
      <c r="S628" s="55" t="str">
        <f>IF(AC628=1,N(G628)*60/Q628,"")</f>
        <v/>
      </c>
      <c r="T628" s="57" t="str">
        <f>IF(AC628=1,O628/M628,"")</f>
        <v/>
      </c>
      <c r="U628" s="57" t="str">
        <f>IF(AC628=1,IF(O628&gt;0,R628/O628,""),"")</f>
        <v/>
      </c>
      <c r="V628" s="57" t="str">
        <f>IF(AC628=1,IF(P628&gt;0,N(G628)/P628,""),"")</f>
        <v/>
      </c>
      <c r="W628" s="57" t="str">
        <f>IF(AC628=1,S628/M628,"")</f>
        <v/>
      </c>
      <c r="X628" s="57" t="str">
        <f>IF(AC628=1,S628/K628,"")</f>
        <v/>
      </c>
      <c r="Y628" s="58" t="str">
        <f>IF(W628="","",IF(W628&gt;=p_target,"Bon",IF(W628&gt;=p_alert,"À surveiller","Faible")))</f>
        <v/>
      </c>
      <c r="Z628" s="58" t="str">
        <f>IF(W628="","",IF(MIN(IF(T628="",1,T628),IF(U628="",1,U628),IF(V628="",1,V628))&gt;=1,"Aucune",IF(IF(T628="",1,T628)&lt;=MIN(IF(U628="",1,U628),IF(V628="",1,V628)),"Disponibilité",IF(IF(U628="",1,U628)&lt;=IF(V628="",1,V628),"Performance","Qualité"))))</f>
        <v/>
      </c>
      <c r="AA628" s="59" t="str">
        <f>IF(AC628=1,N(H628)*N(IFERROR(INDEX(art_cost,MATCH(E628,art_ref,0)),0)),"")</f>
        <v/>
      </c>
      <c r="AB628" s="58" t="str">
        <f>IF(COUNTA(A628:I628)=0,"",IF(N(A628)&lt;=0,"Date manquante ou invalide",IF(B628="","Équipe manquante",IF(ISNA(MATCH(B628,eq_code,0)),"Équipe inconnue",IF(INDEX(eq_check,MATCH(B628,eq_code,0))&lt;&gt;"OK","Équipe à corriger dans Paramètres",IF(C628="","Poste manquant",IF(ISNA(MATCH(C628,po_code,0)),"Poste inconnu",IF(AND(E628&lt;&gt;"",ISNA(MATCH(E628,art_ref,0))),"Article inconnu",IF(IF(E628="",FALSE,INDEX(art_check,MATCH(E628,art_ref,0))&lt;&gt;"OK"),"Article à corriger (feuille Articles)",IF(COUNTIFS(sj_date,A628,sj_eq,B628,sj_po,C628)&gt;1,"Ligne en double (même jour, équipe et poste)",IF(OR(NOT(ISNUMBER(K628)),N(K628)&lt;=0,N(K628)&gt;1440),"Temps d'ouverture invalide",IF(OR(AND(G628&lt;&gt;"",NOT(ISNUMBER(G628))),N(G628)&lt;0,N(G628)&lt;&gt;INT(N(G628)),AND(H628&lt;&gt;"",NOT(ISNUMBER(H628))),N(H628)&lt;0,N(H628)&lt;&gt;INT(N(H628)),AND(I628&lt;&gt;"",NOT(ISNUMBER(I628))),N(I628)&lt;0,N(I628)&lt;&gt;INT(N(I628))),"Quantité invalide",IF(Q628&lt;=0,"Cadence manquante (poste ou article)",IF(M628&lt;=0,"Arrêts planifiés supérieurs au temps d'ouverture",IF(O628&lt;0,"Arrêts supérieurs au temps requis",IF(AND(P628&gt;0,O628=0),"Pièces déclarées sans temps de marche",IF(AND(P628=0,O628&gt;0),"Aucune pièce déclarée",IF(P628*60/Q628&gt;O628+0.001,"Cadence dépassée : vérifiez la cadence","OK"))))))))))))))))))</f>
        <v/>
      </c>
      <c r="AC628">
        <f>IF(OR(AB628="OK",AB628="Aucune pièce déclarée",AB628="Cadence dépassée : vérifiez la cadence"),1,0)</f>
        <v>0.0</v>
      </c>
      <c r="AD628">
        <f>IF(AND(AC628=1,A628&gt;=p_from,A628&lt;=p_to),1,0)</f>
        <v>0.0</v>
      </c>
      <c r="AE628">
        <f>IF(AD628=1,IF(COUNTIFS($A$6:A628,A628,$AD$6:AD628,1)=1,1,0),0)</f>
        <v>0.0</v>
      </c>
      <c r="AF628" t="str">
        <f>IF(AE628=1,COUNTIFS(sj_first,1,sj_date,"&lt;"&amp;A628)+1,"")</f>
        <v/>
      </c>
      <c r="AG628" t="str">
        <f>IF(AND(AD628=1,N(W628)&lt;p_alert),ROUND(W628,4),"")</f>
        <v/>
      </c>
      <c r="AH628" t="str">
        <f>IF(AG628="","",COUNTIF(sj_akey,"&lt;"&amp;AG628)+COUNTIF($AG$6:AG628,AG628))</f>
        <v/>
      </c>
    </row>
    <row r="629">
      <c r="A629" s="51" t="n"/>
      <c r="B629" s="52" t="n"/>
      <c r="C629" s="52" t="n"/>
      <c r="D629" s="53" t="n"/>
      <c r="E629" s="53" t="n"/>
      <c r="F629" s="54" t="n"/>
      <c r="G629" s="54" t="n"/>
      <c r="H629" s="54" t="n"/>
      <c r="I629" s="54" t="n"/>
      <c r="J629" s="53" t="n"/>
      <c r="K629" s="55" t="str">
        <f>IF(COUNTA(A629:I629)=0,"",IF(F629="",IFERROR(INDEX(eq_dur,MATCH(B629,eq_code,0)),""),F629))</f>
        <v/>
      </c>
      <c r="L629" s="55" t="str">
        <f>IF(ISNUMBER(K629),N(IFERROR(INDEX(eq_pause,MATCH(B629,eq_code,0)),0))+SUMIFS(st_min,st_date,A629,st_eq,B629,st_po,C629,st_type,"Planifié"),"")</f>
        <v/>
      </c>
      <c r="M629" s="55" t="str">
        <f>IF(ISNUMBER(K629),K629-L629,"")</f>
        <v/>
      </c>
      <c r="N629" s="55" t="str">
        <f>IF(ISNUMBER(K629),SUMIFS(st_min,st_date,A629,st_eq,B629,st_po,C629,st_type,"Non planifié"),"")</f>
        <v/>
      </c>
      <c r="O629" s="55" t="str">
        <f>IF(ISNUMBER(K629),M629-N629,"")</f>
        <v/>
      </c>
      <c r="P629" s="55" t="str">
        <f>IF(COUNTA(A629:I629)=0,"",N(G629)+N(H629)+N(I629))</f>
        <v/>
      </c>
      <c r="Q629" s="56" t="str">
        <f>IF(COUNTA(A629:I629)=0,"",IF(N(IFERROR(INDEX(art_rate,MATCH(E629,art_ref,0)),0))&gt;0,N(IFERROR(INDEX(art_rate,MATCH(E629,art_ref,0)),0)),N(IFERROR(INDEX(po_rate,MATCH(C629,po_code,0)),0))))</f>
        <v/>
      </c>
      <c r="R629" s="55" t="str">
        <f>IF(AC629=1,P629*60/Q629,"")</f>
        <v/>
      </c>
      <c r="S629" s="55" t="str">
        <f>IF(AC629=1,N(G629)*60/Q629,"")</f>
        <v/>
      </c>
      <c r="T629" s="57" t="str">
        <f>IF(AC629=1,O629/M629,"")</f>
        <v/>
      </c>
      <c r="U629" s="57" t="str">
        <f>IF(AC629=1,IF(O629&gt;0,R629/O629,""),"")</f>
        <v/>
      </c>
      <c r="V629" s="57" t="str">
        <f>IF(AC629=1,IF(P629&gt;0,N(G629)/P629,""),"")</f>
        <v/>
      </c>
      <c r="W629" s="57" t="str">
        <f>IF(AC629=1,S629/M629,"")</f>
        <v/>
      </c>
      <c r="X629" s="57" t="str">
        <f>IF(AC629=1,S629/K629,"")</f>
        <v/>
      </c>
      <c r="Y629" s="58" t="str">
        <f>IF(W629="","",IF(W629&gt;=p_target,"Bon",IF(W629&gt;=p_alert,"À surveiller","Faible")))</f>
        <v/>
      </c>
      <c r="Z629" s="58" t="str">
        <f>IF(W629="","",IF(MIN(IF(T629="",1,T629),IF(U629="",1,U629),IF(V629="",1,V629))&gt;=1,"Aucune",IF(IF(T629="",1,T629)&lt;=MIN(IF(U629="",1,U629),IF(V629="",1,V629)),"Disponibilité",IF(IF(U629="",1,U629)&lt;=IF(V629="",1,V629),"Performance","Qualité"))))</f>
        <v/>
      </c>
      <c r="AA629" s="59" t="str">
        <f>IF(AC629=1,N(H629)*N(IFERROR(INDEX(art_cost,MATCH(E629,art_ref,0)),0)),"")</f>
        <v/>
      </c>
      <c r="AB629" s="58" t="str">
        <f>IF(COUNTA(A629:I629)=0,"",IF(N(A629)&lt;=0,"Date manquante ou invalide",IF(B629="","Équipe manquante",IF(ISNA(MATCH(B629,eq_code,0)),"Équipe inconnue",IF(INDEX(eq_check,MATCH(B629,eq_code,0))&lt;&gt;"OK","Équipe à corriger dans Paramètres",IF(C629="","Poste manquant",IF(ISNA(MATCH(C629,po_code,0)),"Poste inconnu",IF(AND(E629&lt;&gt;"",ISNA(MATCH(E629,art_ref,0))),"Article inconnu",IF(IF(E629="",FALSE,INDEX(art_check,MATCH(E629,art_ref,0))&lt;&gt;"OK"),"Article à corriger (feuille Articles)",IF(COUNTIFS(sj_date,A629,sj_eq,B629,sj_po,C629)&gt;1,"Ligne en double (même jour, équipe et poste)",IF(OR(NOT(ISNUMBER(K629)),N(K629)&lt;=0,N(K629)&gt;1440),"Temps d'ouverture invalide",IF(OR(AND(G629&lt;&gt;"",NOT(ISNUMBER(G629))),N(G629)&lt;0,N(G629)&lt;&gt;INT(N(G629)),AND(H629&lt;&gt;"",NOT(ISNUMBER(H629))),N(H629)&lt;0,N(H629)&lt;&gt;INT(N(H629)),AND(I629&lt;&gt;"",NOT(ISNUMBER(I629))),N(I629)&lt;0,N(I629)&lt;&gt;INT(N(I629))),"Quantité invalide",IF(Q629&lt;=0,"Cadence manquante (poste ou article)",IF(M629&lt;=0,"Arrêts planifiés supérieurs au temps d'ouverture",IF(O629&lt;0,"Arrêts supérieurs au temps requis",IF(AND(P629&gt;0,O629=0),"Pièces déclarées sans temps de marche",IF(AND(P629=0,O629&gt;0),"Aucune pièce déclarée",IF(P629*60/Q629&gt;O629+0.001,"Cadence dépassée : vérifiez la cadence","OK"))))))))))))))))))</f>
        <v/>
      </c>
      <c r="AC629">
        <f>IF(OR(AB629="OK",AB629="Aucune pièce déclarée",AB629="Cadence dépassée : vérifiez la cadence"),1,0)</f>
        <v>0.0</v>
      </c>
      <c r="AD629">
        <f>IF(AND(AC629=1,A629&gt;=p_from,A629&lt;=p_to),1,0)</f>
        <v>0.0</v>
      </c>
      <c r="AE629">
        <f>IF(AD629=1,IF(COUNTIFS($A$6:A629,A629,$AD$6:AD629,1)=1,1,0),0)</f>
        <v>0.0</v>
      </c>
      <c r="AF629" t="str">
        <f>IF(AE629=1,COUNTIFS(sj_first,1,sj_date,"&lt;"&amp;A629)+1,"")</f>
        <v/>
      </c>
      <c r="AG629" t="str">
        <f>IF(AND(AD629=1,N(W629)&lt;p_alert),ROUND(W629,4),"")</f>
        <v/>
      </c>
      <c r="AH629" t="str">
        <f>IF(AG629="","",COUNTIF(sj_akey,"&lt;"&amp;AG629)+COUNTIF($AG$6:AG629,AG629))</f>
        <v/>
      </c>
    </row>
    <row r="630">
      <c r="A630" s="51" t="n"/>
      <c r="B630" s="52" t="n"/>
      <c r="C630" s="52" t="n"/>
      <c r="D630" s="53" t="n"/>
      <c r="E630" s="53" t="n"/>
      <c r="F630" s="54" t="n"/>
      <c r="G630" s="54" t="n"/>
      <c r="H630" s="54" t="n"/>
      <c r="I630" s="54" t="n"/>
      <c r="J630" s="53" t="n"/>
      <c r="K630" s="55" t="str">
        <f>IF(COUNTA(A630:I630)=0,"",IF(F630="",IFERROR(INDEX(eq_dur,MATCH(B630,eq_code,0)),""),F630))</f>
        <v/>
      </c>
      <c r="L630" s="55" t="str">
        <f>IF(ISNUMBER(K630),N(IFERROR(INDEX(eq_pause,MATCH(B630,eq_code,0)),0))+SUMIFS(st_min,st_date,A630,st_eq,B630,st_po,C630,st_type,"Planifié"),"")</f>
        <v/>
      </c>
      <c r="M630" s="55" t="str">
        <f>IF(ISNUMBER(K630),K630-L630,"")</f>
        <v/>
      </c>
      <c r="N630" s="55" t="str">
        <f>IF(ISNUMBER(K630),SUMIFS(st_min,st_date,A630,st_eq,B630,st_po,C630,st_type,"Non planifié"),"")</f>
        <v/>
      </c>
      <c r="O630" s="55" t="str">
        <f>IF(ISNUMBER(K630),M630-N630,"")</f>
        <v/>
      </c>
      <c r="P630" s="55" t="str">
        <f>IF(COUNTA(A630:I630)=0,"",N(G630)+N(H630)+N(I630))</f>
        <v/>
      </c>
      <c r="Q630" s="56" t="str">
        <f>IF(COUNTA(A630:I630)=0,"",IF(N(IFERROR(INDEX(art_rate,MATCH(E630,art_ref,0)),0))&gt;0,N(IFERROR(INDEX(art_rate,MATCH(E630,art_ref,0)),0)),N(IFERROR(INDEX(po_rate,MATCH(C630,po_code,0)),0))))</f>
        <v/>
      </c>
      <c r="R630" s="55" t="str">
        <f>IF(AC630=1,P630*60/Q630,"")</f>
        <v/>
      </c>
      <c r="S630" s="55" t="str">
        <f>IF(AC630=1,N(G630)*60/Q630,"")</f>
        <v/>
      </c>
      <c r="T630" s="57" t="str">
        <f>IF(AC630=1,O630/M630,"")</f>
        <v/>
      </c>
      <c r="U630" s="57" t="str">
        <f>IF(AC630=1,IF(O630&gt;0,R630/O630,""),"")</f>
        <v/>
      </c>
      <c r="V630" s="57" t="str">
        <f>IF(AC630=1,IF(P630&gt;0,N(G630)/P630,""),"")</f>
        <v/>
      </c>
      <c r="W630" s="57" t="str">
        <f>IF(AC630=1,S630/M630,"")</f>
        <v/>
      </c>
      <c r="X630" s="57" t="str">
        <f>IF(AC630=1,S630/K630,"")</f>
        <v/>
      </c>
      <c r="Y630" s="58" t="str">
        <f>IF(W630="","",IF(W630&gt;=p_target,"Bon",IF(W630&gt;=p_alert,"À surveiller","Faible")))</f>
        <v/>
      </c>
      <c r="Z630" s="58" t="str">
        <f>IF(W630="","",IF(MIN(IF(T630="",1,T630),IF(U630="",1,U630),IF(V630="",1,V630))&gt;=1,"Aucune",IF(IF(T630="",1,T630)&lt;=MIN(IF(U630="",1,U630),IF(V630="",1,V630)),"Disponibilité",IF(IF(U630="",1,U630)&lt;=IF(V630="",1,V630),"Performance","Qualité"))))</f>
        <v/>
      </c>
      <c r="AA630" s="59" t="str">
        <f>IF(AC630=1,N(H630)*N(IFERROR(INDEX(art_cost,MATCH(E630,art_ref,0)),0)),"")</f>
        <v/>
      </c>
      <c r="AB630" s="58" t="str">
        <f>IF(COUNTA(A630:I630)=0,"",IF(N(A630)&lt;=0,"Date manquante ou invalide",IF(B630="","Équipe manquante",IF(ISNA(MATCH(B630,eq_code,0)),"Équipe inconnue",IF(INDEX(eq_check,MATCH(B630,eq_code,0))&lt;&gt;"OK","Équipe à corriger dans Paramètres",IF(C630="","Poste manquant",IF(ISNA(MATCH(C630,po_code,0)),"Poste inconnu",IF(AND(E630&lt;&gt;"",ISNA(MATCH(E630,art_ref,0))),"Article inconnu",IF(IF(E630="",FALSE,INDEX(art_check,MATCH(E630,art_ref,0))&lt;&gt;"OK"),"Article à corriger (feuille Articles)",IF(COUNTIFS(sj_date,A630,sj_eq,B630,sj_po,C630)&gt;1,"Ligne en double (même jour, équipe et poste)",IF(OR(NOT(ISNUMBER(K630)),N(K630)&lt;=0,N(K630)&gt;1440),"Temps d'ouverture invalide",IF(OR(AND(G630&lt;&gt;"",NOT(ISNUMBER(G630))),N(G630)&lt;0,N(G630)&lt;&gt;INT(N(G630)),AND(H630&lt;&gt;"",NOT(ISNUMBER(H630))),N(H630)&lt;0,N(H630)&lt;&gt;INT(N(H630)),AND(I630&lt;&gt;"",NOT(ISNUMBER(I630))),N(I630)&lt;0,N(I630)&lt;&gt;INT(N(I630))),"Quantité invalide",IF(Q630&lt;=0,"Cadence manquante (poste ou article)",IF(M630&lt;=0,"Arrêts planifiés supérieurs au temps d'ouverture",IF(O630&lt;0,"Arrêts supérieurs au temps requis",IF(AND(P630&gt;0,O630=0),"Pièces déclarées sans temps de marche",IF(AND(P630=0,O630&gt;0),"Aucune pièce déclarée",IF(P630*60/Q630&gt;O630+0.001,"Cadence dépassée : vérifiez la cadence","OK"))))))))))))))))))</f>
        <v/>
      </c>
      <c r="AC630">
        <f>IF(OR(AB630="OK",AB630="Aucune pièce déclarée",AB630="Cadence dépassée : vérifiez la cadence"),1,0)</f>
        <v>0.0</v>
      </c>
      <c r="AD630">
        <f>IF(AND(AC630=1,A630&gt;=p_from,A630&lt;=p_to),1,0)</f>
        <v>0.0</v>
      </c>
      <c r="AE630">
        <f>IF(AD630=1,IF(COUNTIFS($A$6:A630,A630,$AD$6:AD630,1)=1,1,0),0)</f>
        <v>0.0</v>
      </c>
      <c r="AF630" t="str">
        <f>IF(AE630=1,COUNTIFS(sj_first,1,sj_date,"&lt;"&amp;A630)+1,"")</f>
        <v/>
      </c>
      <c r="AG630" t="str">
        <f>IF(AND(AD630=1,N(W630)&lt;p_alert),ROUND(W630,4),"")</f>
        <v/>
      </c>
      <c r="AH630" t="str">
        <f>IF(AG630="","",COUNTIF(sj_akey,"&lt;"&amp;AG630)+COUNTIF($AG$6:AG630,AG630))</f>
        <v/>
      </c>
    </row>
    <row r="631">
      <c r="A631" s="51" t="n"/>
      <c r="B631" s="52" t="n"/>
      <c r="C631" s="52" t="n"/>
      <c r="D631" s="53" t="n"/>
      <c r="E631" s="53" t="n"/>
      <c r="F631" s="54" t="n"/>
      <c r="G631" s="54" t="n"/>
      <c r="H631" s="54" t="n"/>
      <c r="I631" s="54" t="n"/>
      <c r="J631" s="53" t="n"/>
      <c r="K631" s="55" t="str">
        <f>IF(COUNTA(A631:I631)=0,"",IF(F631="",IFERROR(INDEX(eq_dur,MATCH(B631,eq_code,0)),""),F631))</f>
        <v/>
      </c>
      <c r="L631" s="55" t="str">
        <f>IF(ISNUMBER(K631),N(IFERROR(INDEX(eq_pause,MATCH(B631,eq_code,0)),0))+SUMIFS(st_min,st_date,A631,st_eq,B631,st_po,C631,st_type,"Planifié"),"")</f>
        <v/>
      </c>
      <c r="M631" s="55" t="str">
        <f>IF(ISNUMBER(K631),K631-L631,"")</f>
        <v/>
      </c>
      <c r="N631" s="55" t="str">
        <f>IF(ISNUMBER(K631),SUMIFS(st_min,st_date,A631,st_eq,B631,st_po,C631,st_type,"Non planifié"),"")</f>
        <v/>
      </c>
      <c r="O631" s="55" t="str">
        <f>IF(ISNUMBER(K631),M631-N631,"")</f>
        <v/>
      </c>
      <c r="P631" s="55" t="str">
        <f>IF(COUNTA(A631:I631)=0,"",N(G631)+N(H631)+N(I631))</f>
        <v/>
      </c>
      <c r="Q631" s="56" t="str">
        <f>IF(COUNTA(A631:I631)=0,"",IF(N(IFERROR(INDEX(art_rate,MATCH(E631,art_ref,0)),0))&gt;0,N(IFERROR(INDEX(art_rate,MATCH(E631,art_ref,0)),0)),N(IFERROR(INDEX(po_rate,MATCH(C631,po_code,0)),0))))</f>
        <v/>
      </c>
      <c r="R631" s="55" t="str">
        <f>IF(AC631=1,P631*60/Q631,"")</f>
        <v/>
      </c>
      <c r="S631" s="55" t="str">
        <f>IF(AC631=1,N(G631)*60/Q631,"")</f>
        <v/>
      </c>
      <c r="T631" s="57" t="str">
        <f>IF(AC631=1,O631/M631,"")</f>
        <v/>
      </c>
      <c r="U631" s="57" t="str">
        <f>IF(AC631=1,IF(O631&gt;0,R631/O631,""),"")</f>
        <v/>
      </c>
      <c r="V631" s="57" t="str">
        <f>IF(AC631=1,IF(P631&gt;0,N(G631)/P631,""),"")</f>
        <v/>
      </c>
      <c r="W631" s="57" t="str">
        <f>IF(AC631=1,S631/M631,"")</f>
        <v/>
      </c>
      <c r="X631" s="57" t="str">
        <f>IF(AC631=1,S631/K631,"")</f>
        <v/>
      </c>
      <c r="Y631" s="58" t="str">
        <f>IF(W631="","",IF(W631&gt;=p_target,"Bon",IF(W631&gt;=p_alert,"À surveiller","Faible")))</f>
        <v/>
      </c>
      <c r="Z631" s="58" t="str">
        <f>IF(W631="","",IF(MIN(IF(T631="",1,T631),IF(U631="",1,U631),IF(V631="",1,V631))&gt;=1,"Aucune",IF(IF(T631="",1,T631)&lt;=MIN(IF(U631="",1,U631),IF(V631="",1,V631)),"Disponibilité",IF(IF(U631="",1,U631)&lt;=IF(V631="",1,V631),"Performance","Qualité"))))</f>
        <v/>
      </c>
      <c r="AA631" s="59" t="str">
        <f>IF(AC631=1,N(H631)*N(IFERROR(INDEX(art_cost,MATCH(E631,art_ref,0)),0)),"")</f>
        <v/>
      </c>
      <c r="AB631" s="58" t="str">
        <f>IF(COUNTA(A631:I631)=0,"",IF(N(A631)&lt;=0,"Date manquante ou invalide",IF(B631="","Équipe manquante",IF(ISNA(MATCH(B631,eq_code,0)),"Équipe inconnue",IF(INDEX(eq_check,MATCH(B631,eq_code,0))&lt;&gt;"OK","Équipe à corriger dans Paramètres",IF(C631="","Poste manquant",IF(ISNA(MATCH(C631,po_code,0)),"Poste inconnu",IF(AND(E631&lt;&gt;"",ISNA(MATCH(E631,art_ref,0))),"Article inconnu",IF(IF(E631="",FALSE,INDEX(art_check,MATCH(E631,art_ref,0))&lt;&gt;"OK"),"Article à corriger (feuille Articles)",IF(COUNTIFS(sj_date,A631,sj_eq,B631,sj_po,C631)&gt;1,"Ligne en double (même jour, équipe et poste)",IF(OR(NOT(ISNUMBER(K631)),N(K631)&lt;=0,N(K631)&gt;1440),"Temps d'ouverture invalide",IF(OR(AND(G631&lt;&gt;"",NOT(ISNUMBER(G631))),N(G631)&lt;0,N(G631)&lt;&gt;INT(N(G631)),AND(H631&lt;&gt;"",NOT(ISNUMBER(H631))),N(H631)&lt;0,N(H631)&lt;&gt;INT(N(H631)),AND(I631&lt;&gt;"",NOT(ISNUMBER(I631))),N(I631)&lt;0,N(I631)&lt;&gt;INT(N(I631))),"Quantité invalide",IF(Q631&lt;=0,"Cadence manquante (poste ou article)",IF(M631&lt;=0,"Arrêts planifiés supérieurs au temps d'ouverture",IF(O631&lt;0,"Arrêts supérieurs au temps requis",IF(AND(P631&gt;0,O631=0),"Pièces déclarées sans temps de marche",IF(AND(P631=0,O631&gt;0),"Aucune pièce déclarée",IF(P631*60/Q631&gt;O631+0.001,"Cadence dépassée : vérifiez la cadence","OK"))))))))))))))))))</f>
        <v/>
      </c>
      <c r="AC631">
        <f>IF(OR(AB631="OK",AB631="Aucune pièce déclarée",AB631="Cadence dépassée : vérifiez la cadence"),1,0)</f>
        <v>0.0</v>
      </c>
      <c r="AD631">
        <f>IF(AND(AC631=1,A631&gt;=p_from,A631&lt;=p_to),1,0)</f>
        <v>0.0</v>
      </c>
      <c r="AE631">
        <f>IF(AD631=1,IF(COUNTIFS($A$6:A631,A631,$AD$6:AD631,1)=1,1,0),0)</f>
        <v>0.0</v>
      </c>
      <c r="AF631" t="str">
        <f>IF(AE631=1,COUNTIFS(sj_first,1,sj_date,"&lt;"&amp;A631)+1,"")</f>
        <v/>
      </c>
      <c r="AG631" t="str">
        <f>IF(AND(AD631=1,N(W631)&lt;p_alert),ROUND(W631,4),"")</f>
        <v/>
      </c>
      <c r="AH631" t="str">
        <f>IF(AG631="","",COUNTIF(sj_akey,"&lt;"&amp;AG631)+COUNTIF($AG$6:AG631,AG631))</f>
        <v/>
      </c>
    </row>
    <row r="632">
      <c r="A632" s="51" t="n"/>
      <c r="B632" s="52" t="n"/>
      <c r="C632" s="52" t="n"/>
      <c r="D632" s="53" t="n"/>
      <c r="E632" s="53" t="n"/>
      <c r="F632" s="54" t="n"/>
      <c r="G632" s="54" t="n"/>
      <c r="H632" s="54" t="n"/>
      <c r="I632" s="54" t="n"/>
      <c r="J632" s="53" t="n"/>
      <c r="K632" s="55" t="str">
        <f>IF(COUNTA(A632:I632)=0,"",IF(F632="",IFERROR(INDEX(eq_dur,MATCH(B632,eq_code,0)),""),F632))</f>
        <v/>
      </c>
      <c r="L632" s="55" t="str">
        <f>IF(ISNUMBER(K632),N(IFERROR(INDEX(eq_pause,MATCH(B632,eq_code,0)),0))+SUMIFS(st_min,st_date,A632,st_eq,B632,st_po,C632,st_type,"Planifié"),"")</f>
        <v/>
      </c>
      <c r="M632" s="55" t="str">
        <f>IF(ISNUMBER(K632),K632-L632,"")</f>
        <v/>
      </c>
      <c r="N632" s="55" t="str">
        <f>IF(ISNUMBER(K632),SUMIFS(st_min,st_date,A632,st_eq,B632,st_po,C632,st_type,"Non planifié"),"")</f>
        <v/>
      </c>
      <c r="O632" s="55" t="str">
        <f>IF(ISNUMBER(K632),M632-N632,"")</f>
        <v/>
      </c>
      <c r="P632" s="55" t="str">
        <f>IF(COUNTA(A632:I632)=0,"",N(G632)+N(H632)+N(I632))</f>
        <v/>
      </c>
      <c r="Q632" s="56" t="str">
        <f>IF(COUNTA(A632:I632)=0,"",IF(N(IFERROR(INDEX(art_rate,MATCH(E632,art_ref,0)),0))&gt;0,N(IFERROR(INDEX(art_rate,MATCH(E632,art_ref,0)),0)),N(IFERROR(INDEX(po_rate,MATCH(C632,po_code,0)),0))))</f>
        <v/>
      </c>
      <c r="R632" s="55" t="str">
        <f>IF(AC632=1,P632*60/Q632,"")</f>
        <v/>
      </c>
      <c r="S632" s="55" t="str">
        <f>IF(AC632=1,N(G632)*60/Q632,"")</f>
        <v/>
      </c>
      <c r="T632" s="57" t="str">
        <f>IF(AC632=1,O632/M632,"")</f>
        <v/>
      </c>
      <c r="U632" s="57" t="str">
        <f>IF(AC632=1,IF(O632&gt;0,R632/O632,""),"")</f>
        <v/>
      </c>
      <c r="V632" s="57" t="str">
        <f>IF(AC632=1,IF(P632&gt;0,N(G632)/P632,""),"")</f>
        <v/>
      </c>
      <c r="W632" s="57" t="str">
        <f>IF(AC632=1,S632/M632,"")</f>
        <v/>
      </c>
      <c r="X632" s="57" t="str">
        <f>IF(AC632=1,S632/K632,"")</f>
        <v/>
      </c>
      <c r="Y632" s="58" t="str">
        <f>IF(W632="","",IF(W632&gt;=p_target,"Bon",IF(W632&gt;=p_alert,"À surveiller","Faible")))</f>
        <v/>
      </c>
      <c r="Z632" s="58" t="str">
        <f>IF(W632="","",IF(MIN(IF(T632="",1,T632),IF(U632="",1,U632),IF(V632="",1,V632))&gt;=1,"Aucune",IF(IF(T632="",1,T632)&lt;=MIN(IF(U632="",1,U632),IF(V632="",1,V632)),"Disponibilité",IF(IF(U632="",1,U632)&lt;=IF(V632="",1,V632),"Performance","Qualité"))))</f>
        <v/>
      </c>
      <c r="AA632" s="59" t="str">
        <f>IF(AC632=1,N(H632)*N(IFERROR(INDEX(art_cost,MATCH(E632,art_ref,0)),0)),"")</f>
        <v/>
      </c>
      <c r="AB632" s="58" t="str">
        <f>IF(COUNTA(A632:I632)=0,"",IF(N(A632)&lt;=0,"Date manquante ou invalide",IF(B632="","Équipe manquante",IF(ISNA(MATCH(B632,eq_code,0)),"Équipe inconnue",IF(INDEX(eq_check,MATCH(B632,eq_code,0))&lt;&gt;"OK","Équipe à corriger dans Paramètres",IF(C632="","Poste manquant",IF(ISNA(MATCH(C632,po_code,0)),"Poste inconnu",IF(AND(E632&lt;&gt;"",ISNA(MATCH(E632,art_ref,0))),"Article inconnu",IF(IF(E632="",FALSE,INDEX(art_check,MATCH(E632,art_ref,0))&lt;&gt;"OK"),"Article à corriger (feuille Articles)",IF(COUNTIFS(sj_date,A632,sj_eq,B632,sj_po,C632)&gt;1,"Ligne en double (même jour, équipe et poste)",IF(OR(NOT(ISNUMBER(K632)),N(K632)&lt;=0,N(K632)&gt;1440),"Temps d'ouverture invalide",IF(OR(AND(G632&lt;&gt;"",NOT(ISNUMBER(G632))),N(G632)&lt;0,N(G632)&lt;&gt;INT(N(G632)),AND(H632&lt;&gt;"",NOT(ISNUMBER(H632))),N(H632)&lt;0,N(H632)&lt;&gt;INT(N(H632)),AND(I632&lt;&gt;"",NOT(ISNUMBER(I632))),N(I632)&lt;0,N(I632)&lt;&gt;INT(N(I632))),"Quantité invalide",IF(Q632&lt;=0,"Cadence manquante (poste ou article)",IF(M632&lt;=0,"Arrêts planifiés supérieurs au temps d'ouverture",IF(O632&lt;0,"Arrêts supérieurs au temps requis",IF(AND(P632&gt;0,O632=0),"Pièces déclarées sans temps de marche",IF(AND(P632=0,O632&gt;0),"Aucune pièce déclarée",IF(P632*60/Q632&gt;O632+0.001,"Cadence dépassée : vérifiez la cadence","OK"))))))))))))))))))</f>
        <v/>
      </c>
      <c r="AC632">
        <f>IF(OR(AB632="OK",AB632="Aucune pièce déclarée",AB632="Cadence dépassée : vérifiez la cadence"),1,0)</f>
        <v>0.0</v>
      </c>
      <c r="AD632">
        <f>IF(AND(AC632=1,A632&gt;=p_from,A632&lt;=p_to),1,0)</f>
        <v>0.0</v>
      </c>
      <c r="AE632">
        <f>IF(AD632=1,IF(COUNTIFS($A$6:A632,A632,$AD$6:AD632,1)=1,1,0),0)</f>
        <v>0.0</v>
      </c>
      <c r="AF632" t="str">
        <f>IF(AE632=1,COUNTIFS(sj_first,1,sj_date,"&lt;"&amp;A632)+1,"")</f>
        <v/>
      </c>
      <c r="AG632" t="str">
        <f>IF(AND(AD632=1,N(W632)&lt;p_alert),ROUND(W632,4),"")</f>
        <v/>
      </c>
      <c r="AH632" t="str">
        <f>IF(AG632="","",COUNTIF(sj_akey,"&lt;"&amp;AG632)+COUNTIF($AG$6:AG632,AG632))</f>
        <v/>
      </c>
    </row>
    <row r="633">
      <c r="A633" s="51" t="n"/>
      <c r="B633" s="52" t="n"/>
      <c r="C633" s="52" t="n"/>
      <c r="D633" s="53" t="n"/>
      <c r="E633" s="53" t="n"/>
      <c r="F633" s="54" t="n"/>
      <c r="G633" s="54" t="n"/>
      <c r="H633" s="54" t="n"/>
      <c r="I633" s="54" t="n"/>
      <c r="J633" s="53" t="n"/>
      <c r="K633" s="55" t="str">
        <f>IF(COUNTA(A633:I633)=0,"",IF(F633="",IFERROR(INDEX(eq_dur,MATCH(B633,eq_code,0)),""),F633))</f>
        <v/>
      </c>
      <c r="L633" s="55" t="str">
        <f>IF(ISNUMBER(K633),N(IFERROR(INDEX(eq_pause,MATCH(B633,eq_code,0)),0))+SUMIFS(st_min,st_date,A633,st_eq,B633,st_po,C633,st_type,"Planifié"),"")</f>
        <v/>
      </c>
      <c r="M633" s="55" t="str">
        <f>IF(ISNUMBER(K633),K633-L633,"")</f>
        <v/>
      </c>
      <c r="N633" s="55" t="str">
        <f>IF(ISNUMBER(K633),SUMIFS(st_min,st_date,A633,st_eq,B633,st_po,C633,st_type,"Non planifié"),"")</f>
        <v/>
      </c>
      <c r="O633" s="55" t="str">
        <f>IF(ISNUMBER(K633),M633-N633,"")</f>
        <v/>
      </c>
      <c r="P633" s="55" t="str">
        <f>IF(COUNTA(A633:I633)=0,"",N(G633)+N(H633)+N(I633))</f>
        <v/>
      </c>
      <c r="Q633" s="56" t="str">
        <f>IF(COUNTA(A633:I633)=0,"",IF(N(IFERROR(INDEX(art_rate,MATCH(E633,art_ref,0)),0))&gt;0,N(IFERROR(INDEX(art_rate,MATCH(E633,art_ref,0)),0)),N(IFERROR(INDEX(po_rate,MATCH(C633,po_code,0)),0))))</f>
        <v/>
      </c>
      <c r="R633" s="55" t="str">
        <f>IF(AC633=1,P633*60/Q633,"")</f>
        <v/>
      </c>
      <c r="S633" s="55" t="str">
        <f>IF(AC633=1,N(G633)*60/Q633,"")</f>
        <v/>
      </c>
      <c r="T633" s="57" t="str">
        <f>IF(AC633=1,O633/M633,"")</f>
        <v/>
      </c>
      <c r="U633" s="57" t="str">
        <f>IF(AC633=1,IF(O633&gt;0,R633/O633,""),"")</f>
        <v/>
      </c>
      <c r="V633" s="57" t="str">
        <f>IF(AC633=1,IF(P633&gt;0,N(G633)/P633,""),"")</f>
        <v/>
      </c>
      <c r="W633" s="57" t="str">
        <f>IF(AC633=1,S633/M633,"")</f>
        <v/>
      </c>
      <c r="X633" s="57" t="str">
        <f>IF(AC633=1,S633/K633,"")</f>
        <v/>
      </c>
      <c r="Y633" s="58" t="str">
        <f>IF(W633="","",IF(W633&gt;=p_target,"Bon",IF(W633&gt;=p_alert,"À surveiller","Faible")))</f>
        <v/>
      </c>
      <c r="Z633" s="58" t="str">
        <f>IF(W633="","",IF(MIN(IF(T633="",1,T633),IF(U633="",1,U633),IF(V633="",1,V633))&gt;=1,"Aucune",IF(IF(T633="",1,T633)&lt;=MIN(IF(U633="",1,U633),IF(V633="",1,V633)),"Disponibilité",IF(IF(U633="",1,U633)&lt;=IF(V633="",1,V633),"Performance","Qualité"))))</f>
        <v/>
      </c>
      <c r="AA633" s="59" t="str">
        <f>IF(AC633=1,N(H633)*N(IFERROR(INDEX(art_cost,MATCH(E633,art_ref,0)),0)),"")</f>
        <v/>
      </c>
      <c r="AB633" s="58" t="str">
        <f>IF(COUNTA(A633:I633)=0,"",IF(N(A633)&lt;=0,"Date manquante ou invalide",IF(B633="","Équipe manquante",IF(ISNA(MATCH(B633,eq_code,0)),"Équipe inconnue",IF(INDEX(eq_check,MATCH(B633,eq_code,0))&lt;&gt;"OK","Équipe à corriger dans Paramètres",IF(C633="","Poste manquant",IF(ISNA(MATCH(C633,po_code,0)),"Poste inconnu",IF(AND(E633&lt;&gt;"",ISNA(MATCH(E633,art_ref,0))),"Article inconnu",IF(IF(E633="",FALSE,INDEX(art_check,MATCH(E633,art_ref,0))&lt;&gt;"OK"),"Article à corriger (feuille Articles)",IF(COUNTIFS(sj_date,A633,sj_eq,B633,sj_po,C633)&gt;1,"Ligne en double (même jour, équipe et poste)",IF(OR(NOT(ISNUMBER(K633)),N(K633)&lt;=0,N(K633)&gt;1440),"Temps d'ouverture invalide",IF(OR(AND(G633&lt;&gt;"",NOT(ISNUMBER(G633))),N(G633)&lt;0,N(G633)&lt;&gt;INT(N(G633)),AND(H633&lt;&gt;"",NOT(ISNUMBER(H633))),N(H633)&lt;0,N(H633)&lt;&gt;INT(N(H633)),AND(I633&lt;&gt;"",NOT(ISNUMBER(I633))),N(I633)&lt;0,N(I633)&lt;&gt;INT(N(I633))),"Quantité invalide",IF(Q633&lt;=0,"Cadence manquante (poste ou article)",IF(M633&lt;=0,"Arrêts planifiés supérieurs au temps d'ouverture",IF(O633&lt;0,"Arrêts supérieurs au temps requis",IF(AND(P633&gt;0,O633=0),"Pièces déclarées sans temps de marche",IF(AND(P633=0,O633&gt;0),"Aucune pièce déclarée",IF(P633*60/Q633&gt;O633+0.001,"Cadence dépassée : vérifiez la cadence","OK"))))))))))))))))))</f>
        <v/>
      </c>
      <c r="AC633">
        <f>IF(OR(AB633="OK",AB633="Aucune pièce déclarée",AB633="Cadence dépassée : vérifiez la cadence"),1,0)</f>
        <v>0.0</v>
      </c>
      <c r="AD633">
        <f>IF(AND(AC633=1,A633&gt;=p_from,A633&lt;=p_to),1,0)</f>
        <v>0.0</v>
      </c>
      <c r="AE633">
        <f>IF(AD633=1,IF(COUNTIFS($A$6:A633,A633,$AD$6:AD633,1)=1,1,0),0)</f>
        <v>0.0</v>
      </c>
      <c r="AF633" t="str">
        <f>IF(AE633=1,COUNTIFS(sj_first,1,sj_date,"&lt;"&amp;A633)+1,"")</f>
        <v/>
      </c>
      <c r="AG633" t="str">
        <f>IF(AND(AD633=1,N(W633)&lt;p_alert),ROUND(W633,4),"")</f>
        <v/>
      </c>
      <c r="AH633" t="str">
        <f>IF(AG633="","",COUNTIF(sj_akey,"&lt;"&amp;AG633)+COUNTIF($AG$6:AG633,AG633))</f>
        <v/>
      </c>
    </row>
    <row r="634">
      <c r="A634" s="51" t="n"/>
      <c r="B634" s="52" t="n"/>
      <c r="C634" s="52" t="n"/>
      <c r="D634" s="53" t="n"/>
      <c r="E634" s="53" t="n"/>
      <c r="F634" s="54" t="n"/>
      <c r="G634" s="54" t="n"/>
      <c r="H634" s="54" t="n"/>
      <c r="I634" s="54" t="n"/>
      <c r="J634" s="53" t="n"/>
      <c r="K634" s="55" t="str">
        <f>IF(COUNTA(A634:I634)=0,"",IF(F634="",IFERROR(INDEX(eq_dur,MATCH(B634,eq_code,0)),""),F634))</f>
        <v/>
      </c>
      <c r="L634" s="55" t="str">
        <f>IF(ISNUMBER(K634),N(IFERROR(INDEX(eq_pause,MATCH(B634,eq_code,0)),0))+SUMIFS(st_min,st_date,A634,st_eq,B634,st_po,C634,st_type,"Planifié"),"")</f>
        <v/>
      </c>
      <c r="M634" s="55" t="str">
        <f>IF(ISNUMBER(K634),K634-L634,"")</f>
        <v/>
      </c>
      <c r="N634" s="55" t="str">
        <f>IF(ISNUMBER(K634),SUMIFS(st_min,st_date,A634,st_eq,B634,st_po,C634,st_type,"Non planifié"),"")</f>
        <v/>
      </c>
      <c r="O634" s="55" t="str">
        <f>IF(ISNUMBER(K634),M634-N634,"")</f>
        <v/>
      </c>
      <c r="P634" s="55" t="str">
        <f>IF(COUNTA(A634:I634)=0,"",N(G634)+N(H634)+N(I634))</f>
        <v/>
      </c>
      <c r="Q634" s="56" t="str">
        <f>IF(COUNTA(A634:I634)=0,"",IF(N(IFERROR(INDEX(art_rate,MATCH(E634,art_ref,0)),0))&gt;0,N(IFERROR(INDEX(art_rate,MATCH(E634,art_ref,0)),0)),N(IFERROR(INDEX(po_rate,MATCH(C634,po_code,0)),0))))</f>
        <v/>
      </c>
      <c r="R634" s="55" t="str">
        <f>IF(AC634=1,P634*60/Q634,"")</f>
        <v/>
      </c>
      <c r="S634" s="55" t="str">
        <f>IF(AC634=1,N(G634)*60/Q634,"")</f>
        <v/>
      </c>
      <c r="T634" s="57" t="str">
        <f>IF(AC634=1,O634/M634,"")</f>
        <v/>
      </c>
      <c r="U634" s="57" t="str">
        <f>IF(AC634=1,IF(O634&gt;0,R634/O634,""),"")</f>
        <v/>
      </c>
      <c r="V634" s="57" t="str">
        <f>IF(AC634=1,IF(P634&gt;0,N(G634)/P634,""),"")</f>
        <v/>
      </c>
      <c r="W634" s="57" t="str">
        <f>IF(AC634=1,S634/M634,"")</f>
        <v/>
      </c>
      <c r="X634" s="57" t="str">
        <f>IF(AC634=1,S634/K634,"")</f>
        <v/>
      </c>
      <c r="Y634" s="58" t="str">
        <f>IF(W634="","",IF(W634&gt;=p_target,"Bon",IF(W634&gt;=p_alert,"À surveiller","Faible")))</f>
        <v/>
      </c>
      <c r="Z634" s="58" t="str">
        <f>IF(W634="","",IF(MIN(IF(T634="",1,T634),IF(U634="",1,U634),IF(V634="",1,V634))&gt;=1,"Aucune",IF(IF(T634="",1,T634)&lt;=MIN(IF(U634="",1,U634),IF(V634="",1,V634)),"Disponibilité",IF(IF(U634="",1,U634)&lt;=IF(V634="",1,V634),"Performance","Qualité"))))</f>
        <v/>
      </c>
      <c r="AA634" s="59" t="str">
        <f>IF(AC634=1,N(H634)*N(IFERROR(INDEX(art_cost,MATCH(E634,art_ref,0)),0)),"")</f>
        <v/>
      </c>
      <c r="AB634" s="58" t="str">
        <f>IF(COUNTA(A634:I634)=0,"",IF(N(A634)&lt;=0,"Date manquante ou invalide",IF(B634="","Équipe manquante",IF(ISNA(MATCH(B634,eq_code,0)),"Équipe inconnue",IF(INDEX(eq_check,MATCH(B634,eq_code,0))&lt;&gt;"OK","Équipe à corriger dans Paramètres",IF(C634="","Poste manquant",IF(ISNA(MATCH(C634,po_code,0)),"Poste inconnu",IF(AND(E634&lt;&gt;"",ISNA(MATCH(E634,art_ref,0))),"Article inconnu",IF(IF(E634="",FALSE,INDEX(art_check,MATCH(E634,art_ref,0))&lt;&gt;"OK"),"Article à corriger (feuille Articles)",IF(COUNTIFS(sj_date,A634,sj_eq,B634,sj_po,C634)&gt;1,"Ligne en double (même jour, équipe et poste)",IF(OR(NOT(ISNUMBER(K634)),N(K634)&lt;=0,N(K634)&gt;1440),"Temps d'ouverture invalide",IF(OR(AND(G634&lt;&gt;"",NOT(ISNUMBER(G634))),N(G634)&lt;0,N(G634)&lt;&gt;INT(N(G634)),AND(H634&lt;&gt;"",NOT(ISNUMBER(H634))),N(H634)&lt;0,N(H634)&lt;&gt;INT(N(H634)),AND(I634&lt;&gt;"",NOT(ISNUMBER(I634))),N(I634)&lt;0,N(I634)&lt;&gt;INT(N(I634))),"Quantité invalide",IF(Q634&lt;=0,"Cadence manquante (poste ou article)",IF(M634&lt;=0,"Arrêts planifiés supérieurs au temps d'ouverture",IF(O634&lt;0,"Arrêts supérieurs au temps requis",IF(AND(P634&gt;0,O634=0),"Pièces déclarées sans temps de marche",IF(AND(P634=0,O634&gt;0),"Aucune pièce déclarée",IF(P634*60/Q634&gt;O634+0.001,"Cadence dépassée : vérifiez la cadence","OK"))))))))))))))))))</f>
        <v/>
      </c>
      <c r="AC634">
        <f>IF(OR(AB634="OK",AB634="Aucune pièce déclarée",AB634="Cadence dépassée : vérifiez la cadence"),1,0)</f>
        <v>0.0</v>
      </c>
      <c r="AD634">
        <f>IF(AND(AC634=1,A634&gt;=p_from,A634&lt;=p_to),1,0)</f>
        <v>0.0</v>
      </c>
      <c r="AE634">
        <f>IF(AD634=1,IF(COUNTIFS($A$6:A634,A634,$AD$6:AD634,1)=1,1,0),0)</f>
        <v>0.0</v>
      </c>
      <c r="AF634" t="str">
        <f>IF(AE634=1,COUNTIFS(sj_first,1,sj_date,"&lt;"&amp;A634)+1,"")</f>
        <v/>
      </c>
      <c r="AG634" t="str">
        <f>IF(AND(AD634=1,N(W634)&lt;p_alert),ROUND(W634,4),"")</f>
        <v/>
      </c>
      <c r="AH634" t="str">
        <f>IF(AG634="","",COUNTIF(sj_akey,"&lt;"&amp;AG634)+COUNTIF($AG$6:AG634,AG634))</f>
        <v/>
      </c>
    </row>
    <row r="635">
      <c r="A635" s="51" t="n"/>
      <c r="B635" s="52" t="n"/>
      <c r="C635" s="52" t="n"/>
      <c r="D635" s="53" t="n"/>
      <c r="E635" s="53" t="n"/>
      <c r="F635" s="54" t="n"/>
      <c r="G635" s="54" t="n"/>
      <c r="H635" s="54" t="n"/>
      <c r="I635" s="54" t="n"/>
      <c r="J635" s="53" t="n"/>
      <c r="K635" s="55" t="str">
        <f>IF(COUNTA(A635:I635)=0,"",IF(F635="",IFERROR(INDEX(eq_dur,MATCH(B635,eq_code,0)),""),F635))</f>
        <v/>
      </c>
      <c r="L635" s="55" t="str">
        <f>IF(ISNUMBER(K635),N(IFERROR(INDEX(eq_pause,MATCH(B635,eq_code,0)),0))+SUMIFS(st_min,st_date,A635,st_eq,B635,st_po,C635,st_type,"Planifié"),"")</f>
        <v/>
      </c>
      <c r="M635" s="55" t="str">
        <f>IF(ISNUMBER(K635),K635-L635,"")</f>
        <v/>
      </c>
      <c r="N635" s="55" t="str">
        <f>IF(ISNUMBER(K635),SUMIFS(st_min,st_date,A635,st_eq,B635,st_po,C635,st_type,"Non planifié"),"")</f>
        <v/>
      </c>
      <c r="O635" s="55" t="str">
        <f>IF(ISNUMBER(K635),M635-N635,"")</f>
        <v/>
      </c>
      <c r="P635" s="55" t="str">
        <f>IF(COUNTA(A635:I635)=0,"",N(G635)+N(H635)+N(I635))</f>
        <v/>
      </c>
      <c r="Q635" s="56" t="str">
        <f>IF(COUNTA(A635:I635)=0,"",IF(N(IFERROR(INDEX(art_rate,MATCH(E635,art_ref,0)),0))&gt;0,N(IFERROR(INDEX(art_rate,MATCH(E635,art_ref,0)),0)),N(IFERROR(INDEX(po_rate,MATCH(C635,po_code,0)),0))))</f>
        <v/>
      </c>
      <c r="R635" s="55" t="str">
        <f>IF(AC635=1,P635*60/Q635,"")</f>
        <v/>
      </c>
      <c r="S635" s="55" t="str">
        <f>IF(AC635=1,N(G635)*60/Q635,"")</f>
        <v/>
      </c>
      <c r="T635" s="57" t="str">
        <f>IF(AC635=1,O635/M635,"")</f>
        <v/>
      </c>
      <c r="U635" s="57" t="str">
        <f>IF(AC635=1,IF(O635&gt;0,R635/O635,""),"")</f>
        <v/>
      </c>
      <c r="V635" s="57" t="str">
        <f>IF(AC635=1,IF(P635&gt;0,N(G635)/P635,""),"")</f>
        <v/>
      </c>
      <c r="W635" s="57" t="str">
        <f>IF(AC635=1,S635/M635,"")</f>
        <v/>
      </c>
      <c r="X635" s="57" t="str">
        <f>IF(AC635=1,S635/K635,"")</f>
        <v/>
      </c>
      <c r="Y635" s="58" t="str">
        <f>IF(W635="","",IF(W635&gt;=p_target,"Bon",IF(W635&gt;=p_alert,"À surveiller","Faible")))</f>
        <v/>
      </c>
      <c r="Z635" s="58" t="str">
        <f>IF(W635="","",IF(MIN(IF(T635="",1,T635),IF(U635="",1,U635),IF(V635="",1,V635))&gt;=1,"Aucune",IF(IF(T635="",1,T635)&lt;=MIN(IF(U635="",1,U635),IF(V635="",1,V635)),"Disponibilité",IF(IF(U635="",1,U635)&lt;=IF(V635="",1,V635),"Performance","Qualité"))))</f>
        <v/>
      </c>
      <c r="AA635" s="59" t="str">
        <f>IF(AC635=1,N(H635)*N(IFERROR(INDEX(art_cost,MATCH(E635,art_ref,0)),0)),"")</f>
        <v/>
      </c>
      <c r="AB635" s="58" t="str">
        <f>IF(COUNTA(A635:I635)=0,"",IF(N(A635)&lt;=0,"Date manquante ou invalide",IF(B635="","Équipe manquante",IF(ISNA(MATCH(B635,eq_code,0)),"Équipe inconnue",IF(INDEX(eq_check,MATCH(B635,eq_code,0))&lt;&gt;"OK","Équipe à corriger dans Paramètres",IF(C635="","Poste manquant",IF(ISNA(MATCH(C635,po_code,0)),"Poste inconnu",IF(AND(E635&lt;&gt;"",ISNA(MATCH(E635,art_ref,0))),"Article inconnu",IF(IF(E635="",FALSE,INDEX(art_check,MATCH(E635,art_ref,0))&lt;&gt;"OK"),"Article à corriger (feuille Articles)",IF(COUNTIFS(sj_date,A635,sj_eq,B635,sj_po,C635)&gt;1,"Ligne en double (même jour, équipe et poste)",IF(OR(NOT(ISNUMBER(K635)),N(K635)&lt;=0,N(K635)&gt;1440),"Temps d'ouverture invalide",IF(OR(AND(G635&lt;&gt;"",NOT(ISNUMBER(G635))),N(G635)&lt;0,N(G635)&lt;&gt;INT(N(G635)),AND(H635&lt;&gt;"",NOT(ISNUMBER(H635))),N(H635)&lt;0,N(H635)&lt;&gt;INT(N(H635)),AND(I635&lt;&gt;"",NOT(ISNUMBER(I635))),N(I635)&lt;0,N(I635)&lt;&gt;INT(N(I635))),"Quantité invalide",IF(Q635&lt;=0,"Cadence manquante (poste ou article)",IF(M635&lt;=0,"Arrêts planifiés supérieurs au temps d'ouverture",IF(O635&lt;0,"Arrêts supérieurs au temps requis",IF(AND(P635&gt;0,O635=0),"Pièces déclarées sans temps de marche",IF(AND(P635=0,O635&gt;0),"Aucune pièce déclarée",IF(P635*60/Q635&gt;O635+0.001,"Cadence dépassée : vérifiez la cadence","OK"))))))))))))))))))</f>
        <v/>
      </c>
      <c r="AC635">
        <f>IF(OR(AB635="OK",AB635="Aucune pièce déclarée",AB635="Cadence dépassée : vérifiez la cadence"),1,0)</f>
        <v>0.0</v>
      </c>
      <c r="AD635">
        <f>IF(AND(AC635=1,A635&gt;=p_from,A635&lt;=p_to),1,0)</f>
        <v>0.0</v>
      </c>
      <c r="AE635">
        <f>IF(AD635=1,IF(COUNTIFS($A$6:A635,A635,$AD$6:AD635,1)=1,1,0),0)</f>
        <v>0.0</v>
      </c>
      <c r="AF635" t="str">
        <f>IF(AE635=1,COUNTIFS(sj_first,1,sj_date,"&lt;"&amp;A635)+1,"")</f>
        <v/>
      </c>
      <c r="AG635" t="str">
        <f>IF(AND(AD635=1,N(W635)&lt;p_alert),ROUND(W635,4),"")</f>
        <v/>
      </c>
      <c r="AH635" t="str">
        <f>IF(AG635="","",COUNTIF(sj_akey,"&lt;"&amp;AG635)+COUNTIF($AG$6:AG635,AG635))</f>
        <v/>
      </c>
    </row>
    <row r="636">
      <c r="A636" s="51" t="n"/>
      <c r="B636" s="52" t="n"/>
      <c r="C636" s="52" t="n"/>
      <c r="D636" s="53" t="n"/>
      <c r="E636" s="53" t="n"/>
      <c r="F636" s="54" t="n"/>
      <c r="G636" s="54" t="n"/>
      <c r="H636" s="54" t="n"/>
      <c r="I636" s="54" t="n"/>
      <c r="J636" s="53" t="n"/>
      <c r="K636" s="55" t="str">
        <f>IF(COUNTA(A636:I636)=0,"",IF(F636="",IFERROR(INDEX(eq_dur,MATCH(B636,eq_code,0)),""),F636))</f>
        <v/>
      </c>
      <c r="L636" s="55" t="str">
        <f>IF(ISNUMBER(K636),N(IFERROR(INDEX(eq_pause,MATCH(B636,eq_code,0)),0))+SUMIFS(st_min,st_date,A636,st_eq,B636,st_po,C636,st_type,"Planifié"),"")</f>
        <v/>
      </c>
      <c r="M636" s="55" t="str">
        <f>IF(ISNUMBER(K636),K636-L636,"")</f>
        <v/>
      </c>
      <c r="N636" s="55" t="str">
        <f>IF(ISNUMBER(K636),SUMIFS(st_min,st_date,A636,st_eq,B636,st_po,C636,st_type,"Non planifié"),"")</f>
        <v/>
      </c>
      <c r="O636" s="55" t="str">
        <f>IF(ISNUMBER(K636),M636-N636,"")</f>
        <v/>
      </c>
      <c r="P636" s="55" t="str">
        <f>IF(COUNTA(A636:I636)=0,"",N(G636)+N(H636)+N(I636))</f>
        <v/>
      </c>
      <c r="Q636" s="56" t="str">
        <f>IF(COUNTA(A636:I636)=0,"",IF(N(IFERROR(INDEX(art_rate,MATCH(E636,art_ref,0)),0))&gt;0,N(IFERROR(INDEX(art_rate,MATCH(E636,art_ref,0)),0)),N(IFERROR(INDEX(po_rate,MATCH(C636,po_code,0)),0))))</f>
        <v/>
      </c>
      <c r="R636" s="55" t="str">
        <f>IF(AC636=1,P636*60/Q636,"")</f>
        <v/>
      </c>
      <c r="S636" s="55" t="str">
        <f>IF(AC636=1,N(G636)*60/Q636,"")</f>
        <v/>
      </c>
      <c r="T636" s="57" t="str">
        <f>IF(AC636=1,O636/M636,"")</f>
        <v/>
      </c>
      <c r="U636" s="57" t="str">
        <f>IF(AC636=1,IF(O636&gt;0,R636/O636,""),"")</f>
        <v/>
      </c>
      <c r="V636" s="57" t="str">
        <f>IF(AC636=1,IF(P636&gt;0,N(G636)/P636,""),"")</f>
        <v/>
      </c>
      <c r="W636" s="57" t="str">
        <f>IF(AC636=1,S636/M636,"")</f>
        <v/>
      </c>
      <c r="X636" s="57" t="str">
        <f>IF(AC636=1,S636/K636,"")</f>
        <v/>
      </c>
      <c r="Y636" s="58" t="str">
        <f>IF(W636="","",IF(W636&gt;=p_target,"Bon",IF(W636&gt;=p_alert,"À surveiller","Faible")))</f>
        <v/>
      </c>
      <c r="Z636" s="58" t="str">
        <f>IF(W636="","",IF(MIN(IF(T636="",1,T636),IF(U636="",1,U636),IF(V636="",1,V636))&gt;=1,"Aucune",IF(IF(T636="",1,T636)&lt;=MIN(IF(U636="",1,U636),IF(V636="",1,V636)),"Disponibilité",IF(IF(U636="",1,U636)&lt;=IF(V636="",1,V636),"Performance","Qualité"))))</f>
        <v/>
      </c>
      <c r="AA636" s="59" t="str">
        <f>IF(AC636=1,N(H636)*N(IFERROR(INDEX(art_cost,MATCH(E636,art_ref,0)),0)),"")</f>
        <v/>
      </c>
      <c r="AB636" s="58" t="str">
        <f>IF(COUNTA(A636:I636)=0,"",IF(N(A636)&lt;=0,"Date manquante ou invalide",IF(B636="","Équipe manquante",IF(ISNA(MATCH(B636,eq_code,0)),"Équipe inconnue",IF(INDEX(eq_check,MATCH(B636,eq_code,0))&lt;&gt;"OK","Équipe à corriger dans Paramètres",IF(C636="","Poste manquant",IF(ISNA(MATCH(C636,po_code,0)),"Poste inconnu",IF(AND(E636&lt;&gt;"",ISNA(MATCH(E636,art_ref,0))),"Article inconnu",IF(IF(E636="",FALSE,INDEX(art_check,MATCH(E636,art_ref,0))&lt;&gt;"OK"),"Article à corriger (feuille Articles)",IF(COUNTIFS(sj_date,A636,sj_eq,B636,sj_po,C636)&gt;1,"Ligne en double (même jour, équipe et poste)",IF(OR(NOT(ISNUMBER(K636)),N(K636)&lt;=0,N(K636)&gt;1440),"Temps d'ouverture invalide",IF(OR(AND(G636&lt;&gt;"",NOT(ISNUMBER(G636))),N(G636)&lt;0,N(G636)&lt;&gt;INT(N(G636)),AND(H636&lt;&gt;"",NOT(ISNUMBER(H636))),N(H636)&lt;0,N(H636)&lt;&gt;INT(N(H636)),AND(I636&lt;&gt;"",NOT(ISNUMBER(I636))),N(I636)&lt;0,N(I636)&lt;&gt;INT(N(I636))),"Quantité invalide",IF(Q636&lt;=0,"Cadence manquante (poste ou article)",IF(M636&lt;=0,"Arrêts planifiés supérieurs au temps d'ouverture",IF(O636&lt;0,"Arrêts supérieurs au temps requis",IF(AND(P636&gt;0,O636=0),"Pièces déclarées sans temps de marche",IF(AND(P636=0,O636&gt;0),"Aucune pièce déclarée",IF(P636*60/Q636&gt;O636+0.001,"Cadence dépassée : vérifiez la cadence","OK"))))))))))))))))))</f>
        <v/>
      </c>
      <c r="AC636">
        <f>IF(OR(AB636="OK",AB636="Aucune pièce déclarée",AB636="Cadence dépassée : vérifiez la cadence"),1,0)</f>
        <v>0.0</v>
      </c>
      <c r="AD636">
        <f>IF(AND(AC636=1,A636&gt;=p_from,A636&lt;=p_to),1,0)</f>
        <v>0.0</v>
      </c>
      <c r="AE636">
        <f>IF(AD636=1,IF(COUNTIFS($A$6:A636,A636,$AD$6:AD636,1)=1,1,0),0)</f>
        <v>0.0</v>
      </c>
      <c r="AF636" t="str">
        <f>IF(AE636=1,COUNTIFS(sj_first,1,sj_date,"&lt;"&amp;A636)+1,"")</f>
        <v/>
      </c>
      <c r="AG636" t="str">
        <f>IF(AND(AD636=1,N(W636)&lt;p_alert),ROUND(W636,4),"")</f>
        <v/>
      </c>
      <c r="AH636" t="str">
        <f>IF(AG636="","",COUNTIF(sj_akey,"&lt;"&amp;AG636)+COUNTIF($AG$6:AG636,AG636))</f>
        <v/>
      </c>
    </row>
    <row r="637">
      <c r="A637" s="51" t="n"/>
      <c r="B637" s="52" t="n"/>
      <c r="C637" s="52" t="n"/>
      <c r="D637" s="53" t="n"/>
      <c r="E637" s="53" t="n"/>
      <c r="F637" s="54" t="n"/>
      <c r="G637" s="54" t="n"/>
      <c r="H637" s="54" t="n"/>
      <c r="I637" s="54" t="n"/>
      <c r="J637" s="53" t="n"/>
      <c r="K637" s="55" t="str">
        <f>IF(COUNTA(A637:I637)=0,"",IF(F637="",IFERROR(INDEX(eq_dur,MATCH(B637,eq_code,0)),""),F637))</f>
        <v/>
      </c>
      <c r="L637" s="55" t="str">
        <f>IF(ISNUMBER(K637),N(IFERROR(INDEX(eq_pause,MATCH(B637,eq_code,0)),0))+SUMIFS(st_min,st_date,A637,st_eq,B637,st_po,C637,st_type,"Planifié"),"")</f>
        <v/>
      </c>
      <c r="M637" s="55" t="str">
        <f>IF(ISNUMBER(K637),K637-L637,"")</f>
        <v/>
      </c>
      <c r="N637" s="55" t="str">
        <f>IF(ISNUMBER(K637),SUMIFS(st_min,st_date,A637,st_eq,B637,st_po,C637,st_type,"Non planifié"),"")</f>
        <v/>
      </c>
      <c r="O637" s="55" t="str">
        <f>IF(ISNUMBER(K637),M637-N637,"")</f>
        <v/>
      </c>
      <c r="P637" s="55" t="str">
        <f>IF(COUNTA(A637:I637)=0,"",N(G637)+N(H637)+N(I637))</f>
        <v/>
      </c>
      <c r="Q637" s="56" t="str">
        <f>IF(COUNTA(A637:I637)=0,"",IF(N(IFERROR(INDEX(art_rate,MATCH(E637,art_ref,0)),0))&gt;0,N(IFERROR(INDEX(art_rate,MATCH(E637,art_ref,0)),0)),N(IFERROR(INDEX(po_rate,MATCH(C637,po_code,0)),0))))</f>
        <v/>
      </c>
      <c r="R637" s="55" t="str">
        <f>IF(AC637=1,P637*60/Q637,"")</f>
        <v/>
      </c>
      <c r="S637" s="55" t="str">
        <f>IF(AC637=1,N(G637)*60/Q637,"")</f>
        <v/>
      </c>
      <c r="T637" s="57" t="str">
        <f>IF(AC637=1,O637/M637,"")</f>
        <v/>
      </c>
      <c r="U637" s="57" t="str">
        <f>IF(AC637=1,IF(O637&gt;0,R637/O637,""),"")</f>
        <v/>
      </c>
      <c r="V637" s="57" t="str">
        <f>IF(AC637=1,IF(P637&gt;0,N(G637)/P637,""),"")</f>
        <v/>
      </c>
      <c r="W637" s="57" t="str">
        <f>IF(AC637=1,S637/M637,"")</f>
        <v/>
      </c>
      <c r="X637" s="57" t="str">
        <f>IF(AC637=1,S637/K637,"")</f>
        <v/>
      </c>
      <c r="Y637" s="58" t="str">
        <f>IF(W637="","",IF(W637&gt;=p_target,"Bon",IF(W637&gt;=p_alert,"À surveiller","Faible")))</f>
        <v/>
      </c>
      <c r="Z637" s="58" t="str">
        <f>IF(W637="","",IF(MIN(IF(T637="",1,T637),IF(U637="",1,U637),IF(V637="",1,V637))&gt;=1,"Aucune",IF(IF(T637="",1,T637)&lt;=MIN(IF(U637="",1,U637),IF(V637="",1,V637)),"Disponibilité",IF(IF(U637="",1,U637)&lt;=IF(V637="",1,V637),"Performance","Qualité"))))</f>
        <v/>
      </c>
      <c r="AA637" s="59" t="str">
        <f>IF(AC637=1,N(H637)*N(IFERROR(INDEX(art_cost,MATCH(E637,art_ref,0)),0)),"")</f>
        <v/>
      </c>
      <c r="AB637" s="58" t="str">
        <f>IF(COUNTA(A637:I637)=0,"",IF(N(A637)&lt;=0,"Date manquante ou invalide",IF(B637="","Équipe manquante",IF(ISNA(MATCH(B637,eq_code,0)),"Équipe inconnue",IF(INDEX(eq_check,MATCH(B637,eq_code,0))&lt;&gt;"OK","Équipe à corriger dans Paramètres",IF(C637="","Poste manquant",IF(ISNA(MATCH(C637,po_code,0)),"Poste inconnu",IF(AND(E637&lt;&gt;"",ISNA(MATCH(E637,art_ref,0))),"Article inconnu",IF(IF(E637="",FALSE,INDEX(art_check,MATCH(E637,art_ref,0))&lt;&gt;"OK"),"Article à corriger (feuille Articles)",IF(COUNTIFS(sj_date,A637,sj_eq,B637,sj_po,C637)&gt;1,"Ligne en double (même jour, équipe et poste)",IF(OR(NOT(ISNUMBER(K637)),N(K637)&lt;=0,N(K637)&gt;1440),"Temps d'ouverture invalide",IF(OR(AND(G637&lt;&gt;"",NOT(ISNUMBER(G637))),N(G637)&lt;0,N(G637)&lt;&gt;INT(N(G637)),AND(H637&lt;&gt;"",NOT(ISNUMBER(H637))),N(H637)&lt;0,N(H637)&lt;&gt;INT(N(H637)),AND(I637&lt;&gt;"",NOT(ISNUMBER(I637))),N(I637)&lt;0,N(I637)&lt;&gt;INT(N(I637))),"Quantité invalide",IF(Q637&lt;=0,"Cadence manquante (poste ou article)",IF(M637&lt;=0,"Arrêts planifiés supérieurs au temps d'ouverture",IF(O637&lt;0,"Arrêts supérieurs au temps requis",IF(AND(P637&gt;0,O637=0),"Pièces déclarées sans temps de marche",IF(AND(P637=0,O637&gt;0),"Aucune pièce déclarée",IF(P637*60/Q637&gt;O637+0.001,"Cadence dépassée : vérifiez la cadence","OK"))))))))))))))))))</f>
        <v/>
      </c>
      <c r="AC637">
        <f>IF(OR(AB637="OK",AB637="Aucune pièce déclarée",AB637="Cadence dépassée : vérifiez la cadence"),1,0)</f>
        <v>0.0</v>
      </c>
      <c r="AD637">
        <f>IF(AND(AC637=1,A637&gt;=p_from,A637&lt;=p_to),1,0)</f>
        <v>0.0</v>
      </c>
      <c r="AE637">
        <f>IF(AD637=1,IF(COUNTIFS($A$6:A637,A637,$AD$6:AD637,1)=1,1,0),0)</f>
        <v>0.0</v>
      </c>
      <c r="AF637" t="str">
        <f>IF(AE637=1,COUNTIFS(sj_first,1,sj_date,"&lt;"&amp;A637)+1,"")</f>
        <v/>
      </c>
      <c r="AG637" t="str">
        <f>IF(AND(AD637=1,N(W637)&lt;p_alert),ROUND(W637,4),"")</f>
        <v/>
      </c>
      <c r="AH637" t="str">
        <f>IF(AG637="","",COUNTIF(sj_akey,"&lt;"&amp;AG637)+COUNTIF($AG$6:AG637,AG637))</f>
        <v/>
      </c>
    </row>
    <row r="638">
      <c r="A638" s="51" t="n"/>
      <c r="B638" s="52" t="n"/>
      <c r="C638" s="52" t="n"/>
      <c r="D638" s="53" t="n"/>
      <c r="E638" s="53" t="n"/>
      <c r="F638" s="54" t="n"/>
      <c r="G638" s="54" t="n"/>
      <c r="H638" s="54" t="n"/>
      <c r="I638" s="54" t="n"/>
      <c r="J638" s="53" t="n"/>
      <c r="K638" s="55" t="str">
        <f>IF(COUNTA(A638:I638)=0,"",IF(F638="",IFERROR(INDEX(eq_dur,MATCH(B638,eq_code,0)),""),F638))</f>
        <v/>
      </c>
      <c r="L638" s="55" t="str">
        <f>IF(ISNUMBER(K638),N(IFERROR(INDEX(eq_pause,MATCH(B638,eq_code,0)),0))+SUMIFS(st_min,st_date,A638,st_eq,B638,st_po,C638,st_type,"Planifié"),"")</f>
        <v/>
      </c>
      <c r="M638" s="55" t="str">
        <f>IF(ISNUMBER(K638),K638-L638,"")</f>
        <v/>
      </c>
      <c r="N638" s="55" t="str">
        <f>IF(ISNUMBER(K638),SUMIFS(st_min,st_date,A638,st_eq,B638,st_po,C638,st_type,"Non planifié"),"")</f>
        <v/>
      </c>
      <c r="O638" s="55" t="str">
        <f>IF(ISNUMBER(K638),M638-N638,"")</f>
        <v/>
      </c>
      <c r="P638" s="55" t="str">
        <f>IF(COUNTA(A638:I638)=0,"",N(G638)+N(H638)+N(I638))</f>
        <v/>
      </c>
      <c r="Q638" s="56" t="str">
        <f>IF(COUNTA(A638:I638)=0,"",IF(N(IFERROR(INDEX(art_rate,MATCH(E638,art_ref,0)),0))&gt;0,N(IFERROR(INDEX(art_rate,MATCH(E638,art_ref,0)),0)),N(IFERROR(INDEX(po_rate,MATCH(C638,po_code,0)),0))))</f>
        <v/>
      </c>
      <c r="R638" s="55" t="str">
        <f>IF(AC638=1,P638*60/Q638,"")</f>
        <v/>
      </c>
      <c r="S638" s="55" t="str">
        <f>IF(AC638=1,N(G638)*60/Q638,"")</f>
        <v/>
      </c>
      <c r="T638" s="57" t="str">
        <f>IF(AC638=1,O638/M638,"")</f>
        <v/>
      </c>
      <c r="U638" s="57" t="str">
        <f>IF(AC638=1,IF(O638&gt;0,R638/O638,""),"")</f>
        <v/>
      </c>
      <c r="V638" s="57" t="str">
        <f>IF(AC638=1,IF(P638&gt;0,N(G638)/P638,""),"")</f>
        <v/>
      </c>
      <c r="W638" s="57" t="str">
        <f>IF(AC638=1,S638/M638,"")</f>
        <v/>
      </c>
      <c r="X638" s="57" t="str">
        <f>IF(AC638=1,S638/K638,"")</f>
        <v/>
      </c>
      <c r="Y638" s="58" t="str">
        <f>IF(W638="","",IF(W638&gt;=p_target,"Bon",IF(W638&gt;=p_alert,"À surveiller","Faible")))</f>
        <v/>
      </c>
      <c r="Z638" s="58" t="str">
        <f>IF(W638="","",IF(MIN(IF(T638="",1,T638),IF(U638="",1,U638),IF(V638="",1,V638))&gt;=1,"Aucune",IF(IF(T638="",1,T638)&lt;=MIN(IF(U638="",1,U638),IF(V638="",1,V638)),"Disponibilité",IF(IF(U638="",1,U638)&lt;=IF(V638="",1,V638),"Performance","Qualité"))))</f>
        <v/>
      </c>
      <c r="AA638" s="59" t="str">
        <f>IF(AC638=1,N(H638)*N(IFERROR(INDEX(art_cost,MATCH(E638,art_ref,0)),0)),"")</f>
        <v/>
      </c>
      <c r="AB638" s="58" t="str">
        <f>IF(COUNTA(A638:I638)=0,"",IF(N(A638)&lt;=0,"Date manquante ou invalide",IF(B638="","Équipe manquante",IF(ISNA(MATCH(B638,eq_code,0)),"Équipe inconnue",IF(INDEX(eq_check,MATCH(B638,eq_code,0))&lt;&gt;"OK","Équipe à corriger dans Paramètres",IF(C638="","Poste manquant",IF(ISNA(MATCH(C638,po_code,0)),"Poste inconnu",IF(AND(E638&lt;&gt;"",ISNA(MATCH(E638,art_ref,0))),"Article inconnu",IF(IF(E638="",FALSE,INDEX(art_check,MATCH(E638,art_ref,0))&lt;&gt;"OK"),"Article à corriger (feuille Articles)",IF(COUNTIFS(sj_date,A638,sj_eq,B638,sj_po,C638)&gt;1,"Ligne en double (même jour, équipe et poste)",IF(OR(NOT(ISNUMBER(K638)),N(K638)&lt;=0,N(K638)&gt;1440),"Temps d'ouverture invalide",IF(OR(AND(G638&lt;&gt;"",NOT(ISNUMBER(G638))),N(G638)&lt;0,N(G638)&lt;&gt;INT(N(G638)),AND(H638&lt;&gt;"",NOT(ISNUMBER(H638))),N(H638)&lt;0,N(H638)&lt;&gt;INT(N(H638)),AND(I638&lt;&gt;"",NOT(ISNUMBER(I638))),N(I638)&lt;0,N(I638)&lt;&gt;INT(N(I638))),"Quantité invalide",IF(Q638&lt;=0,"Cadence manquante (poste ou article)",IF(M638&lt;=0,"Arrêts planifiés supérieurs au temps d'ouverture",IF(O638&lt;0,"Arrêts supérieurs au temps requis",IF(AND(P638&gt;0,O638=0),"Pièces déclarées sans temps de marche",IF(AND(P638=0,O638&gt;0),"Aucune pièce déclarée",IF(P638*60/Q638&gt;O638+0.001,"Cadence dépassée : vérifiez la cadence","OK"))))))))))))))))))</f>
        <v/>
      </c>
      <c r="AC638">
        <f>IF(OR(AB638="OK",AB638="Aucune pièce déclarée",AB638="Cadence dépassée : vérifiez la cadence"),1,0)</f>
        <v>0.0</v>
      </c>
      <c r="AD638">
        <f>IF(AND(AC638=1,A638&gt;=p_from,A638&lt;=p_to),1,0)</f>
        <v>0.0</v>
      </c>
      <c r="AE638">
        <f>IF(AD638=1,IF(COUNTIFS($A$6:A638,A638,$AD$6:AD638,1)=1,1,0),0)</f>
        <v>0.0</v>
      </c>
      <c r="AF638" t="str">
        <f>IF(AE638=1,COUNTIFS(sj_first,1,sj_date,"&lt;"&amp;A638)+1,"")</f>
        <v/>
      </c>
      <c r="AG638" t="str">
        <f>IF(AND(AD638=1,N(W638)&lt;p_alert),ROUND(W638,4),"")</f>
        <v/>
      </c>
      <c r="AH638" t="str">
        <f>IF(AG638="","",COUNTIF(sj_akey,"&lt;"&amp;AG638)+COUNTIF($AG$6:AG638,AG638))</f>
        <v/>
      </c>
    </row>
    <row r="639">
      <c r="A639" s="51" t="n"/>
      <c r="B639" s="52" t="n"/>
      <c r="C639" s="52" t="n"/>
      <c r="D639" s="53" t="n"/>
      <c r="E639" s="53" t="n"/>
      <c r="F639" s="54" t="n"/>
      <c r="G639" s="54" t="n"/>
      <c r="H639" s="54" t="n"/>
      <c r="I639" s="54" t="n"/>
      <c r="J639" s="53" t="n"/>
      <c r="K639" s="55" t="str">
        <f>IF(COUNTA(A639:I639)=0,"",IF(F639="",IFERROR(INDEX(eq_dur,MATCH(B639,eq_code,0)),""),F639))</f>
        <v/>
      </c>
      <c r="L639" s="55" t="str">
        <f>IF(ISNUMBER(K639),N(IFERROR(INDEX(eq_pause,MATCH(B639,eq_code,0)),0))+SUMIFS(st_min,st_date,A639,st_eq,B639,st_po,C639,st_type,"Planifié"),"")</f>
        <v/>
      </c>
      <c r="M639" s="55" t="str">
        <f>IF(ISNUMBER(K639),K639-L639,"")</f>
        <v/>
      </c>
      <c r="N639" s="55" t="str">
        <f>IF(ISNUMBER(K639),SUMIFS(st_min,st_date,A639,st_eq,B639,st_po,C639,st_type,"Non planifié"),"")</f>
        <v/>
      </c>
      <c r="O639" s="55" t="str">
        <f>IF(ISNUMBER(K639),M639-N639,"")</f>
        <v/>
      </c>
      <c r="P639" s="55" t="str">
        <f>IF(COUNTA(A639:I639)=0,"",N(G639)+N(H639)+N(I639))</f>
        <v/>
      </c>
      <c r="Q639" s="56" t="str">
        <f>IF(COUNTA(A639:I639)=0,"",IF(N(IFERROR(INDEX(art_rate,MATCH(E639,art_ref,0)),0))&gt;0,N(IFERROR(INDEX(art_rate,MATCH(E639,art_ref,0)),0)),N(IFERROR(INDEX(po_rate,MATCH(C639,po_code,0)),0))))</f>
        <v/>
      </c>
      <c r="R639" s="55" t="str">
        <f>IF(AC639=1,P639*60/Q639,"")</f>
        <v/>
      </c>
      <c r="S639" s="55" t="str">
        <f>IF(AC639=1,N(G639)*60/Q639,"")</f>
        <v/>
      </c>
      <c r="T639" s="57" t="str">
        <f>IF(AC639=1,O639/M639,"")</f>
        <v/>
      </c>
      <c r="U639" s="57" t="str">
        <f>IF(AC639=1,IF(O639&gt;0,R639/O639,""),"")</f>
        <v/>
      </c>
      <c r="V639" s="57" t="str">
        <f>IF(AC639=1,IF(P639&gt;0,N(G639)/P639,""),"")</f>
        <v/>
      </c>
      <c r="W639" s="57" t="str">
        <f>IF(AC639=1,S639/M639,"")</f>
        <v/>
      </c>
      <c r="X639" s="57" t="str">
        <f>IF(AC639=1,S639/K639,"")</f>
        <v/>
      </c>
      <c r="Y639" s="58" t="str">
        <f>IF(W639="","",IF(W639&gt;=p_target,"Bon",IF(W639&gt;=p_alert,"À surveiller","Faible")))</f>
        <v/>
      </c>
      <c r="Z639" s="58" t="str">
        <f>IF(W639="","",IF(MIN(IF(T639="",1,T639),IF(U639="",1,U639),IF(V639="",1,V639))&gt;=1,"Aucune",IF(IF(T639="",1,T639)&lt;=MIN(IF(U639="",1,U639),IF(V639="",1,V639)),"Disponibilité",IF(IF(U639="",1,U639)&lt;=IF(V639="",1,V639),"Performance","Qualité"))))</f>
        <v/>
      </c>
      <c r="AA639" s="59" t="str">
        <f>IF(AC639=1,N(H639)*N(IFERROR(INDEX(art_cost,MATCH(E639,art_ref,0)),0)),"")</f>
        <v/>
      </c>
      <c r="AB639" s="58" t="str">
        <f>IF(COUNTA(A639:I639)=0,"",IF(N(A639)&lt;=0,"Date manquante ou invalide",IF(B639="","Équipe manquante",IF(ISNA(MATCH(B639,eq_code,0)),"Équipe inconnue",IF(INDEX(eq_check,MATCH(B639,eq_code,0))&lt;&gt;"OK","Équipe à corriger dans Paramètres",IF(C639="","Poste manquant",IF(ISNA(MATCH(C639,po_code,0)),"Poste inconnu",IF(AND(E639&lt;&gt;"",ISNA(MATCH(E639,art_ref,0))),"Article inconnu",IF(IF(E639="",FALSE,INDEX(art_check,MATCH(E639,art_ref,0))&lt;&gt;"OK"),"Article à corriger (feuille Articles)",IF(COUNTIFS(sj_date,A639,sj_eq,B639,sj_po,C639)&gt;1,"Ligne en double (même jour, équipe et poste)",IF(OR(NOT(ISNUMBER(K639)),N(K639)&lt;=0,N(K639)&gt;1440),"Temps d'ouverture invalide",IF(OR(AND(G639&lt;&gt;"",NOT(ISNUMBER(G639))),N(G639)&lt;0,N(G639)&lt;&gt;INT(N(G639)),AND(H639&lt;&gt;"",NOT(ISNUMBER(H639))),N(H639)&lt;0,N(H639)&lt;&gt;INT(N(H639)),AND(I639&lt;&gt;"",NOT(ISNUMBER(I639))),N(I639)&lt;0,N(I639)&lt;&gt;INT(N(I639))),"Quantité invalide",IF(Q639&lt;=0,"Cadence manquante (poste ou article)",IF(M639&lt;=0,"Arrêts planifiés supérieurs au temps d'ouverture",IF(O639&lt;0,"Arrêts supérieurs au temps requis",IF(AND(P639&gt;0,O639=0),"Pièces déclarées sans temps de marche",IF(AND(P639=0,O639&gt;0),"Aucune pièce déclarée",IF(P639*60/Q639&gt;O639+0.001,"Cadence dépassée : vérifiez la cadence","OK"))))))))))))))))))</f>
        <v/>
      </c>
      <c r="AC639">
        <f>IF(OR(AB639="OK",AB639="Aucune pièce déclarée",AB639="Cadence dépassée : vérifiez la cadence"),1,0)</f>
        <v>0.0</v>
      </c>
      <c r="AD639">
        <f>IF(AND(AC639=1,A639&gt;=p_from,A639&lt;=p_to),1,0)</f>
        <v>0.0</v>
      </c>
      <c r="AE639">
        <f>IF(AD639=1,IF(COUNTIFS($A$6:A639,A639,$AD$6:AD639,1)=1,1,0),0)</f>
        <v>0.0</v>
      </c>
      <c r="AF639" t="str">
        <f>IF(AE639=1,COUNTIFS(sj_first,1,sj_date,"&lt;"&amp;A639)+1,"")</f>
        <v/>
      </c>
      <c r="AG639" t="str">
        <f>IF(AND(AD639=1,N(W639)&lt;p_alert),ROUND(W639,4),"")</f>
        <v/>
      </c>
      <c r="AH639" t="str">
        <f>IF(AG639="","",COUNTIF(sj_akey,"&lt;"&amp;AG639)+COUNTIF($AG$6:AG639,AG639))</f>
        <v/>
      </c>
    </row>
    <row r="640">
      <c r="A640" s="51" t="n"/>
      <c r="B640" s="52" t="n"/>
      <c r="C640" s="52" t="n"/>
      <c r="D640" s="53" t="n"/>
      <c r="E640" s="53" t="n"/>
      <c r="F640" s="54" t="n"/>
      <c r="G640" s="54" t="n"/>
      <c r="H640" s="54" t="n"/>
      <c r="I640" s="54" t="n"/>
      <c r="J640" s="53" t="n"/>
      <c r="K640" s="55" t="str">
        <f>IF(COUNTA(A640:I640)=0,"",IF(F640="",IFERROR(INDEX(eq_dur,MATCH(B640,eq_code,0)),""),F640))</f>
        <v/>
      </c>
      <c r="L640" s="55" t="str">
        <f>IF(ISNUMBER(K640),N(IFERROR(INDEX(eq_pause,MATCH(B640,eq_code,0)),0))+SUMIFS(st_min,st_date,A640,st_eq,B640,st_po,C640,st_type,"Planifié"),"")</f>
        <v/>
      </c>
      <c r="M640" s="55" t="str">
        <f>IF(ISNUMBER(K640),K640-L640,"")</f>
        <v/>
      </c>
      <c r="N640" s="55" t="str">
        <f>IF(ISNUMBER(K640),SUMIFS(st_min,st_date,A640,st_eq,B640,st_po,C640,st_type,"Non planifié"),"")</f>
        <v/>
      </c>
      <c r="O640" s="55" t="str">
        <f>IF(ISNUMBER(K640),M640-N640,"")</f>
        <v/>
      </c>
      <c r="P640" s="55" t="str">
        <f>IF(COUNTA(A640:I640)=0,"",N(G640)+N(H640)+N(I640))</f>
        <v/>
      </c>
      <c r="Q640" s="56" t="str">
        <f>IF(COUNTA(A640:I640)=0,"",IF(N(IFERROR(INDEX(art_rate,MATCH(E640,art_ref,0)),0))&gt;0,N(IFERROR(INDEX(art_rate,MATCH(E640,art_ref,0)),0)),N(IFERROR(INDEX(po_rate,MATCH(C640,po_code,0)),0))))</f>
        <v/>
      </c>
      <c r="R640" s="55" t="str">
        <f>IF(AC640=1,P640*60/Q640,"")</f>
        <v/>
      </c>
      <c r="S640" s="55" t="str">
        <f>IF(AC640=1,N(G640)*60/Q640,"")</f>
        <v/>
      </c>
      <c r="T640" s="57" t="str">
        <f>IF(AC640=1,O640/M640,"")</f>
        <v/>
      </c>
      <c r="U640" s="57" t="str">
        <f>IF(AC640=1,IF(O640&gt;0,R640/O640,""),"")</f>
        <v/>
      </c>
      <c r="V640" s="57" t="str">
        <f>IF(AC640=1,IF(P640&gt;0,N(G640)/P640,""),"")</f>
        <v/>
      </c>
      <c r="W640" s="57" t="str">
        <f>IF(AC640=1,S640/M640,"")</f>
        <v/>
      </c>
      <c r="X640" s="57" t="str">
        <f>IF(AC640=1,S640/K640,"")</f>
        <v/>
      </c>
      <c r="Y640" s="58" t="str">
        <f>IF(W640="","",IF(W640&gt;=p_target,"Bon",IF(W640&gt;=p_alert,"À surveiller","Faible")))</f>
        <v/>
      </c>
      <c r="Z640" s="58" t="str">
        <f>IF(W640="","",IF(MIN(IF(T640="",1,T640),IF(U640="",1,U640),IF(V640="",1,V640))&gt;=1,"Aucune",IF(IF(T640="",1,T640)&lt;=MIN(IF(U640="",1,U640),IF(V640="",1,V640)),"Disponibilité",IF(IF(U640="",1,U640)&lt;=IF(V640="",1,V640),"Performance","Qualité"))))</f>
        <v/>
      </c>
      <c r="AA640" s="59" t="str">
        <f>IF(AC640=1,N(H640)*N(IFERROR(INDEX(art_cost,MATCH(E640,art_ref,0)),0)),"")</f>
        <v/>
      </c>
      <c r="AB640" s="58" t="str">
        <f>IF(COUNTA(A640:I640)=0,"",IF(N(A640)&lt;=0,"Date manquante ou invalide",IF(B640="","Équipe manquante",IF(ISNA(MATCH(B640,eq_code,0)),"Équipe inconnue",IF(INDEX(eq_check,MATCH(B640,eq_code,0))&lt;&gt;"OK","Équipe à corriger dans Paramètres",IF(C640="","Poste manquant",IF(ISNA(MATCH(C640,po_code,0)),"Poste inconnu",IF(AND(E640&lt;&gt;"",ISNA(MATCH(E640,art_ref,0))),"Article inconnu",IF(IF(E640="",FALSE,INDEX(art_check,MATCH(E640,art_ref,0))&lt;&gt;"OK"),"Article à corriger (feuille Articles)",IF(COUNTIFS(sj_date,A640,sj_eq,B640,sj_po,C640)&gt;1,"Ligne en double (même jour, équipe et poste)",IF(OR(NOT(ISNUMBER(K640)),N(K640)&lt;=0,N(K640)&gt;1440),"Temps d'ouverture invalide",IF(OR(AND(G640&lt;&gt;"",NOT(ISNUMBER(G640))),N(G640)&lt;0,N(G640)&lt;&gt;INT(N(G640)),AND(H640&lt;&gt;"",NOT(ISNUMBER(H640))),N(H640)&lt;0,N(H640)&lt;&gt;INT(N(H640)),AND(I640&lt;&gt;"",NOT(ISNUMBER(I640))),N(I640)&lt;0,N(I640)&lt;&gt;INT(N(I640))),"Quantité invalide",IF(Q640&lt;=0,"Cadence manquante (poste ou article)",IF(M640&lt;=0,"Arrêts planifiés supérieurs au temps d'ouverture",IF(O640&lt;0,"Arrêts supérieurs au temps requis",IF(AND(P640&gt;0,O640=0),"Pièces déclarées sans temps de marche",IF(AND(P640=0,O640&gt;0),"Aucune pièce déclarée",IF(P640*60/Q640&gt;O640+0.001,"Cadence dépassée : vérifiez la cadence","OK"))))))))))))))))))</f>
        <v/>
      </c>
      <c r="AC640">
        <f>IF(OR(AB640="OK",AB640="Aucune pièce déclarée",AB640="Cadence dépassée : vérifiez la cadence"),1,0)</f>
        <v>0.0</v>
      </c>
      <c r="AD640">
        <f>IF(AND(AC640=1,A640&gt;=p_from,A640&lt;=p_to),1,0)</f>
        <v>0.0</v>
      </c>
      <c r="AE640">
        <f>IF(AD640=1,IF(COUNTIFS($A$6:A640,A640,$AD$6:AD640,1)=1,1,0),0)</f>
        <v>0.0</v>
      </c>
      <c r="AF640" t="str">
        <f>IF(AE640=1,COUNTIFS(sj_first,1,sj_date,"&lt;"&amp;A640)+1,"")</f>
        <v/>
      </c>
      <c r="AG640" t="str">
        <f>IF(AND(AD640=1,N(W640)&lt;p_alert),ROUND(W640,4),"")</f>
        <v/>
      </c>
      <c r="AH640" t="str">
        <f>IF(AG640="","",COUNTIF(sj_akey,"&lt;"&amp;AG640)+COUNTIF($AG$6:AG640,AG640))</f>
        <v/>
      </c>
    </row>
    <row r="641">
      <c r="A641" s="51" t="n"/>
      <c r="B641" s="52" t="n"/>
      <c r="C641" s="52" t="n"/>
      <c r="D641" s="53" t="n"/>
      <c r="E641" s="53" t="n"/>
      <c r="F641" s="54" t="n"/>
      <c r="G641" s="54" t="n"/>
      <c r="H641" s="54" t="n"/>
      <c r="I641" s="54" t="n"/>
      <c r="J641" s="53" t="n"/>
      <c r="K641" s="55" t="str">
        <f>IF(COUNTA(A641:I641)=0,"",IF(F641="",IFERROR(INDEX(eq_dur,MATCH(B641,eq_code,0)),""),F641))</f>
        <v/>
      </c>
      <c r="L641" s="55" t="str">
        <f>IF(ISNUMBER(K641),N(IFERROR(INDEX(eq_pause,MATCH(B641,eq_code,0)),0))+SUMIFS(st_min,st_date,A641,st_eq,B641,st_po,C641,st_type,"Planifié"),"")</f>
        <v/>
      </c>
      <c r="M641" s="55" t="str">
        <f>IF(ISNUMBER(K641),K641-L641,"")</f>
        <v/>
      </c>
      <c r="N641" s="55" t="str">
        <f>IF(ISNUMBER(K641),SUMIFS(st_min,st_date,A641,st_eq,B641,st_po,C641,st_type,"Non planifié"),"")</f>
        <v/>
      </c>
      <c r="O641" s="55" t="str">
        <f>IF(ISNUMBER(K641),M641-N641,"")</f>
        <v/>
      </c>
      <c r="P641" s="55" t="str">
        <f>IF(COUNTA(A641:I641)=0,"",N(G641)+N(H641)+N(I641))</f>
        <v/>
      </c>
      <c r="Q641" s="56" t="str">
        <f>IF(COUNTA(A641:I641)=0,"",IF(N(IFERROR(INDEX(art_rate,MATCH(E641,art_ref,0)),0))&gt;0,N(IFERROR(INDEX(art_rate,MATCH(E641,art_ref,0)),0)),N(IFERROR(INDEX(po_rate,MATCH(C641,po_code,0)),0))))</f>
        <v/>
      </c>
      <c r="R641" s="55" t="str">
        <f>IF(AC641=1,P641*60/Q641,"")</f>
        <v/>
      </c>
      <c r="S641" s="55" t="str">
        <f>IF(AC641=1,N(G641)*60/Q641,"")</f>
        <v/>
      </c>
      <c r="T641" s="57" t="str">
        <f>IF(AC641=1,O641/M641,"")</f>
        <v/>
      </c>
      <c r="U641" s="57" t="str">
        <f>IF(AC641=1,IF(O641&gt;0,R641/O641,""),"")</f>
        <v/>
      </c>
      <c r="V641" s="57" t="str">
        <f>IF(AC641=1,IF(P641&gt;0,N(G641)/P641,""),"")</f>
        <v/>
      </c>
      <c r="W641" s="57" t="str">
        <f>IF(AC641=1,S641/M641,"")</f>
        <v/>
      </c>
      <c r="X641" s="57" t="str">
        <f>IF(AC641=1,S641/K641,"")</f>
        <v/>
      </c>
      <c r="Y641" s="58" t="str">
        <f>IF(W641="","",IF(W641&gt;=p_target,"Bon",IF(W641&gt;=p_alert,"À surveiller","Faible")))</f>
        <v/>
      </c>
      <c r="Z641" s="58" t="str">
        <f>IF(W641="","",IF(MIN(IF(T641="",1,T641),IF(U641="",1,U641),IF(V641="",1,V641))&gt;=1,"Aucune",IF(IF(T641="",1,T641)&lt;=MIN(IF(U641="",1,U641),IF(V641="",1,V641)),"Disponibilité",IF(IF(U641="",1,U641)&lt;=IF(V641="",1,V641),"Performance","Qualité"))))</f>
        <v/>
      </c>
      <c r="AA641" s="59" t="str">
        <f>IF(AC641=1,N(H641)*N(IFERROR(INDEX(art_cost,MATCH(E641,art_ref,0)),0)),"")</f>
        <v/>
      </c>
      <c r="AB641" s="58" t="str">
        <f>IF(COUNTA(A641:I641)=0,"",IF(N(A641)&lt;=0,"Date manquante ou invalide",IF(B641="","Équipe manquante",IF(ISNA(MATCH(B641,eq_code,0)),"Équipe inconnue",IF(INDEX(eq_check,MATCH(B641,eq_code,0))&lt;&gt;"OK","Équipe à corriger dans Paramètres",IF(C641="","Poste manquant",IF(ISNA(MATCH(C641,po_code,0)),"Poste inconnu",IF(AND(E641&lt;&gt;"",ISNA(MATCH(E641,art_ref,0))),"Article inconnu",IF(IF(E641="",FALSE,INDEX(art_check,MATCH(E641,art_ref,0))&lt;&gt;"OK"),"Article à corriger (feuille Articles)",IF(COUNTIFS(sj_date,A641,sj_eq,B641,sj_po,C641)&gt;1,"Ligne en double (même jour, équipe et poste)",IF(OR(NOT(ISNUMBER(K641)),N(K641)&lt;=0,N(K641)&gt;1440),"Temps d'ouverture invalide",IF(OR(AND(G641&lt;&gt;"",NOT(ISNUMBER(G641))),N(G641)&lt;0,N(G641)&lt;&gt;INT(N(G641)),AND(H641&lt;&gt;"",NOT(ISNUMBER(H641))),N(H641)&lt;0,N(H641)&lt;&gt;INT(N(H641)),AND(I641&lt;&gt;"",NOT(ISNUMBER(I641))),N(I641)&lt;0,N(I641)&lt;&gt;INT(N(I641))),"Quantité invalide",IF(Q641&lt;=0,"Cadence manquante (poste ou article)",IF(M641&lt;=0,"Arrêts planifiés supérieurs au temps d'ouverture",IF(O641&lt;0,"Arrêts supérieurs au temps requis",IF(AND(P641&gt;0,O641=0),"Pièces déclarées sans temps de marche",IF(AND(P641=0,O641&gt;0),"Aucune pièce déclarée",IF(P641*60/Q641&gt;O641+0.001,"Cadence dépassée : vérifiez la cadence","OK"))))))))))))))))))</f>
        <v/>
      </c>
      <c r="AC641">
        <f>IF(OR(AB641="OK",AB641="Aucune pièce déclarée",AB641="Cadence dépassée : vérifiez la cadence"),1,0)</f>
        <v>0.0</v>
      </c>
      <c r="AD641">
        <f>IF(AND(AC641=1,A641&gt;=p_from,A641&lt;=p_to),1,0)</f>
        <v>0.0</v>
      </c>
      <c r="AE641">
        <f>IF(AD641=1,IF(COUNTIFS($A$6:A641,A641,$AD$6:AD641,1)=1,1,0),0)</f>
        <v>0.0</v>
      </c>
      <c r="AF641" t="str">
        <f>IF(AE641=1,COUNTIFS(sj_first,1,sj_date,"&lt;"&amp;A641)+1,"")</f>
        <v/>
      </c>
      <c r="AG641" t="str">
        <f>IF(AND(AD641=1,N(W641)&lt;p_alert),ROUND(W641,4),"")</f>
        <v/>
      </c>
      <c r="AH641" t="str">
        <f>IF(AG641="","",COUNTIF(sj_akey,"&lt;"&amp;AG641)+COUNTIF($AG$6:AG641,AG641))</f>
        <v/>
      </c>
    </row>
    <row r="642">
      <c r="A642" s="51" t="n"/>
      <c r="B642" s="52" t="n"/>
      <c r="C642" s="52" t="n"/>
      <c r="D642" s="53" t="n"/>
      <c r="E642" s="53" t="n"/>
      <c r="F642" s="54" t="n"/>
      <c r="G642" s="54" t="n"/>
      <c r="H642" s="54" t="n"/>
      <c r="I642" s="54" t="n"/>
      <c r="J642" s="53" t="n"/>
      <c r="K642" s="55" t="str">
        <f>IF(COUNTA(A642:I642)=0,"",IF(F642="",IFERROR(INDEX(eq_dur,MATCH(B642,eq_code,0)),""),F642))</f>
        <v/>
      </c>
      <c r="L642" s="55" t="str">
        <f>IF(ISNUMBER(K642),N(IFERROR(INDEX(eq_pause,MATCH(B642,eq_code,0)),0))+SUMIFS(st_min,st_date,A642,st_eq,B642,st_po,C642,st_type,"Planifié"),"")</f>
        <v/>
      </c>
      <c r="M642" s="55" t="str">
        <f>IF(ISNUMBER(K642),K642-L642,"")</f>
        <v/>
      </c>
      <c r="N642" s="55" t="str">
        <f>IF(ISNUMBER(K642),SUMIFS(st_min,st_date,A642,st_eq,B642,st_po,C642,st_type,"Non planifié"),"")</f>
        <v/>
      </c>
      <c r="O642" s="55" t="str">
        <f>IF(ISNUMBER(K642),M642-N642,"")</f>
        <v/>
      </c>
      <c r="P642" s="55" t="str">
        <f>IF(COUNTA(A642:I642)=0,"",N(G642)+N(H642)+N(I642))</f>
        <v/>
      </c>
      <c r="Q642" s="56" t="str">
        <f>IF(COUNTA(A642:I642)=0,"",IF(N(IFERROR(INDEX(art_rate,MATCH(E642,art_ref,0)),0))&gt;0,N(IFERROR(INDEX(art_rate,MATCH(E642,art_ref,0)),0)),N(IFERROR(INDEX(po_rate,MATCH(C642,po_code,0)),0))))</f>
        <v/>
      </c>
      <c r="R642" s="55" t="str">
        <f>IF(AC642=1,P642*60/Q642,"")</f>
        <v/>
      </c>
      <c r="S642" s="55" t="str">
        <f>IF(AC642=1,N(G642)*60/Q642,"")</f>
        <v/>
      </c>
      <c r="T642" s="57" t="str">
        <f>IF(AC642=1,O642/M642,"")</f>
        <v/>
      </c>
      <c r="U642" s="57" t="str">
        <f>IF(AC642=1,IF(O642&gt;0,R642/O642,""),"")</f>
        <v/>
      </c>
      <c r="V642" s="57" t="str">
        <f>IF(AC642=1,IF(P642&gt;0,N(G642)/P642,""),"")</f>
        <v/>
      </c>
      <c r="W642" s="57" t="str">
        <f>IF(AC642=1,S642/M642,"")</f>
        <v/>
      </c>
      <c r="X642" s="57" t="str">
        <f>IF(AC642=1,S642/K642,"")</f>
        <v/>
      </c>
      <c r="Y642" s="58" t="str">
        <f>IF(W642="","",IF(W642&gt;=p_target,"Bon",IF(W642&gt;=p_alert,"À surveiller","Faible")))</f>
        <v/>
      </c>
      <c r="Z642" s="58" t="str">
        <f>IF(W642="","",IF(MIN(IF(T642="",1,T642),IF(U642="",1,U642),IF(V642="",1,V642))&gt;=1,"Aucune",IF(IF(T642="",1,T642)&lt;=MIN(IF(U642="",1,U642),IF(V642="",1,V642)),"Disponibilité",IF(IF(U642="",1,U642)&lt;=IF(V642="",1,V642),"Performance","Qualité"))))</f>
        <v/>
      </c>
      <c r="AA642" s="59" t="str">
        <f>IF(AC642=1,N(H642)*N(IFERROR(INDEX(art_cost,MATCH(E642,art_ref,0)),0)),"")</f>
        <v/>
      </c>
      <c r="AB642" s="58" t="str">
        <f>IF(COUNTA(A642:I642)=0,"",IF(N(A642)&lt;=0,"Date manquante ou invalide",IF(B642="","Équipe manquante",IF(ISNA(MATCH(B642,eq_code,0)),"Équipe inconnue",IF(INDEX(eq_check,MATCH(B642,eq_code,0))&lt;&gt;"OK","Équipe à corriger dans Paramètres",IF(C642="","Poste manquant",IF(ISNA(MATCH(C642,po_code,0)),"Poste inconnu",IF(AND(E642&lt;&gt;"",ISNA(MATCH(E642,art_ref,0))),"Article inconnu",IF(IF(E642="",FALSE,INDEX(art_check,MATCH(E642,art_ref,0))&lt;&gt;"OK"),"Article à corriger (feuille Articles)",IF(COUNTIFS(sj_date,A642,sj_eq,B642,sj_po,C642)&gt;1,"Ligne en double (même jour, équipe et poste)",IF(OR(NOT(ISNUMBER(K642)),N(K642)&lt;=0,N(K642)&gt;1440),"Temps d'ouverture invalide",IF(OR(AND(G642&lt;&gt;"",NOT(ISNUMBER(G642))),N(G642)&lt;0,N(G642)&lt;&gt;INT(N(G642)),AND(H642&lt;&gt;"",NOT(ISNUMBER(H642))),N(H642)&lt;0,N(H642)&lt;&gt;INT(N(H642)),AND(I642&lt;&gt;"",NOT(ISNUMBER(I642))),N(I642)&lt;0,N(I642)&lt;&gt;INT(N(I642))),"Quantité invalide",IF(Q642&lt;=0,"Cadence manquante (poste ou article)",IF(M642&lt;=0,"Arrêts planifiés supérieurs au temps d'ouverture",IF(O642&lt;0,"Arrêts supérieurs au temps requis",IF(AND(P642&gt;0,O642=0),"Pièces déclarées sans temps de marche",IF(AND(P642=0,O642&gt;0),"Aucune pièce déclarée",IF(P642*60/Q642&gt;O642+0.001,"Cadence dépassée : vérifiez la cadence","OK"))))))))))))))))))</f>
        <v/>
      </c>
      <c r="AC642">
        <f>IF(OR(AB642="OK",AB642="Aucune pièce déclarée",AB642="Cadence dépassée : vérifiez la cadence"),1,0)</f>
        <v>0.0</v>
      </c>
      <c r="AD642">
        <f>IF(AND(AC642=1,A642&gt;=p_from,A642&lt;=p_to),1,0)</f>
        <v>0.0</v>
      </c>
      <c r="AE642">
        <f>IF(AD642=1,IF(COUNTIFS($A$6:A642,A642,$AD$6:AD642,1)=1,1,0),0)</f>
        <v>0.0</v>
      </c>
      <c r="AF642" t="str">
        <f>IF(AE642=1,COUNTIFS(sj_first,1,sj_date,"&lt;"&amp;A642)+1,"")</f>
        <v/>
      </c>
      <c r="AG642" t="str">
        <f>IF(AND(AD642=1,N(W642)&lt;p_alert),ROUND(W642,4),"")</f>
        <v/>
      </c>
      <c r="AH642" t="str">
        <f>IF(AG642="","",COUNTIF(sj_akey,"&lt;"&amp;AG642)+COUNTIF($AG$6:AG642,AG642))</f>
        <v/>
      </c>
    </row>
    <row r="643">
      <c r="A643" s="51" t="n"/>
      <c r="B643" s="52" t="n"/>
      <c r="C643" s="52" t="n"/>
      <c r="D643" s="53" t="n"/>
      <c r="E643" s="53" t="n"/>
      <c r="F643" s="54" t="n"/>
      <c r="G643" s="54" t="n"/>
      <c r="H643" s="54" t="n"/>
      <c r="I643" s="54" t="n"/>
      <c r="J643" s="53" t="n"/>
      <c r="K643" s="55" t="str">
        <f>IF(COUNTA(A643:I643)=0,"",IF(F643="",IFERROR(INDEX(eq_dur,MATCH(B643,eq_code,0)),""),F643))</f>
        <v/>
      </c>
      <c r="L643" s="55" t="str">
        <f>IF(ISNUMBER(K643),N(IFERROR(INDEX(eq_pause,MATCH(B643,eq_code,0)),0))+SUMIFS(st_min,st_date,A643,st_eq,B643,st_po,C643,st_type,"Planifié"),"")</f>
        <v/>
      </c>
      <c r="M643" s="55" t="str">
        <f>IF(ISNUMBER(K643),K643-L643,"")</f>
        <v/>
      </c>
      <c r="N643" s="55" t="str">
        <f>IF(ISNUMBER(K643),SUMIFS(st_min,st_date,A643,st_eq,B643,st_po,C643,st_type,"Non planifié"),"")</f>
        <v/>
      </c>
      <c r="O643" s="55" t="str">
        <f>IF(ISNUMBER(K643),M643-N643,"")</f>
        <v/>
      </c>
      <c r="P643" s="55" t="str">
        <f>IF(COUNTA(A643:I643)=0,"",N(G643)+N(H643)+N(I643))</f>
        <v/>
      </c>
      <c r="Q643" s="56" t="str">
        <f>IF(COUNTA(A643:I643)=0,"",IF(N(IFERROR(INDEX(art_rate,MATCH(E643,art_ref,0)),0))&gt;0,N(IFERROR(INDEX(art_rate,MATCH(E643,art_ref,0)),0)),N(IFERROR(INDEX(po_rate,MATCH(C643,po_code,0)),0))))</f>
        <v/>
      </c>
      <c r="R643" s="55" t="str">
        <f>IF(AC643=1,P643*60/Q643,"")</f>
        <v/>
      </c>
      <c r="S643" s="55" t="str">
        <f>IF(AC643=1,N(G643)*60/Q643,"")</f>
        <v/>
      </c>
      <c r="T643" s="57" t="str">
        <f>IF(AC643=1,O643/M643,"")</f>
        <v/>
      </c>
      <c r="U643" s="57" t="str">
        <f>IF(AC643=1,IF(O643&gt;0,R643/O643,""),"")</f>
        <v/>
      </c>
      <c r="V643" s="57" t="str">
        <f>IF(AC643=1,IF(P643&gt;0,N(G643)/P643,""),"")</f>
        <v/>
      </c>
      <c r="W643" s="57" t="str">
        <f>IF(AC643=1,S643/M643,"")</f>
        <v/>
      </c>
      <c r="X643" s="57" t="str">
        <f>IF(AC643=1,S643/K643,"")</f>
        <v/>
      </c>
      <c r="Y643" s="58" t="str">
        <f>IF(W643="","",IF(W643&gt;=p_target,"Bon",IF(W643&gt;=p_alert,"À surveiller","Faible")))</f>
        <v/>
      </c>
      <c r="Z643" s="58" t="str">
        <f>IF(W643="","",IF(MIN(IF(T643="",1,T643),IF(U643="",1,U643),IF(V643="",1,V643))&gt;=1,"Aucune",IF(IF(T643="",1,T643)&lt;=MIN(IF(U643="",1,U643),IF(V643="",1,V643)),"Disponibilité",IF(IF(U643="",1,U643)&lt;=IF(V643="",1,V643),"Performance","Qualité"))))</f>
        <v/>
      </c>
      <c r="AA643" s="59" t="str">
        <f>IF(AC643=1,N(H643)*N(IFERROR(INDEX(art_cost,MATCH(E643,art_ref,0)),0)),"")</f>
        <v/>
      </c>
      <c r="AB643" s="58" t="str">
        <f>IF(COUNTA(A643:I643)=0,"",IF(N(A643)&lt;=0,"Date manquante ou invalide",IF(B643="","Équipe manquante",IF(ISNA(MATCH(B643,eq_code,0)),"Équipe inconnue",IF(INDEX(eq_check,MATCH(B643,eq_code,0))&lt;&gt;"OK","Équipe à corriger dans Paramètres",IF(C643="","Poste manquant",IF(ISNA(MATCH(C643,po_code,0)),"Poste inconnu",IF(AND(E643&lt;&gt;"",ISNA(MATCH(E643,art_ref,0))),"Article inconnu",IF(IF(E643="",FALSE,INDEX(art_check,MATCH(E643,art_ref,0))&lt;&gt;"OK"),"Article à corriger (feuille Articles)",IF(COUNTIFS(sj_date,A643,sj_eq,B643,sj_po,C643)&gt;1,"Ligne en double (même jour, équipe et poste)",IF(OR(NOT(ISNUMBER(K643)),N(K643)&lt;=0,N(K643)&gt;1440),"Temps d'ouverture invalide",IF(OR(AND(G643&lt;&gt;"",NOT(ISNUMBER(G643))),N(G643)&lt;0,N(G643)&lt;&gt;INT(N(G643)),AND(H643&lt;&gt;"",NOT(ISNUMBER(H643))),N(H643)&lt;0,N(H643)&lt;&gt;INT(N(H643)),AND(I643&lt;&gt;"",NOT(ISNUMBER(I643))),N(I643)&lt;0,N(I643)&lt;&gt;INT(N(I643))),"Quantité invalide",IF(Q643&lt;=0,"Cadence manquante (poste ou article)",IF(M643&lt;=0,"Arrêts planifiés supérieurs au temps d'ouverture",IF(O643&lt;0,"Arrêts supérieurs au temps requis",IF(AND(P643&gt;0,O643=0),"Pièces déclarées sans temps de marche",IF(AND(P643=0,O643&gt;0),"Aucune pièce déclarée",IF(P643*60/Q643&gt;O643+0.001,"Cadence dépassée : vérifiez la cadence","OK"))))))))))))))))))</f>
        <v/>
      </c>
      <c r="AC643">
        <f>IF(OR(AB643="OK",AB643="Aucune pièce déclarée",AB643="Cadence dépassée : vérifiez la cadence"),1,0)</f>
        <v>0.0</v>
      </c>
      <c r="AD643">
        <f>IF(AND(AC643=1,A643&gt;=p_from,A643&lt;=p_to),1,0)</f>
        <v>0.0</v>
      </c>
      <c r="AE643">
        <f>IF(AD643=1,IF(COUNTIFS($A$6:A643,A643,$AD$6:AD643,1)=1,1,0),0)</f>
        <v>0.0</v>
      </c>
      <c r="AF643" t="str">
        <f>IF(AE643=1,COUNTIFS(sj_first,1,sj_date,"&lt;"&amp;A643)+1,"")</f>
        <v/>
      </c>
      <c r="AG643" t="str">
        <f>IF(AND(AD643=1,N(W643)&lt;p_alert),ROUND(W643,4),"")</f>
        <v/>
      </c>
      <c r="AH643" t="str">
        <f>IF(AG643="","",COUNTIF(sj_akey,"&lt;"&amp;AG643)+COUNTIF($AG$6:AG643,AG643))</f>
        <v/>
      </c>
    </row>
    <row r="644">
      <c r="A644" s="51" t="n"/>
      <c r="B644" s="52" t="n"/>
      <c r="C644" s="52" t="n"/>
      <c r="D644" s="53" t="n"/>
      <c r="E644" s="53" t="n"/>
      <c r="F644" s="54" t="n"/>
      <c r="G644" s="54" t="n"/>
      <c r="H644" s="54" t="n"/>
      <c r="I644" s="54" t="n"/>
      <c r="J644" s="53" t="n"/>
      <c r="K644" s="55" t="str">
        <f>IF(COUNTA(A644:I644)=0,"",IF(F644="",IFERROR(INDEX(eq_dur,MATCH(B644,eq_code,0)),""),F644))</f>
        <v/>
      </c>
      <c r="L644" s="55" t="str">
        <f>IF(ISNUMBER(K644),N(IFERROR(INDEX(eq_pause,MATCH(B644,eq_code,0)),0))+SUMIFS(st_min,st_date,A644,st_eq,B644,st_po,C644,st_type,"Planifié"),"")</f>
        <v/>
      </c>
      <c r="M644" s="55" t="str">
        <f>IF(ISNUMBER(K644),K644-L644,"")</f>
        <v/>
      </c>
      <c r="N644" s="55" t="str">
        <f>IF(ISNUMBER(K644),SUMIFS(st_min,st_date,A644,st_eq,B644,st_po,C644,st_type,"Non planifié"),"")</f>
        <v/>
      </c>
      <c r="O644" s="55" t="str">
        <f>IF(ISNUMBER(K644),M644-N644,"")</f>
        <v/>
      </c>
      <c r="P644" s="55" t="str">
        <f>IF(COUNTA(A644:I644)=0,"",N(G644)+N(H644)+N(I644))</f>
        <v/>
      </c>
      <c r="Q644" s="56" t="str">
        <f>IF(COUNTA(A644:I644)=0,"",IF(N(IFERROR(INDEX(art_rate,MATCH(E644,art_ref,0)),0))&gt;0,N(IFERROR(INDEX(art_rate,MATCH(E644,art_ref,0)),0)),N(IFERROR(INDEX(po_rate,MATCH(C644,po_code,0)),0))))</f>
        <v/>
      </c>
      <c r="R644" s="55" t="str">
        <f>IF(AC644=1,P644*60/Q644,"")</f>
        <v/>
      </c>
      <c r="S644" s="55" t="str">
        <f>IF(AC644=1,N(G644)*60/Q644,"")</f>
        <v/>
      </c>
      <c r="T644" s="57" t="str">
        <f>IF(AC644=1,O644/M644,"")</f>
        <v/>
      </c>
      <c r="U644" s="57" t="str">
        <f>IF(AC644=1,IF(O644&gt;0,R644/O644,""),"")</f>
        <v/>
      </c>
      <c r="V644" s="57" t="str">
        <f>IF(AC644=1,IF(P644&gt;0,N(G644)/P644,""),"")</f>
        <v/>
      </c>
      <c r="W644" s="57" t="str">
        <f>IF(AC644=1,S644/M644,"")</f>
        <v/>
      </c>
      <c r="X644" s="57" t="str">
        <f>IF(AC644=1,S644/K644,"")</f>
        <v/>
      </c>
      <c r="Y644" s="58" t="str">
        <f>IF(W644="","",IF(W644&gt;=p_target,"Bon",IF(W644&gt;=p_alert,"À surveiller","Faible")))</f>
        <v/>
      </c>
      <c r="Z644" s="58" t="str">
        <f>IF(W644="","",IF(MIN(IF(T644="",1,T644),IF(U644="",1,U644),IF(V644="",1,V644))&gt;=1,"Aucune",IF(IF(T644="",1,T644)&lt;=MIN(IF(U644="",1,U644),IF(V644="",1,V644)),"Disponibilité",IF(IF(U644="",1,U644)&lt;=IF(V644="",1,V644),"Performance","Qualité"))))</f>
        <v/>
      </c>
      <c r="AA644" s="59" t="str">
        <f>IF(AC644=1,N(H644)*N(IFERROR(INDEX(art_cost,MATCH(E644,art_ref,0)),0)),"")</f>
        <v/>
      </c>
      <c r="AB644" s="58" t="str">
        <f>IF(COUNTA(A644:I644)=0,"",IF(N(A644)&lt;=0,"Date manquante ou invalide",IF(B644="","Équipe manquante",IF(ISNA(MATCH(B644,eq_code,0)),"Équipe inconnue",IF(INDEX(eq_check,MATCH(B644,eq_code,0))&lt;&gt;"OK","Équipe à corriger dans Paramètres",IF(C644="","Poste manquant",IF(ISNA(MATCH(C644,po_code,0)),"Poste inconnu",IF(AND(E644&lt;&gt;"",ISNA(MATCH(E644,art_ref,0))),"Article inconnu",IF(IF(E644="",FALSE,INDEX(art_check,MATCH(E644,art_ref,0))&lt;&gt;"OK"),"Article à corriger (feuille Articles)",IF(COUNTIFS(sj_date,A644,sj_eq,B644,sj_po,C644)&gt;1,"Ligne en double (même jour, équipe et poste)",IF(OR(NOT(ISNUMBER(K644)),N(K644)&lt;=0,N(K644)&gt;1440),"Temps d'ouverture invalide",IF(OR(AND(G644&lt;&gt;"",NOT(ISNUMBER(G644))),N(G644)&lt;0,N(G644)&lt;&gt;INT(N(G644)),AND(H644&lt;&gt;"",NOT(ISNUMBER(H644))),N(H644)&lt;0,N(H644)&lt;&gt;INT(N(H644)),AND(I644&lt;&gt;"",NOT(ISNUMBER(I644))),N(I644)&lt;0,N(I644)&lt;&gt;INT(N(I644))),"Quantité invalide",IF(Q644&lt;=0,"Cadence manquante (poste ou article)",IF(M644&lt;=0,"Arrêts planifiés supérieurs au temps d'ouverture",IF(O644&lt;0,"Arrêts supérieurs au temps requis",IF(AND(P644&gt;0,O644=0),"Pièces déclarées sans temps de marche",IF(AND(P644=0,O644&gt;0),"Aucune pièce déclarée",IF(P644*60/Q644&gt;O644+0.001,"Cadence dépassée : vérifiez la cadence","OK"))))))))))))))))))</f>
        <v/>
      </c>
      <c r="AC644">
        <f>IF(OR(AB644="OK",AB644="Aucune pièce déclarée",AB644="Cadence dépassée : vérifiez la cadence"),1,0)</f>
        <v>0.0</v>
      </c>
      <c r="AD644">
        <f>IF(AND(AC644=1,A644&gt;=p_from,A644&lt;=p_to),1,0)</f>
        <v>0.0</v>
      </c>
      <c r="AE644">
        <f>IF(AD644=1,IF(COUNTIFS($A$6:A644,A644,$AD$6:AD644,1)=1,1,0),0)</f>
        <v>0.0</v>
      </c>
      <c r="AF644" t="str">
        <f>IF(AE644=1,COUNTIFS(sj_first,1,sj_date,"&lt;"&amp;A644)+1,"")</f>
        <v/>
      </c>
      <c r="AG644" t="str">
        <f>IF(AND(AD644=1,N(W644)&lt;p_alert),ROUND(W644,4),"")</f>
        <v/>
      </c>
      <c r="AH644" t="str">
        <f>IF(AG644="","",COUNTIF(sj_akey,"&lt;"&amp;AG644)+COUNTIF($AG$6:AG644,AG644))</f>
        <v/>
      </c>
    </row>
    <row r="645">
      <c r="A645" s="51" t="n"/>
      <c r="B645" s="52" t="n"/>
      <c r="C645" s="52" t="n"/>
      <c r="D645" s="53" t="n"/>
      <c r="E645" s="53" t="n"/>
      <c r="F645" s="54" t="n"/>
      <c r="G645" s="54" t="n"/>
      <c r="H645" s="54" t="n"/>
      <c r="I645" s="54" t="n"/>
      <c r="J645" s="53" t="n"/>
      <c r="K645" s="55" t="str">
        <f>IF(COUNTA(A645:I645)=0,"",IF(F645="",IFERROR(INDEX(eq_dur,MATCH(B645,eq_code,0)),""),F645))</f>
        <v/>
      </c>
      <c r="L645" s="55" t="str">
        <f>IF(ISNUMBER(K645),N(IFERROR(INDEX(eq_pause,MATCH(B645,eq_code,0)),0))+SUMIFS(st_min,st_date,A645,st_eq,B645,st_po,C645,st_type,"Planifié"),"")</f>
        <v/>
      </c>
      <c r="M645" s="55" t="str">
        <f>IF(ISNUMBER(K645),K645-L645,"")</f>
        <v/>
      </c>
      <c r="N645" s="55" t="str">
        <f>IF(ISNUMBER(K645),SUMIFS(st_min,st_date,A645,st_eq,B645,st_po,C645,st_type,"Non planifié"),"")</f>
        <v/>
      </c>
      <c r="O645" s="55" t="str">
        <f>IF(ISNUMBER(K645),M645-N645,"")</f>
        <v/>
      </c>
      <c r="P645" s="55" t="str">
        <f>IF(COUNTA(A645:I645)=0,"",N(G645)+N(H645)+N(I645))</f>
        <v/>
      </c>
      <c r="Q645" s="56" t="str">
        <f>IF(COUNTA(A645:I645)=0,"",IF(N(IFERROR(INDEX(art_rate,MATCH(E645,art_ref,0)),0))&gt;0,N(IFERROR(INDEX(art_rate,MATCH(E645,art_ref,0)),0)),N(IFERROR(INDEX(po_rate,MATCH(C645,po_code,0)),0))))</f>
        <v/>
      </c>
      <c r="R645" s="55" t="str">
        <f>IF(AC645=1,P645*60/Q645,"")</f>
        <v/>
      </c>
      <c r="S645" s="55" t="str">
        <f>IF(AC645=1,N(G645)*60/Q645,"")</f>
        <v/>
      </c>
      <c r="T645" s="57" t="str">
        <f>IF(AC645=1,O645/M645,"")</f>
        <v/>
      </c>
      <c r="U645" s="57" t="str">
        <f>IF(AC645=1,IF(O645&gt;0,R645/O645,""),"")</f>
        <v/>
      </c>
      <c r="V645" s="57" t="str">
        <f>IF(AC645=1,IF(P645&gt;0,N(G645)/P645,""),"")</f>
        <v/>
      </c>
      <c r="W645" s="57" t="str">
        <f>IF(AC645=1,S645/M645,"")</f>
        <v/>
      </c>
      <c r="X645" s="57" t="str">
        <f>IF(AC645=1,S645/K645,"")</f>
        <v/>
      </c>
      <c r="Y645" s="58" t="str">
        <f>IF(W645="","",IF(W645&gt;=p_target,"Bon",IF(W645&gt;=p_alert,"À surveiller","Faible")))</f>
        <v/>
      </c>
      <c r="Z645" s="58" t="str">
        <f>IF(W645="","",IF(MIN(IF(T645="",1,T645),IF(U645="",1,U645),IF(V645="",1,V645))&gt;=1,"Aucune",IF(IF(T645="",1,T645)&lt;=MIN(IF(U645="",1,U645),IF(V645="",1,V645)),"Disponibilité",IF(IF(U645="",1,U645)&lt;=IF(V645="",1,V645),"Performance","Qualité"))))</f>
        <v/>
      </c>
      <c r="AA645" s="59" t="str">
        <f>IF(AC645=1,N(H645)*N(IFERROR(INDEX(art_cost,MATCH(E645,art_ref,0)),0)),"")</f>
        <v/>
      </c>
      <c r="AB645" s="58" t="str">
        <f>IF(COUNTA(A645:I645)=0,"",IF(N(A645)&lt;=0,"Date manquante ou invalide",IF(B645="","Équipe manquante",IF(ISNA(MATCH(B645,eq_code,0)),"Équipe inconnue",IF(INDEX(eq_check,MATCH(B645,eq_code,0))&lt;&gt;"OK","Équipe à corriger dans Paramètres",IF(C645="","Poste manquant",IF(ISNA(MATCH(C645,po_code,0)),"Poste inconnu",IF(AND(E645&lt;&gt;"",ISNA(MATCH(E645,art_ref,0))),"Article inconnu",IF(IF(E645="",FALSE,INDEX(art_check,MATCH(E645,art_ref,0))&lt;&gt;"OK"),"Article à corriger (feuille Articles)",IF(COUNTIFS(sj_date,A645,sj_eq,B645,sj_po,C645)&gt;1,"Ligne en double (même jour, équipe et poste)",IF(OR(NOT(ISNUMBER(K645)),N(K645)&lt;=0,N(K645)&gt;1440),"Temps d'ouverture invalide",IF(OR(AND(G645&lt;&gt;"",NOT(ISNUMBER(G645))),N(G645)&lt;0,N(G645)&lt;&gt;INT(N(G645)),AND(H645&lt;&gt;"",NOT(ISNUMBER(H645))),N(H645)&lt;0,N(H645)&lt;&gt;INT(N(H645)),AND(I645&lt;&gt;"",NOT(ISNUMBER(I645))),N(I645)&lt;0,N(I645)&lt;&gt;INT(N(I645))),"Quantité invalide",IF(Q645&lt;=0,"Cadence manquante (poste ou article)",IF(M645&lt;=0,"Arrêts planifiés supérieurs au temps d'ouverture",IF(O645&lt;0,"Arrêts supérieurs au temps requis",IF(AND(P645&gt;0,O645=0),"Pièces déclarées sans temps de marche",IF(AND(P645=0,O645&gt;0),"Aucune pièce déclarée",IF(P645*60/Q645&gt;O645+0.001,"Cadence dépassée : vérifiez la cadence","OK"))))))))))))))))))</f>
        <v/>
      </c>
      <c r="AC645">
        <f>IF(OR(AB645="OK",AB645="Aucune pièce déclarée",AB645="Cadence dépassée : vérifiez la cadence"),1,0)</f>
        <v>0.0</v>
      </c>
      <c r="AD645">
        <f>IF(AND(AC645=1,A645&gt;=p_from,A645&lt;=p_to),1,0)</f>
        <v>0.0</v>
      </c>
      <c r="AE645">
        <f>IF(AD645=1,IF(COUNTIFS($A$6:A645,A645,$AD$6:AD645,1)=1,1,0),0)</f>
        <v>0.0</v>
      </c>
      <c r="AF645" t="str">
        <f>IF(AE645=1,COUNTIFS(sj_first,1,sj_date,"&lt;"&amp;A645)+1,"")</f>
        <v/>
      </c>
      <c r="AG645" t="str">
        <f>IF(AND(AD645=1,N(W645)&lt;p_alert),ROUND(W645,4),"")</f>
        <v/>
      </c>
      <c r="AH645" t="str">
        <f>IF(AG645="","",COUNTIF(sj_akey,"&lt;"&amp;AG645)+COUNTIF($AG$6:AG645,AG645))</f>
        <v/>
      </c>
    </row>
    <row r="646">
      <c r="A646" s="51" t="n"/>
      <c r="B646" s="52" t="n"/>
      <c r="C646" s="52" t="n"/>
      <c r="D646" s="53" t="n"/>
      <c r="E646" s="53" t="n"/>
      <c r="F646" s="54" t="n"/>
      <c r="G646" s="54" t="n"/>
      <c r="H646" s="54" t="n"/>
      <c r="I646" s="54" t="n"/>
      <c r="J646" s="53" t="n"/>
      <c r="K646" s="55" t="str">
        <f>IF(COUNTA(A646:I646)=0,"",IF(F646="",IFERROR(INDEX(eq_dur,MATCH(B646,eq_code,0)),""),F646))</f>
        <v/>
      </c>
      <c r="L646" s="55" t="str">
        <f>IF(ISNUMBER(K646),N(IFERROR(INDEX(eq_pause,MATCH(B646,eq_code,0)),0))+SUMIFS(st_min,st_date,A646,st_eq,B646,st_po,C646,st_type,"Planifié"),"")</f>
        <v/>
      </c>
      <c r="M646" s="55" t="str">
        <f>IF(ISNUMBER(K646),K646-L646,"")</f>
        <v/>
      </c>
      <c r="N646" s="55" t="str">
        <f>IF(ISNUMBER(K646),SUMIFS(st_min,st_date,A646,st_eq,B646,st_po,C646,st_type,"Non planifié"),"")</f>
        <v/>
      </c>
      <c r="O646" s="55" t="str">
        <f>IF(ISNUMBER(K646),M646-N646,"")</f>
        <v/>
      </c>
      <c r="P646" s="55" t="str">
        <f>IF(COUNTA(A646:I646)=0,"",N(G646)+N(H646)+N(I646))</f>
        <v/>
      </c>
      <c r="Q646" s="56" t="str">
        <f>IF(COUNTA(A646:I646)=0,"",IF(N(IFERROR(INDEX(art_rate,MATCH(E646,art_ref,0)),0))&gt;0,N(IFERROR(INDEX(art_rate,MATCH(E646,art_ref,0)),0)),N(IFERROR(INDEX(po_rate,MATCH(C646,po_code,0)),0))))</f>
        <v/>
      </c>
      <c r="R646" s="55" t="str">
        <f>IF(AC646=1,P646*60/Q646,"")</f>
        <v/>
      </c>
      <c r="S646" s="55" t="str">
        <f>IF(AC646=1,N(G646)*60/Q646,"")</f>
        <v/>
      </c>
      <c r="T646" s="57" t="str">
        <f>IF(AC646=1,O646/M646,"")</f>
        <v/>
      </c>
      <c r="U646" s="57" t="str">
        <f>IF(AC646=1,IF(O646&gt;0,R646/O646,""),"")</f>
        <v/>
      </c>
      <c r="V646" s="57" t="str">
        <f>IF(AC646=1,IF(P646&gt;0,N(G646)/P646,""),"")</f>
        <v/>
      </c>
      <c r="W646" s="57" t="str">
        <f>IF(AC646=1,S646/M646,"")</f>
        <v/>
      </c>
      <c r="X646" s="57" t="str">
        <f>IF(AC646=1,S646/K646,"")</f>
        <v/>
      </c>
      <c r="Y646" s="58" t="str">
        <f>IF(W646="","",IF(W646&gt;=p_target,"Bon",IF(W646&gt;=p_alert,"À surveiller","Faible")))</f>
        <v/>
      </c>
      <c r="Z646" s="58" t="str">
        <f>IF(W646="","",IF(MIN(IF(T646="",1,T646),IF(U646="",1,U646),IF(V646="",1,V646))&gt;=1,"Aucune",IF(IF(T646="",1,T646)&lt;=MIN(IF(U646="",1,U646),IF(V646="",1,V646)),"Disponibilité",IF(IF(U646="",1,U646)&lt;=IF(V646="",1,V646),"Performance","Qualité"))))</f>
        <v/>
      </c>
      <c r="AA646" s="59" t="str">
        <f>IF(AC646=1,N(H646)*N(IFERROR(INDEX(art_cost,MATCH(E646,art_ref,0)),0)),"")</f>
        <v/>
      </c>
      <c r="AB646" s="58" t="str">
        <f>IF(COUNTA(A646:I646)=0,"",IF(N(A646)&lt;=0,"Date manquante ou invalide",IF(B646="","Équipe manquante",IF(ISNA(MATCH(B646,eq_code,0)),"Équipe inconnue",IF(INDEX(eq_check,MATCH(B646,eq_code,0))&lt;&gt;"OK","Équipe à corriger dans Paramètres",IF(C646="","Poste manquant",IF(ISNA(MATCH(C646,po_code,0)),"Poste inconnu",IF(AND(E646&lt;&gt;"",ISNA(MATCH(E646,art_ref,0))),"Article inconnu",IF(IF(E646="",FALSE,INDEX(art_check,MATCH(E646,art_ref,0))&lt;&gt;"OK"),"Article à corriger (feuille Articles)",IF(COUNTIFS(sj_date,A646,sj_eq,B646,sj_po,C646)&gt;1,"Ligne en double (même jour, équipe et poste)",IF(OR(NOT(ISNUMBER(K646)),N(K646)&lt;=0,N(K646)&gt;1440),"Temps d'ouverture invalide",IF(OR(AND(G646&lt;&gt;"",NOT(ISNUMBER(G646))),N(G646)&lt;0,N(G646)&lt;&gt;INT(N(G646)),AND(H646&lt;&gt;"",NOT(ISNUMBER(H646))),N(H646)&lt;0,N(H646)&lt;&gt;INT(N(H646)),AND(I646&lt;&gt;"",NOT(ISNUMBER(I646))),N(I646)&lt;0,N(I646)&lt;&gt;INT(N(I646))),"Quantité invalide",IF(Q646&lt;=0,"Cadence manquante (poste ou article)",IF(M646&lt;=0,"Arrêts planifiés supérieurs au temps d'ouverture",IF(O646&lt;0,"Arrêts supérieurs au temps requis",IF(AND(P646&gt;0,O646=0),"Pièces déclarées sans temps de marche",IF(AND(P646=0,O646&gt;0),"Aucune pièce déclarée",IF(P646*60/Q646&gt;O646+0.001,"Cadence dépassée : vérifiez la cadence","OK"))))))))))))))))))</f>
        <v/>
      </c>
      <c r="AC646">
        <f>IF(OR(AB646="OK",AB646="Aucune pièce déclarée",AB646="Cadence dépassée : vérifiez la cadence"),1,0)</f>
        <v>0.0</v>
      </c>
      <c r="AD646">
        <f>IF(AND(AC646=1,A646&gt;=p_from,A646&lt;=p_to),1,0)</f>
        <v>0.0</v>
      </c>
      <c r="AE646">
        <f>IF(AD646=1,IF(COUNTIFS($A$6:A646,A646,$AD$6:AD646,1)=1,1,0),0)</f>
        <v>0.0</v>
      </c>
      <c r="AF646" t="str">
        <f>IF(AE646=1,COUNTIFS(sj_first,1,sj_date,"&lt;"&amp;A646)+1,"")</f>
        <v/>
      </c>
      <c r="AG646" t="str">
        <f>IF(AND(AD646=1,N(W646)&lt;p_alert),ROUND(W646,4),"")</f>
        <v/>
      </c>
      <c r="AH646" t="str">
        <f>IF(AG646="","",COUNTIF(sj_akey,"&lt;"&amp;AG646)+COUNTIF($AG$6:AG646,AG646))</f>
        <v/>
      </c>
    </row>
    <row r="647">
      <c r="A647" s="51" t="n"/>
      <c r="B647" s="52" t="n"/>
      <c r="C647" s="52" t="n"/>
      <c r="D647" s="53" t="n"/>
      <c r="E647" s="53" t="n"/>
      <c r="F647" s="54" t="n"/>
      <c r="G647" s="54" t="n"/>
      <c r="H647" s="54" t="n"/>
      <c r="I647" s="54" t="n"/>
      <c r="J647" s="53" t="n"/>
      <c r="K647" s="55" t="str">
        <f>IF(COUNTA(A647:I647)=0,"",IF(F647="",IFERROR(INDEX(eq_dur,MATCH(B647,eq_code,0)),""),F647))</f>
        <v/>
      </c>
      <c r="L647" s="55" t="str">
        <f>IF(ISNUMBER(K647),N(IFERROR(INDEX(eq_pause,MATCH(B647,eq_code,0)),0))+SUMIFS(st_min,st_date,A647,st_eq,B647,st_po,C647,st_type,"Planifié"),"")</f>
        <v/>
      </c>
      <c r="M647" s="55" t="str">
        <f>IF(ISNUMBER(K647),K647-L647,"")</f>
        <v/>
      </c>
      <c r="N647" s="55" t="str">
        <f>IF(ISNUMBER(K647),SUMIFS(st_min,st_date,A647,st_eq,B647,st_po,C647,st_type,"Non planifié"),"")</f>
        <v/>
      </c>
      <c r="O647" s="55" t="str">
        <f>IF(ISNUMBER(K647),M647-N647,"")</f>
        <v/>
      </c>
      <c r="P647" s="55" t="str">
        <f>IF(COUNTA(A647:I647)=0,"",N(G647)+N(H647)+N(I647))</f>
        <v/>
      </c>
      <c r="Q647" s="56" t="str">
        <f>IF(COUNTA(A647:I647)=0,"",IF(N(IFERROR(INDEX(art_rate,MATCH(E647,art_ref,0)),0))&gt;0,N(IFERROR(INDEX(art_rate,MATCH(E647,art_ref,0)),0)),N(IFERROR(INDEX(po_rate,MATCH(C647,po_code,0)),0))))</f>
        <v/>
      </c>
      <c r="R647" s="55" t="str">
        <f>IF(AC647=1,P647*60/Q647,"")</f>
        <v/>
      </c>
      <c r="S647" s="55" t="str">
        <f>IF(AC647=1,N(G647)*60/Q647,"")</f>
        <v/>
      </c>
      <c r="T647" s="57" t="str">
        <f>IF(AC647=1,O647/M647,"")</f>
        <v/>
      </c>
      <c r="U647" s="57" t="str">
        <f>IF(AC647=1,IF(O647&gt;0,R647/O647,""),"")</f>
        <v/>
      </c>
      <c r="V647" s="57" t="str">
        <f>IF(AC647=1,IF(P647&gt;0,N(G647)/P647,""),"")</f>
        <v/>
      </c>
      <c r="W647" s="57" t="str">
        <f>IF(AC647=1,S647/M647,"")</f>
        <v/>
      </c>
      <c r="X647" s="57" t="str">
        <f>IF(AC647=1,S647/K647,"")</f>
        <v/>
      </c>
      <c r="Y647" s="58" t="str">
        <f>IF(W647="","",IF(W647&gt;=p_target,"Bon",IF(W647&gt;=p_alert,"À surveiller","Faible")))</f>
        <v/>
      </c>
      <c r="Z647" s="58" t="str">
        <f>IF(W647="","",IF(MIN(IF(T647="",1,T647),IF(U647="",1,U647),IF(V647="",1,V647))&gt;=1,"Aucune",IF(IF(T647="",1,T647)&lt;=MIN(IF(U647="",1,U647),IF(V647="",1,V647)),"Disponibilité",IF(IF(U647="",1,U647)&lt;=IF(V647="",1,V647),"Performance","Qualité"))))</f>
        <v/>
      </c>
      <c r="AA647" s="59" t="str">
        <f>IF(AC647=1,N(H647)*N(IFERROR(INDEX(art_cost,MATCH(E647,art_ref,0)),0)),"")</f>
        <v/>
      </c>
      <c r="AB647" s="58" t="str">
        <f>IF(COUNTA(A647:I647)=0,"",IF(N(A647)&lt;=0,"Date manquante ou invalide",IF(B647="","Équipe manquante",IF(ISNA(MATCH(B647,eq_code,0)),"Équipe inconnue",IF(INDEX(eq_check,MATCH(B647,eq_code,0))&lt;&gt;"OK","Équipe à corriger dans Paramètres",IF(C647="","Poste manquant",IF(ISNA(MATCH(C647,po_code,0)),"Poste inconnu",IF(AND(E647&lt;&gt;"",ISNA(MATCH(E647,art_ref,0))),"Article inconnu",IF(IF(E647="",FALSE,INDEX(art_check,MATCH(E647,art_ref,0))&lt;&gt;"OK"),"Article à corriger (feuille Articles)",IF(COUNTIFS(sj_date,A647,sj_eq,B647,sj_po,C647)&gt;1,"Ligne en double (même jour, équipe et poste)",IF(OR(NOT(ISNUMBER(K647)),N(K647)&lt;=0,N(K647)&gt;1440),"Temps d'ouverture invalide",IF(OR(AND(G647&lt;&gt;"",NOT(ISNUMBER(G647))),N(G647)&lt;0,N(G647)&lt;&gt;INT(N(G647)),AND(H647&lt;&gt;"",NOT(ISNUMBER(H647))),N(H647)&lt;0,N(H647)&lt;&gt;INT(N(H647)),AND(I647&lt;&gt;"",NOT(ISNUMBER(I647))),N(I647)&lt;0,N(I647)&lt;&gt;INT(N(I647))),"Quantité invalide",IF(Q647&lt;=0,"Cadence manquante (poste ou article)",IF(M647&lt;=0,"Arrêts planifiés supérieurs au temps d'ouverture",IF(O647&lt;0,"Arrêts supérieurs au temps requis",IF(AND(P647&gt;0,O647=0),"Pièces déclarées sans temps de marche",IF(AND(P647=0,O647&gt;0),"Aucune pièce déclarée",IF(P647*60/Q647&gt;O647+0.001,"Cadence dépassée : vérifiez la cadence","OK"))))))))))))))))))</f>
        <v/>
      </c>
      <c r="AC647">
        <f>IF(OR(AB647="OK",AB647="Aucune pièce déclarée",AB647="Cadence dépassée : vérifiez la cadence"),1,0)</f>
        <v>0.0</v>
      </c>
      <c r="AD647">
        <f>IF(AND(AC647=1,A647&gt;=p_from,A647&lt;=p_to),1,0)</f>
        <v>0.0</v>
      </c>
      <c r="AE647">
        <f>IF(AD647=1,IF(COUNTIFS($A$6:A647,A647,$AD$6:AD647,1)=1,1,0),0)</f>
        <v>0.0</v>
      </c>
      <c r="AF647" t="str">
        <f>IF(AE647=1,COUNTIFS(sj_first,1,sj_date,"&lt;"&amp;A647)+1,"")</f>
        <v/>
      </c>
      <c r="AG647" t="str">
        <f>IF(AND(AD647=1,N(W647)&lt;p_alert),ROUND(W647,4),"")</f>
        <v/>
      </c>
      <c r="AH647" t="str">
        <f>IF(AG647="","",COUNTIF(sj_akey,"&lt;"&amp;AG647)+COUNTIF($AG$6:AG647,AG647))</f>
        <v/>
      </c>
    </row>
    <row r="648">
      <c r="A648" s="51" t="n"/>
      <c r="B648" s="52" t="n"/>
      <c r="C648" s="52" t="n"/>
      <c r="D648" s="53" t="n"/>
      <c r="E648" s="53" t="n"/>
      <c r="F648" s="54" t="n"/>
      <c r="G648" s="54" t="n"/>
      <c r="H648" s="54" t="n"/>
      <c r="I648" s="54" t="n"/>
      <c r="J648" s="53" t="n"/>
      <c r="K648" s="55" t="str">
        <f>IF(COUNTA(A648:I648)=0,"",IF(F648="",IFERROR(INDEX(eq_dur,MATCH(B648,eq_code,0)),""),F648))</f>
        <v/>
      </c>
      <c r="L648" s="55" t="str">
        <f>IF(ISNUMBER(K648),N(IFERROR(INDEX(eq_pause,MATCH(B648,eq_code,0)),0))+SUMIFS(st_min,st_date,A648,st_eq,B648,st_po,C648,st_type,"Planifié"),"")</f>
        <v/>
      </c>
      <c r="M648" s="55" t="str">
        <f>IF(ISNUMBER(K648),K648-L648,"")</f>
        <v/>
      </c>
      <c r="N648" s="55" t="str">
        <f>IF(ISNUMBER(K648),SUMIFS(st_min,st_date,A648,st_eq,B648,st_po,C648,st_type,"Non planifié"),"")</f>
        <v/>
      </c>
      <c r="O648" s="55" t="str">
        <f>IF(ISNUMBER(K648),M648-N648,"")</f>
        <v/>
      </c>
      <c r="P648" s="55" t="str">
        <f>IF(COUNTA(A648:I648)=0,"",N(G648)+N(H648)+N(I648))</f>
        <v/>
      </c>
      <c r="Q648" s="56" t="str">
        <f>IF(COUNTA(A648:I648)=0,"",IF(N(IFERROR(INDEX(art_rate,MATCH(E648,art_ref,0)),0))&gt;0,N(IFERROR(INDEX(art_rate,MATCH(E648,art_ref,0)),0)),N(IFERROR(INDEX(po_rate,MATCH(C648,po_code,0)),0))))</f>
        <v/>
      </c>
      <c r="R648" s="55" t="str">
        <f>IF(AC648=1,P648*60/Q648,"")</f>
        <v/>
      </c>
      <c r="S648" s="55" t="str">
        <f>IF(AC648=1,N(G648)*60/Q648,"")</f>
        <v/>
      </c>
      <c r="T648" s="57" t="str">
        <f>IF(AC648=1,O648/M648,"")</f>
        <v/>
      </c>
      <c r="U648" s="57" t="str">
        <f>IF(AC648=1,IF(O648&gt;0,R648/O648,""),"")</f>
        <v/>
      </c>
      <c r="V648" s="57" t="str">
        <f>IF(AC648=1,IF(P648&gt;0,N(G648)/P648,""),"")</f>
        <v/>
      </c>
      <c r="W648" s="57" t="str">
        <f>IF(AC648=1,S648/M648,"")</f>
        <v/>
      </c>
      <c r="X648" s="57" t="str">
        <f>IF(AC648=1,S648/K648,"")</f>
        <v/>
      </c>
      <c r="Y648" s="58" t="str">
        <f>IF(W648="","",IF(W648&gt;=p_target,"Bon",IF(W648&gt;=p_alert,"À surveiller","Faible")))</f>
        <v/>
      </c>
      <c r="Z648" s="58" t="str">
        <f>IF(W648="","",IF(MIN(IF(T648="",1,T648),IF(U648="",1,U648),IF(V648="",1,V648))&gt;=1,"Aucune",IF(IF(T648="",1,T648)&lt;=MIN(IF(U648="",1,U648),IF(V648="",1,V648)),"Disponibilité",IF(IF(U648="",1,U648)&lt;=IF(V648="",1,V648),"Performance","Qualité"))))</f>
        <v/>
      </c>
      <c r="AA648" s="59" t="str">
        <f>IF(AC648=1,N(H648)*N(IFERROR(INDEX(art_cost,MATCH(E648,art_ref,0)),0)),"")</f>
        <v/>
      </c>
      <c r="AB648" s="58" t="str">
        <f>IF(COUNTA(A648:I648)=0,"",IF(N(A648)&lt;=0,"Date manquante ou invalide",IF(B648="","Équipe manquante",IF(ISNA(MATCH(B648,eq_code,0)),"Équipe inconnue",IF(INDEX(eq_check,MATCH(B648,eq_code,0))&lt;&gt;"OK","Équipe à corriger dans Paramètres",IF(C648="","Poste manquant",IF(ISNA(MATCH(C648,po_code,0)),"Poste inconnu",IF(AND(E648&lt;&gt;"",ISNA(MATCH(E648,art_ref,0))),"Article inconnu",IF(IF(E648="",FALSE,INDEX(art_check,MATCH(E648,art_ref,0))&lt;&gt;"OK"),"Article à corriger (feuille Articles)",IF(COUNTIFS(sj_date,A648,sj_eq,B648,sj_po,C648)&gt;1,"Ligne en double (même jour, équipe et poste)",IF(OR(NOT(ISNUMBER(K648)),N(K648)&lt;=0,N(K648)&gt;1440),"Temps d'ouverture invalide",IF(OR(AND(G648&lt;&gt;"",NOT(ISNUMBER(G648))),N(G648)&lt;0,N(G648)&lt;&gt;INT(N(G648)),AND(H648&lt;&gt;"",NOT(ISNUMBER(H648))),N(H648)&lt;0,N(H648)&lt;&gt;INT(N(H648)),AND(I648&lt;&gt;"",NOT(ISNUMBER(I648))),N(I648)&lt;0,N(I648)&lt;&gt;INT(N(I648))),"Quantité invalide",IF(Q648&lt;=0,"Cadence manquante (poste ou article)",IF(M648&lt;=0,"Arrêts planifiés supérieurs au temps d'ouverture",IF(O648&lt;0,"Arrêts supérieurs au temps requis",IF(AND(P648&gt;0,O648=0),"Pièces déclarées sans temps de marche",IF(AND(P648=0,O648&gt;0),"Aucune pièce déclarée",IF(P648*60/Q648&gt;O648+0.001,"Cadence dépassée : vérifiez la cadence","OK"))))))))))))))))))</f>
        <v/>
      </c>
      <c r="AC648">
        <f>IF(OR(AB648="OK",AB648="Aucune pièce déclarée",AB648="Cadence dépassée : vérifiez la cadence"),1,0)</f>
        <v>0.0</v>
      </c>
      <c r="AD648">
        <f>IF(AND(AC648=1,A648&gt;=p_from,A648&lt;=p_to),1,0)</f>
        <v>0.0</v>
      </c>
      <c r="AE648">
        <f>IF(AD648=1,IF(COUNTIFS($A$6:A648,A648,$AD$6:AD648,1)=1,1,0),0)</f>
        <v>0.0</v>
      </c>
      <c r="AF648" t="str">
        <f>IF(AE648=1,COUNTIFS(sj_first,1,sj_date,"&lt;"&amp;A648)+1,"")</f>
        <v/>
      </c>
      <c r="AG648" t="str">
        <f>IF(AND(AD648=1,N(W648)&lt;p_alert),ROUND(W648,4),"")</f>
        <v/>
      </c>
      <c r="AH648" t="str">
        <f>IF(AG648="","",COUNTIF(sj_akey,"&lt;"&amp;AG648)+COUNTIF($AG$6:AG648,AG648))</f>
        <v/>
      </c>
    </row>
    <row r="649">
      <c r="A649" s="51" t="n"/>
      <c r="B649" s="52" t="n"/>
      <c r="C649" s="52" t="n"/>
      <c r="D649" s="53" t="n"/>
      <c r="E649" s="53" t="n"/>
      <c r="F649" s="54" t="n"/>
      <c r="G649" s="54" t="n"/>
      <c r="H649" s="54" t="n"/>
      <c r="I649" s="54" t="n"/>
      <c r="J649" s="53" t="n"/>
      <c r="K649" s="55" t="str">
        <f>IF(COUNTA(A649:I649)=0,"",IF(F649="",IFERROR(INDEX(eq_dur,MATCH(B649,eq_code,0)),""),F649))</f>
        <v/>
      </c>
      <c r="L649" s="55" t="str">
        <f>IF(ISNUMBER(K649),N(IFERROR(INDEX(eq_pause,MATCH(B649,eq_code,0)),0))+SUMIFS(st_min,st_date,A649,st_eq,B649,st_po,C649,st_type,"Planifié"),"")</f>
        <v/>
      </c>
      <c r="M649" s="55" t="str">
        <f>IF(ISNUMBER(K649),K649-L649,"")</f>
        <v/>
      </c>
      <c r="N649" s="55" t="str">
        <f>IF(ISNUMBER(K649),SUMIFS(st_min,st_date,A649,st_eq,B649,st_po,C649,st_type,"Non planifié"),"")</f>
        <v/>
      </c>
      <c r="O649" s="55" t="str">
        <f>IF(ISNUMBER(K649),M649-N649,"")</f>
        <v/>
      </c>
      <c r="P649" s="55" t="str">
        <f>IF(COUNTA(A649:I649)=0,"",N(G649)+N(H649)+N(I649))</f>
        <v/>
      </c>
      <c r="Q649" s="56" t="str">
        <f>IF(COUNTA(A649:I649)=0,"",IF(N(IFERROR(INDEX(art_rate,MATCH(E649,art_ref,0)),0))&gt;0,N(IFERROR(INDEX(art_rate,MATCH(E649,art_ref,0)),0)),N(IFERROR(INDEX(po_rate,MATCH(C649,po_code,0)),0))))</f>
        <v/>
      </c>
      <c r="R649" s="55" t="str">
        <f>IF(AC649=1,P649*60/Q649,"")</f>
        <v/>
      </c>
      <c r="S649" s="55" t="str">
        <f>IF(AC649=1,N(G649)*60/Q649,"")</f>
        <v/>
      </c>
      <c r="T649" s="57" t="str">
        <f>IF(AC649=1,O649/M649,"")</f>
        <v/>
      </c>
      <c r="U649" s="57" t="str">
        <f>IF(AC649=1,IF(O649&gt;0,R649/O649,""),"")</f>
        <v/>
      </c>
      <c r="V649" s="57" t="str">
        <f>IF(AC649=1,IF(P649&gt;0,N(G649)/P649,""),"")</f>
        <v/>
      </c>
      <c r="W649" s="57" t="str">
        <f>IF(AC649=1,S649/M649,"")</f>
        <v/>
      </c>
      <c r="X649" s="57" t="str">
        <f>IF(AC649=1,S649/K649,"")</f>
        <v/>
      </c>
      <c r="Y649" s="58" t="str">
        <f>IF(W649="","",IF(W649&gt;=p_target,"Bon",IF(W649&gt;=p_alert,"À surveiller","Faible")))</f>
        <v/>
      </c>
      <c r="Z649" s="58" t="str">
        <f>IF(W649="","",IF(MIN(IF(T649="",1,T649),IF(U649="",1,U649),IF(V649="",1,V649))&gt;=1,"Aucune",IF(IF(T649="",1,T649)&lt;=MIN(IF(U649="",1,U649),IF(V649="",1,V649)),"Disponibilité",IF(IF(U649="",1,U649)&lt;=IF(V649="",1,V649),"Performance","Qualité"))))</f>
        <v/>
      </c>
      <c r="AA649" s="59" t="str">
        <f>IF(AC649=1,N(H649)*N(IFERROR(INDEX(art_cost,MATCH(E649,art_ref,0)),0)),"")</f>
        <v/>
      </c>
      <c r="AB649" s="58" t="str">
        <f>IF(COUNTA(A649:I649)=0,"",IF(N(A649)&lt;=0,"Date manquante ou invalide",IF(B649="","Équipe manquante",IF(ISNA(MATCH(B649,eq_code,0)),"Équipe inconnue",IF(INDEX(eq_check,MATCH(B649,eq_code,0))&lt;&gt;"OK","Équipe à corriger dans Paramètres",IF(C649="","Poste manquant",IF(ISNA(MATCH(C649,po_code,0)),"Poste inconnu",IF(AND(E649&lt;&gt;"",ISNA(MATCH(E649,art_ref,0))),"Article inconnu",IF(IF(E649="",FALSE,INDEX(art_check,MATCH(E649,art_ref,0))&lt;&gt;"OK"),"Article à corriger (feuille Articles)",IF(COUNTIFS(sj_date,A649,sj_eq,B649,sj_po,C649)&gt;1,"Ligne en double (même jour, équipe et poste)",IF(OR(NOT(ISNUMBER(K649)),N(K649)&lt;=0,N(K649)&gt;1440),"Temps d'ouverture invalide",IF(OR(AND(G649&lt;&gt;"",NOT(ISNUMBER(G649))),N(G649)&lt;0,N(G649)&lt;&gt;INT(N(G649)),AND(H649&lt;&gt;"",NOT(ISNUMBER(H649))),N(H649)&lt;0,N(H649)&lt;&gt;INT(N(H649)),AND(I649&lt;&gt;"",NOT(ISNUMBER(I649))),N(I649)&lt;0,N(I649)&lt;&gt;INT(N(I649))),"Quantité invalide",IF(Q649&lt;=0,"Cadence manquante (poste ou article)",IF(M649&lt;=0,"Arrêts planifiés supérieurs au temps d'ouverture",IF(O649&lt;0,"Arrêts supérieurs au temps requis",IF(AND(P649&gt;0,O649=0),"Pièces déclarées sans temps de marche",IF(AND(P649=0,O649&gt;0),"Aucune pièce déclarée",IF(P649*60/Q649&gt;O649+0.001,"Cadence dépassée : vérifiez la cadence","OK"))))))))))))))))))</f>
        <v/>
      </c>
      <c r="AC649">
        <f>IF(OR(AB649="OK",AB649="Aucune pièce déclarée",AB649="Cadence dépassée : vérifiez la cadence"),1,0)</f>
        <v>0.0</v>
      </c>
      <c r="AD649">
        <f>IF(AND(AC649=1,A649&gt;=p_from,A649&lt;=p_to),1,0)</f>
        <v>0.0</v>
      </c>
      <c r="AE649">
        <f>IF(AD649=1,IF(COUNTIFS($A$6:A649,A649,$AD$6:AD649,1)=1,1,0),0)</f>
        <v>0.0</v>
      </c>
      <c r="AF649" t="str">
        <f>IF(AE649=1,COUNTIFS(sj_first,1,sj_date,"&lt;"&amp;A649)+1,"")</f>
        <v/>
      </c>
      <c r="AG649" t="str">
        <f>IF(AND(AD649=1,N(W649)&lt;p_alert),ROUND(W649,4),"")</f>
        <v/>
      </c>
      <c r="AH649" t="str">
        <f>IF(AG649="","",COUNTIF(sj_akey,"&lt;"&amp;AG649)+COUNTIF($AG$6:AG649,AG649))</f>
        <v/>
      </c>
    </row>
    <row r="650">
      <c r="A650" s="51" t="n"/>
      <c r="B650" s="52" t="n"/>
      <c r="C650" s="52" t="n"/>
      <c r="D650" s="53" t="n"/>
      <c r="E650" s="53" t="n"/>
      <c r="F650" s="54" t="n"/>
      <c r="G650" s="54" t="n"/>
      <c r="H650" s="54" t="n"/>
      <c r="I650" s="54" t="n"/>
      <c r="J650" s="53" t="n"/>
      <c r="K650" s="55" t="str">
        <f>IF(COUNTA(A650:I650)=0,"",IF(F650="",IFERROR(INDEX(eq_dur,MATCH(B650,eq_code,0)),""),F650))</f>
        <v/>
      </c>
      <c r="L650" s="55" t="str">
        <f>IF(ISNUMBER(K650),N(IFERROR(INDEX(eq_pause,MATCH(B650,eq_code,0)),0))+SUMIFS(st_min,st_date,A650,st_eq,B650,st_po,C650,st_type,"Planifié"),"")</f>
        <v/>
      </c>
      <c r="M650" s="55" t="str">
        <f>IF(ISNUMBER(K650),K650-L650,"")</f>
        <v/>
      </c>
      <c r="N650" s="55" t="str">
        <f>IF(ISNUMBER(K650),SUMIFS(st_min,st_date,A650,st_eq,B650,st_po,C650,st_type,"Non planifié"),"")</f>
        <v/>
      </c>
      <c r="O650" s="55" t="str">
        <f>IF(ISNUMBER(K650),M650-N650,"")</f>
        <v/>
      </c>
      <c r="P650" s="55" t="str">
        <f>IF(COUNTA(A650:I650)=0,"",N(G650)+N(H650)+N(I650))</f>
        <v/>
      </c>
      <c r="Q650" s="56" t="str">
        <f>IF(COUNTA(A650:I650)=0,"",IF(N(IFERROR(INDEX(art_rate,MATCH(E650,art_ref,0)),0))&gt;0,N(IFERROR(INDEX(art_rate,MATCH(E650,art_ref,0)),0)),N(IFERROR(INDEX(po_rate,MATCH(C650,po_code,0)),0))))</f>
        <v/>
      </c>
      <c r="R650" s="55" t="str">
        <f>IF(AC650=1,P650*60/Q650,"")</f>
        <v/>
      </c>
      <c r="S650" s="55" t="str">
        <f>IF(AC650=1,N(G650)*60/Q650,"")</f>
        <v/>
      </c>
      <c r="T650" s="57" t="str">
        <f>IF(AC650=1,O650/M650,"")</f>
        <v/>
      </c>
      <c r="U650" s="57" t="str">
        <f>IF(AC650=1,IF(O650&gt;0,R650/O650,""),"")</f>
        <v/>
      </c>
      <c r="V650" s="57" t="str">
        <f>IF(AC650=1,IF(P650&gt;0,N(G650)/P650,""),"")</f>
        <v/>
      </c>
      <c r="W650" s="57" t="str">
        <f>IF(AC650=1,S650/M650,"")</f>
        <v/>
      </c>
      <c r="X650" s="57" t="str">
        <f>IF(AC650=1,S650/K650,"")</f>
        <v/>
      </c>
      <c r="Y650" s="58" t="str">
        <f>IF(W650="","",IF(W650&gt;=p_target,"Bon",IF(W650&gt;=p_alert,"À surveiller","Faible")))</f>
        <v/>
      </c>
      <c r="Z650" s="58" t="str">
        <f>IF(W650="","",IF(MIN(IF(T650="",1,T650),IF(U650="",1,U650),IF(V650="",1,V650))&gt;=1,"Aucune",IF(IF(T650="",1,T650)&lt;=MIN(IF(U650="",1,U650),IF(V650="",1,V650)),"Disponibilité",IF(IF(U650="",1,U650)&lt;=IF(V650="",1,V650),"Performance","Qualité"))))</f>
        <v/>
      </c>
      <c r="AA650" s="59" t="str">
        <f>IF(AC650=1,N(H650)*N(IFERROR(INDEX(art_cost,MATCH(E650,art_ref,0)),0)),"")</f>
        <v/>
      </c>
      <c r="AB650" s="58" t="str">
        <f>IF(COUNTA(A650:I650)=0,"",IF(N(A650)&lt;=0,"Date manquante ou invalide",IF(B650="","Équipe manquante",IF(ISNA(MATCH(B650,eq_code,0)),"Équipe inconnue",IF(INDEX(eq_check,MATCH(B650,eq_code,0))&lt;&gt;"OK","Équipe à corriger dans Paramètres",IF(C650="","Poste manquant",IF(ISNA(MATCH(C650,po_code,0)),"Poste inconnu",IF(AND(E650&lt;&gt;"",ISNA(MATCH(E650,art_ref,0))),"Article inconnu",IF(IF(E650="",FALSE,INDEX(art_check,MATCH(E650,art_ref,0))&lt;&gt;"OK"),"Article à corriger (feuille Articles)",IF(COUNTIFS(sj_date,A650,sj_eq,B650,sj_po,C650)&gt;1,"Ligne en double (même jour, équipe et poste)",IF(OR(NOT(ISNUMBER(K650)),N(K650)&lt;=0,N(K650)&gt;1440),"Temps d'ouverture invalide",IF(OR(AND(G650&lt;&gt;"",NOT(ISNUMBER(G650))),N(G650)&lt;0,N(G650)&lt;&gt;INT(N(G650)),AND(H650&lt;&gt;"",NOT(ISNUMBER(H650))),N(H650)&lt;0,N(H650)&lt;&gt;INT(N(H650)),AND(I650&lt;&gt;"",NOT(ISNUMBER(I650))),N(I650)&lt;0,N(I650)&lt;&gt;INT(N(I650))),"Quantité invalide",IF(Q650&lt;=0,"Cadence manquante (poste ou article)",IF(M650&lt;=0,"Arrêts planifiés supérieurs au temps d'ouverture",IF(O650&lt;0,"Arrêts supérieurs au temps requis",IF(AND(P650&gt;0,O650=0),"Pièces déclarées sans temps de marche",IF(AND(P650=0,O650&gt;0),"Aucune pièce déclarée",IF(P650*60/Q650&gt;O650+0.001,"Cadence dépassée : vérifiez la cadence","OK"))))))))))))))))))</f>
        <v/>
      </c>
      <c r="AC650">
        <f>IF(OR(AB650="OK",AB650="Aucune pièce déclarée",AB650="Cadence dépassée : vérifiez la cadence"),1,0)</f>
        <v>0.0</v>
      </c>
      <c r="AD650">
        <f>IF(AND(AC650=1,A650&gt;=p_from,A650&lt;=p_to),1,0)</f>
        <v>0.0</v>
      </c>
      <c r="AE650">
        <f>IF(AD650=1,IF(COUNTIFS($A$6:A650,A650,$AD$6:AD650,1)=1,1,0),0)</f>
        <v>0.0</v>
      </c>
      <c r="AF650" t="str">
        <f>IF(AE650=1,COUNTIFS(sj_first,1,sj_date,"&lt;"&amp;A650)+1,"")</f>
        <v/>
      </c>
      <c r="AG650" t="str">
        <f>IF(AND(AD650=1,N(W650)&lt;p_alert),ROUND(W650,4),"")</f>
        <v/>
      </c>
      <c r="AH650" t="str">
        <f>IF(AG650="","",COUNTIF(sj_akey,"&lt;"&amp;AG650)+COUNTIF($AG$6:AG650,AG650))</f>
        <v/>
      </c>
    </row>
    <row r="651">
      <c r="A651" s="51" t="n"/>
      <c r="B651" s="52" t="n"/>
      <c r="C651" s="52" t="n"/>
      <c r="D651" s="53" t="n"/>
      <c r="E651" s="53" t="n"/>
      <c r="F651" s="54" t="n"/>
      <c r="G651" s="54" t="n"/>
      <c r="H651" s="54" t="n"/>
      <c r="I651" s="54" t="n"/>
      <c r="J651" s="53" t="n"/>
      <c r="K651" s="55" t="str">
        <f>IF(COUNTA(A651:I651)=0,"",IF(F651="",IFERROR(INDEX(eq_dur,MATCH(B651,eq_code,0)),""),F651))</f>
        <v/>
      </c>
      <c r="L651" s="55" t="str">
        <f>IF(ISNUMBER(K651),N(IFERROR(INDEX(eq_pause,MATCH(B651,eq_code,0)),0))+SUMIFS(st_min,st_date,A651,st_eq,B651,st_po,C651,st_type,"Planifié"),"")</f>
        <v/>
      </c>
      <c r="M651" s="55" t="str">
        <f>IF(ISNUMBER(K651),K651-L651,"")</f>
        <v/>
      </c>
      <c r="N651" s="55" t="str">
        <f>IF(ISNUMBER(K651),SUMIFS(st_min,st_date,A651,st_eq,B651,st_po,C651,st_type,"Non planifié"),"")</f>
        <v/>
      </c>
      <c r="O651" s="55" t="str">
        <f>IF(ISNUMBER(K651),M651-N651,"")</f>
        <v/>
      </c>
      <c r="P651" s="55" t="str">
        <f>IF(COUNTA(A651:I651)=0,"",N(G651)+N(H651)+N(I651))</f>
        <v/>
      </c>
      <c r="Q651" s="56" t="str">
        <f>IF(COUNTA(A651:I651)=0,"",IF(N(IFERROR(INDEX(art_rate,MATCH(E651,art_ref,0)),0))&gt;0,N(IFERROR(INDEX(art_rate,MATCH(E651,art_ref,0)),0)),N(IFERROR(INDEX(po_rate,MATCH(C651,po_code,0)),0))))</f>
        <v/>
      </c>
      <c r="R651" s="55" t="str">
        <f>IF(AC651=1,P651*60/Q651,"")</f>
        <v/>
      </c>
      <c r="S651" s="55" t="str">
        <f>IF(AC651=1,N(G651)*60/Q651,"")</f>
        <v/>
      </c>
      <c r="T651" s="57" t="str">
        <f>IF(AC651=1,O651/M651,"")</f>
        <v/>
      </c>
      <c r="U651" s="57" t="str">
        <f>IF(AC651=1,IF(O651&gt;0,R651/O651,""),"")</f>
        <v/>
      </c>
      <c r="V651" s="57" t="str">
        <f>IF(AC651=1,IF(P651&gt;0,N(G651)/P651,""),"")</f>
        <v/>
      </c>
      <c r="W651" s="57" t="str">
        <f>IF(AC651=1,S651/M651,"")</f>
        <v/>
      </c>
      <c r="X651" s="57" t="str">
        <f>IF(AC651=1,S651/K651,"")</f>
        <v/>
      </c>
      <c r="Y651" s="58" t="str">
        <f>IF(W651="","",IF(W651&gt;=p_target,"Bon",IF(W651&gt;=p_alert,"À surveiller","Faible")))</f>
        <v/>
      </c>
      <c r="Z651" s="58" t="str">
        <f>IF(W651="","",IF(MIN(IF(T651="",1,T651),IF(U651="",1,U651),IF(V651="",1,V651))&gt;=1,"Aucune",IF(IF(T651="",1,T651)&lt;=MIN(IF(U651="",1,U651),IF(V651="",1,V651)),"Disponibilité",IF(IF(U651="",1,U651)&lt;=IF(V651="",1,V651),"Performance","Qualité"))))</f>
        <v/>
      </c>
      <c r="AA651" s="59" t="str">
        <f>IF(AC651=1,N(H651)*N(IFERROR(INDEX(art_cost,MATCH(E651,art_ref,0)),0)),"")</f>
        <v/>
      </c>
      <c r="AB651" s="58" t="str">
        <f>IF(COUNTA(A651:I651)=0,"",IF(N(A651)&lt;=0,"Date manquante ou invalide",IF(B651="","Équipe manquante",IF(ISNA(MATCH(B651,eq_code,0)),"Équipe inconnue",IF(INDEX(eq_check,MATCH(B651,eq_code,0))&lt;&gt;"OK","Équipe à corriger dans Paramètres",IF(C651="","Poste manquant",IF(ISNA(MATCH(C651,po_code,0)),"Poste inconnu",IF(AND(E651&lt;&gt;"",ISNA(MATCH(E651,art_ref,0))),"Article inconnu",IF(IF(E651="",FALSE,INDEX(art_check,MATCH(E651,art_ref,0))&lt;&gt;"OK"),"Article à corriger (feuille Articles)",IF(COUNTIFS(sj_date,A651,sj_eq,B651,sj_po,C651)&gt;1,"Ligne en double (même jour, équipe et poste)",IF(OR(NOT(ISNUMBER(K651)),N(K651)&lt;=0,N(K651)&gt;1440),"Temps d'ouverture invalide",IF(OR(AND(G651&lt;&gt;"",NOT(ISNUMBER(G651))),N(G651)&lt;0,N(G651)&lt;&gt;INT(N(G651)),AND(H651&lt;&gt;"",NOT(ISNUMBER(H651))),N(H651)&lt;0,N(H651)&lt;&gt;INT(N(H651)),AND(I651&lt;&gt;"",NOT(ISNUMBER(I651))),N(I651)&lt;0,N(I651)&lt;&gt;INT(N(I651))),"Quantité invalide",IF(Q651&lt;=0,"Cadence manquante (poste ou article)",IF(M651&lt;=0,"Arrêts planifiés supérieurs au temps d'ouverture",IF(O651&lt;0,"Arrêts supérieurs au temps requis",IF(AND(P651&gt;0,O651=0),"Pièces déclarées sans temps de marche",IF(AND(P651=0,O651&gt;0),"Aucune pièce déclarée",IF(P651*60/Q651&gt;O651+0.001,"Cadence dépassée : vérifiez la cadence","OK"))))))))))))))))))</f>
        <v/>
      </c>
      <c r="AC651">
        <f>IF(OR(AB651="OK",AB651="Aucune pièce déclarée",AB651="Cadence dépassée : vérifiez la cadence"),1,0)</f>
        <v>0.0</v>
      </c>
      <c r="AD651">
        <f>IF(AND(AC651=1,A651&gt;=p_from,A651&lt;=p_to),1,0)</f>
        <v>0.0</v>
      </c>
      <c r="AE651">
        <f>IF(AD651=1,IF(COUNTIFS($A$6:A651,A651,$AD$6:AD651,1)=1,1,0),0)</f>
        <v>0.0</v>
      </c>
      <c r="AF651" t="str">
        <f>IF(AE651=1,COUNTIFS(sj_first,1,sj_date,"&lt;"&amp;A651)+1,"")</f>
        <v/>
      </c>
      <c r="AG651" t="str">
        <f>IF(AND(AD651=1,N(W651)&lt;p_alert),ROUND(W651,4),"")</f>
        <v/>
      </c>
      <c r="AH651" t="str">
        <f>IF(AG651="","",COUNTIF(sj_akey,"&lt;"&amp;AG651)+COUNTIF($AG$6:AG651,AG651))</f>
        <v/>
      </c>
    </row>
    <row r="652">
      <c r="A652" s="51" t="n"/>
      <c r="B652" s="52" t="n"/>
      <c r="C652" s="52" t="n"/>
      <c r="D652" s="53" t="n"/>
      <c r="E652" s="53" t="n"/>
      <c r="F652" s="54" t="n"/>
      <c r="G652" s="54" t="n"/>
      <c r="H652" s="54" t="n"/>
      <c r="I652" s="54" t="n"/>
      <c r="J652" s="53" t="n"/>
      <c r="K652" s="55" t="str">
        <f>IF(COUNTA(A652:I652)=0,"",IF(F652="",IFERROR(INDEX(eq_dur,MATCH(B652,eq_code,0)),""),F652))</f>
        <v/>
      </c>
      <c r="L652" s="55" t="str">
        <f>IF(ISNUMBER(K652),N(IFERROR(INDEX(eq_pause,MATCH(B652,eq_code,0)),0))+SUMIFS(st_min,st_date,A652,st_eq,B652,st_po,C652,st_type,"Planifié"),"")</f>
        <v/>
      </c>
      <c r="M652" s="55" t="str">
        <f>IF(ISNUMBER(K652),K652-L652,"")</f>
        <v/>
      </c>
      <c r="N652" s="55" t="str">
        <f>IF(ISNUMBER(K652),SUMIFS(st_min,st_date,A652,st_eq,B652,st_po,C652,st_type,"Non planifié"),"")</f>
        <v/>
      </c>
      <c r="O652" s="55" t="str">
        <f>IF(ISNUMBER(K652),M652-N652,"")</f>
        <v/>
      </c>
      <c r="P652" s="55" t="str">
        <f>IF(COUNTA(A652:I652)=0,"",N(G652)+N(H652)+N(I652))</f>
        <v/>
      </c>
      <c r="Q652" s="56" t="str">
        <f>IF(COUNTA(A652:I652)=0,"",IF(N(IFERROR(INDEX(art_rate,MATCH(E652,art_ref,0)),0))&gt;0,N(IFERROR(INDEX(art_rate,MATCH(E652,art_ref,0)),0)),N(IFERROR(INDEX(po_rate,MATCH(C652,po_code,0)),0))))</f>
        <v/>
      </c>
      <c r="R652" s="55" t="str">
        <f>IF(AC652=1,P652*60/Q652,"")</f>
        <v/>
      </c>
      <c r="S652" s="55" t="str">
        <f>IF(AC652=1,N(G652)*60/Q652,"")</f>
        <v/>
      </c>
      <c r="T652" s="57" t="str">
        <f>IF(AC652=1,O652/M652,"")</f>
        <v/>
      </c>
      <c r="U652" s="57" t="str">
        <f>IF(AC652=1,IF(O652&gt;0,R652/O652,""),"")</f>
        <v/>
      </c>
      <c r="V652" s="57" t="str">
        <f>IF(AC652=1,IF(P652&gt;0,N(G652)/P652,""),"")</f>
        <v/>
      </c>
      <c r="W652" s="57" t="str">
        <f>IF(AC652=1,S652/M652,"")</f>
        <v/>
      </c>
      <c r="X652" s="57" t="str">
        <f>IF(AC652=1,S652/K652,"")</f>
        <v/>
      </c>
      <c r="Y652" s="58" t="str">
        <f>IF(W652="","",IF(W652&gt;=p_target,"Bon",IF(W652&gt;=p_alert,"À surveiller","Faible")))</f>
        <v/>
      </c>
      <c r="Z652" s="58" t="str">
        <f>IF(W652="","",IF(MIN(IF(T652="",1,T652),IF(U652="",1,U652),IF(V652="",1,V652))&gt;=1,"Aucune",IF(IF(T652="",1,T652)&lt;=MIN(IF(U652="",1,U652),IF(V652="",1,V652)),"Disponibilité",IF(IF(U652="",1,U652)&lt;=IF(V652="",1,V652),"Performance","Qualité"))))</f>
        <v/>
      </c>
      <c r="AA652" s="59" t="str">
        <f>IF(AC652=1,N(H652)*N(IFERROR(INDEX(art_cost,MATCH(E652,art_ref,0)),0)),"")</f>
        <v/>
      </c>
      <c r="AB652" s="58" t="str">
        <f>IF(COUNTA(A652:I652)=0,"",IF(N(A652)&lt;=0,"Date manquante ou invalide",IF(B652="","Équipe manquante",IF(ISNA(MATCH(B652,eq_code,0)),"Équipe inconnue",IF(INDEX(eq_check,MATCH(B652,eq_code,0))&lt;&gt;"OK","Équipe à corriger dans Paramètres",IF(C652="","Poste manquant",IF(ISNA(MATCH(C652,po_code,0)),"Poste inconnu",IF(AND(E652&lt;&gt;"",ISNA(MATCH(E652,art_ref,0))),"Article inconnu",IF(IF(E652="",FALSE,INDEX(art_check,MATCH(E652,art_ref,0))&lt;&gt;"OK"),"Article à corriger (feuille Articles)",IF(COUNTIFS(sj_date,A652,sj_eq,B652,sj_po,C652)&gt;1,"Ligne en double (même jour, équipe et poste)",IF(OR(NOT(ISNUMBER(K652)),N(K652)&lt;=0,N(K652)&gt;1440),"Temps d'ouverture invalide",IF(OR(AND(G652&lt;&gt;"",NOT(ISNUMBER(G652))),N(G652)&lt;0,N(G652)&lt;&gt;INT(N(G652)),AND(H652&lt;&gt;"",NOT(ISNUMBER(H652))),N(H652)&lt;0,N(H652)&lt;&gt;INT(N(H652)),AND(I652&lt;&gt;"",NOT(ISNUMBER(I652))),N(I652)&lt;0,N(I652)&lt;&gt;INT(N(I652))),"Quantité invalide",IF(Q652&lt;=0,"Cadence manquante (poste ou article)",IF(M652&lt;=0,"Arrêts planifiés supérieurs au temps d'ouverture",IF(O652&lt;0,"Arrêts supérieurs au temps requis",IF(AND(P652&gt;0,O652=0),"Pièces déclarées sans temps de marche",IF(AND(P652=0,O652&gt;0),"Aucune pièce déclarée",IF(P652*60/Q652&gt;O652+0.001,"Cadence dépassée : vérifiez la cadence","OK"))))))))))))))))))</f>
        <v/>
      </c>
      <c r="AC652">
        <f>IF(OR(AB652="OK",AB652="Aucune pièce déclarée",AB652="Cadence dépassée : vérifiez la cadence"),1,0)</f>
        <v>0.0</v>
      </c>
      <c r="AD652">
        <f>IF(AND(AC652=1,A652&gt;=p_from,A652&lt;=p_to),1,0)</f>
        <v>0.0</v>
      </c>
      <c r="AE652">
        <f>IF(AD652=1,IF(COUNTIFS($A$6:A652,A652,$AD$6:AD652,1)=1,1,0),0)</f>
        <v>0.0</v>
      </c>
      <c r="AF652" t="str">
        <f>IF(AE652=1,COUNTIFS(sj_first,1,sj_date,"&lt;"&amp;A652)+1,"")</f>
        <v/>
      </c>
      <c r="AG652" t="str">
        <f>IF(AND(AD652=1,N(W652)&lt;p_alert),ROUND(W652,4),"")</f>
        <v/>
      </c>
      <c r="AH652" t="str">
        <f>IF(AG652="","",COUNTIF(sj_akey,"&lt;"&amp;AG652)+COUNTIF($AG$6:AG652,AG652))</f>
        <v/>
      </c>
    </row>
    <row r="653">
      <c r="A653" s="51" t="n"/>
      <c r="B653" s="52" t="n"/>
      <c r="C653" s="52" t="n"/>
      <c r="D653" s="53" t="n"/>
      <c r="E653" s="53" t="n"/>
      <c r="F653" s="54" t="n"/>
      <c r="G653" s="54" t="n"/>
      <c r="H653" s="54" t="n"/>
      <c r="I653" s="54" t="n"/>
      <c r="J653" s="53" t="n"/>
      <c r="K653" s="55" t="str">
        <f>IF(COUNTA(A653:I653)=0,"",IF(F653="",IFERROR(INDEX(eq_dur,MATCH(B653,eq_code,0)),""),F653))</f>
        <v/>
      </c>
      <c r="L653" s="55" t="str">
        <f>IF(ISNUMBER(K653),N(IFERROR(INDEX(eq_pause,MATCH(B653,eq_code,0)),0))+SUMIFS(st_min,st_date,A653,st_eq,B653,st_po,C653,st_type,"Planifié"),"")</f>
        <v/>
      </c>
      <c r="M653" s="55" t="str">
        <f>IF(ISNUMBER(K653),K653-L653,"")</f>
        <v/>
      </c>
      <c r="N653" s="55" t="str">
        <f>IF(ISNUMBER(K653),SUMIFS(st_min,st_date,A653,st_eq,B653,st_po,C653,st_type,"Non planifié"),"")</f>
        <v/>
      </c>
      <c r="O653" s="55" t="str">
        <f>IF(ISNUMBER(K653),M653-N653,"")</f>
        <v/>
      </c>
      <c r="P653" s="55" t="str">
        <f>IF(COUNTA(A653:I653)=0,"",N(G653)+N(H653)+N(I653))</f>
        <v/>
      </c>
      <c r="Q653" s="56" t="str">
        <f>IF(COUNTA(A653:I653)=0,"",IF(N(IFERROR(INDEX(art_rate,MATCH(E653,art_ref,0)),0))&gt;0,N(IFERROR(INDEX(art_rate,MATCH(E653,art_ref,0)),0)),N(IFERROR(INDEX(po_rate,MATCH(C653,po_code,0)),0))))</f>
        <v/>
      </c>
      <c r="R653" s="55" t="str">
        <f>IF(AC653=1,P653*60/Q653,"")</f>
        <v/>
      </c>
      <c r="S653" s="55" t="str">
        <f>IF(AC653=1,N(G653)*60/Q653,"")</f>
        <v/>
      </c>
      <c r="T653" s="57" t="str">
        <f>IF(AC653=1,O653/M653,"")</f>
        <v/>
      </c>
      <c r="U653" s="57" t="str">
        <f>IF(AC653=1,IF(O653&gt;0,R653/O653,""),"")</f>
        <v/>
      </c>
      <c r="V653" s="57" t="str">
        <f>IF(AC653=1,IF(P653&gt;0,N(G653)/P653,""),"")</f>
        <v/>
      </c>
      <c r="W653" s="57" t="str">
        <f>IF(AC653=1,S653/M653,"")</f>
        <v/>
      </c>
      <c r="X653" s="57" t="str">
        <f>IF(AC653=1,S653/K653,"")</f>
        <v/>
      </c>
      <c r="Y653" s="58" t="str">
        <f>IF(W653="","",IF(W653&gt;=p_target,"Bon",IF(W653&gt;=p_alert,"À surveiller","Faible")))</f>
        <v/>
      </c>
      <c r="Z653" s="58" t="str">
        <f>IF(W653="","",IF(MIN(IF(T653="",1,T653),IF(U653="",1,U653),IF(V653="",1,V653))&gt;=1,"Aucune",IF(IF(T653="",1,T653)&lt;=MIN(IF(U653="",1,U653),IF(V653="",1,V653)),"Disponibilité",IF(IF(U653="",1,U653)&lt;=IF(V653="",1,V653),"Performance","Qualité"))))</f>
        <v/>
      </c>
      <c r="AA653" s="59" t="str">
        <f>IF(AC653=1,N(H653)*N(IFERROR(INDEX(art_cost,MATCH(E653,art_ref,0)),0)),"")</f>
        <v/>
      </c>
      <c r="AB653" s="58" t="str">
        <f>IF(COUNTA(A653:I653)=0,"",IF(N(A653)&lt;=0,"Date manquante ou invalide",IF(B653="","Équipe manquante",IF(ISNA(MATCH(B653,eq_code,0)),"Équipe inconnue",IF(INDEX(eq_check,MATCH(B653,eq_code,0))&lt;&gt;"OK","Équipe à corriger dans Paramètres",IF(C653="","Poste manquant",IF(ISNA(MATCH(C653,po_code,0)),"Poste inconnu",IF(AND(E653&lt;&gt;"",ISNA(MATCH(E653,art_ref,0))),"Article inconnu",IF(IF(E653="",FALSE,INDEX(art_check,MATCH(E653,art_ref,0))&lt;&gt;"OK"),"Article à corriger (feuille Articles)",IF(COUNTIFS(sj_date,A653,sj_eq,B653,sj_po,C653)&gt;1,"Ligne en double (même jour, équipe et poste)",IF(OR(NOT(ISNUMBER(K653)),N(K653)&lt;=0,N(K653)&gt;1440),"Temps d'ouverture invalide",IF(OR(AND(G653&lt;&gt;"",NOT(ISNUMBER(G653))),N(G653)&lt;0,N(G653)&lt;&gt;INT(N(G653)),AND(H653&lt;&gt;"",NOT(ISNUMBER(H653))),N(H653)&lt;0,N(H653)&lt;&gt;INT(N(H653)),AND(I653&lt;&gt;"",NOT(ISNUMBER(I653))),N(I653)&lt;0,N(I653)&lt;&gt;INT(N(I653))),"Quantité invalide",IF(Q653&lt;=0,"Cadence manquante (poste ou article)",IF(M653&lt;=0,"Arrêts planifiés supérieurs au temps d'ouverture",IF(O653&lt;0,"Arrêts supérieurs au temps requis",IF(AND(P653&gt;0,O653=0),"Pièces déclarées sans temps de marche",IF(AND(P653=0,O653&gt;0),"Aucune pièce déclarée",IF(P653*60/Q653&gt;O653+0.001,"Cadence dépassée : vérifiez la cadence","OK"))))))))))))))))))</f>
        <v/>
      </c>
      <c r="AC653">
        <f>IF(OR(AB653="OK",AB653="Aucune pièce déclarée",AB653="Cadence dépassée : vérifiez la cadence"),1,0)</f>
        <v>0.0</v>
      </c>
      <c r="AD653">
        <f>IF(AND(AC653=1,A653&gt;=p_from,A653&lt;=p_to),1,0)</f>
        <v>0.0</v>
      </c>
      <c r="AE653">
        <f>IF(AD653=1,IF(COUNTIFS($A$6:A653,A653,$AD$6:AD653,1)=1,1,0),0)</f>
        <v>0.0</v>
      </c>
      <c r="AF653" t="str">
        <f>IF(AE653=1,COUNTIFS(sj_first,1,sj_date,"&lt;"&amp;A653)+1,"")</f>
        <v/>
      </c>
      <c r="AG653" t="str">
        <f>IF(AND(AD653=1,N(W653)&lt;p_alert),ROUND(W653,4),"")</f>
        <v/>
      </c>
      <c r="AH653" t="str">
        <f>IF(AG653="","",COUNTIF(sj_akey,"&lt;"&amp;AG653)+COUNTIF($AG$6:AG653,AG653))</f>
        <v/>
      </c>
    </row>
    <row r="654">
      <c r="A654" s="51" t="n"/>
      <c r="B654" s="52" t="n"/>
      <c r="C654" s="52" t="n"/>
      <c r="D654" s="53" t="n"/>
      <c r="E654" s="53" t="n"/>
      <c r="F654" s="54" t="n"/>
      <c r="G654" s="54" t="n"/>
      <c r="H654" s="54" t="n"/>
      <c r="I654" s="54" t="n"/>
      <c r="J654" s="53" t="n"/>
      <c r="K654" s="55" t="str">
        <f>IF(COUNTA(A654:I654)=0,"",IF(F654="",IFERROR(INDEX(eq_dur,MATCH(B654,eq_code,0)),""),F654))</f>
        <v/>
      </c>
      <c r="L654" s="55" t="str">
        <f>IF(ISNUMBER(K654),N(IFERROR(INDEX(eq_pause,MATCH(B654,eq_code,0)),0))+SUMIFS(st_min,st_date,A654,st_eq,B654,st_po,C654,st_type,"Planifié"),"")</f>
        <v/>
      </c>
      <c r="M654" s="55" t="str">
        <f>IF(ISNUMBER(K654),K654-L654,"")</f>
        <v/>
      </c>
      <c r="N654" s="55" t="str">
        <f>IF(ISNUMBER(K654),SUMIFS(st_min,st_date,A654,st_eq,B654,st_po,C654,st_type,"Non planifié"),"")</f>
        <v/>
      </c>
      <c r="O654" s="55" t="str">
        <f>IF(ISNUMBER(K654),M654-N654,"")</f>
        <v/>
      </c>
      <c r="P654" s="55" t="str">
        <f>IF(COUNTA(A654:I654)=0,"",N(G654)+N(H654)+N(I654))</f>
        <v/>
      </c>
      <c r="Q654" s="56" t="str">
        <f>IF(COUNTA(A654:I654)=0,"",IF(N(IFERROR(INDEX(art_rate,MATCH(E654,art_ref,0)),0))&gt;0,N(IFERROR(INDEX(art_rate,MATCH(E654,art_ref,0)),0)),N(IFERROR(INDEX(po_rate,MATCH(C654,po_code,0)),0))))</f>
        <v/>
      </c>
      <c r="R654" s="55" t="str">
        <f>IF(AC654=1,P654*60/Q654,"")</f>
        <v/>
      </c>
      <c r="S654" s="55" t="str">
        <f>IF(AC654=1,N(G654)*60/Q654,"")</f>
        <v/>
      </c>
      <c r="T654" s="57" t="str">
        <f>IF(AC654=1,O654/M654,"")</f>
        <v/>
      </c>
      <c r="U654" s="57" t="str">
        <f>IF(AC654=1,IF(O654&gt;0,R654/O654,""),"")</f>
        <v/>
      </c>
      <c r="V654" s="57" t="str">
        <f>IF(AC654=1,IF(P654&gt;0,N(G654)/P654,""),"")</f>
        <v/>
      </c>
      <c r="W654" s="57" t="str">
        <f>IF(AC654=1,S654/M654,"")</f>
        <v/>
      </c>
      <c r="X654" s="57" t="str">
        <f>IF(AC654=1,S654/K654,"")</f>
        <v/>
      </c>
      <c r="Y654" s="58" t="str">
        <f>IF(W654="","",IF(W654&gt;=p_target,"Bon",IF(W654&gt;=p_alert,"À surveiller","Faible")))</f>
        <v/>
      </c>
      <c r="Z654" s="58" t="str">
        <f>IF(W654="","",IF(MIN(IF(T654="",1,T654),IF(U654="",1,U654),IF(V654="",1,V654))&gt;=1,"Aucune",IF(IF(T654="",1,T654)&lt;=MIN(IF(U654="",1,U654),IF(V654="",1,V654)),"Disponibilité",IF(IF(U654="",1,U654)&lt;=IF(V654="",1,V654),"Performance","Qualité"))))</f>
        <v/>
      </c>
      <c r="AA654" s="59" t="str">
        <f>IF(AC654=1,N(H654)*N(IFERROR(INDEX(art_cost,MATCH(E654,art_ref,0)),0)),"")</f>
        <v/>
      </c>
      <c r="AB654" s="58" t="str">
        <f>IF(COUNTA(A654:I654)=0,"",IF(N(A654)&lt;=0,"Date manquante ou invalide",IF(B654="","Équipe manquante",IF(ISNA(MATCH(B654,eq_code,0)),"Équipe inconnue",IF(INDEX(eq_check,MATCH(B654,eq_code,0))&lt;&gt;"OK","Équipe à corriger dans Paramètres",IF(C654="","Poste manquant",IF(ISNA(MATCH(C654,po_code,0)),"Poste inconnu",IF(AND(E654&lt;&gt;"",ISNA(MATCH(E654,art_ref,0))),"Article inconnu",IF(IF(E654="",FALSE,INDEX(art_check,MATCH(E654,art_ref,0))&lt;&gt;"OK"),"Article à corriger (feuille Articles)",IF(COUNTIFS(sj_date,A654,sj_eq,B654,sj_po,C654)&gt;1,"Ligne en double (même jour, équipe et poste)",IF(OR(NOT(ISNUMBER(K654)),N(K654)&lt;=0,N(K654)&gt;1440),"Temps d'ouverture invalide",IF(OR(AND(G654&lt;&gt;"",NOT(ISNUMBER(G654))),N(G654)&lt;0,N(G654)&lt;&gt;INT(N(G654)),AND(H654&lt;&gt;"",NOT(ISNUMBER(H654))),N(H654)&lt;0,N(H654)&lt;&gt;INT(N(H654)),AND(I654&lt;&gt;"",NOT(ISNUMBER(I654))),N(I654)&lt;0,N(I654)&lt;&gt;INT(N(I654))),"Quantité invalide",IF(Q654&lt;=0,"Cadence manquante (poste ou article)",IF(M654&lt;=0,"Arrêts planifiés supérieurs au temps d'ouverture",IF(O654&lt;0,"Arrêts supérieurs au temps requis",IF(AND(P654&gt;0,O654=0),"Pièces déclarées sans temps de marche",IF(AND(P654=0,O654&gt;0),"Aucune pièce déclarée",IF(P654*60/Q654&gt;O654+0.001,"Cadence dépassée : vérifiez la cadence","OK"))))))))))))))))))</f>
        <v/>
      </c>
      <c r="AC654">
        <f>IF(OR(AB654="OK",AB654="Aucune pièce déclarée",AB654="Cadence dépassée : vérifiez la cadence"),1,0)</f>
        <v>0.0</v>
      </c>
      <c r="AD654">
        <f>IF(AND(AC654=1,A654&gt;=p_from,A654&lt;=p_to),1,0)</f>
        <v>0.0</v>
      </c>
      <c r="AE654">
        <f>IF(AD654=1,IF(COUNTIFS($A$6:A654,A654,$AD$6:AD654,1)=1,1,0),0)</f>
        <v>0.0</v>
      </c>
      <c r="AF654" t="str">
        <f>IF(AE654=1,COUNTIFS(sj_first,1,sj_date,"&lt;"&amp;A654)+1,"")</f>
        <v/>
      </c>
      <c r="AG654" t="str">
        <f>IF(AND(AD654=1,N(W654)&lt;p_alert),ROUND(W654,4),"")</f>
        <v/>
      </c>
      <c r="AH654" t="str">
        <f>IF(AG654="","",COUNTIF(sj_akey,"&lt;"&amp;AG654)+COUNTIF($AG$6:AG654,AG654))</f>
        <v/>
      </c>
    </row>
    <row r="655">
      <c r="A655" s="51" t="n"/>
      <c r="B655" s="52" t="n"/>
      <c r="C655" s="52" t="n"/>
      <c r="D655" s="53" t="n"/>
      <c r="E655" s="53" t="n"/>
      <c r="F655" s="54" t="n"/>
      <c r="G655" s="54" t="n"/>
      <c r="H655" s="54" t="n"/>
      <c r="I655" s="54" t="n"/>
      <c r="J655" s="53" t="n"/>
      <c r="K655" s="55" t="str">
        <f>IF(COUNTA(A655:I655)=0,"",IF(F655="",IFERROR(INDEX(eq_dur,MATCH(B655,eq_code,0)),""),F655))</f>
        <v/>
      </c>
      <c r="L655" s="55" t="str">
        <f>IF(ISNUMBER(K655),N(IFERROR(INDEX(eq_pause,MATCH(B655,eq_code,0)),0))+SUMIFS(st_min,st_date,A655,st_eq,B655,st_po,C655,st_type,"Planifié"),"")</f>
        <v/>
      </c>
      <c r="M655" s="55" t="str">
        <f>IF(ISNUMBER(K655),K655-L655,"")</f>
        <v/>
      </c>
      <c r="N655" s="55" t="str">
        <f>IF(ISNUMBER(K655),SUMIFS(st_min,st_date,A655,st_eq,B655,st_po,C655,st_type,"Non planifié"),"")</f>
        <v/>
      </c>
      <c r="O655" s="55" t="str">
        <f>IF(ISNUMBER(K655),M655-N655,"")</f>
        <v/>
      </c>
      <c r="P655" s="55" t="str">
        <f>IF(COUNTA(A655:I655)=0,"",N(G655)+N(H655)+N(I655))</f>
        <v/>
      </c>
      <c r="Q655" s="56" t="str">
        <f>IF(COUNTA(A655:I655)=0,"",IF(N(IFERROR(INDEX(art_rate,MATCH(E655,art_ref,0)),0))&gt;0,N(IFERROR(INDEX(art_rate,MATCH(E655,art_ref,0)),0)),N(IFERROR(INDEX(po_rate,MATCH(C655,po_code,0)),0))))</f>
        <v/>
      </c>
      <c r="R655" s="55" t="str">
        <f>IF(AC655=1,P655*60/Q655,"")</f>
        <v/>
      </c>
      <c r="S655" s="55" t="str">
        <f>IF(AC655=1,N(G655)*60/Q655,"")</f>
        <v/>
      </c>
      <c r="T655" s="57" t="str">
        <f>IF(AC655=1,O655/M655,"")</f>
        <v/>
      </c>
      <c r="U655" s="57" t="str">
        <f>IF(AC655=1,IF(O655&gt;0,R655/O655,""),"")</f>
        <v/>
      </c>
      <c r="V655" s="57" t="str">
        <f>IF(AC655=1,IF(P655&gt;0,N(G655)/P655,""),"")</f>
        <v/>
      </c>
      <c r="W655" s="57" t="str">
        <f>IF(AC655=1,S655/M655,"")</f>
        <v/>
      </c>
      <c r="X655" s="57" t="str">
        <f>IF(AC655=1,S655/K655,"")</f>
        <v/>
      </c>
      <c r="Y655" s="58" t="str">
        <f>IF(W655="","",IF(W655&gt;=p_target,"Bon",IF(W655&gt;=p_alert,"À surveiller","Faible")))</f>
        <v/>
      </c>
      <c r="Z655" s="58" t="str">
        <f>IF(W655="","",IF(MIN(IF(T655="",1,T655),IF(U655="",1,U655),IF(V655="",1,V655))&gt;=1,"Aucune",IF(IF(T655="",1,T655)&lt;=MIN(IF(U655="",1,U655),IF(V655="",1,V655)),"Disponibilité",IF(IF(U655="",1,U655)&lt;=IF(V655="",1,V655),"Performance","Qualité"))))</f>
        <v/>
      </c>
      <c r="AA655" s="59" t="str">
        <f>IF(AC655=1,N(H655)*N(IFERROR(INDEX(art_cost,MATCH(E655,art_ref,0)),0)),"")</f>
        <v/>
      </c>
      <c r="AB655" s="58" t="str">
        <f>IF(COUNTA(A655:I655)=0,"",IF(N(A655)&lt;=0,"Date manquante ou invalide",IF(B655="","Équipe manquante",IF(ISNA(MATCH(B655,eq_code,0)),"Équipe inconnue",IF(INDEX(eq_check,MATCH(B655,eq_code,0))&lt;&gt;"OK","Équipe à corriger dans Paramètres",IF(C655="","Poste manquant",IF(ISNA(MATCH(C655,po_code,0)),"Poste inconnu",IF(AND(E655&lt;&gt;"",ISNA(MATCH(E655,art_ref,0))),"Article inconnu",IF(IF(E655="",FALSE,INDEX(art_check,MATCH(E655,art_ref,0))&lt;&gt;"OK"),"Article à corriger (feuille Articles)",IF(COUNTIFS(sj_date,A655,sj_eq,B655,sj_po,C655)&gt;1,"Ligne en double (même jour, équipe et poste)",IF(OR(NOT(ISNUMBER(K655)),N(K655)&lt;=0,N(K655)&gt;1440),"Temps d'ouverture invalide",IF(OR(AND(G655&lt;&gt;"",NOT(ISNUMBER(G655))),N(G655)&lt;0,N(G655)&lt;&gt;INT(N(G655)),AND(H655&lt;&gt;"",NOT(ISNUMBER(H655))),N(H655)&lt;0,N(H655)&lt;&gt;INT(N(H655)),AND(I655&lt;&gt;"",NOT(ISNUMBER(I655))),N(I655)&lt;0,N(I655)&lt;&gt;INT(N(I655))),"Quantité invalide",IF(Q655&lt;=0,"Cadence manquante (poste ou article)",IF(M655&lt;=0,"Arrêts planifiés supérieurs au temps d'ouverture",IF(O655&lt;0,"Arrêts supérieurs au temps requis",IF(AND(P655&gt;0,O655=0),"Pièces déclarées sans temps de marche",IF(AND(P655=0,O655&gt;0),"Aucune pièce déclarée",IF(P655*60/Q655&gt;O655+0.001,"Cadence dépassée : vérifiez la cadence","OK"))))))))))))))))))</f>
        <v/>
      </c>
      <c r="AC655">
        <f>IF(OR(AB655="OK",AB655="Aucune pièce déclarée",AB655="Cadence dépassée : vérifiez la cadence"),1,0)</f>
        <v>0.0</v>
      </c>
      <c r="AD655">
        <f>IF(AND(AC655=1,A655&gt;=p_from,A655&lt;=p_to),1,0)</f>
        <v>0.0</v>
      </c>
      <c r="AE655">
        <f>IF(AD655=1,IF(COUNTIFS($A$6:A655,A655,$AD$6:AD655,1)=1,1,0),0)</f>
        <v>0.0</v>
      </c>
      <c r="AF655" t="str">
        <f>IF(AE655=1,COUNTIFS(sj_first,1,sj_date,"&lt;"&amp;A655)+1,"")</f>
        <v/>
      </c>
      <c r="AG655" t="str">
        <f>IF(AND(AD655=1,N(W655)&lt;p_alert),ROUND(W655,4),"")</f>
        <v/>
      </c>
      <c r="AH655" t="str">
        <f>IF(AG655="","",COUNTIF(sj_akey,"&lt;"&amp;AG655)+COUNTIF($AG$6:AG655,AG655))</f>
        <v/>
      </c>
    </row>
    <row r="656">
      <c r="A656" s="51" t="n"/>
      <c r="B656" s="52" t="n"/>
      <c r="C656" s="52" t="n"/>
      <c r="D656" s="53" t="n"/>
      <c r="E656" s="53" t="n"/>
      <c r="F656" s="54" t="n"/>
      <c r="G656" s="54" t="n"/>
      <c r="H656" s="54" t="n"/>
      <c r="I656" s="54" t="n"/>
      <c r="J656" s="53" t="n"/>
      <c r="K656" s="55" t="str">
        <f>IF(COUNTA(A656:I656)=0,"",IF(F656="",IFERROR(INDEX(eq_dur,MATCH(B656,eq_code,0)),""),F656))</f>
        <v/>
      </c>
      <c r="L656" s="55" t="str">
        <f>IF(ISNUMBER(K656),N(IFERROR(INDEX(eq_pause,MATCH(B656,eq_code,0)),0))+SUMIFS(st_min,st_date,A656,st_eq,B656,st_po,C656,st_type,"Planifié"),"")</f>
        <v/>
      </c>
      <c r="M656" s="55" t="str">
        <f>IF(ISNUMBER(K656),K656-L656,"")</f>
        <v/>
      </c>
      <c r="N656" s="55" t="str">
        <f>IF(ISNUMBER(K656),SUMIFS(st_min,st_date,A656,st_eq,B656,st_po,C656,st_type,"Non planifié"),"")</f>
        <v/>
      </c>
      <c r="O656" s="55" t="str">
        <f>IF(ISNUMBER(K656),M656-N656,"")</f>
        <v/>
      </c>
      <c r="P656" s="55" t="str">
        <f>IF(COUNTA(A656:I656)=0,"",N(G656)+N(H656)+N(I656))</f>
        <v/>
      </c>
      <c r="Q656" s="56" t="str">
        <f>IF(COUNTA(A656:I656)=0,"",IF(N(IFERROR(INDEX(art_rate,MATCH(E656,art_ref,0)),0))&gt;0,N(IFERROR(INDEX(art_rate,MATCH(E656,art_ref,0)),0)),N(IFERROR(INDEX(po_rate,MATCH(C656,po_code,0)),0))))</f>
        <v/>
      </c>
      <c r="R656" s="55" t="str">
        <f>IF(AC656=1,P656*60/Q656,"")</f>
        <v/>
      </c>
      <c r="S656" s="55" t="str">
        <f>IF(AC656=1,N(G656)*60/Q656,"")</f>
        <v/>
      </c>
      <c r="T656" s="57" t="str">
        <f>IF(AC656=1,O656/M656,"")</f>
        <v/>
      </c>
      <c r="U656" s="57" t="str">
        <f>IF(AC656=1,IF(O656&gt;0,R656/O656,""),"")</f>
        <v/>
      </c>
      <c r="V656" s="57" t="str">
        <f>IF(AC656=1,IF(P656&gt;0,N(G656)/P656,""),"")</f>
        <v/>
      </c>
      <c r="W656" s="57" t="str">
        <f>IF(AC656=1,S656/M656,"")</f>
        <v/>
      </c>
      <c r="X656" s="57" t="str">
        <f>IF(AC656=1,S656/K656,"")</f>
        <v/>
      </c>
      <c r="Y656" s="58" t="str">
        <f>IF(W656="","",IF(W656&gt;=p_target,"Bon",IF(W656&gt;=p_alert,"À surveiller","Faible")))</f>
        <v/>
      </c>
      <c r="Z656" s="58" t="str">
        <f>IF(W656="","",IF(MIN(IF(T656="",1,T656),IF(U656="",1,U656),IF(V656="",1,V656))&gt;=1,"Aucune",IF(IF(T656="",1,T656)&lt;=MIN(IF(U656="",1,U656),IF(V656="",1,V656)),"Disponibilité",IF(IF(U656="",1,U656)&lt;=IF(V656="",1,V656),"Performance","Qualité"))))</f>
        <v/>
      </c>
      <c r="AA656" s="59" t="str">
        <f>IF(AC656=1,N(H656)*N(IFERROR(INDEX(art_cost,MATCH(E656,art_ref,0)),0)),"")</f>
        <v/>
      </c>
      <c r="AB656" s="58" t="str">
        <f>IF(COUNTA(A656:I656)=0,"",IF(N(A656)&lt;=0,"Date manquante ou invalide",IF(B656="","Équipe manquante",IF(ISNA(MATCH(B656,eq_code,0)),"Équipe inconnue",IF(INDEX(eq_check,MATCH(B656,eq_code,0))&lt;&gt;"OK","Équipe à corriger dans Paramètres",IF(C656="","Poste manquant",IF(ISNA(MATCH(C656,po_code,0)),"Poste inconnu",IF(AND(E656&lt;&gt;"",ISNA(MATCH(E656,art_ref,0))),"Article inconnu",IF(IF(E656="",FALSE,INDEX(art_check,MATCH(E656,art_ref,0))&lt;&gt;"OK"),"Article à corriger (feuille Articles)",IF(COUNTIFS(sj_date,A656,sj_eq,B656,sj_po,C656)&gt;1,"Ligne en double (même jour, équipe et poste)",IF(OR(NOT(ISNUMBER(K656)),N(K656)&lt;=0,N(K656)&gt;1440),"Temps d'ouverture invalide",IF(OR(AND(G656&lt;&gt;"",NOT(ISNUMBER(G656))),N(G656)&lt;0,N(G656)&lt;&gt;INT(N(G656)),AND(H656&lt;&gt;"",NOT(ISNUMBER(H656))),N(H656)&lt;0,N(H656)&lt;&gt;INT(N(H656)),AND(I656&lt;&gt;"",NOT(ISNUMBER(I656))),N(I656)&lt;0,N(I656)&lt;&gt;INT(N(I656))),"Quantité invalide",IF(Q656&lt;=0,"Cadence manquante (poste ou article)",IF(M656&lt;=0,"Arrêts planifiés supérieurs au temps d'ouverture",IF(O656&lt;0,"Arrêts supérieurs au temps requis",IF(AND(P656&gt;0,O656=0),"Pièces déclarées sans temps de marche",IF(AND(P656=0,O656&gt;0),"Aucune pièce déclarée",IF(P656*60/Q656&gt;O656+0.001,"Cadence dépassée : vérifiez la cadence","OK"))))))))))))))))))</f>
        <v/>
      </c>
      <c r="AC656">
        <f>IF(OR(AB656="OK",AB656="Aucune pièce déclarée",AB656="Cadence dépassée : vérifiez la cadence"),1,0)</f>
        <v>0.0</v>
      </c>
      <c r="AD656">
        <f>IF(AND(AC656=1,A656&gt;=p_from,A656&lt;=p_to),1,0)</f>
        <v>0.0</v>
      </c>
      <c r="AE656">
        <f>IF(AD656=1,IF(COUNTIFS($A$6:A656,A656,$AD$6:AD656,1)=1,1,0),0)</f>
        <v>0.0</v>
      </c>
      <c r="AF656" t="str">
        <f>IF(AE656=1,COUNTIFS(sj_first,1,sj_date,"&lt;"&amp;A656)+1,"")</f>
        <v/>
      </c>
      <c r="AG656" t="str">
        <f>IF(AND(AD656=1,N(W656)&lt;p_alert),ROUND(W656,4),"")</f>
        <v/>
      </c>
      <c r="AH656" t="str">
        <f>IF(AG656="","",COUNTIF(sj_akey,"&lt;"&amp;AG656)+COUNTIF($AG$6:AG656,AG656))</f>
        <v/>
      </c>
    </row>
    <row r="657">
      <c r="A657" s="51" t="n"/>
      <c r="B657" s="52" t="n"/>
      <c r="C657" s="52" t="n"/>
      <c r="D657" s="53" t="n"/>
      <c r="E657" s="53" t="n"/>
      <c r="F657" s="54" t="n"/>
      <c r="G657" s="54" t="n"/>
      <c r="H657" s="54" t="n"/>
      <c r="I657" s="54" t="n"/>
      <c r="J657" s="53" t="n"/>
      <c r="K657" s="55" t="str">
        <f>IF(COUNTA(A657:I657)=0,"",IF(F657="",IFERROR(INDEX(eq_dur,MATCH(B657,eq_code,0)),""),F657))</f>
        <v/>
      </c>
      <c r="L657" s="55" t="str">
        <f>IF(ISNUMBER(K657),N(IFERROR(INDEX(eq_pause,MATCH(B657,eq_code,0)),0))+SUMIFS(st_min,st_date,A657,st_eq,B657,st_po,C657,st_type,"Planifié"),"")</f>
        <v/>
      </c>
      <c r="M657" s="55" t="str">
        <f>IF(ISNUMBER(K657),K657-L657,"")</f>
        <v/>
      </c>
      <c r="N657" s="55" t="str">
        <f>IF(ISNUMBER(K657),SUMIFS(st_min,st_date,A657,st_eq,B657,st_po,C657,st_type,"Non planifié"),"")</f>
        <v/>
      </c>
      <c r="O657" s="55" t="str">
        <f>IF(ISNUMBER(K657),M657-N657,"")</f>
        <v/>
      </c>
      <c r="P657" s="55" t="str">
        <f>IF(COUNTA(A657:I657)=0,"",N(G657)+N(H657)+N(I657))</f>
        <v/>
      </c>
      <c r="Q657" s="56" t="str">
        <f>IF(COUNTA(A657:I657)=0,"",IF(N(IFERROR(INDEX(art_rate,MATCH(E657,art_ref,0)),0))&gt;0,N(IFERROR(INDEX(art_rate,MATCH(E657,art_ref,0)),0)),N(IFERROR(INDEX(po_rate,MATCH(C657,po_code,0)),0))))</f>
        <v/>
      </c>
      <c r="R657" s="55" t="str">
        <f>IF(AC657=1,P657*60/Q657,"")</f>
        <v/>
      </c>
      <c r="S657" s="55" t="str">
        <f>IF(AC657=1,N(G657)*60/Q657,"")</f>
        <v/>
      </c>
      <c r="T657" s="57" t="str">
        <f>IF(AC657=1,O657/M657,"")</f>
        <v/>
      </c>
      <c r="U657" s="57" t="str">
        <f>IF(AC657=1,IF(O657&gt;0,R657/O657,""),"")</f>
        <v/>
      </c>
      <c r="V657" s="57" t="str">
        <f>IF(AC657=1,IF(P657&gt;0,N(G657)/P657,""),"")</f>
        <v/>
      </c>
      <c r="W657" s="57" t="str">
        <f>IF(AC657=1,S657/M657,"")</f>
        <v/>
      </c>
      <c r="X657" s="57" t="str">
        <f>IF(AC657=1,S657/K657,"")</f>
        <v/>
      </c>
      <c r="Y657" s="58" t="str">
        <f>IF(W657="","",IF(W657&gt;=p_target,"Bon",IF(W657&gt;=p_alert,"À surveiller","Faible")))</f>
        <v/>
      </c>
      <c r="Z657" s="58" t="str">
        <f>IF(W657="","",IF(MIN(IF(T657="",1,T657),IF(U657="",1,U657),IF(V657="",1,V657))&gt;=1,"Aucune",IF(IF(T657="",1,T657)&lt;=MIN(IF(U657="",1,U657),IF(V657="",1,V657)),"Disponibilité",IF(IF(U657="",1,U657)&lt;=IF(V657="",1,V657),"Performance","Qualité"))))</f>
        <v/>
      </c>
      <c r="AA657" s="59" t="str">
        <f>IF(AC657=1,N(H657)*N(IFERROR(INDEX(art_cost,MATCH(E657,art_ref,0)),0)),"")</f>
        <v/>
      </c>
      <c r="AB657" s="58" t="str">
        <f>IF(COUNTA(A657:I657)=0,"",IF(N(A657)&lt;=0,"Date manquante ou invalide",IF(B657="","Équipe manquante",IF(ISNA(MATCH(B657,eq_code,0)),"Équipe inconnue",IF(INDEX(eq_check,MATCH(B657,eq_code,0))&lt;&gt;"OK","Équipe à corriger dans Paramètres",IF(C657="","Poste manquant",IF(ISNA(MATCH(C657,po_code,0)),"Poste inconnu",IF(AND(E657&lt;&gt;"",ISNA(MATCH(E657,art_ref,0))),"Article inconnu",IF(IF(E657="",FALSE,INDEX(art_check,MATCH(E657,art_ref,0))&lt;&gt;"OK"),"Article à corriger (feuille Articles)",IF(COUNTIFS(sj_date,A657,sj_eq,B657,sj_po,C657)&gt;1,"Ligne en double (même jour, équipe et poste)",IF(OR(NOT(ISNUMBER(K657)),N(K657)&lt;=0,N(K657)&gt;1440),"Temps d'ouverture invalide",IF(OR(AND(G657&lt;&gt;"",NOT(ISNUMBER(G657))),N(G657)&lt;0,N(G657)&lt;&gt;INT(N(G657)),AND(H657&lt;&gt;"",NOT(ISNUMBER(H657))),N(H657)&lt;0,N(H657)&lt;&gt;INT(N(H657)),AND(I657&lt;&gt;"",NOT(ISNUMBER(I657))),N(I657)&lt;0,N(I657)&lt;&gt;INT(N(I657))),"Quantité invalide",IF(Q657&lt;=0,"Cadence manquante (poste ou article)",IF(M657&lt;=0,"Arrêts planifiés supérieurs au temps d'ouverture",IF(O657&lt;0,"Arrêts supérieurs au temps requis",IF(AND(P657&gt;0,O657=0),"Pièces déclarées sans temps de marche",IF(AND(P657=0,O657&gt;0),"Aucune pièce déclarée",IF(P657*60/Q657&gt;O657+0.001,"Cadence dépassée : vérifiez la cadence","OK"))))))))))))))))))</f>
        <v/>
      </c>
      <c r="AC657">
        <f>IF(OR(AB657="OK",AB657="Aucune pièce déclarée",AB657="Cadence dépassée : vérifiez la cadence"),1,0)</f>
        <v>0.0</v>
      </c>
      <c r="AD657">
        <f>IF(AND(AC657=1,A657&gt;=p_from,A657&lt;=p_to),1,0)</f>
        <v>0.0</v>
      </c>
      <c r="AE657">
        <f>IF(AD657=1,IF(COUNTIFS($A$6:A657,A657,$AD$6:AD657,1)=1,1,0),0)</f>
        <v>0.0</v>
      </c>
      <c r="AF657" t="str">
        <f>IF(AE657=1,COUNTIFS(sj_first,1,sj_date,"&lt;"&amp;A657)+1,"")</f>
        <v/>
      </c>
      <c r="AG657" t="str">
        <f>IF(AND(AD657=1,N(W657)&lt;p_alert),ROUND(W657,4),"")</f>
        <v/>
      </c>
      <c r="AH657" t="str">
        <f>IF(AG657="","",COUNTIF(sj_akey,"&lt;"&amp;AG657)+COUNTIF($AG$6:AG657,AG657))</f>
        <v/>
      </c>
    </row>
    <row r="658">
      <c r="A658" s="51" t="n"/>
      <c r="B658" s="52" t="n"/>
      <c r="C658" s="52" t="n"/>
      <c r="D658" s="53" t="n"/>
      <c r="E658" s="53" t="n"/>
      <c r="F658" s="54" t="n"/>
      <c r="G658" s="54" t="n"/>
      <c r="H658" s="54" t="n"/>
      <c r="I658" s="54" t="n"/>
      <c r="J658" s="53" t="n"/>
      <c r="K658" s="55" t="str">
        <f>IF(COUNTA(A658:I658)=0,"",IF(F658="",IFERROR(INDEX(eq_dur,MATCH(B658,eq_code,0)),""),F658))</f>
        <v/>
      </c>
      <c r="L658" s="55" t="str">
        <f>IF(ISNUMBER(K658),N(IFERROR(INDEX(eq_pause,MATCH(B658,eq_code,0)),0))+SUMIFS(st_min,st_date,A658,st_eq,B658,st_po,C658,st_type,"Planifié"),"")</f>
        <v/>
      </c>
      <c r="M658" s="55" t="str">
        <f>IF(ISNUMBER(K658),K658-L658,"")</f>
        <v/>
      </c>
      <c r="N658" s="55" t="str">
        <f>IF(ISNUMBER(K658),SUMIFS(st_min,st_date,A658,st_eq,B658,st_po,C658,st_type,"Non planifié"),"")</f>
        <v/>
      </c>
      <c r="O658" s="55" t="str">
        <f>IF(ISNUMBER(K658),M658-N658,"")</f>
        <v/>
      </c>
      <c r="P658" s="55" t="str">
        <f>IF(COUNTA(A658:I658)=0,"",N(G658)+N(H658)+N(I658))</f>
        <v/>
      </c>
      <c r="Q658" s="56" t="str">
        <f>IF(COUNTA(A658:I658)=0,"",IF(N(IFERROR(INDEX(art_rate,MATCH(E658,art_ref,0)),0))&gt;0,N(IFERROR(INDEX(art_rate,MATCH(E658,art_ref,0)),0)),N(IFERROR(INDEX(po_rate,MATCH(C658,po_code,0)),0))))</f>
        <v/>
      </c>
      <c r="R658" s="55" t="str">
        <f>IF(AC658=1,P658*60/Q658,"")</f>
        <v/>
      </c>
      <c r="S658" s="55" t="str">
        <f>IF(AC658=1,N(G658)*60/Q658,"")</f>
        <v/>
      </c>
      <c r="T658" s="57" t="str">
        <f>IF(AC658=1,O658/M658,"")</f>
        <v/>
      </c>
      <c r="U658" s="57" t="str">
        <f>IF(AC658=1,IF(O658&gt;0,R658/O658,""),"")</f>
        <v/>
      </c>
      <c r="V658" s="57" t="str">
        <f>IF(AC658=1,IF(P658&gt;0,N(G658)/P658,""),"")</f>
        <v/>
      </c>
      <c r="W658" s="57" t="str">
        <f>IF(AC658=1,S658/M658,"")</f>
        <v/>
      </c>
      <c r="X658" s="57" t="str">
        <f>IF(AC658=1,S658/K658,"")</f>
        <v/>
      </c>
      <c r="Y658" s="58" t="str">
        <f>IF(W658="","",IF(W658&gt;=p_target,"Bon",IF(W658&gt;=p_alert,"À surveiller","Faible")))</f>
        <v/>
      </c>
      <c r="Z658" s="58" t="str">
        <f>IF(W658="","",IF(MIN(IF(T658="",1,T658),IF(U658="",1,U658),IF(V658="",1,V658))&gt;=1,"Aucune",IF(IF(T658="",1,T658)&lt;=MIN(IF(U658="",1,U658),IF(V658="",1,V658)),"Disponibilité",IF(IF(U658="",1,U658)&lt;=IF(V658="",1,V658),"Performance","Qualité"))))</f>
        <v/>
      </c>
      <c r="AA658" s="59" t="str">
        <f>IF(AC658=1,N(H658)*N(IFERROR(INDEX(art_cost,MATCH(E658,art_ref,0)),0)),"")</f>
        <v/>
      </c>
      <c r="AB658" s="58" t="str">
        <f>IF(COUNTA(A658:I658)=0,"",IF(N(A658)&lt;=0,"Date manquante ou invalide",IF(B658="","Équipe manquante",IF(ISNA(MATCH(B658,eq_code,0)),"Équipe inconnue",IF(INDEX(eq_check,MATCH(B658,eq_code,0))&lt;&gt;"OK","Équipe à corriger dans Paramètres",IF(C658="","Poste manquant",IF(ISNA(MATCH(C658,po_code,0)),"Poste inconnu",IF(AND(E658&lt;&gt;"",ISNA(MATCH(E658,art_ref,0))),"Article inconnu",IF(IF(E658="",FALSE,INDEX(art_check,MATCH(E658,art_ref,0))&lt;&gt;"OK"),"Article à corriger (feuille Articles)",IF(COUNTIFS(sj_date,A658,sj_eq,B658,sj_po,C658)&gt;1,"Ligne en double (même jour, équipe et poste)",IF(OR(NOT(ISNUMBER(K658)),N(K658)&lt;=0,N(K658)&gt;1440),"Temps d'ouverture invalide",IF(OR(AND(G658&lt;&gt;"",NOT(ISNUMBER(G658))),N(G658)&lt;0,N(G658)&lt;&gt;INT(N(G658)),AND(H658&lt;&gt;"",NOT(ISNUMBER(H658))),N(H658)&lt;0,N(H658)&lt;&gt;INT(N(H658)),AND(I658&lt;&gt;"",NOT(ISNUMBER(I658))),N(I658)&lt;0,N(I658)&lt;&gt;INT(N(I658))),"Quantité invalide",IF(Q658&lt;=0,"Cadence manquante (poste ou article)",IF(M658&lt;=0,"Arrêts planifiés supérieurs au temps d'ouverture",IF(O658&lt;0,"Arrêts supérieurs au temps requis",IF(AND(P658&gt;0,O658=0),"Pièces déclarées sans temps de marche",IF(AND(P658=0,O658&gt;0),"Aucune pièce déclarée",IF(P658*60/Q658&gt;O658+0.001,"Cadence dépassée : vérifiez la cadence","OK"))))))))))))))))))</f>
        <v/>
      </c>
      <c r="AC658">
        <f>IF(OR(AB658="OK",AB658="Aucune pièce déclarée",AB658="Cadence dépassée : vérifiez la cadence"),1,0)</f>
        <v>0.0</v>
      </c>
      <c r="AD658">
        <f>IF(AND(AC658=1,A658&gt;=p_from,A658&lt;=p_to),1,0)</f>
        <v>0.0</v>
      </c>
      <c r="AE658">
        <f>IF(AD658=1,IF(COUNTIFS($A$6:A658,A658,$AD$6:AD658,1)=1,1,0),0)</f>
        <v>0.0</v>
      </c>
      <c r="AF658" t="str">
        <f>IF(AE658=1,COUNTIFS(sj_first,1,sj_date,"&lt;"&amp;A658)+1,"")</f>
        <v/>
      </c>
      <c r="AG658" t="str">
        <f>IF(AND(AD658=1,N(W658)&lt;p_alert),ROUND(W658,4),"")</f>
        <v/>
      </c>
      <c r="AH658" t="str">
        <f>IF(AG658="","",COUNTIF(sj_akey,"&lt;"&amp;AG658)+COUNTIF($AG$6:AG658,AG658))</f>
        <v/>
      </c>
    </row>
    <row r="659">
      <c r="A659" s="51" t="n"/>
      <c r="B659" s="52" t="n"/>
      <c r="C659" s="52" t="n"/>
      <c r="D659" s="53" t="n"/>
      <c r="E659" s="53" t="n"/>
      <c r="F659" s="54" t="n"/>
      <c r="G659" s="54" t="n"/>
      <c r="H659" s="54" t="n"/>
      <c r="I659" s="54" t="n"/>
      <c r="J659" s="53" t="n"/>
      <c r="K659" s="55" t="str">
        <f>IF(COUNTA(A659:I659)=0,"",IF(F659="",IFERROR(INDEX(eq_dur,MATCH(B659,eq_code,0)),""),F659))</f>
        <v/>
      </c>
      <c r="L659" s="55" t="str">
        <f>IF(ISNUMBER(K659),N(IFERROR(INDEX(eq_pause,MATCH(B659,eq_code,0)),0))+SUMIFS(st_min,st_date,A659,st_eq,B659,st_po,C659,st_type,"Planifié"),"")</f>
        <v/>
      </c>
      <c r="M659" s="55" t="str">
        <f>IF(ISNUMBER(K659),K659-L659,"")</f>
        <v/>
      </c>
      <c r="N659" s="55" t="str">
        <f>IF(ISNUMBER(K659),SUMIFS(st_min,st_date,A659,st_eq,B659,st_po,C659,st_type,"Non planifié"),"")</f>
        <v/>
      </c>
      <c r="O659" s="55" t="str">
        <f>IF(ISNUMBER(K659),M659-N659,"")</f>
        <v/>
      </c>
      <c r="P659" s="55" t="str">
        <f>IF(COUNTA(A659:I659)=0,"",N(G659)+N(H659)+N(I659))</f>
        <v/>
      </c>
      <c r="Q659" s="56" t="str">
        <f>IF(COUNTA(A659:I659)=0,"",IF(N(IFERROR(INDEX(art_rate,MATCH(E659,art_ref,0)),0))&gt;0,N(IFERROR(INDEX(art_rate,MATCH(E659,art_ref,0)),0)),N(IFERROR(INDEX(po_rate,MATCH(C659,po_code,0)),0))))</f>
        <v/>
      </c>
      <c r="R659" s="55" t="str">
        <f>IF(AC659=1,P659*60/Q659,"")</f>
        <v/>
      </c>
      <c r="S659" s="55" t="str">
        <f>IF(AC659=1,N(G659)*60/Q659,"")</f>
        <v/>
      </c>
      <c r="T659" s="57" t="str">
        <f>IF(AC659=1,O659/M659,"")</f>
        <v/>
      </c>
      <c r="U659" s="57" t="str">
        <f>IF(AC659=1,IF(O659&gt;0,R659/O659,""),"")</f>
        <v/>
      </c>
      <c r="V659" s="57" t="str">
        <f>IF(AC659=1,IF(P659&gt;0,N(G659)/P659,""),"")</f>
        <v/>
      </c>
      <c r="W659" s="57" t="str">
        <f>IF(AC659=1,S659/M659,"")</f>
        <v/>
      </c>
      <c r="X659" s="57" t="str">
        <f>IF(AC659=1,S659/K659,"")</f>
        <v/>
      </c>
      <c r="Y659" s="58" t="str">
        <f>IF(W659="","",IF(W659&gt;=p_target,"Bon",IF(W659&gt;=p_alert,"À surveiller","Faible")))</f>
        <v/>
      </c>
      <c r="Z659" s="58" t="str">
        <f>IF(W659="","",IF(MIN(IF(T659="",1,T659),IF(U659="",1,U659),IF(V659="",1,V659))&gt;=1,"Aucune",IF(IF(T659="",1,T659)&lt;=MIN(IF(U659="",1,U659),IF(V659="",1,V659)),"Disponibilité",IF(IF(U659="",1,U659)&lt;=IF(V659="",1,V659),"Performance","Qualité"))))</f>
        <v/>
      </c>
      <c r="AA659" s="59" t="str">
        <f>IF(AC659=1,N(H659)*N(IFERROR(INDEX(art_cost,MATCH(E659,art_ref,0)),0)),"")</f>
        <v/>
      </c>
      <c r="AB659" s="58" t="str">
        <f>IF(COUNTA(A659:I659)=0,"",IF(N(A659)&lt;=0,"Date manquante ou invalide",IF(B659="","Équipe manquante",IF(ISNA(MATCH(B659,eq_code,0)),"Équipe inconnue",IF(INDEX(eq_check,MATCH(B659,eq_code,0))&lt;&gt;"OK","Équipe à corriger dans Paramètres",IF(C659="","Poste manquant",IF(ISNA(MATCH(C659,po_code,0)),"Poste inconnu",IF(AND(E659&lt;&gt;"",ISNA(MATCH(E659,art_ref,0))),"Article inconnu",IF(IF(E659="",FALSE,INDEX(art_check,MATCH(E659,art_ref,0))&lt;&gt;"OK"),"Article à corriger (feuille Articles)",IF(COUNTIFS(sj_date,A659,sj_eq,B659,sj_po,C659)&gt;1,"Ligne en double (même jour, équipe et poste)",IF(OR(NOT(ISNUMBER(K659)),N(K659)&lt;=0,N(K659)&gt;1440),"Temps d'ouverture invalide",IF(OR(AND(G659&lt;&gt;"",NOT(ISNUMBER(G659))),N(G659)&lt;0,N(G659)&lt;&gt;INT(N(G659)),AND(H659&lt;&gt;"",NOT(ISNUMBER(H659))),N(H659)&lt;0,N(H659)&lt;&gt;INT(N(H659)),AND(I659&lt;&gt;"",NOT(ISNUMBER(I659))),N(I659)&lt;0,N(I659)&lt;&gt;INT(N(I659))),"Quantité invalide",IF(Q659&lt;=0,"Cadence manquante (poste ou article)",IF(M659&lt;=0,"Arrêts planifiés supérieurs au temps d'ouverture",IF(O659&lt;0,"Arrêts supérieurs au temps requis",IF(AND(P659&gt;0,O659=0),"Pièces déclarées sans temps de marche",IF(AND(P659=0,O659&gt;0),"Aucune pièce déclarée",IF(P659*60/Q659&gt;O659+0.001,"Cadence dépassée : vérifiez la cadence","OK"))))))))))))))))))</f>
        <v/>
      </c>
      <c r="AC659">
        <f>IF(OR(AB659="OK",AB659="Aucune pièce déclarée",AB659="Cadence dépassée : vérifiez la cadence"),1,0)</f>
        <v>0.0</v>
      </c>
      <c r="AD659">
        <f>IF(AND(AC659=1,A659&gt;=p_from,A659&lt;=p_to),1,0)</f>
        <v>0.0</v>
      </c>
      <c r="AE659">
        <f>IF(AD659=1,IF(COUNTIFS($A$6:A659,A659,$AD$6:AD659,1)=1,1,0),0)</f>
        <v>0.0</v>
      </c>
      <c r="AF659" t="str">
        <f>IF(AE659=1,COUNTIFS(sj_first,1,sj_date,"&lt;"&amp;A659)+1,"")</f>
        <v/>
      </c>
      <c r="AG659" t="str">
        <f>IF(AND(AD659=1,N(W659)&lt;p_alert),ROUND(W659,4),"")</f>
        <v/>
      </c>
      <c r="AH659" t="str">
        <f>IF(AG659="","",COUNTIF(sj_akey,"&lt;"&amp;AG659)+COUNTIF($AG$6:AG659,AG659))</f>
        <v/>
      </c>
    </row>
    <row r="660">
      <c r="A660" s="51" t="n"/>
      <c r="B660" s="52" t="n"/>
      <c r="C660" s="52" t="n"/>
      <c r="D660" s="53" t="n"/>
      <c r="E660" s="53" t="n"/>
      <c r="F660" s="54" t="n"/>
      <c r="G660" s="54" t="n"/>
      <c r="H660" s="54" t="n"/>
      <c r="I660" s="54" t="n"/>
      <c r="J660" s="53" t="n"/>
      <c r="K660" s="55" t="str">
        <f>IF(COUNTA(A660:I660)=0,"",IF(F660="",IFERROR(INDEX(eq_dur,MATCH(B660,eq_code,0)),""),F660))</f>
        <v/>
      </c>
      <c r="L660" s="55" t="str">
        <f>IF(ISNUMBER(K660),N(IFERROR(INDEX(eq_pause,MATCH(B660,eq_code,0)),0))+SUMIFS(st_min,st_date,A660,st_eq,B660,st_po,C660,st_type,"Planifié"),"")</f>
        <v/>
      </c>
      <c r="M660" s="55" t="str">
        <f>IF(ISNUMBER(K660),K660-L660,"")</f>
        <v/>
      </c>
      <c r="N660" s="55" t="str">
        <f>IF(ISNUMBER(K660),SUMIFS(st_min,st_date,A660,st_eq,B660,st_po,C660,st_type,"Non planifié"),"")</f>
        <v/>
      </c>
      <c r="O660" s="55" t="str">
        <f>IF(ISNUMBER(K660),M660-N660,"")</f>
        <v/>
      </c>
      <c r="P660" s="55" t="str">
        <f>IF(COUNTA(A660:I660)=0,"",N(G660)+N(H660)+N(I660))</f>
        <v/>
      </c>
      <c r="Q660" s="56" t="str">
        <f>IF(COUNTA(A660:I660)=0,"",IF(N(IFERROR(INDEX(art_rate,MATCH(E660,art_ref,0)),0))&gt;0,N(IFERROR(INDEX(art_rate,MATCH(E660,art_ref,0)),0)),N(IFERROR(INDEX(po_rate,MATCH(C660,po_code,0)),0))))</f>
        <v/>
      </c>
      <c r="R660" s="55" t="str">
        <f>IF(AC660=1,P660*60/Q660,"")</f>
        <v/>
      </c>
      <c r="S660" s="55" t="str">
        <f>IF(AC660=1,N(G660)*60/Q660,"")</f>
        <v/>
      </c>
      <c r="T660" s="57" t="str">
        <f>IF(AC660=1,O660/M660,"")</f>
        <v/>
      </c>
      <c r="U660" s="57" t="str">
        <f>IF(AC660=1,IF(O660&gt;0,R660/O660,""),"")</f>
        <v/>
      </c>
      <c r="V660" s="57" t="str">
        <f>IF(AC660=1,IF(P660&gt;0,N(G660)/P660,""),"")</f>
        <v/>
      </c>
      <c r="W660" s="57" t="str">
        <f>IF(AC660=1,S660/M660,"")</f>
        <v/>
      </c>
      <c r="X660" s="57" t="str">
        <f>IF(AC660=1,S660/K660,"")</f>
        <v/>
      </c>
      <c r="Y660" s="58" t="str">
        <f>IF(W660="","",IF(W660&gt;=p_target,"Bon",IF(W660&gt;=p_alert,"À surveiller","Faible")))</f>
        <v/>
      </c>
      <c r="Z660" s="58" t="str">
        <f>IF(W660="","",IF(MIN(IF(T660="",1,T660),IF(U660="",1,U660),IF(V660="",1,V660))&gt;=1,"Aucune",IF(IF(T660="",1,T660)&lt;=MIN(IF(U660="",1,U660),IF(V660="",1,V660)),"Disponibilité",IF(IF(U660="",1,U660)&lt;=IF(V660="",1,V660),"Performance","Qualité"))))</f>
        <v/>
      </c>
      <c r="AA660" s="59" t="str">
        <f>IF(AC660=1,N(H660)*N(IFERROR(INDEX(art_cost,MATCH(E660,art_ref,0)),0)),"")</f>
        <v/>
      </c>
      <c r="AB660" s="58" t="str">
        <f>IF(COUNTA(A660:I660)=0,"",IF(N(A660)&lt;=0,"Date manquante ou invalide",IF(B660="","Équipe manquante",IF(ISNA(MATCH(B660,eq_code,0)),"Équipe inconnue",IF(INDEX(eq_check,MATCH(B660,eq_code,0))&lt;&gt;"OK","Équipe à corriger dans Paramètres",IF(C660="","Poste manquant",IF(ISNA(MATCH(C660,po_code,0)),"Poste inconnu",IF(AND(E660&lt;&gt;"",ISNA(MATCH(E660,art_ref,0))),"Article inconnu",IF(IF(E660="",FALSE,INDEX(art_check,MATCH(E660,art_ref,0))&lt;&gt;"OK"),"Article à corriger (feuille Articles)",IF(COUNTIFS(sj_date,A660,sj_eq,B660,sj_po,C660)&gt;1,"Ligne en double (même jour, équipe et poste)",IF(OR(NOT(ISNUMBER(K660)),N(K660)&lt;=0,N(K660)&gt;1440),"Temps d'ouverture invalide",IF(OR(AND(G660&lt;&gt;"",NOT(ISNUMBER(G660))),N(G660)&lt;0,N(G660)&lt;&gt;INT(N(G660)),AND(H660&lt;&gt;"",NOT(ISNUMBER(H660))),N(H660)&lt;0,N(H660)&lt;&gt;INT(N(H660)),AND(I660&lt;&gt;"",NOT(ISNUMBER(I660))),N(I660)&lt;0,N(I660)&lt;&gt;INT(N(I660))),"Quantité invalide",IF(Q660&lt;=0,"Cadence manquante (poste ou article)",IF(M660&lt;=0,"Arrêts planifiés supérieurs au temps d'ouverture",IF(O660&lt;0,"Arrêts supérieurs au temps requis",IF(AND(P660&gt;0,O660=0),"Pièces déclarées sans temps de marche",IF(AND(P660=0,O660&gt;0),"Aucune pièce déclarée",IF(P660*60/Q660&gt;O660+0.001,"Cadence dépassée : vérifiez la cadence","OK"))))))))))))))))))</f>
        <v/>
      </c>
      <c r="AC660">
        <f>IF(OR(AB660="OK",AB660="Aucune pièce déclarée",AB660="Cadence dépassée : vérifiez la cadence"),1,0)</f>
        <v>0.0</v>
      </c>
      <c r="AD660">
        <f>IF(AND(AC660=1,A660&gt;=p_from,A660&lt;=p_to),1,0)</f>
        <v>0.0</v>
      </c>
      <c r="AE660">
        <f>IF(AD660=1,IF(COUNTIFS($A$6:A660,A660,$AD$6:AD660,1)=1,1,0),0)</f>
        <v>0.0</v>
      </c>
      <c r="AF660" t="str">
        <f>IF(AE660=1,COUNTIFS(sj_first,1,sj_date,"&lt;"&amp;A660)+1,"")</f>
        <v/>
      </c>
      <c r="AG660" t="str">
        <f>IF(AND(AD660=1,N(W660)&lt;p_alert),ROUND(W660,4),"")</f>
        <v/>
      </c>
      <c r="AH660" t="str">
        <f>IF(AG660="","",COUNTIF(sj_akey,"&lt;"&amp;AG660)+COUNTIF($AG$6:AG660,AG660))</f>
        <v/>
      </c>
    </row>
    <row r="661">
      <c r="A661" s="51" t="n"/>
      <c r="B661" s="52" t="n"/>
      <c r="C661" s="52" t="n"/>
      <c r="D661" s="53" t="n"/>
      <c r="E661" s="53" t="n"/>
      <c r="F661" s="54" t="n"/>
      <c r="G661" s="54" t="n"/>
      <c r="H661" s="54" t="n"/>
      <c r="I661" s="54" t="n"/>
      <c r="J661" s="53" t="n"/>
      <c r="K661" s="55" t="str">
        <f>IF(COUNTA(A661:I661)=0,"",IF(F661="",IFERROR(INDEX(eq_dur,MATCH(B661,eq_code,0)),""),F661))</f>
        <v/>
      </c>
      <c r="L661" s="55" t="str">
        <f>IF(ISNUMBER(K661),N(IFERROR(INDEX(eq_pause,MATCH(B661,eq_code,0)),0))+SUMIFS(st_min,st_date,A661,st_eq,B661,st_po,C661,st_type,"Planifié"),"")</f>
        <v/>
      </c>
      <c r="M661" s="55" t="str">
        <f>IF(ISNUMBER(K661),K661-L661,"")</f>
        <v/>
      </c>
      <c r="N661" s="55" t="str">
        <f>IF(ISNUMBER(K661),SUMIFS(st_min,st_date,A661,st_eq,B661,st_po,C661,st_type,"Non planifié"),"")</f>
        <v/>
      </c>
      <c r="O661" s="55" t="str">
        <f>IF(ISNUMBER(K661),M661-N661,"")</f>
        <v/>
      </c>
      <c r="P661" s="55" t="str">
        <f>IF(COUNTA(A661:I661)=0,"",N(G661)+N(H661)+N(I661))</f>
        <v/>
      </c>
      <c r="Q661" s="56" t="str">
        <f>IF(COUNTA(A661:I661)=0,"",IF(N(IFERROR(INDEX(art_rate,MATCH(E661,art_ref,0)),0))&gt;0,N(IFERROR(INDEX(art_rate,MATCH(E661,art_ref,0)),0)),N(IFERROR(INDEX(po_rate,MATCH(C661,po_code,0)),0))))</f>
        <v/>
      </c>
      <c r="R661" s="55" t="str">
        <f>IF(AC661=1,P661*60/Q661,"")</f>
        <v/>
      </c>
      <c r="S661" s="55" t="str">
        <f>IF(AC661=1,N(G661)*60/Q661,"")</f>
        <v/>
      </c>
      <c r="T661" s="57" t="str">
        <f>IF(AC661=1,O661/M661,"")</f>
        <v/>
      </c>
      <c r="U661" s="57" t="str">
        <f>IF(AC661=1,IF(O661&gt;0,R661/O661,""),"")</f>
        <v/>
      </c>
      <c r="V661" s="57" t="str">
        <f>IF(AC661=1,IF(P661&gt;0,N(G661)/P661,""),"")</f>
        <v/>
      </c>
      <c r="W661" s="57" t="str">
        <f>IF(AC661=1,S661/M661,"")</f>
        <v/>
      </c>
      <c r="X661" s="57" t="str">
        <f>IF(AC661=1,S661/K661,"")</f>
        <v/>
      </c>
      <c r="Y661" s="58" t="str">
        <f>IF(W661="","",IF(W661&gt;=p_target,"Bon",IF(W661&gt;=p_alert,"À surveiller","Faible")))</f>
        <v/>
      </c>
      <c r="Z661" s="58" t="str">
        <f>IF(W661="","",IF(MIN(IF(T661="",1,T661),IF(U661="",1,U661),IF(V661="",1,V661))&gt;=1,"Aucune",IF(IF(T661="",1,T661)&lt;=MIN(IF(U661="",1,U661),IF(V661="",1,V661)),"Disponibilité",IF(IF(U661="",1,U661)&lt;=IF(V661="",1,V661),"Performance","Qualité"))))</f>
        <v/>
      </c>
      <c r="AA661" s="59" t="str">
        <f>IF(AC661=1,N(H661)*N(IFERROR(INDEX(art_cost,MATCH(E661,art_ref,0)),0)),"")</f>
        <v/>
      </c>
      <c r="AB661" s="58" t="str">
        <f>IF(COUNTA(A661:I661)=0,"",IF(N(A661)&lt;=0,"Date manquante ou invalide",IF(B661="","Équipe manquante",IF(ISNA(MATCH(B661,eq_code,0)),"Équipe inconnue",IF(INDEX(eq_check,MATCH(B661,eq_code,0))&lt;&gt;"OK","Équipe à corriger dans Paramètres",IF(C661="","Poste manquant",IF(ISNA(MATCH(C661,po_code,0)),"Poste inconnu",IF(AND(E661&lt;&gt;"",ISNA(MATCH(E661,art_ref,0))),"Article inconnu",IF(IF(E661="",FALSE,INDEX(art_check,MATCH(E661,art_ref,0))&lt;&gt;"OK"),"Article à corriger (feuille Articles)",IF(COUNTIFS(sj_date,A661,sj_eq,B661,sj_po,C661)&gt;1,"Ligne en double (même jour, équipe et poste)",IF(OR(NOT(ISNUMBER(K661)),N(K661)&lt;=0,N(K661)&gt;1440),"Temps d'ouverture invalide",IF(OR(AND(G661&lt;&gt;"",NOT(ISNUMBER(G661))),N(G661)&lt;0,N(G661)&lt;&gt;INT(N(G661)),AND(H661&lt;&gt;"",NOT(ISNUMBER(H661))),N(H661)&lt;0,N(H661)&lt;&gt;INT(N(H661)),AND(I661&lt;&gt;"",NOT(ISNUMBER(I661))),N(I661)&lt;0,N(I661)&lt;&gt;INT(N(I661))),"Quantité invalide",IF(Q661&lt;=0,"Cadence manquante (poste ou article)",IF(M661&lt;=0,"Arrêts planifiés supérieurs au temps d'ouverture",IF(O661&lt;0,"Arrêts supérieurs au temps requis",IF(AND(P661&gt;0,O661=0),"Pièces déclarées sans temps de marche",IF(AND(P661=0,O661&gt;0),"Aucune pièce déclarée",IF(P661*60/Q661&gt;O661+0.001,"Cadence dépassée : vérifiez la cadence","OK"))))))))))))))))))</f>
        <v/>
      </c>
      <c r="AC661">
        <f>IF(OR(AB661="OK",AB661="Aucune pièce déclarée",AB661="Cadence dépassée : vérifiez la cadence"),1,0)</f>
        <v>0.0</v>
      </c>
      <c r="AD661">
        <f>IF(AND(AC661=1,A661&gt;=p_from,A661&lt;=p_to),1,0)</f>
        <v>0.0</v>
      </c>
      <c r="AE661">
        <f>IF(AD661=1,IF(COUNTIFS($A$6:A661,A661,$AD$6:AD661,1)=1,1,0),0)</f>
        <v>0.0</v>
      </c>
      <c r="AF661" t="str">
        <f>IF(AE661=1,COUNTIFS(sj_first,1,sj_date,"&lt;"&amp;A661)+1,"")</f>
        <v/>
      </c>
      <c r="AG661" t="str">
        <f>IF(AND(AD661=1,N(W661)&lt;p_alert),ROUND(W661,4),"")</f>
        <v/>
      </c>
      <c r="AH661" t="str">
        <f>IF(AG661="","",COUNTIF(sj_akey,"&lt;"&amp;AG661)+COUNTIF($AG$6:AG661,AG661))</f>
        <v/>
      </c>
    </row>
    <row r="662">
      <c r="A662" s="51" t="n"/>
      <c r="B662" s="52" t="n"/>
      <c r="C662" s="52" t="n"/>
      <c r="D662" s="53" t="n"/>
      <c r="E662" s="53" t="n"/>
      <c r="F662" s="54" t="n"/>
      <c r="G662" s="54" t="n"/>
      <c r="H662" s="54" t="n"/>
      <c r="I662" s="54" t="n"/>
      <c r="J662" s="53" t="n"/>
      <c r="K662" s="55" t="str">
        <f>IF(COUNTA(A662:I662)=0,"",IF(F662="",IFERROR(INDEX(eq_dur,MATCH(B662,eq_code,0)),""),F662))</f>
        <v/>
      </c>
      <c r="L662" s="55" t="str">
        <f>IF(ISNUMBER(K662),N(IFERROR(INDEX(eq_pause,MATCH(B662,eq_code,0)),0))+SUMIFS(st_min,st_date,A662,st_eq,B662,st_po,C662,st_type,"Planifié"),"")</f>
        <v/>
      </c>
      <c r="M662" s="55" t="str">
        <f>IF(ISNUMBER(K662),K662-L662,"")</f>
        <v/>
      </c>
      <c r="N662" s="55" t="str">
        <f>IF(ISNUMBER(K662),SUMIFS(st_min,st_date,A662,st_eq,B662,st_po,C662,st_type,"Non planifié"),"")</f>
        <v/>
      </c>
      <c r="O662" s="55" t="str">
        <f>IF(ISNUMBER(K662),M662-N662,"")</f>
        <v/>
      </c>
      <c r="P662" s="55" t="str">
        <f>IF(COUNTA(A662:I662)=0,"",N(G662)+N(H662)+N(I662))</f>
        <v/>
      </c>
      <c r="Q662" s="56" t="str">
        <f>IF(COUNTA(A662:I662)=0,"",IF(N(IFERROR(INDEX(art_rate,MATCH(E662,art_ref,0)),0))&gt;0,N(IFERROR(INDEX(art_rate,MATCH(E662,art_ref,0)),0)),N(IFERROR(INDEX(po_rate,MATCH(C662,po_code,0)),0))))</f>
        <v/>
      </c>
      <c r="R662" s="55" t="str">
        <f>IF(AC662=1,P662*60/Q662,"")</f>
        <v/>
      </c>
      <c r="S662" s="55" t="str">
        <f>IF(AC662=1,N(G662)*60/Q662,"")</f>
        <v/>
      </c>
      <c r="T662" s="57" t="str">
        <f>IF(AC662=1,O662/M662,"")</f>
        <v/>
      </c>
      <c r="U662" s="57" t="str">
        <f>IF(AC662=1,IF(O662&gt;0,R662/O662,""),"")</f>
        <v/>
      </c>
      <c r="V662" s="57" t="str">
        <f>IF(AC662=1,IF(P662&gt;0,N(G662)/P662,""),"")</f>
        <v/>
      </c>
      <c r="W662" s="57" t="str">
        <f>IF(AC662=1,S662/M662,"")</f>
        <v/>
      </c>
      <c r="X662" s="57" t="str">
        <f>IF(AC662=1,S662/K662,"")</f>
        <v/>
      </c>
      <c r="Y662" s="58" t="str">
        <f>IF(W662="","",IF(W662&gt;=p_target,"Bon",IF(W662&gt;=p_alert,"À surveiller","Faible")))</f>
        <v/>
      </c>
      <c r="Z662" s="58" t="str">
        <f>IF(W662="","",IF(MIN(IF(T662="",1,T662),IF(U662="",1,U662),IF(V662="",1,V662))&gt;=1,"Aucune",IF(IF(T662="",1,T662)&lt;=MIN(IF(U662="",1,U662),IF(V662="",1,V662)),"Disponibilité",IF(IF(U662="",1,U662)&lt;=IF(V662="",1,V662),"Performance","Qualité"))))</f>
        <v/>
      </c>
      <c r="AA662" s="59" t="str">
        <f>IF(AC662=1,N(H662)*N(IFERROR(INDEX(art_cost,MATCH(E662,art_ref,0)),0)),"")</f>
        <v/>
      </c>
      <c r="AB662" s="58" t="str">
        <f>IF(COUNTA(A662:I662)=0,"",IF(N(A662)&lt;=0,"Date manquante ou invalide",IF(B662="","Équipe manquante",IF(ISNA(MATCH(B662,eq_code,0)),"Équipe inconnue",IF(INDEX(eq_check,MATCH(B662,eq_code,0))&lt;&gt;"OK","Équipe à corriger dans Paramètres",IF(C662="","Poste manquant",IF(ISNA(MATCH(C662,po_code,0)),"Poste inconnu",IF(AND(E662&lt;&gt;"",ISNA(MATCH(E662,art_ref,0))),"Article inconnu",IF(IF(E662="",FALSE,INDEX(art_check,MATCH(E662,art_ref,0))&lt;&gt;"OK"),"Article à corriger (feuille Articles)",IF(COUNTIFS(sj_date,A662,sj_eq,B662,sj_po,C662)&gt;1,"Ligne en double (même jour, équipe et poste)",IF(OR(NOT(ISNUMBER(K662)),N(K662)&lt;=0,N(K662)&gt;1440),"Temps d'ouverture invalide",IF(OR(AND(G662&lt;&gt;"",NOT(ISNUMBER(G662))),N(G662)&lt;0,N(G662)&lt;&gt;INT(N(G662)),AND(H662&lt;&gt;"",NOT(ISNUMBER(H662))),N(H662)&lt;0,N(H662)&lt;&gt;INT(N(H662)),AND(I662&lt;&gt;"",NOT(ISNUMBER(I662))),N(I662)&lt;0,N(I662)&lt;&gt;INT(N(I662))),"Quantité invalide",IF(Q662&lt;=0,"Cadence manquante (poste ou article)",IF(M662&lt;=0,"Arrêts planifiés supérieurs au temps d'ouverture",IF(O662&lt;0,"Arrêts supérieurs au temps requis",IF(AND(P662&gt;0,O662=0),"Pièces déclarées sans temps de marche",IF(AND(P662=0,O662&gt;0),"Aucune pièce déclarée",IF(P662*60/Q662&gt;O662+0.001,"Cadence dépassée : vérifiez la cadence","OK"))))))))))))))))))</f>
        <v/>
      </c>
      <c r="AC662">
        <f>IF(OR(AB662="OK",AB662="Aucune pièce déclarée",AB662="Cadence dépassée : vérifiez la cadence"),1,0)</f>
        <v>0.0</v>
      </c>
      <c r="AD662">
        <f>IF(AND(AC662=1,A662&gt;=p_from,A662&lt;=p_to),1,0)</f>
        <v>0.0</v>
      </c>
      <c r="AE662">
        <f>IF(AD662=1,IF(COUNTIFS($A$6:A662,A662,$AD$6:AD662,1)=1,1,0),0)</f>
        <v>0.0</v>
      </c>
      <c r="AF662" t="str">
        <f>IF(AE662=1,COUNTIFS(sj_first,1,sj_date,"&lt;"&amp;A662)+1,"")</f>
        <v/>
      </c>
      <c r="AG662" t="str">
        <f>IF(AND(AD662=1,N(W662)&lt;p_alert),ROUND(W662,4),"")</f>
        <v/>
      </c>
      <c r="AH662" t="str">
        <f>IF(AG662="","",COUNTIF(sj_akey,"&lt;"&amp;AG662)+COUNTIF($AG$6:AG662,AG662))</f>
        <v/>
      </c>
    </row>
    <row r="663">
      <c r="A663" s="51" t="n"/>
      <c r="B663" s="52" t="n"/>
      <c r="C663" s="52" t="n"/>
      <c r="D663" s="53" t="n"/>
      <c r="E663" s="53" t="n"/>
      <c r="F663" s="54" t="n"/>
      <c r="G663" s="54" t="n"/>
      <c r="H663" s="54" t="n"/>
      <c r="I663" s="54" t="n"/>
      <c r="J663" s="53" t="n"/>
      <c r="K663" s="55" t="str">
        <f>IF(COUNTA(A663:I663)=0,"",IF(F663="",IFERROR(INDEX(eq_dur,MATCH(B663,eq_code,0)),""),F663))</f>
        <v/>
      </c>
      <c r="L663" s="55" t="str">
        <f>IF(ISNUMBER(K663),N(IFERROR(INDEX(eq_pause,MATCH(B663,eq_code,0)),0))+SUMIFS(st_min,st_date,A663,st_eq,B663,st_po,C663,st_type,"Planifié"),"")</f>
        <v/>
      </c>
      <c r="M663" s="55" t="str">
        <f>IF(ISNUMBER(K663),K663-L663,"")</f>
        <v/>
      </c>
      <c r="N663" s="55" t="str">
        <f>IF(ISNUMBER(K663),SUMIFS(st_min,st_date,A663,st_eq,B663,st_po,C663,st_type,"Non planifié"),"")</f>
        <v/>
      </c>
      <c r="O663" s="55" t="str">
        <f>IF(ISNUMBER(K663),M663-N663,"")</f>
        <v/>
      </c>
      <c r="P663" s="55" t="str">
        <f>IF(COUNTA(A663:I663)=0,"",N(G663)+N(H663)+N(I663))</f>
        <v/>
      </c>
      <c r="Q663" s="56" t="str">
        <f>IF(COUNTA(A663:I663)=0,"",IF(N(IFERROR(INDEX(art_rate,MATCH(E663,art_ref,0)),0))&gt;0,N(IFERROR(INDEX(art_rate,MATCH(E663,art_ref,0)),0)),N(IFERROR(INDEX(po_rate,MATCH(C663,po_code,0)),0))))</f>
        <v/>
      </c>
      <c r="R663" s="55" t="str">
        <f>IF(AC663=1,P663*60/Q663,"")</f>
        <v/>
      </c>
      <c r="S663" s="55" t="str">
        <f>IF(AC663=1,N(G663)*60/Q663,"")</f>
        <v/>
      </c>
      <c r="T663" s="57" t="str">
        <f>IF(AC663=1,O663/M663,"")</f>
        <v/>
      </c>
      <c r="U663" s="57" t="str">
        <f>IF(AC663=1,IF(O663&gt;0,R663/O663,""),"")</f>
        <v/>
      </c>
      <c r="V663" s="57" t="str">
        <f>IF(AC663=1,IF(P663&gt;0,N(G663)/P663,""),"")</f>
        <v/>
      </c>
      <c r="W663" s="57" t="str">
        <f>IF(AC663=1,S663/M663,"")</f>
        <v/>
      </c>
      <c r="X663" s="57" t="str">
        <f>IF(AC663=1,S663/K663,"")</f>
        <v/>
      </c>
      <c r="Y663" s="58" t="str">
        <f>IF(W663="","",IF(W663&gt;=p_target,"Bon",IF(W663&gt;=p_alert,"À surveiller","Faible")))</f>
        <v/>
      </c>
      <c r="Z663" s="58" t="str">
        <f>IF(W663="","",IF(MIN(IF(T663="",1,T663),IF(U663="",1,U663),IF(V663="",1,V663))&gt;=1,"Aucune",IF(IF(T663="",1,T663)&lt;=MIN(IF(U663="",1,U663),IF(V663="",1,V663)),"Disponibilité",IF(IF(U663="",1,U663)&lt;=IF(V663="",1,V663),"Performance","Qualité"))))</f>
        <v/>
      </c>
      <c r="AA663" s="59" t="str">
        <f>IF(AC663=1,N(H663)*N(IFERROR(INDEX(art_cost,MATCH(E663,art_ref,0)),0)),"")</f>
        <v/>
      </c>
      <c r="AB663" s="58" t="str">
        <f>IF(COUNTA(A663:I663)=0,"",IF(N(A663)&lt;=0,"Date manquante ou invalide",IF(B663="","Équipe manquante",IF(ISNA(MATCH(B663,eq_code,0)),"Équipe inconnue",IF(INDEX(eq_check,MATCH(B663,eq_code,0))&lt;&gt;"OK","Équipe à corriger dans Paramètres",IF(C663="","Poste manquant",IF(ISNA(MATCH(C663,po_code,0)),"Poste inconnu",IF(AND(E663&lt;&gt;"",ISNA(MATCH(E663,art_ref,0))),"Article inconnu",IF(IF(E663="",FALSE,INDEX(art_check,MATCH(E663,art_ref,0))&lt;&gt;"OK"),"Article à corriger (feuille Articles)",IF(COUNTIFS(sj_date,A663,sj_eq,B663,sj_po,C663)&gt;1,"Ligne en double (même jour, équipe et poste)",IF(OR(NOT(ISNUMBER(K663)),N(K663)&lt;=0,N(K663)&gt;1440),"Temps d'ouverture invalide",IF(OR(AND(G663&lt;&gt;"",NOT(ISNUMBER(G663))),N(G663)&lt;0,N(G663)&lt;&gt;INT(N(G663)),AND(H663&lt;&gt;"",NOT(ISNUMBER(H663))),N(H663)&lt;0,N(H663)&lt;&gt;INT(N(H663)),AND(I663&lt;&gt;"",NOT(ISNUMBER(I663))),N(I663)&lt;0,N(I663)&lt;&gt;INT(N(I663))),"Quantité invalide",IF(Q663&lt;=0,"Cadence manquante (poste ou article)",IF(M663&lt;=0,"Arrêts planifiés supérieurs au temps d'ouverture",IF(O663&lt;0,"Arrêts supérieurs au temps requis",IF(AND(P663&gt;0,O663=0),"Pièces déclarées sans temps de marche",IF(AND(P663=0,O663&gt;0),"Aucune pièce déclarée",IF(P663*60/Q663&gt;O663+0.001,"Cadence dépassée : vérifiez la cadence","OK"))))))))))))))))))</f>
        <v/>
      </c>
      <c r="AC663">
        <f>IF(OR(AB663="OK",AB663="Aucune pièce déclarée",AB663="Cadence dépassée : vérifiez la cadence"),1,0)</f>
        <v>0.0</v>
      </c>
      <c r="AD663">
        <f>IF(AND(AC663=1,A663&gt;=p_from,A663&lt;=p_to),1,0)</f>
        <v>0.0</v>
      </c>
      <c r="AE663">
        <f>IF(AD663=1,IF(COUNTIFS($A$6:A663,A663,$AD$6:AD663,1)=1,1,0),0)</f>
        <v>0.0</v>
      </c>
      <c r="AF663" t="str">
        <f>IF(AE663=1,COUNTIFS(sj_first,1,sj_date,"&lt;"&amp;A663)+1,"")</f>
        <v/>
      </c>
      <c r="AG663" t="str">
        <f>IF(AND(AD663=1,N(W663)&lt;p_alert),ROUND(W663,4),"")</f>
        <v/>
      </c>
      <c r="AH663" t="str">
        <f>IF(AG663="","",COUNTIF(sj_akey,"&lt;"&amp;AG663)+COUNTIF($AG$6:AG663,AG663))</f>
        <v/>
      </c>
    </row>
    <row r="664">
      <c r="A664" s="51" t="n"/>
      <c r="B664" s="52" t="n"/>
      <c r="C664" s="52" t="n"/>
      <c r="D664" s="53" t="n"/>
      <c r="E664" s="53" t="n"/>
      <c r="F664" s="54" t="n"/>
      <c r="G664" s="54" t="n"/>
      <c r="H664" s="54" t="n"/>
      <c r="I664" s="54" t="n"/>
      <c r="J664" s="53" t="n"/>
      <c r="K664" s="55" t="str">
        <f>IF(COUNTA(A664:I664)=0,"",IF(F664="",IFERROR(INDEX(eq_dur,MATCH(B664,eq_code,0)),""),F664))</f>
        <v/>
      </c>
      <c r="L664" s="55" t="str">
        <f>IF(ISNUMBER(K664),N(IFERROR(INDEX(eq_pause,MATCH(B664,eq_code,0)),0))+SUMIFS(st_min,st_date,A664,st_eq,B664,st_po,C664,st_type,"Planifié"),"")</f>
        <v/>
      </c>
      <c r="M664" s="55" t="str">
        <f>IF(ISNUMBER(K664),K664-L664,"")</f>
        <v/>
      </c>
      <c r="N664" s="55" t="str">
        <f>IF(ISNUMBER(K664),SUMIFS(st_min,st_date,A664,st_eq,B664,st_po,C664,st_type,"Non planifié"),"")</f>
        <v/>
      </c>
      <c r="O664" s="55" t="str">
        <f>IF(ISNUMBER(K664),M664-N664,"")</f>
        <v/>
      </c>
      <c r="P664" s="55" t="str">
        <f>IF(COUNTA(A664:I664)=0,"",N(G664)+N(H664)+N(I664))</f>
        <v/>
      </c>
      <c r="Q664" s="56" t="str">
        <f>IF(COUNTA(A664:I664)=0,"",IF(N(IFERROR(INDEX(art_rate,MATCH(E664,art_ref,0)),0))&gt;0,N(IFERROR(INDEX(art_rate,MATCH(E664,art_ref,0)),0)),N(IFERROR(INDEX(po_rate,MATCH(C664,po_code,0)),0))))</f>
        <v/>
      </c>
      <c r="R664" s="55" t="str">
        <f>IF(AC664=1,P664*60/Q664,"")</f>
        <v/>
      </c>
      <c r="S664" s="55" t="str">
        <f>IF(AC664=1,N(G664)*60/Q664,"")</f>
        <v/>
      </c>
      <c r="T664" s="57" t="str">
        <f>IF(AC664=1,O664/M664,"")</f>
        <v/>
      </c>
      <c r="U664" s="57" t="str">
        <f>IF(AC664=1,IF(O664&gt;0,R664/O664,""),"")</f>
        <v/>
      </c>
      <c r="V664" s="57" t="str">
        <f>IF(AC664=1,IF(P664&gt;0,N(G664)/P664,""),"")</f>
        <v/>
      </c>
      <c r="W664" s="57" t="str">
        <f>IF(AC664=1,S664/M664,"")</f>
        <v/>
      </c>
      <c r="X664" s="57" t="str">
        <f>IF(AC664=1,S664/K664,"")</f>
        <v/>
      </c>
      <c r="Y664" s="58" t="str">
        <f>IF(W664="","",IF(W664&gt;=p_target,"Bon",IF(W664&gt;=p_alert,"À surveiller","Faible")))</f>
        <v/>
      </c>
      <c r="Z664" s="58" t="str">
        <f>IF(W664="","",IF(MIN(IF(T664="",1,T664),IF(U664="",1,U664),IF(V664="",1,V664))&gt;=1,"Aucune",IF(IF(T664="",1,T664)&lt;=MIN(IF(U664="",1,U664),IF(V664="",1,V664)),"Disponibilité",IF(IF(U664="",1,U664)&lt;=IF(V664="",1,V664),"Performance","Qualité"))))</f>
        <v/>
      </c>
      <c r="AA664" s="59" t="str">
        <f>IF(AC664=1,N(H664)*N(IFERROR(INDEX(art_cost,MATCH(E664,art_ref,0)),0)),"")</f>
        <v/>
      </c>
      <c r="AB664" s="58" t="str">
        <f>IF(COUNTA(A664:I664)=0,"",IF(N(A664)&lt;=0,"Date manquante ou invalide",IF(B664="","Équipe manquante",IF(ISNA(MATCH(B664,eq_code,0)),"Équipe inconnue",IF(INDEX(eq_check,MATCH(B664,eq_code,0))&lt;&gt;"OK","Équipe à corriger dans Paramètres",IF(C664="","Poste manquant",IF(ISNA(MATCH(C664,po_code,0)),"Poste inconnu",IF(AND(E664&lt;&gt;"",ISNA(MATCH(E664,art_ref,0))),"Article inconnu",IF(IF(E664="",FALSE,INDEX(art_check,MATCH(E664,art_ref,0))&lt;&gt;"OK"),"Article à corriger (feuille Articles)",IF(COUNTIFS(sj_date,A664,sj_eq,B664,sj_po,C664)&gt;1,"Ligne en double (même jour, équipe et poste)",IF(OR(NOT(ISNUMBER(K664)),N(K664)&lt;=0,N(K664)&gt;1440),"Temps d'ouverture invalide",IF(OR(AND(G664&lt;&gt;"",NOT(ISNUMBER(G664))),N(G664)&lt;0,N(G664)&lt;&gt;INT(N(G664)),AND(H664&lt;&gt;"",NOT(ISNUMBER(H664))),N(H664)&lt;0,N(H664)&lt;&gt;INT(N(H664)),AND(I664&lt;&gt;"",NOT(ISNUMBER(I664))),N(I664)&lt;0,N(I664)&lt;&gt;INT(N(I664))),"Quantité invalide",IF(Q664&lt;=0,"Cadence manquante (poste ou article)",IF(M664&lt;=0,"Arrêts planifiés supérieurs au temps d'ouverture",IF(O664&lt;0,"Arrêts supérieurs au temps requis",IF(AND(P664&gt;0,O664=0),"Pièces déclarées sans temps de marche",IF(AND(P664=0,O664&gt;0),"Aucune pièce déclarée",IF(P664*60/Q664&gt;O664+0.001,"Cadence dépassée : vérifiez la cadence","OK"))))))))))))))))))</f>
        <v/>
      </c>
      <c r="AC664">
        <f>IF(OR(AB664="OK",AB664="Aucune pièce déclarée",AB664="Cadence dépassée : vérifiez la cadence"),1,0)</f>
        <v>0.0</v>
      </c>
      <c r="AD664">
        <f>IF(AND(AC664=1,A664&gt;=p_from,A664&lt;=p_to),1,0)</f>
        <v>0.0</v>
      </c>
      <c r="AE664">
        <f>IF(AD664=1,IF(COUNTIFS($A$6:A664,A664,$AD$6:AD664,1)=1,1,0),0)</f>
        <v>0.0</v>
      </c>
      <c r="AF664" t="str">
        <f>IF(AE664=1,COUNTIFS(sj_first,1,sj_date,"&lt;"&amp;A664)+1,"")</f>
        <v/>
      </c>
      <c r="AG664" t="str">
        <f>IF(AND(AD664=1,N(W664)&lt;p_alert),ROUND(W664,4),"")</f>
        <v/>
      </c>
      <c r="AH664" t="str">
        <f>IF(AG664="","",COUNTIF(sj_akey,"&lt;"&amp;AG664)+COUNTIF($AG$6:AG664,AG664))</f>
        <v/>
      </c>
    </row>
    <row r="665">
      <c r="A665" s="51" t="n"/>
      <c r="B665" s="52" t="n"/>
      <c r="C665" s="52" t="n"/>
      <c r="D665" s="53" t="n"/>
      <c r="E665" s="53" t="n"/>
      <c r="F665" s="54" t="n"/>
      <c r="G665" s="54" t="n"/>
      <c r="H665" s="54" t="n"/>
      <c r="I665" s="54" t="n"/>
      <c r="J665" s="53" t="n"/>
      <c r="K665" s="55" t="str">
        <f>IF(COUNTA(A665:I665)=0,"",IF(F665="",IFERROR(INDEX(eq_dur,MATCH(B665,eq_code,0)),""),F665))</f>
        <v/>
      </c>
      <c r="L665" s="55" t="str">
        <f>IF(ISNUMBER(K665),N(IFERROR(INDEX(eq_pause,MATCH(B665,eq_code,0)),0))+SUMIFS(st_min,st_date,A665,st_eq,B665,st_po,C665,st_type,"Planifié"),"")</f>
        <v/>
      </c>
      <c r="M665" s="55" t="str">
        <f>IF(ISNUMBER(K665),K665-L665,"")</f>
        <v/>
      </c>
      <c r="N665" s="55" t="str">
        <f>IF(ISNUMBER(K665),SUMIFS(st_min,st_date,A665,st_eq,B665,st_po,C665,st_type,"Non planifié"),"")</f>
        <v/>
      </c>
      <c r="O665" s="55" t="str">
        <f>IF(ISNUMBER(K665),M665-N665,"")</f>
        <v/>
      </c>
      <c r="P665" s="55" t="str">
        <f>IF(COUNTA(A665:I665)=0,"",N(G665)+N(H665)+N(I665))</f>
        <v/>
      </c>
      <c r="Q665" s="56" t="str">
        <f>IF(COUNTA(A665:I665)=0,"",IF(N(IFERROR(INDEX(art_rate,MATCH(E665,art_ref,0)),0))&gt;0,N(IFERROR(INDEX(art_rate,MATCH(E665,art_ref,0)),0)),N(IFERROR(INDEX(po_rate,MATCH(C665,po_code,0)),0))))</f>
        <v/>
      </c>
      <c r="R665" s="55" t="str">
        <f>IF(AC665=1,P665*60/Q665,"")</f>
        <v/>
      </c>
      <c r="S665" s="55" t="str">
        <f>IF(AC665=1,N(G665)*60/Q665,"")</f>
        <v/>
      </c>
      <c r="T665" s="57" t="str">
        <f>IF(AC665=1,O665/M665,"")</f>
        <v/>
      </c>
      <c r="U665" s="57" t="str">
        <f>IF(AC665=1,IF(O665&gt;0,R665/O665,""),"")</f>
        <v/>
      </c>
      <c r="V665" s="57" t="str">
        <f>IF(AC665=1,IF(P665&gt;0,N(G665)/P665,""),"")</f>
        <v/>
      </c>
      <c r="W665" s="57" t="str">
        <f>IF(AC665=1,S665/M665,"")</f>
        <v/>
      </c>
      <c r="X665" s="57" t="str">
        <f>IF(AC665=1,S665/K665,"")</f>
        <v/>
      </c>
      <c r="Y665" s="58" t="str">
        <f>IF(W665="","",IF(W665&gt;=p_target,"Bon",IF(W665&gt;=p_alert,"À surveiller","Faible")))</f>
        <v/>
      </c>
      <c r="Z665" s="58" t="str">
        <f>IF(W665="","",IF(MIN(IF(T665="",1,T665),IF(U665="",1,U665),IF(V665="",1,V665))&gt;=1,"Aucune",IF(IF(T665="",1,T665)&lt;=MIN(IF(U665="",1,U665),IF(V665="",1,V665)),"Disponibilité",IF(IF(U665="",1,U665)&lt;=IF(V665="",1,V665),"Performance","Qualité"))))</f>
        <v/>
      </c>
      <c r="AA665" s="59" t="str">
        <f>IF(AC665=1,N(H665)*N(IFERROR(INDEX(art_cost,MATCH(E665,art_ref,0)),0)),"")</f>
        <v/>
      </c>
      <c r="AB665" s="58" t="str">
        <f>IF(COUNTA(A665:I665)=0,"",IF(N(A665)&lt;=0,"Date manquante ou invalide",IF(B665="","Équipe manquante",IF(ISNA(MATCH(B665,eq_code,0)),"Équipe inconnue",IF(INDEX(eq_check,MATCH(B665,eq_code,0))&lt;&gt;"OK","Équipe à corriger dans Paramètres",IF(C665="","Poste manquant",IF(ISNA(MATCH(C665,po_code,0)),"Poste inconnu",IF(AND(E665&lt;&gt;"",ISNA(MATCH(E665,art_ref,0))),"Article inconnu",IF(IF(E665="",FALSE,INDEX(art_check,MATCH(E665,art_ref,0))&lt;&gt;"OK"),"Article à corriger (feuille Articles)",IF(COUNTIFS(sj_date,A665,sj_eq,B665,sj_po,C665)&gt;1,"Ligne en double (même jour, équipe et poste)",IF(OR(NOT(ISNUMBER(K665)),N(K665)&lt;=0,N(K665)&gt;1440),"Temps d'ouverture invalide",IF(OR(AND(G665&lt;&gt;"",NOT(ISNUMBER(G665))),N(G665)&lt;0,N(G665)&lt;&gt;INT(N(G665)),AND(H665&lt;&gt;"",NOT(ISNUMBER(H665))),N(H665)&lt;0,N(H665)&lt;&gt;INT(N(H665)),AND(I665&lt;&gt;"",NOT(ISNUMBER(I665))),N(I665)&lt;0,N(I665)&lt;&gt;INT(N(I665))),"Quantité invalide",IF(Q665&lt;=0,"Cadence manquante (poste ou article)",IF(M665&lt;=0,"Arrêts planifiés supérieurs au temps d'ouverture",IF(O665&lt;0,"Arrêts supérieurs au temps requis",IF(AND(P665&gt;0,O665=0),"Pièces déclarées sans temps de marche",IF(AND(P665=0,O665&gt;0),"Aucune pièce déclarée",IF(P665*60/Q665&gt;O665+0.001,"Cadence dépassée : vérifiez la cadence","OK"))))))))))))))))))</f>
        <v/>
      </c>
      <c r="AC665">
        <f>IF(OR(AB665="OK",AB665="Aucune pièce déclarée",AB665="Cadence dépassée : vérifiez la cadence"),1,0)</f>
        <v>0.0</v>
      </c>
      <c r="AD665">
        <f>IF(AND(AC665=1,A665&gt;=p_from,A665&lt;=p_to),1,0)</f>
        <v>0.0</v>
      </c>
      <c r="AE665">
        <f>IF(AD665=1,IF(COUNTIFS($A$6:A665,A665,$AD$6:AD665,1)=1,1,0),0)</f>
        <v>0.0</v>
      </c>
      <c r="AF665" t="str">
        <f>IF(AE665=1,COUNTIFS(sj_first,1,sj_date,"&lt;"&amp;A665)+1,"")</f>
        <v/>
      </c>
      <c r="AG665" t="str">
        <f>IF(AND(AD665=1,N(W665)&lt;p_alert),ROUND(W665,4),"")</f>
        <v/>
      </c>
      <c r="AH665" t="str">
        <f>IF(AG665="","",COUNTIF(sj_akey,"&lt;"&amp;AG665)+COUNTIF($AG$6:AG665,AG665))</f>
        <v/>
      </c>
    </row>
    <row r="666">
      <c r="A666" s="51" t="n"/>
      <c r="B666" s="52" t="n"/>
      <c r="C666" s="52" t="n"/>
      <c r="D666" s="53" t="n"/>
      <c r="E666" s="53" t="n"/>
      <c r="F666" s="54" t="n"/>
      <c r="G666" s="54" t="n"/>
      <c r="H666" s="54" t="n"/>
      <c r="I666" s="54" t="n"/>
      <c r="J666" s="53" t="n"/>
      <c r="K666" s="55" t="str">
        <f>IF(COUNTA(A666:I666)=0,"",IF(F666="",IFERROR(INDEX(eq_dur,MATCH(B666,eq_code,0)),""),F666))</f>
        <v/>
      </c>
      <c r="L666" s="55" t="str">
        <f>IF(ISNUMBER(K666),N(IFERROR(INDEX(eq_pause,MATCH(B666,eq_code,0)),0))+SUMIFS(st_min,st_date,A666,st_eq,B666,st_po,C666,st_type,"Planifié"),"")</f>
        <v/>
      </c>
      <c r="M666" s="55" t="str">
        <f>IF(ISNUMBER(K666),K666-L666,"")</f>
        <v/>
      </c>
      <c r="N666" s="55" t="str">
        <f>IF(ISNUMBER(K666),SUMIFS(st_min,st_date,A666,st_eq,B666,st_po,C666,st_type,"Non planifié"),"")</f>
        <v/>
      </c>
      <c r="O666" s="55" t="str">
        <f>IF(ISNUMBER(K666),M666-N666,"")</f>
        <v/>
      </c>
      <c r="P666" s="55" t="str">
        <f>IF(COUNTA(A666:I666)=0,"",N(G666)+N(H666)+N(I666))</f>
        <v/>
      </c>
      <c r="Q666" s="56" t="str">
        <f>IF(COUNTA(A666:I666)=0,"",IF(N(IFERROR(INDEX(art_rate,MATCH(E666,art_ref,0)),0))&gt;0,N(IFERROR(INDEX(art_rate,MATCH(E666,art_ref,0)),0)),N(IFERROR(INDEX(po_rate,MATCH(C666,po_code,0)),0))))</f>
        <v/>
      </c>
      <c r="R666" s="55" t="str">
        <f>IF(AC666=1,P666*60/Q666,"")</f>
        <v/>
      </c>
      <c r="S666" s="55" t="str">
        <f>IF(AC666=1,N(G666)*60/Q666,"")</f>
        <v/>
      </c>
      <c r="T666" s="57" t="str">
        <f>IF(AC666=1,O666/M666,"")</f>
        <v/>
      </c>
      <c r="U666" s="57" t="str">
        <f>IF(AC666=1,IF(O666&gt;0,R666/O666,""),"")</f>
        <v/>
      </c>
      <c r="V666" s="57" t="str">
        <f>IF(AC666=1,IF(P666&gt;0,N(G666)/P666,""),"")</f>
        <v/>
      </c>
      <c r="W666" s="57" t="str">
        <f>IF(AC666=1,S666/M666,"")</f>
        <v/>
      </c>
      <c r="X666" s="57" t="str">
        <f>IF(AC666=1,S666/K666,"")</f>
        <v/>
      </c>
      <c r="Y666" s="58" t="str">
        <f>IF(W666="","",IF(W666&gt;=p_target,"Bon",IF(W666&gt;=p_alert,"À surveiller","Faible")))</f>
        <v/>
      </c>
      <c r="Z666" s="58" t="str">
        <f>IF(W666="","",IF(MIN(IF(T666="",1,T666),IF(U666="",1,U666),IF(V666="",1,V666))&gt;=1,"Aucune",IF(IF(T666="",1,T666)&lt;=MIN(IF(U666="",1,U666),IF(V666="",1,V666)),"Disponibilité",IF(IF(U666="",1,U666)&lt;=IF(V666="",1,V666),"Performance","Qualité"))))</f>
        <v/>
      </c>
      <c r="AA666" s="59" t="str">
        <f>IF(AC666=1,N(H666)*N(IFERROR(INDEX(art_cost,MATCH(E666,art_ref,0)),0)),"")</f>
        <v/>
      </c>
      <c r="AB666" s="58" t="str">
        <f>IF(COUNTA(A666:I666)=0,"",IF(N(A666)&lt;=0,"Date manquante ou invalide",IF(B666="","Équipe manquante",IF(ISNA(MATCH(B666,eq_code,0)),"Équipe inconnue",IF(INDEX(eq_check,MATCH(B666,eq_code,0))&lt;&gt;"OK","Équipe à corriger dans Paramètres",IF(C666="","Poste manquant",IF(ISNA(MATCH(C666,po_code,0)),"Poste inconnu",IF(AND(E666&lt;&gt;"",ISNA(MATCH(E666,art_ref,0))),"Article inconnu",IF(IF(E666="",FALSE,INDEX(art_check,MATCH(E666,art_ref,0))&lt;&gt;"OK"),"Article à corriger (feuille Articles)",IF(COUNTIFS(sj_date,A666,sj_eq,B666,sj_po,C666)&gt;1,"Ligne en double (même jour, équipe et poste)",IF(OR(NOT(ISNUMBER(K666)),N(K666)&lt;=0,N(K666)&gt;1440),"Temps d'ouverture invalide",IF(OR(AND(G666&lt;&gt;"",NOT(ISNUMBER(G666))),N(G666)&lt;0,N(G666)&lt;&gt;INT(N(G666)),AND(H666&lt;&gt;"",NOT(ISNUMBER(H666))),N(H666)&lt;0,N(H666)&lt;&gt;INT(N(H666)),AND(I666&lt;&gt;"",NOT(ISNUMBER(I666))),N(I666)&lt;0,N(I666)&lt;&gt;INT(N(I666))),"Quantité invalide",IF(Q666&lt;=0,"Cadence manquante (poste ou article)",IF(M666&lt;=0,"Arrêts planifiés supérieurs au temps d'ouverture",IF(O666&lt;0,"Arrêts supérieurs au temps requis",IF(AND(P666&gt;0,O666=0),"Pièces déclarées sans temps de marche",IF(AND(P666=0,O666&gt;0),"Aucune pièce déclarée",IF(P666*60/Q666&gt;O666+0.001,"Cadence dépassée : vérifiez la cadence","OK"))))))))))))))))))</f>
        <v/>
      </c>
      <c r="AC666">
        <f>IF(OR(AB666="OK",AB666="Aucune pièce déclarée",AB666="Cadence dépassée : vérifiez la cadence"),1,0)</f>
        <v>0.0</v>
      </c>
      <c r="AD666">
        <f>IF(AND(AC666=1,A666&gt;=p_from,A666&lt;=p_to),1,0)</f>
        <v>0.0</v>
      </c>
      <c r="AE666">
        <f>IF(AD666=1,IF(COUNTIFS($A$6:A666,A666,$AD$6:AD666,1)=1,1,0),0)</f>
        <v>0.0</v>
      </c>
      <c r="AF666" t="str">
        <f>IF(AE666=1,COUNTIFS(sj_first,1,sj_date,"&lt;"&amp;A666)+1,"")</f>
        <v/>
      </c>
      <c r="AG666" t="str">
        <f>IF(AND(AD666=1,N(W666)&lt;p_alert),ROUND(W666,4),"")</f>
        <v/>
      </c>
      <c r="AH666" t="str">
        <f>IF(AG666="","",COUNTIF(sj_akey,"&lt;"&amp;AG666)+COUNTIF($AG$6:AG666,AG666))</f>
        <v/>
      </c>
    </row>
    <row r="667">
      <c r="A667" s="51" t="n"/>
      <c r="B667" s="52" t="n"/>
      <c r="C667" s="52" t="n"/>
      <c r="D667" s="53" t="n"/>
      <c r="E667" s="53" t="n"/>
      <c r="F667" s="54" t="n"/>
      <c r="G667" s="54" t="n"/>
      <c r="H667" s="54" t="n"/>
      <c r="I667" s="54" t="n"/>
      <c r="J667" s="53" t="n"/>
      <c r="K667" s="55" t="str">
        <f>IF(COUNTA(A667:I667)=0,"",IF(F667="",IFERROR(INDEX(eq_dur,MATCH(B667,eq_code,0)),""),F667))</f>
        <v/>
      </c>
      <c r="L667" s="55" t="str">
        <f>IF(ISNUMBER(K667),N(IFERROR(INDEX(eq_pause,MATCH(B667,eq_code,0)),0))+SUMIFS(st_min,st_date,A667,st_eq,B667,st_po,C667,st_type,"Planifié"),"")</f>
        <v/>
      </c>
      <c r="M667" s="55" t="str">
        <f>IF(ISNUMBER(K667),K667-L667,"")</f>
        <v/>
      </c>
      <c r="N667" s="55" t="str">
        <f>IF(ISNUMBER(K667),SUMIFS(st_min,st_date,A667,st_eq,B667,st_po,C667,st_type,"Non planifié"),"")</f>
        <v/>
      </c>
      <c r="O667" s="55" t="str">
        <f>IF(ISNUMBER(K667),M667-N667,"")</f>
        <v/>
      </c>
      <c r="P667" s="55" t="str">
        <f>IF(COUNTA(A667:I667)=0,"",N(G667)+N(H667)+N(I667))</f>
        <v/>
      </c>
      <c r="Q667" s="56" t="str">
        <f>IF(COUNTA(A667:I667)=0,"",IF(N(IFERROR(INDEX(art_rate,MATCH(E667,art_ref,0)),0))&gt;0,N(IFERROR(INDEX(art_rate,MATCH(E667,art_ref,0)),0)),N(IFERROR(INDEX(po_rate,MATCH(C667,po_code,0)),0))))</f>
        <v/>
      </c>
      <c r="R667" s="55" t="str">
        <f>IF(AC667=1,P667*60/Q667,"")</f>
        <v/>
      </c>
      <c r="S667" s="55" t="str">
        <f>IF(AC667=1,N(G667)*60/Q667,"")</f>
        <v/>
      </c>
      <c r="T667" s="57" t="str">
        <f>IF(AC667=1,O667/M667,"")</f>
        <v/>
      </c>
      <c r="U667" s="57" t="str">
        <f>IF(AC667=1,IF(O667&gt;0,R667/O667,""),"")</f>
        <v/>
      </c>
      <c r="V667" s="57" t="str">
        <f>IF(AC667=1,IF(P667&gt;0,N(G667)/P667,""),"")</f>
        <v/>
      </c>
      <c r="W667" s="57" t="str">
        <f>IF(AC667=1,S667/M667,"")</f>
        <v/>
      </c>
      <c r="X667" s="57" t="str">
        <f>IF(AC667=1,S667/K667,"")</f>
        <v/>
      </c>
      <c r="Y667" s="58" t="str">
        <f>IF(W667="","",IF(W667&gt;=p_target,"Bon",IF(W667&gt;=p_alert,"À surveiller","Faible")))</f>
        <v/>
      </c>
      <c r="Z667" s="58" t="str">
        <f>IF(W667="","",IF(MIN(IF(T667="",1,T667),IF(U667="",1,U667),IF(V667="",1,V667))&gt;=1,"Aucune",IF(IF(T667="",1,T667)&lt;=MIN(IF(U667="",1,U667),IF(V667="",1,V667)),"Disponibilité",IF(IF(U667="",1,U667)&lt;=IF(V667="",1,V667),"Performance","Qualité"))))</f>
        <v/>
      </c>
      <c r="AA667" s="59" t="str">
        <f>IF(AC667=1,N(H667)*N(IFERROR(INDEX(art_cost,MATCH(E667,art_ref,0)),0)),"")</f>
        <v/>
      </c>
      <c r="AB667" s="58" t="str">
        <f>IF(COUNTA(A667:I667)=0,"",IF(N(A667)&lt;=0,"Date manquante ou invalide",IF(B667="","Équipe manquante",IF(ISNA(MATCH(B667,eq_code,0)),"Équipe inconnue",IF(INDEX(eq_check,MATCH(B667,eq_code,0))&lt;&gt;"OK","Équipe à corriger dans Paramètres",IF(C667="","Poste manquant",IF(ISNA(MATCH(C667,po_code,0)),"Poste inconnu",IF(AND(E667&lt;&gt;"",ISNA(MATCH(E667,art_ref,0))),"Article inconnu",IF(IF(E667="",FALSE,INDEX(art_check,MATCH(E667,art_ref,0))&lt;&gt;"OK"),"Article à corriger (feuille Articles)",IF(COUNTIFS(sj_date,A667,sj_eq,B667,sj_po,C667)&gt;1,"Ligne en double (même jour, équipe et poste)",IF(OR(NOT(ISNUMBER(K667)),N(K667)&lt;=0,N(K667)&gt;1440),"Temps d'ouverture invalide",IF(OR(AND(G667&lt;&gt;"",NOT(ISNUMBER(G667))),N(G667)&lt;0,N(G667)&lt;&gt;INT(N(G667)),AND(H667&lt;&gt;"",NOT(ISNUMBER(H667))),N(H667)&lt;0,N(H667)&lt;&gt;INT(N(H667)),AND(I667&lt;&gt;"",NOT(ISNUMBER(I667))),N(I667)&lt;0,N(I667)&lt;&gt;INT(N(I667))),"Quantité invalide",IF(Q667&lt;=0,"Cadence manquante (poste ou article)",IF(M667&lt;=0,"Arrêts planifiés supérieurs au temps d'ouverture",IF(O667&lt;0,"Arrêts supérieurs au temps requis",IF(AND(P667&gt;0,O667=0),"Pièces déclarées sans temps de marche",IF(AND(P667=0,O667&gt;0),"Aucune pièce déclarée",IF(P667*60/Q667&gt;O667+0.001,"Cadence dépassée : vérifiez la cadence","OK"))))))))))))))))))</f>
        <v/>
      </c>
      <c r="AC667">
        <f>IF(OR(AB667="OK",AB667="Aucune pièce déclarée",AB667="Cadence dépassée : vérifiez la cadence"),1,0)</f>
        <v>0.0</v>
      </c>
      <c r="AD667">
        <f>IF(AND(AC667=1,A667&gt;=p_from,A667&lt;=p_to),1,0)</f>
        <v>0.0</v>
      </c>
      <c r="AE667">
        <f>IF(AD667=1,IF(COUNTIFS($A$6:A667,A667,$AD$6:AD667,1)=1,1,0),0)</f>
        <v>0.0</v>
      </c>
      <c r="AF667" t="str">
        <f>IF(AE667=1,COUNTIFS(sj_first,1,sj_date,"&lt;"&amp;A667)+1,"")</f>
        <v/>
      </c>
      <c r="AG667" t="str">
        <f>IF(AND(AD667=1,N(W667)&lt;p_alert),ROUND(W667,4),"")</f>
        <v/>
      </c>
      <c r="AH667" t="str">
        <f>IF(AG667="","",COUNTIF(sj_akey,"&lt;"&amp;AG667)+COUNTIF($AG$6:AG667,AG667))</f>
        <v/>
      </c>
    </row>
    <row r="668">
      <c r="A668" s="51" t="n"/>
      <c r="B668" s="52" t="n"/>
      <c r="C668" s="52" t="n"/>
      <c r="D668" s="53" t="n"/>
      <c r="E668" s="53" t="n"/>
      <c r="F668" s="54" t="n"/>
      <c r="G668" s="54" t="n"/>
      <c r="H668" s="54" t="n"/>
      <c r="I668" s="54" t="n"/>
      <c r="J668" s="53" t="n"/>
      <c r="K668" s="55" t="str">
        <f>IF(COUNTA(A668:I668)=0,"",IF(F668="",IFERROR(INDEX(eq_dur,MATCH(B668,eq_code,0)),""),F668))</f>
        <v/>
      </c>
      <c r="L668" s="55" t="str">
        <f>IF(ISNUMBER(K668),N(IFERROR(INDEX(eq_pause,MATCH(B668,eq_code,0)),0))+SUMIFS(st_min,st_date,A668,st_eq,B668,st_po,C668,st_type,"Planifié"),"")</f>
        <v/>
      </c>
      <c r="M668" s="55" t="str">
        <f>IF(ISNUMBER(K668),K668-L668,"")</f>
        <v/>
      </c>
      <c r="N668" s="55" t="str">
        <f>IF(ISNUMBER(K668),SUMIFS(st_min,st_date,A668,st_eq,B668,st_po,C668,st_type,"Non planifié"),"")</f>
        <v/>
      </c>
      <c r="O668" s="55" t="str">
        <f>IF(ISNUMBER(K668),M668-N668,"")</f>
        <v/>
      </c>
      <c r="P668" s="55" t="str">
        <f>IF(COUNTA(A668:I668)=0,"",N(G668)+N(H668)+N(I668))</f>
        <v/>
      </c>
      <c r="Q668" s="56" t="str">
        <f>IF(COUNTA(A668:I668)=0,"",IF(N(IFERROR(INDEX(art_rate,MATCH(E668,art_ref,0)),0))&gt;0,N(IFERROR(INDEX(art_rate,MATCH(E668,art_ref,0)),0)),N(IFERROR(INDEX(po_rate,MATCH(C668,po_code,0)),0))))</f>
        <v/>
      </c>
      <c r="R668" s="55" t="str">
        <f>IF(AC668=1,P668*60/Q668,"")</f>
        <v/>
      </c>
      <c r="S668" s="55" t="str">
        <f>IF(AC668=1,N(G668)*60/Q668,"")</f>
        <v/>
      </c>
      <c r="T668" s="57" t="str">
        <f>IF(AC668=1,O668/M668,"")</f>
        <v/>
      </c>
      <c r="U668" s="57" t="str">
        <f>IF(AC668=1,IF(O668&gt;0,R668/O668,""),"")</f>
        <v/>
      </c>
      <c r="V668" s="57" t="str">
        <f>IF(AC668=1,IF(P668&gt;0,N(G668)/P668,""),"")</f>
        <v/>
      </c>
      <c r="W668" s="57" t="str">
        <f>IF(AC668=1,S668/M668,"")</f>
        <v/>
      </c>
      <c r="X668" s="57" t="str">
        <f>IF(AC668=1,S668/K668,"")</f>
        <v/>
      </c>
      <c r="Y668" s="58" t="str">
        <f>IF(W668="","",IF(W668&gt;=p_target,"Bon",IF(W668&gt;=p_alert,"À surveiller","Faible")))</f>
        <v/>
      </c>
      <c r="Z668" s="58" t="str">
        <f>IF(W668="","",IF(MIN(IF(T668="",1,T668),IF(U668="",1,U668),IF(V668="",1,V668))&gt;=1,"Aucune",IF(IF(T668="",1,T668)&lt;=MIN(IF(U668="",1,U668),IF(V668="",1,V668)),"Disponibilité",IF(IF(U668="",1,U668)&lt;=IF(V668="",1,V668),"Performance","Qualité"))))</f>
        <v/>
      </c>
      <c r="AA668" s="59" t="str">
        <f>IF(AC668=1,N(H668)*N(IFERROR(INDEX(art_cost,MATCH(E668,art_ref,0)),0)),"")</f>
        <v/>
      </c>
      <c r="AB668" s="58" t="str">
        <f>IF(COUNTA(A668:I668)=0,"",IF(N(A668)&lt;=0,"Date manquante ou invalide",IF(B668="","Équipe manquante",IF(ISNA(MATCH(B668,eq_code,0)),"Équipe inconnue",IF(INDEX(eq_check,MATCH(B668,eq_code,0))&lt;&gt;"OK","Équipe à corriger dans Paramètres",IF(C668="","Poste manquant",IF(ISNA(MATCH(C668,po_code,0)),"Poste inconnu",IF(AND(E668&lt;&gt;"",ISNA(MATCH(E668,art_ref,0))),"Article inconnu",IF(IF(E668="",FALSE,INDEX(art_check,MATCH(E668,art_ref,0))&lt;&gt;"OK"),"Article à corriger (feuille Articles)",IF(COUNTIFS(sj_date,A668,sj_eq,B668,sj_po,C668)&gt;1,"Ligne en double (même jour, équipe et poste)",IF(OR(NOT(ISNUMBER(K668)),N(K668)&lt;=0,N(K668)&gt;1440),"Temps d'ouverture invalide",IF(OR(AND(G668&lt;&gt;"",NOT(ISNUMBER(G668))),N(G668)&lt;0,N(G668)&lt;&gt;INT(N(G668)),AND(H668&lt;&gt;"",NOT(ISNUMBER(H668))),N(H668)&lt;0,N(H668)&lt;&gt;INT(N(H668)),AND(I668&lt;&gt;"",NOT(ISNUMBER(I668))),N(I668)&lt;0,N(I668)&lt;&gt;INT(N(I668))),"Quantité invalide",IF(Q668&lt;=0,"Cadence manquante (poste ou article)",IF(M668&lt;=0,"Arrêts planifiés supérieurs au temps d'ouverture",IF(O668&lt;0,"Arrêts supérieurs au temps requis",IF(AND(P668&gt;0,O668=0),"Pièces déclarées sans temps de marche",IF(AND(P668=0,O668&gt;0),"Aucune pièce déclarée",IF(P668*60/Q668&gt;O668+0.001,"Cadence dépassée : vérifiez la cadence","OK"))))))))))))))))))</f>
        <v/>
      </c>
      <c r="AC668">
        <f>IF(OR(AB668="OK",AB668="Aucune pièce déclarée",AB668="Cadence dépassée : vérifiez la cadence"),1,0)</f>
        <v>0.0</v>
      </c>
      <c r="AD668">
        <f>IF(AND(AC668=1,A668&gt;=p_from,A668&lt;=p_to),1,0)</f>
        <v>0.0</v>
      </c>
      <c r="AE668">
        <f>IF(AD668=1,IF(COUNTIFS($A$6:A668,A668,$AD$6:AD668,1)=1,1,0),0)</f>
        <v>0.0</v>
      </c>
      <c r="AF668" t="str">
        <f>IF(AE668=1,COUNTIFS(sj_first,1,sj_date,"&lt;"&amp;A668)+1,"")</f>
        <v/>
      </c>
      <c r="AG668" t="str">
        <f>IF(AND(AD668=1,N(W668)&lt;p_alert),ROUND(W668,4),"")</f>
        <v/>
      </c>
      <c r="AH668" t="str">
        <f>IF(AG668="","",COUNTIF(sj_akey,"&lt;"&amp;AG668)+COUNTIF($AG$6:AG668,AG668))</f>
        <v/>
      </c>
    </row>
    <row r="669">
      <c r="A669" s="51" t="n"/>
      <c r="B669" s="52" t="n"/>
      <c r="C669" s="52" t="n"/>
      <c r="D669" s="53" t="n"/>
      <c r="E669" s="53" t="n"/>
      <c r="F669" s="54" t="n"/>
      <c r="G669" s="54" t="n"/>
      <c r="H669" s="54" t="n"/>
      <c r="I669" s="54" t="n"/>
      <c r="J669" s="53" t="n"/>
      <c r="K669" s="55" t="str">
        <f>IF(COUNTA(A669:I669)=0,"",IF(F669="",IFERROR(INDEX(eq_dur,MATCH(B669,eq_code,0)),""),F669))</f>
        <v/>
      </c>
      <c r="L669" s="55" t="str">
        <f>IF(ISNUMBER(K669),N(IFERROR(INDEX(eq_pause,MATCH(B669,eq_code,0)),0))+SUMIFS(st_min,st_date,A669,st_eq,B669,st_po,C669,st_type,"Planifié"),"")</f>
        <v/>
      </c>
      <c r="M669" s="55" t="str">
        <f>IF(ISNUMBER(K669),K669-L669,"")</f>
        <v/>
      </c>
      <c r="N669" s="55" t="str">
        <f>IF(ISNUMBER(K669),SUMIFS(st_min,st_date,A669,st_eq,B669,st_po,C669,st_type,"Non planifié"),"")</f>
        <v/>
      </c>
      <c r="O669" s="55" t="str">
        <f>IF(ISNUMBER(K669),M669-N669,"")</f>
        <v/>
      </c>
      <c r="P669" s="55" t="str">
        <f>IF(COUNTA(A669:I669)=0,"",N(G669)+N(H669)+N(I669))</f>
        <v/>
      </c>
      <c r="Q669" s="56" t="str">
        <f>IF(COUNTA(A669:I669)=0,"",IF(N(IFERROR(INDEX(art_rate,MATCH(E669,art_ref,0)),0))&gt;0,N(IFERROR(INDEX(art_rate,MATCH(E669,art_ref,0)),0)),N(IFERROR(INDEX(po_rate,MATCH(C669,po_code,0)),0))))</f>
        <v/>
      </c>
      <c r="R669" s="55" t="str">
        <f>IF(AC669=1,P669*60/Q669,"")</f>
        <v/>
      </c>
      <c r="S669" s="55" t="str">
        <f>IF(AC669=1,N(G669)*60/Q669,"")</f>
        <v/>
      </c>
      <c r="T669" s="57" t="str">
        <f>IF(AC669=1,O669/M669,"")</f>
        <v/>
      </c>
      <c r="U669" s="57" t="str">
        <f>IF(AC669=1,IF(O669&gt;0,R669/O669,""),"")</f>
        <v/>
      </c>
      <c r="V669" s="57" t="str">
        <f>IF(AC669=1,IF(P669&gt;0,N(G669)/P669,""),"")</f>
        <v/>
      </c>
      <c r="W669" s="57" t="str">
        <f>IF(AC669=1,S669/M669,"")</f>
        <v/>
      </c>
      <c r="X669" s="57" t="str">
        <f>IF(AC669=1,S669/K669,"")</f>
        <v/>
      </c>
      <c r="Y669" s="58" t="str">
        <f>IF(W669="","",IF(W669&gt;=p_target,"Bon",IF(W669&gt;=p_alert,"À surveiller","Faible")))</f>
        <v/>
      </c>
      <c r="Z669" s="58" t="str">
        <f>IF(W669="","",IF(MIN(IF(T669="",1,T669),IF(U669="",1,U669),IF(V669="",1,V669))&gt;=1,"Aucune",IF(IF(T669="",1,T669)&lt;=MIN(IF(U669="",1,U669),IF(V669="",1,V669)),"Disponibilité",IF(IF(U669="",1,U669)&lt;=IF(V669="",1,V669),"Performance","Qualité"))))</f>
        <v/>
      </c>
      <c r="AA669" s="59" t="str">
        <f>IF(AC669=1,N(H669)*N(IFERROR(INDEX(art_cost,MATCH(E669,art_ref,0)),0)),"")</f>
        <v/>
      </c>
      <c r="AB669" s="58" t="str">
        <f>IF(COUNTA(A669:I669)=0,"",IF(N(A669)&lt;=0,"Date manquante ou invalide",IF(B669="","Équipe manquante",IF(ISNA(MATCH(B669,eq_code,0)),"Équipe inconnue",IF(INDEX(eq_check,MATCH(B669,eq_code,0))&lt;&gt;"OK","Équipe à corriger dans Paramètres",IF(C669="","Poste manquant",IF(ISNA(MATCH(C669,po_code,0)),"Poste inconnu",IF(AND(E669&lt;&gt;"",ISNA(MATCH(E669,art_ref,0))),"Article inconnu",IF(IF(E669="",FALSE,INDEX(art_check,MATCH(E669,art_ref,0))&lt;&gt;"OK"),"Article à corriger (feuille Articles)",IF(COUNTIFS(sj_date,A669,sj_eq,B669,sj_po,C669)&gt;1,"Ligne en double (même jour, équipe et poste)",IF(OR(NOT(ISNUMBER(K669)),N(K669)&lt;=0,N(K669)&gt;1440),"Temps d'ouverture invalide",IF(OR(AND(G669&lt;&gt;"",NOT(ISNUMBER(G669))),N(G669)&lt;0,N(G669)&lt;&gt;INT(N(G669)),AND(H669&lt;&gt;"",NOT(ISNUMBER(H669))),N(H669)&lt;0,N(H669)&lt;&gt;INT(N(H669)),AND(I669&lt;&gt;"",NOT(ISNUMBER(I669))),N(I669)&lt;0,N(I669)&lt;&gt;INT(N(I669))),"Quantité invalide",IF(Q669&lt;=0,"Cadence manquante (poste ou article)",IF(M669&lt;=0,"Arrêts planifiés supérieurs au temps d'ouverture",IF(O669&lt;0,"Arrêts supérieurs au temps requis",IF(AND(P669&gt;0,O669=0),"Pièces déclarées sans temps de marche",IF(AND(P669=0,O669&gt;0),"Aucune pièce déclarée",IF(P669*60/Q669&gt;O669+0.001,"Cadence dépassée : vérifiez la cadence","OK"))))))))))))))))))</f>
        <v/>
      </c>
      <c r="AC669">
        <f>IF(OR(AB669="OK",AB669="Aucune pièce déclarée",AB669="Cadence dépassée : vérifiez la cadence"),1,0)</f>
        <v>0.0</v>
      </c>
      <c r="AD669">
        <f>IF(AND(AC669=1,A669&gt;=p_from,A669&lt;=p_to),1,0)</f>
        <v>0.0</v>
      </c>
      <c r="AE669">
        <f>IF(AD669=1,IF(COUNTIFS($A$6:A669,A669,$AD$6:AD669,1)=1,1,0),0)</f>
        <v>0.0</v>
      </c>
      <c r="AF669" t="str">
        <f>IF(AE669=1,COUNTIFS(sj_first,1,sj_date,"&lt;"&amp;A669)+1,"")</f>
        <v/>
      </c>
      <c r="AG669" t="str">
        <f>IF(AND(AD669=1,N(W669)&lt;p_alert),ROUND(W669,4),"")</f>
        <v/>
      </c>
      <c r="AH669" t="str">
        <f>IF(AG669="","",COUNTIF(sj_akey,"&lt;"&amp;AG669)+COUNTIF($AG$6:AG669,AG669))</f>
        <v/>
      </c>
    </row>
    <row r="670">
      <c r="A670" s="51" t="n"/>
      <c r="B670" s="52" t="n"/>
      <c r="C670" s="52" t="n"/>
      <c r="D670" s="53" t="n"/>
      <c r="E670" s="53" t="n"/>
      <c r="F670" s="54" t="n"/>
      <c r="G670" s="54" t="n"/>
      <c r="H670" s="54" t="n"/>
      <c r="I670" s="54" t="n"/>
      <c r="J670" s="53" t="n"/>
      <c r="K670" s="55" t="str">
        <f>IF(COUNTA(A670:I670)=0,"",IF(F670="",IFERROR(INDEX(eq_dur,MATCH(B670,eq_code,0)),""),F670))</f>
        <v/>
      </c>
      <c r="L670" s="55" t="str">
        <f>IF(ISNUMBER(K670),N(IFERROR(INDEX(eq_pause,MATCH(B670,eq_code,0)),0))+SUMIFS(st_min,st_date,A670,st_eq,B670,st_po,C670,st_type,"Planifié"),"")</f>
        <v/>
      </c>
      <c r="M670" s="55" t="str">
        <f>IF(ISNUMBER(K670),K670-L670,"")</f>
        <v/>
      </c>
      <c r="N670" s="55" t="str">
        <f>IF(ISNUMBER(K670),SUMIFS(st_min,st_date,A670,st_eq,B670,st_po,C670,st_type,"Non planifié"),"")</f>
        <v/>
      </c>
      <c r="O670" s="55" t="str">
        <f>IF(ISNUMBER(K670),M670-N670,"")</f>
        <v/>
      </c>
      <c r="P670" s="55" t="str">
        <f>IF(COUNTA(A670:I670)=0,"",N(G670)+N(H670)+N(I670))</f>
        <v/>
      </c>
      <c r="Q670" s="56" t="str">
        <f>IF(COUNTA(A670:I670)=0,"",IF(N(IFERROR(INDEX(art_rate,MATCH(E670,art_ref,0)),0))&gt;0,N(IFERROR(INDEX(art_rate,MATCH(E670,art_ref,0)),0)),N(IFERROR(INDEX(po_rate,MATCH(C670,po_code,0)),0))))</f>
        <v/>
      </c>
      <c r="R670" s="55" t="str">
        <f>IF(AC670=1,P670*60/Q670,"")</f>
        <v/>
      </c>
      <c r="S670" s="55" t="str">
        <f>IF(AC670=1,N(G670)*60/Q670,"")</f>
        <v/>
      </c>
      <c r="T670" s="57" t="str">
        <f>IF(AC670=1,O670/M670,"")</f>
        <v/>
      </c>
      <c r="U670" s="57" t="str">
        <f>IF(AC670=1,IF(O670&gt;0,R670/O670,""),"")</f>
        <v/>
      </c>
      <c r="V670" s="57" t="str">
        <f>IF(AC670=1,IF(P670&gt;0,N(G670)/P670,""),"")</f>
        <v/>
      </c>
      <c r="W670" s="57" t="str">
        <f>IF(AC670=1,S670/M670,"")</f>
        <v/>
      </c>
      <c r="X670" s="57" t="str">
        <f>IF(AC670=1,S670/K670,"")</f>
        <v/>
      </c>
      <c r="Y670" s="58" t="str">
        <f>IF(W670="","",IF(W670&gt;=p_target,"Bon",IF(W670&gt;=p_alert,"À surveiller","Faible")))</f>
        <v/>
      </c>
      <c r="Z670" s="58" t="str">
        <f>IF(W670="","",IF(MIN(IF(T670="",1,T670),IF(U670="",1,U670),IF(V670="",1,V670))&gt;=1,"Aucune",IF(IF(T670="",1,T670)&lt;=MIN(IF(U670="",1,U670),IF(V670="",1,V670)),"Disponibilité",IF(IF(U670="",1,U670)&lt;=IF(V670="",1,V670),"Performance","Qualité"))))</f>
        <v/>
      </c>
      <c r="AA670" s="59" t="str">
        <f>IF(AC670=1,N(H670)*N(IFERROR(INDEX(art_cost,MATCH(E670,art_ref,0)),0)),"")</f>
        <v/>
      </c>
      <c r="AB670" s="58" t="str">
        <f>IF(COUNTA(A670:I670)=0,"",IF(N(A670)&lt;=0,"Date manquante ou invalide",IF(B670="","Équipe manquante",IF(ISNA(MATCH(B670,eq_code,0)),"Équipe inconnue",IF(INDEX(eq_check,MATCH(B670,eq_code,0))&lt;&gt;"OK","Équipe à corriger dans Paramètres",IF(C670="","Poste manquant",IF(ISNA(MATCH(C670,po_code,0)),"Poste inconnu",IF(AND(E670&lt;&gt;"",ISNA(MATCH(E670,art_ref,0))),"Article inconnu",IF(IF(E670="",FALSE,INDEX(art_check,MATCH(E670,art_ref,0))&lt;&gt;"OK"),"Article à corriger (feuille Articles)",IF(COUNTIFS(sj_date,A670,sj_eq,B670,sj_po,C670)&gt;1,"Ligne en double (même jour, équipe et poste)",IF(OR(NOT(ISNUMBER(K670)),N(K670)&lt;=0,N(K670)&gt;1440),"Temps d'ouverture invalide",IF(OR(AND(G670&lt;&gt;"",NOT(ISNUMBER(G670))),N(G670)&lt;0,N(G670)&lt;&gt;INT(N(G670)),AND(H670&lt;&gt;"",NOT(ISNUMBER(H670))),N(H670)&lt;0,N(H670)&lt;&gt;INT(N(H670)),AND(I670&lt;&gt;"",NOT(ISNUMBER(I670))),N(I670)&lt;0,N(I670)&lt;&gt;INT(N(I670))),"Quantité invalide",IF(Q670&lt;=0,"Cadence manquante (poste ou article)",IF(M670&lt;=0,"Arrêts planifiés supérieurs au temps d'ouverture",IF(O670&lt;0,"Arrêts supérieurs au temps requis",IF(AND(P670&gt;0,O670=0),"Pièces déclarées sans temps de marche",IF(AND(P670=0,O670&gt;0),"Aucune pièce déclarée",IF(P670*60/Q670&gt;O670+0.001,"Cadence dépassée : vérifiez la cadence","OK"))))))))))))))))))</f>
        <v/>
      </c>
      <c r="AC670">
        <f>IF(OR(AB670="OK",AB670="Aucune pièce déclarée",AB670="Cadence dépassée : vérifiez la cadence"),1,0)</f>
        <v>0.0</v>
      </c>
      <c r="AD670">
        <f>IF(AND(AC670=1,A670&gt;=p_from,A670&lt;=p_to),1,0)</f>
        <v>0.0</v>
      </c>
      <c r="AE670">
        <f>IF(AD670=1,IF(COUNTIFS($A$6:A670,A670,$AD$6:AD670,1)=1,1,0),0)</f>
        <v>0.0</v>
      </c>
      <c r="AF670" t="str">
        <f>IF(AE670=1,COUNTIFS(sj_first,1,sj_date,"&lt;"&amp;A670)+1,"")</f>
        <v/>
      </c>
      <c r="AG670" t="str">
        <f>IF(AND(AD670=1,N(W670)&lt;p_alert),ROUND(W670,4),"")</f>
        <v/>
      </c>
      <c r="AH670" t="str">
        <f>IF(AG670="","",COUNTIF(sj_akey,"&lt;"&amp;AG670)+COUNTIF($AG$6:AG670,AG670))</f>
        <v/>
      </c>
    </row>
    <row r="671">
      <c r="A671" s="51" t="n"/>
      <c r="B671" s="52" t="n"/>
      <c r="C671" s="52" t="n"/>
      <c r="D671" s="53" t="n"/>
      <c r="E671" s="53" t="n"/>
      <c r="F671" s="54" t="n"/>
      <c r="G671" s="54" t="n"/>
      <c r="H671" s="54" t="n"/>
      <c r="I671" s="54" t="n"/>
      <c r="J671" s="53" t="n"/>
      <c r="K671" s="55" t="str">
        <f>IF(COUNTA(A671:I671)=0,"",IF(F671="",IFERROR(INDEX(eq_dur,MATCH(B671,eq_code,0)),""),F671))</f>
        <v/>
      </c>
      <c r="L671" s="55" t="str">
        <f>IF(ISNUMBER(K671),N(IFERROR(INDEX(eq_pause,MATCH(B671,eq_code,0)),0))+SUMIFS(st_min,st_date,A671,st_eq,B671,st_po,C671,st_type,"Planifié"),"")</f>
        <v/>
      </c>
      <c r="M671" s="55" t="str">
        <f>IF(ISNUMBER(K671),K671-L671,"")</f>
        <v/>
      </c>
      <c r="N671" s="55" t="str">
        <f>IF(ISNUMBER(K671),SUMIFS(st_min,st_date,A671,st_eq,B671,st_po,C671,st_type,"Non planifié"),"")</f>
        <v/>
      </c>
      <c r="O671" s="55" t="str">
        <f>IF(ISNUMBER(K671),M671-N671,"")</f>
        <v/>
      </c>
      <c r="P671" s="55" t="str">
        <f>IF(COUNTA(A671:I671)=0,"",N(G671)+N(H671)+N(I671))</f>
        <v/>
      </c>
      <c r="Q671" s="56" t="str">
        <f>IF(COUNTA(A671:I671)=0,"",IF(N(IFERROR(INDEX(art_rate,MATCH(E671,art_ref,0)),0))&gt;0,N(IFERROR(INDEX(art_rate,MATCH(E671,art_ref,0)),0)),N(IFERROR(INDEX(po_rate,MATCH(C671,po_code,0)),0))))</f>
        <v/>
      </c>
      <c r="R671" s="55" t="str">
        <f>IF(AC671=1,P671*60/Q671,"")</f>
        <v/>
      </c>
      <c r="S671" s="55" t="str">
        <f>IF(AC671=1,N(G671)*60/Q671,"")</f>
        <v/>
      </c>
      <c r="T671" s="57" t="str">
        <f>IF(AC671=1,O671/M671,"")</f>
        <v/>
      </c>
      <c r="U671" s="57" t="str">
        <f>IF(AC671=1,IF(O671&gt;0,R671/O671,""),"")</f>
        <v/>
      </c>
      <c r="V671" s="57" t="str">
        <f>IF(AC671=1,IF(P671&gt;0,N(G671)/P671,""),"")</f>
        <v/>
      </c>
      <c r="W671" s="57" t="str">
        <f>IF(AC671=1,S671/M671,"")</f>
        <v/>
      </c>
      <c r="X671" s="57" t="str">
        <f>IF(AC671=1,S671/K671,"")</f>
        <v/>
      </c>
      <c r="Y671" s="58" t="str">
        <f>IF(W671="","",IF(W671&gt;=p_target,"Bon",IF(W671&gt;=p_alert,"À surveiller","Faible")))</f>
        <v/>
      </c>
      <c r="Z671" s="58" t="str">
        <f>IF(W671="","",IF(MIN(IF(T671="",1,T671),IF(U671="",1,U671),IF(V671="",1,V671))&gt;=1,"Aucune",IF(IF(T671="",1,T671)&lt;=MIN(IF(U671="",1,U671),IF(V671="",1,V671)),"Disponibilité",IF(IF(U671="",1,U671)&lt;=IF(V671="",1,V671),"Performance","Qualité"))))</f>
        <v/>
      </c>
      <c r="AA671" s="59" t="str">
        <f>IF(AC671=1,N(H671)*N(IFERROR(INDEX(art_cost,MATCH(E671,art_ref,0)),0)),"")</f>
        <v/>
      </c>
      <c r="AB671" s="58" t="str">
        <f>IF(COUNTA(A671:I671)=0,"",IF(N(A671)&lt;=0,"Date manquante ou invalide",IF(B671="","Équipe manquante",IF(ISNA(MATCH(B671,eq_code,0)),"Équipe inconnue",IF(INDEX(eq_check,MATCH(B671,eq_code,0))&lt;&gt;"OK","Équipe à corriger dans Paramètres",IF(C671="","Poste manquant",IF(ISNA(MATCH(C671,po_code,0)),"Poste inconnu",IF(AND(E671&lt;&gt;"",ISNA(MATCH(E671,art_ref,0))),"Article inconnu",IF(IF(E671="",FALSE,INDEX(art_check,MATCH(E671,art_ref,0))&lt;&gt;"OK"),"Article à corriger (feuille Articles)",IF(COUNTIFS(sj_date,A671,sj_eq,B671,sj_po,C671)&gt;1,"Ligne en double (même jour, équipe et poste)",IF(OR(NOT(ISNUMBER(K671)),N(K671)&lt;=0,N(K671)&gt;1440),"Temps d'ouverture invalide",IF(OR(AND(G671&lt;&gt;"",NOT(ISNUMBER(G671))),N(G671)&lt;0,N(G671)&lt;&gt;INT(N(G671)),AND(H671&lt;&gt;"",NOT(ISNUMBER(H671))),N(H671)&lt;0,N(H671)&lt;&gt;INT(N(H671)),AND(I671&lt;&gt;"",NOT(ISNUMBER(I671))),N(I671)&lt;0,N(I671)&lt;&gt;INT(N(I671))),"Quantité invalide",IF(Q671&lt;=0,"Cadence manquante (poste ou article)",IF(M671&lt;=0,"Arrêts planifiés supérieurs au temps d'ouverture",IF(O671&lt;0,"Arrêts supérieurs au temps requis",IF(AND(P671&gt;0,O671=0),"Pièces déclarées sans temps de marche",IF(AND(P671=0,O671&gt;0),"Aucune pièce déclarée",IF(P671*60/Q671&gt;O671+0.001,"Cadence dépassée : vérifiez la cadence","OK"))))))))))))))))))</f>
        <v/>
      </c>
      <c r="AC671">
        <f>IF(OR(AB671="OK",AB671="Aucune pièce déclarée",AB671="Cadence dépassée : vérifiez la cadence"),1,0)</f>
        <v>0.0</v>
      </c>
      <c r="AD671">
        <f>IF(AND(AC671=1,A671&gt;=p_from,A671&lt;=p_to),1,0)</f>
        <v>0.0</v>
      </c>
      <c r="AE671">
        <f>IF(AD671=1,IF(COUNTIFS($A$6:A671,A671,$AD$6:AD671,1)=1,1,0),0)</f>
        <v>0.0</v>
      </c>
      <c r="AF671" t="str">
        <f>IF(AE671=1,COUNTIFS(sj_first,1,sj_date,"&lt;"&amp;A671)+1,"")</f>
        <v/>
      </c>
      <c r="AG671" t="str">
        <f>IF(AND(AD671=1,N(W671)&lt;p_alert),ROUND(W671,4),"")</f>
        <v/>
      </c>
      <c r="AH671" t="str">
        <f>IF(AG671="","",COUNTIF(sj_akey,"&lt;"&amp;AG671)+COUNTIF($AG$6:AG671,AG671))</f>
        <v/>
      </c>
    </row>
    <row r="672">
      <c r="A672" s="51" t="n"/>
      <c r="B672" s="52" t="n"/>
      <c r="C672" s="52" t="n"/>
      <c r="D672" s="53" t="n"/>
      <c r="E672" s="53" t="n"/>
      <c r="F672" s="54" t="n"/>
      <c r="G672" s="54" t="n"/>
      <c r="H672" s="54" t="n"/>
      <c r="I672" s="54" t="n"/>
      <c r="J672" s="53" t="n"/>
      <c r="K672" s="55" t="str">
        <f>IF(COUNTA(A672:I672)=0,"",IF(F672="",IFERROR(INDEX(eq_dur,MATCH(B672,eq_code,0)),""),F672))</f>
        <v/>
      </c>
      <c r="L672" s="55" t="str">
        <f>IF(ISNUMBER(K672),N(IFERROR(INDEX(eq_pause,MATCH(B672,eq_code,0)),0))+SUMIFS(st_min,st_date,A672,st_eq,B672,st_po,C672,st_type,"Planifié"),"")</f>
        <v/>
      </c>
      <c r="M672" s="55" t="str">
        <f>IF(ISNUMBER(K672),K672-L672,"")</f>
        <v/>
      </c>
      <c r="N672" s="55" t="str">
        <f>IF(ISNUMBER(K672),SUMIFS(st_min,st_date,A672,st_eq,B672,st_po,C672,st_type,"Non planifié"),"")</f>
        <v/>
      </c>
      <c r="O672" s="55" t="str">
        <f>IF(ISNUMBER(K672),M672-N672,"")</f>
        <v/>
      </c>
      <c r="P672" s="55" t="str">
        <f>IF(COUNTA(A672:I672)=0,"",N(G672)+N(H672)+N(I672))</f>
        <v/>
      </c>
      <c r="Q672" s="56" t="str">
        <f>IF(COUNTA(A672:I672)=0,"",IF(N(IFERROR(INDEX(art_rate,MATCH(E672,art_ref,0)),0))&gt;0,N(IFERROR(INDEX(art_rate,MATCH(E672,art_ref,0)),0)),N(IFERROR(INDEX(po_rate,MATCH(C672,po_code,0)),0))))</f>
        <v/>
      </c>
      <c r="R672" s="55" t="str">
        <f>IF(AC672=1,P672*60/Q672,"")</f>
        <v/>
      </c>
      <c r="S672" s="55" t="str">
        <f>IF(AC672=1,N(G672)*60/Q672,"")</f>
        <v/>
      </c>
      <c r="T672" s="57" t="str">
        <f>IF(AC672=1,O672/M672,"")</f>
        <v/>
      </c>
      <c r="U672" s="57" t="str">
        <f>IF(AC672=1,IF(O672&gt;0,R672/O672,""),"")</f>
        <v/>
      </c>
      <c r="V672" s="57" t="str">
        <f>IF(AC672=1,IF(P672&gt;0,N(G672)/P672,""),"")</f>
        <v/>
      </c>
      <c r="W672" s="57" t="str">
        <f>IF(AC672=1,S672/M672,"")</f>
        <v/>
      </c>
      <c r="X672" s="57" t="str">
        <f>IF(AC672=1,S672/K672,"")</f>
        <v/>
      </c>
      <c r="Y672" s="58" t="str">
        <f>IF(W672="","",IF(W672&gt;=p_target,"Bon",IF(W672&gt;=p_alert,"À surveiller","Faible")))</f>
        <v/>
      </c>
      <c r="Z672" s="58" t="str">
        <f>IF(W672="","",IF(MIN(IF(T672="",1,T672),IF(U672="",1,U672),IF(V672="",1,V672))&gt;=1,"Aucune",IF(IF(T672="",1,T672)&lt;=MIN(IF(U672="",1,U672),IF(V672="",1,V672)),"Disponibilité",IF(IF(U672="",1,U672)&lt;=IF(V672="",1,V672),"Performance","Qualité"))))</f>
        <v/>
      </c>
      <c r="AA672" s="59" t="str">
        <f>IF(AC672=1,N(H672)*N(IFERROR(INDEX(art_cost,MATCH(E672,art_ref,0)),0)),"")</f>
        <v/>
      </c>
      <c r="AB672" s="58" t="str">
        <f>IF(COUNTA(A672:I672)=0,"",IF(N(A672)&lt;=0,"Date manquante ou invalide",IF(B672="","Équipe manquante",IF(ISNA(MATCH(B672,eq_code,0)),"Équipe inconnue",IF(INDEX(eq_check,MATCH(B672,eq_code,0))&lt;&gt;"OK","Équipe à corriger dans Paramètres",IF(C672="","Poste manquant",IF(ISNA(MATCH(C672,po_code,0)),"Poste inconnu",IF(AND(E672&lt;&gt;"",ISNA(MATCH(E672,art_ref,0))),"Article inconnu",IF(IF(E672="",FALSE,INDEX(art_check,MATCH(E672,art_ref,0))&lt;&gt;"OK"),"Article à corriger (feuille Articles)",IF(COUNTIFS(sj_date,A672,sj_eq,B672,sj_po,C672)&gt;1,"Ligne en double (même jour, équipe et poste)",IF(OR(NOT(ISNUMBER(K672)),N(K672)&lt;=0,N(K672)&gt;1440),"Temps d'ouverture invalide",IF(OR(AND(G672&lt;&gt;"",NOT(ISNUMBER(G672))),N(G672)&lt;0,N(G672)&lt;&gt;INT(N(G672)),AND(H672&lt;&gt;"",NOT(ISNUMBER(H672))),N(H672)&lt;0,N(H672)&lt;&gt;INT(N(H672)),AND(I672&lt;&gt;"",NOT(ISNUMBER(I672))),N(I672)&lt;0,N(I672)&lt;&gt;INT(N(I672))),"Quantité invalide",IF(Q672&lt;=0,"Cadence manquante (poste ou article)",IF(M672&lt;=0,"Arrêts planifiés supérieurs au temps d'ouverture",IF(O672&lt;0,"Arrêts supérieurs au temps requis",IF(AND(P672&gt;0,O672=0),"Pièces déclarées sans temps de marche",IF(AND(P672=0,O672&gt;0),"Aucune pièce déclarée",IF(P672*60/Q672&gt;O672+0.001,"Cadence dépassée : vérifiez la cadence","OK"))))))))))))))))))</f>
        <v/>
      </c>
      <c r="AC672">
        <f>IF(OR(AB672="OK",AB672="Aucune pièce déclarée",AB672="Cadence dépassée : vérifiez la cadence"),1,0)</f>
        <v>0.0</v>
      </c>
      <c r="AD672">
        <f>IF(AND(AC672=1,A672&gt;=p_from,A672&lt;=p_to),1,0)</f>
        <v>0.0</v>
      </c>
      <c r="AE672">
        <f>IF(AD672=1,IF(COUNTIFS($A$6:A672,A672,$AD$6:AD672,1)=1,1,0),0)</f>
        <v>0.0</v>
      </c>
      <c r="AF672" t="str">
        <f>IF(AE672=1,COUNTIFS(sj_first,1,sj_date,"&lt;"&amp;A672)+1,"")</f>
        <v/>
      </c>
      <c r="AG672" t="str">
        <f>IF(AND(AD672=1,N(W672)&lt;p_alert),ROUND(W672,4),"")</f>
        <v/>
      </c>
      <c r="AH672" t="str">
        <f>IF(AG672="","",COUNTIF(sj_akey,"&lt;"&amp;AG672)+COUNTIF($AG$6:AG672,AG672))</f>
        <v/>
      </c>
    </row>
    <row r="673">
      <c r="A673" s="51" t="n"/>
      <c r="B673" s="52" t="n"/>
      <c r="C673" s="52" t="n"/>
      <c r="D673" s="53" t="n"/>
      <c r="E673" s="53" t="n"/>
      <c r="F673" s="54" t="n"/>
      <c r="G673" s="54" t="n"/>
      <c r="H673" s="54" t="n"/>
      <c r="I673" s="54" t="n"/>
      <c r="J673" s="53" t="n"/>
      <c r="K673" s="55" t="str">
        <f>IF(COUNTA(A673:I673)=0,"",IF(F673="",IFERROR(INDEX(eq_dur,MATCH(B673,eq_code,0)),""),F673))</f>
        <v/>
      </c>
      <c r="L673" s="55" t="str">
        <f>IF(ISNUMBER(K673),N(IFERROR(INDEX(eq_pause,MATCH(B673,eq_code,0)),0))+SUMIFS(st_min,st_date,A673,st_eq,B673,st_po,C673,st_type,"Planifié"),"")</f>
        <v/>
      </c>
      <c r="M673" s="55" t="str">
        <f>IF(ISNUMBER(K673),K673-L673,"")</f>
        <v/>
      </c>
      <c r="N673" s="55" t="str">
        <f>IF(ISNUMBER(K673),SUMIFS(st_min,st_date,A673,st_eq,B673,st_po,C673,st_type,"Non planifié"),"")</f>
        <v/>
      </c>
      <c r="O673" s="55" t="str">
        <f>IF(ISNUMBER(K673),M673-N673,"")</f>
        <v/>
      </c>
      <c r="P673" s="55" t="str">
        <f>IF(COUNTA(A673:I673)=0,"",N(G673)+N(H673)+N(I673))</f>
        <v/>
      </c>
      <c r="Q673" s="56" t="str">
        <f>IF(COUNTA(A673:I673)=0,"",IF(N(IFERROR(INDEX(art_rate,MATCH(E673,art_ref,0)),0))&gt;0,N(IFERROR(INDEX(art_rate,MATCH(E673,art_ref,0)),0)),N(IFERROR(INDEX(po_rate,MATCH(C673,po_code,0)),0))))</f>
        <v/>
      </c>
      <c r="R673" s="55" t="str">
        <f>IF(AC673=1,P673*60/Q673,"")</f>
        <v/>
      </c>
      <c r="S673" s="55" t="str">
        <f>IF(AC673=1,N(G673)*60/Q673,"")</f>
        <v/>
      </c>
      <c r="T673" s="57" t="str">
        <f>IF(AC673=1,O673/M673,"")</f>
        <v/>
      </c>
      <c r="U673" s="57" t="str">
        <f>IF(AC673=1,IF(O673&gt;0,R673/O673,""),"")</f>
        <v/>
      </c>
      <c r="V673" s="57" t="str">
        <f>IF(AC673=1,IF(P673&gt;0,N(G673)/P673,""),"")</f>
        <v/>
      </c>
      <c r="W673" s="57" t="str">
        <f>IF(AC673=1,S673/M673,"")</f>
        <v/>
      </c>
      <c r="X673" s="57" t="str">
        <f>IF(AC673=1,S673/K673,"")</f>
        <v/>
      </c>
      <c r="Y673" s="58" t="str">
        <f>IF(W673="","",IF(W673&gt;=p_target,"Bon",IF(W673&gt;=p_alert,"À surveiller","Faible")))</f>
        <v/>
      </c>
      <c r="Z673" s="58" t="str">
        <f>IF(W673="","",IF(MIN(IF(T673="",1,T673),IF(U673="",1,U673),IF(V673="",1,V673))&gt;=1,"Aucune",IF(IF(T673="",1,T673)&lt;=MIN(IF(U673="",1,U673),IF(V673="",1,V673)),"Disponibilité",IF(IF(U673="",1,U673)&lt;=IF(V673="",1,V673),"Performance","Qualité"))))</f>
        <v/>
      </c>
      <c r="AA673" s="59" t="str">
        <f>IF(AC673=1,N(H673)*N(IFERROR(INDEX(art_cost,MATCH(E673,art_ref,0)),0)),"")</f>
        <v/>
      </c>
      <c r="AB673" s="58" t="str">
        <f>IF(COUNTA(A673:I673)=0,"",IF(N(A673)&lt;=0,"Date manquante ou invalide",IF(B673="","Équipe manquante",IF(ISNA(MATCH(B673,eq_code,0)),"Équipe inconnue",IF(INDEX(eq_check,MATCH(B673,eq_code,0))&lt;&gt;"OK","Équipe à corriger dans Paramètres",IF(C673="","Poste manquant",IF(ISNA(MATCH(C673,po_code,0)),"Poste inconnu",IF(AND(E673&lt;&gt;"",ISNA(MATCH(E673,art_ref,0))),"Article inconnu",IF(IF(E673="",FALSE,INDEX(art_check,MATCH(E673,art_ref,0))&lt;&gt;"OK"),"Article à corriger (feuille Articles)",IF(COUNTIFS(sj_date,A673,sj_eq,B673,sj_po,C673)&gt;1,"Ligne en double (même jour, équipe et poste)",IF(OR(NOT(ISNUMBER(K673)),N(K673)&lt;=0,N(K673)&gt;1440),"Temps d'ouverture invalide",IF(OR(AND(G673&lt;&gt;"",NOT(ISNUMBER(G673))),N(G673)&lt;0,N(G673)&lt;&gt;INT(N(G673)),AND(H673&lt;&gt;"",NOT(ISNUMBER(H673))),N(H673)&lt;0,N(H673)&lt;&gt;INT(N(H673)),AND(I673&lt;&gt;"",NOT(ISNUMBER(I673))),N(I673)&lt;0,N(I673)&lt;&gt;INT(N(I673))),"Quantité invalide",IF(Q673&lt;=0,"Cadence manquante (poste ou article)",IF(M673&lt;=0,"Arrêts planifiés supérieurs au temps d'ouverture",IF(O673&lt;0,"Arrêts supérieurs au temps requis",IF(AND(P673&gt;0,O673=0),"Pièces déclarées sans temps de marche",IF(AND(P673=0,O673&gt;0),"Aucune pièce déclarée",IF(P673*60/Q673&gt;O673+0.001,"Cadence dépassée : vérifiez la cadence","OK"))))))))))))))))))</f>
        <v/>
      </c>
      <c r="AC673">
        <f>IF(OR(AB673="OK",AB673="Aucune pièce déclarée",AB673="Cadence dépassée : vérifiez la cadence"),1,0)</f>
        <v>0.0</v>
      </c>
      <c r="AD673">
        <f>IF(AND(AC673=1,A673&gt;=p_from,A673&lt;=p_to),1,0)</f>
        <v>0.0</v>
      </c>
      <c r="AE673">
        <f>IF(AD673=1,IF(COUNTIFS($A$6:A673,A673,$AD$6:AD673,1)=1,1,0),0)</f>
        <v>0.0</v>
      </c>
      <c r="AF673" t="str">
        <f>IF(AE673=1,COUNTIFS(sj_first,1,sj_date,"&lt;"&amp;A673)+1,"")</f>
        <v/>
      </c>
      <c r="AG673" t="str">
        <f>IF(AND(AD673=1,N(W673)&lt;p_alert),ROUND(W673,4),"")</f>
        <v/>
      </c>
      <c r="AH673" t="str">
        <f>IF(AG673="","",COUNTIF(sj_akey,"&lt;"&amp;AG673)+COUNTIF($AG$6:AG673,AG673))</f>
        <v/>
      </c>
    </row>
    <row r="674">
      <c r="A674" s="51" t="n"/>
      <c r="B674" s="52" t="n"/>
      <c r="C674" s="52" t="n"/>
      <c r="D674" s="53" t="n"/>
      <c r="E674" s="53" t="n"/>
      <c r="F674" s="54" t="n"/>
      <c r="G674" s="54" t="n"/>
      <c r="H674" s="54" t="n"/>
      <c r="I674" s="54" t="n"/>
      <c r="J674" s="53" t="n"/>
      <c r="K674" s="55" t="str">
        <f>IF(COUNTA(A674:I674)=0,"",IF(F674="",IFERROR(INDEX(eq_dur,MATCH(B674,eq_code,0)),""),F674))</f>
        <v/>
      </c>
      <c r="L674" s="55" t="str">
        <f>IF(ISNUMBER(K674),N(IFERROR(INDEX(eq_pause,MATCH(B674,eq_code,0)),0))+SUMIFS(st_min,st_date,A674,st_eq,B674,st_po,C674,st_type,"Planifié"),"")</f>
        <v/>
      </c>
      <c r="M674" s="55" t="str">
        <f>IF(ISNUMBER(K674),K674-L674,"")</f>
        <v/>
      </c>
      <c r="N674" s="55" t="str">
        <f>IF(ISNUMBER(K674),SUMIFS(st_min,st_date,A674,st_eq,B674,st_po,C674,st_type,"Non planifié"),"")</f>
        <v/>
      </c>
      <c r="O674" s="55" t="str">
        <f>IF(ISNUMBER(K674),M674-N674,"")</f>
        <v/>
      </c>
      <c r="P674" s="55" t="str">
        <f>IF(COUNTA(A674:I674)=0,"",N(G674)+N(H674)+N(I674))</f>
        <v/>
      </c>
      <c r="Q674" s="56" t="str">
        <f>IF(COUNTA(A674:I674)=0,"",IF(N(IFERROR(INDEX(art_rate,MATCH(E674,art_ref,0)),0))&gt;0,N(IFERROR(INDEX(art_rate,MATCH(E674,art_ref,0)),0)),N(IFERROR(INDEX(po_rate,MATCH(C674,po_code,0)),0))))</f>
        <v/>
      </c>
      <c r="R674" s="55" t="str">
        <f>IF(AC674=1,P674*60/Q674,"")</f>
        <v/>
      </c>
      <c r="S674" s="55" t="str">
        <f>IF(AC674=1,N(G674)*60/Q674,"")</f>
        <v/>
      </c>
      <c r="T674" s="57" t="str">
        <f>IF(AC674=1,O674/M674,"")</f>
        <v/>
      </c>
      <c r="U674" s="57" t="str">
        <f>IF(AC674=1,IF(O674&gt;0,R674/O674,""),"")</f>
        <v/>
      </c>
      <c r="V674" s="57" t="str">
        <f>IF(AC674=1,IF(P674&gt;0,N(G674)/P674,""),"")</f>
        <v/>
      </c>
      <c r="W674" s="57" t="str">
        <f>IF(AC674=1,S674/M674,"")</f>
        <v/>
      </c>
      <c r="X674" s="57" t="str">
        <f>IF(AC674=1,S674/K674,"")</f>
        <v/>
      </c>
      <c r="Y674" s="58" t="str">
        <f>IF(W674="","",IF(W674&gt;=p_target,"Bon",IF(W674&gt;=p_alert,"À surveiller","Faible")))</f>
        <v/>
      </c>
      <c r="Z674" s="58" t="str">
        <f>IF(W674="","",IF(MIN(IF(T674="",1,T674),IF(U674="",1,U674),IF(V674="",1,V674))&gt;=1,"Aucune",IF(IF(T674="",1,T674)&lt;=MIN(IF(U674="",1,U674),IF(V674="",1,V674)),"Disponibilité",IF(IF(U674="",1,U674)&lt;=IF(V674="",1,V674),"Performance","Qualité"))))</f>
        <v/>
      </c>
      <c r="AA674" s="59" t="str">
        <f>IF(AC674=1,N(H674)*N(IFERROR(INDEX(art_cost,MATCH(E674,art_ref,0)),0)),"")</f>
        <v/>
      </c>
      <c r="AB674" s="58" t="str">
        <f>IF(COUNTA(A674:I674)=0,"",IF(N(A674)&lt;=0,"Date manquante ou invalide",IF(B674="","Équipe manquante",IF(ISNA(MATCH(B674,eq_code,0)),"Équipe inconnue",IF(INDEX(eq_check,MATCH(B674,eq_code,0))&lt;&gt;"OK","Équipe à corriger dans Paramètres",IF(C674="","Poste manquant",IF(ISNA(MATCH(C674,po_code,0)),"Poste inconnu",IF(AND(E674&lt;&gt;"",ISNA(MATCH(E674,art_ref,0))),"Article inconnu",IF(IF(E674="",FALSE,INDEX(art_check,MATCH(E674,art_ref,0))&lt;&gt;"OK"),"Article à corriger (feuille Articles)",IF(COUNTIFS(sj_date,A674,sj_eq,B674,sj_po,C674)&gt;1,"Ligne en double (même jour, équipe et poste)",IF(OR(NOT(ISNUMBER(K674)),N(K674)&lt;=0,N(K674)&gt;1440),"Temps d'ouverture invalide",IF(OR(AND(G674&lt;&gt;"",NOT(ISNUMBER(G674))),N(G674)&lt;0,N(G674)&lt;&gt;INT(N(G674)),AND(H674&lt;&gt;"",NOT(ISNUMBER(H674))),N(H674)&lt;0,N(H674)&lt;&gt;INT(N(H674)),AND(I674&lt;&gt;"",NOT(ISNUMBER(I674))),N(I674)&lt;0,N(I674)&lt;&gt;INT(N(I674))),"Quantité invalide",IF(Q674&lt;=0,"Cadence manquante (poste ou article)",IF(M674&lt;=0,"Arrêts planifiés supérieurs au temps d'ouverture",IF(O674&lt;0,"Arrêts supérieurs au temps requis",IF(AND(P674&gt;0,O674=0),"Pièces déclarées sans temps de marche",IF(AND(P674=0,O674&gt;0),"Aucune pièce déclarée",IF(P674*60/Q674&gt;O674+0.001,"Cadence dépassée : vérifiez la cadence","OK"))))))))))))))))))</f>
        <v/>
      </c>
      <c r="AC674">
        <f>IF(OR(AB674="OK",AB674="Aucune pièce déclarée",AB674="Cadence dépassée : vérifiez la cadence"),1,0)</f>
        <v>0.0</v>
      </c>
      <c r="AD674">
        <f>IF(AND(AC674=1,A674&gt;=p_from,A674&lt;=p_to),1,0)</f>
        <v>0.0</v>
      </c>
      <c r="AE674">
        <f>IF(AD674=1,IF(COUNTIFS($A$6:A674,A674,$AD$6:AD674,1)=1,1,0),0)</f>
        <v>0.0</v>
      </c>
      <c r="AF674" t="str">
        <f>IF(AE674=1,COUNTIFS(sj_first,1,sj_date,"&lt;"&amp;A674)+1,"")</f>
        <v/>
      </c>
      <c r="AG674" t="str">
        <f>IF(AND(AD674=1,N(W674)&lt;p_alert),ROUND(W674,4),"")</f>
        <v/>
      </c>
      <c r="AH674" t="str">
        <f>IF(AG674="","",COUNTIF(sj_akey,"&lt;"&amp;AG674)+COUNTIF($AG$6:AG674,AG674))</f>
        <v/>
      </c>
    </row>
    <row r="675">
      <c r="A675" s="51" t="n"/>
      <c r="B675" s="52" t="n"/>
      <c r="C675" s="52" t="n"/>
      <c r="D675" s="53" t="n"/>
      <c r="E675" s="53" t="n"/>
      <c r="F675" s="54" t="n"/>
      <c r="G675" s="54" t="n"/>
      <c r="H675" s="54" t="n"/>
      <c r="I675" s="54" t="n"/>
      <c r="J675" s="53" t="n"/>
      <c r="K675" s="55" t="str">
        <f>IF(COUNTA(A675:I675)=0,"",IF(F675="",IFERROR(INDEX(eq_dur,MATCH(B675,eq_code,0)),""),F675))</f>
        <v/>
      </c>
      <c r="L675" s="55" t="str">
        <f>IF(ISNUMBER(K675),N(IFERROR(INDEX(eq_pause,MATCH(B675,eq_code,0)),0))+SUMIFS(st_min,st_date,A675,st_eq,B675,st_po,C675,st_type,"Planifié"),"")</f>
        <v/>
      </c>
      <c r="M675" s="55" t="str">
        <f>IF(ISNUMBER(K675),K675-L675,"")</f>
        <v/>
      </c>
      <c r="N675" s="55" t="str">
        <f>IF(ISNUMBER(K675),SUMIFS(st_min,st_date,A675,st_eq,B675,st_po,C675,st_type,"Non planifié"),"")</f>
        <v/>
      </c>
      <c r="O675" s="55" t="str">
        <f>IF(ISNUMBER(K675),M675-N675,"")</f>
        <v/>
      </c>
      <c r="P675" s="55" t="str">
        <f>IF(COUNTA(A675:I675)=0,"",N(G675)+N(H675)+N(I675))</f>
        <v/>
      </c>
      <c r="Q675" s="56" t="str">
        <f>IF(COUNTA(A675:I675)=0,"",IF(N(IFERROR(INDEX(art_rate,MATCH(E675,art_ref,0)),0))&gt;0,N(IFERROR(INDEX(art_rate,MATCH(E675,art_ref,0)),0)),N(IFERROR(INDEX(po_rate,MATCH(C675,po_code,0)),0))))</f>
        <v/>
      </c>
      <c r="R675" s="55" t="str">
        <f>IF(AC675=1,P675*60/Q675,"")</f>
        <v/>
      </c>
      <c r="S675" s="55" t="str">
        <f>IF(AC675=1,N(G675)*60/Q675,"")</f>
        <v/>
      </c>
      <c r="T675" s="57" t="str">
        <f>IF(AC675=1,O675/M675,"")</f>
        <v/>
      </c>
      <c r="U675" s="57" t="str">
        <f>IF(AC675=1,IF(O675&gt;0,R675/O675,""),"")</f>
        <v/>
      </c>
      <c r="V675" s="57" t="str">
        <f>IF(AC675=1,IF(P675&gt;0,N(G675)/P675,""),"")</f>
        <v/>
      </c>
      <c r="W675" s="57" t="str">
        <f>IF(AC675=1,S675/M675,"")</f>
        <v/>
      </c>
      <c r="X675" s="57" t="str">
        <f>IF(AC675=1,S675/K675,"")</f>
        <v/>
      </c>
      <c r="Y675" s="58" t="str">
        <f>IF(W675="","",IF(W675&gt;=p_target,"Bon",IF(W675&gt;=p_alert,"À surveiller","Faible")))</f>
        <v/>
      </c>
      <c r="Z675" s="58" t="str">
        <f>IF(W675="","",IF(MIN(IF(T675="",1,T675),IF(U675="",1,U675),IF(V675="",1,V675))&gt;=1,"Aucune",IF(IF(T675="",1,T675)&lt;=MIN(IF(U675="",1,U675),IF(V675="",1,V675)),"Disponibilité",IF(IF(U675="",1,U675)&lt;=IF(V675="",1,V675),"Performance","Qualité"))))</f>
        <v/>
      </c>
      <c r="AA675" s="59" t="str">
        <f>IF(AC675=1,N(H675)*N(IFERROR(INDEX(art_cost,MATCH(E675,art_ref,0)),0)),"")</f>
        <v/>
      </c>
      <c r="AB675" s="58" t="str">
        <f>IF(COUNTA(A675:I675)=0,"",IF(N(A675)&lt;=0,"Date manquante ou invalide",IF(B675="","Équipe manquante",IF(ISNA(MATCH(B675,eq_code,0)),"Équipe inconnue",IF(INDEX(eq_check,MATCH(B675,eq_code,0))&lt;&gt;"OK","Équipe à corriger dans Paramètres",IF(C675="","Poste manquant",IF(ISNA(MATCH(C675,po_code,0)),"Poste inconnu",IF(AND(E675&lt;&gt;"",ISNA(MATCH(E675,art_ref,0))),"Article inconnu",IF(IF(E675="",FALSE,INDEX(art_check,MATCH(E675,art_ref,0))&lt;&gt;"OK"),"Article à corriger (feuille Articles)",IF(COUNTIFS(sj_date,A675,sj_eq,B675,sj_po,C675)&gt;1,"Ligne en double (même jour, équipe et poste)",IF(OR(NOT(ISNUMBER(K675)),N(K675)&lt;=0,N(K675)&gt;1440),"Temps d'ouverture invalide",IF(OR(AND(G675&lt;&gt;"",NOT(ISNUMBER(G675))),N(G675)&lt;0,N(G675)&lt;&gt;INT(N(G675)),AND(H675&lt;&gt;"",NOT(ISNUMBER(H675))),N(H675)&lt;0,N(H675)&lt;&gt;INT(N(H675)),AND(I675&lt;&gt;"",NOT(ISNUMBER(I675))),N(I675)&lt;0,N(I675)&lt;&gt;INT(N(I675))),"Quantité invalide",IF(Q675&lt;=0,"Cadence manquante (poste ou article)",IF(M675&lt;=0,"Arrêts planifiés supérieurs au temps d'ouverture",IF(O675&lt;0,"Arrêts supérieurs au temps requis",IF(AND(P675&gt;0,O675=0),"Pièces déclarées sans temps de marche",IF(AND(P675=0,O675&gt;0),"Aucune pièce déclarée",IF(P675*60/Q675&gt;O675+0.001,"Cadence dépassée : vérifiez la cadence","OK"))))))))))))))))))</f>
        <v/>
      </c>
      <c r="AC675">
        <f>IF(OR(AB675="OK",AB675="Aucune pièce déclarée",AB675="Cadence dépassée : vérifiez la cadence"),1,0)</f>
        <v>0.0</v>
      </c>
      <c r="AD675">
        <f>IF(AND(AC675=1,A675&gt;=p_from,A675&lt;=p_to),1,0)</f>
        <v>0.0</v>
      </c>
      <c r="AE675">
        <f>IF(AD675=1,IF(COUNTIFS($A$6:A675,A675,$AD$6:AD675,1)=1,1,0),0)</f>
        <v>0.0</v>
      </c>
      <c r="AF675" t="str">
        <f>IF(AE675=1,COUNTIFS(sj_first,1,sj_date,"&lt;"&amp;A675)+1,"")</f>
        <v/>
      </c>
      <c r="AG675" t="str">
        <f>IF(AND(AD675=1,N(W675)&lt;p_alert),ROUND(W675,4),"")</f>
        <v/>
      </c>
      <c r="AH675" t="str">
        <f>IF(AG675="","",COUNTIF(sj_akey,"&lt;"&amp;AG675)+COUNTIF($AG$6:AG675,AG675))</f>
        <v/>
      </c>
    </row>
    <row r="676">
      <c r="A676" s="51" t="n"/>
      <c r="B676" s="52" t="n"/>
      <c r="C676" s="52" t="n"/>
      <c r="D676" s="53" t="n"/>
      <c r="E676" s="53" t="n"/>
      <c r="F676" s="54" t="n"/>
      <c r="G676" s="54" t="n"/>
      <c r="H676" s="54" t="n"/>
      <c r="I676" s="54" t="n"/>
      <c r="J676" s="53" t="n"/>
      <c r="K676" s="55" t="str">
        <f>IF(COUNTA(A676:I676)=0,"",IF(F676="",IFERROR(INDEX(eq_dur,MATCH(B676,eq_code,0)),""),F676))</f>
        <v/>
      </c>
      <c r="L676" s="55" t="str">
        <f>IF(ISNUMBER(K676),N(IFERROR(INDEX(eq_pause,MATCH(B676,eq_code,0)),0))+SUMIFS(st_min,st_date,A676,st_eq,B676,st_po,C676,st_type,"Planifié"),"")</f>
        <v/>
      </c>
      <c r="M676" s="55" t="str">
        <f>IF(ISNUMBER(K676),K676-L676,"")</f>
        <v/>
      </c>
      <c r="N676" s="55" t="str">
        <f>IF(ISNUMBER(K676),SUMIFS(st_min,st_date,A676,st_eq,B676,st_po,C676,st_type,"Non planifié"),"")</f>
        <v/>
      </c>
      <c r="O676" s="55" t="str">
        <f>IF(ISNUMBER(K676),M676-N676,"")</f>
        <v/>
      </c>
      <c r="P676" s="55" t="str">
        <f>IF(COUNTA(A676:I676)=0,"",N(G676)+N(H676)+N(I676))</f>
        <v/>
      </c>
      <c r="Q676" s="56" t="str">
        <f>IF(COUNTA(A676:I676)=0,"",IF(N(IFERROR(INDEX(art_rate,MATCH(E676,art_ref,0)),0))&gt;0,N(IFERROR(INDEX(art_rate,MATCH(E676,art_ref,0)),0)),N(IFERROR(INDEX(po_rate,MATCH(C676,po_code,0)),0))))</f>
        <v/>
      </c>
      <c r="R676" s="55" t="str">
        <f>IF(AC676=1,P676*60/Q676,"")</f>
        <v/>
      </c>
      <c r="S676" s="55" t="str">
        <f>IF(AC676=1,N(G676)*60/Q676,"")</f>
        <v/>
      </c>
      <c r="T676" s="57" t="str">
        <f>IF(AC676=1,O676/M676,"")</f>
        <v/>
      </c>
      <c r="U676" s="57" t="str">
        <f>IF(AC676=1,IF(O676&gt;0,R676/O676,""),"")</f>
        <v/>
      </c>
      <c r="V676" s="57" t="str">
        <f>IF(AC676=1,IF(P676&gt;0,N(G676)/P676,""),"")</f>
        <v/>
      </c>
      <c r="W676" s="57" t="str">
        <f>IF(AC676=1,S676/M676,"")</f>
        <v/>
      </c>
      <c r="X676" s="57" t="str">
        <f>IF(AC676=1,S676/K676,"")</f>
        <v/>
      </c>
      <c r="Y676" s="58" t="str">
        <f>IF(W676="","",IF(W676&gt;=p_target,"Bon",IF(W676&gt;=p_alert,"À surveiller","Faible")))</f>
        <v/>
      </c>
      <c r="Z676" s="58" t="str">
        <f>IF(W676="","",IF(MIN(IF(T676="",1,T676),IF(U676="",1,U676),IF(V676="",1,V676))&gt;=1,"Aucune",IF(IF(T676="",1,T676)&lt;=MIN(IF(U676="",1,U676),IF(V676="",1,V676)),"Disponibilité",IF(IF(U676="",1,U676)&lt;=IF(V676="",1,V676),"Performance","Qualité"))))</f>
        <v/>
      </c>
      <c r="AA676" s="59" t="str">
        <f>IF(AC676=1,N(H676)*N(IFERROR(INDEX(art_cost,MATCH(E676,art_ref,0)),0)),"")</f>
        <v/>
      </c>
      <c r="AB676" s="58" t="str">
        <f>IF(COUNTA(A676:I676)=0,"",IF(N(A676)&lt;=0,"Date manquante ou invalide",IF(B676="","Équipe manquante",IF(ISNA(MATCH(B676,eq_code,0)),"Équipe inconnue",IF(INDEX(eq_check,MATCH(B676,eq_code,0))&lt;&gt;"OK","Équipe à corriger dans Paramètres",IF(C676="","Poste manquant",IF(ISNA(MATCH(C676,po_code,0)),"Poste inconnu",IF(AND(E676&lt;&gt;"",ISNA(MATCH(E676,art_ref,0))),"Article inconnu",IF(IF(E676="",FALSE,INDEX(art_check,MATCH(E676,art_ref,0))&lt;&gt;"OK"),"Article à corriger (feuille Articles)",IF(COUNTIFS(sj_date,A676,sj_eq,B676,sj_po,C676)&gt;1,"Ligne en double (même jour, équipe et poste)",IF(OR(NOT(ISNUMBER(K676)),N(K676)&lt;=0,N(K676)&gt;1440),"Temps d'ouverture invalide",IF(OR(AND(G676&lt;&gt;"",NOT(ISNUMBER(G676))),N(G676)&lt;0,N(G676)&lt;&gt;INT(N(G676)),AND(H676&lt;&gt;"",NOT(ISNUMBER(H676))),N(H676)&lt;0,N(H676)&lt;&gt;INT(N(H676)),AND(I676&lt;&gt;"",NOT(ISNUMBER(I676))),N(I676)&lt;0,N(I676)&lt;&gt;INT(N(I676))),"Quantité invalide",IF(Q676&lt;=0,"Cadence manquante (poste ou article)",IF(M676&lt;=0,"Arrêts planifiés supérieurs au temps d'ouverture",IF(O676&lt;0,"Arrêts supérieurs au temps requis",IF(AND(P676&gt;0,O676=0),"Pièces déclarées sans temps de marche",IF(AND(P676=0,O676&gt;0),"Aucune pièce déclarée",IF(P676*60/Q676&gt;O676+0.001,"Cadence dépassée : vérifiez la cadence","OK"))))))))))))))))))</f>
        <v/>
      </c>
      <c r="AC676">
        <f>IF(OR(AB676="OK",AB676="Aucune pièce déclarée",AB676="Cadence dépassée : vérifiez la cadence"),1,0)</f>
        <v>0.0</v>
      </c>
      <c r="AD676">
        <f>IF(AND(AC676=1,A676&gt;=p_from,A676&lt;=p_to),1,0)</f>
        <v>0.0</v>
      </c>
      <c r="AE676">
        <f>IF(AD676=1,IF(COUNTIFS($A$6:A676,A676,$AD$6:AD676,1)=1,1,0),0)</f>
        <v>0.0</v>
      </c>
      <c r="AF676" t="str">
        <f>IF(AE676=1,COUNTIFS(sj_first,1,sj_date,"&lt;"&amp;A676)+1,"")</f>
        <v/>
      </c>
      <c r="AG676" t="str">
        <f>IF(AND(AD676=1,N(W676)&lt;p_alert),ROUND(W676,4),"")</f>
        <v/>
      </c>
      <c r="AH676" t="str">
        <f>IF(AG676="","",COUNTIF(sj_akey,"&lt;"&amp;AG676)+COUNTIF($AG$6:AG676,AG676))</f>
        <v/>
      </c>
    </row>
    <row r="677">
      <c r="A677" s="51" t="n"/>
      <c r="B677" s="52" t="n"/>
      <c r="C677" s="52" t="n"/>
      <c r="D677" s="53" t="n"/>
      <c r="E677" s="53" t="n"/>
      <c r="F677" s="54" t="n"/>
      <c r="G677" s="54" t="n"/>
      <c r="H677" s="54" t="n"/>
      <c r="I677" s="54" t="n"/>
      <c r="J677" s="53" t="n"/>
      <c r="K677" s="55" t="str">
        <f>IF(COUNTA(A677:I677)=0,"",IF(F677="",IFERROR(INDEX(eq_dur,MATCH(B677,eq_code,0)),""),F677))</f>
        <v/>
      </c>
      <c r="L677" s="55" t="str">
        <f>IF(ISNUMBER(K677),N(IFERROR(INDEX(eq_pause,MATCH(B677,eq_code,0)),0))+SUMIFS(st_min,st_date,A677,st_eq,B677,st_po,C677,st_type,"Planifié"),"")</f>
        <v/>
      </c>
      <c r="M677" s="55" t="str">
        <f>IF(ISNUMBER(K677),K677-L677,"")</f>
        <v/>
      </c>
      <c r="N677" s="55" t="str">
        <f>IF(ISNUMBER(K677),SUMIFS(st_min,st_date,A677,st_eq,B677,st_po,C677,st_type,"Non planifié"),"")</f>
        <v/>
      </c>
      <c r="O677" s="55" t="str">
        <f>IF(ISNUMBER(K677),M677-N677,"")</f>
        <v/>
      </c>
      <c r="P677" s="55" t="str">
        <f>IF(COUNTA(A677:I677)=0,"",N(G677)+N(H677)+N(I677))</f>
        <v/>
      </c>
      <c r="Q677" s="56" t="str">
        <f>IF(COUNTA(A677:I677)=0,"",IF(N(IFERROR(INDEX(art_rate,MATCH(E677,art_ref,0)),0))&gt;0,N(IFERROR(INDEX(art_rate,MATCH(E677,art_ref,0)),0)),N(IFERROR(INDEX(po_rate,MATCH(C677,po_code,0)),0))))</f>
        <v/>
      </c>
      <c r="R677" s="55" t="str">
        <f>IF(AC677=1,P677*60/Q677,"")</f>
        <v/>
      </c>
      <c r="S677" s="55" t="str">
        <f>IF(AC677=1,N(G677)*60/Q677,"")</f>
        <v/>
      </c>
      <c r="T677" s="57" t="str">
        <f>IF(AC677=1,O677/M677,"")</f>
        <v/>
      </c>
      <c r="U677" s="57" t="str">
        <f>IF(AC677=1,IF(O677&gt;0,R677/O677,""),"")</f>
        <v/>
      </c>
      <c r="V677" s="57" t="str">
        <f>IF(AC677=1,IF(P677&gt;0,N(G677)/P677,""),"")</f>
        <v/>
      </c>
      <c r="W677" s="57" t="str">
        <f>IF(AC677=1,S677/M677,"")</f>
        <v/>
      </c>
      <c r="X677" s="57" t="str">
        <f>IF(AC677=1,S677/K677,"")</f>
        <v/>
      </c>
      <c r="Y677" s="58" t="str">
        <f>IF(W677="","",IF(W677&gt;=p_target,"Bon",IF(W677&gt;=p_alert,"À surveiller","Faible")))</f>
        <v/>
      </c>
      <c r="Z677" s="58" t="str">
        <f>IF(W677="","",IF(MIN(IF(T677="",1,T677),IF(U677="",1,U677),IF(V677="",1,V677))&gt;=1,"Aucune",IF(IF(T677="",1,T677)&lt;=MIN(IF(U677="",1,U677),IF(V677="",1,V677)),"Disponibilité",IF(IF(U677="",1,U677)&lt;=IF(V677="",1,V677),"Performance","Qualité"))))</f>
        <v/>
      </c>
      <c r="AA677" s="59" t="str">
        <f>IF(AC677=1,N(H677)*N(IFERROR(INDEX(art_cost,MATCH(E677,art_ref,0)),0)),"")</f>
        <v/>
      </c>
      <c r="AB677" s="58" t="str">
        <f>IF(COUNTA(A677:I677)=0,"",IF(N(A677)&lt;=0,"Date manquante ou invalide",IF(B677="","Équipe manquante",IF(ISNA(MATCH(B677,eq_code,0)),"Équipe inconnue",IF(INDEX(eq_check,MATCH(B677,eq_code,0))&lt;&gt;"OK","Équipe à corriger dans Paramètres",IF(C677="","Poste manquant",IF(ISNA(MATCH(C677,po_code,0)),"Poste inconnu",IF(AND(E677&lt;&gt;"",ISNA(MATCH(E677,art_ref,0))),"Article inconnu",IF(IF(E677="",FALSE,INDEX(art_check,MATCH(E677,art_ref,0))&lt;&gt;"OK"),"Article à corriger (feuille Articles)",IF(COUNTIFS(sj_date,A677,sj_eq,B677,sj_po,C677)&gt;1,"Ligne en double (même jour, équipe et poste)",IF(OR(NOT(ISNUMBER(K677)),N(K677)&lt;=0,N(K677)&gt;1440),"Temps d'ouverture invalide",IF(OR(AND(G677&lt;&gt;"",NOT(ISNUMBER(G677))),N(G677)&lt;0,N(G677)&lt;&gt;INT(N(G677)),AND(H677&lt;&gt;"",NOT(ISNUMBER(H677))),N(H677)&lt;0,N(H677)&lt;&gt;INT(N(H677)),AND(I677&lt;&gt;"",NOT(ISNUMBER(I677))),N(I677)&lt;0,N(I677)&lt;&gt;INT(N(I677))),"Quantité invalide",IF(Q677&lt;=0,"Cadence manquante (poste ou article)",IF(M677&lt;=0,"Arrêts planifiés supérieurs au temps d'ouverture",IF(O677&lt;0,"Arrêts supérieurs au temps requis",IF(AND(P677&gt;0,O677=0),"Pièces déclarées sans temps de marche",IF(AND(P677=0,O677&gt;0),"Aucune pièce déclarée",IF(P677*60/Q677&gt;O677+0.001,"Cadence dépassée : vérifiez la cadence","OK"))))))))))))))))))</f>
        <v/>
      </c>
      <c r="AC677">
        <f>IF(OR(AB677="OK",AB677="Aucune pièce déclarée",AB677="Cadence dépassée : vérifiez la cadence"),1,0)</f>
        <v>0.0</v>
      </c>
      <c r="AD677">
        <f>IF(AND(AC677=1,A677&gt;=p_from,A677&lt;=p_to),1,0)</f>
        <v>0.0</v>
      </c>
      <c r="AE677">
        <f>IF(AD677=1,IF(COUNTIFS($A$6:A677,A677,$AD$6:AD677,1)=1,1,0),0)</f>
        <v>0.0</v>
      </c>
      <c r="AF677" t="str">
        <f>IF(AE677=1,COUNTIFS(sj_first,1,sj_date,"&lt;"&amp;A677)+1,"")</f>
        <v/>
      </c>
      <c r="AG677" t="str">
        <f>IF(AND(AD677=1,N(W677)&lt;p_alert),ROUND(W677,4),"")</f>
        <v/>
      </c>
      <c r="AH677" t="str">
        <f>IF(AG677="","",COUNTIF(sj_akey,"&lt;"&amp;AG677)+COUNTIF($AG$6:AG677,AG677))</f>
        <v/>
      </c>
    </row>
    <row r="678">
      <c r="A678" s="51" t="n"/>
      <c r="B678" s="52" t="n"/>
      <c r="C678" s="52" t="n"/>
      <c r="D678" s="53" t="n"/>
      <c r="E678" s="53" t="n"/>
      <c r="F678" s="54" t="n"/>
      <c r="G678" s="54" t="n"/>
      <c r="H678" s="54" t="n"/>
      <c r="I678" s="54" t="n"/>
      <c r="J678" s="53" t="n"/>
      <c r="K678" s="55" t="str">
        <f>IF(COUNTA(A678:I678)=0,"",IF(F678="",IFERROR(INDEX(eq_dur,MATCH(B678,eq_code,0)),""),F678))</f>
        <v/>
      </c>
      <c r="L678" s="55" t="str">
        <f>IF(ISNUMBER(K678),N(IFERROR(INDEX(eq_pause,MATCH(B678,eq_code,0)),0))+SUMIFS(st_min,st_date,A678,st_eq,B678,st_po,C678,st_type,"Planifié"),"")</f>
        <v/>
      </c>
      <c r="M678" s="55" t="str">
        <f>IF(ISNUMBER(K678),K678-L678,"")</f>
        <v/>
      </c>
      <c r="N678" s="55" t="str">
        <f>IF(ISNUMBER(K678),SUMIFS(st_min,st_date,A678,st_eq,B678,st_po,C678,st_type,"Non planifié"),"")</f>
        <v/>
      </c>
      <c r="O678" s="55" t="str">
        <f>IF(ISNUMBER(K678),M678-N678,"")</f>
        <v/>
      </c>
      <c r="P678" s="55" t="str">
        <f>IF(COUNTA(A678:I678)=0,"",N(G678)+N(H678)+N(I678))</f>
        <v/>
      </c>
      <c r="Q678" s="56" t="str">
        <f>IF(COUNTA(A678:I678)=0,"",IF(N(IFERROR(INDEX(art_rate,MATCH(E678,art_ref,0)),0))&gt;0,N(IFERROR(INDEX(art_rate,MATCH(E678,art_ref,0)),0)),N(IFERROR(INDEX(po_rate,MATCH(C678,po_code,0)),0))))</f>
        <v/>
      </c>
      <c r="R678" s="55" t="str">
        <f>IF(AC678=1,P678*60/Q678,"")</f>
        <v/>
      </c>
      <c r="S678" s="55" t="str">
        <f>IF(AC678=1,N(G678)*60/Q678,"")</f>
        <v/>
      </c>
      <c r="T678" s="57" t="str">
        <f>IF(AC678=1,O678/M678,"")</f>
        <v/>
      </c>
      <c r="U678" s="57" t="str">
        <f>IF(AC678=1,IF(O678&gt;0,R678/O678,""),"")</f>
        <v/>
      </c>
      <c r="V678" s="57" t="str">
        <f>IF(AC678=1,IF(P678&gt;0,N(G678)/P678,""),"")</f>
        <v/>
      </c>
      <c r="W678" s="57" t="str">
        <f>IF(AC678=1,S678/M678,"")</f>
        <v/>
      </c>
      <c r="X678" s="57" t="str">
        <f>IF(AC678=1,S678/K678,"")</f>
        <v/>
      </c>
      <c r="Y678" s="58" t="str">
        <f>IF(W678="","",IF(W678&gt;=p_target,"Bon",IF(W678&gt;=p_alert,"À surveiller","Faible")))</f>
        <v/>
      </c>
      <c r="Z678" s="58" t="str">
        <f>IF(W678="","",IF(MIN(IF(T678="",1,T678),IF(U678="",1,U678),IF(V678="",1,V678))&gt;=1,"Aucune",IF(IF(T678="",1,T678)&lt;=MIN(IF(U678="",1,U678),IF(V678="",1,V678)),"Disponibilité",IF(IF(U678="",1,U678)&lt;=IF(V678="",1,V678),"Performance","Qualité"))))</f>
        <v/>
      </c>
      <c r="AA678" s="59" t="str">
        <f>IF(AC678=1,N(H678)*N(IFERROR(INDEX(art_cost,MATCH(E678,art_ref,0)),0)),"")</f>
        <v/>
      </c>
      <c r="AB678" s="58" t="str">
        <f>IF(COUNTA(A678:I678)=0,"",IF(N(A678)&lt;=0,"Date manquante ou invalide",IF(B678="","Équipe manquante",IF(ISNA(MATCH(B678,eq_code,0)),"Équipe inconnue",IF(INDEX(eq_check,MATCH(B678,eq_code,0))&lt;&gt;"OK","Équipe à corriger dans Paramètres",IF(C678="","Poste manquant",IF(ISNA(MATCH(C678,po_code,0)),"Poste inconnu",IF(AND(E678&lt;&gt;"",ISNA(MATCH(E678,art_ref,0))),"Article inconnu",IF(IF(E678="",FALSE,INDEX(art_check,MATCH(E678,art_ref,0))&lt;&gt;"OK"),"Article à corriger (feuille Articles)",IF(COUNTIFS(sj_date,A678,sj_eq,B678,sj_po,C678)&gt;1,"Ligne en double (même jour, équipe et poste)",IF(OR(NOT(ISNUMBER(K678)),N(K678)&lt;=0,N(K678)&gt;1440),"Temps d'ouverture invalide",IF(OR(AND(G678&lt;&gt;"",NOT(ISNUMBER(G678))),N(G678)&lt;0,N(G678)&lt;&gt;INT(N(G678)),AND(H678&lt;&gt;"",NOT(ISNUMBER(H678))),N(H678)&lt;0,N(H678)&lt;&gt;INT(N(H678)),AND(I678&lt;&gt;"",NOT(ISNUMBER(I678))),N(I678)&lt;0,N(I678)&lt;&gt;INT(N(I678))),"Quantité invalide",IF(Q678&lt;=0,"Cadence manquante (poste ou article)",IF(M678&lt;=0,"Arrêts planifiés supérieurs au temps d'ouverture",IF(O678&lt;0,"Arrêts supérieurs au temps requis",IF(AND(P678&gt;0,O678=0),"Pièces déclarées sans temps de marche",IF(AND(P678=0,O678&gt;0),"Aucune pièce déclarée",IF(P678*60/Q678&gt;O678+0.001,"Cadence dépassée : vérifiez la cadence","OK"))))))))))))))))))</f>
        <v/>
      </c>
      <c r="AC678">
        <f>IF(OR(AB678="OK",AB678="Aucune pièce déclarée",AB678="Cadence dépassée : vérifiez la cadence"),1,0)</f>
        <v>0.0</v>
      </c>
      <c r="AD678">
        <f>IF(AND(AC678=1,A678&gt;=p_from,A678&lt;=p_to),1,0)</f>
        <v>0.0</v>
      </c>
      <c r="AE678">
        <f>IF(AD678=1,IF(COUNTIFS($A$6:A678,A678,$AD$6:AD678,1)=1,1,0),0)</f>
        <v>0.0</v>
      </c>
      <c r="AF678" t="str">
        <f>IF(AE678=1,COUNTIFS(sj_first,1,sj_date,"&lt;"&amp;A678)+1,"")</f>
        <v/>
      </c>
      <c r="AG678" t="str">
        <f>IF(AND(AD678=1,N(W678)&lt;p_alert),ROUND(W678,4),"")</f>
        <v/>
      </c>
      <c r="AH678" t="str">
        <f>IF(AG678="","",COUNTIF(sj_akey,"&lt;"&amp;AG678)+COUNTIF($AG$6:AG678,AG678))</f>
        <v/>
      </c>
    </row>
    <row r="679">
      <c r="A679" s="51" t="n"/>
      <c r="B679" s="52" t="n"/>
      <c r="C679" s="52" t="n"/>
      <c r="D679" s="53" t="n"/>
      <c r="E679" s="53" t="n"/>
      <c r="F679" s="54" t="n"/>
      <c r="G679" s="54" t="n"/>
      <c r="H679" s="54" t="n"/>
      <c r="I679" s="54" t="n"/>
      <c r="J679" s="53" t="n"/>
      <c r="K679" s="55" t="str">
        <f>IF(COUNTA(A679:I679)=0,"",IF(F679="",IFERROR(INDEX(eq_dur,MATCH(B679,eq_code,0)),""),F679))</f>
        <v/>
      </c>
      <c r="L679" s="55" t="str">
        <f>IF(ISNUMBER(K679),N(IFERROR(INDEX(eq_pause,MATCH(B679,eq_code,0)),0))+SUMIFS(st_min,st_date,A679,st_eq,B679,st_po,C679,st_type,"Planifié"),"")</f>
        <v/>
      </c>
      <c r="M679" s="55" t="str">
        <f>IF(ISNUMBER(K679),K679-L679,"")</f>
        <v/>
      </c>
      <c r="N679" s="55" t="str">
        <f>IF(ISNUMBER(K679),SUMIFS(st_min,st_date,A679,st_eq,B679,st_po,C679,st_type,"Non planifié"),"")</f>
        <v/>
      </c>
      <c r="O679" s="55" t="str">
        <f>IF(ISNUMBER(K679),M679-N679,"")</f>
        <v/>
      </c>
      <c r="P679" s="55" t="str">
        <f>IF(COUNTA(A679:I679)=0,"",N(G679)+N(H679)+N(I679))</f>
        <v/>
      </c>
      <c r="Q679" s="56" t="str">
        <f>IF(COUNTA(A679:I679)=0,"",IF(N(IFERROR(INDEX(art_rate,MATCH(E679,art_ref,0)),0))&gt;0,N(IFERROR(INDEX(art_rate,MATCH(E679,art_ref,0)),0)),N(IFERROR(INDEX(po_rate,MATCH(C679,po_code,0)),0))))</f>
        <v/>
      </c>
      <c r="R679" s="55" t="str">
        <f>IF(AC679=1,P679*60/Q679,"")</f>
        <v/>
      </c>
      <c r="S679" s="55" t="str">
        <f>IF(AC679=1,N(G679)*60/Q679,"")</f>
        <v/>
      </c>
      <c r="T679" s="57" t="str">
        <f>IF(AC679=1,O679/M679,"")</f>
        <v/>
      </c>
      <c r="U679" s="57" t="str">
        <f>IF(AC679=1,IF(O679&gt;0,R679/O679,""),"")</f>
        <v/>
      </c>
      <c r="V679" s="57" t="str">
        <f>IF(AC679=1,IF(P679&gt;0,N(G679)/P679,""),"")</f>
        <v/>
      </c>
      <c r="W679" s="57" t="str">
        <f>IF(AC679=1,S679/M679,"")</f>
        <v/>
      </c>
      <c r="X679" s="57" t="str">
        <f>IF(AC679=1,S679/K679,"")</f>
        <v/>
      </c>
      <c r="Y679" s="58" t="str">
        <f>IF(W679="","",IF(W679&gt;=p_target,"Bon",IF(W679&gt;=p_alert,"À surveiller","Faible")))</f>
        <v/>
      </c>
      <c r="Z679" s="58" t="str">
        <f>IF(W679="","",IF(MIN(IF(T679="",1,T679),IF(U679="",1,U679),IF(V679="",1,V679))&gt;=1,"Aucune",IF(IF(T679="",1,T679)&lt;=MIN(IF(U679="",1,U679),IF(V679="",1,V679)),"Disponibilité",IF(IF(U679="",1,U679)&lt;=IF(V679="",1,V679),"Performance","Qualité"))))</f>
        <v/>
      </c>
      <c r="AA679" s="59" t="str">
        <f>IF(AC679=1,N(H679)*N(IFERROR(INDEX(art_cost,MATCH(E679,art_ref,0)),0)),"")</f>
        <v/>
      </c>
      <c r="AB679" s="58" t="str">
        <f>IF(COUNTA(A679:I679)=0,"",IF(N(A679)&lt;=0,"Date manquante ou invalide",IF(B679="","Équipe manquante",IF(ISNA(MATCH(B679,eq_code,0)),"Équipe inconnue",IF(INDEX(eq_check,MATCH(B679,eq_code,0))&lt;&gt;"OK","Équipe à corriger dans Paramètres",IF(C679="","Poste manquant",IF(ISNA(MATCH(C679,po_code,0)),"Poste inconnu",IF(AND(E679&lt;&gt;"",ISNA(MATCH(E679,art_ref,0))),"Article inconnu",IF(IF(E679="",FALSE,INDEX(art_check,MATCH(E679,art_ref,0))&lt;&gt;"OK"),"Article à corriger (feuille Articles)",IF(COUNTIFS(sj_date,A679,sj_eq,B679,sj_po,C679)&gt;1,"Ligne en double (même jour, équipe et poste)",IF(OR(NOT(ISNUMBER(K679)),N(K679)&lt;=0,N(K679)&gt;1440),"Temps d'ouverture invalide",IF(OR(AND(G679&lt;&gt;"",NOT(ISNUMBER(G679))),N(G679)&lt;0,N(G679)&lt;&gt;INT(N(G679)),AND(H679&lt;&gt;"",NOT(ISNUMBER(H679))),N(H679)&lt;0,N(H679)&lt;&gt;INT(N(H679)),AND(I679&lt;&gt;"",NOT(ISNUMBER(I679))),N(I679)&lt;0,N(I679)&lt;&gt;INT(N(I679))),"Quantité invalide",IF(Q679&lt;=0,"Cadence manquante (poste ou article)",IF(M679&lt;=0,"Arrêts planifiés supérieurs au temps d'ouverture",IF(O679&lt;0,"Arrêts supérieurs au temps requis",IF(AND(P679&gt;0,O679=0),"Pièces déclarées sans temps de marche",IF(AND(P679=0,O679&gt;0),"Aucune pièce déclarée",IF(P679*60/Q679&gt;O679+0.001,"Cadence dépassée : vérifiez la cadence","OK"))))))))))))))))))</f>
        <v/>
      </c>
      <c r="AC679">
        <f>IF(OR(AB679="OK",AB679="Aucune pièce déclarée",AB679="Cadence dépassée : vérifiez la cadence"),1,0)</f>
        <v>0.0</v>
      </c>
      <c r="AD679">
        <f>IF(AND(AC679=1,A679&gt;=p_from,A679&lt;=p_to),1,0)</f>
        <v>0.0</v>
      </c>
      <c r="AE679">
        <f>IF(AD679=1,IF(COUNTIFS($A$6:A679,A679,$AD$6:AD679,1)=1,1,0),0)</f>
        <v>0.0</v>
      </c>
      <c r="AF679" t="str">
        <f>IF(AE679=1,COUNTIFS(sj_first,1,sj_date,"&lt;"&amp;A679)+1,"")</f>
        <v/>
      </c>
      <c r="AG679" t="str">
        <f>IF(AND(AD679=1,N(W679)&lt;p_alert),ROUND(W679,4),"")</f>
        <v/>
      </c>
      <c r="AH679" t="str">
        <f>IF(AG679="","",COUNTIF(sj_akey,"&lt;"&amp;AG679)+COUNTIF($AG$6:AG679,AG679))</f>
        <v/>
      </c>
    </row>
    <row r="680">
      <c r="A680" s="51" t="n"/>
      <c r="B680" s="52" t="n"/>
      <c r="C680" s="52" t="n"/>
      <c r="D680" s="53" t="n"/>
      <c r="E680" s="53" t="n"/>
      <c r="F680" s="54" t="n"/>
      <c r="G680" s="54" t="n"/>
      <c r="H680" s="54" t="n"/>
      <c r="I680" s="54" t="n"/>
      <c r="J680" s="53" t="n"/>
      <c r="K680" s="55" t="str">
        <f>IF(COUNTA(A680:I680)=0,"",IF(F680="",IFERROR(INDEX(eq_dur,MATCH(B680,eq_code,0)),""),F680))</f>
        <v/>
      </c>
      <c r="L680" s="55" t="str">
        <f>IF(ISNUMBER(K680),N(IFERROR(INDEX(eq_pause,MATCH(B680,eq_code,0)),0))+SUMIFS(st_min,st_date,A680,st_eq,B680,st_po,C680,st_type,"Planifié"),"")</f>
        <v/>
      </c>
      <c r="M680" s="55" t="str">
        <f>IF(ISNUMBER(K680),K680-L680,"")</f>
        <v/>
      </c>
      <c r="N680" s="55" t="str">
        <f>IF(ISNUMBER(K680),SUMIFS(st_min,st_date,A680,st_eq,B680,st_po,C680,st_type,"Non planifié"),"")</f>
        <v/>
      </c>
      <c r="O680" s="55" t="str">
        <f>IF(ISNUMBER(K680),M680-N680,"")</f>
        <v/>
      </c>
      <c r="P680" s="55" t="str">
        <f>IF(COUNTA(A680:I680)=0,"",N(G680)+N(H680)+N(I680))</f>
        <v/>
      </c>
      <c r="Q680" s="56" t="str">
        <f>IF(COUNTA(A680:I680)=0,"",IF(N(IFERROR(INDEX(art_rate,MATCH(E680,art_ref,0)),0))&gt;0,N(IFERROR(INDEX(art_rate,MATCH(E680,art_ref,0)),0)),N(IFERROR(INDEX(po_rate,MATCH(C680,po_code,0)),0))))</f>
        <v/>
      </c>
      <c r="R680" s="55" t="str">
        <f>IF(AC680=1,P680*60/Q680,"")</f>
        <v/>
      </c>
      <c r="S680" s="55" t="str">
        <f>IF(AC680=1,N(G680)*60/Q680,"")</f>
        <v/>
      </c>
      <c r="T680" s="57" t="str">
        <f>IF(AC680=1,O680/M680,"")</f>
        <v/>
      </c>
      <c r="U680" s="57" t="str">
        <f>IF(AC680=1,IF(O680&gt;0,R680/O680,""),"")</f>
        <v/>
      </c>
      <c r="V680" s="57" t="str">
        <f>IF(AC680=1,IF(P680&gt;0,N(G680)/P680,""),"")</f>
        <v/>
      </c>
      <c r="W680" s="57" t="str">
        <f>IF(AC680=1,S680/M680,"")</f>
        <v/>
      </c>
      <c r="X680" s="57" t="str">
        <f>IF(AC680=1,S680/K680,"")</f>
        <v/>
      </c>
      <c r="Y680" s="58" t="str">
        <f>IF(W680="","",IF(W680&gt;=p_target,"Bon",IF(W680&gt;=p_alert,"À surveiller","Faible")))</f>
        <v/>
      </c>
      <c r="Z680" s="58" t="str">
        <f>IF(W680="","",IF(MIN(IF(T680="",1,T680),IF(U680="",1,U680),IF(V680="",1,V680))&gt;=1,"Aucune",IF(IF(T680="",1,T680)&lt;=MIN(IF(U680="",1,U680),IF(V680="",1,V680)),"Disponibilité",IF(IF(U680="",1,U680)&lt;=IF(V680="",1,V680),"Performance","Qualité"))))</f>
        <v/>
      </c>
      <c r="AA680" s="59" t="str">
        <f>IF(AC680=1,N(H680)*N(IFERROR(INDEX(art_cost,MATCH(E680,art_ref,0)),0)),"")</f>
        <v/>
      </c>
      <c r="AB680" s="58" t="str">
        <f>IF(COUNTA(A680:I680)=0,"",IF(N(A680)&lt;=0,"Date manquante ou invalide",IF(B680="","Équipe manquante",IF(ISNA(MATCH(B680,eq_code,0)),"Équipe inconnue",IF(INDEX(eq_check,MATCH(B680,eq_code,0))&lt;&gt;"OK","Équipe à corriger dans Paramètres",IF(C680="","Poste manquant",IF(ISNA(MATCH(C680,po_code,0)),"Poste inconnu",IF(AND(E680&lt;&gt;"",ISNA(MATCH(E680,art_ref,0))),"Article inconnu",IF(IF(E680="",FALSE,INDEX(art_check,MATCH(E680,art_ref,0))&lt;&gt;"OK"),"Article à corriger (feuille Articles)",IF(COUNTIFS(sj_date,A680,sj_eq,B680,sj_po,C680)&gt;1,"Ligne en double (même jour, équipe et poste)",IF(OR(NOT(ISNUMBER(K680)),N(K680)&lt;=0,N(K680)&gt;1440),"Temps d'ouverture invalide",IF(OR(AND(G680&lt;&gt;"",NOT(ISNUMBER(G680))),N(G680)&lt;0,N(G680)&lt;&gt;INT(N(G680)),AND(H680&lt;&gt;"",NOT(ISNUMBER(H680))),N(H680)&lt;0,N(H680)&lt;&gt;INT(N(H680)),AND(I680&lt;&gt;"",NOT(ISNUMBER(I680))),N(I680)&lt;0,N(I680)&lt;&gt;INT(N(I680))),"Quantité invalide",IF(Q680&lt;=0,"Cadence manquante (poste ou article)",IF(M680&lt;=0,"Arrêts planifiés supérieurs au temps d'ouverture",IF(O680&lt;0,"Arrêts supérieurs au temps requis",IF(AND(P680&gt;0,O680=0),"Pièces déclarées sans temps de marche",IF(AND(P680=0,O680&gt;0),"Aucune pièce déclarée",IF(P680*60/Q680&gt;O680+0.001,"Cadence dépassée : vérifiez la cadence","OK"))))))))))))))))))</f>
        <v/>
      </c>
      <c r="AC680">
        <f>IF(OR(AB680="OK",AB680="Aucune pièce déclarée",AB680="Cadence dépassée : vérifiez la cadence"),1,0)</f>
        <v>0.0</v>
      </c>
      <c r="AD680">
        <f>IF(AND(AC680=1,A680&gt;=p_from,A680&lt;=p_to),1,0)</f>
        <v>0.0</v>
      </c>
      <c r="AE680">
        <f>IF(AD680=1,IF(COUNTIFS($A$6:A680,A680,$AD$6:AD680,1)=1,1,0),0)</f>
        <v>0.0</v>
      </c>
      <c r="AF680" t="str">
        <f>IF(AE680=1,COUNTIFS(sj_first,1,sj_date,"&lt;"&amp;A680)+1,"")</f>
        <v/>
      </c>
      <c r="AG680" t="str">
        <f>IF(AND(AD680=1,N(W680)&lt;p_alert),ROUND(W680,4),"")</f>
        <v/>
      </c>
      <c r="AH680" t="str">
        <f>IF(AG680="","",COUNTIF(sj_akey,"&lt;"&amp;AG680)+COUNTIF($AG$6:AG680,AG680))</f>
        <v/>
      </c>
    </row>
    <row r="681">
      <c r="A681" s="51" t="n"/>
      <c r="B681" s="52" t="n"/>
      <c r="C681" s="52" t="n"/>
      <c r="D681" s="53" t="n"/>
      <c r="E681" s="53" t="n"/>
      <c r="F681" s="54" t="n"/>
      <c r="G681" s="54" t="n"/>
      <c r="H681" s="54" t="n"/>
      <c r="I681" s="54" t="n"/>
      <c r="J681" s="53" t="n"/>
      <c r="K681" s="55" t="str">
        <f>IF(COUNTA(A681:I681)=0,"",IF(F681="",IFERROR(INDEX(eq_dur,MATCH(B681,eq_code,0)),""),F681))</f>
        <v/>
      </c>
      <c r="L681" s="55" t="str">
        <f>IF(ISNUMBER(K681),N(IFERROR(INDEX(eq_pause,MATCH(B681,eq_code,0)),0))+SUMIFS(st_min,st_date,A681,st_eq,B681,st_po,C681,st_type,"Planifié"),"")</f>
        <v/>
      </c>
      <c r="M681" s="55" t="str">
        <f>IF(ISNUMBER(K681),K681-L681,"")</f>
        <v/>
      </c>
      <c r="N681" s="55" t="str">
        <f>IF(ISNUMBER(K681),SUMIFS(st_min,st_date,A681,st_eq,B681,st_po,C681,st_type,"Non planifié"),"")</f>
        <v/>
      </c>
      <c r="O681" s="55" t="str">
        <f>IF(ISNUMBER(K681),M681-N681,"")</f>
        <v/>
      </c>
      <c r="P681" s="55" t="str">
        <f>IF(COUNTA(A681:I681)=0,"",N(G681)+N(H681)+N(I681))</f>
        <v/>
      </c>
      <c r="Q681" s="56" t="str">
        <f>IF(COUNTA(A681:I681)=0,"",IF(N(IFERROR(INDEX(art_rate,MATCH(E681,art_ref,0)),0))&gt;0,N(IFERROR(INDEX(art_rate,MATCH(E681,art_ref,0)),0)),N(IFERROR(INDEX(po_rate,MATCH(C681,po_code,0)),0))))</f>
        <v/>
      </c>
      <c r="R681" s="55" t="str">
        <f>IF(AC681=1,P681*60/Q681,"")</f>
        <v/>
      </c>
      <c r="S681" s="55" t="str">
        <f>IF(AC681=1,N(G681)*60/Q681,"")</f>
        <v/>
      </c>
      <c r="T681" s="57" t="str">
        <f>IF(AC681=1,O681/M681,"")</f>
        <v/>
      </c>
      <c r="U681" s="57" t="str">
        <f>IF(AC681=1,IF(O681&gt;0,R681/O681,""),"")</f>
        <v/>
      </c>
      <c r="V681" s="57" t="str">
        <f>IF(AC681=1,IF(P681&gt;0,N(G681)/P681,""),"")</f>
        <v/>
      </c>
      <c r="W681" s="57" t="str">
        <f>IF(AC681=1,S681/M681,"")</f>
        <v/>
      </c>
      <c r="X681" s="57" t="str">
        <f>IF(AC681=1,S681/K681,"")</f>
        <v/>
      </c>
      <c r="Y681" s="58" t="str">
        <f>IF(W681="","",IF(W681&gt;=p_target,"Bon",IF(W681&gt;=p_alert,"À surveiller","Faible")))</f>
        <v/>
      </c>
      <c r="Z681" s="58" t="str">
        <f>IF(W681="","",IF(MIN(IF(T681="",1,T681),IF(U681="",1,U681),IF(V681="",1,V681))&gt;=1,"Aucune",IF(IF(T681="",1,T681)&lt;=MIN(IF(U681="",1,U681),IF(V681="",1,V681)),"Disponibilité",IF(IF(U681="",1,U681)&lt;=IF(V681="",1,V681),"Performance","Qualité"))))</f>
        <v/>
      </c>
      <c r="AA681" s="59" t="str">
        <f>IF(AC681=1,N(H681)*N(IFERROR(INDEX(art_cost,MATCH(E681,art_ref,0)),0)),"")</f>
        <v/>
      </c>
      <c r="AB681" s="58" t="str">
        <f>IF(COUNTA(A681:I681)=0,"",IF(N(A681)&lt;=0,"Date manquante ou invalide",IF(B681="","Équipe manquante",IF(ISNA(MATCH(B681,eq_code,0)),"Équipe inconnue",IF(INDEX(eq_check,MATCH(B681,eq_code,0))&lt;&gt;"OK","Équipe à corriger dans Paramètres",IF(C681="","Poste manquant",IF(ISNA(MATCH(C681,po_code,0)),"Poste inconnu",IF(AND(E681&lt;&gt;"",ISNA(MATCH(E681,art_ref,0))),"Article inconnu",IF(IF(E681="",FALSE,INDEX(art_check,MATCH(E681,art_ref,0))&lt;&gt;"OK"),"Article à corriger (feuille Articles)",IF(COUNTIFS(sj_date,A681,sj_eq,B681,sj_po,C681)&gt;1,"Ligne en double (même jour, équipe et poste)",IF(OR(NOT(ISNUMBER(K681)),N(K681)&lt;=0,N(K681)&gt;1440),"Temps d'ouverture invalide",IF(OR(AND(G681&lt;&gt;"",NOT(ISNUMBER(G681))),N(G681)&lt;0,N(G681)&lt;&gt;INT(N(G681)),AND(H681&lt;&gt;"",NOT(ISNUMBER(H681))),N(H681)&lt;0,N(H681)&lt;&gt;INT(N(H681)),AND(I681&lt;&gt;"",NOT(ISNUMBER(I681))),N(I681)&lt;0,N(I681)&lt;&gt;INT(N(I681))),"Quantité invalide",IF(Q681&lt;=0,"Cadence manquante (poste ou article)",IF(M681&lt;=0,"Arrêts planifiés supérieurs au temps d'ouverture",IF(O681&lt;0,"Arrêts supérieurs au temps requis",IF(AND(P681&gt;0,O681=0),"Pièces déclarées sans temps de marche",IF(AND(P681=0,O681&gt;0),"Aucune pièce déclarée",IF(P681*60/Q681&gt;O681+0.001,"Cadence dépassée : vérifiez la cadence","OK"))))))))))))))))))</f>
        <v/>
      </c>
      <c r="AC681">
        <f>IF(OR(AB681="OK",AB681="Aucune pièce déclarée",AB681="Cadence dépassée : vérifiez la cadence"),1,0)</f>
        <v>0.0</v>
      </c>
      <c r="AD681">
        <f>IF(AND(AC681=1,A681&gt;=p_from,A681&lt;=p_to),1,0)</f>
        <v>0.0</v>
      </c>
      <c r="AE681">
        <f>IF(AD681=1,IF(COUNTIFS($A$6:A681,A681,$AD$6:AD681,1)=1,1,0),0)</f>
        <v>0.0</v>
      </c>
      <c r="AF681" t="str">
        <f>IF(AE681=1,COUNTIFS(sj_first,1,sj_date,"&lt;"&amp;A681)+1,"")</f>
        <v/>
      </c>
      <c r="AG681" t="str">
        <f>IF(AND(AD681=1,N(W681)&lt;p_alert),ROUND(W681,4),"")</f>
        <v/>
      </c>
      <c r="AH681" t="str">
        <f>IF(AG681="","",COUNTIF(sj_akey,"&lt;"&amp;AG681)+COUNTIF($AG$6:AG681,AG681))</f>
        <v/>
      </c>
    </row>
    <row r="682">
      <c r="A682" s="51" t="n"/>
      <c r="B682" s="52" t="n"/>
      <c r="C682" s="52" t="n"/>
      <c r="D682" s="53" t="n"/>
      <c r="E682" s="53" t="n"/>
      <c r="F682" s="54" t="n"/>
      <c r="G682" s="54" t="n"/>
      <c r="H682" s="54" t="n"/>
      <c r="I682" s="54" t="n"/>
      <c r="J682" s="53" t="n"/>
      <c r="K682" s="55" t="str">
        <f>IF(COUNTA(A682:I682)=0,"",IF(F682="",IFERROR(INDEX(eq_dur,MATCH(B682,eq_code,0)),""),F682))</f>
        <v/>
      </c>
      <c r="L682" s="55" t="str">
        <f>IF(ISNUMBER(K682),N(IFERROR(INDEX(eq_pause,MATCH(B682,eq_code,0)),0))+SUMIFS(st_min,st_date,A682,st_eq,B682,st_po,C682,st_type,"Planifié"),"")</f>
        <v/>
      </c>
      <c r="M682" s="55" t="str">
        <f>IF(ISNUMBER(K682),K682-L682,"")</f>
        <v/>
      </c>
      <c r="N682" s="55" t="str">
        <f>IF(ISNUMBER(K682),SUMIFS(st_min,st_date,A682,st_eq,B682,st_po,C682,st_type,"Non planifié"),"")</f>
        <v/>
      </c>
      <c r="O682" s="55" t="str">
        <f>IF(ISNUMBER(K682),M682-N682,"")</f>
        <v/>
      </c>
      <c r="P682" s="55" t="str">
        <f>IF(COUNTA(A682:I682)=0,"",N(G682)+N(H682)+N(I682))</f>
        <v/>
      </c>
      <c r="Q682" s="56" t="str">
        <f>IF(COUNTA(A682:I682)=0,"",IF(N(IFERROR(INDEX(art_rate,MATCH(E682,art_ref,0)),0))&gt;0,N(IFERROR(INDEX(art_rate,MATCH(E682,art_ref,0)),0)),N(IFERROR(INDEX(po_rate,MATCH(C682,po_code,0)),0))))</f>
        <v/>
      </c>
      <c r="R682" s="55" t="str">
        <f>IF(AC682=1,P682*60/Q682,"")</f>
        <v/>
      </c>
      <c r="S682" s="55" t="str">
        <f>IF(AC682=1,N(G682)*60/Q682,"")</f>
        <v/>
      </c>
      <c r="T682" s="57" t="str">
        <f>IF(AC682=1,O682/M682,"")</f>
        <v/>
      </c>
      <c r="U682" s="57" t="str">
        <f>IF(AC682=1,IF(O682&gt;0,R682/O682,""),"")</f>
        <v/>
      </c>
      <c r="V682" s="57" t="str">
        <f>IF(AC682=1,IF(P682&gt;0,N(G682)/P682,""),"")</f>
        <v/>
      </c>
      <c r="W682" s="57" t="str">
        <f>IF(AC682=1,S682/M682,"")</f>
        <v/>
      </c>
      <c r="X682" s="57" t="str">
        <f>IF(AC682=1,S682/K682,"")</f>
        <v/>
      </c>
      <c r="Y682" s="58" t="str">
        <f>IF(W682="","",IF(W682&gt;=p_target,"Bon",IF(W682&gt;=p_alert,"À surveiller","Faible")))</f>
        <v/>
      </c>
      <c r="Z682" s="58" t="str">
        <f>IF(W682="","",IF(MIN(IF(T682="",1,T682),IF(U682="",1,U682),IF(V682="",1,V682))&gt;=1,"Aucune",IF(IF(T682="",1,T682)&lt;=MIN(IF(U682="",1,U682),IF(V682="",1,V682)),"Disponibilité",IF(IF(U682="",1,U682)&lt;=IF(V682="",1,V682),"Performance","Qualité"))))</f>
        <v/>
      </c>
      <c r="AA682" s="59" t="str">
        <f>IF(AC682=1,N(H682)*N(IFERROR(INDEX(art_cost,MATCH(E682,art_ref,0)),0)),"")</f>
        <v/>
      </c>
      <c r="AB682" s="58" t="str">
        <f>IF(COUNTA(A682:I682)=0,"",IF(N(A682)&lt;=0,"Date manquante ou invalide",IF(B682="","Équipe manquante",IF(ISNA(MATCH(B682,eq_code,0)),"Équipe inconnue",IF(INDEX(eq_check,MATCH(B682,eq_code,0))&lt;&gt;"OK","Équipe à corriger dans Paramètres",IF(C682="","Poste manquant",IF(ISNA(MATCH(C682,po_code,0)),"Poste inconnu",IF(AND(E682&lt;&gt;"",ISNA(MATCH(E682,art_ref,0))),"Article inconnu",IF(IF(E682="",FALSE,INDEX(art_check,MATCH(E682,art_ref,0))&lt;&gt;"OK"),"Article à corriger (feuille Articles)",IF(COUNTIFS(sj_date,A682,sj_eq,B682,sj_po,C682)&gt;1,"Ligne en double (même jour, équipe et poste)",IF(OR(NOT(ISNUMBER(K682)),N(K682)&lt;=0,N(K682)&gt;1440),"Temps d'ouverture invalide",IF(OR(AND(G682&lt;&gt;"",NOT(ISNUMBER(G682))),N(G682)&lt;0,N(G682)&lt;&gt;INT(N(G682)),AND(H682&lt;&gt;"",NOT(ISNUMBER(H682))),N(H682)&lt;0,N(H682)&lt;&gt;INT(N(H682)),AND(I682&lt;&gt;"",NOT(ISNUMBER(I682))),N(I682)&lt;0,N(I682)&lt;&gt;INT(N(I682))),"Quantité invalide",IF(Q682&lt;=0,"Cadence manquante (poste ou article)",IF(M682&lt;=0,"Arrêts planifiés supérieurs au temps d'ouverture",IF(O682&lt;0,"Arrêts supérieurs au temps requis",IF(AND(P682&gt;0,O682=0),"Pièces déclarées sans temps de marche",IF(AND(P682=0,O682&gt;0),"Aucune pièce déclarée",IF(P682*60/Q682&gt;O682+0.001,"Cadence dépassée : vérifiez la cadence","OK"))))))))))))))))))</f>
        <v/>
      </c>
      <c r="AC682">
        <f>IF(OR(AB682="OK",AB682="Aucune pièce déclarée",AB682="Cadence dépassée : vérifiez la cadence"),1,0)</f>
        <v>0.0</v>
      </c>
      <c r="AD682">
        <f>IF(AND(AC682=1,A682&gt;=p_from,A682&lt;=p_to),1,0)</f>
        <v>0.0</v>
      </c>
      <c r="AE682">
        <f>IF(AD682=1,IF(COUNTIFS($A$6:A682,A682,$AD$6:AD682,1)=1,1,0),0)</f>
        <v>0.0</v>
      </c>
      <c r="AF682" t="str">
        <f>IF(AE682=1,COUNTIFS(sj_first,1,sj_date,"&lt;"&amp;A682)+1,"")</f>
        <v/>
      </c>
      <c r="AG682" t="str">
        <f>IF(AND(AD682=1,N(W682)&lt;p_alert),ROUND(W682,4),"")</f>
        <v/>
      </c>
      <c r="AH682" t="str">
        <f>IF(AG682="","",COUNTIF(sj_akey,"&lt;"&amp;AG682)+COUNTIF($AG$6:AG682,AG682))</f>
        <v/>
      </c>
    </row>
    <row r="683">
      <c r="A683" s="51" t="n"/>
      <c r="B683" s="52" t="n"/>
      <c r="C683" s="52" t="n"/>
      <c r="D683" s="53" t="n"/>
      <c r="E683" s="53" t="n"/>
      <c r="F683" s="54" t="n"/>
      <c r="G683" s="54" t="n"/>
      <c r="H683" s="54" t="n"/>
      <c r="I683" s="54" t="n"/>
      <c r="J683" s="53" t="n"/>
      <c r="K683" s="55" t="str">
        <f>IF(COUNTA(A683:I683)=0,"",IF(F683="",IFERROR(INDEX(eq_dur,MATCH(B683,eq_code,0)),""),F683))</f>
        <v/>
      </c>
      <c r="L683" s="55" t="str">
        <f>IF(ISNUMBER(K683),N(IFERROR(INDEX(eq_pause,MATCH(B683,eq_code,0)),0))+SUMIFS(st_min,st_date,A683,st_eq,B683,st_po,C683,st_type,"Planifié"),"")</f>
        <v/>
      </c>
      <c r="M683" s="55" t="str">
        <f>IF(ISNUMBER(K683),K683-L683,"")</f>
        <v/>
      </c>
      <c r="N683" s="55" t="str">
        <f>IF(ISNUMBER(K683),SUMIFS(st_min,st_date,A683,st_eq,B683,st_po,C683,st_type,"Non planifié"),"")</f>
        <v/>
      </c>
      <c r="O683" s="55" t="str">
        <f>IF(ISNUMBER(K683),M683-N683,"")</f>
        <v/>
      </c>
      <c r="P683" s="55" t="str">
        <f>IF(COUNTA(A683:I683)=0,"",N(G683)+N(H683)+N(I683))</f>
        <v/>
      </c>
      <c r="Q683" s="56" t="str">
        <f>IF(COUNTA(A683:I683)=0,"",IF(N(IFERROR(INDEX(art_rate,MATCH(E683,art_ref,0)),0))&gt;0,N(IFERROR(INDEX(art_rate,MATCH(E683,art_ref,0)),0)),N(IFERROR(INDEX(po_rate,MATCH(C683,po_code,0)),0))))</f>
        <v/>
      </c>
      <c r="R683" s="55" t="str">
        <f>IF(AC683=1,P683*60/Q683,"")</f>
        <v/>
      </c>
      <c r="S683" s="55" t="str">
        <f>IF(AC683=1,N(G683)*60/Q683,"")</f>
        <v/>
      </c>
      <c r="T683" s="57" t="str">
        <f>IF(AC683=1,O683/M683,"")</f>
        <v/>
      </c>
      <c r="U683" s="57" t="str">
        <f>IF(AC683=1,IF(O683&gt;0,R683/O683,""),"")</f>
        <v/>
      </c>
      <c r="V683" s="57" t="str">
        <f>IF(AC683=1,IF(P683&gt;0,N(G683)/P683,""),"")</f>
        <v/>
      </c>
      <c r="W683" s="57" t="str">
        <f>IF(AC683=1,S683/M683,"")</f>
        <v/>
      </c>
      <c r="X683" s="57" t="str">
        <f>IF(AC683=1,S683/K683,"")</f>
        <v/>
      </c>
      <c r="Y683" s="58" t="str">
        <f>IF(W683="","",IF(W683&gt;=p_target,"Bon",IF(W683&gt;=p_alert,"À surveiller","Faible")))</f>
        <v/>
      </c>
      <c r="Z683" s="58" t="str">
        <f>IF(W683="","",IF(MIN(IF(T683="",1,T683),IF(U683="",1,U683),IF(V683="",1,V683))&gt;=1,"Aucune",IF(IF(T683="",1,T683)&lt;=MIN(IF(U683="",1,U683),IF(V683="",1,V683)),"Disponibilité",IF(IF(U683="",1,U683)&lt;=IF(V683="",1,V683),"Performance","Qualité"))))</f>
        <v/>
      </c>
      <c r="AA683" s="59" t="str">
        <f>IF(AC683=1,N(H683)*N(IFERROR(INDEX(art_cost,MATCH(E683,art_ref,0)),0)),"")</f>
        <v/>
      </c>
      <c r="AB683" s="58" t="str">
        <f>IF(COUNTA(A683:I683)=0,"",IF(N(A683)&lt;=0,"Date manquante ou invalide",IF(B683="","Équipe manquante",IF(ISNA(MATCH(B683,eq_code,0)),"Équipe inconnue",IF(INDEX(eq_check,MATCH(B683,eq_code,0))&lt;&gt;"OK","Équipe à corriger dans Paramètres",IF(C683="","Poste manquant",IF(ISNA(MATCH(C683,po_code,0)),"Poste inconnu",IF(AND(E683&lt;&gt;"",ISNA(MATCH(E683,art_ref,0))),"Article inconnu",IF(IF(E683="",FALSE,INDEX(art_check,MATCH(E683,art_ref,0))&lt;&gt;"OK"),"Article à corriger (feuille Articles)",IF(COUNTIFS(sj_date,A683,sj_eq,B683,sj_po,C683)&gt;1,"Ligne en double (même jour, équipe et poste)",IF(OR(NOT(ISNUMBER(K683)),N(K683)&lt;=0,N(K683)&gt;1440),"Temps d'ouverture invalide",IF(OR(AND(G683&lt;&gt;"",NOT(ISNUMBER(G683))),N(G683)&lt;0,N(G683)&lt;&gt;INT(N(G683)),AND(H683&lt;&gt;"",NOT(ISNUMBER(H683))),N(H683)&lt;0,N(H683)&lt;&gt;INT(N(H683)),AND(I683&lt;&gt;"",NOT(ISNUMBER(I683))),N(I683)&lt;0,N(I683)&lt;&gt;INT(N(I683))),"Quantité invalide",IF(Q683&lt;=0,"Cadence manquante (poste ou article)",IF(M683&lt;=0,"Arrêts planifiés supérieurs au temps d'ouverture",IF(O683&lt;0,"Arrêts supérieurs au temps requis",IF(AND(P683&gt;0,O683=0),"Pièces déclarées sans temps de marche",IF(AND(P683=0,O683&gt;0),"Aucune pièce déclarée",IF(P683*60/Q683&gt;O683+0.001,"Cadence dépassée : vérifiez la cadence","OK"))))))))))))))))))</f>
        <v/>
      </c>
      <c r="AC683">
        <f>IF(OR(AB683="OK",AB683="Aucune pièce déclarée",AB683="Cadence dépassée : vérifiez la cadence"),1,0)</f>
        <v>0.0</v>
      </c>
      <c r="AD683">
        <f>IF(AND(AC683=1,A683&gt;=p_from,A683&lt;=p_to),1,0)</f>
        <v>0.0</v>
      </c>
      <c r="AE683">
        <f>IF(AD683=1,IF(COUNTIFS($A$6:A683,A683,$AD$6:AD683,1)=1,1,0),0)</f>
        <v>0.0</v>
      </c>
      <c r="AF683" t="str">
        <f>IF(AE683=1,COUNTIFS(sj_first,1,sj_date,"&lt;"&amp;A683)+1,"")</f>
        <v/>
      </c>
      <c r="AG683" t="str">
        <f>IF(AND(AD683=1,N(W683)&lt;p_alert),ROUND(W683,4),"")</f>
        <v/>
      </c>
      <c r="AH683" t="str">
        <f>IF(AG683="","",COUNTIF(sj_akey,"&lt;"&amp;AG683)+COUNTIF($AG$6:AG683,AG683))</f>
        <v/>
      </c>
    </row>
    <row r="684">
      <c r="A684" s="51" t="n"/>
      <c r="B684" s="52" t="n"/>
      <c r="C684" s="52" t="n"/>
      <c r="D684" s="53" t="n"/>
      <c r="E684" s="53" t="n"/>
      <c r="F684" s="54" t="n"/>
      <c r="G684" s="54" t="n"/>
      <c r="H684" s="54" t="n"/>
      <c r="I684" s="54" t="n"/>
      <c r="J684" s="53" t="n"/>
      <c r="K684" s="55" t="str">
        <f>IF(COUNTA(A684:I684)=0,"",IF(F684="",IFERROR(INDEX(eq_dur,MATCH(B684,eq_code,0)),""),F684))</f>
        <v/>
      </c>
      <c r="L684" s="55" t="str">
        <f>IF(ISNUMBER(K684),N(IFERROR(INDEX(eq_pause,MATCH(B684,eq_code,0)),0))+SUMIFS(st_min,st_date,A684,st_eq,B684,st_po,C684,st_type,"Planifié"),"")</f>
        <v/>
      </c>
      <c r="M684" s="55" t="str">
        <f>IF(ISNUMBER(K684),K684-L684,"")</f>
        <v/>
      </c>
      <c r="N684" s="55" t="str">
        <f>IF(ISNUMBER(K684),SUMIFS(st_min,st_date,A684,st_eq,B684,st_po,C684,st_type,"Non planifié"),"")</f>
        <v/>
      </c>
      <c r="O684" s="55" t="str">
        <f>IF(ISNUMBER(K684),M684-N684,"")</f>
        <v/>
      </c>
      <c r="P684" s="55" t="str">
        <f>IF(COUNTA(A684:I684)=0,"",N(G684)+N(H684)+N(I684))</f>
        <v/>
      </c>
      <c r="Q684" s="56" t="str">
        <f>IF(COUNTA(A684:I684)=0,"",IF(N(IFERROR(INDEX(art_rate,MATCH(E684,art_ref,0)),0))&gt;0,N(IFERROR(INDEX(art_rate,MATCH(E684,art_ref,0)),0)),N(IFERROR(INDEX(po_rate,MATCH(C684,po_code,0)),0))))</f>
        <v/>
      </c>
      <c r="R684" s="55" t="str">
        <f>IF(AC684=1,P684*60/Q684,"")</f>
        <v/>
      </c>
      <c r="S684" s="55" t="str">
        <f>IF(AC684=1,N(G684)*60/Q684,"")</f>
        <v/>
      </c>
      <c r="T684" s="57" t="str">
        <f>IF(AC684=1,O684/M684,"")</f>
        <v/>
      </c>
      <c r="U684" s="57" t="str">
        <f>IF(AC684=1,IF(O684&gt;0,R684/O684,""),"")</f>
        <v/>
      </c>
      <c r="V684" s="57" t="str">
        <f>IF(AC684=1,IF(P684&gt;0,N(G684)/P684,""),"")</f>
        <v/>
      </c>
      <c r="W684" s="57" t="str">
        <f>IF(AC684=1,S684/M684,"")</f>
        <v/>
      </c>
      <c r="X684" s="57" t="str">
        <f>IF(AC684=1,S684/K684,"")</f>
        <v/>
      </c>
      <c r="Y684" s="58" t="str">
        <f>IF(W684="","",IF(W684&gt;=p_target,"Bon",IF(W684&gt;=p_alert,"À surveiller","Faible")))</f>
        <v/>
      </c>
      <c r="Z684" s="58" t="str">
        <f>IF(W684="","",IF(MIN(IF(T684="",1,T684),IF(U684="",1,U684),IF(V684="",1,V684))&gt;=1,"Aucune",IF(IF(T684="",1,T684)&lt;=MIN(IF(U684="",1,U684),IF(V684="",1,V684)),"Disponibilité",IF(IF(U684="",1,U684)&lt;=IF(V684="",1,V684),"Performance","Qualité"))))</f>
        <v/>
      </c>
      <c r="AA684" s="59" t="str">
        <f>IF(AC684=1,N(H684)*N(IFERROR(INDEX(art_cost,MATCH(E684,art_ref,0)),0)),"")</f>
        <v/>
      </c>
      <c r="AB684" s="58" t="str">
        <f>IF(COUNTA(A684:I684)=0,"",IF(N(A684)&lt;=0,"Date manquante ou invalide",IF(B684="","Équipe manquante",IF(ISNA(MATCH(B684,eq_code,0)),"Équipe inconnue",IF(INDEX(eq_check,MATCH(B684,eq_code,0))&lt;&gt;"OK","Équipe à corriger dans Paramètres",IF(C684="","Poste manquant",IF(ISNA(MATCH(C684,po_code,0)),"Poste inconnu",IF(AND(E684&lt;&gt;"",ISNA(MATCH(E684,art_ref,0))),"Article inconnu",IF(IF(E684="",FALSE,INDEX(art_check,MATCH(E684,art_ref,0))&lt;&gt;"OK"),"Article à corriger (feuille Articles)",IF(COUNTIFS(sj_date,A684,sj_eq,B684,sj_po,C684)&gt;1,"Ligne en double (même jour, équipe et poste)",IF(OR(NOT(ISNUMBER(K684)),N(K684)&lt;=0,N(K684)&gt;1440),"Temps d'ouverture invalide",IF(OR(AND(G684&lt;&gt;"",NOT(ISNUMBER(G684))),N(G684)&lt;0,N(G684)&lt;&gt;INT(N(G684)),AND(H684&lt;&gt;"",NOT(ISNUMBER(H684))),N(H684)&lt;0,N(H684)&lt;&gt;INT(N(H684)),AND(I684&lt;&gt;"",NOT(ISNUMBER(I684))),N(I684)&lt;0,N(I684)&lt;&gt;INT(N(I684))),"Quantité invalide",IF(Q684&lt;=0,"Cadence manquante (poste ou article)",IF(M684&lt;=0,"Arrêts planifiés supérieurs au temps d'ouverture",IF(O684&lt;0,"Arrêts supérieurs au temps requis",IF(AND(P684&gt;0,O684=0),"Pièces déclarées sans temps de marche",IF(AND(P684=0,O684&gt;0),"Aucune pièce déclarée",IF(P684*60/Q684&gt;O684+0.001,"Cadence dépassée : vérifiez la cadence","OK"))))))))))))))))))</f>
        <v/>
      </c>
      <c r="AC684">
        <f>IF(OR(AB684="OK",AB684="Aucune pièce déclarée",AB684="Cadence dépassée : vérifiez la cadence"),1,0)</f>
        <v>0.0</v>
      </c>
      <c r="AD684">
        <f>IF(AND(AC684=1,A684&gt;=p_from,A684&lt;=p_to),1,0)</f>
        <v>0.0</v>
      </c>
      <c r="AE684">
        <f>IF(AD684=1,IF(COUNTIFS($A$6:A684,A684,$AD$6:AD684,1)=1,1,0),0)</f>
        <v>0.0</v>
      </c>
      <c r="AF684" t="str">
        <f>IF(AE684=1,COUNTIFS(sj_first,1,sj_date,"&lt;"&amp;A684)+1,"")</f>
        <v/>
      </c>
      <c r="AG684" t="str">
        <f>IF(AND(AD684=1,N(W684)&lt;p_alert),ROUND(W684,4),"")</f>
        <v/>
      </c>
      <c r="AH684" t="str">
        <f>IF(AG684="","",COUNTIF(sj_akey,"&lt;"&amp;AG684)+COUNTIF($AG$6:AG684,AG684))</f>
        <v/>
      </c>
    </row>
    <row r="685">
      <c r="A685" s="51" t="n"/>
      <c r="B685" s="52" t="n"/>
      <c r="C685" s="52" t="n"/>
      <c r="D685" s="53" t="n"/>
      <c r="E685" s="53" t="n"/>
      <c r="F685" s="54" t="n"/>
      <c r="G685" s="54" t="n"/>
      <c r="H685" s="54" t="n"/>
      <c r="I685" s="54" t="n"/>
      <c r="J685" s="53" t="n"/>
      <c r="K685" s="55" t="str">
        <f>IF(COUNTA(A685:I685)=0,"",IF(F685="",IFERROR(INDEX(eq_dur,MATCH(B685,eq_code,0)),""),F685))</f>
        <v/>
      </c>
      <c r="L685" s="55" t="str">
        <f>IF(ISNUMBER(K685),N(IFERROR(INDEX(eq_pause,MATCH(B685,eq_code,0)),0))+SUMIFS(st_min,st_date,A685,st_eq,B685,st_po,C685,st_type,"Planifié"),"")</f>
        <v/>
      </c>
      <c r="M685" s="55" t="str">
        <f>IF(ISNUMBER(K685),K685-L685,"")</f>
        <v/>
      </c>
      <c r="N685" s="55" t="str">
        <f>IF(ISNUMBER(K685),SUMIFS(st_min,st_date,A685,st_eq,B685,st_po,C685,st_type,"Non planifié"),"")</f>
        <v/>
      </c>
      <c r="O685" s="55" t="str">
        <f>IF(ISNUMBER(K685),M685-N685,"")</f>
        <v/>
      </c>
      <c r="P685" s="55" t="str">
        <f>IF(COUNTA(A685:I685)=0,"",N(G685)+N(H685)+N(I685))</f>
        <v/>
      </c>
      <c r="Q685" s="56" t="str">
        <f>IF(COUNTA(A685:I685)=0,"",IF(N(IFERROR(INDEX(art_rate,MATCH(E685,art_ref,0)),0))&gt;0,N(IFERROR(INDEX(art_rate,MATCH(E685,art_ref,0)),0)),N(IFERROR(INDEX(po_rate,MATCH(C685,po_code,0)),0))))</f>
        <v/>
      </c>
      <c r="R685" s="55" t="str">
        <f>IF(AC685=1,P685*60/Q685,"")</f>
        <v/>
      </c>
      <c r="S685" s="55" t="str">
        <f>IF(AC685=1,N(G685)*60/Q685,"")</f>
        <v/>
      </c>
      <c r="T685" s="57" t="str">
        <f>IF(AC685=1,O685/M685,"")</f>
        <v/>
      </c>
      <c r="U685" s="57" t="str">
        <f>IF(AC685=1,IF(O685&gt;0,R685/O685,""),"")</f>
        <v/>
      </c>
      <c r="V685" s="57" t="str">
        <f>IF(AC685=1,IF(P685&gt;0,N(G685)/P685,""),"")</f>
        <v/>
      </c>
      <c r="W685" s="57" t="str">
        <f>IF(AC685=1,S685/M685,"")</f>
        <v/>
      </c>
      <c r="X685" s="57" t="str">
        <f>IF(AC685=1,S685/K685,"")</f>
        <v/>
      </c>
      <c r="Y685" s="58" t="str">
        <f>IF(W685="","",IF(W685&gt;=p_target,"Bon",IF(W685&gt;=p_alert,"À surveiller","Faible")))</f>
        <v/>
      </c>
      <c r="Z685" s="58" t="str">
        <f>IF(W685="","",IF(MIN(IF(T685="",1,T685),IF(U685="",1,U685),IF(V685="",1,V685))&gt;=1,"Aucune",IF(IF(T685="",1,T685)&lt;=MIN(IF(U685="",1,U685),IF(V685="",1,V685)),"Disponibilité",IF(IF(U685="",1,U685)&lt;=IF(V685="",1,V685),"Performance","Qualité"))))</f>
        <v/>
      </c>
      <c r="AA685" s="59" t="str">
        <f>IF(AC685=1,N(H685)*N(IFERROR(INDEX(art_cost,MATCH(E685,art_ref,0)),0)),"")</f>
        <v/>
      </c>
      <c r="AB685" s="58" t="str">
        <f>IF(COUNTA(A685:I685)=0,"",IF(N(A685)&lt;=0,"Date manquante ou invalide",IF(B685="","Équipe manquante",IF(ISNA(MATCH(B685,eq_code,0)),"Équipe inconnue",IF(INDEX(eq_check,MATCH(B685,eq_code,0))&lt;&gt;"OK","Équipe à corriger dans Paramètres",IF(C685="","Poste manquant",IF(ISNA(MATCH(C685,po_code,0)),"Poste inconnu",IF(AND(E685&lt;&gt;"",ISNA(MATCH(E685,art_ref,0))),"Article inconnu",IF(IF(E685="",FALSE,INDEX(art_check,MATCH(E685,art_ref,0))&lt;&gt;"OK"),"Article à corriger (feuille Articles)",IF(COUNTIFS(sj_date,A685,sj_eq,B685,sj_po,C685)&gt;1,"Ligne en double (même jour, équipe et poste)",IF(OR(NOT(ISNUMBER(K685)),N(K685)&lt;=0,N(K685)&gt;1440),"Temps d'ouverture invalide",IF(OR(AND(G685&lt;&gt;"",NOT(ISNUMBER(G685))),N(G685)&lt;0,N(G685)&lt;&gt;INT(N(G685)),AND(H685&lt;&gt;"",NOT(ISNUMBER(H685))),N(H685)&lt;0,N(H685)&lt;&gt;INT(N(H685)),AND(I685&lt;&gt;"",NOT(ISNUMBER(I685))),N(I685)&lt;0,N(I685)&lt;&gt;INT(N(I685))),"Quantité invalide",IF(Q685&lt;=0,"Cadence manquante (poste ou article)",IF(M685&lt;=0,"Arrêts planifiés supérieurs au temps d'ouverture",IF(O685&lt;0,"Arrêts supérieurs au temps requis",IF(AND(P685&gt;0,O685=0),"Pièces déclarées sans temps de marche",IF(AND(P685=0,O685&gt;0),"Aucune pièce déclarée",IF(P685*60/Q685&gt;O685+0.001,"Cadence dépassée : vérifiez la cadence","OK"))))))))))))))))))</f>
        <v/>
      </c>
      <c r="AC685">
        <f>IF(OR(AB685="OK",AB685="Aucune pièce déclarée",AB685="Cadence dépassée : vérifiez la cadence"),1,0)</f>
        <v>0.0</v>
      </c>
      <c r="AD685">
        <f>IF(AND(AC685=1,A685&gt;=p_from,A685&lt;=p_to),1,0)</f>
        <v>0.0</v>
      </c>
      <c r="AE685">
        <f>IF(AD685=1,IF(COUNTIFS($A$6:A685,A685,$AD$6:AD685,1)=1,1,0),0)</f>
        <v>0.0</v>
      </c>
      <c r="AF685" t="str">
        <f>IF(AE685=1,COUNTIFS(sj_first,1,sj_date,"&lt;"&amp;A685)+1,"")</f>
        <v/>
      </c>
      <c r="AG685" t="str">
        <f>IF(AND(AD685=1,N(W685)&lt;p_alert),ROUND(W685,4),"")</f>
        <v/>
      </c>
      <c r="AH685" t="str">
        <f>IF(AG685="","",COUNTIF(sj_akey,"&lt;"&amp;AG685)+COUNTIF($AG$6:AG685,AG685))</f>
        <v/>
      </c>
    </row>
    <row r="686">
      <c r="A686" s="51" t="n"/>
      <c r="B686" s="52" t="n"/>
      <c r="C686" s="52" t="n"/>
      <c r="D686" s="53" t="n"/>
      <c r="E686" s="53" t="n"/>
      <c r="F686" s="54" t="n"/>
      <c r="G686" s="54" t="n"/>
      <c r="H686" s="54" t="n"/>
      <c r="I686" s="54" t="n"/>
      <c r="J686" s="53" t="n"/>
      <c r="K686" s="55" t="str">
        <f>IF(COUNTA(A686:I686)=0,"",IF(F686="",IFERROR(INDEX(eq_dur,MATCH(B686,eq_code,0)),""),F686))</f>
        <v/>
      </c>
      <c r="L686" s="55" t="str">
        <f>IF(ISNUMBER(K686),N(IFERROR(INDEX(eq_pause,MATCH(B686,eq_code,0)),0))+SUMIFS(st_min,st_date,A686,st_eq,B686,st_po,C686,st_type,"Planifié"),"")</f>
        <v/>
      </c>
      <c r="M686" s="55" t="str">
        <f>IF(ISNUMBER(K686),K686-L686,"")</f>
        <v/>
      </c>
      <c r="N686" s="55" t="str">
        <f>IF(ISNUMBER(K686),SUMIFS(st_min,st_date,A686,st_eq,B686,st_po,C686,st_type,"Non planifié"),"")</f>
        <v/>
      </c>
      <c r="O686" s="55" t="str">
        <f>IF(ISNUMBER(K686),M686-N686,"")</f>
        <v/>
      </c>
      <c r="P686" s="55" t="str">
        <f>IF(COUNTA(A686:I686)=0,"",N(G686)+N(H686)+N(I686))</f>
        <v/>
      </c>
      <c r="Q686" s="56" t="str">
        <f>IF(COUNTA(A686:I686)=0,"",IF(N(IFERROR(INDEX(art_rate,MATCH(E686,art_ref,0)),0))&gt;0,N(IFERROR(INDEX(art_rate,MATCH(E686,art_ref,0)),0)),N(IFERROR(INDEX(po_rate,MATCH(C686,po_code,0)),0))))</f>
        <v/>
      </c>
      <c r="R686" s="55" t="str">
        <f>IF(AC686=1,P686*60/Q686,"")</f>
        <v/>
      </c>
      <c r="S686" s="55" t="str">
        <f>IF(AC686=1,N(G686)*60/Q686,"")</f>
        <v/>
      </c>
      <c r="T686" s="57" t="str">
        <f>IF(AC686=1,O686/M686,"")</f>
        <v/>
      </c>
      <c r="U686" s="57" t="str">
        <f>IF(AC686=1,IF(O686&gt;0,R686/O686,""),"")</f>
        <v/>
      </c>
      <c r="V686" s="57" t="str">
        <f>IF(AC686=1,IF(P686&gt;0,N(G686)/P686,""),"")</f>
        <v/>
      </c>
      <c r="W686" s="57" t="str">
        <f>IF(AC686=1,S686/M686,"")</f>
        <v/>
      </c>
      <c r="X686" s="57" t="str">
        <f>IF(AC686=1,S686/K686,"")</f>
        <v/>
      </c>
      <c r="Y686" s="58" t="str">
        <f>IF(W686="","",IF(W686&gt;=p_target,"Bon",IF(W686&gt;=p_alert,"À surveiller","Faible")))</f>
        <v/>
      </c>
      <c r="Z686" s="58" t="str">
        <f>IF(W686="","",IF(MIN(IF(T686="",1,T686),IF(U686="",1,U686),IF(V686="",1,V686))&gt;=1,"Aucune",IF(IF(T686="",1,T686)&lt;=MIN(IF(U686="",1,U686),IF(V686="",1,V686)),"Disponibilité",IF(IF(U686="",1,U686)&lt;=IF(V686="",1,V686),"Performance","Qualité"))))</f>
        <v/>
      </c>
      <c r="AA686" s="59" t="str">
        <f>IF(AC686=1,N(H686)*N(IFERROR(INDEX(art_cost,MATCH(E686,art_ref,0)),0)),"")</f>
        <v/>
      </c>
      <c r="AB686" s="58" t="str">
        <f>IF(COUNTA(A686:I686)=0,"",IF(N(A686)&lt;=0,"Date manquante ou invalide",IF(B686="","Équipe manquante",IF(ISNA(MATCH(B686,eq_code,0)),"Équipe inconnue",IF(INDEX(eq_check,MATCH(B686,eq_code,0))&lt;&gt;"OK","Équipe à corriger dans Paramètres",IF(C686="","Poste manquant",IF(ISNA(MATCH(C686,po_code,0)),"Poste inconnu",IF(AND(E686&lt;&gt;"",ISNA(MATCH(E686,art_ref,0))),"Article inconnu",IF(IF(E686="",FALSE,INDEX(art_check,MATCH(E686,art_ref,0))&lt;&gt;"OK"),"Article à corriger (feuille Articles)",IF(COUNTIFS(sj_date,A686,sj_eq,B686,sj_po,C686)&gt;1,"Ligne en double (même jour, équipe et poste)",IF(OR(NOT(ISNUMBER(K686)),N(K686)&lt;=0,N(K686)&gt;1440),"Temps d'ouverture invalide",IF(OR(AND(G686&lt;&gt;"",NOT(ISNUMBER(G686))),N(G686)&lt;0,N(G686)&lt;&gt;INT(N(G686)),AND(H686&lt;&gt;"",NOT(ISNUMBER(H686))),N(H686)&lt;0,N(H686)&lt;&gt;INT(N(H686)),AND(I686&lt;&gt;"",NOT(ISNUMBER(I686))),N(I686)&lt;0,N(I686)&lt;&gt;INT(N(I686))),"Quantité invalide",IF(Q686&lt;=0,"Cadence manquante (poste ou article)",IF(M686&lt;=0,"Arrêts planifiés supérieurs au temps d'ouverture",IF(O686&lt;0,"Arrêts supérieurs au temps requis",IF(AND(P686&gt;0,O686=0),"Pièces déclarées sans temps de marche",IF(AND(P686=0,O686&gt;0),"Aucune pièce déclarée",IF(P686*60/Q686&gt;O686+0.001,"Cadence dépassée : vérifiez la cadence","OK"))))))))))))))))))</f>
        <v/>
      </c>
      <c r="AC686">
        <f>IF(OR(AB686="OK",AB686="Aucune pièce déclarée",AB686="Cadence dépassée : vérifiez la cadence"),1,0)</f>
        <v>0.0</v>
      </c>
      <c r="AD686">
        <f>IF(AND(AC686=1,A686&gt;=p_from,A686&lt;=p_to),1,0)</f>
        <v>0.0</v>
      </c>
      <c r="AE686">
        <f>IF(AD686=1,IF(COUNTIFS($A$6:A686,A686,$AD$6:AD686,1)=1,1,0),0)</f>
        <v>0.0</v>
      </c>
      <c r="AF686" t="str">
        <f>IF(AE686=1,COUNTIFS(sj_first,1,sj_date,"&lt;"&amp;A686)+1,"")</f>
        <v/>
      </c>
      <c r="AG686" t="str">
        <f>IF(AND(AD686=1,N(W686)&lt;p_alert),ROUND(W686,4),"")</f>
        <v/>
      </c>
      <c r="AH686" t="str">
        <f>IF(AG686="","",COUNTIF(sj_akey,"&lt;"&amp;AG686)+COUNTIF($AG$6:AG686,AG686))</f>
        <v/>
      </c>
    </row>
    <row r="687">
      <c r="A687" s="51" t="n"/>
      <c r="B687" s="52" t="n"/>
      <c r="C687" s="52" t="n"/>
      <c r="D687" s="53" t="n"/>
      <c r="E687" s="53" t="n"/>
      <c r="F687" s="54" t="n"/>
      <c r="G687" s="54" t="n"/>
      <c r="H687" s="54" t="n"/>
      <c r="I687" s="54" t="n"/>
      <c r="J687" s="53" t="n"/>
      <c r="K687" s="55" t="str">
        <f>IF(COUNTA(A687:I687)=0,"",IF(F687="",IFERROR(INDEX(eq_dur,MATCH(B687,eq_code,0)),""),F687))</f>
        <v/>
      </c>
      <c r="L687" s="55" t="str">
        <f>IF(ISNUMBER(K687),N(IFERROR(INDEX(eq_pause,MATCH(B687,eq_code,0)),0))+SUMIFS(st_min,st_date,A687,st_eq,B687,st_po,C687,st_type,"Planifié"),"")</f>
        <v/>
      </c>
      <c r="M687" s="55" t="str">
        <f>IF(ISNUMBER(K687),K687-L687,"")</f>
        <v/>
      </c>
      <c r="N687" s="55" t="str">
        <f>IF(ISNUMBER(K687),SUMIFS(st_min,st_date,A687,st_eq,B687,st_po,C687,st_type,"Non planifié"),"")</f>
        <v/>
      </c>
      <c r="O687" s="55" t="str">
        <f>IF(ISNUMBER(K687),M687-N687,"")</f>
        <v/>
      </c>
      <c r="P687" s="55" t="str">
        <f>IF(COUNTA(A687:I687)=0,"",N(G687)+N(H687)+N(I687))</f>
        <v/>
      </c>
      <c r="Q687" s="56" t="str">
        <f>IF(COUNTA(A687:I687)=0,"",IF(N(IFERROR(INDEX(art_rate,MATCH(E687,art_ref,0)),0))&gt;0,N(IFERROR(INDEX(art_rate,MATCH(E687,art_ref,0)),0)),N(IFERROR(INDEX(po_rate,MATCH(C687,po_code,0)),0))))</f>
        <v/>
      </c>
      <c r="R687" s="55" t="str">
        <f>IF(AC687=1,P687*60/Q687,"")</f>
        <v/>
      </c>
      <c r="S687" s="55" t="str">
        <f>IF(AC687=1,N(G687)*60/Q687,"")</f>
        <v/>
      </c>
      <c r="T687" s="57" t="str">
        <f>IF(AC687=1,O687/M687,"")</f>
        <v/>
      </c>
      <c r="U687" s="57" t="str">
        <f>IF(AC687=1,IF(O687&gt;0,R687/O687,""),"")</f>
        <v/>
      </c>
      <c r="V687" s="57" t="str">
        <f>IF(AC687=1,IF(P687&gt;0,N(G687)/P687,""),"")</f>
        <v/>
      </c>
      <c r="W687" s="57" t="str">
        <f>IF(AC687=1,S687/M687,"")</f>
        <v/>
      </c>
      <c r="X687" s="57" t="str">
        <f>IF(AC687=1,S687/K687,"")</f>
        <v/>
      </c>
      <c r="Y687" s="58" t="str">
        <f>IF(W687="","",IF(W687&gt;=p_target,"Bon",IF(W687&gt;=p_alert,"À surveiller","Faible")))</f>
        <v/>
      </c>
      <c r="Z687" s="58" t="str">
        <f>IF(W687="","",IF(MIN(IF(T687="",1,T687),IF(U687="",1,U687),IF(V687="",1,V687))&gt;=1,"Aucune",IF(IF(T687="",1,T687)&lt;=MIN(IF(U687="",1,U687),IF(V687="",1,V687)),"Disponibilité",IF(IF(U687="",1,U687)&lt;=IF(V687="",1,V687),"Performance","Qualité"))))</f>
        <v/>
      </c>
      <c r="AA687" s="59" t="str">
        <f>IF(AC687=1,N(H687)*N(IFERROR(INDEX(art_cost,MATCH(E687,art_ref,0)),0)),"")</f>
        <v/>
      </c>
      <c r="AB687" s="58" t="str">
        <f>IF(COUNTA(A687:I687)=0,"",IF(N(A687)&lt;=0,"Date manquante ou invalide",IF(B687="","Équipe manquante",IF(ISNA(MATCH(B687,eq_code,0)),"Équipe inconnue",IF(INDEX(eq_check,MATCH(B687,eq_code,0))&lt;&gt;"OK","Équipe à corriger dans Paramètres",IF(C687="","Poste manquant",IF(ISNA(MATCH(C687,po_code,0)),"Poste inconnu",IF(AND(E687&lt;&gt;"",ISNA(MATCH(E687,art_ref,0))),"Article inconnu",IF(IF(E687="",FALSE,INDEX(art_check,MATCH(E687,art_ref,0))&lt;&gt;"OK"),"Article à corriger (feuille Articles)",IF(COUNTIFS(sj_date,A687,sj_eq,B687,sj_po,C687)&gt;1,"Ligne en double (même jour, équipe et poste)",IF(OR(NOT(ISNUMBER(K687)),N(K687)&lt;=0,N(K687)&gt;1440),"Temps d'ouverture invalide",IF(OR(AND(G687&lt;&gt;"",NOT(ISNUMBER(G687))),N(G687)&lt;0,N(G687)&lt;&gt;INT(N(G687)),AND(H687&lt;&gt;"",NOT(ISNUMBER(H687))),N(H687)&lt;0,N(H687)&lt;&gt;INT(N(H687)),AND(I687&lt;&gt;"",NOT(ISNUMBER(I687))),N(I687)&lt;0,N(I687)&lt;&gt;INT(N(I687))),"Quantité invalide",IF(Q687&lt;=0,"Cadence manquante (poste ou article)",IF(M687&lt;=0,"Arrêts planifiés supérieurs au temps d'ouverture",IF(O687&lt;0,"Arrêts supérieurs au temps requis",IF(AND(P687&gt;0,O687=0),"Pièces déclarées sans temps de marche",IF(AND(P687=0,O687&gt;0),"Aucune pièce déclarée",IF(P687*60/Q687&gt;O687+0.001,"Cadence dépassée : vérifiez la cadence","OK"))))))))))))))))))</f>
        <v/>
      </c>
      <c r="AC687">
        <f>IF(OR(AB687="OK",AB687="Aucune pièce déclarée",AB687="Cadence dépassée : vérifiez la cadence"),1,0)</f>
        <v>0.0</v>
      </c>
      <c r="AD687">
        <f>IF(AND(AC687=1,A687&gt;=p_from,A687&lt;=p_to),1,0)</f>
        <v>0.0</v>
      </c>
      <c r="AE687">
        <f>IF(AD687=1,IF(COUNTIFS($A$6:A687,A687,$AD$6:AD687,1)=1,1,0),0)</f>
        <v>0.0</v>
      </c>
      <c r="AF687" t="str">
        <f>IF(AE687=1,COUNTIFS(sj_first,1,sj_date,"&lt;"&amp;A687)+1,"")</f>
        <v/>
      </c>
      <c r="AG687" t="str">
        <f>IF(AND(AD687=1,N(W687)&lt;p_alert),ROUND(W687,4),"")</f>
        <v/>
      </c>
      <c r="AH687" t="str">
        <f>IF(AG687="","",COUNTIF(sj_akey,"&lt;"&amp;AG687)+COUNTIF($AG$6:AG687,AG687))</f>
        <v/>
      </c>
    </row>
    <row r="688">
      <c r="A688" s="51" t="n"/>
      <c r="B688" s="52" t="n"/>
      <c r="C688" s="52" t="n"/>
      <c r="D688" s="53" t="n"/>
      <c r="E688" s="53" t="n"/>
      <c r="F688" s="54" t="n"/>
      <c r="G688" s="54" t="n"/>
      <c r="H688" s="54" t="n"/>
      <c r="I688" s="54" t="n"/>
      <c r="J688" s="53" t="n"/>
      <c r="K688" s="55" t="str">
        <f>IF(COUNTA(A688:I688)=0,"",IF(F688="",IFERROR(INDEX(eq_dur,MATCH(B688,eq_code,0)),""),F688))</f>
        <v/>
      </c>
      <c r="L688" s="55" t="str">
        <f>IF(ISNUMBER(K688),N(IFERROR(INDEX(eq_pause,MATCH(B688,eq_code,0)),0))+SUMIFS(st_min,st_date,A688,st_eq,B688,st_po,C688,st_type,"Planifié"),"")</f>
        <v/>
      </c>
      <c r="M688" s="55" t="str">
        <f>IF(ISNUMBER(K688),K688-L688,"")</f>
        <v/>
      </c>
      <c r="N688" s="55" t="str">
        <f>IF(ISNUMBER(K688),SUMIFS(st_min,st_date,A688,st_eq,B688,st_po,C688,st_type,"Non planifié"),"")</f>
        <v/>
      </c>
      <c r="O688" s="55" t="str">
        <f>IF(ISNUMBER(K688),M688-N688,"")</f>
        <v/>
      </c>
      <c r="P688" s="55" t="str">
        <f>IF(COUNTA(A688:I688)=0,"",N(G688)+N(H688)+N(I688))</f>
        <v/>
      </c>
      <c r="Q688" s="56" t="str">
        <f>IF(COUNTA(A688:I688)=0,"",IF(N(IFERROR(INDEX(art_rate,MATCH(E688,art_ref,0)),0))&gt;0,N(IFERROR(INDEX(art_rate,MATCH(E688,art_ref,0)),0)),N(IFERROR(INDEX(po_rate,MATCH(C688,po_code,0)),0))))</f>
        <v/>
      </c>
      <c r="R688" s="55" t="str">
        <f>IF(AC688=1,P688*60/Q688,"")</f>
        <v/>
      </c>
      <c r="S688" s="55" t="str">
        <f>IF(AC688=1,N(G688)*60/Q688,"")</f>
        <v/>
      </c>
      <c r="T688" s="57" t="str">
        <f>IF(AC688=1,O688/M688,"")</f>
        <v/>
      </c>
      <c r="U688" s="57" t="str">
        <f>IF(AC688=1,IF(O688&gt;0,R688/O688,""),"")</f>
        <v/>
      </c>
      <c r="V688" s="57" t="str">
        <f>IF(AC688=1,IF(P688&gt;0,N(G688)/P688,""),"")</f>
        <v/>
      </c>
      <c r="W688" s="57" t="str">
        <f>IF(AC688=1,S688/M688,"")</f>
        <v/>
      </c>
      <c r="X688" s="57" t="str">
        <f>IF(AC688=1,S688/K688,"")</f>
        <v/>
      </c>
      <c r="Y688" s="58" t="str">
        <f>IF(W688="","",IF(W688&gt;=p_target,"Bon",IF(W688&gt;=p_alert,"À surveiller","Faible")))</f>
        <v/>
      </c>
      <c r="Z688" s="58" t="str">
        <f>IF(W688="","",IF(MIN(IF(T688="",1,T688),IF(U688="",1,U688),IF(V688="",1,V688))&gt;=1,"Aucune",IF(IF(T688="",1,T688)&lt;=MIN(IF(U688="",1,U688),IF(V688="",1,V688)),"Disponibilité",IF(IF(U688="",1,U688)&lt;=IF(V688="",1,V688),"Performance","Qualité"))))</f>
        <v/>
      </c>
      <c r="AA688" s="59" t="str">
        <f>IF(AC688=1,N(H688)*N(IFERROR(INDEX(art_cost,MATCH(E688,art_ref,0)),0)),"")</f>
        <v/>
      </c>
      <c r="AB688" s="58" t="str">
        <f>IF(COUNTA(A688:I688)=0,"",IF(N(A688)&lt;=0,"Date manquante ou invalide",IF(B688="","Équipe manquante",IF(ISNA(MATCH(B688,eq_code,0)),"Équipe inconnue",IF(INDEX(eq_check,MATCH(B688,eq_code,0))&lt;&gt;"OK","Équipe à corriger dans Paramètres",IF(C688="","Poste manquant",IF(ISNA(MATCH(C688,po_code,0)),"Poste inconnu",IF(AND(E688&lt;&gt;"",ISNA(MATCH(E688,art_ref,0))),"Article inconnu",IF(IF(E688="",FALSE,INDEX(art_check,MATCH(E688,art_ref,0))&lt;&gt;"OK"),"Article à corriger (feuille Articles)",IF(COUNTIFS(sj_date,A688,sj_eq,B688,sj_po,C688)&gt;1,"Ligne en double (même jour, équipe et poste)",IF(OR(NOT(ISNUMBER(K688)),N(K688)&lt;=0,N(K688)&gt;1440),"Temps d'ouverture invalide",IF(OR(AND(G688&lt;&gt;"",NOT(ISNUMBER(G688))),N(G688)&lt;0,N(G688)&lt;&gt;INT(N(G688)),AND(H688&lt;&gt;"",NOT(ISNUMBER(H688))),N(H688)&lt;0,N(H688)&lt;&gt;INT(N(H688)),AND(I688&lt;&gt;"",NOT(ISNUMBER(I688))),N(I688)&lt;0,N(I688)&lt;&gt;INT(N(I688))),"Quantité invalide",IF(Q688&lt;=0,"Cadence manquante (poste ou article)",IF(M688&lt;=0,"Arrêts planifiés supérieurs au temps d'ouverture",IF(O688&lt;0,"Arrêts supérieurs au temps requis",IF(AND(P688&gt;0,O688=0),"Pièces déclarées sans temps de marche",IF(AND(P688=0,O688&gt;0),"Aucune pièce déclarée",IF(P688*60/Q688&gt;O688+0.001,"Cadence dépassée : vérifiez la cadence","OK"))))))))))))))))))</f>
        <v/>
      </c>
      <c r="AC688">
        <f>IF(OR(AB688="OK",AB688="Aucune pièce déclarée",AB688="Cadence dépassée : vérifiez la cadence"),1,0)</f>
        <v>0.0</v>
      </c>
      <c r="AD688">
        <f>IF(AND(AC688=1,A688&gt;=p_from,A688&lt;=p_to),1,0)</f>
        <v>0.0</v>
      </c>
      <c r="AE688">
        <f>IF(AD688=1,IF(COUNTIFS($A$6:A688,A688,$AD$6:AD688,1)=1,1,0),0)</f>
        <v>0.0</v>
      </c>
      <c r="AF688" t="str">
        <f>IF(AE688=1,COUNTIFS(sj_first,1,sj_date,"&lt;"&amp;A688)+1,"")</f>
        <v/>
      </c>
      <c r="AG688" t="str">
        <f>IF(AND(AD688=1,N(W688)&lt;p_alert),ROUND(W688,4),"")</f>
        <v/>
      </c>
      <c r="AH688" t="str">
        <f>IF(AG688="","",COUNTIF(sj_akey,"&lt;"&amp;AG688)+COUNTIF($AG$6:AG688,AG688))</f>
        <v/>
      </c>
    </row>
    <row r="689">
      <c r="A689" s="51" t="n"/>
      <c r="B689" s="52" t="n"/>
      <c r="C689" s="52" t="n"/>
      <c r="D689" s="53" t="n"/>
      <c r="E689" s="53" t="n"/>
      <c r="F689" s="54" t="n"/>
      <c r="G689" s="54" t="n"/>
      <c r="H689" s="54" t="n"/>
      <c r="I689" s="54" t="n"/>
      <c r="J689" s="53" t="n"/>
      <c r="K689" s="55" t="str">
        <f>IF(COUNTA(A689:I689)=0,"",IF(F689="",IFERROR(INDEX(eq_dur,MATCH(B689,eq_code,0)),""),F689))</f>
        <v/>
      </c>
      <c r="L689" s="55" t="str">
        <f>IF(ISNUMBER(K689),N(IFERROR(INDEX(eq_pause,MATCH(B689,eq_code,0)),0))+SUMIFS(st_min,st_date,A689,st_eq,B689,st_po,C689,st_type,"Planifié"),"")</f>
        <v/>
      </c>
      <c r="M689" s="55" t="str">
        <f>IF(ISNUMBER(K689),K689-L689,"")</f>
        <v/>
      </c>
      <c r="N689" s="55" t="str">
        <f>IF(ISNUMBER(K689),SUMIFS(st_min,st_date,A689,st_eq,B689,st_po,C689,st_type,"Non planifié"),"")</f>
        <v/>
      </c>
      <c r="O689" s="55" t="str">
        <f>IF(ISNUMBER(K689),M689-N689,"")</f>
        <v/>
      </c>
      <c r="P689" s="55" t="str">
        <f>IF(COUNTA(A689:I689)=0,"",N(G689)+N(H689)+N(I689))</f>
        <v/>
      </c>
      <c r="Q689" s="56" t="str">
        <f>IF(COUNTA(A689:I689)=0,"",IF(N(IFERROR(INDEX(art_rate,MATCH(E689,art_ref,0)),0))&gt;0,N(IFERROR(INDEX(art_rate,MATCH(E689,art_ref,0)),0)),N(IFERROR(INDEX(po_rate,MATCH(C689,po_code,0)),0))))</f>
        <v/>
      </c>
      <c r="R689" s="55" t="str">
        <f>IF(AC689=1,P689*60/Q689,"")</f>
        <v/>
      </c>
      <c r="S689" s="55" t="str">
        <f>IF(AC689=1,N(G689)*60/Q689,"")</f>
        <v/>
      </c>
      <c r="T689" s="57" t="str">
        <f>IF(AC689=1,O689/M689,"")</f>
        <v/>
      </c>
      <c r="U689" s="57" t="str">
        <f>IF(AC689=1,IF(O689&gt;0,R689/O689,""),"")</f>
        <v/>
      </c>
      <c r="V689" s="57" t="str">
        <f>IF(AC689=1,IF(P689&gt;0,N(G689)/P689,""),"")</f>
        <v/>
      </c>
      <c r="W689" s="57" t="str">
        <f>IF(AC689=1,S689/M689,"")</f>
        <v/>
      </c>
      <c r="X689" s="57" t="str">
        <f>IF(AC689=1,S689/K689,"")</f>
        <v/>
      </c>
      <c r="Y689" s="58" t="str">
        <f>IF(W689="","",IF(W689&gt;=p_target,"Bon",IF(W689&gt;=p_alert,"À surveiller","Faible")))</f>
        <v/>
      </c>
      <c r="Z689" s="58" t="str">
        <f>IF(W689="","",IF(MIN(IF(T689="",1,T689),IF(U689="",1,U689),IF(V689="",1,V689))&gt;=1,"Aucune",IF(IF(T689="",1,T689)&lt;=MIN(IF(U689="",1,U689),IF(V689="",1,V689)),"Disponibilité",IF(IF(U689="",1,U689)&lt;=IF(V689="",1,V689),"Performance","Qualité"))))</f>
        <v/>
      </c>
      <c r="AA689" s="59" t="str">
        <f>IF(AC689=1,N(H689)*N(IFERROR(INDEX(art_cost,MATCH(E689,art_ref,0)),0)),"")</f>
        <v/>
      </c>
      <c r="AB689" s="58" t="str">
        <f>IF(COUNTA(A689:I689)=0,"",IF(N(A689)&lt;=0,"Date manquante ou invalide",IF(B689="","Équipe manquante",IF(ISNA(MATCH(B689,eq_code,0)),"Équipe inconnue",IF(INDEX(eq_check,MATCH(B689,eq_code,0))&lt;&gt;"OK","Équipe à corriger dans Paramètres",IF(C689="","Poste manquant",IF(ISNA(MATCH(C689,po_code,0)),"Poste inconnu",IF(AND(E689&lt;&gt;"",ISNA(MATCH(E689,art_ref,0))),"Article inconnu",IF(IF(E689="",FALSE,INDEX(art_check,MATCH(E689,art_ref,0))&lt;&gt;"OK"),"Article à corriger (feuille Articles)",IF(COUNTIFS(sj_date,A689,sj_eq,B689,sj_po,C689)&gt;1,"Ligne en double (même jour, équipe et poste)",IF(OR(NOT(ISNUMBER(K689)),N(K689)&lt;=0,N(K689)&gt;1440),"Temps d'ouverture invalide",IF(OR(AND(G689&lt;&gt;"",NOT(ISNUMBER(G689))),N(G689)&lt;0,N(G689)&lt;&gt;INT(N(G689)),AND(H689&lt;&gt;"",NOT(ISNUMBER(H689))),N(H689)&lt;0,N(H689)&lt;&gt;INT(N(H689)),AND(I689&lt;&gt;"",NOT(ISNUMBER(I689))),N(I689)&lt;0,N(I689)&lt;&gt;INT(N(I689))),"Quantité invalide",IF(Q689&lt;=0,"Cadence manquante (poste ou article)",IF(M689&lt;=0,"Arrêts planifiés supérieurs au temps d'ouverture",IF(O689&lt;0,"Arrêts supérieurs au temps requis",IF(AND(P689&gt;0,O689=0),"Pièces déclarées sans temps de marche",IF(AND(P689=0,O689&gt;0),"Aucune pièce déclarée",IF(P689*60/Q689&gt;O689+0.001,"Cadence dépassée : vérifiez la cadence","OK"))))))))))))))))))</f>
        <v/>
      </c>
      <c r="AC689">
        <f>IF(OR(AB689="OK",AB689="Aucune pièce déclarée",AB689="Cadence dépassée : vérifiez la cadence"),1,0)</f>
        <v>0.0</v>
      </c>
      <c r="AD689">
        <f>IF(AND(AC689=1,A689&gt;=p_from,A689&lt;=p_to),1,0)</f>
        <v>0.0</v>
      </c>
      <c r="AE689">
        <f>IF(AD689=1,IF(COUNTIFS($A$6:A689,A689,$AD$6:AD689,1)=1,1,0),0)</f>
        <v>0.0</v>
      </c>
      <c r="AF689" t="str">
        <f>IF(AE689=1,COUNTIFS(sj_first,1,sj_date,"&lt;"&amp;A689)+1,"")</f>
        <v/>
      </c>
      <c r="AG689" t="str">
        <f>IF(AND(AD689=1,N(W689)&lt;p_alert),ROUND(W689,4),"")</f>
        <v/>
      </c>
      <c r="AH689" t="str">
        <f>IF(AG689="","",COUNTIF(sj_akey,"&lt;"&amp;AG689)+COUNTIF($AG$6:AG689,AG689))</f>
        <v/>
      </c>
    </row>
    <row r="690">
      <c r="A690" s="51" t="n"/>
      <c r="B690" s="52" t="n"/>
      <c r="C690" s="52" t="n"/>
      <c r="D690" s="53" t="n"/>
      <c r="E690" s="53" t="n"/>
      <c r="F690" s="54" t="n"/>
      <c r="G690" s="54" t="n"/>
      <c r="H690" s="54" t="n"/>
      <c r="I690" s="54" t="n"/>
      <c r="J690" s="53" t="n"/>
      <c r="K690" s="55" t="str">
        <f>IF(COUNTA(A690:I690)=0,"",IF(F690="",IFERROR(INDEX(eq_dur,MATCH(B690,eq_code,0)),""),F690))</f>
        <v/>
      </c>
      <c r="L690" s="55" t="str">
        <f>IF(ISNUMBER(K690),N(IFERROR(INDEX(eq_pause,MATCH(B690,eq_code,0)),0))+SUMIFS(st_min,st_date,A690,st_eq,B690,st_po,C690,st_type,"Planifié"),"")</f>
        <v/>
      </c>
      <c r="M690" s="55" t="str">
        <f>IF(ISNUMBER(K690),K690-L690,"")</f>
        <v/>
      </c>
      <c r="N690" s="55" t="str">
        <f>IF(ISNUMBER(K690),SUMIFS(st_min,st_date,A690,st_eq,B690,st_po,C690,st_type,"Non planifié"),"")</f>
        <v/>
      </c>
      <c r="O690" s="55" t="str">
        <f>IF(ISNUMBER(K690),M690-N690,"")</f>
        <v/>
      </c>
      <c r="P690" s="55" t="str">
        <f>IF(COUNTA(A690:I690)=0,"",N(G690)+N(H690)+N(I690))</f>
        <v/>
      </c>
      <c r="Q690" s="56" t="str">
        <f>IF(COUNTA(A690:I690)=0,"",IF(N(IFERROR(INDEX(art_rate,MATCH(E690,art_ref,0)),0))&gt;0,N(IFERROR(INDEX(art_rate,MATCH(E690,art_ref,0)),0)),N(IFERROR(INDEX(po_rate,MATCH(C690,po_code,0)),0))))</f>
        <v/>
      </c>
      <c r="R690" s="55" t="str">
        <f>IF(AC690=1,P690*60/Q690,"")</f>
        <v/>
      </c>
      <c r="S690" s="55" t="str">
        <f>IF(AC690=1,N(G690)*60/Q690,"")</f>
        <v/>
      </c>
      <c r="T690" s="57" t="str">
        <f>IF(AC690=1,O690/M690,"")</f>
        <v/>
      </c>
      <c r="U690" s="57" t="str">
        <f>IF(AC690=1,IF(O690&gt;0,R690/O690,""),"")</f>
        <v/>
      </c>
      <c r="V690" s="57" t="str">
        <f>IF(AC690=1,IF(P690&gt;0,N(G690)/P690,""),"")</f>
        <v/>
      </c>
      <c r="W690" s="57" t="str">
        <f>IF(AC690=1,S690/M690,"")</f>
        <v/>
      </c>
      <c r="X690" s="57" t="str">
        <f>IF(AC690=1,S690/K690,"")</f>
        <v/>
      </c>
      <c r="Y690" s="58" t="str">
        <f>IF(W690="","",IF(W690&gt;=p_target,"Bon",IF(W690&gt;=p_alert,"À surveiller","Faible")))</f>
        <v/>
      </c>
      <c r="Z690" s="58" t="str">
        <f>IF(W690="","",IF(MIN(IF(T690="",1,T690),IF(U690="",1,U690),IF(V690="",1,V690))&gt;=1,"Aucune",IF(IF(T690="",1,T690)&lt;=MIN(IF(U690="",1,U690),IF(V690="",1,V690)),"Disponibilité",IF(IF(U690="",1,U690)&lt;=IF(V690="",1,V690),"Performance","Qualité"))))</f>
        <v/>
      </c>
      <c r="AA690" s="59" t="str">
        <f>IF(AC690=1,N(H690)*N(IFERROR(INDEX(art_cost,MATCH(E690,art_ref,0)),0)),"")</f>
        <v/>
      </c>
      <c r="AB690" s="58" t="str">
        <f>IF(COUNTA(A690:I690)=0,"",IF(N(A690)&lt;=0,"Date manquante ou invalide",IF(B690="","Équipe manquante",IF(ISNA(MATCH(B690,eq_code,0)),"Équipe inconnue",IF(INDEX(eq_check,MATCH(B690,eq_code,0))&lt;&gt;"OK","Équipe à corriger dans Paramètres",IF(C690="","Poste manquant",IF(ISNA(MATCH(C690,po_code,0)),"Poste inconnu",IF(AND(E690&lt;&gt;"",ISNA(MATCH(E690,art_ref,0))),"Article inconnu",IF(IF(E690="",FALSE,INDEX(art_check,MATCH(E690,art_ref,0))&lt;&gt;"OK"),"Article à corriger (feuille Articles)",IF(COUNTIFS(sj_date,A690,sj_eq,B690,sj_po,C690)&gt;1,"Ligne en double (même jour, équipe et poste)",IF(OR(NOT(ISNUMBER(K690)),N(K690)&lt;=0,N(K690)&gt;1440),"Temps d'ouverture invalide",IF(OR(AND(G690&lt;&gt;"",NOT(ISNUMBER(G690))),N(G690)&lt;0,N(G690)&lt;&gt;INT(N(G690)),AND(H690&lt;&gt;"",NOT(ISNUMBER(H690))),N(H690)&lt;0,N(H690)&lt;&gt;INT(N(H690)),AND(I690&lt;&gt;"",NOT(ISNUMBER(I690))),N(I690)&lt;0,N(I690)&lt;&gt;INT(N(I690))),"Quantité invalide",IF(Q690&lt;=0,"Cadence manquante (poste ou article)",IF(M690&lt;=0,"Arrêts planifiés supérieurs au temps d'ouverture",IF(O690&lt;0,"Arrêts supérieurs au temps requis",IF(AND(P690&gt;0,O690=0),"Pièces déclarées sans temps de marche",IF(AND(P690=0,O690&gt;0),"Aucune pièce déclarée",IF(P690*60/Q690&gt;O690+0.001,"Cadence dépassée : vérifiez la cadence","OK"))))))))))))))))))</f>
        <v/>
      </c>
      <c r="AC690">
        <f>IF(OR(AB690="OK",AB690="Aucune pièce déclarée",AB690="Cadence dépassée : vérifiez la cadence"),1,0)</f>
        <v>0.0</v>
      </c>
      <c r="AD690">
        <f>IF(AND(AC690=1,A690&gt;=p_from,A690&lt;=p_to),1,0)</f>
        <v>0.0</v>
      </c>
      <c r="AE690">
        <f>IF(AD690=1,IF(COUNTIFS($A$6:A690,A690,$AD$6:AD690,1)=1,1,0),0)</f>
        <v>0.0</v>
      </c>
      <c r="AF690" t="str">
        <f>IF(AE690=1,COUNTIFS(sj_first,1,sj_date,"&lt;"&amp;A690)+1,"")</f>
        <v/>
      </c>
      <c r="AG690" t="str">
        <f>IF(AND(AD690=1,N(W690)&lt;p_alert),ROUND(W690,4),"")</f>
        <v/>
      </c>
      <c r="AH690" t="str">
        <f>IF(AG690="","",COUNTIF(sj_akey,"&lt;"&amp;AG690)+COUNTIF($AG$6:AG690,AG690))</f>
        <v/>
      </c>
    </row>
    <row r="691">
      <c r="A691" s="51" t="n"/>
      <c r="B691" s="52" t="n"/>
      <c r="C691" s="52" t="n"/>
      <c r="D691" s="53" t="n"/>
      <c r="E691" s="53" t="n"/>
      <c r="F691" s="54" t="n"/>
      <c r="G691" s="54" t="n"/>
      <c r="H691" s="54" t="n"/>
      <c r="I691" s="54" t="n"/>
      <c r="J691" s="53" t="n"/>
      <c r="K691" s="55" t="str">
        <f>IF(COUNTA(A691:I691)=0,"",IF(F691="",IFERROR(INDEX(eq_dur,MATCH(B691,eq_code,0)),""),F691))</f>
        <v/>
      </c>
      <c r="L691" s="55" t="str">
        <f>IF(ISNUMBER(K691),N(IFERROR(INDEX(eq_pause,MATCH(B691,eq_code,0)),0))+SUMIFS(st_min,st_date,A691,st_eq,B691,st_po,C691,st_type,"Planifié"),"")</f>
        <v/>
      </c>
      <c r="M691" s="55" t="str">
        <f>IF(ISNUMBER(K691),K691-L691,"")</f>
        <v/>
      </c>
      <c r="N691" s="55" t="str">
        <f>IF(ISNUMBER(K691),SUMIFS(st_min,st_date,A691,st_eq,B691,st_po,C691,st_type,"Non planifié"),"")</f>
        <v/>
      </c>
      <c r="O691" s="55" t="str">
        <f>IF(ISNUMBER(K691),M691-N691,"")</f>
        <v/>
      </c>
      <c r="P691" s="55" t="str">
        <f>IF(COUNTA(A691:I691)=0,"",N(G691)+N(H691)+N(I691))</f>
        <v/>
      </c>
      <c r="Q691" s="56" t="str">
        <f>IF(COUNTA(A691:I691)=0,"",IF(N(IFERROR(INDEX(art_rate,MATCH(E691,art_ref,0)),0))&gt;0,N(IFERROR(INDEX(art_rate,MATCH(E691,art_ref,0)),0)),N(IFERROR(INDEX(po_rate,MATCH(C691,po_code,0)),0))))</f>
        <v/>
      </c>
      <c r="R691" s="55" t="str">
        <f>IF(AC691=1,P691*60/Q691,"")</f>
        <v/>
      </c>
      <c r="S691" s="55" t="str">
        <f>IF(AC691=1,N(G691)*60/Q691,"")</f>
        <v/>
      </c>
      <c r="T691" s="57" t="str">
        <f>IF(AC691=1,O691/M691,"")</f>
        <v/>
      </c>
      <c r="U691" s="57" t="str">
        <f>IF(AC691=1,IF(O691&gt;0,R691/O691,""),"")</f>
        <v/>
      </c>
      <c r="V691" s="57" t="str">
        <f>IF(AC691=1,IF(P691&gt;0,N(G691)/P691,""),"")</f>
        <v/>
      </c>
      <c r="W691" s="57" t="str">
        <f>IF(AC691=1,S691/M691,"")</f>
        <v/>
      </c>
      <c r="X691" s="57" t="str">
        <f>IF(AC691=1,S691/K691,"")</f>
        <v/>
      </c>
      <c r="Y691" s="58" t="str">
        <f>IF(W691="","",IF(W691&gt;=p_target,"Bon",IF(W691&gt;=p_alert,"À surveiller","Faible")))</f>
        <v/>
      </c>
      <c r="Z691" s="58" t="str">
        <f>IF(W691="","",IF(MIN(IF(T691="",1,T691),IF(U691="",1,U691),IF(V691="",1,V691))&gt;=1,"Aucune",IF(IF(T691="",1,T691)&lt;=MIN(IF(U691="",1,U691),IF(V691="",1,V691)),"Disponibilité",IF(IF(U691="",1,U691)&lt;=IF(V691="",1,V691),"Performance","Qualité"))))</f>
        <v/>
      </c>
      <c r="AA691" s="59" t="str">
        <f>IF(AC691=1,N(H691)*N(IFERROR(INDEX(art_cost,MATCH(E691,art_ref,0)),0)),"")</f>
        <v/>
      </c>
      <c r="AB691" s="58" t="str">
        <f>IF(COUNTA(A691:I691)=0,"",IF(N(A691)&lt;=0,"Date manquante ou invalide",IF(B691="","Équipe manquante",IF(ISNA(MATCH(B691,eq_code,0)),"Équipe inconnue",IF(INDEX(eq_check,MATCH(B691,eq_code,0))&lt;&gt;"OK","Équipe à corriger dans Paramètres",IF(C691="","Poste manquant",IF(ISNA(MATCH(C691,po_code,0)),"Poste inconnu",IF(AND(E691&lt;&gt;"",ISNA(MATCH(E691,art_ref,0))),"Article inconnu",IF(IF(E691="",FALSE,INDEX(art_check,MATCH(E691,art_ref,0))&lt;&gt;"OK"),"Article à corriger (feuille Articles)",IF(COUNTIFS(sj_date,A691,sj_eq,B691,sj_po,C691)&gt;1,"Ligne en double (même jour, équipe et poste)",IF(OR(NOT(ISNUMBER(K691)),N(K691)&lt;=0,N(K691)&gt;1440),"Temps d'ouverture invalide",IF(OR(AND(G691&lt;&gt;"",NOT(ISNUMBER(G691))),N(G691)&lt;0,N(G691)&lt;&gt;INT(N(G691)),AND(H691&lt;&gt;"",NOT(ISNUMBER(H691))),N(H691)&lt;0,N(H691)&lt;&gt;INT(N(H691)),AND(I691&lt;&gt;"",NOT(ISNUMBER(I691))),N(I691)&lt;0,N(I691)&lt;&gt;INT(N(I691))),"Quantité invalide",IF(Q691&lt;=0,"Cadence manquante (poste ou article)",IF(M691&lt;=0,"Arrêts planifiés supérieurs au temps d'ouverture",IF(O691&lt;0,"Arrêts supérieurs au temps requis",IF(AND(P691&gt;0,O691=0),"Pièces déclarées sans temps de marche",IF(AND(P691=0,O691&gt;0),"Aucune pièce déclarée",IF(P691*60/Q691&gt;O691+0.001,"Cadence dépassée : vérifiez la cadence","OK"))))))))))))))))))</f>
        <v/>
      </c>
      <c r="AC691">
        <f>IF(OR(AB691="OK",AB691="Aucune pièce déclarée",AB691="Cadence dépassée : vérifiez la cadence"),1,0)</f>
        <v>0.0</v>
      </c>
      <c r="AD691">
        <f>IF(AND(AC691=1,A691&gt;=p_from,A691&lt;=p_to),1,0)</f>
        <v>0.0</v>
      </c>
      <c r="AE691">
        <f>IF(AD691=1,IF(COUNTIFS($A$6:A691,A691,$AD$6:AD691,1)=1,1,0),0)</f>
        <v>0.0</v>
      </c>
      <c r="AF691" t="str">
        <f>IF(AE691=1,COUNTIFS(sj_first,1,sj_date,"&lt;"&amp;A691)+1,"")</f>
        <v/>
      </c>
      <c r="AG691" t="str">
        <f>IF(AND(AD691=1,N(W691)&lt;p_alert),ROUND(W691,4),"")</f>
        <v/>
      </c>
      <c r="AH691" t="str">
        <f>IF(AG691="","",COUNTIF(sj_akey,"&lt;"&amp;AG691)+COUNTIF($AG$6:AG691,AG691))</f>
        <v/>
      </c>
    </row>
    <row r="692">
      <c r="A692" s="51" t="n"/>
      <c r="B692" s="52" t="n"/>
      <c r="C692" s="52" t="n"/>
      <c r="D692" s="53" t="n"/>
      <c r="E692" s="53" t="n"/>
      <c r="F692" s="54" t="n"/>
      <c r="G692" s="54" t="n"/>
      <c r="H692" s="54" t="n"/>
      <c r="I692" s="54" t="n"/>
      <c r="J692" s="53" t="n"/>
      <c r="K692" s="55" t="str">
        <f>IF(COUNTA(A692:I692)=0,"",IF(F692="",IFERROR(INDEX(eq_dur,MATCH(B692,eq_code,0)),""),F692))</f>
        <v/>
      </c>
      <c r="L692" s="55" t="str">
        <f>IF(ISNUMBER(K692),N(IFERROR(INDEX(eq_pause,MATCH(B692,eq_code,0)),0))+SUMIFS(st_min,st_date,A692,st_eq,B692,st_po,C692,st_type,"Planifié"),"")</f>
        <v/>
      </c>
      <c r="M692" s="55" t="str">
        <f>IF(ISNUMBER(K692),K692-L692,"")</f>
        <v/>
      </c>
      <c r="N692" s="55" t="str">
        <f>IF(ISNUMBER(K692),SUMIFS(st_min,st_date,A692,st_eq,B692,st_po,C692,st_type,"Non planifié"),"")</f>
        <v/>
      </c>
      <c r="O692" s="55" t="str">
        <f>IF(ISNUMBER(K692),M692-N692,"")</f>
        <v/>
      </c>
      <c r="P692" s="55" t="str">
        <f>IF(COUNTA(A692:I692)=0,"",N(G692)+N(H692)+N(I692))</f>
        <v/>
      </c>
      <c r="Q692" s="56" t="str">
        <f>IF(COUNTA(A692:I692)=0,"",IF(N(IFERROR(INDEX(art_rate,MATCH(E692,art_ref,0)),0))&gt;0,N(IFERROR(INDEX(art_rate,MATCH(E692,art_ref,0)),0)),N(IFERROR(INDEX(po_rate,MATCH(C692,po_code,0)),0))))</f>
        <v/>
      </c>
      <c r="R692" s="55" t="str">
        <f>IF(AC692=1,P692*60/Q692,"")</f>
        <v/>
      </c>
      <c r="S692" s="55" t="str">
        <f>IF(AC692=1,N(G692)*60/Q692,"")</f>
        <v/>
      </c>
      <c r="T692" s="57" t="str">
        <f>IF(AC692=1,O692/M692,"")</f>
        <v/>
      </c>
      <c r="U692" s="57" t="str">
        <f>IF(AC692=1,IF(O692&gt;0,R692/O692,""),"")</f>
        <v/>
      </c>
      <c r="V692" s="57" t="str">
        <f>IF(AC692=1,IF(P692&gt;0,N(G692)/P692,""),"")</f>
        <v/>
      </c>
      <c r="W692" s="57" t="str">
        <f>IF(AC692=1,S692/M692,"")</f>
        <v/>
      </c>
      <c r="X692" s="57" t="str">
        <f>IF(AC692=1,S692/K692,"")</f>
        <v/>
      </c>
      <c r="Y692" s="58" t="str">
        <f>IF(W692="","",IF(W692&gt;=p_target,"Bon",IF(W692&gt;=p_alert,"À surveiller","Faible")))</f>
        <v/>
      </c>
      <c r="Z692" s="58" t="str">
        <f>IF(W692="","",IF(MIN(IF(T692="",1,T692),IF(U692="",1,U692),IF(V692="",1,V692))&gt;=1,"Aucune",IF(IF(T692="",1,T692)&lt;=MIN(IF(U692="",1,U692),IF(V692="",1,V692)),"Disponibilité",IF(IF(U692="",1,U692)&lt;=IF(V692="",1,V692),"Performance","Qualité"))))</f>
        <v/>
      </c>
      <c r="AA692" s="59" t="str">
        <f>IF(AC692=1,N(H692)*N(IFERROR(INDEX(art_cost,MATCH(E692,art_ref,0)),0)),"")</f>
        <v/>
      </c>
      <c r="AB692" s="58" t="str">
        <f>IF(COUNTA(A692:I692)=0,"",IF(N(A692)&lt;=0,"Date manquante ou invalide",IF(B692="","Équipe manquante",IF(ISNA(MATCH(B692,eq_code,0)),"Équipe inconnue",IF(INDEX(eq_check,MATCH(B692,eq_code,0))&lt;&gt;"OK","Équipe à corriger dans Paramètres",IF(C692="","Poste manquant",IF(ISNA(MATCH(C692,po_code,0)),"Poste inconnu",IF(AND(E692&lt;&gt;"",ISNA(MATCH(E692,art_ref,0))),"Article inconnu",IF(IF(E692="",FALSE,INDEX(art_check,MATCH(E692,art_ref,0))&lt;&gt;"OK"),"Article à corriger (feuille Articles)",IF(COUNTIFS(sj_date,A692,sj_eq,B692,sj_po,C692)&gt;1,"Ligne en double (même jour, équipe et poste)",IF(OR(NOT(ISNUMBER(K692)),N(K692)&lt;=0,N(K692)&gt;1440),"Temps d'ouverture invalide",IF(OR(AND(G692&lt;&gt;"",NOT(ISNUMBER(G692))),N(G692)&lt;0,N(G692)&lt;&gt;INT(N(G692)),AND(H692&lt;&gt;"",NOT(ISNUMBER(H692))),N(H692)&lt;0,N(H692)&lt;&gt;INT(N(H692)),AND(I692&lt;&gt;"",NOT(ISNUMBER(I692))),N(I692)&lt;0,N(I692)&lt;&gt;INT(N(I692))),"Quantité invalide",IF(Q692&lt;=0,"Cadence manquante (poste ou article)",IF(M692&lt;=0,"Arrêts planifiés supérieurs au temps d'ouverture",IF(O692&lt;0,"Arrêts supérieurs au temps requis",IF(AND(P692&gt;0,O692=0),"Pièces déclarées sans temps de marche",IF(AND(P692=0,O692&gt;0),"Aucune pièce déclarée",IF(P692*60/Q692&gt;O692+0.001,"Cadence dépassée : vérifiez la cadence","OK"))))))))))))))))))</f>
        <v/>
      </c>
      <c r="AC692">
        <f>IF(OR(AB692="OK",AB692="Aucune pièce déclarée",AB692="Cadence dépassée : vérifiez la cadence"),1,0)</f>
        <v>0.0</v>
      </c>
      <c r="AD692">
        <f>IF(AND(AC692=1,A692&gt;=p_from,A692&lt;=p_to),1,0)</f>
        <v>0.0</v>
      </c>
      <c r="AE692">
        <f>IF(AD692=1,IF(COUNTIFS($A$6:A692,A692,$AD$6:AD692,1)=1,1,0),0)</f>
        <v>0.0</v>
      </c>
      <c r="AF692" t="str">
        <f>IF(AE692=1,COUNTIFS(sj_first,1,sj_date,"&lt;"&amp;A692)+1,"")</f>
        <v/>
      </c>
      <c r="AG692" t="str">
        <f>IF(AND(AD692=1,N(W692)&lt;p_alert),ROUND(W692,4),"")</f>
        <v/>
      </c>
      <c r="AH692" t="str">
        <f>IF(AG692="","",COUNTIF(sj_akey,"&lt;"&amp;AG692)+COUNTIF($AG$6:AG692,AG692))</f>
        <v/>
      </c>
    </row>
    <row r="693">
      <c r="A693" s="51" t="n"/>
      <c r="B693" s="52" t="n"/>
      <c r="C693" s="52" t="n"/>
      <c r="D693" s="53" t="n"/>
      <c r="E693" s="53" t="n"/>
      <c r="F693" s="54" t="n"/>
      <c r="G693" s="54" t="n"/>
      <c r="H693" s="54" t="n"/>
      <c r="I693" s="54" t="n"/>
      <c r="J693" s="53" t="n"/>
      <c r="K693" s="55" t="str">
        <f>IF(COUNTA(A693:I693)=0,"",IF(F693="",IFERROR(INDEX(eq_dur,MATCH(B693,eq_code,0)),""),F693))</f>
        <v/>
      </c>
      <c r="L693" s="55" t="str">
        <f>IF(ISNUMBER(K693),N(IFERROR(INDEX(eq_pause,MATCH(B693,eq_code,0)),0))+SUMIFS(st_min,st_date,A693,st_eq,B693,st_po,C693,st_type,"Planifié"),"")</f>
        <v/>
      </c>
      <c r="M693" s="55" t="str">
        <f>IF(ISNUMBER(K693),K693-L693,"")</f>
        <v/>
      </c>
      <c r="N693" s="55" t="str">
        <f>IF(ISNUMBER(K693),SUMIFS(st_min,st_date,A693,st_eq,B693,st_po,C693,st_type,"Non planifié"),"")</f>
        <v/>
      </c>
      <c r="O693" s="55" t="str">
        <f>IF(ISNUMBER(K693),M693-N693,"")</f>
        <v/>
      </c>
      <c r="P693" s="55" t="str">
        <f>IF(COUNTA(A693:I693)=0,"",N(G693)+N(H693)+N(I693))</f>
        <v/>
      </c>
      <c r="Q693" s="56" t="str">
        <f>IF(COUNTA(A693:I693)=0,"",IF(N(IFERROR(INDEX(art_rate,MATCH(E693,art_ref,0)),0))&gt;0,N(IFERROR(INDEX(art_rate,MATCH(E693,art_ref,0)),0)),N(IFERROR(INDEX(po_rate,MATCH(C693,po_code,0)),0))))</f>
        <v/>
      </c>
      <c r="R693" s="55" t="str">
        <f>IF(AC693=1,P693*60/Q693,"")</f>
        <v/>
      </c>
      <c r="S693" s="55" t="str">
        <f>IF(AC693=1,N(G693)*60/Q693,"")</f>
        <v/>
      </c>
      <c r="T693" s="57" t="str">
        <f>IF(AC693=1,O693/M693,"")</f>
        <v/>
      </c>
      <c r="U693" s="57" t="str">
        <f>IF(AC693=1,IF(O693&gt;0,R693/O693,""),"")</f>
        <v/>
      </c>
      <c r="V693" s="57" t="str">
        <f>IF(AC693=1,IF(P693&gt;0,N(G693)/P693,""),"")</f>
        <v/>
      </c>
      <c r="W693" s="57" t="str">
        <f>IF(AC693=1,S693/M693,"")</f>
        <v/>
      </c>
      <c r="X693" s="57" t="str">
        <f>IF(AC693=1,S693/K693,"")</f>
        <v/>
      </c>
      <c r="Y693" s="58" t="str">
        <f>IF(W693="","",IF(W693&gt;=p_target,"Bon",IF(W693&gt;=p_alert,"À surveiller","Faible")))</f>
        <v/>
      </c>
      <c r="Z693" s="58" t="str">
        <f>IF(W693="","",IF(MIN(IF(T693="",1,T693),IF(U693="",1,U693),IF(V693="",1,V693))&gt;=1,"Aucune",IF(IF(T693="",1,T693)&lt;=MIN(IF(U693="",1,U693),IF(V693="",1,V693)),"Disponibilité",IF(IF(U693="",1,U693)&lt;=IF(V693="",1,V693),"Performance","Qualité"))))</f>
        <v/>
      </c>
      <c r="AA693" s="59" t="str">
        <f>IF(AC693=1,N(H693)*N(IFERROR(INDEX(art_cost,MATCH(E693,art_ref,0)),0)),"")</f>
        <v/>
      </c>
      <c r="AB693" s="58" t="str">
        <f>IF(COUNTA(A693:I693)=0,"",IF(N(A693)&lt;=0,"Date manquante ou invalide",IF(B693="","Équipe manquante",IF(ISNA(MATCH(B693,eq_code,0)),"Équipe inconnue",IF(INDEX(eq_check,MATCH(B693,eq_code,0))&lt;&gt;"OK","Équipe à corriger dans Paramètres",IF(C693="","Poste manquant",IF(ISNA(MATCH(C693,po_code,0)),"Poste inconnu",IF(AND(E693&lt;&gt;"",ISNA(MATCH(E693,art_ref,0))),"Article inconnu",IF(IF(E693="",FALSE,INDEX(art_check,MATCH(E693,art_ref,0))&lt;&gt;"OK"),"Article à corriger (feuille Articles)",IF(COUNTIFS(sj_date,A693,sj_eq,B693,sj_po,C693)&gt;1,"Ligne en double (même jour, équipe et poste)",IF(OR(NOT(ISNUMBER(K693)),N(K693)&lt;=0,N(K693)&gt;1440),"Temps d'ouverture invalide",IF(OR(AND(G693&lt;&gt;"",NOT(ISNUMBER(G693))),N(G693)&lt;0,N(G693)&lt;&gt;INT(N(G693)),AND(H693&lt;&gt;"",NOT(ISNUMBER(H693))),N(H693)&lt;0,N(H693)&lt;&gt;INT(N(H693)),AND(I693&lt;&gt;"",NOT(ISNUMBER(I693))),N(I693)&lt;0,N(I693)&lt;&gt;INT(N(I693))),"Quantité invalide",IF(Q693&lt;=0,"Cadence manquante (poste ou article)",IF(M693&lt;=0,"Arrêts planifiés supérieurs au temps d'ouverture",IF(O693&lt;0,"Arrêts supérieurs au temps requis",IF(AND(P693&gt;0,O693=0),"Pièces déclarées sans temps de marche",IF(AND(P693=0,O693&gt;0),"Aucune pièce déclarée",IF(P693*60/Q693&gt;O693+0.001,"Cadence dépassée : vérifiez la cadence","OK"))))))))))))))))))</f>
        <v/>
      </c>
      <c r="AC693">
        <f>IF(OR(AB693="OK",AB693="Aucune pièce déclarée",AB693="Cadence dépassée : vérifiez la cadence"),1,0)</f>
        <v>0.0</v>
      </c>
      <c r="AD693">
        <f>IF(AND(AC693=1,A693&gt;=p_from,A693&lt;=p_to),1,0)</f>
        <v>0.0</v>
      </c>
      <c r="AE693">
        <f>IF(AD693=1,IF(COUNTIFS($A$6:A693,A693,$AD$6:AD693,1)=1,1,0),0)</f>
        <v>0.0</v>
      </c>
      <c r="AF693" t="str">
        <f>IF(AE693=1,COUNTIFS(sj_first,1,sj_date,"&lt;"&amp;A693)+1,"")</f>
        <v/>
      </c>
      <c r="AG693" t="str">
        <f>IF(AND(AD693=1,N(W693)&lt;p_alert),ROUND(W693,4),"")</f>
        <v/>
      </c>
      <c r="AH693" t="str">
        <f>IF(AG693="","",COUNTIF(sj_akey,"&lt;"&amp;AG693)+COUNTIF($AG$6:AG693,AG693))</f>
        <v/>
      </c>
    </row>
    <row r="694">
      <c r="A694" s="51" t="n"/>
      <c r="B694" s="52" t="n"/>
      <c r="C694" s="52" t="n"/>
      <c r="D694" s="53" t="n"/>
      <c r="E694" s="53" t="n"/>
      <c r="F694" s="54" t="n"/>
      <c r="G694" s="54" t="n"/>
      <c r="H694" s="54" t="n"/>
      <c r="I694" s="54" t="n"/>
      <c r="J694" s="53" t="n"/>
      <c r="K694" s="55" t="str">
        <f>IF(COUNTA(A694:I694)=0,"",IF(F694="",IFERROR(INDEX(eq_dur,MATCH(B694,eq_code,0)),""),F694))</f>
        <v/>
      </c>
      <c r="L694" s="55" t="str">
        <f>IF(ISNUMBER(K694),N(IFERROR(INDEX(eq_pause,MATCH(B694,eq_code,0)),0))+SUMIFS(st_min,st_date,A694,st_eq,B694,st_po,C694,st_type,"Planifié"),"")</f>
        <v/>
      </c>
      <c r="M694" s="55" t="str">
        <f>IF(ISNUMBER(K694),K694-L694,"")</f>
        <v/>
      </c>
      <c r="N694" s="55" t="str">
        <f>IF(ISNUMBER(K694),SUMIFS(st_min,st_date,A694,st_eq,B694,st_po,C694,st_type,"Non planifié"),"")</f>
        <v/>
      </c>
      <c r="O694" s="55" t="str">
        <f>IF(ISNUMBER(K694),M694-N694,"")</f>
        <v/>
      </c>
      <c r="P694" s="55" t="str">
        <f>IF(COUNTA(A694:I694)=0,"",N(G694)+N(H694)+N(I694))</f>
        <v/>
      </c>
      <c r="Q694" s="56" t="str">
        <f>IF(COUNTA(A694:I694)=0,"",IF(N(IFERROR(INDEX(art_rate,MATCH(E694,art_ref,0)),0))&gt;0,N(IFERROR(INDEX(art_rate,MATCH(E694,art_ref,0)),0)),N(IFERROR(INDEX(po_rate,MATCH(C694,po_code,0)),0))))</f>
        <v/>
      </c>
      <c r="R694" s="55" t="str">
        <f>IF(AC694=1,P694*60/Q694,"")</f>
        <v/>
      </c>
      <c r="S694" s="55" t="str">
        <f>IF(AC694=1,N(G694)*60/Q694,"")</f>
        <v/>
      </c>
      <c r="T694" s="57" t="str">
        <f>IF(AC694=1,O694/M694,"")</f>
        <v/>
      </c>
      <c r="U694" s="57" t="str">
        <f>IF(AC694=1,IF(O694&gt;0,R694/O694,""),"")</f>
        <v/>
      </c>
      <c r="V694" s="57" t="str">
        <f>IF(AC694=1,IF(P694&gt;0,N(G694)/P694,""),"")</f>
        <v/>
      </c>
      <c r="W694" s="57" t="str">
        <f>IF(AC694=1,S694/M694,"")</f>
        <v/>
      </c>
      <c r="X694" s="57" t="str">
        <f>IF(AC694=1,S694/K694,"")</f>
        <v/>
      </c>
      <c r="Y694" s="58" t="str">
        <f>IF(W694="","",IF(W694&gt;=p_target,"Bon",IF(W694&gt;=p_alert,"À surveiller","Faible")))</f>
        <v/>
      </c>
      <c r="Z694" s="58" t="str">
        <f>IF(W694="","",IF(MIN(IF(T694="",1,T694),IF(U694="",1,U694),IF(V694="",1,V694))&gt;=1,"Aucune",IF(IF(T694="",1,T694)&lt;=MIN(IF(U694="",1,U694),IF(V694="",1,V694)),"Disponibilité",IF(IF(U694="",1,U694)&lt;=IF(V694="",1,V694),"Performance","Qualité"))))</f>
        <v/>
      </c>
      <c r="AA694" s="59" t="str">
        <f>IF(AC694=1,N(H694)*N(IFERROR(INDEX(art_cost,MATCH(E694,art_ref,0)),0)),"")</f>
        <v/>
      </c>
      <c r="AB694" s="58" t="str">
        <f>IF(COUNTA(A694:I694)=0,"",IF(N(A694)&lt;=0,"Date manquante ou invalide",IF(B694="","Équipe manquante",IF(ISNA(MATCH(B694,eq_code,0)),"Équipe inconnue",IF(INDEX(eq_check,MATCH(B694,eq_code,0))&lt;&gt;"OK","Équipe à corriger dans Paramètres",IF(C694="","Poste manquant",IF(ISNA(MATCH(C694,po_code,0)),"Poste inconnu",IF(AND(E694&lt;&gt;"",ISNA(MATCH(E694,art_ref,0))),"Article inconnu",IF(IF(E694="",FALSE,INDEX(art_check,MATCH(E694,art_ref,0))&lt;&gt;"OK"),"Article à corriger (feuille Articles)",IF(COUNTIFS(sj_date,A694,sj_eq,B694,sj_po,C694)&gt;1,"Ligne en double (même jour, équipe et poste)",IF(OR(NOT(ISNUMBER(K694)),N(K694)&lt;=0,N(K694)&gt;1440),"Temps d'ouverture invalide",IF(OR(AND(G694&lt;&gt;"",NOT(ISNUMBER(G694))),N(G694)&lt;0,N(G694)&lt;&gt;INT(N(G694)),AND(H694&lt;&gt;"",NOT(ISNUMBER(H694))),N(H694)&lt;0,N(H694)&lt;&gt;INT(N(H694)),AND(I694&lt;&gt;"",NOT(ISNUMBER(I694))),N(I694)&lt;0,N(I694)&lt;&gt;INT(N(I694))),"Quantité invalide",IF(Q694&lt;=0,"Cadence manquante (poste ou article)",IF(M694&lt;=0,"Arrêts planifiés supérieurs au temps d'ouverture",IF(O694&lt;0,"Arrêts supérieurs au temps requis",IF(AND(P694&gt;0,O694=0),"Pièces déclarées sans temps de marche",IF(AND(P694=0,O694&gt;0),"Aucune pièce déclarée",IF(P694*60/Q694&gt;O694+0.001,"Cadence dépassée : vérifiez la cadence","OK"))))))))))))))))))</f>
        <v/>
      </c>
      <c r="AC694">
        <f>IF(OR(AB694="OK",AB694="Aucune pièce déclarée",AB694="Cadence dépassée : vérifiez la cadence"),1,0)</f>
        <v>0.0</v>
      </c>
      <c r="AD694">
        <f>IF(AND(AC694=1,A694&gt;=p_from,A694&lt;=p_to),1,0)</f>
        <v>0.0</v>
      </c>
      <c r="AE694">
        <f>IF(AD694=1,IF(COUNTIFS($A$6:A694,A694,$AD$6:AD694,1)=1,1,0),0)</f>
        <v>0.0</v>
      </c>
      <c r="AF694" t="str">
        <f>IF(AE694=1,COUNTIFS(sj_first,1,sj_date,"&lt;"&amp;A694)+1,"")</f>
        <v/>
      </c>
      <c r="AG694" t="str">
        <f>IF(AND(AD694=1,N(W694)&lt;p_alert),ROUND(W694,4),"")</f>
        <v/>
      </c>
      <c r="AH694" t="str">
        <f>IF(AG694="","",COUNTIF(sj_akey,"&lt;"&amp;AG694)+COUNTIF($AG$6:AG694,AG694))</f>
        <v/>
      </c>
    </row>
    <row r="695">
      <c r="A695" s="51" t="n"/>
      <c r="B695" s="52" t="n"/>
      <c r="C695" s="52" t="n"/>
      <c r="D695" s="53" t="n"/>
      <c r="E695" s="53" t="n"/>
      <c r="F695" s="54" t="n"/>
      <c r="G695" s="54" t="n"/>
      <c r="H695" s="54" t="n"/>
      <c r="I695" s="54" t="n"/>
      <c r="J695" s="53" t="n"/>
      <c r="K695" s="55" t="str">
        <f>IF(COUNTA(A695:I695)=0,"",IF(F695="",IFERROR(INDEX(eq_dur,MATCH(B695,eq_code,0)),""),F695))</f>
        <v/>
      </c>
      <c r="L695" s="55" t="str">
        <f>IF(ISNUMBER(K695),N(IFERROR(INDEX(eq_pause,MATCH(B695,eq_code,0)),0))+SUMIFS(st_min,st_date,A695,st_eq,B695,st_po,C695,st_type,"Planifié"),"")</f>
        <v/>
      </c>
      <c r="M695" s="55" t="str">
        <f>IF(ISNUMBER(K695),K695-L695,"")</f>
        <v/>
      </c>
      <c r="N695" s="55" t="str">
        <f>IF(ISNUMBER(K695),SUMIFS(st_min,st_date,A695,st_eq,B695,st_po,C695,st_type,"Non planifié"),"")</f>
        <v/>
      </c>
      <c r="O695" s="55" t="str">
        <f>IF(ISNUMBER(K695),M695-N695,"")</f>
        <v/>
      </c>
      <c r="P695" s="55" t="str">
        <f>IF(COUNTA(A695:I695)=0,"",N(G695)+N(H695)+N(I695))</f>
        <v/>
      </c>
      <c r="Q695" s="56" t="str">
        <f>IF(COUNTA(A695:I695)=0,"",IF(N(IFERROR(INDEX(art_rate,MATCH(E695,art_ref,0)),0))&gt;0,N(IFERROR(INDEX(art_rate,MATCH(E695,art_ref,0)),0)),N(IFERROR(INDEX(po_rate,MATCH(C695,po_code,0)),0))))</f>
        <v/>
      </c>
      <c r="R695" s="55" t="str">
        <f>IF(AC695=1,P695*60/Q695,"")</f>
        <v/>
      </c>
      <c r="S695" s="55" t="str">
        <f>IF(AC695=1,N(G695)*60/Q695,"")</f>
        <v/>
      </c>
      <c r="T695" s="57" t="str">
        <f>IF(AC695=1,O695/M695,"")</f>
        <v/>
      </c>
      <c r="U695" s="57" t="str">
        <f>IF(AC695=1,IF(O695&gt;0,R695/O695,""),"")</f>
        <v/>
      </c>
      <c r="V695" s="57" t="str">
        <f>IF(AC695=1,IF(P695&gt;0,N(G695)/P695,""),"")</f>
        <v/>
      </c>
      <c r="W695" s="57" t="str">
        <f>IF(AC695=1,S695/M695,"")</f>
        <v/>
      </c>
      <c r="X695" s="57" t="str">
        <f>IF(AC695=1,S695/K695,"")</f>
        <v/>
      </c>
      <c r="Y695" s="58" t="str">
        <f>IF(W695="","",IF(W695&gt;=p_target,"Bon",IF(W695&gt;=p_alert,"À surveiller","Faible")))</f>
        <v/>
      </c>
      <c r="Z695" s="58" t="str">
        <f>IF(W695="","",IF(MIN(IF(T695="",1,T695),IF(U695="",1,U695),IF(V695="",1,V695))&gt;=1,"Aucune",IF(IF(T695="",1,T695)&lt;=MIN(IF(U695="",1,U695),IF(V695="",1,V695)),"Disponibilité",IF(IF(U695="",1,U695)&lt;=IF(V695="",1,V695),"Performance","Qualité"))))</f>
        <v/>
      </c>
      <c r="AA695" s="59" t="str">
        <f>IF(AC695=1,N(H695)*N(IFERROR(INDEX(art_cost,MATCH(E695,art_ref,0)),0)),"")</f>
        <v/>
      </c>
      <c r="AB695" s="58" t="str">
        <f>IF(COUNTA(A695:I695)=0,"",IF(N(A695)&lt;=0,"Date manquante ou invalide",IF(B695="","Équipe manquante",IF(ISNA(MATCH(B695,eq_code,0)),"Équipe inconnue",IF(INDEX(eq_check,MATCH(B695,eq_code,0))&lt;&gt;"OK","Équipe à corriger dans Paramètres",IF(C695="","Poste manquant",IF(ISNA(MATCH(C695,po_code,0)),"Poste inconnu",IF(AND(E695&lt;&gt;"",ISNA(MATCH(E695,art_ref,0))),"Article inconnu",IF(IF(E695="",FALSE,INDEX(art_check,MATCH(E695,art_ref,0))&lt;&gt;"OK"),"Article à corriger (feuille Articles)",IF(COUNTIFS(sj_date,A695,sj_eq,B695,sj_po,C695)&gt;1,"Ligne en double (même jour, équipe et poste)",IF(OR(NOT(ISNUMBER(K695)),N(K695)&lt;=0,N(K695)&gt;1440),"Temps d'ouverture invalide",IF(OR(AND(G695&lt;&gt;"",NOT(ISNUMBER(G695))),N(G695)&lt;0,N(G695)&lt;&gt;INT(N(G695)),AND(H695&lt;&gt;"",NOT(ISNUMBER(H695))),N(H695)&lt;0,N(H695)&lt;&gt;INT(N(H695)),AND(I695&lt;&gt;"",NOT(ISNUMBER(I695))),N(I695)&lt;0,N(I695)&lt;&gt;INT(N(I695))),"Quantité invalide",IF(Q695&lt;=0,"Cadence manquante (poste ou article)",IF(M695&lt;=0,"Arrêts planifiés supérieurs au temps d'ouverture",IF(O695&lt;0,"Arrêts supérieurs au temps requis",IF(AND(P695&gt;0,O695=0),"Pièces déclarées sans temps de marche",IF(AND(P695=0,O695&gt;0),"Aucune pièce déclarée",IF(P695*60/Q695&gt;O695+0.001,"Cadence dépassée : vérifiez la cadence","OK"))))))))))))))))))</f>
        <v/>
      </c>
      <c r="AC695">
        <f>IF(OR(AB695="OK",AB695="Aucune pièce déclarée",AB695="Cadence dépassée : vérifiez la cadence"),1,0)</f>
        <v>0.0</v>
      </c>
      <c r="AD695">
        <f>IF(AND(AC695=1,A695&gt;=p_from,A695&lt;=p_to),1,0)</f>
        <v>0.0</v>
      </c>
      <c r="AE695">
        <f>IF(AD695=1,IF(COUNTIFS($A$6:A695,A695,$AD$6:AD695,1)=1,1,0),0)</f>
        <v>0.0</v>
      </c>
      <c r="AF695" t="str">
        <f>IF(AE695=1,COUNTIFS(sj_first,1,sj_date,"&lt;"&amp;A695)+1,"")</f>
        <v/>
      </c>
      <c r="AG695" t="str">
        <f>IF(AND(AD695=1,N(W695)&lt;p_alert),ROUND(W695,4),"")</f>
        <v/>
      </c>
      <c r="AH695" t="str">
        <f>IF(AG695="","",COUNTIF(sj_akey,"&lt;"&amp;AG695)+COUNTIF($AG$6:AG695,AG695))</f>
        <v/>
      </c>
    </row>
    <row r="696">
      <c r="A696" s="51" t="n"/>
      <c r="B696" s="52" t="n"/>
      <c r="C696" s="52" t="n"/>
      <c r="D696" s="53" t="n"/>
      <c r="E696" s="53" t="n"/>
      <c r="F696" s="54" t="n"/>
      <c r="G696" s="54" t="n"/>
      <c r="H696" s="54" t="n"/>
      <c r="I696" s="54" t="n"/>
      <c r="J696" s="53" t="n"/>
      <c r="K696" s="55" t="str">
        <f>IF(COUNTA(A696:I696)=0,"",IF(F696="",IFERROR(INDEX(eq_dur,MATCH(B696,eq_code,0)),""),F696))</f>
        <v/>
      </c>
      <c r="L696" s="55" t="str">
        <f>IF(ISNUMBER(K696),N(IFERROR(INDEX(eq_pause,MATCH(B696,eq_code,0)),0))+SUMIFS(st_min,st_date,A696,st_eq,B696,st_po,C696,st_type,"Planifié"),"")</f>
        <v/>
      </c>
      <c r="M696" s="55" t="str">
        <f>IF(ISNUMBER(K696),K696-L696,"")</f>
        <v/>
      </c>
      <c r="N696" s="55" t="str">
        <f>IF(ISNUMBER(K696),SUMIFS(st_min,st_date,A696,st_eq,B696,st_po,C696,st_type,"Non planifié"),"")</f>
        <v/>
      </c>
      <c r="O696" s="55" t="str">
        <f>IF(ISNUMBER(K696),M696-N696,"")</f>
        <v/>
      </c>
      <c r="P696" s="55" t="str">
        <f>IF(COUNTA(A696:I696)=0,"",N(G696)+N(H696)+N(I696))</f>
        <v/>
      </c>
      <c r="Q696" s="56" t="str">
        <f>IF(COUNTA(A696:I696)=0,"",IF(N(IFERROR(INDEX(art_rate,MATCH(E696,art_ref,0)),0))&gt;0,N(IFERROR(INDEX(art_rate,MATCH(E696,art_ref,0)),0)),N(IFERROR(INDEX(po_rate,MATCH(C696,po_code,0)),0))))</f>
        <v/>
      </c>
      <c r="R696" s="55" t="str">
        <f>IF(AC696=1,P696*60/Q696,"")</f>
        <v/>
      </c>
      <c r="S696" s="55" t="str">
        <f>IF(AC696=1,N(G696)*60/Q696,"")</f>
        <v/>
      </c>
      <c r="T696" s="57" t="str">
        <f>IF(AC696=1,O696/M696,"")</f>
        <v/>
      </c>
      <c r="U696" s="57" t="str">
        <f>IF(AC696=1,IF(O696&gt;0,R696/O696,""),"")</f>
        <v/>
      </c>
      <c r="V696" s="57" t="str">
        <f>IF(AC696=1,IF(P696&gt;0,N(G696)/P696,""),"")</f>
        <v/>
      </c>
      <c r="W696" s="57" t="str">
        <f>IF(AC696=1,S696/M696,"")</f>
        <v/>
      </c>
      <c r="X696" s="57" t="str">
        <f>IF(AC696=1,S696/K696,"")</f>
        <v/>
      </c>
      <c r="Y696" s="58" t="str">
        <f>IF(W696="","",IF(W696&gt;=p_target,"Bon",IF(W696&gt;=p_alert,"À surveiller","Faible")))</f>
        <v/>
      </c>
      <c r="Z696" s="58" t="str">
        <f>IF(W696="","",IF(MIN(IF(T696="",1,T696),IF(U696="",1,U696),IF(V696="",1,V696))&gt;=1,"Aucune",IF(IF(T696="",1,T696)&lt;=MIN(IF(U696="",1,U696),IF(V696="",1,V696)),"Disponibilité",IF(IF(U696="",1,U696)&lt;=IF(V696="",1,V696),"Performance","Qualité"))))</f>
        <v/>
      </c>
      <c r="AA696" s="59" t="str">
        <f>IF(AC696=1,N(H696)*N(IFERROR(INDEX(art_cost,MATCH(E696,art_ref,0)),0)),"")</f>
        <v/>
      </c>
      <c r="AB696" s="58" t="str">
        <f>IF(COUNTA(A696:I696)=0,"",IF(N(A696)&lt;=0,"Date manquante ou invalide",IF(B696="","Équipe manquante",IF(ISNA(MATCH(B696,eq_code,0)),"Équipe inconnue",IF(INDEX(eq_check,MATCH(B696,eq_code,0))&lt;&gt;"OK","Équipe à corriger dans Paramètres",IF(C696="","Poste manquant",IF(ISNA(MATCH(C696,po_code,0)),"Poste inconnu",IF(AND(E696&lt;&gt;"",ISNA(MATCH(E696,art_ref,0))),"Article inconnu",IF(IF(E696="",FALSE,INDEX(art_check,MATCH(E696,art_ref,0))&lt;&gt;"OK"),"Article à corriger (feuille Articles)",IF(COUNTIFS(sj_date,A696,sj_eq,B696,sj_po,C696)&gt;1,"Ligne en double (même jour, équipe et poste)",IF(OR(NOT(ISNUMBER(K696)),N(K696)&lt;=0,N(K696)&gt;1440),"Temps d'ouverture invalide",IF(OR(AND(G696&lt;&gt;"",NOT(ISNUMBER(G696))),N(G696)&lt;0,N(G696)&lt;&gt;INT(N(G696)),AND(H696&lt;&gt;"",NOT(ISNUMBER(H696))),N(H696)&lt;0,N(H696)&lt;&gt;INT(N(H696)),AND(I696&lt;&gt;"",NOT(ISNUMBER(I696))),N(I696)&lt;0,N(I696)&lt;&gt;INT(N(I696))),"Quantité invalide",IF(Q696&lt;=0,"Cadence manquante (poste ou article)",IF(M696&lt;=0,"Arrêts planifiés supérieurs au temps d'ouverture",IF(O696&lt;0,"Arrêts supérieurs au temps requis",IF(AND(P696&gt;0,O696=0),"Pièces déclarées sans temps de marche",IF(AND(P696=0,O696&gt;0),"Aucune pièce déclarée",IF(P696*60/Q696&gt;O696+0.001,"Cadence dépassée : vérifiez la cadence","OK"))))))))))))))))))</f>
        <v/>
      </c>
      <c r="AC696">
        <f>IF(OR(AB696="OK",AB696="Aucune pièce déclarée",AB696="Cadence dépassée : vérifiez la cadence"),1,0)</f>
        <v>0.0</v>
      </c>
      <c r="AD696">
        <f>IF(AND(AC696=1,A696&gt;=p_from,A696&lt;=p_to),1,0)</f>
        <v>0.0</v>
      </c>
      <c r="AE696">
        <f>IF(AD696=1,IF(COUNTIFS($A$6:A696,A696,$AD$6:AD696,1)=1,1,0),0)</f>
        <v>0.0</v>
      </c>
      <c r="AF696" t="str">
        <f>IF(AE696=1,COUNTIFS(sj_first,1,sj_date,"&lt;"&amp;A696)+1,"")</f>
        <v/>
      </c>
      <c r="AG696" t="str">
        <f>IF(AND(AD696=1,N(W696)&lt;p_alert),ROUND(W696,4),"")</f>
        <v/>
      </c>
      <c r="AH696" t="str">
        <f>IF(AG696="","",COUNTIF(sj_akey,"&lt;"&amp;AG696)+COUNTIF($AG$6:AG696,AG696))</f>
        <v/>
      </c>
    </row>
    <row r="697">
      <c r="A697" s="51" t="n"/>
      <c r="B697" s="52" t="n"/>
      <c r="C697" s="52" t="n"/>
      <c r="D697" s="53" t="n"/>
      <c r="E697" s="53" t="n"/>
      <c r="F697" s="54" t="n"/>
      <c r="G697" s="54" t="n"/>
      <c r="H697" s="54" t="n"/>
      <c r="I697" s="54" t="n"/>
      <c r="J697" s="53" t="n"/>
      <c r="K697" s="55" t="str">
        <f>IF(COUNTA(A697:I697)=0,"",IF(F697="",IFERROR(INDEX(eq_dur,MATCH(B697,eq_code,0)),""),F697))</f>
        <v/>
      </c>
      <c r="L697" s="55" t="str">
        <f>IF(ISNUMBER(K697),N(IFERROR(INDEX(eq_pause,MATCH(B697,eq_code,0)),0))+SUMIFS(st_min,st_date,A697,st_eq,B697,st_po,C697,st_type,"Planifié"),"")</f>
        <v/>
      </c>
      <c r="M697" s="55" t="str">
        <f>IF(ISNUMBER(K697),K697-L697,"")</f>
        <v/>
      </c>
      <c r="N697" s="55" t="str">
        <f>IF(ISNUMBER(K697),SUMIFS(st_min,st_date,A697,st_eq,B697,st_po,C697,st_type,"Non planifié"),"")</f>
        <v/>
      </c>
      <c r="O697" s="55" t="str">
        <f>IF(ISNUMBER(K697),M697-N697,"")</f>
        <v/>
      </c>
      <c r="P697" s="55" t="str">
        <f>IF(COUNTA(A697:I697)=0,"",N(G697)+N(H697)+N(I697))</f>
        <v/>
      </c>
      <c r="Q697" s="56" t="str">
        <f>IF(COUNTA(A697:I697)=0,"",IF(N(IFERROR(INDEX(art_rate,MATCH(E697,art_ref,0)),0))&gt;0,N(IFERROR(INDEX(art_rate,MATCH(E697,art_ref,0)),0)),N(IFERROR(INDEX(po_rate,MATCH(C697,po_code,0)),0))))</f>
        <v/>
      </c>
      <c r="R697" s="55" t="str">
        <f>IF(AC697=1,P697*60/Q697,"")</f>
        <v/>
      </c>
      <c r="S697" s="55" t="str">
        <f>IF(AC697=1,N(G697)*60/Q697,"")</f>
        <v/>
      </c>
      <c r="T697" s="57" t="str">
        <f>IF(AC697=1,O697/M697,"")</f>
        <v/>
      </c>
      <c r="U697" s="57" t="str">
        <f>IF(AC697=1,IF(O697&gt;0,R697/O697,""),"")</f>
        <v/>
      </c>
      <c r="V697" s="57" t="str">
        <f>IF(AC697=1,IF(P697&gt;0,N(G697)/P697,""),"")</f>
        <v/>
      </c>
      <c r="W697" s="57" t="str">
        <f>IF(AC697=1,S697/M697,"")</f>
        <v/>
      </c>
      <c r="X697" s="57" t="str">
        <f>IF(AC697=1,S697/K697,"")</f>
        <v/>
      </c>
      <c r="Y697" s="58" t="str">
        <f>IF(W697="","",IF(W697&gt;=p_target,"Bon",IF(W697&gt;=p_alert,"À surveiller","Faible")))</f>
        <v/>
      </c>
      <c r="Z697" s="58" t="str">
        <f>IF(W697="","",IF(MIN(IF(T697="",1,T697),IF(U697="",1,U697),IF(V697="",1,V697))&gt;=1,"Aucune",IF(IF(T697="",1,T697)&lt;=MIN(IF(U697="",1,U697),IF(V697="",1,V697)),"Disponibilité",IF(IF(U697="",1,U697)&lt;=IF(V697="",1,V697),"Performance","Qualité"))))</f>
        <v/>
      </c>
      <c r="AA697" s="59" t="str">
        <f>IF(AC697=1,N(H697)*N(IFERROR(INDEX(art_cost,MATCH(E697,art_ref,0)),0)),"")</f>
        <v/>
      </c>
      <c r="AB697" s="58" t="str">
        <f>IF(COUNTA(A697:I697)=0,"",IF(N(A697)&lt;=0,"Date manquante ou invalide",IF(B697="","Équipe manquante",IF(ISNA(MATCH(B697,eq_code,0)),"Équipe inconnue",IF(INDEX(eq_check,MATCH(B697,eq_code,0))&lt;&gt;"OK","Équipe à corriger dans Paramètres",IF(C697="","Poste manquant",IF(ISNA(MATCH(C697,po_code,0)),"Poste inconnu",IF(AND(E697&lt;&gt;"",ISNA(MATCH(E697,art_ref,0))),"Article inconnu",IF(IF(E697="",FALSE,INDEX(art_check,MATCH(E697,art_ref,0))&lt;&gt;"OK"),"Article à corriger (feuille Articles)",IF(COUNTIFS(sj_date,A697,sj_eq,B697,sj_po,C697)&gt;1,"Ligne en double (même jour, équipe et poste)",IF(OR(NOT(ISNUMBER(K697)),N(K697)&lt;=0,N(K697)&gt;1440),"Temps d'ouverture invalide",IF(OR(AND(G697&lt;&gt;"",NOT(ISNUMBER(G697))),N(G697)&lt;0,N(G697)&lt;&gt;INT(N(G697)),AND(H697&lt;&gt;"",NOT(ISNUMBER(H697))),N(H697)&lt;0,N(H697)&lt;&gt;INT(N(H697)),AND(I697&lt;&gt;"",NOT(ISNUMBER(I697))),N(I697)&lt;0,N(I697)&lt;&gt;INT(N(I697))),"Quantité invalide",IF(Q697&lt;=0,"Cadence manquante (poste ou article)",IF(M697&lt;=0,"Arrêts planifiés supérieurs au temps d'ouverture",IF(O697&lt;0,"Arrêts supérieurs au temps requis",IF(AND(P697&gt;0,O697=0),"Pièces déclarées sans temps de marche",IF(AND(P697=0,O697&gt;0),"Aucune pièce déclarée",IF(P697*60/Q697&gt;O697+0.001,"Cadence dépassée : vérifiez la cadence","OK"))))))))))))))))))</f>
        <v/>
      </c>
      <c r="AC697">
        <f>IF(OR(AB697="OK",AB697="Aucune pièce déclarée",AB697="Cadence dépassée : vérifiez la cadence"),1,0)</f>
        <v>0.0</v>
      </c>
      <c r="AD697">
        <f>IF(AND(AC697=1,A697&gt;=p_from,A697&lt;=p_to),1,0)</f>
        <v>0.0</v>
      </c>
      <c r="AE697">
        <f>IF(AD697=1,IF(COUNTIFS($A$6:A697,A697,$AD$6:AD697,1)=1,1,0),0)</f>
        <v>0.0</v>
      </c>
      <c r="AF697" t="str">
        <f>IF(AE697=1,COUNTIFS(sj_first,1,sj_date,"&lt;"&amp;A697)+1,"")</f>
        <v/>
      </c>
      <c r="AG697" t="str">
        <f>IF(AND(AD697=1,N(W697)&lt;p_alert),ROUND(W697,4),"")</f>
        <v/>
      </c>
      <c r="AH697" t="str">
        <f>IF(AG697="","",COUNTIF(sj_akey,"&lt;"&amp;AG697)+COUNTIF($AG$6:AG697,AG697))</f>
        <v/>
      </c>
    </row>
    <row r="698">
      <c r="A698" s="51" t="n"/>
      <c r="B698" s="52" t="n"/>
      <c r="C698" s="52" t="n"/>
      <c r="D698" s="53" t="n"/>
      <c r="E698" s="53" t="n"/>
      <c r="F698" s="54" t="n"/>
      <c r="G698" s="54" t="n"/>
      <c r="H698" s="54" t="n"/>
      <c r="I698" s="54" t="n"/>
      <c r="J698" s="53" t="n"/>
      <c r="K698" s="55" t="str">
        <f>IF(COUNTA(A698:I698)=0,"",IF(F698="",IFERROR(INDEX(eq_dur,MATCH(B698,eq_code,0)),""),F698))</f>
        <v/>
      </c>
      <c r="L698" s="55" t="str">
        <f>IF(ISNUMBER(K698),N(IFERROR(INDEX(eq_pause,MATCH(B698,eq_code,0)),0))+SUMIFS(st_min,st_date,A698,st_eq,B698,st_po,C698,st_type,"Planifié"),"")</f>
        <v/>
      </c>
      <c r="M698" s="55" t="str">
        <f>IF(ISNUMBER(K698),K698-L698,"")</f>
        <v/>
      </c>
      <c r="N698" s="55" t="str">
        <f>IF(ISNUMBER(K698),SUMIFS(st_min,st_date,A698,st_eq,B698,st_po,C698,st_type,"Non planifié"),"")</f>
        <v/>
      </c>
      <c r="O698" s="55" t="str">
        <f>IF(ISNUMBER(K698),M698-N698,"")</f>
        <v/>
      </c>
      <c r="P698" s="55" t="str">
        <f>IF(COUNTA(A698:I698)=0,"",N(G698)+N(H698)+N(I698))</f>
        <v/>
      </c>
      <c r="Q698" s="56" t="str">
        <f>IF(COUNTA(A698:I698)=0,"",IF(N(IFERROR(INDEX(art_rate,MATCH(E698,art_ref,0)),0))&gt;0,N(IFERROR(INDEX(art_rate,MATCH(E698,art_ref,0)),0)),N(IFERROR(INDEX(po_rate,MATCH(C698,po_code,0)),0))))</f>
        <v/>
      </c>
      <c r="R698" s="55" t="str">
        <f>IF(AC698=1,P698*60/Q698,"")</f>
        <v/>
      </c>
      <c r="S698" s="55" t="str">
        <f>IF(AC698=1,N(G698)*60/Q698,"")</f>
        <v/>
      </c>
      <c r="T698" s="57" t="str">
        <f>IF(AC698=1,O698/M698,"")</f>
        <v/>
      </c>
      <c r="U698" s="57" t="str">
        <f>IF(AC698=1,IF(O698&gt;0,R698/O698,""),"")</f>
        <v/>
      </c>
      <c r="V698" s="57" t="str">
        <f>IF(AC698=1,IF(P698&gt;0,N(G698)/P698,""),"")</f>
        <v/>
      </c>
      <c r="W698" s="57" t="str">
        <f>IF(AC698=1,S698/M698,"")</f>
        <v/>
      </c>
      <c r="X698" s="57" t="str">
        <f>IF(AC698=1,S698/K698,"")</f>
        <v/>
      </c>
      <c r="Y698" s="58" t="str">
        <f>IF(W698="","",IF(W698&gt;=p_target,"Bon",IF(W698&gt;=p_alert,"À surveiller","Faible")))</f>
        <v/>
      </c>
      <c r="Z698" s="58" t="str">
        <f>IF(W698="","",IF(MIN(IF(T698="",1,T698),IF(U698="",1,U698),IF(V698="",1,V698))&gt;=1,"Aucune",IF(IF(T698="",1,T698)&lt;=MIN(IF(U698="",1,U698),IF(V698="",1,V698)),"Disponibilité",IF(IF(U698="",1,U698)&lt;=IF(V698="",1,V698),"Performance","Qualité"))))</f>
        <v/>
      </c>
      <c r="AA698" s="59" t="str">
        <f>IF(AC698=1,N(H698)*N(IFERROR(INDEX(art_cost,MATCH(E698,art_ref,0)),0)),"")</f>
        <v/>
      </c>
      <c r="AB698" s="58" t="str">
        <f>IF(COUNTA(A698:I698)=0,"",IF(N(A698)&lt;=0,"Date manquante ou invalide",IF(B698="","Équipe manquante",IF(ISNA(MATCH(B698,eq_code,0)),"Équipe inconnue",IF(INDEX(eq_check,MATCH(B698,eq_code,0))&lt;&gt;"OK","Équipe à corriger dans Paramètres",IF(C698="","Poste manquant",IF(ISNA(MATCH(C698,po_code,0)),"Poste inconnu",IF(AND(E698&lt;&gt;"",ISNA(MATCH(E698,art_ref,0))),"Article inconnu",IF(IF(E698="",FALSE,INDEX(art_check,MATCH(E698,art_ref,0))&lt;&gt;"OK"),"Article à corriger (feuille Articles)",IF(COUNTIFS(sj_date,A698,sj_eq,B698,sj_po,C698)&gt;1,"Ligne en double (même jour, équipe et poste)",IF(OR(NOT(ISNUMBER(K698)),N(K698)&lt;=0,N(K698)&gt;1440),"Temps d'ouverture invalide",IF(OR(AND(G698&lt;&gt;"",NOT(ISNUMBER(G698))),N(G698)&lt;0,N(G698)&lt;&gt;INT(N(G698)),AND(H698&lt;&gt;"",NOT(ISNUMBER(H698))),N(H698)&lt;0,N(H698)&lt;&gt;INT(N(H698)),AND(I698&lt;&gt;"",NOT(ISNUMBER(I698))),N(I698)&lt;0,N(I698)&lt;&gt;INT(N(I698))),"Quantité invalide",IF(Q698&lt;=0,"Cadence manquante (poste ou article)",IF(M698&lt;=0,"Arrêts planifiés supérieurs au temps d'ouverture",IF(O698&lt;0,"Arrêts supérieurs au temps requis",IF(AND(P698&gt;0,O698=0),"Pièces déclarées sans temps de marche",IF(AND(P698=0,O698&gt;0),"Aucune pièce déclarée",IF(P698*60/Q698&gt;O698+0.001,"Cadence dépassée : vérifiez la cadence","OK"))))))))))))))))))</f>
        <v/>
      </c>
      <c r="AC698">
        <f>IF(OR(AB698="OK",AB698="Aucune pièce déclarée",AB698="Cadence dépassée : vérifiez la cadence"),1,0)</f>
        <v>0.0</v>
      </c>
      <c r="AD698">
        <f>IF(AND(AC698=1,A698&gt;=p_from,A698&lt;=p_to),1,0)</f>
        <v>0.0</v>
      </c>
      <c r="AE698">
        <f>IF(AD698=1,IF(COUNTIFS($A$6:A698,A698,$AD$6:AD698,1)=1,1,0),0)</f>
        <v>0.0</v>
      </c>
      <c r="AF698" t="str">
        <f>IF(AE698=1,COUNTIFS(sj_first,1,sj_date,"&lt;"&amp;A698)+1,"")</f>
        <v/>
      </c>
      <c r="AG698" t="str">
        <f>IF(AND(AD698=1,N(W698)&lt;p_alert),ROUND(W698,4),"")</f>
        <v/>
      </c>
      <c r="AH698" t="str">
        <f>IF(AG698="","",COUNTIF(sj_akey,"&lt;"&amp;AG698)+COUNTIF($AG$6:AG698,AG698))</f>
        <v/>
      </c>
    </row>
    <row r="699">
      <c r="A699" s="51" t="n"/>
      <c r="B699" s="52" t="n"/>
      <c r="C699" s="52" t="n"/>
      <c r="D699" s="53" t="n"/>
      <c r="E699" s="53" t="n"/>
      <c r="F699" s="54" t="n"/>
      <c r="G699" s="54" t="n"/>
      <c r="H699" s="54" t="n"/>
      <c r="I699" s="54" t="n"/>
      <c r="J699" s="53" t="n"/>
      <c r="K699" s="55" t="str">
        <f>IF(COUNTA(A699:I699)=0,"",IF(F699="",IFERROR(INDEX(eq_dur,MATCH(B699,eq_code,0)),""),F699))</f>
        <v/>
      </c>
      <c r="L699" s="55" t="str">
        <f>IF(ISNUMBER(K699),N(IFERROR(INDEX(eq_pause,MATCH(B699,eq_code,0)),0))+SUMIFS(st_min,st_date,A699,st_eq,B699,st_po,C699,st_type,"Planifié"),"")</f>
        <v/>
      </c>
      <c r="M699" s="55" t="str">
        <f>IF(ISNUMBER(K699),K699-L699,"")</f>
        <v/>
      </c>
      <c r="N699" s="55" t="str">
        <f>IF(ISNUMBER(K699),SUMIFS(st_min,st_date,A699,st_eq,B699,st_po,C699,st_type,"Non planifié"),"")</f>
        <v/>
      </c>
      <c r="O699" s="55" t="str">
        <f>IF(ISNUMBER(K699),M699-N699,"")</f>
        <v/>
      </c>
      <c r="P699" s="55" t="str">
        <f>IF(COUNTA(A699:I699)=0,"",N(G699)+N(H699)+N(I699))</f>
        <v/>
      </c>
      <c r="Q699" s="56" t="str">
        <f>IF(COUNTA(A699:I699)=0,"",IF(N(IFERROR(INDEX(art_rate,MATCH(E699,art_ref,0)),0))&gt;0,N(IFERROR(INDEX(art_rate,MATCH(E699,art_ref,0)),0)),N(IFERROR(INDEX(po_rate,MATCH(C699,po_code,0)),0))))</f>
        <v/>
      </c>
      <c r="R699" s="55" t="str">
        <f>IF(AC699=1,P699*60/Q699,"")</f>
        <v/>
      </c>
      <c r="S699" s="55" t="str">
        <f>IF(AC699=1,N(G699)*60/Q699,"")</f>
        <v/>
      </c>
      <c r="T699" s="57" t="str">
        <f>IF(AC699=1,O699/M699,"")</f>
        <v/>
      </c>
      <c r="U699" s="57" t="str">
        <f>IF(AC699=1,IF(O699&gt;0,R699/O699,""),"")</f>
        <v/>
      </c>
      <c r="V699" s="57" t="str">
        <f>IF(AC699=1,IF(P699&gt;0,N(G699)/P699,""),"")</f>
        <v/>
      </c>
      <c r="W699" s="57" t="str">
        <f>IF(AC699=1,S699/M699,"")</f>
        <v/>
      </c>
      <c r="X699" s="57" t="str">
        <f>IF(AC699=1,S699/K699,"")</f>
        <v/>
      </c>
      <c r="Y699" s="58" t="str">
        <f>IF(W699="","",IF(W699&gt;=p_target,"Bon",IF(W699&gt;=p_alert,"À surveiller","Faible")))</f>
        <v/>
      </c>
      <c r="Z699" s="58" t="str">
        <f>IF(W699="","",IF(MIN(IF(T699="",1,T699),IF(U699="",1,U699),IF(V699="",1,V699))&gt;=1,"Aucune",IF(IF(T699="",1,T699)&lt;=MIN(IF(U699="",1,U699),IF(V699="",1,V699)),"Disponibilité",IF(IF(U699="",1,U699)&lt;=IF(V699="",1,V699),"Performance","Qualité"))))</f>
        <v/>
      </c>
      <c r="AA699" s="59" t="str">
        <f>IF(AC699=1,N(H699)*N(IFERROR(INDEX(art_cost,MATCH(E699,art_ref,0)),0)),"")</f>
        <v/>
      </c>
      <c r="AB699" s="58" t="str">
        <f>IF(COUNTA(A699:I699)=0,"",IF(N(A699)&lt;=0,"Date manquante ou invalide",IF(B699="","Équipe manquante",IF(ISNA(MATCH(B699,eq_code,0)),"Équipe inconnue",IF(INDEX(eq_check,MATCH(B699,eq_code,0))&lt;&gt;"OK","Équipe à corriger dans Paramètres",IF(C699="","Poste manquant",IF(ISNA(MATCH(C699,po_code,0)),"Poste inconnu",IF(AND(E699&lt;&gt;"",ISNA(MATCH(E699,art_ref,0))),"Article inconnu",IF(IF(E699="",FALSE,INDEX(art_check,MATCH(E699,art_ref,0))&lt;&gt;"OK"),"Article à corriger (feuille Articles)",IF(COUNTIFS(sj_date,A699,sj_eq,B699,sj_po,C699)&gt;1,"Ligne en double (même jour, équipe et poste)",IF(OR(NOT(ISNUMBER(K699)),N(K699)&lt;=0,N(K699)&gt;1440),"Temps d'ouverture invalide",IF(OR(AND(G699&lt;&gt;"",NOT(ISNUMBER(G699))),N(G699)&lt;0,N(G699)&lt;&gt;INT(N(G699)),AND(H699&lt;&gt;"",NOT(ISNUMBER(H699))),N(H699)&lt;0,N(H699)&lt;&gt;INT(N(H699)),AND(I699&lt;&gt;"",NOT(ISNUMBER(I699))),N(I699)&lt;0,N(I699)&lt;&gt;INT(N(I699))),"Quantité invalide",IF(Q699&lt;=0,"Cadence manquante (poste ou article)",IF(M699&lt;=0,"Arrêts planifiés supérieurs au temps d'ouverture",IF(O699&lt;0,"Arrêts supérieurs au temps requis",IF(AND(P699&gt;0,O699=0),"Pièces déclarées sans temps de marche",IF(AND(P699=0,O699&gt;0),"Aucune pièce déclarée",IF(P699*60/Q699&gt;O699+0.001,"Cadence dépassée : vérifiez la cadence","OK"))))))))))))))))))</f>
        <v/>
      </c>
      <c r="AC699">
        <f>IF(OR(AB699="OK",AB699="Aucune pièce déclarée",AB699="Cadence dépassée : vérifiez la cadence"),1,0)</f>
        <v>0.0</v>
      </c>
      <c r="AD699">
        <f>IF(AND(AC699=1,A699&gt;=p_from,A699&lt;=p_to),1,0)</f>
        <v>0.0</v>
      </c>
      <c r="AE699">
        <f>IF(AD699=1,IF(COUNTIFS($A$6:A699,A699,$AD$6:AD699,1)=1,1,0),0)</f>
        <v>0.0</v>
      </c>
      <c r="AF699" t="str">
        <f>IF(AE699=1,COUNTIFS(sj_first,1,sj_date,"&lt;"&amp;A699)+1,"")</f>
        <v/>
      </c>
      <c r="AG699" t="str">
        <f>IF(AND(AD699=1,N(W699)&lt;p_alert),ROUND(W699,4),"")</f>
        <v/>
      </c>
      <c r="AH699" t="str">
        <f>IF(AG699="","",COUNTIF(sj_akey,"&lt;"&amp;AG699)+COUNTIF($AG$6:AG699,AG699))</f>
        <v/>
      </c>
    </row>
    <row r="700">
      <c r="A700" s="51" t="n"/>
      <c r="B700" s="52" t="n"/>
      <c r="C700" s="52" t="n"/>
      <c r="D700" s="53" t="n"/>
      <c r="E700" s="53" t="n"/>
      <c r="F700" s="54" t="n"/>
      <c r="G700" s="54" t="n"/>
      <c r="H700" s="54" t="n"/>
      <c r="I700" s="54" t="n"/>
      <c r="J700" s="53" t="n"/>
      <c r="K700" s="55" t="str">
        <f>IF(COUNTA(A700:I700)=0,"",IF(F700="",IFERROR(INDEX(eq_dur,MATCH(B700,eq_code,0)),""),F700))</f>
        <v/>
      </c>
      <c r="L700" s="55" t="str">
        <f>IF(ISNUMBER(K700),N(IFERROR(INDEX(eq_pause,MATCH(B700,eq_code,0)),0))+SUMIFS(st_min,st_date,A700,st_eq,B700,st_po,C700,st_type,"Planifié"),"")</f>
        <v/>
      </c>
      <c r="M700" s="55" t="str">
        <f>IF(ISNUMBER(K700),K700-L700,"")</f>
        <v/>
      </c>
      <c r="N700" s="55" t="str">
        <f>IF(ISNUMBER(K700),SUMIFS(st_min,st_date,A700,st_eq,B700,st_po,C700,st_type,"Non planifié"),"")</f>
        <v/>
      </c>
      <c r="O700" s="55" t="str">
        <f>IF(ISNUMBER(K700),M700-N700,"")</f>
        <v/>
      </c>
      <c r="P700" s="55" t="str">
        <f>IF(COUNTA(A700:I700)=0,"",N(G700)+N(H700)+N(I700))</f>
        <v/>
      </c>
      <c r="Q700" s="56" t="str">
        <f>IF(COUNTA(A700:I700)=0,"",IF(N(IFERROR(INDEX(art_rate,MATCH(E700,art_ref,0)),0))&gt;0,N(IFERROR(INDEX(art_rate,MATCH(E700,art_ref,0)),0)),N(IFERROR(INDEX(po_rate,MATCH(C700,po_code,0)),0))))</f>
        <v/>
      </c>
      <c r="R700" s="55" t="str">
        <f>IF(AC700=1,P700*60/Q700,"")</f>
        <v/>
      </c>
      <c r="S700" s="55" t="str">
        <f>IF(AC700=1,N(G700)*60/Q700,"")</f>
        <v/>
      </c>
      <c r="T700" s="57" t="str">
        <f>IF(AC700=1,O700/M700,"")</f>
        <v/>
      </c>
      <c r="U700" s="57" t="str">
        <f>IF(AC700=1,IF(O700&gt;0,R700/O700,""),"")</f>
        <v/>
      </c>
      <c r="V700" s="57" t="str">
        <f>IF(AC700=1,IF(P700&gt;0,N(G700)/P700,""),"")</f>
        <v/>
      </c>
      <c r="W700" s="57" t="str">
        <f>IF(AC700=1,S700/M700,"")</f>
        <v/>
      </c>
      <c r="X700" s="57" t="str">
        <f>IF(AC700=1,S700/K700,"")</f>
        <v/>
      </c>
      <c r="Y700" s="58" t="str">
        <f>IF(W700="","",IF(W700&gt;=p_target,"Bon",IF(W700&gt;=p_alert,"À surveiller","Faible")))</f>
        <v/>
      </c>
      <c r="Z700" s="58" t="str">
        <f>IF(W700="","",IF(MIN(IF(T700="",1,T700),IF(U700="",1,U700),IF(V700="",1,V700))&gt;=1,"Aucune",IF(IF(T700="",1,T700)&lt;=MIN(IF(U700="",1,U700),IF(V700="",1,V700)),"Disponibilité",IF(IF(U700="",1,U700)&lt;=IF(V700="",1,V700),"Performance","Qualité"))))</f>
        <v/>
      </c>
      <c r="AA700" s="59" t="str">
        <f>IF(AC700=1,N(H700)*N(IFERROR(INDEX(art_cost,MATCH(E700,art_ref,0)),0)),"")</f>
        <v/>
      </c>
      <c r="AB700" s="58" t="str">
        <f>IF(COUNTA(A700:I700)=0,"",IF(N(A700)&lt;=0,"Date manquante ou invalide",IF(B700="","Équipe manquante",IF(ISNA(MATCH(B700,eq_code,0)),"Équipe inconnue",IF(INDEX(eq_check,MATCH(B700,eq_code,0))&lt;&gt;"OK","Équipe à corriger dans Paramètres",IF(C700="","Poste manquant",IF(ISNA(MATCH(C700,po_code,0)),"Poste inconnu",IF(AND(E700&lt;&gt;"",ISNA(MATCH(E700,art_ref,0))),"Article inconnu",IF(IF(E700="",FALSE,INDEX(art_check,MATCH(E700,art_ref,0))&lt;&gt;"OK"),"Article à corriger (feuille Articles)",IF(COUNTIFS(sj_date,A700,sj_eq,B700,sj_po,C700)&gt;1,"Ligne en double (même jour, équipe et poste)",IF(OR(NOT(ISNUMBER(K700)),N(K700)&lt;=0,N(K700)&gt;1440),"Temps d'ouverture invalide",IF(OR(AND(G700&lt;&gt;"",NOT(ISNUMBER(G700))),N(G700)&lt;0,N(G700)&lt;&gt;INT(N(G700)),AND(H700&lt;&gt;"",NOT(ISNUMBER(H700))),N(H700)&lt;0,N(H700)&lt;&gt;INT(N(H700)),AND(I700&lt;&gt;"",NOT(ISNUMBER(I700))),N(I700)&lt;0,N(I700)&lt;&gt;INT(N(I700))),"Quantité invalide",IF(Q700&lt;=0,"Cadence manquante (poste ou article)",IF(M700&lt;=0,"Arrêts planifiés supérieurs au temps d'ouverture",IF(O700&lt;0,"Arrêts supérieurs au temps requis",IF(AND(P700&gt;0,O700=0),"Pièces déclarées sans temps de marche",IF(AND(P700=0,O700&gt;0),"Aucune pièce déclarée",IF(P700*60/Q700&gt;O700+0.001,"Cadence dépassée : vérifiez la cadence","OK"))))))))))))))))))</f>
        <v/>
      </c>
      <c r="AC700">
        <f>IF(OR(AB700="OK",AB700="Aucune pièce déclarée",AB700="Cadence dépassée : vérifiez la cadence"),1,0)</f>
        <v>0.0</v>
      </c>
      <c r="AD700">
        <f>IF(AND(AC700=1,A700&gt;=p_from,A700&lt;=p_to),1,0)</f>
        <v>0.0</v>
      </c>
      <c r="AE700">
        <f>IF(AD700=1,IF(COUNTIFS($A$6:A700,A700,$AD$6:AD700,1)=1,1,0),0)</f>
        <v>0.0</v>
      </c>
      <c r="AF700" t="str">
        <f>IF(AE700=1,COUNTIFS(sj_first,1,sj_date,"&lt;"&amp;A700)+1,"")</f>
        <v/>
      </c>
      <c r="AG700" t="str">
        <f>IF(AND(AD700=1,N(W700)&lt;p_alert),ROUND(W700,4),"")</f>
        <v/>
      </c>
      <c r="AH700" t="str">
        <f>IF(AG700="","",COUNTIF(sj_akey,"&lt;"&amp;AG700)+COUNTIF($AG$6:AG700,AG700))</f>
        <v/>
      </c>
    </row>
    <row r="701">
      <c r="A701" s="51" t="n"/>
      <c r="B701" s="52" t="n"/>
      <c r="C701" s="52" t="n"/>
      <c r="D701" s="53" t="n"/>
      <c r="E701" s="53" t="n"/>
      <c r="F701" s="54" t="n"/>
      <c r="G701" s="54" t="n"/>
      <c r="H701" s="54" t="n"/>
      <c r="I701" s="54" t="n"/>
      <c r="J701" s="53" t="n"/>
      <c r="K701" s="55" t="str">
        <f>IF(COUNTA(A701:I701)=0,"",IF(F701="",IFERROR(INDEX(eq_dur,MATCH(B701,eq_code,0)),""),F701))</f>
        <v/>
      </c>
      <c r="L701" s="55" t="str">
        <f>IF(ISNUMBER(K701),N(IFERROR(INDEX(eq_pause,MATCH(B701,eq_code,0)),0))+SUMIFS(st_min,st_date,A701,st_eq,B701,st_po,C701,st_type,"Planifié"),"")</f>
        <v/>
      </c>
      <c r="M701" s="55" t="str">
        <f>IF(ISNUMBER(K701),K701-L701,"")</f>
        <v/>
      </c>
      <c r="N701" s="55" t="str">
        <f>IF(ISNUMBER(K701),SUMIFS(st_min,st_date,A701,st_eq,B701,st_po,C701,st_type,"Non planifié"),"")</f>
        <v/>
      </c>
      <c r="O701" s="55" t="str">
        <f>IF(ISNUMBER(K701),M701-N701,"")</f>
        <v/>
      </c>
      <c r="P701" s="55" t="str">
        <f>IF(COUNTA(A701:I701)=0,"",N(G701)+N(H701)+N(I701))</f>
        <v/>
      </c>
      <c r="Q701" s="56" t="str">
        <f>IF(COUNTA(A701:I701)=0,"",IF(N(IFERROR(INDEX(art_rate,MATCH(E701,art_ref,0)),0))&gt;0,N(IFERROR(INDEX(art_rate,MATCH(E701,art_ref,0)),0)),N(IFERROR(INDEX(po_rate,MATCH(C701,po_code,0)),0))))</f>
        <v/>
      </c>
      <c r="R701" s="55" t="str">
        <f>IF(AC701=1,P701*60/Q701,"")</f>
        <v/>
      </c>
      <c r="S701" s="55" t="str">
        <f>IF(AC701=1,N(G701)*60/Q701,"")</f>
        <v/>
      </c>
      <c r="T701" s="57" t="str">
        <f>IF(AC701=1,O701/M701,"")</f>
        <v/>
      </c>
      <c r="U701" s="57" t="str">
        <f>IF(AC701=1,IF(O701&gt;0,R701/O701,""),"")</f>
        <v/>
      </c>
      <c r="V701" s="57" t="str">
        <f>IF(AC701=1,IF(P701&gt;0,N(G701)/P701,""),"")</f>
        <v/>
      </c>
      <c r="W701" s="57" t="str">
        <f>IF(AC701=1,S701/M701,"")</f>
        <v/>
      </c>
      <c r="X701" s="57" t="str">
        <f>IF(AC701=1,S701/K701,"")</f>
        <v/>
      </c>
      <c r="Y701" s="58" t="str">
        <f>IF(W701="","",IF(W701&gt;=p_target,"Bon",IF(W701&gt;=p_alert,"À surveiller","Faible")))</f>
        <v/>
      </c>
      <c r="Z701" s="58" t="str">
        <f>IF(W701="","",IF(MIN(IF(T701="",1,T701),IF(U701="",1,U701),IF(V701="",1,V701))&gt;=1,"Aucune",IF(IF(T701="",1,T701)&lt;=MIN(IF(U701="",1,U701),IF(V701="",1,V701)),"Disponibilité",IF(IF(U701="",1,U701)&lt;=IF(V701="",1,V701),"Performance","Qualité"))))</f>
        <v/>
      </c>
      <c r="AA701" s="59" t="str">
        <f>IF(AC701=1,N(H701)*N(IFERROR(INDEX(art_cost,MATCH(E701,art_ref,0)),0)),"")</f>
        <v/>
      </c>
      <c r="AB701" s="58" t="str">
        <f>IF(COUNTA(A701:I701)=0,"",IF(N(A701)&lt;=0,"Date manquante ou invalide",IF(B701="","Équipe manquante",IF(ISNA(MATCH(B701,eq_code,0)),"Équipe inconnue",IF(INDEX(eq_check,MATCH(B701,eq_code,0))&lt;&gt;"OK","Équipe à corriger dans Paramètres",IF(C701="","Poste manquant",IF(ISNA(MATCH(C701,po_code,0)),"Poste inconnu",IF(AND(E701&lt;&gt;"",ISNA(MATCH(E701,art_ref,0))),"Article inconnu",IF(IF(E701="",FALSE,INDEX(art_check,MATCH(E701,art_ref,0))&lt;&gt;"OK"),"Article à corriger (feuille Articles)",IF(COUNTIFS(sj_date,A701,sj_eq,B701,sj_po,C701)&gt;1,"Ligne en double (même jour, équipe et poste)",IF(OR(NOT(ISNUMBER(K701)),N(K701)&lt;=0,N(K701)&gt;1440),"Temps d'ouverture invalide",IF(OR(AND(G701&lt;&gt;"",NOT(ISNUMBER(G701))),N(G701)&lt;0,N(G701)&lt;&gt;INT(N(G701)),AND(H701&lt;&gt;"",NOT(ISNUMBER(H701))),N(H701)&lt;0,N(H701)&lt;&gt;INT(N(H701)),AND(I701&lt;&gt;"",NOT(ISNUMBER(I701))),N(I701)&lt;0,N(I701)&lt;&gt;INT(N(I701))),"Quantité invalide",IF(Q701&lt;=0,"Cadence manquante (poste ou article)",IF(M701&lt;=0,"Arrêts planifiés supérieurs au temps d'ouverture",IF(O701&lt;0,"Arrêts supérieurs au temps requis",IF(AND(P701&gt;0,O701=0),"Pièces déclarées sans temps de marche",IF(AND(P701=0,O701&gt;0),"Aucune pièce déclarée",IF(P701*60/Q701&gt;O701+0.001,"Cadence dépassée : vérifiez la cadence","OK"))))))))))))))))))</f>
        <v/>
      </c>
      <c r="AC701">
        <f>IF(OR(AB701="OK",AB701="Aucune pièce déclarée",AB701="Cadence dépassée : vérifiez la cadence"),1,0)</f>
        <v>0.0</v>
      </c>
      <c r="AD701">
        <f>IF(AND(AC701=1,A701&gt;=p_from,A701&lt;=p_to),1,0)</f>
        <v>0.0</v>
      </c>
      <c r="AE701">
        <f>IF(AD701=1,IF(COUNTIFS($A$6:A701,A701,$AD$6:AD701,1)=1,1,0),0)</f>
        <v>0.0</v>
      </c>
      <c r="AF701" t="str">
        <f>IF(AE701=1,COUNTIFS(sj_first,1,sj_date,"&lt;"&amp;A701)+1,"")</f>
        <v/>
      </c>
      <c r="AG701" t="str">
        <f>IF(AND(AD701=1,N(W701)&lt;p_alert),ROUND(W701,4),"")</f>
        <v/>
      </c>
      <c r="AH701" t="str">
        <f>IF(AG701="","",COUNTIF(sj_akey,"&lt;"&amp;AG701)+COUNTIF($AG$6:AG701,AG701))</f>
        <v/>
      </c>
    </row>
    <row r="702">
      <c r="A702" s="51" t="n"/>
      <c r="B702" s="52" t="n"/>
      <c r="C702" s="52" t="n"/>
      <c r="D702" s="53" t="n"/>
      <c r="E702" s="53" t="n"/>
      <c r="F702" s="54" t="n"/>
      <c r="G702" s="54" t="n"/>
      <c r="H702" s="54" t="n"/>
      <c r="I702" s="54" t="n"/>
      <c r="J702" s="53" t="n"/>
      <c r="K702" s="55" t="str">
        <f>IF(COUNTA(A702:I702)=0,"",IF(F702="",IFERROR(INDEX(eq_dur,MATCH(B702,eq_code,0)),""),F702))</f>
        <v/>
      </c>
      <c r="L702" s="55" t="str">
        <f>IF(ISNUMBER(K702),N(IFERROR(INDEX(eq_pause,MATCH(B702,eq_code,0)),0))+SUMIFS(st_min,st_date,A702,st_eq,B702,st_po,C702,st_type,"Planifié"),"")</f>
        <v/>
      </c>
      <c r="M702" s="55" t="str">
        <f>IF(ISNUMBER(K702),K702-L702,"")</f>
        <v/>
      </c>
      <c r="N702" s="55" t="str">
        <f>IF(ISNUMBER(K702),SUMIFS(st_min,st_date,A702,st_eq,B702,st_po,C702,st_type,"Non planifié"),"")</f>
        <v/>
      </c>
      <c r="O702" s="55" t="str">
        <f>IF(ISNUMBER(K702),M702-N702,"")</f>
        <v/>
      </c>
      <c r="P702" s="55" t="str">
        <f>IF(COUNTA(A702:I702)=0,"",N(G702)+N(H702)+N(I702))</f>
        <v/>
      </c>
      <c r="Q702" s="56" t="str">
        <f>IF(COUNTA(A702:I702)=0,"",IF(N(IFERROR(INDEX(art_rate,MATCH(E702,art_ref,0)),0))&gt;0,N(IFERROR(INDEX(art_rate,MATCH(E702,art_ref,0)),0)),N(IFERROR(INDEX(po_rate,MATCH(C702,po_code,0)),0))))</f>
        <v/>
      </c>
      <c r="R702" s="55" t="str">
        <f>IF(AC702=1,P702*60/Q702,"")</f>
        <v/>
      </c>
      <c r="S702" s="55" t="str">
        <f>IF(AC702=1,N(G702)*60/Q702,"")</f>
        <v/>
      </c>
      <c r="T702" s="57" t="str">
        <f>IF(AC702=1,O702/M702,"")</f>
        <v/>
      </c>
      <c r="U702" s="57" t="str">
        <f>IF(AC702=1,IF(O702&gt;0,R702/O702,""),"")</f>
        <v/>
      </c>
      <c r="V702" s="57" t="str">
        <f>IF(AC702=1,IF(P702&gt;0,N(G702)/P702,""),"")</f>
        <v/>
      </c>
      <c r="W702" s="57" t="str">
        <f>IF(AC702=1,S702/M702,"")</f>
        <v/>
      </c>
      <c r="X702" s="57" t="str">
        <f>IF(AC702=1,S702/K702,"")</f>
        <v/>
      </c>
      <c r="Y702" s="58" t="str">
        <f>IF(W702="","",IF(W702&gt;=p_target,"Bon",IF(W702&gt;=p_alert,"À surveiller","Faible")))</f>
        <v/>
      </c>
      <c r="Z702" s="58" t="str">
        <f>IF(W702="","",IF(MIN(IF(T702="",1,T702),IF(U702="",1,U702),IF(V702="",1,V702))&gt;=1,"Aucune",IF(IF(T702="",1,T702)&lt;=MIN(IF(U702="",1,U702),IF(V702="",1,V702)),"Disponibilité",IF(IF(U702="",1,U702)&lt;=IF(V702="",1,V702),"Performance","Qualité"))))</f>
        <v/>
      </c>
      <c r="AA702" s="59" t="str">
        <f>IF(AC702=1,N(H702)*N(IFERROR(INDEX(art_cost,MATCH(E702,art_ref,0)),0)),"")</f>
        <v/>
      </c>
      <c r="AB702" s="58" t="str">
        <f>IF(COUNTA(A702:I702)=0,"",IF(N(A702)&lt;=0,"Date manquante ou invalide",IF(B702="","Équipe manquante",IF(ISNA(MATCH(B702,eq_code,0)),"Équipe inconnue",IF(INDEX(eq_check,MATCH(B702,eq_code,0))&lt;&gt;"OK","Équipe à corriger dans Paramètres",IF(C702="","Poste manquant",IF(ISNA(MATCH(C702,po_code,0)),"Poste inconnu",IF(AND(E702&lt;&gt;"",ISNA(MATCH(E702,art_ref,0))),"Article inconnu",IF(IF(E702="",FALSE,INDEX(art_check,MATCH(E702,art_ref,0))&lt;&gt;"OK"),"Article à corriger (feuille Articles)",IF(COUNTIFS(sj_date,A702,sj_eq,B702,sj_po,C702)&gt;1,"Ligne en double (même jour, équipe et poste)",IF(OR(NOT(ISNUMBER(K702)),N(K702)&lt;=0,N(K702)&gt;1440),"Temps d'ouverture invalide",IF(OR(AND(G702&lt;&gt;"",NOT(ISNUMBER(G702))),N(G702)&lt;0,N(G702)&lt;&gt;INT(N(G702)),AND(H702&lt;&gt;"",NOT(ISNUMBER(H702))),N(H702)&lt;0,N(H702)&lt;&gt;INT(N(H702)),AND(I702&lt;&gt;"",NOT(ISNUMBER(I702))),N(I702)&lt;0,N(I702)&lt;&gt;INT(N(I702))),"Quantité invalide",IF(Q702&lt;=0,"Cadence manquante (poste ou article)",IF(M702&lt;=0,"Arrêts planifiés supérieurs au temps d'ouverture",IF(O702&lt;0,"Arrêts supérieurs au temps requis",IF(AND(P702&gt;0,O702=0),"Pièces déclarées sans temps de marche",IF(AND(P702=0,O702&gt;0),"Aucune pièce déclarée",IF(P702*60/Q702&gt;O702+0.001,"Cadence dépassée : vérifiez la cadence","OK"))))))))))))))))))</f>
        <v/>
      </c>
      <c r="AC702">
        <f>IF(OR(AB702="OK",AB702="Aucune pièce déclarée",AB702="Cadence dépassée : vérifiez la cadence"),1,0)</f>
        <v>0.0</v>
      </c>
      <c r="AD702">
        <f>IF(AND(AC702=1,A702&gt;=p_from,A702&lt;=p_to),1,0)</f>
        <v>0.0</v>
      </c>
      <c r="AE702">
        <f>IF(AD702=1,IF(COUNTIFS($A$6:A702,A702,$AD$6:AD702,1)=1,1,0),0)</f>
        <v>0.0</v>
      </c>
      <c r="AF702" t="str">
        <f>IF(AE702=1,COUNTIFS(sj_first,1,sj_date,"&lt;"&amp;A702)+1,"")</f>
        <v/>
      </c>
      <c r="AG702" t="str">
        <f>IF(AND(AD702=1,N(W702)&lt;p_alert),ROUND(W702,4),"")</f>
        <v/>
      </c>
      <c r="AH702" t="str">
        <f>IF(AG702="","",COUNTIF(sj_akey,"&lt;"&amp;AG702)+COUNTIF($AG$6:AG702,AG702))</f>
        <v/>
      </c>
    </row>
    <row r="703">
      <c r="A703" s="51" t="n"/>
      <c r="B703" s="52" t="n"/>
      <c r="C703" s="52" t="n"/>
      <c r="D703" s="53" t="n"/>
      <c r="E703" s="53" t="n"/>
      <c r="F703" s="54" t="n"/>
      <c r="G703" s="54" t="n"/>
      <c r="H703" s="54" t="n"/>
      <c r="I703" s="54" t="n"/>
      <c r="J703" s="53" t="n"/>
      <c r="K703" s="55" t="str">
        <f>IF(COUNTA(A703:I703)=0,"",IF(F703="",IFERROR(INDEX(eq_dur,MATCH(B703,eq_code,0)),""),F703))</f>
        <v/>
      </c>
      <c r="L703" s="55" t="str">
        <f>IF(ISNUMBER(K703),N(IFERROR(INDEX(eq_pause,MATCH(B703,eq_code,0)),0))+SUMIFS(st_min,st_date,A703,st_eq,B703,st_po,C703,st_type,"Planifié"),"")</f>
        <v/>
      </c>
      <c r="M703" s="55" t="str">
        <f>IF(ISNUMBER(K703),K703-L703,"")</f>
        <v/>
      </c>
      <c r="N703" s="55" t="str">
        <f>IF(ISNUMBER(K703),SUMIFS(st_min,st_date,A703,st_eq,B703,st_po,C703,st_type,"Non planifié"),"")</f>
        <v/>
      </c>
      <c r="O703" s="55" t="str">
        <f>IF(ISNUMBER(K703),M703-N703,"")</f>
        <v/>
      </c>
      <c r="P703" s="55" t="str">
        <f>IF(COUNTA(A703:I703)=0,"",N(G703)+N(H703)+N(I703))</f>
        <v/>
      </c>
      <c r="Q703" s="56" t="str">
        <f>IF(COUNTA(A703:I703)=0,"",IF(N(IFERROR(INDEX(art_rate,MATCH(E703,art_ref,0)),0))&gt;0,N(IFERROR(INDEX(art_rate,MATCH(E703,art_ref,0)),0)),N(IFERROR(INDEX(po_rate,MATCH(C703,po_code,0)),0))))</f>
        <v/>
      </c>
      <c r="R703" s="55" t="str">
        <f>IF(AC703=1,P703*60/Q703,"")</f>
        <v/>
      </c>
      <c r="S703" s="55" t="str">
        <f>IF(AC703=1,N(G703)*60/Q703,"")</f>
        <v/>
      </c>
      <c r="T703" s="57" t="str">
        <f>IF(AC703=1,O703/M703,"")</f>
        <v/>
      </c>
      <c r="U703" s="57" t="str">
        <f>IF(AC703=1,IF(O703&gt;0,R703/O703,""),"")</f>
        <v/>
      </c>
      <c r="V703" s="57" t="str">
        <f>IF(AC703=1,IF(P703&gt;0,N(G703)/P703,""),"")</f>
        <v/>
      </c>
      <c r="W703" s="57" t="str">
        <f>IF(AC703=1,S703/M703,"")</f>
        <v/>
      </c>
      <c r="X703" s="57" t="str">
        <f>IF(AC703=1,S703/K703,"")</f>
        <v/>
      </c>
      <c r="Y703" s="58" t="str">
        <f>IF(W703="","",IF(W703&gt;=p_target,"Bon",IF(W703&gt;=p_alert,"À surveiller","Faible")))</f>
        <v/>
      </c>
      <c r="Z703" s="58" t="str">
        <f>IF(W703="","",IF(MIN(IF(T703="",1,T703),IF(U703="",1,U703),IF(V703="",1,V703))&gt;=1,"Aucune",IF(IF(T703="",1,T703)&lt;=MIN(IF(U703="",1,U703),IF(V703="",1,V703)),"Disponibilité",IF(IF(U703="",1,U703)&lt;=IF(V703="",1,V703),"Performance","Qualité"))))</f>
        <v/>
      </c>
      <c r="AA703" s="59" t="str">
        <f>IF(AC703=1,N(H703)*N(IFERROR(INDEX(art_cost,MATCH(E703,art_ref,0)),0)),"")</f>
        <v/>
      </c>
      <c r="AB703" s="58" t="str">
        <f>IF(COUNTA(A703:I703)=0,"",IF(N(A703)&lt;=0,"Date manquante ou invalide",IF(B703="","Équipe manquante",IF(ISNA(MATCH(B703,eq_code,0)),"Équipe inconnue",IF(INDEX(eq_check,MATCH(B703,eq_code,0))&lt;&gt;"OK","Équipe à corriger dans Paramètres",IF(C703="","Poste manquant",IF(ISNA(MATCH(C703,po_code,0)),"Poste inconnu",IF(AND(E703&lt;&gt;"",ISNA(MATCH(E703,art_ref,0))),"Article inconnu",IF(IF(E703="",FALSE,INDEX(art_check,MATCH(E703,art_ref,0))&lt;&gt;"OK"),"Article à corriger (feuille Articles)",IF(COUNTIFS(sj_date,A703,sj_eq,B703,sj_po,C703)&gt;1,"Ligne en double (même jour, équipe et poste)",IF(OR(NOT(ISNUMBER(K703)),N(K703)&lt;=0,N(K703)&gt;1440),"Temps d'ouverture invalide",IF(OR(AND(G703&lt;&gt;"",NOT(ISNUMBER(G703))),N(G703)&lt;0,N(G703)&lt;&gt;INT(N(G703)),AND(H703&lt;&gt;"",NOT(ISNUMBER(H703))),N(H703)&lt;0,N(H703)&lt;&gt;INT(N(H703)),AND(I703&lt;&gt;"",NOT(ISNUMBER(I703))),N(I703)&lt;0,N(I703)&lt;&gt;INT(N(I703))),"Quantité invalide",IF(Q703&lt;=0,"Cadence manquante (poste ou article)",IF(M703&lt;=0,"Arrêts planifiés supérieurs au temps d'ouverture",IF(O703&lt;0,"Arrêts supérieurs au temps requis",IF(AND(P703&gt;0,O703=0),"Pièces déclarées sans temps de marche",IF(AND(P703=0,O703&gt;0),"Aucune pièce déclarée",IF(P703*60/Q703&gt;O703+0.001,"Cadence dépassée : vérifiez la cadence","OK"))))))))))))))))))</f>
        <v/>
      </c>
      <c r="AC703">
        <f>IF(OR(AB703="OK",AB703="Aucune pièce déclarée",AB703="Cadence dépassée : vérifiez la cadence"),1,0)</f>
        <v>0.0</v>
      </c>
      <c r="AD703">
        <f>IF(AND(AC703=1,A703&gt;=p_from,A703&lt;=p_to),1,0)</f>
        <v>0.0</v>
      </c>
      <c r="AE703">
        <f>IF(AD703=1,IF(COUNTIFS($A$6:A703,A703,$AD$6:AD703,1)=1,1,0),0)</f>
        <v>0.0</v>
      </c>
      <c r="AF703" t="str">
        <f>IF(AE703=1,COUNTIFS(sj_first,1,sj_date,"&lt;"&amp;A703)+1,"")</f>
        <v/>
      </c>
      <c r="AG703" t="str">
        <f>IF(AND(AD703=1,N(W703)&lt;p_alert),ROUND(W703,4),"")</f>
        <v/>
      </c>
      <c r="AH703" t="str">
        <f>IF(AG703="","",COUNTIF(sj_akey,"&lt;"&amp;AG703)+COUNTIF($AG$6:AG703,AG703))</f>
        <v/>
      </c>
    </row>
    <row r="704">
      <c r="A704" s="51" t="n"/>
      <c r="B704" s="52" t="n"/>
      <c r="C704" s="52" t="n"/>
      <c r="D704" s="53" t="n"/>
      <c r="E704" s="53" t="n"/>
      <c r="F704" s="54" t="n"/>
      <c r="G704" s="54" t="n"/>
      <c r="H704" s="54" t="n"/>
      <c r="I704" s="54" t="n"/>
      <c r="J704" s="53" t="n"/>
      <c r="K704" s="55" t="str">
        <f>IF(COUNTA(A704:I704)=0,"",IF(F704="",IFERROR(INDEX(eq_dur,MATCH(B704,eq_code,0)),""),F704))</f>
        <v/>
      </c>
      <c r="L704" s="55" t="str">
        <f>IF(ISNUMBER(K704),N(IFERROR(INDEX(eq_pause,MATCH(B704,eq_code,0)),0))+SUMIFS(st_min,st_date,A704,st_eq,B704,st_po,C704,st_type,"Planifié"),"")</f>
        <v/>
      </c>
      <c r="M704" s="55" t="str">
        <f>IF(ISNUMBER(K704),K704-L704,"")</f>
        <v/>
      </c>
      <c r="N704" s="55" t="str">
        <f>IF(ISNUMBER(K704),SUMIFS(st_min,st_date,A704,st_eq,B704,st_po,C704,st_type,"Non planifié"),"")</f>
        <v/>
      </c>
      <c r="O704" s="55" t="str">
        <f>IF(ISNUMBER(K704),M704-N704,"")</f>
        <v/>
      </c>
      <c r="P704" s="55" t="str">
        <f>IF(COUNTA(A704:I704)=0,"",N(G704)+N(H704)+N(I704))</f>
        <v/>
      </c>
      <c r="Q704" s="56" t="str">
        <f>IF(COUNTA(A704:I704)=0,"",IF(N(IFERROR(INDEX(art_rate,MATCH(E704,art_ref,0)),0))&gt;0,N(IFERROR(INDEX(art_rate,MATCH(E704,art_ref,0)),0)),N(IFERROR(INDEX(po_rate,MATCH(C704,po_code,0)),0))))</f>
        <v/>
      </c>
      <c r="R704" s="55" t="str">
        <f>IF(AC704=1,P704*60/Q704,"")</f>
        <v/>
      </c>
      <c r="S704" s="55" t="str">
        <f>IF(AC704=1,N(G704)*60/Q704,"")</f>
        <v/>
      </c>
      <c r="T704" s="57" t="str">
        <f>IF(AC704=1,O704/M704,"")</f>
        <v/>
      </c>
      <c r="U704" s="57" t="str">
        <f>IF(AC704=1,IF(O704&gt;0,R704/O704,""),"")</f>
        <v/>
      </c>
      <c r="V704" s="57" t="str">
        <f>IF(AC704=1,IF(P704&gt;0,N(G704)/P704,""),"")</f>
        <v/>
      </c>
      <c r="W704" s="57" t="str">
        <f>IF(AC704=1,S704/M704,"")</f>
        <v/>
      </c>
      <c r="X704" s="57" t="str">
        <f>IF(AC704=1,S704/K704,"")</f>
        <v/>
      </c>
      <c r="Y704" s="58" t="str">
        <f>IF(W704="","",IF(W704&gt;=p_target,"Bon",IF(W704&gt;=p_alert,"À surveiller","Faible")))</f>
        <v/>
      </c>
      <c r="Z704" s="58" t="str">
        <f>IF(W704="","",IF(MIN(IF(T704="",1,T704),IF(U704="",1,U704),IF(V704="",1,V704))&gt;=1,"Aucune",IF(IF(T704="",1,T704)&lt;=MIN(IF(U704="",1,U704),IF(V704="",1,V704)),"Disponibilité",IF(IF(U704="",1,U704)&lt;=IF(V704="",1,V704),"Performance","Qualité"))))</f>
        <v/>
      </c>
      <c r="AA704" s="59" t="str">
        <f>IF(AC704=1,N(H704)*N(IFERROR(INDEX(art_cost,MATCH(E704,art_ref,0)),0)),"")</f>
        <v/>
      </c>
      <c r="AB704" s="58" t="str">
        <f>IF(COUNTA(A704:I704)=0,"",IF(N(A704)&lt;=0,"Date manquante ou invalide",IF(B704="","Équipe manquante",IF(ISNA(MATCH(B704,eq_code,0)),"Équipe inconnue",IF(INDEX(eq_check,MATCH(B704,eq_code,0))&lt;&gt;"OK","Équipe à corriger dans Paramètres",IF(C704="","Poste manquant",IF(ISNA(MATCH(C704,po_code,0)),"Poste inconnu",IF(AND(E704&lt;&gt;"",ISNA(MATCH(E704,art_ref,0))),"Article inconnu",IF(IF(E704="",FALSE,INDEX(art_check,MATCH(E704,art_ref,0))&lt;&gt;"OK"),"Article à corriger (feuille Articles)",IF(COUNTIFS(sj_date,A704,sj_eq,B704,sj_po,C704)&gt;1,"Ligne en double (même jour, équipe et poste)",IF(OR(NOT(ISNUMBER(K704)),N(K704)&lt;=0,N(K704)&gt;1440),"Temps d'ouverture invalide",IF(OR(AND(G704&lt;&gt;"",NOT(ISNUMBER(G704))),N(G704)&lt;0,N(G704)&lt;&gt;INT(N(G704)),AND(H704&lt;&gt;"",NOT(ISNUMBER(H704))),N(H704)&lt;0,N(H704)&lt;&gt;INT(N(H704)),AND(I704&lt;&gt;"",NOT(ISNUMBER(I704))),N(I704)&lt;0,N(I704)&lt;&gt;INT(N(I704))),"Quantité invalide",IF(Q704&lt;=0,"Cadence manquante (poste ou article)",IF(M704&lt;=0,"Arrêts planifiés supérieurs au temps d'ouverture",IF(O704&lt;0,"Arrêts supérieurs au temps requis",IF(AND(P704&gt;0,O704=0),"Pièces déclarées sans temps de marche",IF(AND(P704=0,O704&gt;0),"Aucune pièce déclarée",IF(P704*60/Q704&gt;O704+0.001,"Cadence dépassée : vérifiez la cadence","OK"))))))))))))))))))</f>
        <v/>
      </c>
      <c r="AC704">
        <f>IF(OR(AB704="OK",AB704="Aucune pièce déclarée",AB704="Cadence dépassée : vérifiez la cadence"),1,0)</f>
        <v>0.0</v>
      </c>
      <c r="AD704">
        <f>IF(AND(AC704=1,A704&gt;=p_from,A704&lt;=p_to),1,0)</f>
        <v>0.0</v>
      </c>
      <c r="AE704">
        <f>IF(AD704=1,IF(COUNTIFS($A$6:A704,A704,$AD$6:AD704,1)=1,1,0),0)</f>
        <v>0.0</v>
      </c>
      <c r="AF704" t="str">
        <f>IF(AE704=1,COUNTIFS(sj_first,1,sj_date,"&lt;"&amp;A704)+1,"")</f>
        <v/>
      </c>
      <c r="AG704" t="str">
        <f>IF(AND(AD704=1,N(W704)&lt;p_alert),ROUND(W704,4),"")</f>
        <v/>
      </c>
      <c r="AH704" t="str">
        <f>IF(AG704="","",COUNTIF(sj_akey,"&lt;"&amp;AG704)+COUNTIF($AG$6:AG704,AG704))</f>
        <v/>
      </c>
    </row>
    <row r="705">
      <c r="A705" s="51" t="n"/>
      <c r="B705" s="52" t="n"/>
      <c r="C705" s="52" t="n"/>
      <c r="D705" s="53" t="n"/>
      <c r="E705" s="53" t="n"/>
      <c r="F705" s="54" t="n"/>
      <c r="G705" s="54" t="n"/>
      <c r="H705" s="54" t="n"/>
      <c r="I705" s="54" t="n"/>
      <c r="J705" s="53" t="n"/>
      <c r="K705" s="55" t="str">
        <f>IF(COUNTA(A705:I705)=0,"",IF(F705="",IFERROR(INDEX(eq_dur,MATCH(B705,eq_code,0)),""),F705))</f>
        <v/>
      </c>
      <c r="L705" s="55" t="str">
        <f>IF(ISNUMBER(K705),N(IFERROR(INDEX(eq_pause,MATCH(B705,eq_code,0)),0))+SUMIFS(st_min,st_date,A705,st_eq,B705,st_po,C705,st_type,"Planifié"),"")</f>
        <v/>
      </c>
      <c r="M705" s="55" t="str">
        <f>IF(ISNUMBER(K705),K705-L705,"")</f>
        <v/>
      </c>
      <c r="N705" s="55" t="str">
        <f>IF(ISNUMBER(K705),SUMIFS(st_min,st_date,A705,st_eq,B705,st_po,C705,st_type,"Non planifié"),"")</f>
        <v/>
      </c>
      <c r="O705" s="55" t="str">
        <f>IF(ISNUMBER(K705),M705-N705,"")</f>
        <v/>
      </c>
      <c r="P705" s="55" t="str">
        <f>IF(COUNTA(A705:I705)=0,"",N(G705)+N(H705)+N(I705))</f>
        <v/>
      </c>
      <c r="Q705" s="56" t="str">
        <f>IF(COUNTA(A705:I705)=0,"",IF(N(IFERROR(INDEX(art_rate,MATCH(E705,art_ref,0)),0))&gt;0,N(IFERROR(INDEX(art_rate,MATCH(E705,art_ref,0)),0)),N(IFERROR(INDEX(po_rate,MATCH(C705,po_code,0)),0))))</f>
        <v/>
      </c>
      <c r="R705" s="55" t="str">
        <f>IF(AC705=1,P705*60/Q705,"")</f>
        <v/>
      </c>
      <c r="S705" s="55" t="str">
        <f>IF(AC705=1,N(G705)*60/Q705,"")</f>
        <v/>
      </c>
      <c r="T705" s="57" t="str">
        <f>IF(AC705=1,O705/M705,"")</f>
        <v/>
      </c>
      <c r="U705" s="57" t="str">
        <f>IF(AC705=1,IF(O705&gt;0,R705/O705,""),"")</f>
        <v/>
      </c>
      <c r="V705" s="57" t="str">
        <f>IF(AC705=1,IF(P705&gt;0,N(G705)/P705,""),"")</f>
        <v/>
      </c>
      <c r="W705" s="57" t="str">
        <f>IF(AC705=1,S705/M705,"")</f>
        <v/>
      </c>
      <c r="X705" s="57" t="str">
        <f>IF(AC705=1,S705/K705,"")</f>
        <v/>
      </c>
      <c r="Y705" s="58" t="str">
        <f>IF(W705="","",IF(W705&gt;=p_target,"Bon",IF(W705&gt;=p_alert,"À surveiller","Faible")))</f>
        <v/>
      </c>
      <c r="Z705" s="58" t="str">
        <f>IF(W705="","",IF(MIN(IF(T705="",1,T705),IF(U705="",1,U705),IF(V705="",1,V705))&gt;=1,"Aucune",IF(IF(T705="",1,T705)&lt;=MIN(IF(U705="",1,U705),IF(V705="",1,V705)),"Disponibilité",IF(IF(U705="",1,U705)&lt;=IF(V705="",1,V705),"Performance","Qualité"))))</f>
        <v/>
      </c>
      <c r="AA705" s="59" t="str">
        <f>IF(AC705=1,N(H705)*N(IFERROR(INDEX(art_cost,MATCH(E705,art_ref,0)),0)),"")</f>
        <v/>
      </c>
      <c r="AB705" s="58" t="str">
        <f>IF(COUNTA(A705:I705)=0,"",IF(N(A705)&lt;=0,"Date manquante ou invalide",IF(B705="","Équipe manquante",IF(ISNA(MATCH(B705,eq_code,0)),"Équipe inconnue",IF(INDEX(eq_check,MATCH(B705,eq_code,0))&lt;&gt;"OK","Équipe à corriger dans Paramètres",IF(C705="","Poste manquant",IF(ISNA(MATCH(C705,po_code,0)),"Poste inconnu",IF(AND(E705&lt;&gt;"",ISNA(MATCH(E705,art_ref,0))),"Article inconnu",IF(IF(E705="",FALSE,INDEX(art_check,MATCH(E705,art_ref,0))&lt;&gt;"OK"),"Article à corriger (feuille Articles)",IF(COUNTIFS(sj_date,A705,sj_eq,B705,sj_po,C705)&gt;1,"Ligne en double (même jour, équipe et poste)",IF(OR(NOT(ISNUMBER(K705)),N(K705)&lt;=0,N(K705)&gt;1440),"Temps d'ouverture invalide",IF(OR(AND(G705&lt;&gt;"",NOT(ISNUMBER(G705))),N(G705)&lt;0,N(G705)&lt;&gt;INT(N(G705)),AND(H705&lt;&gt;"",NOT(ISNUMBER(H705))),N(H705)&lt;0,N(H705)&lt;&gt;INT(N(H705)),AND(I705&lt;&gt;"",NOT(ISNUMBER(I705))),N(I705)&lt;0,N(I705)&lt;&gt;INT(N(I705))),"Quantité invalide",IF(Q705&lt;=0,"Cadence manquante (poste ou article)",IF(M705&lt;=0,"Arrêts planifiés supérieurs au temps d'ouverture",IF(O705&lt;0,"Arrêts supérieurs au temps requis",IF(AND(P705&gt;0,O705=0),"Pièces déclarées sans temps de marche",IF(AND(P705=0,O705&gt;0),"Aucune pièce déclarée",IF(P705*60/Q705&gt;O705+0.001,"Cadence dépassée : vérifiez la cadence","OK"))))))))))))))))))</f>
        <v/>
      </c>
      <c r="AC705">
        <f>IF(OR(AB705="OK",AB705="Aucune pièce déclarée",AB705="Cadence dépassée : vérifiez la cadence"),1,0)</f>
        <v>0.0</v>
      </c>
      <c r="AD705">
        <f>IF(AND(AC705=1,A705&gt;=p_from,A705&lt;=p_to),1,0)</f>
        <v>0.0</v>
      </c>
      <c r="AE705">
        <f>IF(AD705=1,IF(COUNTIFS($A$6:A705,A705,$AD$6:AD705,1)=1,1,0),0)</f>
        <v>0.0</v>
      </c>
      <c r="AF705" t="str">
        <f>IF(AE705=1,COUNTIFS(sj_first,1,sj_date,"&lt;"&amp;A705)+1,"")</f>
        <v/>
      </c>
      <c r="AG705" t="str">
        <f>IF(AND(AD705=1,N(W705)&lt;p_alert),ROUND(W705,4),"")</f>
        <v/>
      </c>
      <c r="AH705" t="str">
        <f>IF(AG705="","",COUNTIF(sj_akey,"&lt;"&amp;AG705)+COUNTIF($AG$6:AG705,AG705))</f>
        <v/>
      </c>
    </row>
    <row r="706">
      <c r="A706" s="51" t="n"/>
      <c r="B706" s="52" t="n"/>
      <c r="C706" s="52" t="n"/>
      <c r="D706" s="53" t="n"/>
      <c r="E706" s="53" t="n"/>
      <c r="F706" s="54" t="n"/>
      <c r="G706" s="54" t="n"/>
      <c r="H706" s="54" t="n"/>
      <c r="I706" s="54" t="n"/>
      <c r="J706" s="53" t="n"/>
      <c r="K706" s="55" t="str">
        <f>IF(COUNTA(A706:I706)=0,"",IF(F706="",IFERROR(INDEX(eq_dur,MATCH(B706,eq_code,0)),""),F706))</f>
        <v/>
      </c>
      <c r="L706" s="55" t="str">
        <f>IF(ISNUMBER(K706),N(IFERROR(INDEX(eq_pause,MATCH(B706,eq_code,0)),0))+SUMIFS(st_min,st_date,A706,st_eq,B706,st_po,C706,st_type,"Planifié"),"")</f>
        <v/>
      </c>
      <c r="M706" s="55" t="str">
        <f>IF(ISNUMBER(K706),K706-L706,"")</f>
        <v/>
      </c>
      <c r="N706" s="55" t="str">
        <f>IF(ISNUMBER(K706),SUMIFS(st_min,st_date,A706,st_eq,B706,st_po,C706,st_type,"Non planifié"),"")</f>
        <v/>
      </c>
      <c r="O706" s="55" t="str">
        <f>IF(ISNUMBER(K706),M706-N706,"")</f>
        <v/>
      </c>
      <c r="P706" s="55" t="str">
        <f>IF(COUNTA(A706:I706)=0,"",N(G706)+N(H706)+N(I706))</f>
        <v/>
      </c>
      <c r="Q706" s="56" t="str">
        <f>IF(COUNTA(A706:I706)=0,"",IF(N(IFERROR(INDEX(art_rate,MATCH(E706,art_ref,0)),0))&gt;0,N(IFERROR(INDEX(art_rate,MATCH(E706,art_ref,0)),0)),N(IFERROR(INDEX(po_rate,MATCH(C706,po_code,0)),0))))</f>
        <v/>
      </c>
      <c r="R706" s="55" t="str">
        <f>IF(AC706=1,P706*60/Q706,"")</f>
        <v/>
      </c>
      <c r="S706" s="55" t="str">
        <f>IF(AC706=1,N(G706)*60/Q706,"")</f>
        <v/>
      </c>
      <c r="T706" s="57" t="str">
        <f>IF(AC706=1,O706/M706,"")</f>
        <v/>
      </c>
      <c r="U706" s="57" t="str">
        <f>IF(AC706=1,IF(O706&gt;0,R706/O706,""),"")</f>
        <v/>
      </c>
      <c r="V706" s="57" t="str">
        <f>IF(AC706=1,IF(P706&gt;0,N(G706)/P706,""),"")</f>
        <v/>
      </c>
      <c r="W706" s="57" t="str">
        <f>IF(AC706=1,S706/M706,"")</f>
        <v/>
      </c>
      <c r="X706" s="57" t="str">
        <f>IF(AC706=1,S706/K706,"")</f>
        <v/>
      </c>
      <c r="Y706" s="58" t="str">
        <f>IF(W706="","",IF(W706&gt;=p_target,"Bon",IF(W706&gt;=p_alert,"À surveiller","Faible")))</f>
        <v/>
      </c>
      <c r="Z706" s="58" t="str">
        <f>IF(W706="","",IF(MIN(IF(T706="",1,T706),IF(U706="",1,U706),IF(V706="",1,V706))&gt;=1,"Aucune",IF(IF(T706="",1,T706)&lt;=MIN(IF(U706="",1,U706),IF(V706="",1,V706)),"Disponibilité",IF(IF(U706="",1,U706)&lt;=IF(V706="",1,V706),"Performance","Qualité"))))</f>
        <v/>
      </c>
      <c r="AA706" s="59" t="str">
        <f>IF(AC706=1,N(H706)*N(IFERROR(INDEX(art_cost,MATCH(E706,art_ref,0)),0)),"")</f>
        <v/>
      </c>
      <c r="AB706" s="58" t="str">
        <f>IF(COUNTA(A706:I706)=0,"",IF(N(A706)&lt;=0,"Date manquante ou invalide",IF(B706="","Équipe manquante",IF(ISNA(MATCH(B706,eq_code,0)),"Équipe inconnue",IF(INDEX(eq_check,MATCH(B706,eq_code,0))&lt;&gt;"OK","Équipe à corriger dans Paramètres",IF(C706="","Poste manquant",IF(ISNA(MATCH(C706,po_code,0)),"Poste inconnu",IF(AND(E706&lt;&gt;"",ISNA(MATCH(E706,art_ref,0))),"Article inconnu",IF(IF(E706="",FALSE,INDEX(art_check,MATCH(E706,art_ref,0))&lt;&gt;"OK"),"Article à corriger (feuille Articles)",IF(COUNTIFS(sj_date,A706,sj_eq,B706,sj_po,C706)&gt;1,"Ligne en double (même jour, équipe et poste)",IF(OR(NOT(ISNUMBER(K706)),N(K706)&lt;=0,N(K706)&gt;1440),"Temps d'ouverture invalide",IF(OR(AND(G706&lt;&gt;"",NOT(ISNUMBER(G706))),N(G706)&lt;0,N(G706)&lt;&gt;INT(N(G706)),AND(H706&lt;&gt;"",NOT(ISNUMBER(H706))),N(H706)&lt;0,N(H706)&lt;&gt;INT(N(H706)),AND(I706&lt;&gt;"",NOT(ISNUMBER(I706))),N(I706)&lt;0,N(I706)&lt;&gt;INT(N(I706))),"Quantité invalide",IF(Q706&lt;=0,"Cadence manquante (poste ou article)",IF(M706&lt;=0,"Arrêts planifiés supérieurs au temps d'ouverture",IF(O706&lt;0,"Arrêts supérieurs au temps requis",IF(AND(P706&gt;0,O706=0),"Pièces déclarées sans temps de marche",IF(AND(P706=0,O706&gt;0),"Aucune pièce déclarée",IF(P706*60/Q706&gt;O706+0.001,"Cadence dépassée : vérifiez la cadence","OK"))))))))))))))))))</f>
        <v/>
      </c>
      <c r="AC706">
        <f>IF(OR(AB706="OK",AB706="Aucune pièce déclarée",AB706="Cadence dépassée : vérifiez la cadence"),1,0)</f>
        <v>0.0</v>
      </c>
      <c r="AD706">
        <f>IF(AND(AC706=1,A706&gt;=p_from,A706&lt;=p_to),1,0)</f>
        <v>0.0</v>
      </c>
      <c r="AE706">
        <f>IF(AD706=1,IF(COUNTIFS($A$6:A706,A706,$AD$6:AD706,1)=1,1,0),0)</f>
        <v>0.0</v>
      </c>
      <c r="AF706" t="str">
        <f>IF(AE706=1,COUNTIFS(sj_first,1,sj_date,"&lt;"&amp;A706)+1,"")</f>
        <v/>
      </c>
      <c r="AG706" t="str">
        <f>IF(AND(AD706=1,N(W706)&lt;p_alert),ROUND(W706,4),"")</f>
        <v/>
      </c>
      <c r="AH706" t="str">
        <f>IF(AG706="","",COUNTIF(sj_akey,"&lt;"&amp;AG706)+COUNTIF($AG$6:AG706,AG706))</f>
        <v/>
      </c>
    </row>
    <row r="707">
      <c r="A707" s="51" t="n"/>
      <c r="B707" s="52" t="n"/>
      <c r="C707" s="52" t="n"/>
      <c r="D707" s="53" t="n"/>
      <c r="E707" s="53" t="n"/>
      <c r="F707" s="54" t="n"/>
      <c r="G707" s="54" t="n"/>
      <c r="H707" s="54" t="n"/>
      <c r="I707" s="54" t="n"/>
      <c r="J707" s="53" t="n"/>
      <c r="K707" s="55" t="str">
        <f>IF(COUNTA(A707:I707)=0,"",IF(F707="",IFERROR(INDEX(eq_dur,MATCH(B707,eq_code,0)),""),F707))</f>
        <v/>
      </c>
      <c r="L707" s="55" t="str">
        <f>IF(ISNUMBER(K707),N(IFERROR(INDEX(eq_pause,MATCH(B707,eq_code,0)),0))+SUMIFS(st_min,st_date,A707,st_eq,B707,st_po,C707,st_type,"Planifié"),"")</f>
        <v/>
      </c>
      <c r="M707" s="55" t="str">
        <f>IF(ISNUMBER(K707),K707-L707,"")</f>
        <v/>
      </c>
      <c r="N707" s="55" t="str">
        <f>IF(ISNUMBER(K707),SUMIFS(st_min,st_date,A707,st_eq,B707,st_po,C707,st_type,"Non planifié"),"")</f>
        <v/>
      </c>
      <c r="O707" s="55" t="str">
        <f>IF(ISNUMBER(K707),M707-N707,"")</f>
        <v/>
      </c>
      <c r="P707" s="55" t="str">
        <f>IF(COUNTA(A707:I707)=0,"",N(G707)+N(H707)+N(I707))</f>
        <v/>
      </c>
      <c r="Q707" s="56" t="str">
        <f>IF(COUNTA(A707:I707)=0,"",IF(N(IFERROR(INDEX(art_rate,MATCH(E707,art_ref,0)),0))&gt;0,N(IFERROR(INDEX(art_rate,MATCH(E707,art_ref,0)),0)),N(IFERROR(INDEX(po_rate,MATCH(C707,po_code,0)),0))))</f>
        <v/>
      </c>
      <c r="R707" s="55" t="str">
        <f>IF(AC707=1,P707*60/Q707,"")</f>
        <v/>
      </c>
      <c r="S707" s="55" t="str">
        <f>IF(AC707=1,N(G707)*60/Q707,"")</f>
        <v/>
      </c>
      <c r="T707" s="57" t="str">
        <f>IF(AC707=1,O707/M707,"")</f>
        <v/>
      </c>
      <c r="U707" s="57" t="str">
        <f>IF(AC707=1,IF(O707&gt;0,R707/O707,""),"")</f>
        <v/>
      </c>
      <c r="V707" s="57" t="str">
        <f>IF(AC707=1,IF(P707&gt;0,N(G707)/P707,""),"")</f>
        <v/>
      </c>
      <c r="W707" s="57" t="str">
        <f>IF(AC707=1,S707/M707,"")</f>
        <v/>
      </c>
      <c r="X707" s="57" t="str">
        <f>IF(AC707=1,S707/K707,"")</f>
        <v/>
      </c>
      <c r="Y707" s="58" t="str">
        <f>IF(W707="","",IF(W707&gt;=p_target,"Bon",IF(W707&gt;=p_alert,"À surveiller","Faible")))</f>
        <v/>
      </c>
      <c r="Z707" s="58" t="str">
        <f>IF(W707="","",IF(MIN(IF(T707="",1,T707),IF(U707="",1,U707),IF(V707="",1,V707))&gt;=1,"Aucune",IF(IF(T707="",1,T707)&lt;=MIN(IF(U707="",1,U707),IF(V707="",1,V707)),"Disponibilité",IF(IF(U707="",1,U707)&lt;=IF(V707="",1,V707),"Performance","Qualité"))))</f>
        <v/>
      </c>
      <c r="AA707" s="59" t="str">
        <f>IF(AC707=1,N(H707)*N(IFERROR(INDEX(art_cost,MATCH(E707,art_ref,0)),0)),"")</f>
        <v/>
      </c>
      <c r="AB707" s="58" t="str">
        <f>IF(COUNTA(A707:I707)=0,"",IF(N(A707)&lt;=0,"Date manquante ou invalide",IF(B707="","Équipe manquante",IF(ISNA(MATCH(B707,eq_code,0)),"Équipe inconnue",IF(INDEX(eq_check,MATCH(B707,eq_code,0))&lt;&gt;"OK","Équipe à corriger dans Paramètres",IF(C707="","Poste manquant",IF(ISNA(MATCH(C707,po_code,0)),"Poste inconnu",IF(AND(E707&lt;&gt;"",ISNA(MATCH(E707,art_ref,0))),"Article inconnu",IF(IF(E707="",FALSE,INDEX(art_check,MATCH(E707,art_ref,0))&lt;&gt;"OK"),"Article à corriger (feuille Articles)",IF(COUNTIFS(sj_date,A707,sj_eq,B707,sj_po,C707)&gt;1,"Ligne en double (même jour, équipe et poste)",IF(OR(NOT(ISNUMBER(K707)),N(K707)&lt;=0,N(K707)&gt;1440),"Temps d'ouverture invalide",IF(OR(AND(G707&lt;&gt;"",NOT(ISNUMBER(G707))),N(G707)&lt;0,N(G707)&lt;&gt;INT(N(G707)),AND(H707&lt;&gt;"",NOT(ISNUMBER(H707))),N(H707)&lt;0,N(H707)&lt;&gt;INT(N(H707)),AND(I707&lt;&gt;"",NOT(ISNUMBER(I707))),N(I707)&lt;0,N(I707)&lt;&gt;INT(N(I707))),"Quantité invalide",IF(Q707&lt;=0,"Cadence manquante (poste ou article)",IF(M707&lt;=0,"Arrêts planifiés supérieurs au temps d'ouverture",IF(O707&lt;0,"Arrêts supérieurs au temps requis",IF(AND(P707&gt;0,O707=0),"Pièces déclarées sans temps de marche",IF(AND(P707=0,O707&gt;0),"Aucune pièce déclarée",IF(P707*60/Q707&gt;O707+0.001,"Cadence dépassée : vérifiez la cadence","OK"))))))))))))))))))</f>
        <v/>
      </c>
      <c r="AC707">
        <f>IF(OR(AB707="OK",AB707="Aucune pièce déclarée",AB707="Cadence dépassée : vérifiez la cadence"),1,0)</f>
        <v>0.0</v>
      </c>
      <c r="AD707">
        <f>IF(AND(AC707=1,A707&gt;=p_from,A707&lt;=p_to),1,0)</f>
        <v>0.0</v>
      </c>
      <c r="AE707">
        <f>IF(AD707=1,IF(COUNTIFS($A$6:A707,A707,$AD$6:AD707,1)=1,1,0),0)</f>
        <v>0.0</v>
      </c>
      <c r="AF707" t="str">
        <f>IF(AE707=1,COUNTIFS(sj_first,1,sj_date,"&lt;"&amp;A707)+1,"")</f>
        <v/>
      </c>
      <c r="AG707" t="str">
        <f>IF(AND(AD707=1,N(W707)&lt;p_alert),ROUND(W707,4),"")</f>
        <v/>
      </c>
      <c r="AH707" t="str">
        <f>IF(AG707="","",COUNTIF(sj_akey,"&lt;"&amp;AG707)+COUNTIF($AG$6:AG707,AG707))</f>
        <v/>
      </c>
    </row>
    <row r="708">
      <c r="A708" s="51" t="n"/>
      <c r="B708" s="52" t="n"/>
      <c r="C708" s="52" t="n"/>
      <c r="D708" s="53" t="n"/>
      <c r="E708" s="53" t="n"/>
      <c r="F708" s="54" t="n"/>
      <c r="G708" s="54" t="n"/>
      <c r="H708" s="54" t="n"/>
      <c r="I708" s="54" t="n"/>
      <c r="J708" s="53" t="n"/>
      <c r="K708" s="55" t="str">
        <f>IF(COUNTA(A708:I708)=0,"",IF(F708="",IFERROR(INDEX(eq_dur,MATCH(B708,eq_code,0)),""),F708))</f>
        <v/>
      </c>
      <c r="L708" s="55" t="str">
        <f>IF(ISNUMBER(K708),N(IFERROR(INDEX(eq_pause,MATCH(B708,eq_code,0)),0))+SUMIFS(st_min,st_date,A708,st_eq,B708,st_po,C708,st_type,"Planifié"),"")</f>
        <v/>
      </c>
      <c r="M708" s="55" t="str">
        <f>IF(ISNUMBER(K708),K708-L708,"")</f>
        <v/>
      </c>
      <c r="N708" s="55" t="str">
        <f>IF(ISNUMBER(K708),SUMIFS(st_min,st_date,A708,st_eq,B708,st_po,C708,st_type,"Non planifié"),"")</f>
        <v/>
      </c>
      <c r="O708" s="55" t="str">
        <f>IF(ISNUMBER(K708),M708-N708,"")</f>
        <v/>
      </c>
      <c r="P708" s="55" t="str">
        <f>IF(COUNTA(A708:I708)=0,"",N(G708)+N(H708)+N(I708))</f>
        <v/>
      </c>
      <c r="Q708" s="56" t="str">
        <f>IF(COUNTA(A708:I708)=0,"",IF(N(IFERROR(INDEX(art_rate,MATCH(E708,art_ref,0)),0))&gt;0,N(IFERROR(INDEX(art_rate,MATCH(E708,art_ref,0)),0)),N(IFERROR(INDEX(po_rate,MATCH(C708,po_code,0)),0))))</f>
        <v/>
      </c>
      <c r="R708" s="55" t="str">
        <f>IF(AC708=1,P708*60/Q708,"")</f>
        <v/>
      </c>
      <c r="S708" s="55" t="str">
        <f>IF(AC708=1,N(G708)*60/Q708,"")</f>
        <v/>
      </c>
      <c r="T708" s="57" t="str">
        <f>IF(AC708=1,O708/M708,"")</f>
        <v/>
      </c>
      <c r="U708" s="57" t="str">
        <f>IF(AC708=1,IF(O708&gt;0,R708/O708,""),"")</f>
        <v/>
      </c>
      <c r="V708" s="57" t="str">
        <f>IF(AC708=1,IF(P708&gt;0,N(G708)/P708,""),"")</f>
        <v/>
      </c>
      <c r="W708" s="57" t="str">
        <f>IF(AC708=1,S708/M708,"")</f>
        <v/>
      </c>
      <c r="X708" s="57" t="str">
        <f>IF(AC708=1,S708/K708,"")</f>
        <v/>
      </c>
      <c r="Y708" s="58" t="str">
        <f>IF(W708="","",IF(W708&gt;=p_target,"Bon",IF(W708&gt;=p_alert,"À surveiller","Faible")))</f>
        <v/>
      </c>
      <c r="Z708" s="58" t="str">
        <f>IF(W708="","",IF(MIN(IF(T708="",1,T708),IF(U708="",1,U708),IF(V708="",1,V708))&gt;=1,"Aucune",IF(IF(T708="",1,T708)&lt;=MIN(IF(U708="",1,U708),IF(V708="",1,V708)),"Disponibilité",IF(IF(U708="",1,U708)&lt;=IF(V708="",1,V708),"Performance","Qualité"))))</f>
        <v/>
      </c>
      <c r="AA708" s="59" t="str">
        <f>IF(AC708=1,N(H708)*N(IFERROR(INDEX(art_cost,MATCH(E708,art_ref,0)),0)),"")</f>
        <v/>
      </c>
      <c r="AB708" s="58" t="str">
        <f>IF(COUNTA(A708:I708)=0,"",IF(N(A708)&lt;=0,"Date manquante ou invalide",IF(B708="","Équipe manquante",IF(ISNA(MATCH(B708,eq_code,0)),"Équipe inconnue",IF(INDEX(eq_check,MATCH(B708,eq_code,0))&lt;&gt;"OK","Équipe à corriger dans Paramètres",IF(C708="","Poste manquant",IF(ISNA(MATCH(C708,po_code,0)),"Poste inconnu",IF(AND(E708&lt;&gt;"",ISNA(MATCH(E708,art_ref,0))),"Article inconnu",IF(IF(E708="",FALSE,INDEX(art_check,MATCH(E708,art_ref,0))&lt;&gt;"OK"),"Article à corriger (feuille Articles)",IF(COUNTIFS(sj_date,A708,sj_eq,B708,sj_po,C708)&gt;1,"Ligne en double (même jour, équipe et poste)",IF(OR(NOT(ISNUMBER(K708)),N(K708)&lt;=0,N(K708)&gt;1440),"Temps d'ouverture invalide",IF(OR(AND(G708&lt;&gt;"",NOT(ISNUMBER(G708))),N(G708)&lt;0,N(G708)&lt;&gt;INT(N(G708)),AND(H708&lt;&gt;"",NOT(ISNUMBER(H708))),N(H708)&lt;0,N(H708)&lt;&gt;INT(N(H708)),AND(I708&lt;&gt;"",NOT(ISNUMBER(I708))),N(I708)&lt;0,N(I708)&lt;&gt;INT(N(I708))),"Quantité invalide",IF(Q708&lt;=0,"Cadence manquante (poste ou article)",IF(M708&lt;=0,"Arrêts planifiés supérieurs au temps d'ouverture",IF(O708&lt;0,"Arrêts supérieurs au temps requis",IF(AND(P708&gt;0,O708=0),"Pièces déclarées sans temps de marche",IF(AND(P708=0,O708&gt;0),"Aucune pièce déclarée",IF(P708*60/Q708&gt;O708+0.001,"Cadence dépassée : vérifiez la cadence","OK"))))))))))))))))))</f>
        <v/>
      </c>
      <c r="AC708">
        <f>IF(OR(AB708="OK",AB708="Aucune pièce déclarée",AB708="Cadence dépassée : vérifiez la cadence"),1,0)</f>
        <v>0.0</v>
      </c>
      <c r="AD708">
        <f>IF(AND(AC708=1,A708&gt;=p_from,A708&lt;=p_to),1,0)</f>
        <v>0.0</v>
      </c>
      <c r="AE708">
        <f>IF(AD708=1,IF(COUNTIFS($A$6:A708,A708,$AD$6:AD708,1)=1,1,0),0)</f>
        <v>0.0</v>
      </c>
      <c r="AF708" t="str">
        <f>IF(AE708=1,COUNTIFS(sj_first,1,sj_date,"&lt;"&amp;A708)+1,"")</f>
        <v/>
      </c>
      <c r="AG708" t="str">
        <f>IF(AND(AD708=1,N(W708)&lt;p_alert),ROUND(W708,4),"")</f>
        <v/>
      </c>
      <c r="AH708" t="str">
        <f>IF(AG708="","",COUNTIF(sj_akey,"&lt;"&amp;AG708)+COUNTIF($AG$6:AG708,AG708))</f>
        <v/>
      </c>
    </row>
    <row r="709">
      <c r="A709" s="51" t="n"/>
      <c r="B709" s="52" t="n"/>
      <c r="C709" s="52" t="n"/>
      <c r="D709" s="53" t="n"/>
      <c r="E709" s="53" t="n"/>
      <c r="F709" s="54" t="n"/>
      <c r="G709" s="54" t="n"/>
      <c r="H709" s="54" t="n"/>
      <c r="I709" s="54" t="n"/>
      <c r="J709" s="53" t="n"/>
      <c r="K709" s="55" t="str">
        <f>IF(COUNTA(A709:I709)=0,"",IF(F709="",IFERROR(INDEX(eq_dur,MATCH(B709,eq_code,0)),""),F709))</f>
        <v/>
      </c>
      <c r="L709" s="55" t="str">
        <f>IF(ISNUMBER(K709),N(IFERROR(INDEX(eq_pause,MATCH(B709,eq_code,0)),0))+SUMIFS(st_min,st_date,A709,st_eq,B709,st_po,C709,st_type,"Planifié"),"")</f>
        <v/>
      </c>
      <c r="M709" s="55" t="str">
        <f>IF(ISNUMBER(K709),K709-L709,"")</f>
        <v/>
      </c>
      <c r="N709" s="55" t="str">
        <f>IF(ISNUMBER(K709),SUMIFS(st_min,st_date,A709,st_eq,B709,st_po,C709,st_type,"Non planifié"),"")</f>
        <v/>
      </c>
      <c r="O709" s="55" t="str">
        <f>IF(ISNUMBER(K709),M709-N709,"")</f>
        <v/>
      </c>
      <c r="P709" s="55" t="str">
        <f>IF(COUNTA(A709:I709)=0,"",N(G709)+N(H709)+N(I709))</f>
        <v/>
      </c>
      <c r="Q709" s="56" t="str">
        <f>IF(COUNTA(A709:I709)=0,"",IF(N(IFERROR(INDEX(art_rate,MATCH(E709,art_ref,0)),0))&gt;0,N(IFERROR(INDEX(art_rate,MATCH(E709,art_ref,0)),0)),N(IFERROR(INDEX(po_rate,MATCH(C709,po_code,0)),0))))</f>
        <v/>
      </c>
      <c r="R709" s="55" t="str">
        <f>IF(AC709=1,P709*60/Q709,"")</f>
        <v/>
      </c>
      <c r="S709" s="55" t="str">
        <f>IF(AC709=1,N(G709)*60/Q709,"")</f>
        <v/>
      </c>
      <c r="T709" s="57" t="str">
        <f>IF(AC709=1,O709/M709,"")</f>
        <v/>
      </c>
      <c r="U709" s="57" t="str">
        <f>IF(AC709=1,IF(O709&gt;0,R709/O709,""),"")</f>
        <v/>
      </c>
      <c r="V709" s="57" t="str">
        <f>IF(AC709=1,IF(P709&gt;0,N(G709)/P709,""),"")</f>
        <v/>
      </c>
      <c r="W709" s="57" t="str">
        <f>IF(AC709=1,S709/M709,"")</f>
        <v/>
      </c>
      <c r="X709" s="57" t="str">
        <f>IF(AC709=1,S709/K709,"")</f>
        <v/>
      </c>
      <c r="Y709" s="58" t="str">
        <f>IF(W709="","",IF(W709&gt;=p_target,"Bon",IF(W709&gt;=p_alert,"À surveiller","Faible")))</f>
        <v/>
      </c>
      <c r="Z709" s="58" t="str">
        <f>IF(W709="","",IF(MIN(IF(T709="",1,T709),IF(U709="",1,U709),IF(V709="",1,V709))&gt;=1,"Aucune",IF(IF(T709="",1,T709)&lt;=MIN(IF(U709="",1,U709),IF(V709="",1,V709)),"Disponibilité",IF(IF(U709="",1,U709)&lt;=IF(V709="",1,V709),"Performance","Qualité"))))</f>
        <v/>
      </c>
      <c r="AA709" s="59" t="str">
        <f>IF(AC709=1,N(H709)*N(IFERROR(INDEX(art_cost,MATCH(E709,art_ref,0)),0)),"")</f>
        <v/>
      </c>
      <c r="AB709" s="58" t="str">
        <f>IF(COUNTA(A709:I709)=0,"",IF(N(A709)&lt;=0,"Date manquante ou invalide",IF(B709="","Équipe manquante",IF(ISNA(MATCH(B709,eq_code,0)),"Équipe inconnue",IF(INDEX(eq_check,MATCH(B709,eq_code,0))&lt;&gt;"OK","Équipe à corriger dans Paramètres",IF(C709="","Poste manquant",IF(ISNA(MATCH(C709,po_code,0)),"Poste inconnu",IF(AND(E709&lt;&gt;"",ISNA(MATCH(E709,art_ref,0))),"Article inconnu",IF(IF(E709="",FALSE,INDEX(art_check,MATCH(E709,art_ref,0))&lt;&gt;"OK"),"Article à corriger (feuille Articles)",IF(COUNTIFS(sj_date,A709,sj_eq,B709,sj_po,C709)&gt;1,"Ligne en double (même jour, équipe et poste)",IF(OR(NOT(ISNUMBER(K709)),N(K709)&lt;=0,N(K709)&gt;1440),"Temps d'ouverture invalide",IF(OR(AND(G709&lt;&gt;"",NOT(ISNUMBER(G709))),N(G709)&lt;0,N(G709)&lt;&gt;INT(N(G709)),AND(H709&lt;&gt;"",NOT(ISNUMBER(H709))),N(H709)&lt;0,N(H709)&lt;&gt;INT(N(H709)),AND(I709&lt;&gt;"",NOT(ISNUMBER(I709))),N(I709)&lt;0,N(I709)&lt;&gt;INT(N(I709))),"Quantité invalide",IF(Q709&lt;=0,"Cadence manquante (poste ou article)",IF(M709&lt;=0,"Arrêts planifiés supérieurs au temps d'ouverture",IF(O709&lt;0,"Arrêts supérieurs au temps requis",IF(AND(P709&gt;0,O709=0),"Pièces déclarées sans temps de marche",IF(AND(P709=0,O709&gt;0),"Aucune pièce déclarée",IF(P709*60/Q709&gt;O709+0.001,"Cadence dépassée : vérifiez la cadence","OK"))))))))))))))))))</f>
        <v/>
      </c>
      <c r="AC709">
        <f>IF(OR(AB709="OK",AB709="Aucune pièce déclarée",AB709="Cadence dépassée : vérifiez la cadence"),1,0)</f>
        <v>0.0</v>
      </c>
      <c r="AD709">
        <f>IF(AND(AC709=1,A709&gt;=p_from,A709&lt;=p_to),1,0)</f>
        <v>0.0</v>
      </c>
      <c r="AE709">
        <f>IF(AD709=1,IF(COUNTIFS($A$6:A709,A709,$AD$6:AD709,1)=1,1,0),0)</f>
        <v>0.0</v>
      </c>
      <c r="AF709" t="str">
        <f>IF(AE709=1,COUNTIFS(sj_first,1,sj_date,"&lt;"&amp;A709)+1,"")</f>
        <v/>
      </c>
      <c r="AG709" t="str">
        <f>IF(AND(AD709=1,N(W709)&lt;p_alert),ROUND(W709,4),"")</f>
        <v/>
      </c>
      <c r="AH709" t="str">
        <f>IF(AG709="","",COUNTIF(sj_akey,"&lt;"&amp;AG709)+COUNTIF($AG$6:AG709,AG709))</f>
        <v/>
      </c>
    </row>
    <row r="710">
      <c r="A710" s="51" t="n"/>
      <c r="B710" s="52" t="n"/>
      <c r="C710" s="52" t="n"/>
      <c r="D710" s="53" t="n"/>
      <c r="E710" s="53" t="n"/>
      <c r="F710" s="54" t="n"/>
      <c r="G710" s="54" t="n"/>
      <c r="H710" s="54" t="n"/>
      <c r="I710" s="54" t="n"/>
      <c r="J710" s="53" t="n"/>
      <c r="K710" s="55" t="str">
        <f>IF(COUNTA(A710:I710)=0,"",IF(F710="",IFERROR(INDEX(eq_dur,MATCH(B710,eq_code,0)),""),F710))</f>
        <v/>
      </c>
      <c r="L710" s="55" t="str">
        <f>IF(ISNUMBER(K710),N(IFERROR(INDEX(eq_pause,MATCH(B710,eq_code,0)),0))+SUMIFS(st_min,st_date,A710,st_eq,B710,st_po,C710,st_type,"Planifié"),"")</f>
        <v/>
      </c>
      <c r="M710" s="55" t="str">
        <f>IF(ISNUMBER(K710),K710-L710,"")</f>
        <v/>
      </c>
      <c r="N710" s="55" t="str">
        <f>IF(ISNUMBER(K710),SUMIFS(st_min,st_date,A710,st_eq,B710,st_po,C710,st_type,"Non planifié"),"")</f>
        <v/>
      </c>
      <c r="O710" s="55" t="str">
        <f>IF(ISNUMBER(K710),M710-N710,"")</f>
        <v/>
      </c>
      <c r="P710" s="55" t="str">
        <f>IF(COUNTA(A710:I710)=0,"",N(G710)+N(H710)+N(I710))</f>
        <v/>
      </c>
      <c r="Q710" s="56" t="str">
        <f>IF(COUNTA(A710:I710)=0,"",IF(N(IFERROR(INDEX(art_rate,MATCH(E710,art_ref,0)),0))&gt;0,N(IFERROR(INDEX(art_rate,MATCH(E710,art_ref,0)),0)),N(IFERROR(INDEX(po_rate,MATCH(C710,po_code,0)),0))))</f>
        <v/>
      </c>
      <c r="R710" s="55" t="str">
        <f>IF(AC710=1,P710*60/Q710,"")</f>
        <v/>
      </c>
      <c r="S710" s="55" t="str">
        <f>IF(AC710=1,N(G710)*60/Q710,"")</f>
        <v/>
      </c>
      <c r="T710" s="57" t="str">
        <f>IF(AC710=1,O710/M710,"")</f>
        <v/>
      </c>
      <c r="U710" s="57" t="str">
        <f>IF(AC710=1,IF(O710&gt;0,R710/O710,""),"")</f>
        <v/>
      </c>
      <c r="V710" s="57" t="str">
        <f>IF(AC710=1,IF(P710&gt;0,N(G710)/P710,""),"")</f>
        <v/>
      </c>
      <c r="W710" s="57" t="str">
        <f>IF(AC710=1,S710/M710,"")</f>
        <v/>
      </c>
      <c r="X710" s="57" t="str">
        <f>IF(AC710=1,S710/K710,"")</f>
        <v/>
      </c>
      <c r="Y710" s="58" t="str">
        <f>IF(W710="","",IF(W710&gt;=p_target,"Bon",IF(W710&gt;=p_alert,"À surveiller","Faible")))</f>
        <v/>
      </c>
      <c r="Z710" s="58" t="str">
        <f>IF(W710="","",IF(MIN(IF(T710="",1,T710),IF(U710="",1,U710),IF(V710="",1,V710))&gt;=1,"Aucune",IF(IF(T710="",1,T710)&lt;=MIN(IF(U710="",1,U710),IF(V710="",1,V710)),"Disponibilité",IF(IF(U710="",1,U710)&lt;=IF(V710="",1,V710),"Performance","Qualité"))))</f>
        <v/>
      </c>
      <c r="AA710" s="59" t="str">
        <f>IF(AC710=1,N(H710)*N(IFERROR(INDEX(art_cost,MATCH(E710,art_ref,0)),0)),"")</f>
        <v/>
      </c>
      <c r="AB710" s="58" t="str">
        <f>IF(COUNTA(A710:I710)=0,"",IF(N(A710)&lt;=0,"Date manquante ou invalide",IF(B710="","Équipe manquante",IF(ISNA(MATCH(B710,eq_code,0)),"Équipe inconnue",IF(INDEX(eq_check,MATCH(B710,eq_code,0))&lt;&gt;"OK","Équipe à corriger dans Paramètres",IF(C710="","Poste manquant",IF(ISNA(MATCH(C710,po_code,0)),"Poste inconnu",IF(AND(E710&lt;&gt;"",ISNA(MATCH(E710,art_ref,0))),"Article inconnu",IF(IF(E710="",FALSE,INDEX(art_check,MATCH(E710,art_ref,0))&lt;&gt;"OK"),"Article à corriger (feuille Articles)",IF(COUNTIFS(sj_date,A710,sj_eq,B710,sj_po,C710)&gt;1,"Ligne en double (même jour, équipe et poste)",IF(OR(NOT(ISNUMBER(K710)),N(K710)&lt;=0,N(K710)&gt;1440),"Temps d'ouverture invalide",IF(OR(AND(G710&lt;&gt;"",NOT(ISNUMBER(G710))),N(G710)&lt;0,N(G710)&lt;&gt;INT(N(G710)),AND(H710&lt;&gt;"",NOT(ISNUMBER(H710))),N(H710)&lt;0,N(H710)&lt;&gt;INT(N(H710)),AND(I710&lt;&gt;"",NOT(ISNUMBER(I710))),N(I710)&lt;0,N(I710)&lt;&gt;INT(N(I710))),"Quantité invalide",IF(Q710&lt;=0,"Cadence manquante (poste ou article)",IF(M710&lt;=0,"Arrêts planifiés supérieurs au temps d'ouverture",IF(O710&lt;0,"Arrêts supérieurs au temps requis",IF(AND(P710&gt;0,O710=0),"Pièces déclarées sans temps de marche",IF(AND(P710=0,O710&gt;0),"Aucune pièce déclarée",IF(P710*60/Q710&gt;O710+0.001,"Cadence dépassée : vérifiez la cadence","OK"))))))))))))))))))</f>
        <v/>
      </c>
      <c r="AC710">
        <f>IF(OR(AB710="OK",AB710="Aucune pièce déclarée",AB710="Cadence dépassée : vérifiez la cadence"),1,0)</f>
        <v>0.0</v>
      </c>
      <c r="AD710">
        <f>IF(AND(AC710=1,A710&gt;=p_from,A710&lt;=p_to),1,0)</f>
        <v>0.0</v>
      </c>
      <c r="AE710">
        <f>IF(AD710=1,IF(COUNTIFS($A$6:A710,A710,$AD$6:AD710,1)=1,1,0),0)</f>
        <v>0.0</v>
      </c>
      <c r="AF710" t="str">
        <f>IF(AE710=1,COUNTIFS(sj_first,1,sj_date,"&lt;"&amp;A710)+1,"")</f>
        <v/>
      </c>
      <c r="AG710" t="str">
        <f>IF(AND(AD710=1,N(W710)&lt;p_alert),ROUND(W710,4),"")</f>
        <v/>
      </c>
      <c r="AH710" t="str">
        <f>IF(AG710="","",COUNTIF(sj_akey,"&lt;"&amp;AG710)+COUNTIF($AG$6:AG710,AG710))</f>
        <v/>
      </c>
    </row>
    <row r="711">
      <c r="A711" s="51" t="n"/>
      <c r="B711" s="52" t="n"/>
      <c r="C711" s="52" t="n"/>
      <c r="D711" s="53" t="n"/>
      <c r="E711" s="53" t="n"/>
      <c r="F711" s="54" t="n"/>
      <c r="G711" s="54" t="n"/>
      <c r="H711" s="54" t="n"/>
      <c r="I711" s="54" t="n"/>
      <c r="J711" s="53" t="n"/>
      <c r="K711" s="55" t="str">
        <f>IF(COUNTA(A711:I711)=0,"",IF(F711="",IFERROR(INDEX(eq_dur,MATCH(B711,eq_code,0)),""),F711))</f>
        <v/>
      </c>
      <c r="L711" s="55" t="str">
        <f>IF(ISNUMBER(K711),N(IFERROR(INDEX(eq_pause,MATCH(B711,eq_code,0)),0))+SUMIFS(st_min,st_date,A711,st_eq,B711,st_po,C711,st_type,"Planifié"),"")</f>
        <v/>
      </c>
      <c r="M711" s="55" t="str">
        <f>IF(ISNUMBER(K711),K711-L711,"")</f>
        <v/>
      </c>
      <c r="N711" s="55" t="str">
        <f>IF(ISNUMBER(K711),SUMIFS(st_min,st_date,A711,st_eq,B711,st_po,C711,st_type,"Non planifié"),"")</f>
        <v/>
      </c>
      <c r="O711" s="55" t="str">
        <f>IF(ISNUMBER(K711),M711-N711,"")</f>
        <v/>
      </c>
      <c r="P711" s="55" t="str">
        <f>IF(COUNTA(A711:I711)=0,"",N(G711)+N(H711)+N(I711))</f>
        <v/>
      </c>
      <c r="Q711" s="56" t="str">
        <f>IF(COUNTA(A711:I711)=0,"",IF(N(IFERROR(INDEX(art_rate,MATCH(E711,art_ref,0)),0))&gt;0,N(IFERROR(INDEX(art_rate,MATCH(E711,art_ref,0)),0)),N(IFERROR(INDEX(po_rate,MATCH(C711,po_code,0)),0))))</f>
        <v/>
      </c>
      <c r="R711" s="55" t="str">
        <f>IF(AC711=1,P711*60/Q711,"")</f>
        <v/>
      </c>
      <c r="S711" s="55" t="str">
        <f>IF(AC711=1,N(G711)*60/Q711,"")</f>
        <v/>
      </c>
      <c r="T711" s="57" t="str">
        <f>IF(AC711=1,O711/M711,"")</f>
        <v/>
      </c>
      <c r="U711" s="57" t="str">
        <f>IF(AC711=1,IF(O711&gt;0,R711/O711,""),"")</f>
        <v/>
      </c>
      <c r="V711" s="57" t="str">
        <f>IF(AC711=1,IF(P711&gt;0,N(G711)/P711,""),"")</f>
        <v/>
      </c>
      <c r="W711" s="57" t="str">
        <f>IF(AC711=1,S711/M711,"")</f>
        <v/>
      </c>
      <c r="X711" s="57" t="str">
        <f>IF(AC711=1,S711/K711,"")</f>
        <v/>
      </c>
      <c r="Y711" s="58" t="str">
        <f>IF(W711="","",IF(W711&gt;=p_target,"Bon",IF(W711&gt;=p_alert,"À surveiller","Faible")))</f>
        <v/>
      </c>
      <c r="Z711" s="58" t="str">
        <f>IF(W711="","",IF(MIN(IF(T711="",1,T711),IF(U711="",1,U711),IF(V711="",1,V711))&gt;=1,"Aucune",IF(IF(T711="",1,T711)&lt;=MIN(IF(U711="",1,U711),IF(V711="",1,V711)),"Disponibilité",IF(IF(U711="",1,U711)&lt;=IF(V711="",1,V711),"Performance","Qualité"))))</f>
        <v/>
      </c>
      <c r="AA711" s="59" t="str">
        <f>IF(AC711=1,N(H711)*N(IFERROR(INDEX(art_cost,MATCH(E711,art_ref,0)),0)),"")</f>
        <v/>
      </c>
      <c r="AB711" s="58" t="str">
        <f>IF(COUNTA(A711:I711)=0,"",IF(N(A711)&lt;=0,"Date manquante ou invalide",IF(B711="","Équipe manquante",IF(ISNA(MATCH(B711,eq_code,0)),"Équipe inconnue",IF(INDEX(eq_check,MATCH(B711,eq_code,0))&lt;&gt;"OK","Équipe à corriger dans Paramètres",IF(C711="","Poste manquant",IF(ISNA(MATCH(C711,po_code,0)),"Poste inconnu",IF(AND(E711&lt;&gt;"",ISNA(MATCH(E711,art_ref,0))),"Article inconnu",IF(IF(E711="",FALSE,INDEX(art_check,MATCH(E711,art_ref,0))&lt;&gt;"OK"),"Article à corriger (feuille Articles)",IF(COUNTIFS(sj_date,A711,sj_eq,B711,sj_po,C711)&gt;1,"Ligne en double (même jour, équipe et poste)",IF(OR(NOT(ISNUMBER(K711)),N(K711)&lt;=0,N(K711)&gt;1440),"Temps d'ouverture invalide",IF(OR(AND(G711&lt;&gt;"",NOT(ISNUMBER(G711))),N(G711)&lt;0,N(G711)&lt;&gt;INT(N(G711)),AND(H711&lt;&gt;"",NOT(ISNUMBER(H711))),N(H711)&lt;0,N(H711)&lt;&gt;INT(N(H711)),AND(I711&lt;&gt;"",NOT(ISNUMBER(I711))),N(I711)&lt;0,N(I711)&lt;&gt;INT(N(I711))),"Quantité invalide",IF(Q711&lt;=0,"Cadence manquante (poste ou article)",IF(M711&lt;=0,"Arrêts planifiés supérieurs au temps d'ouverture",IF(O711&lt;0,"Arrêts supérieurs au temps requis",IF(AND(P711&gt;0,O711=0),"Pièces déclarées sans temps de marche",IF(AND(P711=0,O711&gt;0),"Aucune pièce déclarée",IF(P711*60/Q711&gt;O711+0.001,"Cadence dépassée : vérifiez la cadence","OK"))))))))))))))))))</f>
        <v/>
      </c>
      <c r="AC711">
        <f>IF(OR(AB711="OK",AB711="Aucune pièce déclarée",AB711="Cadence dépassée : vérifiez la cadence"),1,0)</f>
        <v>0.0</v>
      </c>
      <c r="AD711">
        <f>IF(AND(AC711=1,A711&gt;=p_from,A711&lt;=p_to),1,0)</f>
        <v>0.0</v>
      </c>
      <c r="AE711">
        <f>IF(AD711=1,IF(COUNTIFS($A$6:A711,A711,$AD$6:AD711,1)=1,1,0),0)</f>
        <v>0.0</v>
      </c>
      <c r="AF711" t="str">
        <f>IF(AE711=1,COUNTIFS(sj_first,1,sj_date,"&lt;"&amp;A711)+1,"")</f>
        <v/>
      </c>
      <c r="AG711" t="str">
        <f>IF(AND(AD711=1,N(W711)&lt;p_alert),ROUND(W711,4),"")</f>
        <v/>
      </c>
      <c r="AH711" t="str">
        <f>IF(AG711="","",COUNTIF(sj_akey,"&lt;"&amp;AG711)+COUNTIF($AG$6:AG711,AG711))</f>
        <v/>
      </c>
    </row>
    <row r="712">
      <c r="A712" s="51" t="n"/>
      <c r="B712" s="52" t="n"/>
      <c r="C712" s="52" t="n"/>
      <c r="D712" s="53" t="n"/>
      <c r="E712" s="53" t="n"/>
      <c r="F712" s="54" t="n"/>
      <c r="G712" s="54" t="n"/>
      <c r="H712" s="54" t="n"/>
      <c r="I712" s="54" t="n"/>
      <c r="J712" s="53" t="n"/>
      <c r="K712" s="55" t="str">
        <f>IF(COUNTA(A712:I712)=0,"",IF(F712="",IFERROR(INDEX(eq_dur,MATCH(B712,eq_code,0)),""),F712))</f>
        <v/>
      </c>
      <c r="L712" s="55" t="str">
        <f>IF(ISNUMBER(K712),N(IFERROR(INDEX(eq_pause,MATCH(B712,eq_code,0)),0))+SUMIFS(st_min,st_date,A712,st_eq,B712,st_po,C712,st_type,"Planifié"),"")</f>
        <v/>
      </c>
      <c r="M712" s="55" t="str">
        <f>IF(ISNUMBER(K712),K712-L712,"")</f>
        <v/>
      </c>
      <c r="N712" s="55" t="str">
        <f>IF(ISNUMBER(K712),SUMIFS(st_min,st_date,A712,st_eq,B712,st_po,C712,st_type,"Non planifié"),"")</f>
        <v/>
      </c>
      <c r="O712" s="55" t="str">
        <f>IF(ISNUMBER(K712),M712-N712,"")</f>
        <v/>
      </c>
      <c r="P712" s="55" t="str">
        <f>IF(COUNTA(A712:I712)=0,"",N(G712)+N(H712)+N(I712))</f>
        <v/>
      </c>
      <c r="Q712" s="56" t="str">
        <f>IF(COUNTA(A712:I712)=0,"",IF(N(IFERROR(INDEX(art_rate,MATCH(E712,art_ref,0)),0))&gt;0,N(IFERROR(INDEX(art_rate,MATCH(E712,art_ref,0)),0)),N(IFERROR(INDEX(po_rate,MATCH(C712,po_code,0)),0))))</f>
        <v/>
      </c>
      <c r="R712" s="55" t="str">
        <f>IF(AC712=1,P712*60/Q712,"")</f>
        <v/>
      </c>
      <c r="S712" s="55" t="str">
        <f>IF(AC712=1,N(G712)*60/Q712,"")</f>
        <v/>
      </c>
      <c r="T712" s="57" t="str">
        <f>IF(AC712=1,O712/M712,"")</f>
        <v/>
      </c>
      <c r="U712" s="57" t="str">
        <f>IF(AC712=1,IF(O712&gt;0,R712/O712,""),"")</f>
        <v/>
      </c>
      <c r="V712" s="57" t="str">
        <f>IF(AC712=1,IF(P712&gt;0,N(G712)/P712,""),"")</f>
        <v/>
      </c>
      <c r="W712" s="57" t="str">
        <f>IF(AC712=1,S712/M712,"")</f>
        <v/>
      </c>
      <c r="X712" s="57" t="str">
        <f>IF(AC712=1,S712/K712,"")</f>
        <v/>
      </c>
      <c r="Y712" s="58" t="str">
        <f>IF(W712="","",IF(W712&gt;=p_target,"Bon",IF(W712&gt;=p_alert,"À surveiller","Faible")))</f>
        <v/>
      </c>
      <c r="Z712" s="58" t="str">
        <f>IF(W712="","",IF(MIN(IF(T712="",1,T712),IF(U712="",1,U712),IF(V712="",1,V712))&gt;=1,"Aucune",IF(IF(T712="",1,T712)&lt;=MIN(IF(U712="",1,U712),IF(V712="",1,V712)),"Disponibilité",IF(IF(U712="",1,U712)&lt;=IF(V712="",1,V712),"Performance","Qualité"))))</f>
        <v/>
      </c>
      <c r="AA712" s="59" t="str">
        <f>IF(AC712=1,N(H712)*N(IFERROR(INDEX(art_cost,MATCH(E712,art_ref,0)),0)),"")</f>
        <v/>
      </c>
      <c r="AB712" s="58" t="str">
        <f>IF(COUNTA(A712:I712)=0,"",IF(N(A712)&lt;=0,"Date manquante ou invalide",IF(B712="","Équipe manquante",IF(ISNA(MATCH(B712,eq_code,0)),"Équipe inconnue",IF(INDEX(eq_check,MATCH(B712,eq_code,0))&lt;&gt;"OK","Équipe à corriger dans Paramètres",IF(C712="","Poste manquant",IF(ISNA(MATCH(C712,po_code,0)),"Poste inconnu",IF(AND(E712&lt;&gt;"",ISNA(MATCH(E712,art_ref,0))),"Article inconnu",IF(IF(E712="",FALSE,INDEX(art_check,MATCH(E712,art_ref,0))&lt;&gt;"OK"),"Article à corriger (feuille Articles)",IF(COUNTIFS(sj_date,A712,sj_eq,B712,sj_po,C712)&gt;1,"Ligne en double (même jour, équipe et poste)",IF(OR(NOT(ISNUMBER(K712)),N(K712)&lt;=0,N(K712)&gt;1440),"Temps d'ouverture invalide",IF(OR(AND(G712&lt;&gt;"",NOT(ISNUMBER(G712))),N(G712)&lt;0,N(G712)&lt;&gt;INT(N(G712)),AND(H712&lt;&gt;"",NOT(ISNUMBER(H712))),N(H712)&lt;0,N(H712)&lt;&gt;INT(N(H712)),AND(I712&lt;&gt;"",NOT(ISNUMBER(I712))),N(I712)&lt;0,N(I712)&lt;&gt;INT(N(I712))),"Quantité invalide",IF(Q712&lt;=0,"Cadence manquante (poste ou article)",IF(M712&lt;=0,"Arrêts planifiés supérieurs au temps d'ouverture",IF(O712&lt;0,"Arrêts supérieurs au temps requis",IF(AND(P712&gt;0,O712=0),"Pièces déclarées sans temps de marche",IF(AND(P712=0,O712&gt;0),"Aucune pièce déclarée",IF(P712*60/Q712&gt;O712+0.001,"Cadence dépassée : vérifiez la cadence","OK"))))))))))))))))))</f>
        <v/>
      </c>
      <c r="AC712">
        <f>IF(OR(AB712="OK",AB712="Aucune pièce déclarée",AB712="Cadence dépassée : vérifiez la cadence"),1,0)</f>
        <v>0.0</v>
      </c>
      <c r="AD712">
        <f>IF(AND(AC712=1,A712&gt;=p_from,A712&lt;=p_to),1,0)</f>
        <v>0.0</v>
      </c>
      <c r="AE712">
        <f>IF(AD712=1,IF(COUNTIFS($A$6:A712,A712,$AD$6:AD712,1)=1,1,0),0)</f>
        <v>0.0</v>
      </c>
      <c r="AF712" t="str">
        <f>IF(AE712=1,COUNTIFS(sj_first,1,sj_date,"&lt;"&amp;A712)+1,"")</f>
        <v/>
      </c>
      <c r="AG712" t="str">
        <f>IF(AND(AD712=1,N(W712)&lt;p_alert),ROUND(W712,4),"")</f>
        <v/>
      </c>
      <c r="AH712" t="str">
        <f>IF(AG712="","",COUNTIF(sj_akey,"&lt;"&amp;AG712)+COUNTIF($AG$6:AG712,AG712))</f>
        <v/>
      </c>
    </row>
    <row r="713">
      <c r="A713" s="51" t="n"/>
      <c r="B713" s="52" t="n"/>
      <c r="C713" s="52" t="n"/>
      <c r="D713" s="53" t="n"/>
      <c r="E713" s="53" t="n"/>
      <c r="F713" s="54" t="n"/>
      <c r="G713" s="54" t="n"/>
      <c r="H713" s="54" t="n"/>
      <c r="I713" s="54" t="n"/>
      <c r="J713" s="53" t="n"/>
      <c r="K713" s="55" t="str">
        <f>IF(COUNTA(A713:I713)=0,"",IF(F713="",IFERROR(INDEX(eq_dur,MATCH(B713,eq_code,0)),""),F713))</f>
        <v/>
      </c>
      <c r="L713" s="55" t="str">
        <f>IF(ISNUMBER(K713),N(IFERROR(INDEX(eq_pause,MATCH(B713,eq_code,0)),0))+SUMIFS(st_min,st_date,A713,st_eq,B713,st_po,C713,st_type,"Planifié"),"")</f>
        <v/>
      </c>
      <c r="M713" s="55" t="str">
        <f>IF(ISNUMBER(K713),K713-L713,"")</f>
        <v/>
      </c>
      <c r="N713" s="55" t="str">
        <f>IF(ISNUMBER(K713),SUMIFS(st_min,st_date,A713,st_eq,B713,st_po,C713,st_type,"Non planifié"),"")</f>
        <v/>
      </c>
      <c r="O713" s="55" t="str">
        <f>IF(ISNUMBER(K713),M713-N713,"")</f>
        <v/>
      </c>
      <c r="P713" s="55" t="str">
        <f>IF(COUNTA(A713:I713)=0,"",N(G713)+N(H713)+N(I713))</f>
        <v/>
      </c>
      <c r="Q713" s="56" t="str">
        <f>IF(COUNTA(A713:I713)=0,"",IF(N(IFERROR(INDEX(art_rate,MATCH(E713,art_ref,0)),0))&gt;0,N(IFERROR(INDEX(art_rate,MATCH(E713,art_ref,0)),0)),N(IFERROR(INDEX(po_rate,MATCH(C713,po_code,0)),0))))</f>
        <v/>
      </c>
      <c r="R713" s="55" t="str">
        <f>IF(AC713=1,P713*60/Q713,"")</f>
        <v/>
      </c>
      <c r="S713" s="55" t="str">
        <f>IF(AC713=1,N(G713)*60/Q713,"")</f>
        <v/>
      </c>
      <c r="T713" s="57" t="str">
        <f>IF(AC713=1,O713/M713,"")</f>
        <v/>
      </c>
      <c r="U713" s="57" t="str">
        <f>IF(AC713=1,IF(O713&gt;0,R713/O713,""),"")</f>
        <v/>
      </c>
      <c r="V713" s="57" t="str">
        <f>IF(AC713=1,IF(P713&gt;0,N(G713)/P713,""),"")</f>
        <v/>
      </c>
      <c r="W713" s="57" t="str">
        <f>IF(AC713=1,S713/M713,"")</f>
        <v/>
      </c>
      <c r="X713" s="57" t="str">
        <f>IF(AC713=1,S713/K713,"")</f>
        <v/>
      </c>
      <c r="Y713" s="58" t="str">
        <f>IF(W713="","",IF(W713&gt;=p_target,"Bon",IF(W713&gt;=p_alert,"À surveiller","Faible")))</f>
        <v/>
      </c>
      <c r="Z713" s="58" t="str">
        <f>IF(W713="","",IF(MIN(IF(T713="",1,T713),IF(U713="",1,U713),IF(V713="",1,V713))&gt;=1,"Aucune",IF(IF(T713="",1,T713)&lt;=MIN(IF(U713="",1,U713),IF(V713="",1,V713)),"Disponibilité",IF(IF(U713="",1,U713)&lt;=IF(V713="",1,V713),"Performance","Qualité"))))</f>
        <v/>
      </c>
      <c r="AA713" s="59" t="str">
        <f>IF(AC713=1,N(H713)*N(IFERROR(INDEX(art_cost,MATCH(E713,art_ref,0)),0)),"")</f>
        <v/>
      </c>
      <c r="AB713" s="58" t="str">
        <f>IF(COUNTA(A713:I713)=0,"",IF(N(A713)&lt;=0,"Date manquante ou invalide",IF(B713="","Équipe manquante",IF(ISNA(MATCH(B713,eq_code,0)),"Équipe inconnue",IF(INDEX(eq_check,MATCH(B713,eq_code,0))&lt;&gt;"OK","Équipe à corriger dans Paramètres",IF(C713="","Poste manquant",IF(ISNA(MATCH(C713,po_code,0)),"Poste inconnu",IF(AND(E713&lt;&gt;"",ISNA(MATCH(E713,art_ref,0))),"Article inconnu",IF(IF(E713="",FALSE,INDEX(art_check,MATCH(E713,art_ref,0))&lt;&gt;"OK"),"Article à corriger (feuille Articles)",IF(COUNTIFS(sj_date,A713,sj_eq,B713,sj_po,C713)&gt;1,"Ligne en double (même jour, équipe et poste)",IF(OR(NOT(ISNUMBER(K713)),N(K713)&lt;=0,N(K713)&gt;1440),"Temps d'ouverture invalide",IF(OR(AND(G713&lt;&gt;"",NOT(ISNUMBER(G713))),N(G713)&lt;0,N(G713)&lt;&gt;INT(N(G713)),AND(H713&lt;&gt;"",NOT(ISNUMBER(H713))),N(H713)&lt;0,N(H713)&lt;&gt;INT(N(H713)),AND(I713&lt;&gt;"",NOT(ISNUMBER(I713))),N(I713)&lt;0,N(I713)&lt;&gt;INT(N(I713))),"Quantité invalide",IF(Q713&lt;=0,"Cadence manquante (poste ou article)",IF(M713&lt;=0,"Arrêts planifiés supérieurs au temps d'ouverture",IF(O713&lt;0,"Arrêts supérieurs au temps requis",IF(AND(P713&gt;0,O713=0),"Pièces déclarées sans temps de marche",IF(AND(P713=0,O713&gt;0),"Aucune pièce déclarée",IF(P713*60/Q713&gt;O713+0.001,"Cadence dépassée : vérifiez la cadence","OK"))))))))))))))))))</f>
        <v/>
      </c>
      <c r="AC713">
        <f>IF(OR(AB713="OK",AB713="Aucune pièce déclarée",AB713="Cadence dépassée : vérifiez la cadence"),1,0)</f>
        <v>0.0</v>
      </c>
      <c r="AD713">
        <f>IF(AND(AC713=1,A713&gt;=p_from,A713&lt;=p_to),1,0)</f>
        <v>0.0</v>
      </c>
      <c r="AE713">
        <f>IF(AD713=1,IF(COUNTIFS($A$6:A713,A713,$AD$6:AD713,1)=1,1,0),0)</f>
        <v>0.0</v>
      </c>
      <c r="AF713" t="str">
        <f>IF(AE713=1,COUNTIFS(sj_first,1,sj_date,"&lt;"&amp;A713)+1,"")</f>
        <v/>
      </c>
      <c r="AG713" t="str">
        <f>IF(AND(AD713=1,N(W713)&lt;p_alert),ROUND(W713,4),"")</f>
        <v/>
      </c>
      <c r="AH713" t="str">
        <f>IF(AG713="","",COUNTIF(sj_akey,"&lt;"&amp;AG713)+COUNTIF($AG$6:AG713,AG713))</f>
        <v/>
      </c>
    </row>
    <row r="714">
      <c r="A714" s="51" t="n"/>
      <c r="B714" s="52" t="n"/>
      <c r="C714" s="52" t="n"/>
      <c r="D714" s="53" t="n"/>
      <c r="E714" s="53" t="n"/>
      <c r="F714" s="54" t="n"/>
      <c r="G714" s="54" t="n"/>
      <c r="H714" s="54" t="n"/>
      <c r="I714" s="54" t="n"/>
      <c r="J714" s="53" t="n"/>
      <c r="K714" s="55" t="str">
        <f>IF(COUNTA(A714:I714)=0,"",IF(F714="",IFERROR(INDEX(eq_dur,MATCH(B714,eq_code,0)),""),F714))</f>
        <v/>
      </c>
      <c r="L714" s="55" t="str">
        <f>IF(ISNUMBER(K714),N(IFERROR(INDEX(eq_pause,MATCH(B714,eq_code,0)),0))+SUMIFS(st_min,st_date,A714,st_eq,B714,st_po,C714,st_type,"Planifié"),"")</f>
        <v/>
      </c>
      <c r="M714" s="55" t="str">
        <f>IF(ISNUMBER(K714),K714-L714,"")</f>
        <v/>
      </c>
      <c r="N714" s="55" t="str">
        <f>IF(ISNUMBER(K714),SUMIFS(st_min,st_date,A714,st_eq,B714,st_po,C714,st_type,"Non planifié"),"")</f>
        <v/>
      </c>
      <c r="O714" s="55" t="str">
        <f>IF(ISNUMBER(K714),M714-N714,"")</f>
        <v/>
      </c>
      <c r="P714" s="55" t="str">
        <f>IF(COUNTA(A714:I714)=0,"",N(G714)+N(H714)+N(I714))</f>
        <v/>
      </c>
      <c r="Q714" s="56" t="str">
        <f>IF(COUNTA(A714:I714)=0,"",IF(N(IFERROR(INDEX(art_rate,MATCH(E714,art_ref,0)),0))&gt;0,N(IFERROR(INDEX(art_rate,MATCH(E714,art_ref,0)),0)),N(IFERROR(INDEX(po_rate,MATCH(C714,po_code,0)),0))))</f>
        <v/>
      </c>
      <c r="R714" s="55" t="str">
        <f>IF(AC714=1,P714*60/Q714,"")</f>
        <v/>
      </c>
      <c r="S714" s="55" t="str">
        <f>IF(AC714=1,N(G714)*60/Q714,"")</f>
        <v/>
      </c>
      <c r="T714" s="57" t="str">
        <f>IF(AC714=1,O714/M714,"")</f>
        <v/>
      </c>
      <c r="U714" s="57" t="str">
        <f>IF(AC714=1,IF(O714&gt;0,R714/O714,""),"")</f>
        <v/>
      </c>
      <c r="V714" s="57" t="str">
        <f>IF(AC714=1,IF(P714&gt;0,N(G714)/P714,""),"")</f>
        <v/>
      </c>
      <c r="W714" s="57" t="str">
        <f>IF(AC714=1,S714/M714,"")</f>
        <v/>
      </c>
      <c r="X714" s="57" t="str">
        <f>IF(AC714=1,S714/K714,"")</f>
        <v/>
      </c>
      <c r="Y714" s="58" t="str">
        <f>IF(W714="","",IF(W714&gt;=p_target,"Bon",IF(W714&gt;=p_alert,"À surveiller","Faible")))</f>
        <v/>
      </c>
      <c r="Z714" s="58" t="str">
        <f>IF(W714="","",IF(MIN(IF(T714="",1,T714),IF(U714="",1,U714),IF(V714="",1,V714))&gt;=1,"Aucune",IF(IF(T714="",1,T714)&lt;=MIN(IF(U714="",1,U714),IF(V714="",1,V714)),"Disponibilité",IF(IF(U714="",1,U714)&lt;=IF(V714="",1,V714),"Performance","Qualité"))))</f>
        <v/>
      </c>
      <c r="AA714" s="59" t="str">
        <f>IF(AC714=1,N(H714)*N(IFERROR(INDEX(art_cost,MATCH(E714,art_ref,0)),0)),"")</f>
        <v/>
      </c>
      <c r="AB714" s="58" t="str">
        <f>IF(COUNTA(A714:I714)=0,"",IF(N(A714)&lt;=0,"Date manquante ou invalide",IF(B714="","Équipe manquante",IF(ISNA(MATCH(B714,eq_code,0)),"Équipe inconnue",IF(INDEX(eq_check,MATCH(B714,eq_code,0))&lt;&gt;"OK","Équipe à corriger dans Paramètres",IF(C714="","Poste manquant",IF(ISNA(MATCH(C714,po_code,0)),"Poste inconnu",IF(AND(E714&lt;&gt;"",ISNA(MATCH(E714,art_ref,0))),"Article inconnu",IF(IF(E714="",FALSE,INDEX(art_check,MATCH(E714,art_ref,0))&lt;&gt;"OK"),"Article à corriger (feuille Articles)",IF(COUNTIFS(sj_date,A714,sj_eq,B714,sj_po,C714)&gt;1,"Ligne en double (même jour, équipe et poste)",IF(OR(NOT(ISNUMBER(K714)),N(K714)&lt;=0,N(K714)&gt;1440),"Temps d'ouverture invalide",IF(OR(AND(G714&lt;&gt;"",NOT(ISNUMBER(G714))),N(G714)&lt;0,N(G714)&lt;&gt;INT(N(G714)),AND(H714&lt;&gt;"",NOT(ISNUMBER(H714))),N(H714)&lt;0,N(H714)&lt;&gt;INT(N(H714)),AND(I714&lt;&gt;"",NOT(ISNUMBER(I714))),N(I714)&lt;0,N(I714)&lt;&gt;INT(N(I714))),"Quantité invalide",IF(Q714&lt;=0,"Cadence manquante (poste ou article)",IF(M714&lt;=0,"Arrêts planifiés supérieurs au temps d'ouverture",IF(O714&lt;0,"Arrêts supérieurs au temps requis",IF(AND(P714&gt;0,O714=0),"Pièces déclarées sans temps de marche",IF(AND(P714=0,O714&gt;0),"Aucune pièce déclarée",IF(P714*60/Q714&gt;O714+0.001,"Cadence dépassée : vérifiez la cadence","OK"))))))))))))))))))</f>
        <v/>
      </c>
      <c r="AC714">
        <f>IF(OR(AB714="OK",AB714="Aucune pièce déclarée",AB714="Cadence dépassée : vérifiez la cadence"),1,0)</f>
        <v>0.0</v>
      </c>
      <c r="AD714">
        <f>IF(AND(AC714=1,A714&gt;=p_from,A714&lt;=p_to),1,0)</f>
        <v>0.0</v>
      </c>
      <c r="AE714">
        <f>IF(AD714=1,IF(COUNTIFS($A$6:A714,A714,$AD$6:AD714,1)=1,1,0),0)</f>
        <v>0.0</v>
      </c>
      <c r="AF714" t="str">
        <f>IF(AE714=1,COUNTIFS(sj_first,1,sj_date,"&lt;"&amp;A714)+1,"")</f>
        <v/>
      </c>
      <c r="AG714" t="str">
        <f>IF(AND(AD714=1,N(W714)&lt;p_alert),ROUND(W714,4),"")</f>
        <v/>
      </c>
      <c r="AH714" t="str">
        <f>IF(AG714="","",COUNTIF(sj_akey,"&lt;"&amp;AG714)+COUNTIF($AG$6:AG714,AG714))</f>
        <v/>
      </c>
    </row>
    <row r="715">
      <c r="A715" s="51" t="n"/>
      <c r="B715" s="52" t="n"/>
      <c r="C715" s="52" t="n"/>
      <c r="D715" s="53" t="n"/>
      <c r="E715" s="53" t="n"/>
      <c r="F715" s="54" t="n"/>
      <c r="G715" s="54" t="n"/>
      <c r="H715" s="54" t="n"/>
      <c r="I715" s="54" t="n"/>
      <c r="J715" s="53" t="n"/>
      <c r="K715" s="55" t="str">
        <f>IF(COUNTA(A715:I715)=0,"",IF(F715="",IFERROR(INDEX(eq_dur,MATCH(B715,eq_code,0)),""),F715))</f>
        <v/>
      </c>
      <c r="L715" s="55" t="str">
        <f>IF(ISNUMBER(K715),N(IFERROR(INDEX(eq_pause,MATCH(B715,eq_code,0)),0))+SUMIFS(st_min,st_date,A715,st_eq,B715,st_po,C715,st_type,"Planifié"),"")</f>
        <v/>
      </c>
      <c r="M715" s="55" t="str">
        <f>IF(ISNUMBER(K715),K715-L715,"")</f>
        <v/>
      </c>
      <c r="N715" s="55" t="str">
        <f>IF(ISNUMBER(K715),SUMIFS(st_min,st_date,A715,st_eq,B715,st_po,C715,st_type,"Non planifié"),"")</f>
        <v/>
      </c>
      <c r="O715" s="55" t="str">
        <f>IF(ISNUMBER(K715),M715-N715,"")</f>
        <v/>
      </c>
      <c r="P715" s="55" t="str">
        <f>IF(COUNTA(A715:I715)=0,"",N(G715)+N(H715)+N(I715))</f>
        <v/>
      </c>
      <c r="Q715" s="56" t="str">
        <f>IF(COUNTA(A715:I715)=0,"",IF(N(IFERROR(INDEX(art_rate,MATCH(E715,art_ref,0)),0))&gt;0,N(IFERROR(INDEX(art_rate,MATCH(E715,art_ref,0)),0)),N(IFERROR(INDEX(po_rate,MATCH(C715,po_code,0)),0))))</f>
        <v/>
      </c>
      <c r="R715" s="55" t="str">
        <f>IF(AC715=1,P715*60/Q715,"")</f>
        <v/>
      </c>
      <c r="S715" s="55" t="str">
        <f>IF(AC715=1,N(G715)*60/Q715,"")</f>
        <v/>
      </c>
      <c r="T715" s="57" t="str">
        <f>IF(AC715=1,O715/M715,"")</f>
        <v/>
      </c>
      <c r="U715" s="57" t="str">
        <f>IF(AC715=1,IF(O715&gt;0,R715/O715,""),"")</f>
        <v/>
      </c>
      <c r="V715" s="57" t="str">
        <f>IF(AC715=1,IF(P715&gt;0,N(G715)/P715,""),"")</f>
        <v/>
      </c>
      <c r="W715" s="57" t="str">
        <f>IF(AC715=1,S715/M715,"")</f>
        <v/>
      </c>
      <c r="X715" s="57" t="str">
        <f>IF(AC715=1,S715/K715,"")</f>
        <v/>
      </c>
      <c r="Y715" s="58" t="str">
        <f>IF(W715="","",IF(W715&gt;=p_target,"Bon",IF(W715&gt;=p_alert,"À surveiller","Faible")))</f>
        <v/>
      </c>
      <c r="Z715" s="58" t="str">
        <f>IF(W715="","",IF(MIN(IF(T715="",1,T715),IF(U715="",1,U715),IF(V715="",1,V715))&gt;=1,"Aucune",IF(IF(T715="",1,T715)&lt;=MIN(IF(U715="",1,U715),IF(V715="",1,V715)),"Disponibilité",IF(IF(U715="",1,U715)&lt;=IF(V715="",1,V715),"Performance","Qualité"))))</f>
        <v/>
      </c>
      <c r="AA715" s="59" t="str">
        <f>IF(AC715=1,N(H715)*N(IFERROR(INDEX(art_cost,MATCH(E715,art_ref,0)),0)),"")</f>
        <v/>
      </c>
      <c r="AB715" s="58" t="str">
        <f>IF(COUNTA(A715:I715)=0,"",IF(N(A715)&lt;=0,"Date manquante ou invalide",IF(B715="","Équipe manquante",IF(ISNA(MATCH(B715,eq_code,0)),"Équipe inconnue",IF(INDEX(eq_check,MATCH(B715,eq_code,0))&lt;&gt;"OK","Équipe à corriger dans Paramètres",IF(C715="","Poste manquant",IF(ISNA(MATCH(C715,po_code,0)),"Poste inconnu",IF(AND(E715&lt;&gt;"",ISNA(MATCH(E715,art_ref,0))),"Article inconnu",IF(IF(E715="",FALSE,INDEX(art_check,MATCH(E715,art_ref,0))&lt;&gt;"OK"),"Article à corriger (feuille Articles)",IF(COUNTIFS(sj_date,A715,sj_eq,B715,sj_po,C715)&gt;1,"Ligne en double (même jour, équipe et poste)",IF(OR(NOT(ISNUMBER(K715)),N(K715)&lt;=0,N(K715)&gt;1440),"Temps d'ouverture invalide",IF(OR(AND(G715&lt;&gt;"",NOT(ISNUMBER(G715))),N(G715)&lt;0,N(G715)&lt;&gt;INT(N(G715)),AND(H715&lt;&gt;"",NOT(ISNUMBER(H715))),N(H715)&lt;0,N(H715)&lt;&gt;INT(N(H715)),AND(I715&lt;&gt;"",NOT(ISNUMBER(I715))),N(I715)&lt;0,N(I715)&lt;&gt;INT(N(I715))),"Quantité invalide",IF(Q715&lt;=0,"Cadence manquante (poste ou article)",IF(M715&lt;=0,"Arrêts planifiés supérieurs au temps d'ouverture",IF(O715&lt;0,"Arrêts supérieurs au temps requis",IF(AND(P715&gt;0,O715=0),"Pièces déclarées sans temps de marche",IF(AND(P715=0,O715&gt;0),"Aucune pièce déclarée",IF(P715*60/Q715&gt;O715+0.001,"Cadence dépassée : vérifiez la cadence","OK"))))))))))))))))))</f>
        <v/>
      </c>
      <c r="AC715">
        <f>IF(OR(AB715="OK",AB715="Aucune pièce déclarée",AB715="Cadence dépassée : vérifiez la cadence"),1,0)</f>
        <v>0.0</v>
      </c>
      <c r="AD715">
        <f>IF(AND(AC715=1,A715&gt;=p_from,A715&lt;=p_to),1,0)</f>
        <v>0.0</v>
      </c>
      <c r="AE715">
        <f>IF(AD715=1,IF(COUNTIFS($A$6:A715,A715,$AD$6:AD715,1)=1,1,0),0)</f>
        <v>0.0</v>
      </c>
      <c r="AF715" t="str">
        <f>IF(AE715=1,COUNTIFS(sj_first,1,sj_date,"&lt;"&amp;A715)+1,"")</f>
        <v/>
      </c>
      <c r="AG715" t="str">
        <f>IF(AND(AD715=1,N(W715)&lt;p_alert),ROUND(W715,4),"")</f>
        <v/>
      </c>
      <c r="AH715" t="str">
        <f>IF(AG715="","",COUNTIF(sj_akey,"&lt;"&amp;AG715)+COUNTIF($AG$6:AG715,AG715))</f>
        <v/>
      </c>
    </row>
    <row r="716">
      <c r="A716" s="51" t="n"/>
      <c r="B716" s="52" t="n"/>
      <c r="C716" s="52" t="n"/>
      <c r="D716" s="53" t="n"/>
      <c r="E716" s="53" t="n"/>
      <c r="F716" s="54" t="n"/>
      <c r="G716" s="54" t="n"/>
      <c r="H716" s="54" t="n"/>
      <c r="I716" s="54" t="n"/>
      <c r="J716" s="53" t="n"/>
      <c r="K716" s="55" t="str">
        <f>IF(COUNTA(A716:I716)=0,"",IF(F716="",IFERROR(INDEX(eq_dur,MATCH(B716,eq_code,0)),""),F716))</f>
        <v/>
      </c>
      <c r="L716" s="55" t="str">
        <f>IF(ISNUMBER(K716),N(IFERROR(INDEX(eq_pause,MATCH(B716,eq_code,0)),0))+SUMIFS(st_min,st_date,A716,st_eq,B716,st_po,C716,st_type,"Planifié"),"")</f>
        <v/>
      </c>
      <c r="M716" s="55" t="str">
        <f>IF(ISNUMBER(K716),K716-L716,"")</f>
        <v/>
      </c>
      <c r="N716" s="55" t="str">
        <f>IF(ISNUMBER(K716),SUMIFS(st_min,st_date,A716,st_eq,B716,st_po,C716,st_type,"Non planifié"),"")</f>
        <v/>
      </c>
      <c r="O716" s="55" t="str">
        <f>IF(ISNUMBER(K716),M716-N716,"")</f>
        <v/>
      </c>
      <c r="P716" s="55" t="str">
        <f>IF(COUNTA(A716:I716)=0,"",N(G716)+N(H716)+N(I716))</f>
        <v/>
      </c>
      <c r="Q716" s="56" t="str">
        <f>IF(COUNTA(A716:I716)=0,"",IF(N(IFERROR(INDEX(art_rate,MATCH(E716,art_ref,0)),0))&gt;0,N(IFERROR(INDEX(art_rate,MATCH(E716,art_ref,0)),0)),N(IFERROR(INDEX(po_rate,MATCH(C716,po_code,0)),0))))</f>
        <v/>
      </c>
      <c r="R716" s="55" t="str">
        <f>IF(AC716=1,P716*60/Q716,"")</f>
        <v/>
      </c>
      <c r="S716" s="55" t="str">
        <f>IF(AC716=1,N(G716)*60/Q716,"")</f>
        <v/>
      </c>
      <c r="T716" s="57" t="str">
        <f>IF(AC716=1,O716/M716,"")</f>
        <v/>
      </c>
      <c r="U716" s="57" t="str">
        <f>IF(AC716=1,IF(O716&gt;0,R716/O716,""),"")</f>
        <v/>
      </c>
      <c r="V716" s="57" t="str">
        <f>IF(AC716=1,IF(P716&gt;0,N(G716)/P716,""),"")</f>
        <v/>
      </c>
      <c r="W716" s="57" t="str">
        <f>IF(AC716=1,S716/M716,"")</f>
        <v/>
      </c>
      <c r="X716" s="57" t="str">
        <f>IF(AC716=1,S716/K716,"")</f>
        <v/>
      </c>
      <c r="Y716" s="58" t="str">
        <f>IF(W716="","",IF(W716&gt;=p_target,"Bon",IF(W716&gt;=p_alert,"À surveiller","Faible")))</f>
        <v/>
      </c>
      <c r="Z716" s="58" t="str">
        <f>IF(W716="","",IF(MIN(IF(T716="",1,T716),IF(U716="",1,U716),IF(V716="",1,V716))&gt;=1,"Aucune",IF(IF(T716="",1,T716)&lt;=MIN(IF(U716="",1,U716),IF(V716="",1,V716)),"Disponibilité",IF(IF(U716="",1,U716)&lt;=IF(V716="",1,V716),"Performance","Qualité"))))</f>
        <v/>
      </c>
      <c r="AA716" s="59" t="str">
        <f>IF(AC716=1,N(H716)*N(IFERROR(INDEX(art_cost,MATCH(E716,art_ref,0)),0)),"")</f>
        <v/>
      </c>
      <c r="AB716" s="58" t="str">
        <f>IF(COUNTA(A716:I716)=0,"",IF(N(A716)&lt;=0,"Date manquante ou invalide",IF(B716="","Équipe manquante",IF(ISNA(MATCH(B716,eq_code,0)),"Équipe inconnue",IF(INDEX(eq_check,MATCH(B716,eq_code,0))&lt;&gt;"OK","Équipe à corriger dans Paramètres",IF(C716="","Poste manquant",IF(ISNA(MATCH(C716,po_code,0)),"Poste inconnu",IF(AND(E716&lt;&gt;"",ISNA(MATCH(E716,art_ref,0))),"Article inconnu",IF(IF(E716="",FALSE,INDEX(art_check,MATCH(E716,art_ref,0))&lt;&gt;"OK"),"Article à corriger (feuille Articles)",IF(COUNTIFS(sj_date,A716,sj_eq,B716,sj_po,C716)&gt;1,"Ligne en double (même jour, équipe et poste)",IF(OR(NOT(ISNUMBER(K716)),N(K716)&lt;=0,N(K716)&gt;1440),"Temps d'ouverture invalide",IF(OR(AND(G716&lt;&gt;"",NOT(ISNUMBER(G716))),N(G716)&lt;0,N(G716)&lt;&gt;INT(N(G716)),AND(H716&lt;&gt;"",NOT(ISNUMBER(H716))),N(H716)&lt;0,N(H716)&lt;&gt;INT(N(H716)),AND(I716&lt;&gt;"",NOT(ISNUMBER(I716))),N(I716)&lt;0,N(I716)&lt;&gt;INT(N(I716))),"Quantité invalide",IF(Q716&lt;=0,"Cadence manquante (poste ou article)",IF(M716&lt;=0,"Arrêts planifiés supérieurs au temps d'ouverture",IF(O716&lt;0,"Arrêts supérieurs au temps requis",IF(AND(P716&gt;0,O716=0),"Pièces déclarées sans temps de marche",IF(AND(P716=0,O716&gt;0),"Aucune pièce déclarée",IF(P716*60/Q716&gt;O716+0.001,"Cadence dépassée : vérifiez la cadence","OK"))))))))))))))))))</f>
        <v/>
      </c>
      <c r="AC716">
        <f>IF(OR(AB716="OK",AB716="Aucune pièce déclarée",AB716="Cadence dépassée : vérifiez la cadence"),1,0)</f>
        <v>0.0</v>
      </c>
      <c r="AD716">
        <f>IF(AND(AC716=1,A716&gt;=p_from,A716&lt;=p_to),1,0)</f>
        <v>0.0</v>
      </c>
      <c r="AE716">
        <f>IF(AD716=1,IF(COUNTIFS($A$6:A716,A716,$AD$6:AD716,1)=1,1,0),0)</f>
        <v>0.0</v>
      </c>
      <c r="AF716" t="str">
        <f>IF(AE716=1,COUNTIFS(sj_first,1,sj_date,"&lt;"&amp;A716)+1,"")</f>
        <v/>
      </c>
      <c r="AG716" t="str">
        <f>IF(AND(AD716=1,N(W716)&lt;p_alert),ROUND(W716,4),"")</f>
        <v/>
      </c>
      <c r="AH716" t="str">
        <f>IF(AG716="","",COUNTIF(sj_akey,"&lt;"&amp;AG716)+COUNTIF($AG$6:AG716,AG716))</f>
        <v/>
      </c>
    </row>
    <row r="717">
      <c r="A717" s="51" t="n"/>
      <c r="B717" s="52" t="n"/>
      <c r="C717" s="52" t="n"/>
      <c r="D717" s="53" t="n"/>
      <c r="E717" s="53" t="n"/>
      <c r="F717" s="54" t="n"/>
      <c r="G717" s="54" t="n"/>
      <c r="H717" s="54" t="n"/>
      <c r="I717" s="54" t="n"/>
      <c r="J717" s="53" t="n"/>
      <c r="K717" s="55" t="str">
        <f>IF(COUNTA(A717:I717)=0,"",IF(F717="",IFERROR(INDEX(eq_dur,MATCH(B717,eq_code,0)),""),F717))</f>
        <v/>
      </c>
      <c r="L717" s="55" t="str">
        <f>IF(ISNUMBER(K717),N(IFERROR(INDEX(eq_pause,MATCH(B717,eq_code,0)),0))+SUMIFS(st_min,st_date,A717,st_eq,B717,st_po,C717,st_type,"Planifié"),"")</f>
        <v/>
      </c>
      <c r="M717" s="55" t="str">
        <f>IF(ISNUMBER(K717),K717-L717,"")</f>
        <v/>
      </c>
      <c r="N717" s="55" t="str">
        <f>IF(ISNUMBER(K717),SUMIFS(st_min,st_date,A717,st_eq,B717,st_po,C717,st_type,"Non planifié"),"")</f>
        <v/>
      </c>
      <c r="O717" s="55" t="str">
        <f>IF(ISNUMBER(K717),M717-N717,"")</f>
        <v/>
      </c>
      <c r="P717" s="55" t="str">
        <f>IF(COUNTA(A717:I717)=0,"",N(G717)+N(H717)+N(I717))</f>
        <v/>
      </c>
      <c r="Q717" s="56" t="str">
        <f>IF(COUNTA(A717:I717)=0,"",IF(N(IFERROR(INDEX(art_rate,MATCH(E717,art_ref,0)),0))&gt;0,N(IFERROR(INDEX(art_rate,MATCH(E717,art_ref,0)),0)),N(IFERROR(INDEX(po_rate,MATCH(C717,po_code,0)),0))))</f>
        <v/>
      </c>
      <c r="R717" s="55" t="str">
        <f>IF(AC717=1,P717*60/Q717,"")</f>
        <v/>
      </c>
      <c r="S717" s="55" t="str">
        <f>IF(AC717=1,N(G717)*60/Q717,"")</f>
        <v/>
      </c>
      <c r="T717" s="57" t="str">
        <f>IF(AC717=1,O717/M717,"")</f>
        <v/>
      </c>
      <c r="U717" s="57" t="str">
        <f>IF(AC717=1,IF(O717&gt;0,R717/O717,""),"")</f>
        <v/>
      </c>
      <c r="V717" s="57" t="str">
        <f>IF(AC717=1,IF(P717&gt;0,N(G717)/P717,""),"")</f>
        <v/>
      </c>
      <c r="W717" s="57" t="str">
        <f>IF(AC717=1,S717/M717,"")</f>
        <v/>
      </c>
      <c r="X717" s="57" t="str">
        <f>IF(AC717=1,S717/K717,"")</f>
        <v/>
      </c>
      <c r="Y717" s="58" t="str">
        <f>IF(W717="","",IF(W717&gt;=p_target,"Bon",IF(W717&gt;=p_alert,"À surveiller","Faible")))</f>
        <v/>
      </c>
      <c r="Z717" s="58" t="str">
        <f>IF(W717="","",IF(MIN(IF(T717="",1,T717),IF(U717="",1,U717),IF(V717="",1,V717))&gt;=1,"Aucune",IF(IF(T717="",1,T717)&lt;=MIN(IF(U717="",1,U717),IF(V717="",1,V717)),"Disponibilité",IF(IF(U717="",1,U717)&lt;=IF(V717="",1,V717),"Performance","Qualité"))))</f>
        <v/>
      </c>
      <c r="AA717" s="59" t="str">
        <f>IF(AC717=1,N(H717)*N(IFERROR(INDEX(art_cost,MATCH(E717,art_ref,0)),0)),"")</f>
        <v/>
      </c>
      <c r="AB717" s="58" t="str">
        <f>IF(COUNTA(A717:I717)=0,"",IF(N(A717)&lt;=0,"Date manquante ou invalide",IF(B717="","Équipe manquante",IF(ISNA(MATCH(B717,eq_code,0)),"Équipe inconnue",IF(INDEX(eq_check,MATCH(B717,eq_code,0))&lt;&gt;"OK","Équipe à corriger dans Paramètres",IF(C717="","Poste manquant",IF(ISNA(MATCH(C717,po_code,0)),"Poste inconnu",IF(AND(E717&lt;&gt;"",ISNA(MATCH(E717,art_ref,0))),"Article inconnu",IF(IF(E717="",FALSE,INDEX(art_check,MATCH(E717,art_ref,0))&lt;&gt;"OK"),"Article à corriger (feuille Articles)",IF(COUNTIFS(sj_date,A717,sj_eq,B717,sj_po,C717)&gt;1,"Ligne en double (même jour, équipe et poste)",IF(OR(NOT(ISNUMBER(K717)),N(K717)&lt;=0,N(K717)&gt;1440),"Temps d'ouverture invalide",IF(OR(AND(G717&lt;&gt;"",NOT(ISNUMBER(G717))),N(G717)&lt;0,N(G717)&lt;&gt;INT(N(G717)),AND(H717&lt;&gt;"",NOT(ISNUMBER(H717))),N(H717)&lt;0,N(H717)&lt;&gt;INT(N(H717)),AND(I717&lt;&gt;"",NOT(ISNUMBER(I717))),N(I717)&lt;0,N(I717)&lt;&gt;INT(N(I717))),"Quantité invalide",IF(Q717&lt;=0,"Cadence manquante (poste ou article)",IF(M717&lt;=0,"Arrêts planifiés supérieurs au temps d'ouverture",IF(O717&lt;0,"Arrêts supérieurs au temps requis",IF(AND(P717&gt;0,O717=0),"Pièces déclarées sans temps de marche",IF(AND(P717=0,O717&gt;0),"Aucune pièce déclarée",IF(P717*60/Q717&gt;O717+0.001,"Cadence dépassée : vérifiez la cadence","OK"))))))))))))))))))</f>
        <v/>
      </c>
      <c r="AC717">
        <f>IF(OR(AB717="OK",AB717="Aucune pièce déclarée",AB717="Cadence dépassée : vérifiez la cadence"),1,0)</f>
        <v>0.0</v>
      </c>
      <c r="AD717">
        <f>IF(AND(AC717=1,A717&gt;=p_from,A717&lt;=p_to),1,0)</f>
        <v>0.0</v>
      </c>
      <c r="AE717">
        <f>IF(AD717=1,IF(COUNTIFS($A$6:A717,A717,$AD$6:AD717,1)=1,1,0),0)</f>
        <v>0.0</v>
      </c>
      <c r="AF717" t="str">
        <f>IF(AE717=1,COUNTIFS(sj_first,1,sj_date,"&lt;"&amp;A717)+1,"")</f>
        <v/>
      </c>
      <c r="AG717" t="str">
        <f>IF(AND(AD717=1,N(W717)&lt;p_alert),ROUND(W717,4),"")</f>
        <v/>
      </c>
      <c r="AH717" t="str">
        <f>IF(AG717="","",COUNTIF(sj_akey,"&lt;"&amp;AG717)+COUNTIF($AG$6:AG717,AG717))</f>
        <v/>
      </c>
    </row>
    <row r="718">
      <c r="A718" s="51" t="n"/>
      <c r="B718" s="52" t="n"/>
      <c r="C718" s="52" t="n"/>
      <c r="D718" s="53" t="n"/>
      <c r="E718" s="53" t="n"/>
      <c r="F718" s="54" t="n"/>
      <c r="G718" s="54" t="n"/>
      <c r="H718" s="54" t="n"/>
      <c r="I718" s="54" t="n"/>
      <c r="J718" s="53" t="n"/>
      <c r="K718" s="55" t="str">
        <f>IF(COUNTA(A718:I718)=0,"",IF(F718="",IFERROR(INDEX(eq_dur,MATCH(B718,eq_code,0)),""),F718))</f>
        <v/>
      </c>
      <c r="L718" s="55" t="str">
        <f>IF(ISNUMBER(K718),N(IFERROR(INDEX(eq_pause,MATCH(B718,eq_code,0)),0))+SUMIFS(st_min,st_date,A718,st_eq,B718,st_po,C718,st_type,"Planifié"),"")</f>
        <v/>
      </c>
      <c r="M718" s="55" t="str">
        <f>IF(ISNUMBER(K718),K718-L718,"")</f>
        <v/>
      </c>
      <c r="N718" s="55" t="str">
        <f>IF(ISNUMBER(K718),SUMIFS(st_min,st_date,A718,st_eq,B718,st_po,C718,st_type,"Non planifié"),"")</f>
        <v/>
      </c>
      <c r="O718" s="55" t="str">
        <f>IF(ISNUMBER(K718),M718-N718,"")</f>
        <v/>
      </c>
      <c r="P718" s="55" t="str">
        <f>IF(COUNTA(A718:I718)=0,"",N(G718)+N(H718)+N(I718))</f>
        <v/>
      </c>
      <c r="Q718" s="56" t="str">
        <f>IF(COUNTA(A718:I718)=0,"",IF(N(IFERROR(INDEX(art_rate,MATCH(E718,art_ref,0)),0))&gt;0,N(IFERROR(INDEX(art_rate,MATCH(E718,art_ref,0)),0)),N(IFERROR(INDEX(po_rate,MATCH(C718,po_code,0)),0))))</f>
        <v/>
      </c>
      <c r="R718" s="55" t="str">
        <f>IF(AC718=1,P718*60/Q718,"")</f>
        <v/>
      </c>
      <c r="S718" s="55" t="str">
        <f>IF(AC718=1,N(G718)*60/Q718,"")</f>
        <v/>
      </c>
      <c r="T718" s="57" t="str">
        <f>IF(AC718=1,O718/M718,"")</f>
        <v/>
      </c>
      <c r="U718" s="57" t="str">
        <f>IF(AC718=1,IF(O718&gt;0,R718/O718,""),"")</f>
        <v/>
      </c>
      <c r="V718" s="57" t="str">
        <f>IF(AC718=1,IF(P718&gt;0,N(G718)/P718,""),"")</f>
        <v/>
      </c>
      <c r="W718" s="57" t="str">
        <f>IF(AC718=1,S718/M718,"")</f>
        <v/>
      </c>
      <c r="X718" s="57" t="str">
        <f>IF(AC718=1,S718/K718,"")</f>
        <v/>
      </c>
      <c r="Y718" s="58" t="str">
        <f>IF(W718="","",IF(W718&gt;=p_target,"Bon",IF(W718&gt;=p_alert,"À surveiller","Faible")))</f>
        <v/>
      </c>
      <c r="Z718" s="58" t="str">
        <f>IF(W718="","",IF(MIN(IF(T718="",1,T718),IF(U718="",1,U718),IF(V718="",1,V718))&gt;=1,"Aucune",IF(IF(T718="",1,T718)&lt;=MIN(IF(U718="",1,U718),IF(V718="",1,V718)),"Disponibilité",IF(IF(U718="",1,U718)&lt;=IF(V718="",1,V718),"Performance","Qualité"))))</f>
        <v/>
      </c>
      <c r="AA718" s="59" t="str">
        <f>IF(AC718=1,N(H718)*N(IFERROR(INDEX(art_cost,MATCH(E718,art_ref,0)),0)),"")</f>
        <v/>
      </c>
      <c r="AB718" s="58" t="str">
        <f>IF(COUNTA(A718:I718)=0,"",IF(N(A718)&lt;=0,"Date manquante ou invalide",IF(B718="","Équipe manquante",IF(ISNA(MATCH(B718,eq_code,0)),"Équipe inconnue",IF(INDEX(eq_check,MATCH(B718,eq_code,0))&lt;&gt;"OK","Équipe à corriger dans Paramètres",IF(C718="","Poste manquant",IF(ISNA(MATCH(C718,po_code,0)),"Poste inconnu",IF(AND(E718&lt;&gt;"",ISNA(MATCH(E718,art_ref,0))),"Article inconnu",IF(IF(E718="",FALSE,INDEX(art_check,MATCH(E718,art_ref,0))&lt;&gt;"OK"),"Article à corriger (feuille Articles)",IF(COUNTIFS(sj_date,A718,sj_eq,B718,sj_po,C718)&gt;1,"Ligne en double (même jour, équipe et poste)",IF(OR(NOT(ISNUMBER(K718)),N(K718)&lt;=0,N(K718)&gt;1440),"Temps d'ouverture invalide",IF(OR(AND(G718&lt;&gt;"",NOT(ISNUMBER(G718))),N(G718)&lt;0,N(G718)&lt;&gt;INT(N(G718)),AND(H718&lt;&gt;"",NOT(ISNUMBER(H718))),N(H718)&lt;0,N(H718)&lt;&gt;INT(N(H718)),AND(I718&lt;&gt;"",NOT(ISNUMBER(I718))),N(I718)&lt;0,N(I718)&lt;&gt;INT(N(I718))),"Quantité invalide",IF(Q718&lt;=0,"Cadence manquante (poste ou article)",IF(M718&lt;=0,"Arrêts planifiés supérieurs au temps d'ouverture",IF(O718&lt;0,"Arrêts supérieurs au temps requis",IF(AND(P718&gt;0,O718=0),"Pièces déclarées sans temps de marche",IF(AND(P718=0,O718&gt;0),"Aucune pièce déclarée",IF(P718*60/Q718&gt;O718+0.001,"Cadence dépassée : vérifiez la cadence","OK"))))))))))))))))))</f>
        <v/>
      </c>
      <c r="AC718">
        <f>IF(OR(AB718="OK",AB718="Aucune pièce déclarée",AB718="Cadence dépassée : vérifiez la cadence"),1,0)</f>
        <v>0.0</v>
      </c>
      <c r="AD718">
        <f>IF(AND(AC718=1,A718&gt;=p_from,A718&lt;=p_to),1,0)</f>
        <v>0.0</v>
      </c>
      <c r="AE718">
        <f>IF(AD718=1,IF(COUNTIFS($A$6:A718,A718,$AD$6:AD718,1)=1,1,0),0)</f>
        <v>0.0</v>
      </c>
      <c r="AF718" t="str">
        <f>IF(AE718=1,COUNTIFS(sj_first,1,sj_date,"&lt;"&amp;A718)+1,"")</f>
        <v/>
      </c>
      <c r="AG718" t="str">
        <f>IF(AND(AD718=1,N(W718)&lt;p_alert),ROUND(W718,4),"")</f>
        <v/>
      </c>
      <c r="AH718" t="str">
        <f>IF(AG718="","",COUNTIF(sj_akey,"&lt;"&amp;AG718)+COUNTIF($AG$6:AG718,AG718))</f>
        <v/>
      </c>
    </row>
    <row r="719">
      <c r="A719" s="51" t="n"/>
      <c r="B719" s="52" t="n"/>
      <c r="C719" s="52" t="n"/>
      <c r="D719" s="53" t="n"/>
      <c r="E719" s="53" t="n"/>
      <c r="F719" s="54" t="n"/>
      <c r="G719" s="54" t="n"/>
      <c r="H719" s="54" t="n"/>
      <c r="I719" s="54" t="n"/>
      <c r="J719" s="53" t="n"/>
      <c r="K719" s="55" t="str">
        <f>IF(COUNTA(A719:I719)=0,"",IF(F719="",IFERROR(INDEX(eq_dur,MATCH(B719,eq_code,0)),""),F719))</f>
        <v/>
      </c>
      <c r="L719" s="55" t="str">
        <f>IF(ISNUMBER(K719),N(IFERROR(INDEX(eq_pause,MATCH(B719,eq_code,0)),0))+SUMIFS(st_min,st_date,A719,st_eq,B719,st_po,C719,st_type,"Planifié"),"")</f>
        <v/>
      </c>
      <c r="M719" s="55" t="str">
        <f>IF(ISNUMBER(K719),K719-L719,"")</f>
        <v/>
      </c>
      <c r="N719" s="55" t="str">
        <f>IF(ISNUMBER(K719),SUMIFS(st_min,st_date,A719,st_eq,B719,st_po,C719,st_type,"Non planifié"),"")</f>
        <v/>
      </c>
      <c r="O719" s="55" t="str">
        <f>IF(ISNUMBER(K719),M719-N719,"")</f>
        <v/>
      </c>
      <c r="P719" s="55" t="str">
        <f>IF(COUNTA(A719:I719)=0,"",N(G719)+N(H719)+N(I719))</f>
        <v/>
      </c>
      <c r="Q719" s="56" t="str">
        <f>IF(COUNTA(A719:I719)=0,"",IF(N(IFERROR(INDEX(art_rate,MATCH(E719,art_ref,0)),0))&gt;0,N(IFERROR(INDEX(art_rate,MATCH(E719,art_ref,0)),0)),N(IFERROR(INDEX(po_rate,MATCH(C719,po_code,0)),0))))</f>
        <v/>
      </c>
      <c r="R719" s="55" t="str">
        <f>IF(AC719=1,P719*60/Q719,"")</f>
        <v/>
      </c>
      <c r="S719" s="55" t="str">
        <f>IF(AC719=1,N(G719)*60/Q719,"")</f>
        <v/>
      </c>
      <c r="T719" s="57" t="str">
        <f>IF(AC719=1,O719/M719,"")</f>
        <v/>
      </c>
      <c r="U719" s="57" t="str">
        <f>IF(AC719=1,IF(O719&gt;0,R719/O719,""),"")</f>
        <v/>
      </c>
      <c r="V719" s="57" t="str">
        <f>IF(AC719=1,IF(P719&gt;0,N(G719)/P719,""),"")</f>
        <v/>
      </c>
      <c r="W719" s="57" t="str">
        <f>IF(AC719=1,S719/M719,"")</f>
        <v/>
      </c>
      <c r="X719" s="57" t="str">
        <f>IF(AC719=1,S719/K719,"")</f>
        <v/>
      </c>
      <c r="Y719" s="58" t="str">
        <f>IF(W719="","",IF(W719&gt;=p_target,"Bon",IF(W719&gt;=p_alert,"À surveiller","Faible")))</f>
        <v/>
      </c>
      <c r="Z719" s="58" t="str">
        <f>IF(W719="","",IF(MIN(IF(T719="",1,T719),IF(U719="",1,U719),IF(V719="",1,V719))&gt;=1,"Aucune",IF(IF(T719="",1,T719)&lt;=MIN(IF(U719="",1,U719),IF(V719="",1,V719)),"Disponibilité",IF(IF(U719="",1,U719)&lt;=IF(V719="",1,V719),"Performance","Qualité"))))</f>
        <v/>
      </c>
      <c r="AA719" s="59" t="str">
        <f>IF(AC719=1,N(H719)*N(IFERROR(INDEX(art_cost,MATCH(E719,art_ref,0)),0)),"")</f>
        <v/>
      </c>
      <c r="AB719" s="58" t="str">
        <f>IF(COUNTA(A719:I719)=0,"",IF(N(A719)&lt;=0,"Date manquante ou invalide",IF(B719="","Équipe manquante",IF(ISNA(MATCH(B719,eq_code,0)),"Équipe inconnue",IF(INDEX(eq_check,MATCH(B719,eq_code,0))&lt;&gt;"OK","Équipe à corriger dans Paramètres",IF(C719="","Poste manquant",IF(ISNA(MATCH(C719,po_code,0)),"Poste inconnu",IF(AND(E719&lt;&gt;"",ISNA(MATCH(E719,art_ref,0))),"Article inconnu",IF(IF(E719="",FALSE,INDEX(art_check,MATCH(E719,art_ref,0))&lt;&gt;"OK"),"Article à corriger (feuille Articles)",IF(COUNTIFS(sj_date,A719,sj_eq,B719,sj_po,C719)&gt;1,"Ligne en double (même jour, équipe et poste)",IF(OR(NOT(ISNUMBER(K719)),N(K719)&lt;=0,N(K719)&gt;1440),"Temps d'ouverture invalide",IF(OR(AND(G719&lt;&gt;"",NOT(ISNUMBER(G719))),N(G719)&lt;0,N(G719)&lt;&gt;INT(N(G719)),AND(H719&lt;&gt;"",NOT(ISNUMBER(H719))),N(H719)&lt;0,N(H719)&lt;&gt;INT(N(H719)),AND(I719&lt;&gt;"",NOT(ISNUMBER(I719))),N(I719)&lt;0,N(I719)&lt;&gt;INT(N(I719))),"Quantité invalide",IF(Q719&lt;=0,"Cadence manquante (poste ou article)",IF(M719&lt;=0,"Arrêts planifiés supérieurs au temps d'ouverture",IF(O719&lt;0,"Arrêts supérieurs au temps requis",IF(AND(P719&gt;0,O719=0),"Pièces déclarées sans temps de marche",IF(AND(P719=0,O719&gt;0),"Aucune pièce déclarée",IF(P719*60/Q719&gt;O719+0.001,"Cadence dépassée : vérifiez la cadence","OK"))))))))))))))))))</f>
        <v/>
      </c>
      <c r="AC719">
        <f>IF(OR(AB719="OK",AB719="Aucune pièce déclarée",AB719="Cadence dépassée : vérifiez la cadence"),1,0)</f>
        <v>0.0</v>
      </c>
      <c r="AD719">
        <f>IF(AND(AC719=1,A719&gt;=p_from,A719&lt;=p_to),1,0)</f>
        <v>0.0</v>
      </c>
      <c r="AE719">
        <f>IF(AD719=1,IF(COUNTIFS($A$6:A719,A719,$AD$6:AD719,1)=1,1,0),0)</f>
        <v>0.0</v>
      </c>
      <c r="AF719" t="str">
        <f>IF(AE719=1,COUNTIFS(sj_first,1,sj_date,"&lt;"&amp;A719)+1,"")</f>
        <v/>
      </c>
      <c r="AG719" t="str">
        <f>IF(AND(AD719=1,N(W719)&lt;p_alert),ROUND(W719,4),"")</f>
        <v/>
      </c>
      <c r="AH719" t="str">
        <f>IF(AG719="","",COUNTIF(sj_akey,"&lt;"&amp;AG719)+COUNTIF($AG$6:AG719,AG719))</f>
        <v/>
      </c>
    </row>
    <row r="720">
      <c r="A720" s="51" t="n"/>
      <c r="B720" s="52" t="n"/>
      <c r="C720" s="52" t="n"/>
      <c r="D720" s="53" t="n"/>
      <c r="E720" s="53" t="n"/>
      <c r="F720" s="54" t="n"/>
      <c r="G720" s="54" t="n"/>
      <c r="H720" s="54" t="n"/>
      <c r="I720" s="54" t="n"/>
      <c r="J720" s="53" t="n"/>
      <c r="K720" s="55" t="str">
        <f>IF(COUNTA(A720:I720)=0,"",IF(F720="",IFERROR(INDEX(eq_dur,MATCH(B720,eq_code,0)),""),F720))</f>
        <v/>
      </c>
      <c r="L720" s="55" t="str">
        <f>IF(ISNUMBER(K720),N(IFERROR(INDEX(eq_pause,MATCH(B720,eq_code,0)),0))+SUMIFS(st_min,st_date,A720,st_eq,B720,st_po,C720,st_type,"Planifié"),"")</f>
        <v/>
      </c>
      <c r="M720" s="55" t="str">
        <f>IF(ISNUMBER(K720),K720-L720,"")</f>
        <v/>
      </c>
      <c r="N720" s="55" t="str">
        <f>IF(ISNUMBER(K720),SUMIFS(st_min,st_date,A720,st_eq,B720,st_po,C720,st_type,"Non planifié"),"")</f>
        <v/>
      </c>
      <c r="O720" s="55" t="str">
        <f>IF(ISNUMBER(K720),M720-N720,"")</f>
        <v/>
      </c>
      <c r="P720" s="55" t="str">
        <f>IF(COUNTA(A720:I720)=0,"",N(G720)+N(H720)+N(I720))</f>
        <v/>
      </c>
      <c r="Q720" s="56" t="str">
        <f>IF(COUNTA(A720:I720)=0,"",IF(N(IFERROR(INDEX(art_rate,MATCH(E720,art_ref,0)),0))&gt;0,N(IFERROR(INDEX(art_rate,MATCH(E720,art_ref,0)),0)),N(IFERROR(INDEX(po_rate,MATCH(C720,po_code,0)),0))))</f>
        <v/>
      </c>
      <c r="R720" s="55" t="str">
        <f>IF(AC720=1,P720*60/Q720,"")</f>
        <v/>
      </c>
      <c r="S720" s="55" t="str">
        <f>IF(AC720=1,N(G720)*60/Q720,"")</f>
        <v/>
      </c>
      <c r="T720" s="57" t="str">
        <f>IF(AC720=1,O720/M720,"")</f>
        <v/>
      </c>
      <c r="U720" s="57" t="str">
        <f>IF(AC720=1,IF(O720&gt;0,R720/O720,""),"")</f>
        <v/>
      </c>
      <c r="V720" s="57" t="str">
        <f>IF(AC720=1,IF(P720&gt;0,N(G720)/P720,""),"")</f>
        <v/>
      </c>
      <c r="W720" s="57" t="str">
        <f>IF(AC720=1,S720/M720,"")</f>
        <v/>
      </c>
      <c r="X720" s="57" t="str">
        <f>IF(AC720=1,S720/K720,"")</f>
        <v/>
      </c>
      <c r="Y720" s="58" t="str">
        <f>IF(W720="","",IF(W720&gt;=p_target,"Bon",IF(W720&gt;=p_alert,"À surveiller","Faible")))</f>
        <v/>
      </c>
      <c r="Z720" s="58" t="str">
        <f>IF(W720="","",IF(MIN(IF(T720="",1,T720),IF(U720="",1,U720),IF(V720="",1,V720))&gt;=1,"Aucune",IF(IF(T720="",1,T720)&lt;=MIN(IF(U720="",1,U720),IF(V720="",1,V720)),"Disponibilité",IF(IF(U720="",1,U720)&lt;=IF(V720="",1,V720),"Performance","Qualité"))))</f>
        <v/>
      </c>
      <c r="AA720" s="59" t="str">
        <f>IF(AC720=1,N(H720)*N(IFERROR(INDEX(art_cost,MATCH(E720,art_ref,0)),0)),"")</f>
        <v/>
      </c>
      <c r="AB720" s="58" t="str">
        <f>IF(COUNTA(A720:I720)=0,"",IF(N(A720)&lt;=0,"Date manquante ou invalide",IF(B720="","Équipe manquante",IF(ISNA(MATCH(B720,eq_code,0)),"Équipe inconnue",IF(INDEX(eq_check,MATCH(B720,eq_code,0))&lt;&gt;"OK","Équipe à corriger dans Paramètres",IF(C720="","Poste manquant",IF(ISNA(MATCH(C720,po_code,0)),"Poste inconnu",IF(AND(E720&lt;&gt;"",ISNA(MATCH(E720,art_ref,0))),"Article inconnu",IF(IF(E720="",FALSE,INDEX(art_check,MATCH(E720,art_ref,0))&lt;&gt;"OK"),"Article à corriger (feuille Articles)",IF(COUNTIFS(sj_date,A720,sj_eq,B720,sj_po,C720)&gt;1,"Ligne en double (même jour, équipe et poste)",IF(OR(NOT(ISNUMBER(K720)),N(K720)&lt;=0,N(K720)&gt;1440),"Temps d'ouverture invalide",IF(OR(AND(G720&lt;&gt;"",NOT(ISNUMBER(G720))),N(G720)&lt;0,N(G720)&lt;&gt;INT(N(G720)),AND(H720&lt;&gt;"",NOT(ISNUMBER(H720))),N(H720)&lt;0,N(H720)&lt;&gt;INT(N(H720)),AND(I720&lt;&gt;"",NOT(ISNUMBER(I720))),N(I720)&lt;0,N(I720)&lt;&gt;INT(N(I720))),"Quantité invalide",IF(Q720&lt;=0,"Cadence manquante (poste ou article)",IF(M720&lt;=0,"Arrêts planifiés supérieurs au temps d'ouverture",IF(O720&lt;0,"Arrêts supérieurs au temps requis",IF(AND(P720&gt;0,O720=0),"Pièces déclarées sans temps de marche",IF(AND(P720=0,O720&gt;0),"Aucune pièce déclarée",IF(P720*60/Q720&gt;O720+0.001,"Cadence dépassée : vérifiez la cadence","OK"))))))))))))))))))</f>
        <v/>
      </c>
      <c r="AC720">
        <f>IF(OR(AB720="OK",AB720="Aucune pièce déclarée",AB720="Cadence dépassée : vérifiez la cadence"),1,0)</f>
        <v>0.0</v>
      </c>
      <c r="AD720">
        <f>IF(AND(AC720=1,A720&gt;=p_from,A720&lt;=p_to),1,0)</f>
        <v>0.0</v>
      </c>
      <c r="AE720">
        <f>IF(AD720=1,IF(COUNTIFS($A$6:A720,A720,$AD$6:AD720,1)=1,1,0),0)</f>
        <v>0.0</v>
      </c>
      <c r="AF720" t="str">
        <f>IF(AE720=1,COUNTIFS(sj_first,1,sj_date,"&lt;"&amp;A720)+1,"")</f>
        <v/>
      </c>
      <c r="AG720" t="str">
        <f>IF(AND(AD720=1,N(W720)&lt;p_alert),ROUND(W720,4),"")</f>
        <v/>
      </c>
      <c r="AH720" t="str">
        <f>IF(AG720="","",COUNTIF(sj_akey,"&lt;"&amp;AG720)+COUNTIF($AG$6:AG720,AG720))</f>
        <v/>
      </c>
    </row>
    <row r="721">
      <c r="A721" s="51" t="n"/>
      <c r="B721" s="52" t="n"/>
      <c r="C721" s="52" t="n"/>
      <c r="D721" s="53" t="n"/>
      <c r="E721" s="53" t="n"/>
      <c r="F721" s="54" t="n"/>
      <c r="G721" s="54" t="n"/>
      <c r="H721" s="54" t="n"/>
      <c r="I721" s="54" t="n"/>
      <c r="J721" s="53" t="n"/>
      <c r="K721" s="55" t="str">
        <f>IF(COUNTA(A721:I721)=0,"",IF(F721="",IFERROR(INDEX(eq_dur,MATCH(B721,eq_code,0)),""),F721))</f>
        <v/>
      </c>
      <c r="L721" s="55" t="str">
        <f>IF(ISNUMBER(K721),N(IFERROR(INDEX(eq_pause,MATCH(B721,eq_code,0)),0))+SUMIFS(st_min,st_date,A721,st_eq,B721,st_po,C721,st_type,"Planifié"),"")</f>
        <v/>
      </c>
      <c r="M721" s="55" t="str">
        <f>IF(ISNUMBER(K721),K721-L721,"")</f>
        <v/>
      </c>
      <c r="N721" s="55" t="str">
        <f>IF(ISNUMBER(K721),SUMIFS(st_min,st_date,A721,st_eq,B721,st_po,C721,st_type,"Non planifié"),"")</f>
        <v/>
      </c>
      <c r="O721" s="55" t="str">
        <f>IF(ISNUMBER(K721),M721-N721,"")</f>
        <v/>
      </c>
      <c r="P721" s="55" t="str">
        <f>IF(COUNTA(A721:I721)=0,"",N(G721)+N(H721)+N(I721))</f>
        <v/>
      </c>
      <c r="Q721" s="56" t="str">
        <f>IF(COUNTA(A721:I721)=0,"",IF(N(IFERROR(INDEX(art_rate,MATCH(E721,art_ref,0)),0))&gt;0,N(IFERROR(INDEX(art_rate,MATCH(E721,art_ref,0)),0)),N(IFERROR(INDEX(po_rate,MATCH(C721,po_code,0)),0))))</f>
        <v/>
      </c>
      <c r="R721" s="55" t="str">
        <f>IF(AC721=1,P721*60/Q721,"")</f>
        <v/>
      </c>
      <c r="S721" s="55" t="str">
        <f>IF(AC721=1,N(G721)*60/Q721,"")</f>
        <v/>
      </c>
      <c r="T721" s="57" t="str">
        <f>IF(AC721=1,O721/M721,"")</f>
        <v/>
      </c>
      <c r="U721" s="57" t="str">
        <f>IF(AC721=1,IF(O721&gt;0,R721/O721,""),"")</f>
        <v/>
      </c>
      <c r="V721" s="57" t="str">
        <f>IF(AC721=1,IF(P721&gt;0,N(G721)/P721,""),"")</f>
        <v/>
      </c>
      <c r="W721" s="57" t="str">
        <f>IF(AC721=1,S721/M721,"")</f>
        <v/>
      </c>
      <c r="X721" s="57" t="str">
        <f>IF(AC721=1,S721/K721,"")</f>
        <v/>
      </c>
      <c r="Y721" s="58" t="str">
        <f>IF(W721="","",IF(W721&gt;=p_target,"Bon",IF(W721&gt;=p_alert,"À surveiller","Faible")))</f>
        <v/>
      </c>
      <c r="Z721" s="58" t="str">
        <f>IF(W721="","",IF(MIN(IF(T721="",1,T721),IF(U721="",1,U721),IF(V721="",1,V721))&gt;=1,"Aucune",IF(IF(T721="",1,T721)&lt;=MIN(IF(U721="",1,U721),IF(V721="",1,V721)),"Disponibilité",IF(IF(U721="",1,U721)&lt;=IF(V721="",1,V721),"Performance","Qualité"))))</f>
        <v/>
      </c>
      <c r="AA721" s="59" t="str">
        <f>IF(AC721=1,N(H721)*N(IFERROR(INDEX(art_cost,MATCH(E721,art_ref,0)),0)),"")</f>
        <v/>
      </c>
      <c r="AB721" s="58" t="str">
        <f>IF(COUNTA(A721:I721)=0,"",IF(N(A721)&lt;=0,"Date manquante ou invalide",IF(B721="","Équipe manquante",IF(ISNA(MATCH(B721,eq_code,0)),"Équipe inconnue",IF(INDEX(eq_check,MATCH(B721,eq_code,0))&lt;&gt;"OK","Équipe à corriger dans Paramètres",IF(C721="","Poste manquant",IF(ISNA(MATCH(C721,po_code,0)),"Poste inconnu",IF(AND(E721&lt;&gt;"",ISNA(MATCH(E721,art_ref,0))),"Article inconnu",IF(IF(E721="",FALSE,INDEX(art_check,MATCH(E721,art_ref,0))&lt;&gt;"OK"),"Article à corriger (feuille Articles)",IF(COUNTIFS(sj_date,A721,sj_eq,B721,sj_po,C721)&gt;1,"Ligne en double (même jour, équipe et poste)",IF(OR(NOT(ISNUMBER(K721)),N(K721)&lt;=0,N(K721)&gt;1440),"Temps d'ouverture invalide",IF(OR(AND(G721&lt;&gt;"",NOT(ISNUMBER(G721))),N(G721)&lt;0,N(G721)&lt;&gt;INT(N(G721)),AND(H721&lt;&gt;"",NOT(ISNUMBER(H721))),N(H721)&lt;0,N(H721)&lt;&gt;INT(N(H721)),AND(I721&lt;&gt;"",NOT(ISNUMBER(I721))),N(I721)&lt;0,N(I721)&lt;&gt;INT(N(I721))),"Quantité invalide",IF(Q721&lt;=0,"Cadence manquante (poste ou article)",IF(M721&lt;=0,"Arrêts planifiés supérieurs au temps d'ouverture",IF(O721&lt;0,"Arrêts supérieurs au temps requis",IF(AND(P721&gt;0,O721=0),"Pièces déclarées sans temps de marche",IF(AND(P721=0,O721&gt;0),"Aucune pièce déclarée",IF(P721*60/Q721&gt;O721+0.001,"Cadence dépassée : vérifiez la cadence","OK"))))))))))))))))))</f>
        <v/>
      </c>
      <c r="AC721">
        <f>IF(OR(AB721="OK",AB721="Aucune pièce déclarée",AB721="Cadence dépassée : vérifiez la cadence"),1,0)</f>
        <v>0.0</v>
      </c>
      <c r="AD721">
        <f>IF(AND(AC721=1,A721&gt;=p_from,A721&lt;=p_to),1,0)</f>
        <v>0.0</v>
      </c>
      <c r="AE721">
        <f>IF(AD721=1,IF(COUNTIFS($A$6:A721,A721,$AD$6:AD721,1)=1,1,0),0)</f>
        <v>0.0</v>
      </c>
      <c r="AF721" t="str">
        <f>IF(AE721=1,COUNTIFS(sj_first,1,sj_date,"&lt;"&amp;A721)+1,"")</f>
        <v/>
      </c>
      <c r="AG721" t="str">
        <f>IF(AND(AD721=1,N(W721)&lt;p_alert),ROUND(W721,4),"")</f>
        <v/>
      </c>
      <c r="AH721" t="str">
        <f>IF(AG721="","",COUNTIF(sj_akey,"&lt;"&amp;AG721)+COUNTIF($AG$6:AG721,AG721))</f>
        <v/>
      </c>
    </row>
    <row r="722">
      <c r="A722" s="51" t="n"/>
      <c r="B722" s="52" t="n"/>
      <c r="C722" s="52" t="n"/>
      <c r="D722" s="53" t="n"/>
      <c r="E722" s="53" t="n"/>
      <c r="F722" s="54" t="n"/>
      <c r="G722" s="54" t="n"/>
      <c r="H722" s="54" t="n"/>
      <c r="I722" s="54" t="n"/>
      <c r="J722" s="53" t="n"/>
      <c r="K722" s="55" t="str">
        <f>IF(COUNTA(A722:I722)=0,"",IF(F722="",IFERROR(INDEX(eq_dur,MATCH(B722,eq_code,0)),""),F722))</f>
        <v/>
      </c>
      <c r="L722" s="55" t="str">
        <f>IF(ISNUMBER(K722),N(IFERROR(INDEX(eq_pause,MATCH(B722,eq_code,0)),0))+SUMIFS(st_min,st_date,A722,st_eq,B722,st_po,C722,st_type,"Planifié"),"")</f>
        <v/>
      </c>
      <c r="M722" s="55" t="str">
        <f>IF(ISNUMBER(K722),K722-L722,"")</f>
        <v/>
      </c>
      <c r="N722" s="55" t="str">
        <f>IF(ISNUMBER(K722),SUMIFS(st_min,st_date,A722,st_eq,B722,st_po,C722,st_type,"Non planifié"),"")</f>
        <v/>
      </c>
      <c r="O722" s="55" t="str">
        <f>IF(ISNUMBER(K722),M722-N722,"")</f>
        <v/>
      </c>
      <c r="P722" s="55" t="str">
        <f>IF(COUNTA(A722:I722)=0,"",N(G722)+N(H722)+N(I722))</f>
        <v/>
      </c>
      <c r="Q722" s="56" t="str">
        <f>IF(COUNTA(A722:I722)=0,"",IF(N(IFERROR(INDEX(art_rate,MATCH(E722,art_ref,0)),0))&gt;0,N(IFERROR(INDEX(art_rate,MATCH(E722,art_ref,0)),0)),N(IFERROR(INDEX(po_rate,MATCH(C722,po_code,0)),0))))</f>
        <v/>
      </c>
      <c r="R722" s="55" t="str">
        <f>IF(AC722=1,P722*60/Q722,"")</f>
        <v/>
      </c>
      <c r="S722" s="55" t="str">
        <f>IF(AC722=1,N(G722)*60/Q722,"")</f>
        <v/>
      </c>
      <c r="T722" s="57" t="str">
        <f>IF(AC722=1,O722/M722,"")</f>
        <v/>
      </c>
      <c r="U722" s="57" t="str">
        <f>IF(AC722=1,IF(O722&gt;0,R722/O722,""),"")</f>
        <v/>
      </c>
      <c r="V722" s="57" t="str">
        <f>IF(AC722=1,IF(P722&gt;0,N(G722)/P722,""),"")</f>
        <v/>
      </c>
      <c r="W722" s="57" t="str">
        <f>IF(AC722=1,S722/M722,"")</f>
        <v/>
      </c>
      <c r="X722" s="57" t="str">
        <f>IF(AC722=1,S722/K722,"")</f>
        <v/>
      </c>
      <c r="Y722" s="58" t="str">
        <f>IF(W722="","",IF(W722&gt;=p_target,"Bon",IF(W722&gt;=p_alert,"À surveiller","Faible")))</f>
        <v/>
      </c>
      <c r="Z722" s="58" t="str">
        <f>IF(W722="","",IF(MIN(IF(T722="",1,T722),IF(U722="",1,U722),IF(V722="",1,V722))&gt;=1,"Aucune",IF(IF(T722="",1,T722)&lt;=MIN(IF(U722="",1,U722),IF(V722="",1,V722)),"Disponibilité",IF(IF(U722="",1,U722)&lt;=IF(V722="",1,V722),"Performance","Qualité"))))</f>
        <v/>
      </c>
      <c r="AA722" s="59" t="str">
        <f>IF(AC722=1,N(H722)*N(IFERROR(INDEX(art_cost,MATCH(E722,art_ref,0)),0)),"")</f>
        <v/>
      </c>
      <c r="AB722" s="58" t="str">
        <f>IF(COUNTA(A722:I722)=0,"",IF(N(A722)&lt;=0,"Date manquante ou invalide",IF(B722="","Équipe manquante",IF(ISNA(MATCH(B722,eq_code,0)),"Équipe inconnue",IF(INDEX(eq_check,MATCH(B722,eq_code,0))&lt;&gt;"OK","Équipe à corriger dans Paramètres",IF(C722="","Poste manquant",IF(ISNA(MATCH(C722,po_code,0)),"Poste inconnu",IF(AND(E722&lt;&gt;"",ISNA(MATCH(E722,art_ref,0))),"Article inconnu",IF(IF(E722="",FALSE,INDEX(art_check,MATCH(E722,art_ref,0))&lt;&gt;"OK"),"Article à corriger (feuille Articles)",IF(COUNTIFS(sj_date,A722,sj_eq,B722,sj_po,C722)&gt;1,"Ligne en double (même jour, équipe et poste)",IF(OR(NOT(ISNUMBER(K722)),N(K722)&lt;=0,N(K722)&gt;1440),"Temps d'ouverture invalide",IF(OR(AND(G722&lt;&gt;"",NOT(ISNUMBER(G722))),N(G722)&lt;0,N(G722)&lt;&gt;INT(N(G722)),AND(H722&lt;&gt;"",NOT(ISNUMBER(H722))),N(H722)&lt;0,N(H722)&lt;&gt;INT(N(H722)),AND(I722&lt;&gt;"",NOT(ISNUMBER(I722))),N(I722)&lt;0,N(I722)&lt;&gt;INT(N(I722))),"Quantité invalide",IF(Q722&lt;=0,"Cadence manquante (poste ou article)",IF(M722&lt;=0,"Arrêts planifiés supérieurs au temps d'ouverture",IF(O722&lt;0,"Arrêts supérieurs au temps requis",IF(AND(P722&gt;0,O722=0),"Pièces déclarées sans temps de marche",IF(AND(P722=0,O722&gt;0),"Aucune pièce déclarée",IF(P722*60/Q722&gt;O722+0.001,"Cadence dépassée : vérifiez la cadence","OK"))))))))))))))))))</f>
        <v/>
      </c>
      <c r="AC722">
        <f>IF(OR(AB722="OK",AB722="Aucune pièce déclarée",AB722="Cadence dépassée : vérifiez la cadence"),1,0)</f>
        <v>0.0</v>
      </c>
      <c r="AD722">
        <f>IF(AND(AC722=1,A722&gt;=p_from,A722&lt;=p_to),1,0)</f>
        <v>0.0</v>
      </c>
      <c r="AE722">
        <f>IF(AD722=1,IF(COUNTIFS($A$6:A722,A722,$AD$6:AD722,1)=1,1,0),0)</f>
        <v>0.0</v>
      </c>
      <c r="AF722" t="str">
        <f>IF(AE722=1,COUNTIFS(sj_first,1,sj_date,"&lt;"&amp;A722)+1,"")</f>
        <v/>
      </c>
      <c r="AG722" t="str">
        <f>IF(AND(AD722=1,N(W722)&lt;p_alert),ROUND(W722,4),"")</f>
        <v/>
      </c>
      <c r="AH722" t="str">
        <f>IF(AG722="","",COUNTIF(sj_akey,"&lt;"&amp;AG722)+COUNTIF($AG$6:AG722,AG722))</f>
        <v/>
      </c>
    </row>
    <row r="723">
      <c r="A723" s="51" t="n"/>
      <c r="B723" s="52" t="n"/>
      <c r="C723" s="52" t="n"/>
      <c r="D723" s="53" t="n"/>
      <c r="E723" s="53" t="n"/>
      <c r="F723" s="54" t="n"/>
      <c r="G723" s="54" t="n"/>
      <c r="H723" s="54" t="n"/>
      <c r="I723" s="54" t="n"/>
      <c r="J723" s="53" t="n"/>
      <c r="K723" s="55" t="str">
        <f>IF(COUNTA(A723:I723)=0,"",IF(F723="",IFERROR(INDEX(eq_dur,MATCH(B723,eq_code,0)),""),F723))</f>
        <v/>
      </c>
      <c r="L723" s="55" t="str">
        <f>IF(ISNUMBER(K723),N(IFERROR(INDEX(eq_pause,MATCH(B723,eq_code,0)),0))+SUMIFS(st_min,st_date,A723,st_eq,B723,st_po,C723,st_type,"Planifié"),"")</f>
        <v/>
      </c>
      <c r="M723" s="55" t="str">
        <f>IF(ISNUMBER(K723),K723-L723,"")</f>
        <v/>
      </c>
      <c r="N723" s="55" t="str">
        <f>IF(ISNUMBER(K723),SUMIFS(st_min,st_date,A723,st_eq,B723,st_po,C723,st_type,"Non planifié"),"")</f>
        <v/>
      </c>
      <c r="O723" s="55" t="str">
        <f>IF(ISNUMBER(K723),M723-N723,"")</f>
        <v/>
      </c>
      <c r="P723" s="55" t="str">
        <f>IF(COUNTA(A723:I723)=0,"",N(G723)+N(H723)+N(I723))</f>
        <v/>
      </c>
      <c r="Q723" s="56" t="str">
        <f>IF(COUNTA(A723:I723)=0,"",IF(N(IFERROR(INDEX(art_rate,MATCH(E723,art_ref,0)),0))&gt;0,N(IFERROR(INDEX(art_rate,MATCH(E723,art_ref,0)),0)),N(IFERROR(INDEX(po_rate,MATCH(C723,po_code,0)),0))))</f>
        <v/>
      </c>
      <c r="R723" s="55" t="str">
        <f>IF(AC723=1,P723*60/Q723,"")</f>
        <v/>
      </c>
      <c r="S723" s="55" t="str">
        <f>IF(AC723=1,N(G723)*60/Q723,"")</f>
        <v/>
      </c>
      <c r="T723" s="57" t="str">
        <f>IF(AC723=1,O723/M723,"")</f>
        <v/>
      </c>
      <c r="U723" s="57" t="str">
        <f>IF(AC723=1,IF(O723&gt;0,R723/O723,""),"")</f>
        <v/>
      </c>
      <c r="V723" s="57" t="str">
        <f>IF(AC723=1,IF(P723&gt;0,N(G723)/P723,""),"")</f>
        <v/>
      </c>
      <c r="W723" s="57" t="str">
        <f>IF(AC723=1,S723/M723,"")</f>
        <v/>
      </c>
      <c r="X723" s="57" t="str">
        <f>IF(AC723=1,S723/K723,"")</f>
        <v/>
      </c>
      <c r="Y723" s="58" t="str">
        <f>IF(W723="","",IF(W723&gt;=p_target,"Bon",IF(W723&gt;=p_alert,"À surveiller","Faible")))</f>
        <v/>
      </c>
      <c r="Z723" s="58" t="str">
        <f>IF(W723="","",IF(MIN(IF(T723="",1,T723),IF(U723="",1,U723),IF(V723="",1,V723))&gt;=1,"Aucune",IF(IF(T723="",1,T723)&lt;=MIN(IF(U723="",1,U723),IF(V723="",1,V723)),"Disponibilité",IF(IF(U723="",1,U723)&lt;=IF(V723="",1,V723),"Performance","Qualité"))))</f>
        <v/>
      </c>
      <c r="AA723" s="59" t="str">
        <f>IF(AC723=1,N(H723)*N(IFERROR(INDEX(art_cost,MATCH(E723,art_ref,0)),0)),"")</f>
        <v/>
      </c>
      <c r="AB723" s="58" t="str">
        <f>IF(COUNTA(A723:I723)=0,"",IF(N(A723)&lt;=0,"Date manquante ou invalide",IF(B723="","Équipe manquante",IF(ISNA(MATCH(B723,eq_code,0)),"Équipe inconnue",IF(INDEX(eq_check,MATCH(B723,eq_code,0))&lt;&gt;"OK","Équipe à corriger dans Paramètres",IF(C723="","Poste manquant",IF(ISNA(MATCH(C723,po_code,0)),"Poste inconnu",IF(AND(E723&lt;&gt;"",ISNA(MATCH(E723,art_ref,0))),"Article inconnu",IF(IF(E723="",FALSE,INDEX(art_check,MATCH(E723,art_ref,0))&lt;&gt;"OK"),"Article à corriger (feuille Articles)",IF(COUNTIFS(sj_date,A723,sj_eq,B723,sj_po,C723)&gt;1,"Ligne en double (même jour, équipe et poste)",IF(OR(NOT(ISNUMBER(K723)),N(K723)&lt;=0,N(K723)&gt;1440),"Temps d'ouverture invalide",IF(OR(AND(G723&lt;&gt;"",NOT(ISNUMBER(G723))),N(G723)&lt;0,N(G723)&lt;&gt;INT(N(G723)),AND(H723&lt;&gt;"",NOT(ISNUMBER(H723))),N(H723)&lt;0,N(H723)&lt;&gt;INT(N(H723)),AND(I723&lt;&gt;"",NOT(ISNUMBER(I723))),N(I723)&lt;0,N(I723)&lt;&gt;INT(N(I723))),"Quantité invalide",IF(Q723&lt;=0,"Cadence manquante (poste ou article)",IF(M723&lt;=0,"Arrêts planifiés supérieurs au temps d'ouverture",IF(O723&lt;0,"Arrêts supérieurs au temps requis",IF(AND(P723&gt;0,O723=0),"Pièces déclarées sans temps de marche",IF(AND(P723=0,O723&gt;0),"Aucune pièce déclarée",IF(P723*60/Q723&gt;O723+0.001,"Cadence dépassée : vérifiez la cadence","OK"))))))))))))))))))</f>
        <v/>
      </c>
      <c r="AC723">
        <f>IF(OR(AB723="OK",AB723="Aucune pièce déclarée",AB723="Cadence dépassée : vérifiez la cadence"),1,0)</f>
        <v>0.0</v>
      </c>
      <c r="AD723">
        <f>IF(AND(AC723=1,A723&gt;=p_from,A723&lt;=p_to),1,0)</f>
        <v>0.0</v>
      </c>
      <c r="AE723">
        <f>IF(AD723=1,IF(COUNTIFS($A$6:A723,A723,$AD$6:AD723,1)=1,1,0),0)</f>
        <v>0.0</v>
      </c>
      <c r="AF723" t="str">
        <f>IF(AE723=1,COUNTIFS(sj_first,1,sj_date,"&lt;"&amp;A723)+1,"")</f>
        <v/>
      </c>
      <c r="AG723" t="str">
        <f>IF(AND(AD723=1,N(W723)&lt;p_alert),ROUND(W723,4),"")</f>
        <v/>
      </c>
      <c r="AH723" t="str">
        <f>IF(AG723="","",COUNTIF(sj_akey,"&lt;"&amp;AG723)+COUNTIF($AG$6:AG723,AG723))</f>
        <v/>
      </c>
    </row>
    <row r="724">
      <c r="A724" s="51" t="n"/>
      <c r="B724" s="52" t="n"/>
      <c r="C724" s="52" t="n"/>
      <c r="D724" s="53" t="n"/>
      <c r="E724" s="53" t="n"/>
      <c r="F724" s="54" t="n"/>
      <c r="G724" s="54" t="n"/>
      <c r="H724" s="54" t="n"/>
      <c r="I724" s="54" t="n"/>
      <c r="J724" s="53" t="n"/>
      <c r="K724" s="55" t="str">
        <f>IF(COUNTA(A724:I724)=0,"",IF(F724="",IFERROR(INDEX(eq_dur,MATCH(B724,eq_code,0)),""),F724))</f>
        <v/>
      </c>
      <c r="L724" s="55" t="str">
        <f>IF(ISNUMBER(K724),N(IFERROR(INDEX(eq_pause,MATCH(B724,eq_code,0)),0))+SUMIFS(st_min,st_date,A724,st_eq,B724,st_po,C724,st_type,"Planifié"),"")</f>
        <v/>
      </c>
      <c r="M724" s="55" t="str">
        <f>IF(ISNUMBER(K724),K724-L724,"")</f>
        <v/>
      </c>
      <c r="N724" s="55" t="str">
        <f>IF(ISNUMBER(K724),SUMIFS(st_min,st_date,A724,st_eq,B724,st_po,C724,st_type,"Non planifié"),"")</f>
        <v/>
      </c>
      <c r="O724" s="55" t="str">
        <f>IF(ISNUMBER(K724),M724-N724,"")</f>
        <v/>
      </c>
      <c r="P724" s="55" t="str">
        <f>IF(COUNTA(A724:I724)=0,"",N(G724)+N(H724)+N(I724))</f>
        <v/>
      </c>
      <c r="Q724" s="56" t="str">
        <f>IF(COUNTA(A724:I724)=0,"",IF(N(IFERROR(INDEX(art_rate,MATCH(E724,art_ref,0)),0))&gt;0,N(IFERROR(INDEX(art_rate,MATCH(E724,art_ref,0)),0)),N(IFERROR(INDEX(po_rate,MATCH(C724,po_code,0)),0))))</f>
        <v/>
      </c>
      <c r="R724" s="55" t="str">
        <f>IF(AC724=1,P724*60/Q724,"")</f>
        <v/>
      </c>
      <c r="S724" s="55" t="str">
        <f>IF(AC724=1,N(G724)*60/Q724,"")</f>
        <v/>
      </c>
      <c r="T724" s="57" t="str">
        <f>IF(AC724=1,O724/M724,"")</f>
        <v/>
      </c>
      <c r="U724" s="57" t="str">
        <f>IF(AC724=1,IF(O724&gt;0,R724/O724,""),"")</f>
        <v/>
      </c>
      <c r="V724" s="57" t="str">
        <f>IF(AC724=1,IF(P724&gt;0,N(G724)/P724,""),"")</f>
        <v/>
      </c>
      <c r="W724" s="57" t="str">
        <f>IF(AC724=1,S724/M724,"")</f>
        <v/>
      </c>
      <c r="X724" s="57" t="str">
        <f>IF(AC724=1,S724/K724,"")</f>
        <v/>
      </c>
      <c r="Y724" s="58" t="str">
        <f>IF(W724="","",IF(W724&gt;=p_target,"Bon",IF(W724&gt;=p_alert,"À surveiller","Faible")))</f>
        <v/>
      </c>
      <c r="Z724" s="58" t="str">
        <f>IF(W724="","",IF(MIN(IF(T724="",1,T724),IF(U724="",1,U724),IF(V724="",1,V724))&gt;=1,"Aucune",IF(IF(T724="",1,T724)&lt;=MIN(IF(U724="",1,U724),IF(V724="",1,V724)),"Disponibilité",IF(IF(U724="",1,U724)&lt;=IF(V724="",1,V724),"Performance","Qualité"))))</f>
        <v/>
      </c>
      <c r="AA724" s="59" t="str">
        <f>IF(AC724=1,N(H724)*N(IFERROR(INDEX(art_cost,MATCH(E724,art_ref,0)),0)),"")</f>
        <v/>
      </c>
      <c r="AB724" s="58" t="str">
        <f>IF(COUNTA(A724:I724)=0,"",IF(N(A724)&lt;=0,"Date manquante ou invalide",IF(B724="","Équipe manquante",IF(ISNA(MATCH(B724,eq_code,0)),"Équipe inconnue",IF(INDEX(eq_check,MATCH(B724,eq_code,0))&lt;&gt;"OK","Équipe à corriger dans Paramètres",IF(C724="","Poste manquant",IF(ISNA(MATCH(C724,po_code,0)),"Poste inconnu",IF(AND(E724&lt;&gt;"",ISNA(MATCH(E724,art_ref,0))),"Article inconnu",IF(IF(E724="",FALSE,INDEX(art_check,MATCH(E724,art_ref,0))&lt;&gt;"OK"),"Article à corriger (feuille Articles)",IF(COUNTIFS(sj_date,A724,sj_eq,B724,sj_po,C724)&gt;1,"Ligne en double (même jour, équipe et poste)",IF(OR(NOT(ISNUMBER(K724)),N(K724)&lt;=0,N(K724)&gt;1440),"Temps d'ouverture invalide",IF(OR(AND(G724&lt;&gt;"",NOT(ISNUMBER(G724))),N(G724)&lt;0,N(G724)&lt;&gt;INT(N(G724)),AND(H724&lt;&gt;"",NOT(ISNUMBER(H724))),N(H724)&lt;0,N(H724)&lt;&gt;INT(N(H724)),AND(I724&lt;&gt;"",NOT(ISNUMBER(I724))),N(I724)&lt;0,N(I724)&lt;&gt;INT(N(I724))),"Quantité invalide",IF(Q724&lt;=0,"Cadence manquante (poste ou article)",IF(M724&lt;=0,"Arrêts planifiés supérieurs au temps d'ouverture",IF(O724&lt;0,"Arrêts supérieurs au temps requis",IF(AND(P724&gt;0,O724=0),"Pièces déclarées sans temps de marche",IF(AND(P724=0,O724&gt;0),"Aucune pièce déclarée",IF(P724*60/Q724&gt;O724+0.001,"Cadence dépassée : vérifiez la cadence","OK"))))))))))))))))))</f>
        <v/>
      </c>
      <c r="AC724">
        <f>IF(OR(AB724="OK",AB724="Aucune pièce déclarée",AB724="Cadence dépassée : vérifiez la cadence"),1,0)</f>
        <v>0.0</v>
      </c>
      <c r="AD724">
        <f>IF(AND(AC724=1,A724&gt;=p_from,A724&lt;=p_to),1,0)</f>
        <v>0.0</v>
      </c>
      <c r="AE724">
        <f>IF(AD724=1,IF(COUNTIFS($A$6:A724,A724,$AD$6:AD724,1)=1,1,0),0)</f>
        <v>0.0</v>
      </c>
      <c r="AF724" t="str">
        <f>IF(AE724=1,COUNTIFS(sj_first,1,sj_date,"&lt;"&amp;A724)+1,"")</f>
        <v/>
      </c>
      <c r="AG724" t="str">
        <f>IF(AND(AD724=1,N(W724)&lt;p_alert),ROUND(W724,4),"")</f>
        <v/>
      </c>
      <c r="AH724" t="str">
        <f>IF(AG724="","",COUNTIF(sj_akey,"&lt;"&amp;AG724)+COUNTIF($AG$6:AG724,AG724))</f>
        <v/>
      </c>
    </row>
    <row r="725">
      <c r="A725" s="51" t="n"/>
      <c r="B725" s="52" t="n"/>
      <c r="C725" s="52" t="n"/>
      <c r="D725" s="53" t="n"/>
      <c r="E725" s="53" t="n"/>
      <c r="F725" s="54" t="n"/>
      <c r="G725" s="54" t="n"/>
      <c r="H725" s="54" t="n"/>
      <c r="I725" s="54" t="n"/>
      <c r="J725" s="53" t="n"/>
      <c r="K725" s="55" t="str">
        <f>IF(COUNTA(A725:I725)=0,"",IF(F725="",IFERROR(INDEX(eq_dur,MATCH(B725,eq_code,0)),""),F725))</f>
        <v/>
      </c>
      <c r="L725" s="55" t="str">
        <f>IF(ISNUMBER(K725),N(IFERROR(INDEX(eq_pause,MATCH(B725,eq_code,0)),0))+SUMIFS(st_min,st_date,A725,st_eq,B725,st_po,C725,st_type,"Planifié"),"")</f>
        <v/>
      </c>
      <c r="M725" s="55" t="str">
        <f>IF(ISNUMBER(K725),K725-L725,"")</f>
        <v/>
      </c>
      <c r="N725" s="55" t="str">
        <f>IF(ISNUMBER(K725),SUMIFS(st_min,st_date,A725,st_eq,B725,st_po,C725,st_type,"Non planifié"),"")</f>
        <v/>
      </c>
      <c r="O725" s="55" t="str">
        <f>IF(ISNUMBER(K725),M725-N725,"")</f>
        <v/>
      </c>
      <c r="P725" s="55" t="str">
        <f>IF(COUNTA(A725:I725)=0,"",N(G725)+N(H725)+N(I725))</f>
        <v/>
      </c>
      <c r="Q725" s="56" t="str">
        <f>IF(COUNTA(A725:I725)=0,"",IF(N(IFERROR(INDEX(art_rate,MATCH(E725,art_ref,0)),0))&gt;0,N(IFERROR(INDEX(art_rate,MATCH(E725,art_ref,0)),0)),N(IFERROR(INDEX(po_rate,MATCH(C725,po_code,0)),0))))</f>
        <v/>
      </c>
      <c r="R725" s="55" t="str">
        <f>IF(AC725=1,P725*60/Q725,"")</f>
        <v/>
      </c>
      <c r="S725" s="55" t="str">
        <f>IF(AC725=1,N(G725)*60/Q725,"")</f>
        <v/>
      </c>
      <c r="T725" s="57" t="str">
        <f>IF(AC725=1,O725/M725,"")</f>
        <v/>
      </c>
      <c r="U725" s="57" t="str">
        <f>IF(AC725=1,IF(O725&gt;0,R725/O725,""),"")</f>
        <v/>
      </c>
      <c r="V725" s="57" t="str">
        <f>IF(AC725=1,IF(P725&gt;0,N(G725)/P725,""),"")</f>
        <v/>
      </c>
      <c r="W725" s="57" t="str">
        <f>IF(AC725=1,S725/M725,"")</f>
        <v/>
      </c>
      <c r="X725" s="57" t="str">
        <f>IF(AC725=1,S725/K725,"")</f>
        <v/>
      </c>
      <c r="Y725" s="58" t="str">
        <f>IF(W725="","",IF(W725&gt;=p_target,"Bon",IF(W725&gt;=p_alert,"À surveiller","Faible")))</f>
        <v/>
      </c>
      <c r="Z725" s="58" t="str">
        <f>IF(W725="","",IF(MIN(IF(T725="",1,T725),IF(U725="",1,U725),IF(V725="",1,V725))&gt;=1,"Aucune",IF(IF(T725="",1,T725)&lt;=MIN(IF(U725="",1,U725),IF(V725="",1,V725)),"Disponibilité",IF(IF(U725="",1,U725)&lt;=IF(V725="",1,V725),"Performance","Qualité"))))</f>
        <v/>
      </c>
      <c r="AA725" s="59" t="str">
        <f>IF(AC725=1,N(H725)*N(IFERROR(INDEX(art_cost,MATCH(E725,art_ref,0)),0)),"")</f>
        <v/>
      </c>
      <c r="AB725" s="58" t="str">
        <f>IF(COUNTA(A725:I725)=0,"",IF(N(A725)&lt;=0,"Date manquante ou invalide",IF(B725="","Équipe manquante",IF(ISNA(MATCH(B725,eq_code,0)),"Équipe inconnue",IF(INDEX(eq_check,MATCH(B725,eq_code,0))&lt;&gt;"OK","Équipe à corriger dans Paramètres",IF(C725="","Poste manquant",IF(ISNA(MATCH(C725,po_code,0)),"Poste inconnu",IF(AND(E725&lt;&gt;"",ISNA(MATCH(E725,art_ref,0))),"Article inconnu",IF(IF(E725="",FALSE,INDEX(art_check,MATCH(E725,art_ref,0))&lt;&gt;"OK"),"Article à corriger (feuille Articles)",IF(COUNTIFS(sj_date,A725,sj_eq,B725,sj_po,C725)&gt;1,"Ligne en double (même jour, équipe et poste)",IF(OR(NOT(ISNUMBER(K725)),N(K725)&lt;=0,N(K725)&gt;1440),"Temps d'ouverture invalide",IF(OR(AND(G725&lt;&gt;"",NOT(ISNUMBER(G725))),N(G725)&lt;0,N(G725)&lt;&gt;INT(N(G725)),AND(H725&lt;&gt;"",NOT(ISNUMBER(H725))),N(H725)&lt;0,N(H725)&lt;&gt;INT(N(H725)),AND(I725&lt;&gt;"",NOT(ISNUMBER(I725))),N(I725)&lt;0,N(I725)&lt;&gt;INT(N(I725))),"Quantité invalide",IF(Q725&lt;=0,"Cadence manquante (poste ou article)",IF(M725&lt;=0,"Arrêts planifiés supérieurs au temps d'ouverture",IF(O725&lt;0,"Arrêts supérieurs au temps requis",IF(AND(P725&gt;0,O725=0),"Pièces déclarées sans temps de marche",IF(AND(P725=0,O725&gt;0),"Aucune pièce déclarée",IF(P725*60/Q725&gt;O725+0.001,"Cadence dépassée : vérifiez la cadence","OK"))))))))))))))))))</f>
        <v/>
      </c>
      <c r="AC725">
        <f>IF(OR(AB725="OK",AB725="Aucune pièce déclarée",AB725="Cadence dépassée : vérifiez la cadence"),1,0)</f>
        <v>0.0</v>
      </c>
      <c r="AD725">
        <f>IF(AND(AC725=1,A725&gt;=p_from,A725&lt;=p_to),1,0)</f>
        <v>0.0</v>
      </c>
      <c r="AE725">
        <f>IF(AD725=1,IF(COUNTIFS($A$6:A725,A725,$AD$6:AD725,1)=1,1,0),0)</f>
        <v>0.0</v>
      </c>
      <c r="AF725" t="str">
        <f>IF(AE725=1,COUNTIFS(sj_first,1,sj_date,"&lt;"&amp;A725)+1,"")</f>
        <v/>
      </c>
      <c r="AG725" t="str">
        <f>IF(AND(AD725=1,N(W725)&lt;p_alert),ROUND(W725,4),"")</f>
        <v/>
      </c>
      <c r="AH725" t="str">
        <f>IF(AG725="","",COUNTIF(sj_akey,"&lt;"&amp;AG725)+COUNTIF($AG$6:AG725,AG725))</f>
        <v/>
      </c>
    </row>
    <row r="726">
      <c r="A726" s="51" t="n"/>
      <c r="B726" s="52" t="n"/>
      <c r="C726" s="52" t="n"/>
      <c r="D726" s="53" t="n"/>
      <c r="E726" s="53" t="n"/>
      <c r="F726" s="54" t="n"/>
      <c r="G726" s="54" t="n"/>
      <c r="H726" s="54" t="n"/>
      <c r="I726" s="54" t="n"/>
      <c r="J726" s="53" t="n"/>
      <c r="K726" s="55" t="str">
        <f>IF(COUNTA(A726:I726)=0,"",IF(F726="",IFERROR(INDEX(eq_dur,MATCH(B726,eq_code,0)),""),F726))</f>
        <v/>
      </c>
      <c r="L726" s="55" t="str">
        <f>IF(ISNUMBER(K726),N(IFERROR(INDEX(eq_pause,MATCH(B726,eq_code,0)),0))+SUMIFS(st_min,st_date,A726,st_eq,B726,st_po,C726,st_type,"Planifié"),"")</f>
        <v/>
      </c>
      <c r="M726" s="55" t="str">
        <f>IF(ISNUMBER(K726),K726-L726,"")</f>
        <v/>
      </c>
      <c r="N726" s="55" t="str">
        <f>IF(ISNUMBER(K726),SUMIFS(st_min,st_date,A726,st_eq,B726,st_po,C726,st_type,"Non planifié"),"")</f>
        <v/>
      </c>
      <c r="O726" s="55" t="str">
        <f>IF(ISNUMBER(K726),M726-N726,"")</f>
        <v/>
      </c>
      <c r="P726" s="55" t="str">
        <f>IF(COUNTA(A726:I726)=0,"",N(G726)+N(H726)+N(I726))</f>
        <v/>
      </c>
      <c r="Q726" s="56" t="str">
        <f>IF(COUNTA(A726:I726)=0,"",IF(N(IFERROR(INDEX(art_rate,MATCH(E726,art_ref,0)),0))&gt;0,N(IFERROR(INDEX(art_rate,MATCH(E726,art_ref,0)),0)),N(IFERROR(INDEX(po_rate,MATCH(C726,po_code,0)),0))))</f>
        <v/>
      </c>
      <c r="R726" s="55" t="str">
        <f>IF(AC726=1,P726*60/Q726,"")</f>
        <v/>
      </c>
      <c r="S726" s="55" t="str">
        <f>IF(AC726=1,N(G726)*60/Q726,"")</f>
        <v/>
      </c>
      <c r="T726" s="57" t="str">
        <f>IF(AC726=1,O726/M726,"")</f>
        <v/>
      </c>
      <c r="U726" s="57" t="str">
        <f>IF(AC726=1,IF(O726&gt;0,R726/O726,""),"")</f>
        <v/>
      </c>
      <c r="V726" s="57" t="str">
        <f>IF(AC726=1,IF(P726&gt;0,N(G726)/P726,""),"")</f>
        <v/>
      </c>
      <c r="W726" s="57" t="str">
        <f>IF(AC726=1,S726/M726,"")</f>
        <v/>
      </c>
      <c r="X726" s="57" t="str">
        <f>IF(AC726=1,S726/K726,"")</f>
        <v/>
      </c>
      <c r="Y726" s="58" t="str">
        <f>IF(W726="","",IF(W726&gt;=p_target,"Bon",IF(W726&gt;=p_alert,"À surveiller","Faible")))</f>
        <v/>
      </c>
      <c r="Z726" s="58" t="str">
        <f>IF(W726="","",IF(MIN(IF(T726="",1,T726),IF(U726="",1,U726),IF(V726="",1,V726))&gt;=1,"Aucune",IF(IF(T726="",1,T726)&lt;=MIN(IF(U726="",1,U726),IF(V726="",1,V726)),"Disponibilité",IF(IF(U726="",1,U726)&lt;=IF(V726="",1,V726),"Performance","Qualité"))))</f>
        <v/>
      </c>
      <c r="AA726" s="59" t="str">
        <f>IF(AC726=1,N(H726)*N(IFERROR(INDEX(art_cost,MATCH(E726,art_ref,0)),0)),"")</f>
        <v/>
      </c>
      <c r="AB726" s="58" t="str">
        <f>IF(COUNTA(A726:I726)=0,"",IF(N(A726)&lt;=0,"Date manquante ou invalide",IF(B726="","Équipe manquante",IF(ISNA(MATCH(B726,eq_code,0)),"Équipe inconnue",IF(INDEX(eq_check,MATCH(B726,eq_code,0))&lt;&gt;"OK","Équipe à corriger dans Paramètres",IF(C726="","Poste manquant",IF(ISNA(MATCH(C726,po_code,0)),"Poste inconnu",IF(AND(E726&lt;&gt;"",ISNA(MATCH(E726,art_ref,0))),"Article inconnu",IF(IF(E726="",FALSE,INDEX(art_check,MATCH(E726,art_ref,0))&lt;&gt;"OK"),"Article à corriger (feuille Articles)",IF(COUNTIFS(sj_date,A726,sj_eq,B726,sj_po,C726)&gt;1,"Ligne en double (même jour, équipe et poste)",IF(OR(NOT(ISNUMBER(K726)),N(K726)&lt;=0,N(K726)&gt;1440),"Temps d'ouverture invalide",IF(OR(AND(G726&lt;&gt;"",NOT(ISNUMBER(G726))),N(G726)&lt;0,N(G726)&lt;&gt;INT(N(G726)),AND(H726&lt;&gt;"",NOT(ISNUMBER(H726))),N(H726)&lt;0,N(H726)&lt;&gt;INT(N(H726)),AND(I726&lt;&gt;"",NOT(ISNUMBER(I726))),N(I726)&lt;0,N(I726)&lt;&gt;INT(N(I726))),"Quantité invalide",IF(Q726&lt;=0,"Cadence manquante (poste ou article)",IF(M726&lt;=0,"Arrêts planifiés supérieurs au temps d'ouverture",IF(O726&lt;0,"Arrêts supérieurs au temps requis",IF(AND(P726&gt;0,O726=0),"Pièces déclarées sans temps de marche",IF(AND(P726=0,O726&gt;0),"Aucune pièce déclarée",IF(P726*60/Q726&gt;O726+0.001,"Cadence dépassée : vérifiez la cadence","OK"))))))))))))))))))</f>
        <v/>
      </c>
      <c r="AC726">
        <f>IF(OR(AB726="OK",AB726="Aucune pièce déclarée",AB726="Cadence dépassée : vérifiez la cadence"),1,0)</f>
        <v>0.0</v>
      </c>
      <c r="AD726">
        <f>IF(AND(AC726=1,A726&gt;=p_from,A726&lt;=p_to),1,0)</f>
        <v>0.0</v>
      </c>
      <c r="AE726">
        <f>IF(AD726=1,IF(COUNTIFS($A$6:A726,A726,$AD$6:AD726,1)=1,1,0),0)</f>
        <v>0.0</v>
      </c>
      <c r="AF726" t="str">
        <f>IF(AE726=1,COUNTIFS(sj_first,1,sj_date,"&lt;"&amp;A726)+1,"")</f>
        <v/>
      </c>
      <c r="AG726" t="str">
        <f>IF(AND(AD726=1,N(W726)&lt;p_alert),ROUND(W726,4),"")</f>
        <v/>
      </c>
      <c r="AH726" t="str">
        <f>IF(AG726="","",COUNTIF(sj_akey,"&lt;"&amp;AG726)+COUNTIF($AG$6:AG726,AG726))</f>
        <v/>
      </c>
    </row>
    <row r="727">
      <c r="A727" s="51" t="n"/>
      <c r="B727" s="52" t="n"/>
      <c r="C727" s="52" t="n"/>
      <c r="D727" s="53" t="n"/>
      <c r="E727" s="53" t="n"/>
      <c r="F727" s="54" t="n"/>
      <c r="G727" s="54" t="n"/>
      <c r="H727" s="54" t="n"/>
      <c r="I727" s="54" t="n"/>
      <c r="J727" s="53" t="n"/>
      <c r="K727" s="55" t="str">
        <f>IF(COUNTA(A727:I727)=0,"",IF(F727="",IFERROR(INDEX(eq_dur,MATCH(B727,eq_code,0)),""),F727))</f>
        <v/>
      </c>
      <c r="L727" s="55" t="str">
        <f>IF(ISNUMBER(K727),N(IFERROR(INDEX(eq_pause,MATCH(B727,eq_code,0)),0))+SUMIFS(st_min,st_date,A727,st_eq,B727,st_po,C727,st_type,"Planifié"),"")</f>
        <v/>
      </c>
      <c r="M727" s="55" t="str">
        <f>IF(ISNUMBER(K727),K727-L727,"")</f>
        <v/>
      </c>
      <c r="N727" s="55" t="str">
        <f>IF(ISNUMBER(K727),SUMIFS(st_min,st_date,A727,st_eq,B727,st_po,C727,st_type,"Non planifié"),"")</f>
        <v/>
      </c>
      <c r="O727" s="55" t="str">
        <f>IF(ISNUMBER(K727),M727-N727,"")</f>
        <v/>
      </c>
      <c r="P727" s="55" t="str">
        <f>IF(COUNTA(A727:I727)=0,"",N(G727)+N(H727)+N(I727))</f>
        <v/>
      </c>
      <c r="Q727" s="56" t="str">
        <f>IF(COUNTA(A727:I727)=0,"",IF(N(IFERROR(INDEX(art_rate,MATCH(E727,art_ref,0)),0))&gt;0,N(IFERROR(INDEX(art_rate,MATCH(E727,art_ref,0)),0)),N(IFERROR(INDEX(po_rate,MATCH(C727,po_code,0)),0))))</f>
        <v/>
      </c>
      <c r="R727" s="55" t="str">
        <f>IF(AC727=1,P727*60/Q727,"")</f>
        <v/>
      </c>
      <c r="S727" s="55" t="str">
        <f>IF(AC727=1,N(G727)*60/Q727,"")</f>
        <v/>
      </c>
      <c r="T727" s="57" t="str">
        <f>IF(AC727=1,O727/M727,"")</f>
        <v/>
      </c>
      <c r="U727" s="57" t="str">
        <f>IF(AC727=1,IF(O727&gt;0,R727/O727,""),"")</f>
        <v/>
      </c>
      <c r="V727" s="57" t="str">
        <f>IF(AC727=1,IF(P727&gt;0,N(G727)/P727,""),"")</f>
        <v/>
      </c>
      <c r="W727" s="57" t="str">
        <f>IF(AC727=1,S727/M727,"")</f>
        <v/>
      </c>
      <c r="X727" s="57" t="str">
        <f>IF(AC727=1,S727/K727,"")</f>
        <v/>
      </c>
      <c r="Y727" s="58" t="str">
        <f>IF(W727="","",IF(W727&gt;=p_target,"Bon",IF(W727&gt;=p_alert,"À surveiller","Faible")))</f>
        <v/>
      </c>
      <c r="Z727" s="58" t="str">
        <f>IF(W727="","",IF(MIN(IF(T727="",1,T727),IF(U727="",1,U727),IF(V727="",1,V727))&gt;=1,"Aucune",IF(IF(T727="",1,T727)&lt;=MIN(IF(U727="",1,U727),IF(V727="",1,V727)),"Disponibilité",IF(IF(U727="",1,U727)&lt;=IF(V727="",1,V727),"Performance","Qualité"))))</f>
        <v/>
      </c>
      <c r="AA727" s="59" t="str">
        <f>IF(AC727=1,N(H727)*N(IFERROR(INDEX(art_cost,MATCH(E727,art_ref,0)),0)),"")</f>
        <v/>
      </c>
      <c r="AB727" s="58" t="str">
        <f>IF(COUNTA(A727:I727)=0,"",IF(N(A727)&lt;=0,"Date manquante ou invalide",IF(B727="","Équipe manquante",IF(ISNA(MATCH(B727,eq_code,0)),"Équipe inconnue",IF(INDEX(eq_check,MATCH(B727,eq_code,0))&lt;&gt;"OK","Équipe à corriger dans Paramètres",IF(C727="","Poste manquant",IF(ISNA(MATCH(C727,po_code,0)),"Poste inconnu",IF(AND(E727&lt;&gt;"",ISNA(MATCH(E727,art_ref,0))),"Article inconnu",IF(IF(E727="",FALSE,INDEX(art_check,MATCH(E727,art_ref,0))&lt;&gt;"OK"),"Article à corriger (feuille Articles)",IF(COUNTIFS(sj_date,A727,sj_eq,B727,sj_po,C727)&gt;1,"Ligne en double (même jour, équipe et poste)",IF(OR(NOT(ISNUMBER(K727)),N(K727)&lt;=0,N(K727)&gt;1440),"Temps d'ouverture invalide",IF(OR(AND(G727&lt;&gt;"",NOT(ISNUMBER(G727))),N(G727)&lt;0,N(G727)&lt;&gt;INT(N(G727)),AND(H727&lt;&gt;"",NOT(ISNUMBER(H727))),N(H727)&lt;0,N(H727)&lt;&gt;INT(N(H727)),AND(I727&lt;&gt;"",NOT(ISNUMBER(I727))),N(I727)&lt;0,N(I727)&lt;&gt;INT(N(I727))),"Quantité invalide",IF(Q727&lt;=0,"Cadence manquante (poste ou article)",IF(M727&lt;=0,"Arrêts planifiés supérieurs au temps d'ouverture",IF(O727&lt;0,"Arrêts supérieurs au temps requis",IF(AND(P727&gt;0,O727=0),"Pièces déclarées sans temps de marche",IF(AND(P727=0,O727&gt;0),"Aucune pièce déclarée",IF(P727*60/Q727&gt;O727+0.001,"Cadence dépassée : vérifiez la cadence","OK"))))))))))))))))))</f>
        <v/>
      </c>
      <c r="AC727">
        <f>IF(OR(AB727="OK",AB727="Aucune pièce déclarée",AB727="Cadence dépassée : vérifiez la cadence"),1,0)</f>
        <v>0.0</v>
      </c>
      <c r="AD727">
        <f>IF(AND(AC727=1,A727&gt;=p_from,A727&lt;=p_to),1,0)</f>
        <v>0.0</v>
      </c>
      <c r="AE727">
        <f>IF(AD727=1,IF(COUNTIFS($A$6:A727,A727,$AD$6:AD727,1)=1,1,0),0)</f>
        <v>0.0</v>
      </c>
      <c r="AF727" t="str">
        <f>IF(AE727=1,COUNTIFS(sj_first,1,sj_date,"&lt;"&amp;A727)+1,"")</f>
        <v/>
      </c>
      <c r="AG727" t="str">
        <f>IF(AND(AD727=1,N(W727)&lt;p_alert),ROUND(W727,4),"")</f>
        <v/>
      </c>
      <c r="AH727" t="str">
        <f>IF(AG727="","",COUNTIF(sj_akey,"&lt;"&amp;AG727)+COUNTIF($AG$6:AG727,AG727))</f>
        <v/>
      </c>
    </row>
    <row r="728">
      <c r="A728" s="51" t="n"/>
      <c r="B728" s="52" t="n"/>
      <c r="C728" s="52" t="n"/>
      <c r="D728" s="53" t="n"/>
      <c r="E728" s="53" t="n"/>
      <c r="F728" s="54" t="n"/>
      <c r="G728" s="54" t="n"/>
      <c r="H728" s="54" t="n"/>
      <c r="I728" s="54" t="n"/>
      <c r="J728" s="53" t="n"/>
      <c r="K728" s="55" t="str">
        <f>IF(COUNTA(A728:I728)=0,"",IF(F728="",IFERROR(INDEX(eq_dur,MATCH(B728,eq_code,0)),""),F728))</f>
        <v/>
      </c>
      <c r="L728" s="55" t="str">
        <f>IF(ISNUMBER(K728),N(IFERROR(INDEX(eq_pause,MATCH(B728,eq_code,0)),0))+SUMIFS(st_min,st_date,A728,st_eq,B728,st_po,C728,st_type,"Planifié"),"")</f>
        <v/>
      </c>
      <c r="M728" s="55" t="str">
        <f>IF(ISNUMBER(K728),K728-L728,"")</f>
        <v/>
      </c>
      <c r="N728" s="55" t="str">
        <f>IF(ISNUMBER(K728),SUMIFS(st_min,st_date,A728,st_eq,B728,st_po,C728,st_type,"Non planifié"),"")</f>
        <v/>
      </c>
      <c r="O728" s="55" t="str">
        <f>IF(ISNUMBER(K728),M728-N728,"")</f>
        <v/>
      </c>
      <c r="P728" s="55" t="str">
        <f>IF(COUNTA(A728:I728)=0,"",N(G728)+N(H728)+N(I728))</f>
        <v/>
      </c>
      <c r="Q728" s="56" t="str">
        <f>IF(COUNTA(A728:I728)=0,"",IF(N(IFERROR(INDEX(art_rate,MATCH(E728,art_ref,0)),0))&gt;0,N(IFERROR(INDEX(art_rate,MATCH(E728,art_ref,0)),0)),N(IFERROR(INDEX(po_rate,MATCH(C728,po_code,0)),0))))</f>
        <v/>
      </c>
      <c r="R728" s="55" t="str">
        <f>IF(AC728=1,P728*60/Q728,"")</f>
        <v/>
      </c>
      <c r="S728" s="55" t="str">
        <f>IF(AC728=1,N(G728)*60/Q728,"")</f>
        <v/>
      </c>
      <c r="T728" s="57" t="str">
        <f>IF(AC728=1,O728/M728,"")</f>
        <v/>
      </c>
      <c r="U728" s="57" t="str">
        <f>IF(AC728=1,IF(O728&gt;0,R728/O728,""),"")</f>
        <v/>
      </c>
      <c r="V728" s="57" t="str">
        <f>IF(AC728=1,IF(P728&gt;0,N(G728)/P728,""),"")</f>
        <v/>
      </c>
      <c r="W728" s="57" t="str">
        <f>IF(AC728=1,S728/M728,"")</f>
        <v/>
      </c>
      <c r="X728" s="57" t="str">
        <f>IF(AC728=1,S728/K728,"")</f>
        <v/>
      </c>
      <c r="Y728" s="58" t="str">
        <f>IF(W728="","",IF(W728&gt;=p_target,"Bon",IF(W728&gt;=p_alert,"À surveiller","Faible")))</f>
        <v/>
      </c>
      <c r="Z728" s="58" t="str">
        <f>IF(W728="","",IF(MIN(IF(T728="",1,T728),IF(U728="",1,U728),IF(V728="",1,V728))&gt;=1,"Aucune",IF(IF(T728="",1,T728)&lt;=MIN(IF(U728="",1,U728),IF(V728="",1,V728)),"Disponibilité",IF(IF(U728="",1,U728)&lt;=IF(V728="",1,V728),"Performance","Qualité"))))</f>
        <v/>
      </c>
      <c r="AA728" s="59" t="str">
        <f>IF(AC728=1,N(H728)*N(IFERROR(INDEX(art_cost,MATCH(E728,art_ref,0)),0)),"")</f>
        <v/>
      </c>
      <c r="AB728" s="58" t="str">
        <f>IF(COUNTA(A728:I728)=0,"",IF(N(A728)&lt;=0,"Date manquante ou invalide",IF(B728="","Équipe manquante",IF(ISNA(MATCH(B728,eq_code,0)),"Équipe inconnue",IF(INDEX(eq_check,MATCH(B728,eq_code,0))&lt;&gt;"OK","Équipe à corriger dans Paramètres",IF(C728="","Poste manquant",IF(ISNA(MATCH(C728,po_code,0)),"Poste inconnu",IF(AND(E728&lt;&gt;"",ISNA(MATCH(E728,art_ref,0))),"Article inconnu",IF(IF(E728="",FALSE,INDEX(art_check,MATCH(E728,art_ref,0))&lt;&gt;"OK"),"Article à corriger (feuille Articles)",IF(COUNTIFS(sj_date,A728,sj_eq,B728,sj_po,C728)&gt;1,"Ligne en double (même jour, équipe et poste)",IF(OR(NOT(ISNUMBER(K728)),N(K728)&lt;=0,N(K728)&gt;1440),"Temps d'ouverture invalide",IF(OR(AND(G728&lt;&gt;"",NOT(ISNUMBER(G728))),N(G728)&lt;0,N(G728)&lt;&gt;INT(N(G728)),AND(H728&lt;&gt;"",NOT(ISNUMBER(H728))),N(H728)&lt;0,N(H728)&lt;&gt;INT(N(H728)),AND(I728&lt;&gt;"",NOT(ISNUMBER(I728))),N(I728)&lt;0,N(I728)&lt;&gt;INT(N(I728))),"Quantité invalide",IF(Q728&lt;=0,"Cadence manquante (poste ou article)",IF(M728&lt;=0,"Arrêts planifiés supérieurs au temps d'ouverture",IF(O728&lt;0,"Arrêts supérieurs au temps requis",IF(AND(P728&gt;0,O728=0),"Pièces déclarées sans temps de marche",IF(AND(P728=0,O728&gt;0),"Aucune pièce déclarée",IF(P728*60/Q728&gt;O728+0.001,"Cadence dépassée : vérifiez la cadence","OK"))))))))))))))))))</f>
        <v/>
      </c>
      <c r="AC728">
        <f>IF(OR(AB728="OK",AB728="Aucune pièce déclarée",AB728="Cadence dépassée : vérifiez la cadence"),1,0)</f>
        <v>0.0</v>
      </c>
      <c r="AD728">
        <f>IF(AND(AC728=1,A728&gt;=p_from,A728&lt;=p_to),1,0)</f>
        <v>0.0</v>
      </c>
      <c r="AE728">
        <f>IF(AD728=1,IF(COUNTIFS($A$6:A728,A728,$AD$6:AD728,1)=1,1,0),0)</f>
        <v>0.0</v>
      </c>
      <c r="AF728" t="str">
        <f>IF(AE728=1,COUNTIFS(sj_first,1,sj_date,"&lt;"&amp;A728)+1,"")</f>
        <v/>
      </c>
      <c r="AG728" t="str">
        <f>IF(AND(AD728=1,N(W728)&lt;p_alert),ROUND(W728,4),"")</f>
        <v/>
      </c>
      <c r="AH728" t="str">
        <f>IF(AG728="","",COUNTIF(sj_akey,"&lt;"&amp;AG728)+COUNTIF($AG$6:AG728,AG728))</f>
        <v/>
      </c>
    </row>
    <row r="729">
      <c r="A729" s="51" t="n"/>
      <c r="B729" s="52" t="n"/>
      <c r="C729" s="52" t="n"/>
      <c r="D729" s="53" t="n"/>
      <c r="E729" s="53" t="n"/>
      <c r="F729" s="54" t="n"/>
      <c r="G729" s="54" t="n"/>
      <c r="H729" s="54" t="n"/>
      <c r="I729" s="54" t="n"/>
      <c r="J729" s="53" t="n"/>
      <c r="K729" s="55" t="str">
        <f>IF(COUNTA(A729:I729)=0,"",IF(F729="",IFERROR(INDEX(eq_dur,MATCH(B729,eq_code,0)),""),F729))</f>
        <v/>
      </c>
      <c r="L729" s="55" t="str">
        <f>IF(ISNUMBER(K729),N(IFERROR(INDEX(eq_pause,MATCH(B729,eq_code,0)),0))+SUMIFS(st_min,st_date,A729,st_eq,B729,st_po,C729,st_type,"Planifié"),"")</f>
        <v/>
      </c>
      <c r="M729" s="55" t="str">
        <f>IF(ISNUMBER(K729),K729-L729,"")</f>
        <v/>
      </c>
      <c r="N729" s="55" t="str">
        <f>IF(ISNUMBER(K729),SUMIFS(st_min,st_date,A729,st_eq,B729,st_po,C729,st_type,"Non planifié"),"")</f>
        <v/>
      </c>
      <c r="O729" s="55" t="str">
        <f>IF(ISNUMBER(K729),M729-N729,"")</f>
        <v/>
      </c>
      <c r="P729" s="55" t="str">
        <f>IF(COUNTA(A729:I729)=0,"",N(G729)+N(H729)+N(I729))</f>
        <v/>
      </c>
      <c r="Q729" s="56" t="str">
        <f>IF(COUNTA(A729:I729)=0,"",IF(N(IFERROR(INDEX(art_rate,MATCH(E729,art_ref,0)),0))&gt;0,N(IFERROR(INDEX(art_rate,MATCH(E729,art_ref,0)),0)),N(IFERROR(INDEX(po_rate,MATCH(C729,po_code,0)),0))))</f>
        <v/>
      </c>
      <c r="R729" s="55" t="str">
        <f>IF(AC729=1,P729*60/Q729,"")</f>
        <v/>
      </c>
      <c r="S729" s="55" t="str">
        <f>IF(AC729=1,N(G729)*60/Q729,"")</f>
        <v/>
      </c>
      <c r="T729" s="57" t="str">
        <f>IF(AC729=1,O729/M729,"")</f>
        <v/>
      </c>
      <c r="U729" s="57" t="str">
        <f>IF(AC729=1,IF(O729&gt;0,R729/O729,""),"")</f>
        <v/>
      </c>
      <c r="V729" s="57" t="str">
        <f>IF(AC729=1,IF(P729&gt;0,N(G729)/P729,""),"")</f>
        <v/>
      </c>
      <c r="W729" s="57" t="str">
        <f>IF(AC729=1,S729/M729,"")</f>
        <v/>
      </c>
      <c r="X729" s="57" t="str">
        <f>IF(AC729=1,S729/K729,"")</f>
        <v/>
      </c>
      <c r="Y729" s="58" t="str">
        <f>IF(W729="","",IF(W729&gt;=p_target,"Bon",IF(W729&gt;=p_alert,"À surveiller","Faible")))</f>
        <v/>
      </c>
      <c r="Z729" s="58" t="str">
        <f>IF(W729="","",IF(MIN(IF(T729="",1,T729),IF(U729="",1,U729),IF(V729="",1,V729))&gt;=1,"Aucune",IF(IF(T729="",1,T729)&lt;=MIN(IF(U729="",1,U729),IF(V729="",1,V729)),"Disponibilité",IF(IF(U729="",1,U729)&lt;=IF(V729="",1,V729),"Performance","Qualité"))))</f>
        <v/>
      </c>
      <c r="AA729" s="59" t="str">
        <f>IF(AC729=1,N(H729)*N(IFERROR(INDEX(art_cost,MATCH(E729,art_ref,0)),0)),"")</f>
        <v/>
      </c>
      <c r="AB729" s="58" t="str">
        <f>IF(COUNTA(A729:I729)=0,"",IF(N(A729)&lt;=0,"Date manquante ou invalide",IF(B729="","Équipe manquante",IF(ISNA(MATCH(B729,eq_code,0)),"Équipe inconnue",IF(INDEX(eq_check,MATCH(B729,eq_code,0))&lt;&gt;"OK","Équipe à corriger dans Paramètres",IF(C729="","Poste manquant",IF(ISNA(MATCH(C729,po_code,0)),"Poste inconnu",IF(AND(E729&lt;&gt;"",ISNA(MATCH(E729,art_ref,0))),"Article inconnu",IF(IF(E729="",FALSE,INDEX(art_check,MATCH(E729,art_ref,0))&lt;&gt;"OK"),"Article à corriger (feuille Articles)",IF(COUNTIFS(sj_date,A729,sj_eq,B729,sj_po,C729)&gt;1,"Ligne en double (même jour, équipe et poste)",IF(OR(NOT(ISNUMBER(K729)),N(K729)&lt;=0,N(K729)&gt;1440),"Temps d'ouverture invalide",IF(OR(AND(G729&lt;&gt;"",NOT(ISNUMBER(G729))),N(G729)&lt;0,N(G729)&lt;&gt;INT(N(G729)),AND(H729&lt;&gt;"",NOT(ISNUMBER(H729))),N(H729)&lt;0,N(H729)&lt;&gt;INT(N(H729)),AND(I729&lt;&gt;"",NOT(ISNUMBER(I729))),N(I729)&lt;0,N(I729)&lt;&gt;INT(N(I729))),"Quantité invalide",IF(Q729&lt;=0,"Cadence manquante (poste ou article)",IF(M729&lt;=0,"Arrêts planifiés supérieurs au temps d'ouverture",IF(O729&lt;0,"Arrêts supérieurs au temps requis",IF(AND(P729&gt;0,O729=0),"Pièces déclarées sans temps de marche",IF(AND(P729=0,O729&gt;0),"Aucune pièce déclarée",IF(P729*60/Q729&gt;O729+0.001,"Cadence dépassée : vérifiez la cadence","OK"))))))))))))))))))</f>
        <v/>
      </c>
      <c r="AC729">
        <f>IF(OR(AB729="OK",AB729="Aucune pièce déclarée",AB729="Cadence dépassée : vérifiez la cadence"),1,0)</f>
        <v>0.0</v>
      </c>
      <c r="AD729">
        <f>IF(AND(AC729=1,A729&gt;=p_from,A729&lt;=p_to),1,0)</f>
        <v>0.0</v>
      </c>
      <c r="AE729">
        <f>IF(AD729=1,IF(COUNTIFS($A$6:A729,A729,$AD$6:AD729,1)=1,1,0),0)</f>
        <v>0.0</v>
      </c>
      <c r="AF729" t="str">
        <f>IF(AE729=1,COUNTIFS(sj_first,1,sj_date,"&lt;"&amp;A729)+1,"")</f>
        <v/>
      </c>
      <c r="AG729" t="str">
        <f>IF(AND(AD729=1,N(W729)&lt;p_alert),ROUND(W729,4),"")</f>
        <v/>
      </c>
      <c r="AH729" t="str">
        <f>IF(AG729="","",COUNTIF(sj_akey,"&lt;"&amp;AG729)+COUNTIF($AG$6:AG729,AG729))</f>
        <v/>
      </c>
    </row>
    <row r="730">
      <c r="A730" s="51" t="n"/>
      <c r="B730" s="52" t="n"/>
      <c r="C730" s="52" t="n"/>
      <c r="D730" s="53" t="n"/>
      <c r="E730" s="53" t="n"/>
      <c r="F730" s="54" t="n"/>
      <c r="G730" s="54" t="n"/>
      <c r="H730" s="54" t="n"/>
      <c r="I730" s="54" t="n"/>
      <c r="J730" s="53" t="n"/>
      <c r="K730" s="55" t="str">
        <f>IF(COUNTA(A730:I730)=0,"",IF(F730="",IFERROR(INDEX(eq_dur,MATCH(B730,eq_code,0)),""),F730))</f>
        <v/>
      </c>
      <c r="L730" s="55" t="str">
        <f>IF(ISNUMBER(K730),N(IFERROR(INDEX(eq_pause,MATCH(B730,eq_code,0)),0))+SUMIFS(st_min,st_date,A730,st_eq,B730,st_po,C730,st_type,"Planifié"),"")</f>
        <v/>
      </c>
      <c r="M730" s="55" t="str">
        <f>IF(ISNUMBER(K730),K730-L730,"")</f>
        <v/>
      </c>
      <c r="N730" s="55" t="str">
        <f>IF(ISNUMBER(K730),SUMIFS(st_min,st_date,A730,st_eq,B730,st_po,C730,st_type,"Non planifié"),"")</f>
        <v/>
      </c>
      <c r="O730" s="55" t="str">
        <f>IF(ISNUMBER(K730),M730-N730,"")</f>
        <v/>
      </c>
      <c r="P730" s="55" t="str">
        <f>IF(COUNTA(A730:I730)=0,"",N(G730)+N(H730)+N(I730))</f>
        <v/>
      </c>
      <c r="Q730" s="56" t="str">
        <f>IF(COUNTA(A730:I730)=0,"",IF(N(IFERROR(INDEX(art_rate,MATCH(E730,art_ref,0)),0))&gt;0,N(IFERROR(INDEX(art_rate,MATCH(E730,art_ref,0)),0)),N(IFERROR(INDEX(po_rate,MATCH(C730,po_code,0)),0))))</f>
        <v/>
      </c>
      <c r="R730" s="55" t="str">
        <f>IF(AC730=1,P730*60/Q730,"")</f>
        <v/>
      </c>
      <c r="S730" s="55" t="str">
        <f>IF(AC730=1,N(G730)*60/Q730,"")</f>
        <v/>
      </c>
      <c r="T730" s="57" t="str">
        <f>IF(AC730=1,O730/M730,"")</f>
        <v/>
      </c>
      <c r="U730" s="57" t="str">
        <f>IF(AC730=1,IF(O730&gt;0,R730/O730,""),"")</f>
        <v/>
      </c>
      <c r="V730" s="57" t="str">
        <f>IF(AC730=1,IF(P730&gt;0,N(G730)/P730,""),"")</f>
        <v/>
      </c>
      <c r="W730" s="57" t="str">
        <f>IF(AC730=1,S730/M730,"")</f>
        <v/>
      </c>
      <c r="X730" s="57" t="str">
        <f>IF(AC730=1,S730/K730,"")</f>
        <v/>
      </c>
      <c r="Y730" s="58" t="str">
        <f>IF(W730="","",IF(W730&gt;=p_target,"Bon",IF(W730&gt;=p_alert,"À surveiller","Faible")))</f>
        <v/>
      </c>
      <c r="Z730" s="58" t="str">
        <f>IF(W730="","",IF(MIN(IF(T730="",1,T730),IF(U730="",1,U730),IF(V730="",1,V730))&gt;=1,"Aucune",IF(IF(T730="",1,T730)&lt;=MIN(IF(U730="",1,U730),IF(V730="",1,V730)),"Disponibilité",IF(IF(U730="",1,U730)&lt;=IF(V730="",1,V730),"Performance","Qualité"))))</f>
        <v/>
      </c>
      <c r="AA730" s="59" t="str">
        <f>IF(AC730=1,N(H730)*N(IFERROR(INDEX(art_cost,MATCH(E730,art_ref,0)),0)),"")</f>
        <v/>
      </c>
      <c r="AB730" s="58" t="str">
        <f>IF(COUNTA(A730:I730)=0,"",IF(N(A730)&lt;=0,"Date manquante ou invalide",IF(B730="","Équipe manquante",IF(ISNA(MATCH(B730,eq_code,0)),"Équipe inconnue",IF(INDEX(eq_check,MATCH(B730,eq_code,0))&lt;&gt;"OK","Équipe à corriger dans Paramètres",IF(C730="","Poste manquant",IF(ISNA(MATCH(C730,po_code,0)),"Poste inconnu",IF(AND(E730&lt;&gt;"",ISNA(MATCH(E730,art_ref,0))),"Article inconnu",IF(IF(E730="",FALSE,INDEX(art_check,MATCH(E730,art_ref,0))&lt;&gt;"OK"),"Article à corriger (feuille Articles)",IF(COUNTIFS(sj_date,A730,sj_eq,B730,sj_po,C730)&gt;1,"Ligne en double (même jour, équipe et poste)",IF(OR(NOT(ISNUMBER(K730)),N(K730)&lt;=0,N(K730)&gt;1440),"Temps d'ouverture invalide",IF(OR(AND(G730&lt;&gt;"",NOT(ISNUMBER(G730))),N(G730)&lt;0,N(G730)&lt;&gt;INT(N(G730)),AND(H730&lt;&gt;"",NOT(ISNUMBER(H730))),N(H730)&lt;0,N(H730)&lt;&gt;INT(N(H730)),AND(I730&lt;&gt;"",NOT(ISNUMBER(I730))),N(I730)&lt;0,N(I730)&lt;&gt;INT(N(I730))),"Quantité invalide",IF(Q730&lt;=0,"Cadence manquante (poste ou article)",IF(M730&lt;=0,"Arrêts planifiés supérieurs au temps d'ouverture",IF(O730&lt;0,"Arrêts supérieurs au temps requis",IF(AND(P730&gt;0,O730=0),"Pièces déclarées sans temps de marche",IF(AND(P730=0,O730&gt;0),"Aucune pièce déclarée",IF(P730*60/Q730&gt;O730+0.001,"Cadence dépassée : vérifiez la cadence","OK"))))))))))))))))))</f>
        <v/>
      </c>
      <c r="AC730">
        <f>IF(OR(AB730="OK",AB730="Aucune pièce déclarée",AB730="Cadence dépassée : vérifiez la cadence"),1,0)</f>
        <v>0.0</v>
      </c>
      <c r="AD730">
        <f>IF(AND(AC730=1,A730&gt;=p_from,A730&lt;=p_to),1,0)</f>
        <v>0.0</v>
      </c>
      <c r="AE730">
        <f>IF(AD730=1,IF(COUNTIFS($A$6:A730,A730,$AD$6:AD730,1)=1,1,0),0)</f>
        <v>0.0</v>
      </c>
      <c r="AF730" t="str">
        <f>IF(AE730=1,COUNTIFS(sj_first,1,sj_date,"&lt;"&amp;A730)+1,"")</f>
        <v/>
      </c>
      <c r="AG730" t="str">
        <f>IF(AND(AD730=1,N(W730)&lt;p_alert),ROUND(W730,4),"")</f>
        <v/>
      </c>
      <c r="AH730" t="str">
        <f>IF(AG730="","",COUNTIF(sj_akey,"&lt;"&amp;AG730)+COUNTIF($AG$6:AG730,AG730))</f>
        <v/>
      </c>
    </row>
    <row r="731">
      <c r="A731" s="51" t="n"/>
      <c r="B731" s="52" t="n"/>
      <c r="C731" s="52" t="n"/>
      <c r="D731" s="53" t="n"/>
      <c r="E731" s="53" t="n"/>
      <c r="F731" s="54" t="n"/>
      <c r="G731" s="54" t="n"/>
      <c r="H731" s="54" t="n"/>
      <c r="I731" s="54" t="n"/>
      <c r="J731" s="53" t="n"/>
      <c r="K731" s="55" t="str">
        <f>IF(COUNTA(A731:I731)=0,"",IF(F731="",IFERROR(INDEX(eq_dur,MATCH(B731,eq_code,0)),""),F731))</f>
        <v/>
      </c>
      <c r="L731" s="55" t="str">
        <f>IF(ISNUMBER(K731),N(IFERROR(INDEX(eq_pause,MATCH(B731,eq_code,0)),0))+SUMIFS(st_min,st_date,A731,st_eq,B731,st_po,C731,st_type,"Planifié"),"")</f>
        <v/>
      </c>
      <c r="M731" s="55" t="str">
        <f>IF(ISNUMBER(K731),K731-L731,"")</f>
        <v/>
      </c>
      <c r="N731" s="55" t="str">
        <f>IF(ISNUMBER(K731),SUMIFS(st_min,st_date,A731,st_eq,B731,st_po,C731,st_type,"Non planifié"),"")</f>
        <v/>
      </c>
      <c r="O731" s="55" t="str">
        <f>IF(ISNUMBER(K731),M731-N731,"")</f>
        <v/>
      </c>
      <c r="P731" s="55" t="str">
        <f>IF(COUNTA(A731:I731)=0,"",N(G731)+N(H731)+N(I731))</f>
        <v/>
      </c>
      <c r="Q731" s="56" t="str">
        <f>IF(COUNTA(A731:I731)=0,"",IF(N(IFERROR(INDEX(art_rate,MATCH(E731,art_ref,0)),0))&gt;0,N(IFERROR(INDEX(art_rate,MATCH(E731,art_ref,0)),0)),N(IFERROR(INDEX(po_rate,MATCH(C731,po_code,0)),0))))</f>
        <v/>
      </c>
      <c r="R731" s="55" t="str">
        <f>IF(AC731=1,P731*60/Q731,"")</f>
        <v/>
      </c>
      <c r="S731" s="55" t="str">
        <f>IF(AC731=1,N(G731)*60/Q731,"")</f>
        <v/>
      </c>
      <c r="T731" s="57" t="str">
        <f>IF(AC731=1,O731/M731,"")</f>
        <v/>
      </c>
      <c r="U731" s="57" t="str">
        <f>IF(AC731=1,IF(O731&gt;0,R731/O731,""),"")</f>
        <v/>
      </c>
      <c r="V731" s="57" t="str">
        <f>IF(AC731=1,IF(P731&gt;0,N(G731)/P731,""),"")</f>
        <v/>
      </c>
      <c r="W731" s="57" t="str">
        <f>IF(AC731=1,S731/M731,"")</f>
        <v/>
      </c>
      <c r="X731" s="57" t="str">
        <f>IF(AC731=1,S731/K731,"")</f>
        <v/>
      </c>
      <c r="Y731" s="58" t="str">
        <f>IF(W731="","",IF(W731&gt;=p_target,"Bon",IF(W731&gt;=p_alert,"À surveiller","Faible")))</f>
        <v/>
      </c>
      <c r="Z731" s="58" t="str">
        <f>IF(W731="","",IF(MIN(IF(T731="",1,T731),IF(U731="",1,U731),IF(V731="",1,V731))&gt;=1,"Aucune",IF(IF(T731="",1,T731)&lt;=MIN(IF(U731="",1,U731),IF(V731="",1,V731)),"Disponibilité",IF(IF(U731="",1,U731)&lt;=IF(V731="",1,V731),"Performance","Qualité"))))</f>
        <v/>
      </c>
      <c r="AA731" s="59" t="str">
        <f>IF(AC731=1,N(H731)*N(IFERROR(INDEX(art_cost,MATCH(E731,art_ref,0)),0)),"")</f>
        <v/>
      </c>
      <c r="AB731" s="58" t="str">
        <f>IF(COUNTA(A731:I731)=0,"",IF(N(A731)&lt;=0,"Date manquante ou invalide",IF(B731="","Équipe manquante",IF(ISNA(MATCH(B731,eq_code,0)),"Équipe inconnue",IF(INDEX(eq_check,MATCH(B731,eq_code,0))&lt;&gt;"OK","Équipe à corriger dans Paramètres",IF(C731="","Poste manquant",IF(ISNA(MATCH(C731,po_code,0)),"Poste inconnu",IF(AND(E731&lt;&gt;"",ISNA(MATCH(E731,art_ref,0))),"Article inconnu",IF(IF(E731="",FALSE,INDEX(art_check,MATCH(E731,art_ref,0))&lt;&gt;"OK"),"Article à corriger (feuille Articles)",IF(COUNTIFS(sj_date,A731,sj_eq,B731,sj_po,C731)&gt;1,"Ligne en double (même jour, équipe et poste)",IF(OR(NOT(ISNUMBER(K731)),N(K731)&lt;=0,N(K731)&gt;1440),"Temps d'ouverture invalide",IF(OR(AND(G731&lt;&gt;"",NOT(ISNUMBER(G731))),N(G731)&lt;0,N(G731)&lt;&gt;INT(N(G731)),AND(H731&lt;&gt;"",NOT(ISNUMBER(H731))),N(H731)&lt;0,N(H731)&lt;&gt;INT(N(H731)),AND(I731&lt;&gt;"",NOT(ISNUMBER(I731))),N(I731)&lt;0,N(I731)&lt;&gt;INT(N(I731))),"Quantité invalide",IF(Q731&lt;=0,"Cadence manquante (poste ou article)",IF(M731&lt;=0,"Arrêts planifiés supérieurs au temps d'ouverture",IF(O731&lt;0,"Arrêts supérieurs au temps requis",IF(AND(P731&gt;0,O731=0),"Pièces déclarées sans temps de marche",IF(AND(P731=0,O731&gt;0),"Aucune pièce déclarée",IF(P731*60/Q731&gt;O731+0.001,"Cadence dépassée : vérifiez la cadence","OK"))))))))))))))))))</f>
        <v/>
      </c>
      <c r="AC731">
        <f>IF(OR(AB731="OK",AB731="Aucune pièce déclarée",AB731="Cadence dépassée : vérifiez la cadence"),1,0)</f>
        <v>0.0</v>
      </c>
      <c r="AD731">
        <f>IF(AND(AC731=1,A731&gt;=p_from,A731&lt;=p_to),1,0)</f>
        <v>0.0</v>
      </c>
      <c r="AE731">
        <f>IF(AD731=1,IF(COUNTIFS($A$6:A731,A731,$AD$6:AD731,1)=1,1,0),0)</f>
        <v>0.0</v>
      </c>
      <c r="AF731" t="str">
        <f>IF(AE731=1,COUNTIFS(sj_first,1,sj_date,"&lt;"&amp;A731)+1,"")</f>
        <v/>
      </c>
      <c r="AG731" t="str">
        <f>IF(AND(AD731=1,N(W731)&lt;p_alert),ROUND(W731,4),"")</f>
        <v/>
      </c>
      <c r="AH731" t="str">
        <f>IF(AG731="","",COUNTIF(sj_akey,"&lt;"&amp;AG731)+COUNTIF($AG$6:AG731,AG731))</f>
        <v/>
      </c>
    </row>
    <row r="732">
      <c r="A732" s="51" t="n"/>
      <c r="B732" s="52" t="n"/>
      <c r="C732" s="52" t="n"/>
      <c r="D732" s="53" t="n"/>
      <c r="E732" s="53" t="n"/>
      <c r="F732" s="54" t="n"/>
      <c r="G732" s="54" t="n"/>
      <c r="H732" s="54" t="n"/>
      <c r="I732" s="54" t="n"/>
      <c r="J732" s="53" t="n"/>
      <c r="K732" s="55" t="str">
        <f>IF(COUNTA(A732:I732)=0,"",IF(F732="",IFERROR(INDEX(eq_dur,MATCH(B732,eq_code,0)),""),F732))</f>
        <v/>
      </c>
      <c r="L732" s="55" t="str">
        <f>IF(ISNUMBER(K732),N(IFERROR(INDEX(eq_pause,MATCH(B732,eq_code,0)),0))+SUMIFS(st_min,st_date,A732,st_eq,B732,st_po,C732,st_type,"Planifié"),"")</f>
        <v/>
      </c>
      <c r="M732" s="55" t="str">
        <f>IF(ISNUMBER(K732),K732-L732,"")</f>
        <v/>
      </c>
      <c r="N732" s="55" t="str">
        <f>IF(ISNUMBER(K732),SUMIFS(st_min,st_date,A732,st_eq,B732,st_po,C732,st_type,"Non planifié"),"")</f>
        <v/>
      </c>
      <c r="O732" s="55" t="str">
        <f>IF(ISNUMBER(K732),M732-N732,"")</f>
        <v/>
      </c>
      <c r="P732" s="55" t="str">
        <f>IF(COUNTA(A732:I732)=0,"",N(G732)+N(H732)+N(I732))</f>
        <v/>
      </c>
      <c r="Q732" s="56" t="str">
        <f>IF(COUNTA(A732:I732)=0,"",IF(N(IFERROR(INDEX(art_rate,MATCH(E732,art_ref,0)),0))&gt;0,N(IFERROR(INDEX(art_rate,MATCH(E732,art_ref,0)),0)),N(IFERROR(INDEX(po_rate,MATCH(C732,po_code,0)),0))))</f>
        <v/>
      </c>
      <c r="R732" s="55" t="str">
        <f>IF(AC732=1,P732*60/Q732,"")</f>
        <v/>
      </c>
      <c r="S732" s="55" t="str">
        <f>IF(AC732=1,N(G732)*60/Q732,"")</f>
        <v/>
      </c>
      <c r="T732" s="57" t="str">
        <f>IF(AC732=1,O732/M732,"")</f>
        <v/>
      </c>
      <c r="U732" s="57" t="str">
        <f>IF(AC732=1,IF(O732&gt;0,R732/O732,""),"")</f>
        <v/>
      </c>
      <c r="V732" s="57" t="str">
        <f>IF(AC732=1,IF(P732&gt;0,N(G732)/P732,""),"")</f>
        <v/>
      </c>
      <c r="W732" s="57" t="str">
        <f>IF(AC732=1,S732/M732,"")</f>
        <v/>
      </c>
      <c r="X732" s="57" t="str">
        <f>IF(AC732=1,S732/K732,"")</f>
        <v/>
      </c>
      <c r="Y732" s="58" t="str">
        <f>IF(W732="","",IF(W732&gt;=p_target,"Bon",IF(W732&gt;=p_alert,"À surveiller","Faible")))</f>
        <v/>
      </c>
      <c r="Z732" s="58" t="str">
        <f>IF(W732="","",IF(MIN(IF(T732="",1,T732),IF(U732="",1,U732),IF(V732="",1,V732))&gt;=1,"Aucune",IF(IF(T732="",1,T732)&lt;=MIN(IF(U732="",1,U732),IF(V732="",1,V732)),"Disponibilité",IF(IF(U732="",1,U732)&lt;=IF(V732="",1,V732),"Performance","Qualité"))))</f>
        <v/>
      </c>
      <c r="AA732" s="59" t="str">
        <f>IF(AC732=1,N(H732)*N(IFERROR(INDEX(art_cost,MATCH(E732,art_ref,0)),0)),"")</f>
        <v/>
      </c>
      <c r="AB732" s="58" t="str">
        <f>IF(COUNTA(A732:I732)=0,"",IF(N(A732)&lt;=0,"Date manquante ou invalide",IF(B732="","Équipe manquante",IF(ISNA(MATCH(B732,eq_code,0)),"Équipe inconnue",IF(INDEX(eq_check,MATCH(B732,eq_code,0))&lt;&gt;"OK","Équipe à corriger dans Paramètres",IF(C732="","Poste manquant",IF(ISNA(MATCH(C732,po_code,0)),"Poste inconnu",IF(AND(E732&lt;&gt;"",ISNA(MATCH(E732,art_ref,0))),"Article inconnu",IF(IF(E732="",FALSE,INDEX(art_check,MATCH(E732,art_ref,0))&lt;&gt;"OK"),"Article à corriger (feuille Articles)",IF(COUNTIFS(sj_date,A732,sj_eq,B732,sj_po,C732)&gt;1,"Ligne en double (même jour, équipe et poste)",IF(OR(NOT(ISNUMBER(K732)),N(K732)&lt;=0,N(K732)&gt;1440),"Temps d'ouverture invalide",IF(OR(AND(G732&lt;&gt;"",NOT(ISNUMBER(G732))),N(G732)&lt;0,N(G732)&lt;&gt;INT(N(G732)),AND(H732&lt;&gt;"",NOT(ISNUMBER(H732))),N(H732)&lt;0,N(H732)&lt;&gt;INT(N(H732)),AND(I732&lt;&gt;"",NOT(ISNUMBER(I732))),N(I732)&lt;0,N(I732)&lt;&gt;INT(N(I732))),"Quantité invalide",IF(Q732&lt;=0,"Cadence manquante (poste ou article)",IF(M732&lt;=0,"Arrêts planifiés supérieurs au temps d'ouverture",IF(O732&lt;0,"Arrêts supérieurs au temps requis",IF(AND(P732&gt;0,O732=0),"Pièces déclarées sans temps de marche",IF(AND(P732=0,O732&gt;0),"Aucune pièce déclarée",IF(P732*60/Q732&gt;O732+0.001,"Cadence dépassée : vérifiez la cadence","OK"))))))))))))))))))</f>
        <v/>
      </c>
      <c r="AC732">
        <f>IF(OR(AB732="OK",AB732="Aucune pièce déclarée",AB732="Cadence dépassée : vérifiez la cadence"),1,0)</f>
        <v>0.0</v>
      </c>
      <c r="AD732">
        <f>IF(AND(AC732=1,A732&gt;=p_from,A732&lt;=p_to),1,0)</f>
        <v>0.0</v>
      </c>
      <c r="AE732">
        <f>IF(AD732=1,IF(COUNTIFS($A$6:A732,A732,$AD$6:AD732,1)=1,1,0),0)</f>
        <v>0.0</v>
      </c>
      <c r="AF732" t="str">
        <f>IF(AE732=1,COUNTIFS(sj_first,1,sj_date,"&lt;"&amp;A732)+1,"")</f>
        <v/>
      </c>
      <c r="AG732" t="str">
        <f>IF(AND(AD732=1,N(W732)&lt;p_alert),ROUND(W732,4),"")</f>
        <v/>
      </c>
      <c r="AH732" t="str">
        <f>IF(AG732="","",COUNTIF(sj_akey,"&lt;"&amp;AG732)+COUNTIF($AG$6:AG732,AG732))</f>
        <v/>
      </c>
    </row>
    <row r="733">
      <c r="A733" s="51" t="n"/>
      <c r="B733" s="52" t="n"/>
      <c r="C733" s="52" t="n"/>
      <c r="D733" s="53" t="n"/>
      <c r="E733" s="53" t="n"/>
      <c r="F733" s="54" t="n"/>
      <c r="G733" s="54" t="n"/>
      <c r="H733" s="54" t="n"/>
      <c r="I733" s="54" t="n"/>
      <c r="J733" s="53" t="n"/>
      <c r="K733" s="55" t="str">
        <f>IF(COUNTA(A733:I733)=0,"",IF(F733="",IFERROR(INDEX(eq_dur,MATCH(B733,eq_code,0)),""),F733))</f>
        <v/>
      </c>
      <c r="L733" s="55" t="str">
        <f>IF(ISNUMBER(K733),N(IFERROR(INDEX(eq_pause,MATCH(B733,eq_code,0)),0))+SUMIFS(st_min,st_date,A733,st_eq,B733,st_po,C733,st_type,"Planifié"),"")</f>
        <v/>
      </c>
      <c r="M733" s="55" t="str">
        <f>IF(ISNUMBER(K733),K733-L733,"")</f>
        <v/>
      </c>
      <c r="N733" s="55" t="str">
        <f>IF(ISNUMBER(K733),SUMIFS(st_min,st_date,A733,st_eq,B733,st_po,C733,st_type,"Non planifié"),"")</f>
        <v/>
      </c>
      <c r="O733" s="55" t="str">
        <f>IF(ISNUMBER(K733),M733-N733,"")</f>
        <v/>
      </c>
      <c r="P733" s="55" t="str">
        <f>IF(COUNTA(A733:I733)=0,"",N(G733)+N(H733)+N(I733))</f>
        <v/>
      </c>
      <c r="Q733" s="56" t="str">
        <f>IF(COUNTA(A733:I733)=0,"",IF(N(IFERROR(INDEX(art_rate,MATCH(E733,art_ref,0)),0))&gt;0,N(IFERROR(INDEX(art_rate,MATCH(E733,art_ref,0)),0)),N(IFERROR(INDEX(po_rate,MATCH(C733,po_code,0)),0))))</f>
        <v/>
      </c>
      <c r="R733" s="55" t="str">
        <f>IF(AC733=1,P733*60/Q733,"")</f>
        <v/>
      </c>
      <c r="S733" s="55" t="str">
        <f>IF(AC733=1,N(G733)*60/Q733,"")</f>
        <v/>
      </c>
      <c r="T733" s="57" t="str">
        <f>IF(AC733=1,O733/M733,"")</f>
        <v/>
      </c>
      <c r="U733" s="57" t="str">
        <f>IF(AC733=1,IF(O733&gt;0,R733/O733,""),"")</f>
        <v/>
      </c>
      <c r="V733" s="57" t="str">
        <f>IF(AC733=1,IF(P733&gt;0,N(G733)/P733,""),"")</f>
        <v/>
      </c>
      <c r="W733" s="57" t="str">
        <f>IF(AC733=1,S733/M733,"")</f>
        <v/>
      </c>
      <c r="X733" s="57" t="str">
        <f>IF(AC733=1,S733/K733,"")</f>
        <v/>
      </c>
      <c r="Y733" s="58" t="str">
        <f>IF(W733="","",IF(W733&gt;=p_target,"Bon",IF(W733&gt;=p_alert,"À surveiller","Faible")))</f>
        <v/>
      </c>
      <c r="Z733" s="58" t="str">
        <f>IF(W733="","",IF(MIN(IF(T733="",1,T733),IF(U733="",1,U733),IF(V733="",1,V733))&gt;=1,"Aucune",IF(IF(T733="",1,T733)&lt;=MIN(IF(U733="",1,U733),IF(V733="",1,V733)),"Disponibilité",IF(IF(U733="",1,U733)&lt;=IF(V733="",1,V733),"Performance","Qualité"))))</f>
        <v/>
      </c>
      <c r="AA733" s="59" t="str">
        <f>IF(AC733=1,N(H733)*N(IFERROR(INDEX(art_cost,MATCH(E733,art_ref,0)),0)),"")</f>
        <v/>
      </c>
      <c r="AB733" s="58" t="str">
        <f>IF(COUNTA(A733:I733)=0,"",IF(N(A733)&lt;=0,"Date manquante ou invalide",IF(B733="","Équipe manquante",IF(ISNA(MATCH(B733,eq_code,0)),"Équipe inconnue",IF(INDEX(eq_check,MATCH(B733,eq_code,0))&lt;&gt;"OK","Équipe à corriger dans Paramètres",IF(C733="","Poste manquant",IF(ISNA(MATCH(C733,po_code,0)),"Poste inconnu",IF(AND(E733&lt;&gt;"",ISNA(MATCH(E733,art_ref,0))),"Article inconnu",IF(IF(E733="",FALSE,INDEX(art_check,MATCH(E733,art_ref,0))&lt;&gt;"OK"),"Article à corriger (feuille Articles)",IF(COUNTIFS(sj_date,A733,sj_eq,B733,sj_po,C733)&gt;1,"Ligne en double (même jour, équipe et poste)",IF(OR(NOT(ISNUMBER(K733)),N(K733)&lt;=0,N(K733)&gt;1440),"Temps d'ouverture invalide",IF(OR(AND(G733&lt;&gt;"",NOT(ISNUMBER(G733))),N(G733)&lt;0,N(G733)&lt;&gt;INT(N(G733)),AND(H733&lt;&gt;"",NOT(ISNUMBER(H733))),N(H733)&lt;0,N(H733)&lt;&gt;INT(N(H733)),AND(I733&lt;&gt;"",NOT(ISNUMBER(I733))),N(I733)&lt;0,N(I733)&lt;&gt;INT(N(I733))),"Quantité invalide",IF(Q733&lt;=0,"Cadence manquante (poste ou article)",IF(M733&lt;=0,"Arrêts planifiés supérieurs au temps d'ouverture",IF(O733&lt;0,"Arrêts supérieurs au temps requis",IF(AND(P733&gt;0,O733=0),"Pièces déclarées sans temps de marche",IF(AND(P733=0,O733&gt;0),"Aucune pièce déclarée",IF(P733*60/Q733&gt;O733+0.001,"Cadence dépassée : vérifiez la cadence","OK"))))))))))))))))))</f>
        <v/>
      </c>
      <c r="AC733">
        <f>IF(OR(AB733="OK",AB733="Aucune pièce déclarée",AB733="Cadence dépassée : vérifiez la cadence"),1,0)</f>
        <v>0.0</v>
      </c>
      <c r="AD733">
        <f>IF(AND(AC733=1,A733&gt;=p_from,A733&lt;=p_to),1,0)</f>
        <v>0.0</v>
      </c>
      <c r="AE733">
        <f>IF(AD733=1,IF(COUNTIFS($A$6:A733,A733,$AD$6:AD733,1)=1,1,0),0)</f>
        <v>0.0</v>
      </c>
      <c r="AF733" t="str">
        <f>IF(AE733=1,COUNTIFS(sj_first,1,sj_date,"&lt;"&amp;A733)+1,"")</f>
        <v/>
      </c>
      <c r="AG733" t="str">
        <f>IF(AND(AD733=1,N(W733)&lt;p_alert),ROUND(W733,4),"")</f>
        <v/>
      </c>
      <c r="AH733" t="str">
        <f>IF(AG733="","",COUNTIF(sj_akey,"&lt;"&amp;AG733)+COUNTIF($AG$6:AG733,AG733))</f>
        <v/>
      </c>
    </row>
    <row r="734">
      <c r="A734" s="51" t="n"/>
      <c r="B734" s="52" t="n"/>
      <c r="C734" s="52" t="n"/>
      <c r="D734" s="53" t="n"/>
      <c r="E734" s="53" t="n"/>
      <c r="F734" s="54" t="n"/>
      <c r="G734" s="54" t="n"/>
      <c r="H734" s="54" t="n"/>
      <c r="I734" s="54" t="n"/>
      <c r="J734" s="53" t="n"/>
      <c r="K734" s="55" t="str">
        <f>IF(COUNTA(A734:I734)=0,"",IF(F734="",IFERROR(INDEX(eq_dur,MATCH(B734,eq_code,0)),""),F734))</f>
        <v/>
      </c>
      <c r="L734" s="55" t="str">
        <f>IF(ISNUMBER(K734),N(IFERROR(INDEX(eq_pause,MATCH(B734,eq_code,0)),0))+SUMIFS(st_min,st_date,A734,st_eq,B734,st_po,C734,st_type,"Planifié"),"")</f>
        <v/>
      </c>
      <c r="M734" s="55" t="str">
        <f>IF(ISNUMBER(K734),K734-L734,"")</f>
        <v/>
      </c>
      <c r="N734" s="55" t="str">
        <f>IF(ISNUMBER(K734),SUMIFS(st_min,st_date,A734,st_eq,B734,st_po,C734,st_type,"Non planifié"),"")</f>
        <v/>
      </c>
      <c r="O734" s="55" t="str">
        <f>IF(ISNUMBER(K734),M734-N734,"")</f>
        <v/>
      </c>
      <c r="P734" s="55" t="str">
        <f>IF(COUNTA(A734:I734)=0,"",N(G734)+N(H734)+N(I734))</f>
        <v/>
      </c>
      <c r="Q734" s="56" t="str">
        <f>IF(COUNTA(A734:I734)=0,"",IF(N(IFERROR(INDEX(art_rate,MATCH(E734,art_ref,0)),0))&gt;0,N(IFERROR(INDEX(art_rate,MATCH(E734,art_ref,0)),0)),N(IFERROR(INDEX(po_rate,MATCH(C734,po_code,0)),0))))</f>
        <v/>
      </c>
      <c r="R734" s="55" t="str">
        <f>IF(AC734=1,P734*60/Q734,"")</f>
        <v/>
      </c>
      <c r="S734" s="55" t="str">
        <f>IF(AC734=1,N(G734)*60/Q734,"")</f>
        <v/>
      </c>
      <c r="T734" s="57" t="str">
        <f>IF(AC734=1,O734/M734,"")</f>
        <v/>
      </c>
      <c r="U734" s="57" t="str">
        <f>IF(AC734=1,IF(O734&gt;0,R734/O734,""),"")</f>
        <v/>
      </c>
      <c r="V734" s="57" t="str">
        <f>IF(AC734=1,IF(P734&gt;0,N(G734)/P734,""),"")</f>
        <v/>
      </c>
      <c r="W734" s="57" t="str">
        <f>IF(AC734=1,S734/M734,"")</f>
        <v/>
      </c>
      <c r="X734" s="57" t="str">
        <f>IF(AC734=1,S734/K734,"")</f>
        <v/>
      </c>
      <c r="Y734" s="58" t="str">
        <f>IF(W734="","",IF(W734&gt;=p_target,"Bon",IF(W734&gt;=p_alert,"À surveiller","Faible")))</f>
        <v/>
      </c>
      <c r="Z734" s="58" t="str">
        <f>IF(W734="","",IF(MIN(IF(T734="",1,T734),IF(U734="",1,U734),IF(V734="",1,V734))&gt;=1,"Aucune",IF(IF(T734="",1,T734)&lt;=MIN(IF(U734="",1,U734),IF(V734="",1,V734)),"Disponibilité",IF(IF(U734="",1,U734)&lt;=IF(V734="",1,V734),"Performance","Qualité"))))</f>
        <v/>
      </c>
      <c r="AA734" s="59" t="str">
        <f>IF(AC734=1,N(H734)*N(IFERROR(INDEX(art_cost,MATCH(E734,art_ref,0)),0)),"")</f>
        <v/>
      </c>
      <c r="AB734" s="58" t="str">
        <f>IF(COUNTA(A734:I734)=0,"",IF(N(A734)&lt;=0,"Date manquante ou invalide",IF(B734="","Équipe manquante",IF(ISNA(MATCH(B734,eq_code,0)),"Équipe inconnue",IF(INDEX(eq_check,MATCH(B734,eq_code,0))&lt;&gt;"OK","Équipe à corriger dans Paramètres",IF(C734="","Poste manquant",IF(ISNA(MATCH(C734,po_code,0)),"Poste inconnu",IF(AND(E734&lt;&gt;"",ISNA(MATCH(E734,art_ref,0))),"Article inconnu",IF(IF(E734="",FALSE,INDEX(art_check,MATCH(E734,art_ref,0))&lt;&gt;"OK"),"Article à corriger (feuille Articles)",IF(COUNTIFS(sj_date,A734,sj_eq,B734,sj_po,C734)&gt;1,"Ligne en double (même jour, équipe et poste)",IF(OR(NOT(ISNUMBER(K734)),N(K734)&lt;=0,N(K734)&gt;1440),"Temps d'ouverture invalide",IF(OR(AND(G734&lt;&gt;"",NOT(ISNUMBER(G734))),N(G734)&lt;0,N(G734)&lt;&gt;INT(N(G734)),AND(H734&lt;&gt;"",NOT(ISNUMBER(H734))),N(H734)&lt;0,N(H734)&lt;&gt;INT(N(H734)),AND(I734&lt;&gt;"",NOT(ISNUMBER(I734))),N(I734)&lt;0,N(I734)&lt;&gt;INT(N(I734))),"Quantité invalide",IF(Q734&lt;=0,"Cadence manquante (poste ou article)",IF(M734&lt;=0,"Arrêts planifiés supérieurs au temps d'ouverture",IF(O734&lt;0,"Arrêts supérieurs au temps requis",IF(AND(P734&gt;0,O734=0),"Pièces déclarées sans temps de marche",IF(AND(P734=0,O734&gt;0),"Aucune pièce déclarée",IF(P734*60/Q734&gt;O734+0.001,"Cadence dépassée : vérifiez la cadence","OK"))))))))))))))))))</f>
        <v/>
      </c>
      <c r="AC734">
        <f>IF(OR(AB734="OK",AB734="Aucune pièce déclarée",AB734="Cadence dépassée : vérifiez la cadence"),1,0)</f>
        <v>0.0</v>
      </c>
      <c r="AD734">
        <f>IF(AND(AC734=1,A734&gt;=p_from,A734&lt;=p_to),1,0)</f>
        <v>0.0</v>
      </c>
      <c r="AE734">
        <f>IF(AD734=1,IF(COUNTIFS($A$6:A734,A734,$AD$6:AD734,1)=1,1,0),0)</f>
        <v>0.0</v>
      </c>
      <c r="AF734" t="str">
        <f>IF(AE734=1,COUNTIFS(sj_first,1,sj_date,"&lt;"&amp;A734)+1,"")</f>
        <v/>
      </c>
      <c r="AG734" t="str">
        <f>IF(AND(AD734=1,N(W734)&lt;p_alert),ROUND(W734,4),"")</f>
        <v/>
      </c>
      <c r="AH734" t="str">
        <f>IF(AG734="","",COUNTIF(sj_akey,"&lt;"&amp;AG734)+COUNTIF($AG$6:AG734,AG734))</f>
        <v/>
      </c>
    </row>
    <row r="735">
      <c r="A735" s="51" t="n"/>
      <c r="B735" s="52" t="n"/>
      <c r="C735" s="52" t="n"/>
      <c r="D735" s="53" t="n"/>
      <c r="E735" s="53" t="n"/>
      <c r="F735" s="54" t="n"/>
      <c r="G735" s="54" t="n"/>
      <c r="H735" s="54" t="n"/>
      <c r="I735" s="54" t="n"/>
      <c r="J735" s="53" t="n"/>
      <c r="K735" s="55" t="str">
        <f>IF(COUNTA(A735:I735)=0,"",IF(F735="",IFERROR(INDEX(eq_dur,MATCH(B735,eq_code,0)),""),F735))</f>
        <v/>
      </c>
      <c r="L735" s="55" t="str">
        <f>IF(ISNUMBER(K735),N(IFERROR(INDEX(eq_pause,MATCH(B735,eq_code,0)),0))+SUMIFS(st_min,st_date,A735,st_eq,B735,st_po,C735,st_type,"Planifié"),"")</f>
        <v/>
      </c>
      <c r="M735" s="55" t="str">
        <f>IF(ISNUMBER(K735),K735-L735,"")</f>
        <v/>
      </c>
      <c r="N735" s="55" t="str">
        <f>IF(ISNUMBER(K735),SUMIFS(st_min,st_date,A735,st_eq,B735,st_po,C735,st_type,"Non planifié"),"")</f>
        <v/>
      </c>
      <c r="O735" s="55" t="str">
        <f>IF(ISNUMBER(K735),M735-N735,"")</f>
        <v/>
      </c>
      <c r="P735" s="55" t="str">
        <f>IF(COUNTA(A735:I735)=0,"",N(G735)+N(H735)+N(I735))</f>
        <v/>
      </c>
      <c r="Q735" s="56" t="str">
        <f>IF(COUNTA(A735:I735)=0,"",IF(N(IFERROR(INDEX(art_rate,MATCH(E735,art_ref,0)),0))&gt;0,N(IFERROR(INDEX(art_rate,MATCH(E735,art_ref,0)),0)),N(IFERROR(INDEX(po_rate,MATCH(C735,po_code,0)),0))))</f>
        <v/>
      </c>
      <c r="R735" s="55" t="str">
        <f>IF(AC735=1,P735*60/Q735,"")</f>
        <v/>
      </c>
      <c r="S735" s="55" t="str">
        <f>IF(AC735=1,N(G735)*60/Q735,"")</f>
        <v/>
      </c>
      <c r="T735" s="57" t="str">
        <f>IF(AC735=1,O735/M735,"")</f>
        <v/>
      </c>
      <c r="U735" s="57" t="str">
        <f>IF(AC735=1,IF(O735&gt;0,R735/O735,""),"")</f>
        <v/>
      </c>
      <c r="V735" s="57" t="str">
        <f>IF(AC735=1,IF(P735&gt;0,N(G735)/P735,""),"")</f>
        <v/>
      </c>
      <c r="W735" s="57" t="str">
        <f>IF(AC735=1,S735/M735,"")</f>
        <v/>
      </c>
      <c r="X735" s="57" t="str">
        <f>IF(AC735=1,S735/K735,"")</f>
        <v/>
      </c>
      <c r="Y735" s="58" t="str">
        <f>IF(W735="","",IF(W735&gt;=p_target,"Bon",IF(W735&gt;=p_alert,"À surveiller","Faible")))</f>
        <v/>
      </c>
      <c r="Z735" s="58" t="str">
        <f>IF(W735="","",IF(MIN(IF(T735="",1,T735),IF(U735="",1,U735),IF(V735="",1,V735))&gt;=1,"Aucune",IF(IF(T735="",1,T735)&lt;=MIN(IF(U735="",1,U735),IF(V735="",1,V735)),"Disponibilité",IF(IF(U735="",1,U735)&lt;=IF(V735="",1,V735),"Performance","Qualité"))))</f>
        <v/>
      </c>
      <c r="AA735" s="59" t="str">
        <f>IF(AC735=1,N(H735)*N(IFERROR(INDEX(art_cost,MATCH(E735,art_ref,0)),0)),"")</f>
        <v/>
      </c>
      <c r="AB735" s="58" t="str">
        <f>IF(COUNTA(A735:I735)=0,"",IF(N(A735)&lt;=0,"Date manquante ou invalide",IF(B735="","Équipe manquante",IF(ISNA(MATCH(B735,eq_code,0)),"Équipe inconnue",IF(INDEX(eq_check,MATCH(B735,eq_code,0))&lt;&gt;"OK","Équipe à corriger dans Paramètres",IF(C735="","Poste manquant",IF(ISNA(MATCH(C735,po_code,0)),"Poste inconnu",IF(AND(E735&lt;&gt;"",ISNA(MATCH(E735,art_ref,0))),"Article inconnu",IF(IF(E735="",FALSE,INDEX(art_check,MATCH(E735,art_ref,0))&lt;&gt;"OK"),"Article à corriger (feuille Articles)",IF(COUNTIFS(sj_date,A735,sj_eq,B735,sj_po,C735)&gt;1,"Ligne en double (même jour, équipe et poste)",IF(OR(NOT(ISNUMBER(K735)),N(K735)&lt;=0,N(K735)&gt;1440),"Temps d'ouverture invalide",IF(OR(AND(G735&lt;&gt;"",NOT(ISNUMBER(G735))),N(G735)&lt;0,N(G735)&lt;&gt;INT(N(G735)),AND(H735&lt;&gt;"",NOT(ISNUMBER(H735))),N(H735)&lt;0,N(H735)&lt;&gt;INT(N(H735)),AND(I735&lt;&gt;"",NOT(ISNUMBER(I735))),N(I735)&lt;0,N(I735)&lt;&gt;INT(N(I735))),"Quantité invalide",IF(Q735&lt;=0,"Cadence manquante (poste ou article)",IF(M735&lt;=0,"Arrêts planifiés supérieurs au temps d'ouverture",IF(O735&lt;0,"Arrêts supérieurs au temps requis",IF(AND(P735&gt;0,O735=0),"Pièces déclarées sans temps de marche",IF(AND(P735=0,O735&gt;0),"Aucune pièce déclarée",IF(P735*60/Q735&gt;O735+0.001,"Cadence dépassée : vérifiez la cadence","OK"))))))))))))))))))</f>
        <v/>
      </c>
      <c r="AC735">
        <f>IF(OR(AB735="OK",AB735="Aucune pièce déclarée",AB735="Cadence dépassée : vérifiez la cadence"),1,0)</f>
        <v>0.0</v>
      </c>
      <c r="AD735">
        <f>IF(AND(AC735=1,A735&gt;=p_from,A735&lt;=p_to),1,0)</f>
        <v>0.0</v>
      </c>
      <c r="AE735">
        <f>IF(AD735=1,IF(COUNTIFS($A$6:A735,A735,$AD$6:AD735,1)=1,1,0),0)</f>
        <v>0.0</v>
      </c>
      <c r="AF735" t="str">
        <f>IF(AE735=1,COUNTIFS(sj_first,1,sj_date,"&lt;"&amp;A735)+1,"")</f>
        <v/>
      </c>
      <c r="AG735" t="str">
        <f>IF(AND(AD735=1,N(W735)&lt;p_alert),ROUND(W735,4),"")</f>
        <v/>
      </c>
      <c r="AH735" t="str">
        <f>IF(AG735="","",COUNTIF(sj_akey,"&lt;"&amp;AG735)+COUNTIF($AG$6:AG735,AG735))</f>
        <v/>
      </c>
    </row>
    <row r="736">
      <c r="A736" s="51" t="n"/>
      <c r="B736" s="52" t="n"/>
      <c r="C736" s="52" t="n"/>
      <c r="D736" s="53" t="n"/>
      <c r="E736" s="53" t="n"/>
      <c r="F736" s="54" t="n"/>
      <c r="G736" s="54" t="n"/>
      <c r="H736" s="54" t="n"/>
      <c r="I736" s="54" t="n"/>
      <c r="J736" s="53" t="n"/>
      <c r="K736" s="55" t="str">
        <f>IF(COUNTA(A736:I736)=0,"",IF(F736="",IFERROR(INDEX(eq_dur,MATCH(B736,eq_code,0)),""),F736))</f>
        <v/>
      </c>
      <c r="L736" s="55" t="str">
        <f>IF(ISNUMBER(K736),N(IFERROR(INDEX(eq_pause,MATCH(B736,eq_code,0)),0))+SUMIFS(st_min,st_date,A736,st_eq,B736,st_po,C736,st_type,"Planifié"),"")</f>
        <v/>
      </c>
      <c r="M736" s="55" t="str">
        <f>IF(ISNUMBER(K736),K736-L736,"")</f>
        <v/>
      </c>
      <c r="N736" s="55" t="str">
        <f>IF(ISNUMBER(K736),SUMIFS(st_min,st_date,A736,st_eq,B736,st_po,C736,st_type,"Non planifié"),"")</f>
        <v/>
      </c>
      <c r="O736" s="55" t="str">
        <f>IF(ISNUMBER(K736),M736-N736,"")</f>
        <v/>
      </c>
      <c r="P736" s="55" t="str">
        <f>IF(COUNTA(A736:I736)=0,"",N(G736)+N(H736)+N(I736))</f>
        <v/>
      </c>
      <c r="Q736" s="56" t="str">
        <f>IF(COUNTA(A736:I736)=0,"",IF(N(IFERROR(INDEX(art_rate,MATCH(E736,art_ref,0)),0))&gt;0,N(IFERROR(INDEX(art_rate,MATCH(E736,art_ref,0)),0)),N(IFERROR(INDEX(po_rate,MATCH(C736,po_code,0)),0))))</f>
        <v/>
      </c>
      <c r="R736" s="55" t="str">
        <f>IF(AC736=1,P736*60/Q736,"")</f>
        <v/>
      </c>
      <c r="S736" s="55" t="str">
        <f>IF(AC736=1,N(G736)*60/Q736,"")</f>
        <v/>
      </c>
      <c r="T736" s="57" t="str">
        <f>IF(AC736=1,O736/M736,"")</f>
        <v/>
      </c>
      <c r="U736" s="57" t="str">
        <f>IF(AC736=1,IF(O736&gt;0,R736/O736,""),"")</f>
        <v/>
      </c>
      <c r="V736" s="57" t="str">
        <f>IF(AC736=1,IF(P736&gt;0,N(G736)/P736,""),"")</f>
        <v/>
      </c>
      <c r="W736" s="57" t="str">
        <f>IF(AC736=1,S736/M736,"")</f>
        <v/>
      </c>
      <c r="X736" s="57" t="str">
        <f>IF(AC736=1,S736/K736,"")</f>
        <v/>
      </c>
      <c r="Y736" s="58" t="str">
        <f>IF(W736="","",IF(W736&gt;=p_target,"Bon",IF(W736&gt;=p_alert,"À surveiller","Faible")))</f>
        <v/>
      </c>
      <c r="Z736" s="58" t="str">
        <f>IF(W736="","",IF(MIN(IF(T736="",1,T736),IF(U736="",1,U736),IF(V736="",1,V736))&gt;=1,"Aucune",IF(IF(T736="",1,T736)&lt;=MIN(IF(U736="",1,U736),IF(V736="",1,V736)),"Disponibilité",IF(IF(U736="",1,U736)&lt;=IF(V736="",1,V736),"Performance","Qualité"))))</f>
        <v/>
      </c>
      <c r="AA736" s="59" t="str">
        <f>IF(AC736=1,N(H736)*N(IFERROR(INDEX(art_cost,MATCH(E736,art_ref,0)),0)),"")</f>
        <v/>
      </c>
      <c r="AB736" s="58" t="str">
        <f>IF(COUNTA(A736:I736)=0,"",IF(N(A736)&lt;=0,"Date manquante ou invalide",IF(B736="","Équipe manquante",IF(ISNA(MATCH(B736,eq_code,0)),"Équipe inconnue",IF(INDEX(eq_check,MATCH(B736,eq_code,0))&lt;&gt;"OK","Équipe à corriger dans Paramètres",IF(C736="","Poste manquant",IF(ISNA(MATCH(C736,po_code,0)),"Poste inconnu",IF(AND(E736&lt;&gt;"",ISNA(MATCH(E736,art_ref,0))),"Article inconnu",IF(IF(E736="",FALSE,INDEX(art_check,MATCH(E736,art_ref,0))&lt;&gt;"OK"),"Article à corriger (feuille Articles)",IF(COUNTIFS(sj_date,A736,sj_eq,B736,sj_po,C736)&gt;1,"Ligne en double (même jour, équipe et poste)",IF(OR(NOT(ISNUMBER(K736)),N(K736)&lt;=0,N(K736)&gt;1440),"Temps d'ouverture invalide",IF(OR(AND(G736&lt;&gt;"",NOT(ISNUMBER(G736))),N(G736)&lt;0,N(G736)&lt;&gt;INT(N(G736)),AND(H736&lt;&gt;"",NOT(ISNUMBER(H736))),N(H736)&lt;0,N(H736)&lt;&gt;INT(N(H736)),AND(I736&lt;&gt;"",NOT(ISNUMBER(I736))),N(I736)&lt;0,N(I736)&lt;&gt;INT(N(I736))),"Quantité invalide",IF(Q736&lt;=0,"Cadence manquante (poste ou article)",IF(M736&lt;=0,"Arrêts planifiés supérieurs au temps d'ouverture",IF(O736&lt;0,"Arrêts supérieurs au temps requis",IF(AND(P736&gt;0,O736=0),"Pièces déclarées sans temps de marche",IF(AND(P736=0,O736&gt;0),"Aucune pièce déclarée",IF(P736*60/Q736&gt;O736+0.001,"Cadence dépassée : vérifiez la cadence","OK"))))))))))))))))))</f>
        <v/>
      </c>
      <c r="AC736">
        <f>IF(OR(AB736="OK",AB736="Aucune pièce déclarée",AB736="Cadence dépassée : vérifiez la cadence"),1,0)</f>
        <v>0.0</v>
      </c>
      <c r="AD736">
        <f>IF(AND(AC736=1,A736&gt;=p_from,A736&lt;=p_to),1,0)</f>
        <v>0.0</v>
      </c>
      <c r="AE736">
        <f>IF(AD736=1,IF(COUNTIFS($A$6:A736,A736,$AD$6:AD736,1)=1,1,0),0)</f>
        <v>0.0</v>
      </c>
      <c r="AF736" t="str">
        <f>IF(AE736=1,COUNTIFS(sj_first,1,sj_date,"&lt;"&amp;A736)+1,"")</f>
        <v/>
      </c>
      <c r="AG736" t="str">
        <f>IF(AND(AD736=1,N(W736)&lt;p_alert),ROUND(W736,4),"")</f>
        <v/>
      </c>
      <c r="AH736" t="str">
        <f>IF(AG736="","",COUNTIF(sj_akey,"&lt;"&amp;AG736)+COUNTIF($AG$6:AG736,AG736))</f>
        <v/>
      </c>
    </row>
    <row r="737">
      <c r="A737" s="51" t="n"/>
      <c r="B737" s="52" t="n"/>
      <c r="C737" s="52" t="n"/>
      <c r="D737" s="53" t="n"/>
      <c r="E737" s="53" t="n"/>
      <c r="F737" s="54" t="n"/>
      <c r="G737" s="54" t="n"/>
      <c r="H737" s="54" t="n"/>
      <c r="I737" s="54" t="n"/>
      <c r="J737" s="53" t="n"/>
      <c r="K737" s="55" t="str">
        <f>IF(COUNTA(A737:I737)=0,"",IF(F737="",IFERROR(INDEX(eq_dur,MATCH(B737,eq_code,0)),""),F737))</f>
        <v/>
      </c>
      <c r="L737" s="55" t="str">
        <f>IF(ISNUMBER(K737),N(IFERROR(INDEX(eq_pause,MATCH(B737,eq_code,0)),0))+SUMIFS(st_min,st_date,A737,st_eq,B737,st_po,C737,st_type,"Planifié"),"")</f>
        <v/>
      </c>
      <c r="M737" s="55" t="str">
        <f>IF(ISNUMBER(K737),K737-L737,"")</f>
        <v/>
      </c>
      <c r="N737" s="55" t="str">
        <f>IF(ISNUMBER(K737),SUMIFS(st_min,st_date,A737,st_eq,B737,st_po,C737,st_type,"Non planifié"),"")</f>
        <v/>
      </c>
      <c r="O737" s="55" t="str">
        <f>IF(ISNUMBER(K737),M737-N737,"")</f>
        <v/>
      </c>
      <c r="P737" s="55" t="str">
        <f>IF(COUNTA(A737:I737)=0,"",N(G737)+N(H737)+N(I737))</f>
        <v/>
      </c>
      <c r="Q737" s="56" t="str">
        <f>IF(COUNTA(A737:I737)=0,"",IF(N(IFERROR(INDEX(art_rate,MATCH(E737,art_ref,0)),0))&gt;0,N(IFERROR(INDEX(art_rate,MATCH(E737,art_ref,0)),0)),N(IFERROR(INDEX(po_rate,MATCH(C737,po_code,0)),0))))</f>
        <v/>
      </c>
      <c r="R737" s="55" t="str">
        <f>IF(AC737=1,P737*60/Q737,"")</f>
        <v/>
      </c>
      <c r="S737" s="55" t="str">
        <f>IF(AC737=1,N(G737)*60/Q737,"")</f>
        <v/>
      </c>
      <c r="T737" s="57" t="str">
        <f>IF(AC737=1,O737/M737,"")</f>
        <v/>
      </c>
      <c r="U737" s="57" t="str">
        <f>IF(AC737=1,IF(O737&gt;0,R737/O737,""),"")</f>
        <v/>
      </c>
      <c r="V737" s="57" t="str">
        <f>IF(AC737=1,IF(P737&gt;0,N(G737)/P737,""),"")</f>
        <v/>
      </c>
      <c r="W737" s="57" t="str">
        <f>IF(AC737=1,S737/M737,"")</f>
        <v/>
      </c>
      <c r="X737" s="57" t="str">
        <f>IF(AC737=1,S737/K737,"")</f>
        <v/>
      </c>
      <c r="Y737" s="58" t="str">
        <f>IF(W737="","",IF(W737&gt;=p_target,"Bon",IF(W737&gt;=p_alert,"À surveiller","Faible")))</f>
        <v/>
      </c>
      <c r="Z737" s="58" t="str">
        <f>IF(W737="","",IF(MIN(IF(T737="",1,T737),IF(U737="",1,U737),IF(V737="",1,V737))&gt;=1,"Aucune",IF(IF(T737="",1,T737)&lt;=MIN(IF(U737="",1,U737),IF(V737="",1,V737)),"Disponibilité",IF(IF(U737="",1,U737)&lt;=IF(V737="",1,V737),"Performance","Qualité"))))</f>
        <v/>
      </c>
      <c r="AA737" s="59" t="str">
        <f>IF(AC737=1,N(H737)*N(IFERROR(INDEX(art_cost,MATCH(E737,art_ref,0)),0)),"")</f>
        <v/>
      </c>
      <c r="AB737" s="58" t="str">
        <f>IF(COUNTA(A737:I737)=0,"",IF(N(A737)&lt;=0,"Date manquante ou invalide",IF(B737="","Équipe manquante",IF(ISNA(MATCH(B737,eq_code,0)),"Équipe inconnue",IF(INDEX(eq_check,MATCH(B737,eq_code,0))&lt;&gt;"OK","Équipe à corriger dans Paramètres",IF(C737="","Poste manquant",IF(ISNA(MATCH(C737,po_code,0)),"Poste inconnu",IF(AND(E737&lt;&gt;"",ISNA(MATCH(E737,art_ref,0))),"Article inconnu",IF(IF(E737="",FALSE,INDEX(art_check,MATCH(E737,art_ref,0))&lt;&gt;"OK"),"Article à corriger (feuille Articles)",IF(COUNTIFS(sj_date,A737,sj_eq,B737,sj_po,C737)&gt;1,"Ligne en double (même jour, équipe et poste)",IF(OR(NOT(ISNUMBER(K737)),N(K737)&lt;=0,N(K737)&gt;1440),"Temps d'ouverture invalide",IF(OR(AND(G737&lt;&gt;"",NOT(ISNUMBER(G737))),N(G737)&lt;0,N(G737)&lt;&gt;INT(N(G737)),AND(H737&lt;&gt;"",NOT(ISNUMBER(H737))),N(H737)&lt;0,N(H737)&lt;&gt;INT(N(H737)),AND(I737&lt;&gt;"",NOT(ISNUMBER(I737))),N(I737)&lt;0,N(I737)&lt;&gt;INT(N(I737))),"Quantité invalide",IF(Q737&lt;=0,"Cadence manquante (poste ou article)",IF(M737&lt;=0,"Arrêts planifiés supérieurs au temps d'ouverture",IF(O737&lt;0,"Arrêts supérieurs au temps requis",IF(AND(P737&gt;0,O737=0),"Pièces déclarées sans temps de marche",IF(AND(P737=0,O737&gt;0),"Aucune pièce déclarée",IF(P737*60/Q737&gt;O737+0.001,"Cadence dépassée : vérifiez la cadence","OK"))))))))))))))))))</f>
        <v/>
      </c>
      <c r="AC737">
        <f>IF(OR(AB737="OK",AB737="Aucune pièce déclarée",AB737="Cadence dépassée : vérifiez la cadence"),1,0)</f>
        <v>0.0</v>
      </c>
      <c r="AD737">
        <f>IF(AND(AC737=1,A737&gt;=p_from,A737&lt;=p_to),1,0)</f>
        <v>0.0</v>
      </c>
      <c r="AE737">
        <f>IF(AD737=1,IF(COUNTIFS($A$6:A737,A737,$AD$6:AD737,1)=1,1,0),0)</f>
        <v>0.0</v>
      </c>
      <c r="AF737" t="str">
        <f>IF(AE737=1,COUNTIFS(sj_first,1,sj_date,"&lt;"&amp;A737)+1,"")</f>
        <v/>
      </c>
      <c r="AG737" t="str">
        <f>IF(AND(AD737=1,N(W737)&lt;p_alert),ROUND(W737,4),"")</f>
        <v/>
      </c>
      <c r="AH737" t="str">
        <f>IF(AG737="","",COUNTIF(sj_akey,"&lt;"&amp;AG737)+COUNTIF($AG$6:AG737,AG737))</f>
        <v/>
      </c>
    </row>
    <row r="738">
      <c r="A738" s="51" t="n"/>
      <c r="B738" s="52" t="n"/>
      <c r="C738" s="52" t="n"/>
      <c r="D738" s="53" t="n"/>
      <c r="E738" s="53" t="n"/>
      <c r="F738" s="54" t="n"/>
      <c r="G738" s="54" t="n"/>
      <c r="H738" s="54" t="n"/>
      <c r="I738" s="54" t="n"/>
      <c r="J738" s="53" t="n"/>
      <c r="K738" s="55" t="str">
        <f>IF(COUNTA(A738:I738)=0,"",IF(F738="",IFERROR(INDEX(eq_dur,MATCH(B738,eq_code,0)),""),F738))</f>
        <v/>
      </c>
      <c r="L738" s="55" t="str">
        <f>IF(ISNUMBER(K738),N(IFERROR(INDEX(eq_pause,MATCH(B738,eq_code,0)),0))+SUMIFS(st_min,st_date,A738,st_eq,B738,st_po,C738,st_type,"Planifié"),"")</f>
        <v/>
      </c>
      <c r="M738" s="55" t="str">
        <f>IF(ISNUMBER(K738),K738-L738,"")</f>
        <v/>
      </c>
      <c r="N738" s="55" t="str">
        <f>IF(ISNUMBER(K738),SUMIFS(st_min,st_date,A738,st_eq,B738,st_po,C738,st_type,"Non planifié"),"")</f>
        <v/>
      </c>
      <c r="O738" s="55" t="str">
        <f>IF(ISNUMBER(K738),M738-N738,"")</f>
        <v/>
      </c>
      <c r="P738" s="55" t="str">
        <f>IF(COUNTA(A738:I738)=0,"",N(G738)+N(H738)+N(I738))</f>
        <v/>
      </c>
      <c r="Q738" s="56" t="str">
        <f>IF(COUNTA(A738:I738)=0,"",IF(N(IFERROR(INDEX(art_rate,MATCH(E738,art_ref,0)),0))&gt;0,N(IFERROR(INDEX(art_rate,MATCH(E738,art_ref,0)),0)),N(IFERROR(INDEX(po_rate,MATCH(C738,po_code,0)),0))))</f>
        <v/>
      </c>
      <c r="R738" s="55" t="str">
        <f>IF(AC738=1,P738*60/Q738,"")</f>
        <v/>
      </c>
      <c r="S738" s="55" t="str">
        <f>IF(AC738=1,N(G738)*60/Q738,"")</f>
        <v/>
      </c>
      <c r="T738" s="57" t="str">
        <f>IF(AC738=1,O738/M738,"")</f>
        <v/>
      </c>
      <c r="U738" s="57" t="str">
        <f>IF(AC738=1,IF(O738&gt;0,R738/O738,""),"")</f>
        <v/>
      </c>
      <c r="V738" s="57" t="str">
        <f>IF(AC738=1,IF(P738&gt;0,N(G738)/P738,""),"")</f>
        <v/>
      </c>
      <c r="W738" s="57" t="str">
        <f>IF(AC738=1,S738/M738,"")</f>
        <v/>
      </c>
      <c r="X738" s="57" t="str">
        <f>IF(AC738=1,S738/K738,"")</f>
        <v/>
      </c>
      <c r="Y738" s="58" t="str">
        <f>IF(W738="","",IF(W738&gt;=p_target,"Bon",IF(W738&gt;=p_alert,"À surveiller","Faible")))</f>
        <v/>
      </c>
      <c r="Z738" s="58" t="str">
        <f>IF(W738="","",IF(MIN(IF(T738="",1,T738),IF(U738="",1,U738),IF(V738="",1,V738))&gt;=1,"Aucune",IF(IF(T738="",1,T738)&lt;=MIN(IF(U738="",1,U738),IF(V738="",1,V738)),"Disponibilité",IF(IF(U738="",1,U738)&lt;=IF(V738="",1,V738),"Performance","Qualité"))))</f>
        <v/>
      </c>
      <c r="AA738" s="59" t="str">
        <f>IF(AC738=1,N(H738)*N(IFERROR(INDEX(art_cost,MATCH(E738,art_ref,0)),0)),"")</f>
        <v/>
      </c>
      <c r="AB738" s="58" t="str">
        <f>IF(COUNTA(A738:I738)=0,"",IF(N(A738)&lt;=0,"Date manquante ou invalide",IF(B738="","Équipe manquante",IF(ISNA(MATCH(B738,eq_code,0)),"Équipe inconnue",IF(INDEX(eq_check,MATCH(B738,eq_code,0))&lt;&gt;"OK","Équipe à corriger dans Paramètres",IF(C738="","Poste manquant",IF(ISNA(MATCH(C738,po_code,0)),"Poste inconnu",IF(AND(E738&lt;&gt;"",ISNA(MATCH(E738,art_ref,0))),"Article inconnu",IF(IF(E738="",FALSE,INDEX(art_check,MATCH(E738,art_ref,0))&lt;&gt;"OK"),"Article à corriger (feuille Articles)",IF(COUNTIFS(sj_date,A738,sj_eq,B738,sj_po,C738)&gt;1,"Ligne en double (même jour, équipe et poste)",IF(OR(NOT(ISNUMBER(K738)),N(K738)&lt;=0,N(K738)&gt;1440),"Temps d'ouverture invalide",IF(OR(AND(G738&lt;&gt;"",NOT(ISNUMBER(G738))),N(G738)&lt;0,N(G738)&lt;&gt;INT(N(G738)),AND(H738&lt;&gt;"",NOT(ISNUMBER(H738))),N(H738)&lt;0,N(H738)&lt;&gt;INT(N(H738)),AND(I738&lt;&gt;"",NOT(ISNUMBER(I738))),N(I738)&lt;0,N(I738)&lt;&gt;INT(N(I738))),"Quantité invalide",IF(Q738&lt;=0,"Cadence manquante (poste ou article)",IF(M738&lt;=0,"Arrêts planifiés supérieurs au temps d'ouverture",IF(O738&lt;0,"Arrêts supérieurs au temps requis",IF(AND(P738&gt;0,O738=0),"Pièces déclarées sans temps de marche",IF(AND(P738=0,O738&gt;0),"Aucune pièce déclarée",IF(P738*60/Q738&gt;O738+0.001,"Cadence dépassée : vérifiez la cadence","OK"))))))))))))))))))</f>
        <v/>
      </c>
      <c r="AC738">
        <f>IF(OR(AB738="OK",AB738="Aucune pièce déclarée",AB738="Cadence dépassée : vérifiez la cadence"),1,0)</f>
        <v>0.0</v>
      </c>
      <c r="AD738">
        <f>IF(AND(AC738=1,A738&gt;=p_from,A738&lt;=p_to),1,0)</f>
        <v>0.0</v>
      </c>
      <c r="AE738">
        <f>IF(AD738=1,IF(COUNTIFS($A$6:A738,A738,$AD$6:AD738,1)=1,1,0),0)</f>
        <v>0.0</v>
      </c>
      <c r="AF738" t="str">
        <f>IF(AE738=1,COUNTIFS(sj_first,1,sj_date,"&lt;"&amp;A738)+1,"")</f>
        <v/>
      </c>
      <c r="AG738" t="str">
        <f>IF(AND(AD738=1,N(W738)&lt;p_alert),ROUND(W738,4),"")</f>
        <v/>
      </c>
      <c r="AH738" t="str">
        <f>IF(AG738="","",COUNTIF(sj_akey,"&lt;"&amp;AG738)+COUNTIF($AG$6:AG738,AG738))</f>
        <v/>
      </c>
    </row>
    <row r="739">
      <c r="A739" s="51" t="n"/>
      <c r="B739" s="52" t="n"/>
      <c r="C739" s="52" t="n"/>
      <c r="D739" s="53" t="n"/>
      <c r="E739" s="53" t="n"/>
      <c r="F739" s="54" t="n"/>
      <c r="G739" s="54" t="n"/>
      <c r="H739" s="54" t="n"/>
      <c r="I739" s="54" t="n"/>
      <c r="J739" s="53" t="n"/>
      <c r="K739" s="55" t="str">
        <f>IF(COUNTA(A739:I739)=0,"",IF(F739="",IFERROR(INDEX(eq_dur,MATCH(B739,eq_code,0)),""),F739))</f>
        <v/>
      </c>
      <c r="L739" s="55" t="str">
        <f>IF(ISNUMBER(K739),N(IFERROR(INDEX(eq_pause,MATCH(B739,eq_code,0)),0))+SUMIFS(st_min,st_date,A739,st_eq,B739,st_po,C739,st_type,"Planifié"),"")</f>
        <v/>
      </c>
      <c r="M739" s="55" t="str">
        <f>IF(ISNUMBER(K739),K739-L739,"")</f>
        <v/>
      </c>
      <c r="N739" s="55" t="str">
        <f>IF(ISNUMBER(K739),SUMIFS(st_min,st_date,A739,st_eq,B739,st_po,C739,st_type,"Non planifié"),"")</f>
        <v/>
      </c>
      <c r="O739" s="55" t="str">
        <f>IF(ISNUMBER(K739),M739-N739,"")</f>
        <v/>
      </c>
      <c r="P739" s="55" t="str">
        <f>IF(COUNTA(A739:I739)=0,"",N(G739)+N(H739)+N(I739))</f>
        <v/>
      </c>
      <c r="Q739" s="56" t="str">
        <f>IF(COUNTA(A739:I739)=0,"",IF(N(IFERROR(INDEX(art_rate,MATCH(E739,art_ref,0)),0))&gt;0,N(IFERROR(INDEX(art_rate,MATCH(E739,art_ref,0)),0)),N(IFERROR(INDEX(po_rate,MATCH(C739,po_code,0)),0))))</f>
        <v/>
      </c>
      <c r="R739" s="55" t="str">
        <f>IF(AC739=1,P739*60/Q739,"")</f>
        <v/>
      </c>
      <c r="S739" s="55" t="str">
        <f>IF(AC739=1,N(G739)*60/Q739,"")</f>
        <v/>
      </c>
      <c r="T739" s="57" t="str">
        <f>IF(AC739=1,O739/M739,"")</f>
        <v/>
      </c>
      <c r="U739" s="57" t="str">
        <f>IF(AC739=1,IF(O739&gt;0,R739/O739,""),"")</f>
        <v/>
      </c>
      <c r="V739" s="57" t="str">
        <f>IF(AC739=1,IF(P739&gt;0,N(G739)/P739,""),"")</f>
        <v/>
      </c>
      <c r="W739" s="57" t="str">
        <f>IF(AC739=1,S739/M739,"")</f>
        <v/>
      </c>
      <c r="X739" s="57" t="str">
        <f>IF(AC739=1,S739/K739,"")</f>
        <v/>
      </c>
      <c r="Y739" s="58" t="str">
        <f>IF(W739="","",IF(W739&gt;=p_target,"Bon",IF(W739&gt;=p_alert,"À surveiller","Faible")))</f>
        <v/>
      </c>
      <c r="Z739" s="58" t="str">
        <f>IF(W739="","",IF(MIN(IF(T739="",1,T739),IF(U739="",1,U739),IF(V739="",1,V739))&gt;=1,"Aucune",IF(IF(T739="",1,T739)&lt;=MIN(IF(U739="",1,U739),IF(V739="",1,V739)),"Disponibilité",IF(IF(U739="",1,U739)&lt;=IF(V739="",1,V739),"Performance","Qualité"))))</f>
        <v/>
      </c>
      <c r="AA739" s="59" t="str">
        <f>IF(AC739=1,N(H739)*N(IFERROR(INDEX(art_cost,MATCH(E739,art_ref,0)),0)),"")</f>
        <v/>
      </c>
      <c r="AB739" s="58" t="str">
        <f>IF(COUNTA(A739:I739)=0,"",IF(N(A739)&lt;=0,"Date manquante ou invalide",IF(B739="","Équipe manquante",IF(ISNA(MATCH(B739,eq_code,0)),"Équipe inconnue",IF(INDEX(eq_check,MATCH(B739,eq_code,0))&lt;&gt;"OK","Équipe à corriger dans Paramètres",IF(C739="","Poste manquant",IF(ISNA(MATCH(C739,po_code,0)),"Poste inconnu",IF(AND(E739&lt;&gt;"",ISNA(MATCH(E739,art_ref,0))),"Article inconnu",IF(IF(E739="",FALSE,INDEX(art_check,MATCH(E739,art_ref,0))&lt;&gt;"OK"),"Article à corriger (feuille Articles)",IF(COUNTIFS(sj_date,A739,sj_eq,B739,sj_po,C739)&gt;1,"Ligne en double (même jour, équipe et poste)",IF(OR(NOT(ISNUMBER(K739)),N(K739)&lt;=0,N(K739)&gt;1440),"Temps d'ouverture invalide",IF(OR(AND(G739&lt;&gt;"",NOT(ISNUMBER(G739))),N(G739)&lt;0,N(G739)&lt;&gt;INT(N(G739)),AND(H739&lt;&gt;"",NOT(ISNUMBER(H739))),N(H739)&lt;0,N(H739)&lt;&gt;INT(N(H739)),AND(I739&lt;&gt;"",NOT(ISNUMBER(I739))),N(I739)&lt;0,N(I739)&lt;&gt;INT(N(I739))),"Quantité invalide",IF(Q739&lt;=0,"Cadence manquante (poste ou article)",IF(M739&lt;=0,"Arrêts planifiés supérieurs au temps d'ouverture",IF(O739&lt;0,"Arrêts supérieurs au temps requis",IF(AND(P739&gt;0,O739=0),"Pièces déclarées sans temps de marche",IF(AND(P739=0,O739&gt;0),"Aucune pièce déclarée",IF(P739*60/Q739&gt;O739+0.001,"Cadence dépassée : vérifiez la cadence","OK"))))))))))))))))))</f>
        <v/>
      </c>
      <c r="AC739">
        <f>IF(OR(AB739="OK",AB739="Aucune pièce déclarée",AB739="Cadence dépassée : vérifiez la cadence"),1,0)</f>
        <v>0.0</v>
      </c>
      <c r="AD739">
        <f>IF(AND(AC739=1,A739&gt;=p_from,A739&lt;=p_to),1,0)</f>
        <v>0.0</v>
      </c>
      <c r="AE739">
        <f>IF(AD739=1,IF(COUNTIFS($A$6:A739,A739,$AD$6:AD739,1)=1,1,0),0)</f>
        <v>0.0</v>
      </c>
      <c r="AF739" t="str">
        <f>IF(AE739=1,COUNTIFS(sj_first,1,sj_date,"&lt;"&amp;A739)+1,"")</f>
        <v/>
      </c>
      <c r="AG739" t="str">
        <f>IF(AND(AD739=1,N(W739)&lt;p_alert),ROUND(W739,4),"")</f>
        <v/>
      </c>
      <c r="AH739" t="str">
        <f>IF(AG739="","",COUNTIF(sj_akey,"&lt;"&amp;AG739)+COUNTIF($AG$6:AG739,AG739))</f>
        <v/>
      </c>
    </row>
    <row r="740">
      <c r="A740" s="51" t="n"/>
      <c r="B740" s="52" t="n"/>
      <c r="C740" s="52" t="n"/>
      <c r="D740" s="53" t="n"/>
      <c r="E740" s="53" t="n"/>
      <c r="F740" s="54" t="n"/>
      <c r="G740" s="54" t="n"/>
      <c r="H740" s="54" t="n"/>
      <c r="I740" s="54" t="n"/>
      <c r="J740" s="53" t="n"/>
      <c r="K740" s="55" t="str">
        <f>IF(COUNTA(A740:I740)=0,"",IF(F740="",IFERROR(INDEX(eq_dur,MATCH(B740,eq_code,0)),""),F740))</f>
        <v/>
      </c>
      <c r="L740" s="55" t="str">
        <f>IF(ISNUMBER(K740),N(IFERROR(INDEX(eq_pause,MATCH(B740,eq_code,0)),0))+SUMIFS(st_min,st_date,A740,st_eq,B740,st_po,C740,st_type,"Planifié"),"")</f>
        <v/>
      </c>
      <c r="M740" s="55" t="str">
        <f>IF(ISNUMBER(K740),K740-L740,"")</f>
        <v/>
      </c>
      <c r="N740" s="55" t="str">
        <f>IF(ISNUMBER(K740),SUMIFS(st_min,st_date,A740,st_eq,B740,st_po,C740,st_type,"Non planifié"),"")</f>
        <v/>
      </c>
      <c r="O740" s="55" t="str">
        <f>IF(ISNUMBER(K740),M740-N740,"")</f>
        <v/>
      </c>
      <c r="P740" s="55" t="str">
        <f>IF(COUNTA(A740:I740)=0,"",N(G740)+N(H740)+N(I740))</f>
        <v/>
      </c>
      <c r="Q740" s="56" t="str">
        <f>IF(COUNTA(A740:I740)=0,"",IF(N(IFERROR(INDEX(art_rate,MATCH(E740,art_ref,0)),0))&gt;0,N(IFERROR(INDEX(art_rate,MATCH(E740,art_ref,0)),0)),N(IFERROR(INDEX(po_rate,MATCH(C740,po_code,0)),0))))</f>
        <v/>
      </c>
      <c r="R740" s="55" t="str">
        <f>IF(AC740=1,P740*60/Q740,"")</f>
        <v/>
      </c>
      <c r="S740" s="55" t="str">
        <f>IF(AC740=1,N(G740)*60/Q740,"")</f>
        <v/>
      </c>
      <c r="T740" s="57" t="str">
        <f>IF(AC740=1,O740/M740,"")</f>
        <v/>
      </c>
      <c r="U740" s="57" t="str">
        <f>IF(AC740=1,IF(O740&gt;0,R740/O740,""),"")</f>
        <v/>
      </c>
      <c r="V740" s="57" t="str">
        <f>IF(AC740=1,IF(P740&gt;0,N(G740)/P740,""),"")</f>
        <v/>
      </c>
      <c r="W740" s="57" t="str">
        <f>IF(AC740=1,S740/M740,"")</f>
        <v/>
      </c>
      <c r="X740" s="57" t="str">
        <f>IF(AC740=1,S740/K740,"")</f>
        <v/>
      </c>
      <c r="Y740" s="58" t="str">
        <f>IF(W740="","",IF(W740&gt;=p_target,"Bon",IF(W740&gt;=p_alert,"À surveiller","Faible")))</f>
        <v/>
      </c>
      <c r="Z740" s="58" t="str">
        <f>IF(W740="","",IF(MIN(IF(T740="",1,T740),IF(U740="",1,U740),IF(V740="",1,V740))&gt;=1,"Aucune",IF(IF(T740="",1,T740)&lt;=MIN(IF(U740="",1,U740),IF(V740="",1,V740)),"Disponibilité",IF(IF(U740="",1,U740)&lt;=IF(V740="",1,V740),"Performance","Qualité"))))</f>
        <v/>
      </c>
      <c r="AA740" s="59" t="str">
        <f>IF(AC740=1,N(H740)*N(IFERROR(INDEX(art_cost,MATCH(E740,art_ref,0)),0)),"")</f>
        <v/>
      </c>
      <c r="AB740" s="58" t="str">
        <f>IF(COUNTA(A740:I740)=0,"",IF(N(A740)&lt;=0,"Date manquante ou invalide",IF(B740="","Équipe manquante",IF(ISNA(MATCH(B740,eq_code,0)),"Équipe inconnue",IF(INDEX(eq_check,MATCH(B740,eq_code,0))&lt;&gt;"OK","Équipe à corriger dans Paramètres",IF(C740="","Poste manquant",IF(ISNA(MATCH(C740,po_code,0)),"Poste inconnu",IF(AND(E740&lt;&gt;"",ISNA(MATCH(E740,art_ref,0))),"Article inconnu",IF(IF(E740="",FALSE,INDEX(art_check,MATCH(E740,art_ref,0))&lt;&gt;"OK"),"Article à corriger (feuille Articles)",IF(COUNTIFS(sj_date,A740,sj_eq,B740,sj_po,C740)&gt;1,"Ligne en double (même jour, équipe et poste)",IF(OR(NOT(ISNUMBER(K740)),N(K740)&lt;=0,N(K740)&gt;1440),"Temps d'ouverture invalide",IF(OR(AND(G740&lt;&gt;"",NOT(ISNUMBER(G740))),N(G740)&lt;0,N(G740)&lt;&gt;INT(N(G740)),AND(H740&lt;&gt;"",NOT(ISNUMBER(H740))),N(H740)&lt;0,N(H740)&lt;&gt;INT(N(H740)),AND(I740&lt;&gt;"",NOT(ISNUMBER(I740))),N(I740)&lt;0,N(I740)&lt;&gt;INT(N(I740))),"Quantité invalide",IF(Q740&lt;=0,"Cadence manquante (poste ou article)",IF(M740&lt;=0,"Arrêts planifiés supérieurs au temps d'ouverture",IF(O740&lt;0,"Arrêts supérieurs au temps requis",IF(AND(P740&gt;0,O740=0),"Pièces déclarées sans temps de marche",IF(AND(P740=0,O740&gt;0),"Aucune pièce déclarée",IF(P740*60/Q740&gt;O740+0.001,"Cadence dépassée : vérifiez la cadence","OK"))))))))))))))))))</f>
        <v/>
      </c>
      <c r="AC740">
        <f>IF(OR(AB740="OK",AB740="Aucune pièce déclarée",AB740="Cadence dépassée : vérifiez la cadence"),1,0)</f>
        <v>0.0</v>
      </c>
      <c r="AD740">
        <f>IF(AND(AC740=1,A740&gt;=p_from,A740&lt;=p_to),1,0)</f>
        <v>0.0</v>
      </c>
      <c r="AE740">
        <f>IF(AD740=1,IF(COUNTIFS($A$6:A740,A740,$AD$6:AD740,1)=1,1,0),0)</f>
        <v>0.0</v>
      </c>
      <c r="AF740" t="str">
        <f>IF(AE740=1,COUNTIFS(sj_first,1,sj_date,"&lt;"&amp;A740)+1,"")</f>
        <v/>
      </c>
      <c r="AG740" t="str">
        <f>IF(AND(AD740=1,N(W740)&lt;p_alert),ROUND(W740,4),"")</f>
        <v/>
      </c>
      <c r="AH740" t="str">
        <f>IF(AG740="","",COUNTIF(sj_akey,"&lt;"&amp;AG740)+COUNTIF($AG$6:AG740,AG740))</f>
        <v/>
      </c>
    </row>
    <row r="741">
      <c r="A741" s="51" t="n"/>
      <c r="B741" s="52" t="n"/>
      <c r="C741" s="52" t="n"/>
      <c r="D741" s="53" t="n"/>
      <c r="E741" s="53" t="n"/>
      <c r="F741" s="54" t="n"/>
      <c r="G741" s="54" t="n"/>
      <c r="H741" s="54" t="n"/>
      <c r="I741" s="54" t="n"/>
      <c r="J741" s="53" t="n"/>
      <c r="K741" s="55" t="str">
        <f>IF(COUNTA(A741:I741)=0,"",IF(F741="",IFERROR(INDEX(eq_dur,MATCH(B741,eq_code,0)),""),F741))</f>
        <v/>
      </c>
      <c r="L741" s="55" t="str">
        <f>IF(ISNUMBER(K741),N(IFERROR(INDEX(eq_pause,MATCH(B741,eq_code,0)),0))+SUMIFS(st_min,st_date,A741,st_eq,B741,st_po,C741,st_type,"Planifié"),"")</f>
        <v/>
      </c>
      <c r="M741" s="55" t="str">
        <f>IF(ISNUMBER(K741),K741-L741,"")</f>
        <v/>
      </c>
      <c r="N741" s="55" t="str">
        <f>IF(ISNUMBER(K741),SUMIFS(st_min,st_date,A741,st_eq,B741,st_po,C741,st_type,"Non planifié"),"")</f>
        <v/>
      </c>
      <c r="O741" s="55" t="str">
        <f>IF(ISNUMBER(K741),M741-N741,"")</f>
        <v/>
      </c>
      <c r="P741" s="55" t="str">
        <f>IF(COUNTA(A741:I741)=0,"",N(G741)+N(H741)+N(I741))</f>
        <v/>
      </c>
      <c r="Q741" s="56" t="str">
        <f>IF(COUNTA(A741:I741)=0,"",IF(N(IFERROR(INDEX(art_rate,MATCH(E741,art_ref,0)),0))&gt;0,N(IFERROR(INDEX(art_rate,MATCH(E741,art_ref,0)),0)),N(IFERROR(INDEX(po_rate,MATCH(C741,po_code,0)),0))))</f>
        <v/>
      </c>
      <c r="R741" s="55" t="str">
        <f>IF(AC741=1,P741*60/Q741,"")</f>
        <v/>
      </c>
      <c r="S741" s="55" t="str">
        <f>IF(AC741=1,N(G741)*60/Q741,"")</f>
        <v/>
      </c>
      <c r="T741" s="57" t="str">
        <f>IF(AC741=1,O741/M741,"")</f>
        <v/>
      </c>
      <c r="U741" s="57" t="str">
        <f>IF(AC741=1,IF(O741&gt;0,R741/O741,""),"")</f>
        <v/>
      </c>
      <c r="V741" s="57" t="str">
        <f>IF(AC741=1,IF(P741&gt;0,N(G741)/P741,""),"")</f>
        <v/>
      </c>
      <c r="W741" s="57" t="str">
        <f>IF(AC741=1,S741/M741,"")</f>
        <v/>
      </c>
      <c r="X741" s="57" t="str">
        <f>IF(AC741=1,S741/K741,"")</f>
        <v/>
      </c>
      <c r="Y741" s="58" t="str">
        <f>IF(W741="","",IF(W741&gt;=p_target,"Bon",IF(W741&gt;=p_alert,"À surveiller","Faible")))</f>
        <v/>
      </c>
      <c r="Z741" s="58" t="str">
        <f>IF(W741="","",IF(MIN(IF(T741="",1,T741),IF(U741="",1,U741),IF(V741="",1,V741))&gt;=1,"Aucune",IF(IF(T741="",1,T741)&lt;=MIN(IF(U741="",1,U741),IF(V741="",1,V741)),"Disponibilité",IF(IF(U741="",1,U741)&lt;=IF(V741="",1,V741),"Performance","Qualité"))))</f>
        <v/>
      </c>
      <c r="AA741" s="59" t="str">
        <f>IF(AC741=1,N(H741)*N(IFERROR(INDEX(art_cost,MATCH(E741,art_ref,0)),0)),"")</f>
        <v/>
      </c>
      <c r="AB741" s="58" t="str">
        <f>IF(COUNTA(A741:I741)=0,"",IF(N(A741)&lt;=0,"Date manquante ou invalide",IF(B741="","Équipe manquante",IF(ISNA(MATCH(B741,eq_code,0)),"Équipe inconnue",IF(INDEX(eq_check,MATCH(B741,eq_code,0))&lt;&gt;"OK","Équipe à corriger dans Paramètres",IF(C741="","Poste manquant",IF(ISNA(MATCH(C741,po_code,0)),"Poste inconnu",IF(AND(E741&lt;&gt;"",ISNA(MATCH(E741,art_ref,0))),"Article inconnu",IF(IF(E741="",FALSE,INDEX(art_check,MATCH(E741,art_ref,0))&lt;&gt;"OK"),"Article à corriger (feuille Articles)",IF(COUNTIFS(sj_date,A741,sj_eq,B741,sj_po,C741)&gt;1,"Ligne en double (même jour, équipe et poste)",IF(OR(NOT(ISNUMBER(K741)),N(K741)&lt;=0,N(K741)&gt;1440),"Temps d'ouverture invalide",IF(OR(AND(G741&lt;&gt;"",NOT(ISNUMBER(G741))),N(G741)&lt;0,N(G741)&lt;&gt;INT(N(G741)),AND(H741&lt;&gt;"",NOT(ISNUMBER(H741))),N(H741)&lt;0,N(H741)&lt;&gt;INT(N(H741)),AND(I741&lt;&gt;"",NOT(ISNUMBER(I741))),N(I741)&lt;0,N(I741)&lt;&gt;INT(N(I741))),"Quantité invalide",IF(Q741&lt;=0,"Cadence manquante (poste ou article)",IF(M741&lt;=0,"Arrêts planifiés supérieurs au temps d'ouverture",IF(O741&lt;0,"Arrêts supérieurs au temps requis",IF(AND(P741&gt;0,O741=0),"Pièces déclarées sans temps de marche",IF(AND(P741=0,O741&gt;0),"Aucune pièce déclarée",IF(P741*60/Q741&gt;O741+0.001,"Cadence dépassée : vérifiez la cadence","OK"))))))))))))))))))</f>
        <v/>
      </c>
      <c r="AC741">
        <f>IF(OR(AB741="OK",AB741="Aucune pièce déclarée",AB741="Cadence dépassée : vérifiez la cadence"),1,0)</f>
        <v>0.0</v>
      </c>
      <c r="AD741">
        <f>IF(AND(AC741=1,A741&gt;=p_from,A741&lt;=p_to),1,0)</f>
        <v>0.0</v>
      </c>
      <c r="AE741">
        <f>IF(AD741=1,IF(COUNTIFS($A$6:A741,A741,$AD$6:AD741,1)=1,1,0),0)</f>
        <v>0.0</v>
      </c>
      <c r="AF741" t="str">
        <f>IF(AE741=1,COUNTIFS(sj_first,1,sj_date,"&lt;"&amp;A741)+1,"")</f>
        <v/>
      </c>
      <c r="AG741" t="str">
        <f>IF(AND(AD741=1,N(W741)&lt;p_alert),ROUND(W741,4),"")</f>
        <v/>
      </c>
      <c r="AH741" t="str">
        <f>IF(AG741="","",COUNTIF(sj_akey,"&lt;"&amp;AG741)+COUNTIF($AG$6:AG741,AG741))</f>
        <v/>
      </c>
    </row>
    <row r="742">
      <c r="A742" s="51" t="n"/>
      <c r="B742" s="52" t="n"/>
      <c r="C742" s="52" t="n"/>
      <c r="D742" s="53" t="n"/>
      <c r="E742" s="53" t="n"/>
      <c r="F742" s="54" t="n"/>
      <c r="G742" s="54" t="n"/>
      <c r="H742" s="54" t="n"/>
      <c r="I742" s="54" t="n"/>
      <c r="J742" s="53" t="n"/>
      <c r="K742" s="55" t="str">
        <f>IF(COUNTA(A742:I742)=0,"",IF(F742="",IFERROR(INDEX(eq_dur,MATCH(B742,eq_code,0)),""),F742))</f>
        <v/>
      </c>
      <c r="L742" s="55" t="str">
        <f>IF(ISNUMBER(K742),N(IFERROR(INDEX(eq_pause,MATCH(B742,eq_code,0)),0))+SUMIFS(st_min,st_date,A742,st_eq,B742,st_po,C742,st_type,"Planifié"),"")</f>
        <v/>
      </c>
      <c r="M742" s="55" t="str">
        <f>IF(ISNUMBER(K742),K742-L742,"")</f>
        <v/>
      </c>
      <c r="N742" s="55" t="str">
        <f>IF(ISNUMBER(K742),SUMIFS(st_min,st_date,A742,st_eq,B742,st_po,C742,st_type,"Non planifié"),"")</f>
        <v/>
      </c>
      <c r="O742" s="55" t="str">
        <f>IF(ISNUMBER(K742),M742-N742,"")</f>
        <v/>
      </c>
      <c r="P742" s="55" t="str">
        <f>IF(COUNTA(A742:I742)=0,"",N(G742)+N(H742)+N(I742))</f>
        <v/>
      </c>
      <c r="Q742" s="56" t="str">
        <f>IF(COUNTA(A742:I742)=0,"",IF(N(IFERROR(INDEX(art_rate,MATCH(E742,art_ref,0)),0))&gt;0,N(IFERROR(INDEX(art_rate,MATCH(E742,art_ref,0)),0)),N(IFERROR(INDEX(po_rate,MATCH(C742,po_code,0)),0))))</f>
        <v/>
      </c>
      <c r="R742" s="55" t="str">
        <f>IF(AC742=1,P742*60/Q742,"")</f>
        <v/>
      </c>
      <c r="S742" s="55" t="str">
        <f>IF(AC742=1,N(G742)*60/Q742,"")</f>
        <v/>
      </c>
      <c r="T742" s="57" t="str">
        <f>IF(AC742=1,O742/M742,"")</f>
        <v/>
      </c>
      <c r="U742" s="57" t="str">
        <f>IF(AC742=1,IF(O742&gt;0,R742/O742,""),"")</f>
        <v/>
      </c>
      <c r="V742" s="57" t="str">
        <f>IF(AC742=1,IF(P742&gt;0,N(G742)/P742,""),"")</f>
        <v/>
      </c>
      <c r="W742" s="57" t="str">
        <f>IF(AC742=1,S742/M742,"")</f>
        <v/>
      </c>
      <c r="X742" s="57" t="str">
        <f>IF(AC742=1,S742/K742,"")</f>
        <v/>
      </c>
      <c r="Y742" s="58" t="str">
        <f>IF(W742="","",IF(W742&gt;=p_target,"Bon",IF(W742&gt;=p_alert,"À surveiller","Faible")))</f>
        <v/>
      </c>
      <c r="Z742" s="58" t="str">
        <f>IF(W742="","",IF(MIN(IF(T742="",1,T742),IF(U742="",1,U742),IF(V742="",1,V742))&gt;=1,"Aucune",IF(IF(T742="",1,T742)&lt;=MIN(IF(U742="",1,U742),IF(V742="",1,V742)),"Disponibilité",IF(IF(U742="",1,U742)&lt;=IF(V742="",1,V742),"Performance","Qualité"))))</f>
        <v/>
      </c>
      <c r="AA742" s="59" t="str">
        <f>IF(AC742=1,N(H742)*N(IFERROR(INDEX(art_cost,MATCH(E742,art_ref,0)),0)),"")</f>
        <v/>
      </c>
      <c r="AB742" s="58" t="str">
        <f>IF(COUNTA(A742:I742)=0,"",IF(N(A742)&lt;=0,"Date manquante ou invalide",IF(B742="","Équipe manquante",IF(ISNA(MATCH(B742,eq_code,0)),"Équipe inconnue",IF(INDEX(eq_check,MATCH(B742,eq_code,0))&lt;&gt;"OK","Équipe à corriger dans Paramètres",IF(C742="","Poste manquant",IF(ISNA(MATCH(C742,po_code,0)),"Poste inconnu",IF(AND(E742&lt;&gt;"",ISNA(MATCH(E742,art_ref,0))),"Article inconnu",IF(IF(E742="",FALSE,INDEX(art_check,MATCH(E742,art_ref,0))&lt;&gt;"OK"),"Article à corriger (feuille Articles)",IF(COUNTIFS(sj_date,A742,sj_eq,B742,sj_po,C742)&gt;1,"Ligne en double (même jour, équipe et poste)",IF(OR(NOT(ISNUMBER(K742)),N(K742)&lt;=0,N(K742)&gt;1440),"Temps d'ouverture invalide",IF(OR(AND(G742&lt;&gt;"",NOT(ISNUMBER(G742))),N(G742)&lt;0,N(G742)&lt;&gt;INT(N(G742)),AND(H742&lt;&gt;"",NOT(ISNUMBER(H742))),N(H742)&lt;0,N(H742)&lt;&gt;INT(N(H742)),AND(I742&lt;&gt;"",NOT(ISNUMBER(I742))),N(I742)&lt;0,N(I742)&lt;&gt;INT(N(I742))),"Quantité invalide",IF(Q742&lt;=0,"Cadence manquante (poste ou article)",IF(M742&lt;=0,"Arrêts planifiés supérieurs au temps d'ouverture",IF(O742&lt;0,"Arrêts supérieurs au temps requis",IF(AND(P742&gt;0,O742=0),"Pièces déclarées sans temps de marche",IF(AND(P742=0,O742&gt;0),"Aucune pièce déclarée",IF(P742*60/Q742&gt;O742+0.001,"Cadence dépassée : vérifiez la cadence","OK"))))))))))))))))))</f>
        <v/>
      </c>
      <c r="AC742">
        <f>IF(OR(AB742="OK",AB742="Aucune pièce déclarée",AB742="Cadence dépassée : vérifiez la cadence"),1,0)</f>
        <v>0.0</v>
      </c>
      <c r="AD742">
        <f>IF(AND(AC742=1,A742&gt;=p_from,A742&lt;=p_to),1,0)</f>
        <v>0.0</v>
      </c>
      <c r="AE742">
        <f>IF(AD742=1,IF(COUNTIFS($A$6:A742,A742,$AD$6:AD742,1)=1,1,0),0)</f>
        <v>0.0</v>
      </c>
      <c r="AF742" t="str">
        <f>IF(AE742=1,COUNTIFS(sj_first,1,sj_date,"&lt;"&amp;A742)+1,"")</f>
        <v/>
      </c>
      <c r="AG742" t="str">
        <f>IF(AND(AD742=1,N(W742)&lt;p_alert),ROUND(W742,4),"")</f>
        <v/>
      </c>
      <c r="AH742" t="str">
        <f>IF(AG742="","",COUNTIF(sj_akey,"&lt;"&amp;AG742)+COUNTIF($AG$6:AG742,AG742))</f>
        <v/>
      </c>
    </row>
    <row r="743">
      <c r="A743" s="51" t="n"/>
      <c r="B743" s="52" t="n"/>
      <c r="C743" s="52" t="n"/>
      <c r="D743" s="53" t="n"/>
      <c r="E743" s="53" t="n"/>
      <c r="F743" s="54" t="n"/>
      <c r="G743" s="54" t="n"/>
      <c r="H743" s="54" t="n"/>
      <c r="I743" s="54" t="n"/>
      <c r="J743" s="53" t="n"/>
      <c r="K743" s="55" t="str">
        <f>IF(COUNTA(A743:I743)=0,"",IF(F743="",IFERROR(INDEX(eq_dur,MATCH(B743,eq_code,0)),""),F743))</f>
        <v/>
      </c>
      <c r="L743" s="55" t="str">
        <f>IF(ISNUMBER(K743),N(IFERROR(INDEX(eq_pause,MATCH(B743,eq_code,0)),0))+SUMIFS(st_min,st_date,A743,st_eq,B743,st_po,C743,st_type,"Planifié"),"")</f>
        <v/>
      </c>
      <c r="M743" s="55" t="str">
        <f>IF(ISNUMBER(K743),K743-L743,"")</f>
        <v/>
      </c>
      <c r="N743" s="55" t="str">
        <f>IF(ISNUMBER(K743),SUMIFS(st_min,st_date,A743,st_eq,B743,st_po,C743,st_type,"Non planifié"),"")</f>
        <v/>
      </c>
      <c r="O743" s="55" t="str">
        <f>IF(ISNUMBER(K743),M743-N743,"")</f>
        <v/>
      </c>
      <c r="P743" s="55" t="str">
        <f>IF(COUNTA(A743:I743)=0,"",N(G743)+N(H743)+N(I743))</f>
        <v/>
      </c>
      <c r="Q743" s="56" t="str">
        <f>IF(COUNTA(A743:I743)=0,"",IF(N(IFERROR(INDEX(art_rate,MATCH(E743,art_ref,0)),0))&gt;0,N(IFERROR(INDEX(art_rate,MATCH(E743,art_ref,0)),0)),N(IFERROR(INDEX(po_rate,MATCH(C743,po_code,0)),0))))</f>
        <v/>
      </c>
      <c r="R743" s="55" t="str">
        <f>IF(AC743=1,P743*60/Q743,"")</f>
        <v/>
      </c>
      <c r="S743" s="55" t="str">
        <f>IF(AC743=1,N(G743)*60/Q743,"")</f>
        <v/>
      </c>
      <c r="T743" s="57" t="str">
        <f>IF(AC743=1,O743/M743,"")</f>
        <v/>
      </c>
      <c r="U743" s="57" t="str">
        <f>IF(AC743=1,IF(O743&gt;0,R743/O743,""),"")</f>
        <v/>
      </c>
      <c r="V743" s="57" t="str">
        <f>IF(AC743=1,IF(P743&gt;0,N(G743)/P743,""),"")</f>
        <v/>
      </c>
      <c r="W743" s="57" t="str">
        <f>IF(AC743=1,S743/M743,"")</f>
        <v/>
      </c>
      <c r="X743" s="57" t="str">
        <f>IF(AC743=1,S743/K743,"")</f>
        <v/>
      </c>
      <c r="Y743" s="58" t="str">
        <f>IF(W743="","",IF(W743&gt;=p_target,"Bon",IF(W743&gt;=p_alert,"À surveiller","Faible")))</f>
        <v/>
      </c>
      <c r="Z743" s="58" t="str">
        <f>IF(W743="","",IF(MIN(IF(T743="",1,T743),IF(U743="",1,U743),IF(V743="",1,V743))&gt;=1,"Aucune",IF(IF(T743="",1,T743)&lt;=MIN(IF(U743="",1,U743),IF(V743="",1,V743)),"Disponibilité",IF(IF(U743="",1,U743)&lt;=IF(V743="",1,V743),"Performance","Qualité"))))</f>
        <v/>
      </c>
      <c r="AA743" s="59" t="str">
        <f>IF(AC743=1,N(H743)*N(IFERROR(INDEX(art_cost,MATCH(E743,art_ref,0)),0)),"")</f>
        <v/>
      </c>
      <c r="AB743" s="58" t="str">
        <f>IF(COUNTA(A743:I743)=0,"",IF(N(A743)&lt;=0,"Date manquante ou invalide",IF(B743="","Équipe manquante",IF(ISNA(MATCH(B743,eq_code,0)),"Équipe inconnue",IF(INDEX(eq_check,MATCH(B743,eq_code,0))&lt;&gt;"OK","Équipe à corriger dans Paramètres",IF(C743="","Poste manquant",IF(ISNA(MATCH(C743,po_code,0)),"Poste inconnu",IF(AND(E743&lt;&gt;"",ISNA(MATCH(E743,art_ref,0))),"Article inconnu",IF(IF(E743="",FALSE,INDEX(art_check,MATCH(E743,art_ref,0))&lt;&gt;"OK"),"Article à corriger (feuille Articles)",IF(COUNTIFS(sj_date,A743,sj_eq,B743,sj_po,C743)&gt;1,"Ligne en double (même jour, équipe et poste)",IF(OR(NOT(ISNUMBER(K743)),N(K743)&lt;=0,N(K743)&gt;1440),"Temps d'ouverture invalide",IF(OR(AND(G743&lt;&gt;"",NOT(ISNUMBER(G743))),N(G743)&lt;0,N(G743)&lt;&gt;INT(N(G743)),AND(H743&lt;&gt;"",NOT(ISNUMBER(H743))),N(H743)&lt;0,N(H743)&lt;&gt;INT(N(H743)),AND(I743&lt;&gt;"",NOT(ISNUMBER(I743))),N(I743)&lt;0,N(I743)&lt;&gt;INT(N(I743))),"Quantité invalide",IF(Q743&lt;=0,"Cadence manquante (poste ou article)",IF(M743&lt;=0,"Arrêts planifiés supérieurs au temps d'ouverture",IF(O743&lt;0,"Arrêts supérieurs au temps requis",IF(AND(P743&gt;0,O743=0),"Pièces déclarées sans temps de marche",IF(AND(P743=0,O743&gt;0),"Aucune pièce déclarée",IF(P743*60/Q743&gt;O743+0.001,"Cadence dépassée : vérifiez la cadence","OK"))))))))))))))))))</f>
        <v/>
      </c>
      <c r="AC743">
        <f>IF(OR(AB743="OK",AB743="Aucune pièce déclarée",AB743="Cadence dépassée : vérifiez la cadence"),1,0)</f>
        <v>0.0</v>
      </c>
      <c r="AD743">
        <f>IF(AND(AC743=1,A743&gt;=p_from,A743&lt;=p_to),1,0)</f>
        <v>0.0</v>
      </c>
      <c r="AE743">
        <f>IF(AD743=1,IF(COUNTIFS($A$6:A743,A743,$AD$6:AD743,1)=1,1,0),0)</f>
        <v>0.0</v>
      </c>
      <c r="AF743" t="str">
        <f>IF(AE743=1,COUNTIFS(sj_first,1,sj_date,"&lt;"&amp;A743)+1,"")</f>
        <v/>
      </c>
      <c r="AG743" t="str">
        <f>IF(AND(AD743=1,N(W743)&lt;p_alert),ROUND(W743,4),"")</f>
        <v/>
      </c>
      <c r="AH743" t="str">
        <f>IF(AG743="","",COUNTIF(sj_akey,"&lt;"&amp;AG743)+COUNTIF($AG$6:AG743,AG743))</f>
        <v/>
      </c>
    </row>
    <row r="744">
      <c r="A744" s="51" t="n"/>
      <c r="B744" s="52" t="n"/>
      <c r="C744" s="52" t="n"/>
      <c r="D744" s="53" t="n"/>
      <c r="E744" s="53" t="n"/>
      <c r="F744" s="54" t="n"/>
      <c r="G744" s="54" t="n"/>
      <c r="H744" s="54" t="n"/>
      <c r="I744" s="54" t="n"/>
      <c r="J744" s="53" t="n"/>
      <c r="K744" s="55" t="str">
        <f>IF(COUNTA(A744:I744)=0,"",IF(F744="",IFERROR(INDEX(eq_dur,MATCH(B744,eq_code,0)),""),F744))</f>
        <v/>
      </c>
      <c r="L744" s="55" t="str">
        <f>IF(ISNUMBER(K744),N(IFERROR(INDEX(eq_pause,MATCH(B744,eq_code,0)),0))+SUMIFS(st_min,st_date,A744,st_eq,B744,st_po,C744,st_type,"Planifié"),"")</f>
        <v/>
      </c>
      <c r="M744" s="55" t="str">
        <f>IF(ISNUMBER(K744),K744-L744,"")</f>
        <v/>
      </c>
      <c r="N744" s="55" t="str">
        <f>IF(ISNUMBER(K744),SUMIFS(st_min,st_date,A744,st_eq,B744,st_po,C744,st_type,"Non planifié"),"")</f>
        <v/>
      </c>
      <c r="O744" s="55" t="str">
        <f>IF(ISNUMBER(K744),M744-N744,"")</f>
        <v/>
      </c>
      <c r="P744" s="55" t="str">
        <f>IF(COUNTA(A744:I744)=0,"",N(G744)+N(H744)+N(I744))</f>
        <v/>
      </c>
      <c r="Q744" s="56" t="str">
        <f>IF(COUNTA(A744:I744)=0,"",IF(N(IFERROR(INDEX(art_rate,MATCH(E744,art_ref,0)),0))&gt;0,N(IFERROR(INDEX(art_rate,MATCH(E744,art_ref,0)),0)),N(IFERROR(INDEX(po_rate,MATCH(C744,po_code,0)),0))))</f>
        <v/>
      </c>
      <c r="R744" s="55" t="str">
        <f>IF(AC744=1,P744*60/Q744,"")</f>
        <v/>
      </c>
      <c r="S744" s="55" t="str">
        <f>IF(AC744=1,N(G744)*60/Q744,"")</f>
        <v/>
      </c>
      <c r="T744" s="57" t="str">
        <f>IF(AC744=1,O744/M744,"")</f>
        <v/>
      </c>
      <c r="U744" s="57" t="str">
        <f>IF(AC744=1,IF(O744&gt;0,R744/O744,""),"")</f>
        <v/>
      </c>
      <c r="V744" s="57" t="str">
        <f>IF(AC744=1,IF(P744&gt;0,N(G744)/P744,""),"")</f>
        <v/>
      </c>
      <c r="W744" s="57" t="str">
        <f>IF(AC744=1,S744/M744,"")</f>
        <v/>
      </c>
      <c r="X744" s="57" t="str">
        <f>IF(AC744=1,S744/K744,"")</f>
        <v/>
      </c>
      <c r="Y744" s="58" t="str">
        <f>IF(W744="","",IF(W744&gt;=p_target,"Bon",IF(W744&gt;=p_alert,"À surveiller","Faible")))</f>
        <v/>
      </c>
      <c r="Z744" s="58" t="str">
        <f>IF(W744="","",IF(MIN(IF(T744="",1,T744),IF(U744="",1,U744),IF(V744="",1,V744))&gt;=1,"Aucune",IF(IF(T744="",1,T744)&lt;=MIN(IF(U744="",1,U744),IF(V744="",1,V744)),"Disponibilité",IF(IF(U744="",1,U744)&lt;=IF(V744="",1,V744),"Performance","Qualité"))))</f>
        <v/>
      </c>
      <c r="AA744" s="59" t="str">
        <f>IF(AC744=1,N(H744)*N(IFERROR(INDEX(art_cost,MATCH(E744,art_ref,0)),0)),"")</f>
        <v/>
      </c>
      <c r="AB744" s="58" t="str">
        <f>IF(COUNTA(A744:I744)=0,"",IF(N(A744)&lt;=0,"Date manquante ou invalide",IF(B744="","Équipe manquante",IF(ISNA(MATCH(B744,eq_code,0)),"Équipe inconnue",IF(INDEX(eq_check,MATCH(B744,eq_code,0))&lt;&gt;"OK","Équipe à corriger dans Paramètres",IF(C744="","Poste manquant",IF(ISNA(MATCH(C744,po_code,0)),"Poste inconnu",IF(AND(E744&lt;&gt;"",ISNA(MATCH(E744,art_ref,0))),"Article inconnu",IF(IF(E744="",FALSE,INDEX(art_check,MATCH(E744,art_ref,0))&lt;&gt;"OK"),"Article à corriger (feuille Articles)",IF(COUNTIFS(sj_date,A744,sj_eq,B744,sj_po,C744)&gt;1,"Ligne en double (même jour, équipe et poste)",IF(OR(NOT(ISNUMBER(K744)),N(K744)&lt;=0,N(K744)&gt;1440),"Temps d'ouverture invalide",IF(OR(AND(G744&lt;&gt;"",NOT(ISNUMBER(G744))),N(G744)&lt;0,N(G744)&lt;&gt;INT(N(G744)),AND(H744&lt;&gt;"",NOT(ISNUMBER(H744))),N(H744)&lt;0,N(H744)&lt;&gt;INT(N(H744)),AND(I744&lt;&gt;"",NOT(ISNUMBER(I744))),N(I744)&lt;0,N(I744)&lt;&gt;INT(N(I744))),"Quantité invalide",IF(Q744&lt;=0,"Cadence manquante (poste ou article)",IF(M744&lt;=0,"Arrêts planifiés supérieurs au temps d'ouverture",IF(O744&lt;0,"Arrêts supérieurs au temps requis",IF(AND(P744&gt;0,O744=0),"Pièces déclarées sans temps de marche",IF(AND(P744=0,O744&gt;0),"Aucune pièce déclarée",IF(P744*60/Q744&gt;O744+0.001,"Cadence dépassée : vérifiez la cadence","OK"))))))))))))))))))</f>
        <v/>
      </c>
      <c r="AC744">
        <f>IF(OR(AB744="OK",AB744="Aucune pièce déclarée",AB744="Cadence dépassée : vérifiez la cadence"),1,0)</f>
        <v>0.0</v>
      </c>
      <c r="AD744">
        <f>IF(AND(AC744=1,A744&gt;=p_from,A744&lt;=p_to),1,0)</f>
        <v>0.0</v>
      </c>
      <c r="AE744">
        <f>IF(AD744=1,IF(COUNTIFS($A$6:A744,A744,$AD$6:AD744,1)=1,1,0),0)</f>
        <v>0.0</v>
      </c>
      <c r="AF744" t="str">
        <f>IF(AE744=1,COUNTIFS(sj_first,1,sj_date,"&lt;"&amp;A744)+1,"")</f>
        <v/>
      </c>
      <c r="AG744" t="str">
        <f>IF(AND(AD744=1,N(W744)&lt;p_alert),ROUND(W744,4),"")</f>
        <v/>
      </c>
      <c r="AH744" t="str">
        <f>IF(AG744="","",COUNTIF(sj_akey,"&lt;"&amp;AG744)+COUNTIF($AG$6:AG744,AG744))</f>
        <v/>
      </c>
    </row>
    <row r="745">
      <c r="A745" s="51" t="n"/>
      <c r="B745" s="52" t="n"/>
      <c r="C745" s="52" t="n"/>
      <c r="D745" s="53" t="n"/>
      <c r="E745" s="53" t="n"/>
      <c r="F745" s="54" t="n"/>
      <c r="G745" s="54" t="n"/>
      <c r="H745" s="54" t="n"/>
      <c r="I745" s="54" t="n"/>
      <c r="J745" s="53" t="n"/>
      <c r="K745" s="55" t="str">
        <f>IF(COUNTA(A745:I745)=0,"",IF(F745="",IFERROR(INDEX(eq_dur,MATCH(B745,eq_code,0)),""),F745))</f>
        <v/>
      </c>
      <c r="L745" s="55" t="str">
        <f>IF(ISNUMBER(K745),N(IFERROR(INDEX(eq_pause,MATCH(B745,eq_code,0)),0))+SUMIFS(st_min,st_date,A745,st_eq,B745,st_po,C745,st_type,"Planifié"),"")</f>
        <v/>
      </c>
      <c r="M745" s="55" t="str">
        <f>IF(ISNUMBER(K745),K745-L745,"")</f>
        <v/>
      </c>
      <c r="N745" s="55" t="str">
        <f>IF(ISNUMBER(K745),SUMIFS(st_min,st_date,A745,st_eq,B745,st_po,C745,st_type,"Non planifié"),"")</f>
        <v/>
      </c>
      <c r="O745" s="55" t="str">
        <f>IF(ISNUMBER(K745),M745-N745,"")</f>
        <v/>
      </c>
      <c r="P745" s="55" t="str">
        <f>IF(COUNTA(A745:I745)=0,"",N(G745)+N(H745)+N(I745))</f>
        <v/>
      </c>
      <c r="Q745" s="56" t="str">
        <f>IF(COUNTA(A745:I745)=0,"",IF(N(IFERROR(INDEX(art_rate,MATCH(E745,art_ref,0)),0))&gt;0,N(IFERROR(INDEX(art_rate,MATCH(E745,art_ref,0)),0)),N(IFERROR(INDEX(po_rate,MATCH(C745,po_code,0)),0))))</f>
        <v/>
      </c>
      <c r="R745" s="55" t="str">
        <f>IF(AC745=1,P745*60/Q745,"")</f>
        <v/>
      </c>
      <c r="S745" s="55" t="str">
        <f>IF(AC745=1,N(G745)*60/Q745,"")</f>
        <v/>
      </c>
      <c r="T745" s="57" t="str">
        <f>IF(AC745=1,O745/M745,"")</f>
        <v/>
      </c>
      <c r="U745" s="57" t="str">
        <f>IF(AC745=1,IF(O745&gt;0,R745/O745,""),"")</f>
        <v/>
      </c>
      <c r="V745" s="57" t="str">
        <f>IF(AC745=1,IF(P745&gt;0,N(G745)/P745,""),"")</f>
        <v/>
      </c>
      <c r="W745" s="57" t="str">
        <f>IF(AC745=1,S745/M745,"")</f>
        <v/>
      </c>
      <c r="X745" s="57" t="str">
        <f>IF(AC745=1,S745/K745,"")</f>
        <v/>
      </c>
      <c r="Y745" s="58" t="str">
        <f>IF(W745="","",IF(W745&gt;=p_target,"Bon",IF(W745&gt;=p_alert,"À surveiller","Faible")))</f>
        <v/>
      </c>
      <c r="Z745" s="58" t="str">
        <f>IF(W745="","",IF(MIN(IF(T745="",1,T745),IF(U745="",1,U745),IF(V745="",1,V745))&gt;=1,"Aucune",IF(IF(T745="",1,T745)&lt;=MIN(IF(U745="",1,U745),IF(V745="",1,V745)),"Disponibilité",IF(IF(U745="",1,U745)&lt;=IF(V745="",1,V745),"Performance","Qualité"))))</f>
        <v/>
      </c>
      <c r="AA745" s="59" t="str">
        <f>IF(AC745=1,N(H745)*N(IFERROR(INDEX(art_cost,MATCH(E745,art_ref,0)),0)),"")</f>
        <v/>
      </c>
      <c r="AB745" s="58" t="str">
        <f>IF(COUNTA(A745:I745)=0,"",IF(N(A745)&lt;=0,"Date manquante ou invalide",IF(B745="","Équipe manquante",IF(ISNA(MATCH(B745,eq_code,0)),"Équipe inconnue",IF(INDEX(eq_check,MATCH(B745,eq_code,0))&lt;&gt;"OK","Équipe à corriger dans Paramètres",IF(C745="","Poste manquant",IF(ISNA(MATCH(C745,po_code,0)),"Poste inconnu",IF(AND(E745&lt;&gt;"",ISNA(MATCH(E745,art_ref,0))),"Article inconnu",IF(IF(E745="",FALSE,INDEX(art_check,MATCH(E745,art_ref,0))&lt;&gt;"OK"),"Article à corriger (feuille Articles)",IF(COUNTIFS(sj_date,A745,sj_eq,B745,sj_po,C745)&gt;1,"Ligne en double (même jour, équipe et poste)",IF(OR(NOT(ISNUMBER(K745)),N(K745)&lt;=0,N(K745)&gt;1440),"Temps d'ouverture invalide",IF(OR(AND(G745&lt;&gt;"",NOT(ISNUMBER(G745))),N(G745)&lt;0,N(G745)&lt;&gt;INT(N(G745)),AND(H745&lt;&gt;"",NOT(ISNUMBER(H745))),N(H745)&lt;0,N(H745)&lt;&gt;INT(N(H745)),AND(I745&lt;&gt;"",NOT(ISNUMBER(I745))),N(I745)&lt;0,N(I745)&lt;&gt;INT(N(I745))),"Quantité invalide",IF(Q745&lt;=0,"Cadence manquante (poste ou article)",IF(M745&lt;=0,"Arrêts planifiés supérieurs au temps d'ouverture",IF(O745&lt;0,"Arrêts supérieurs au temps requis",IF(AND(P745&gt;0,O745=0),"Pièces déclarées sans temps de marche",IF(AND(P745=0,O745&gt;0),"Aucune pièce déclarée",IF(P745*60/Q745&gt;O745+0.001,"Cadence dépassée : vérifiez la cadence","OK"))))))))))))))))))</f>
        <v/>
      </c>
      <c r="AC745">
        <f>IF(OR(AB745="OK",AB745="Aucune pièce déclarée",AB745="Cadence dépassée : vérifiez la cadence"),1,0)</f>
        <v>0.0</v>
      </c>
      <c r="AD745">
        <f>IF(AND(AC745=1,A745&gt;=p_from,A745&lt;=p_to),1,0)</f>
        <v>0.0</v>
      </c>
      <c r="AE745">
        <f>IF(AD745=1,IF(COUNTIFS($A$6:A745,A745,$AD$6:AD745,1)=1,1,0),0)</f>
        <v>0.0</v>
      </c>
      <c r="AF745" t="str">
        <f>IF(AE745=1,COUNTIFS(sj_first,1,sj_date,"&lt;"&amp;A745)+1,"")</f>
        <v/>
      </c>
      <c r="AG745" t="str">
        <f>IF(AND(AD745=1,N(W745)&lt;p_alert),ROUND(W745,4),"")</f>
        <v/>
      </c>
      <c r="AH745" t="str">
        <f>IF(AG745="","",COUNTIF(sj_akey,"&lt;"&amp;AG745)+COUNTIF($AG$6:AG745,AG745))</f>
        <v/>
      </c>
    </row>
    <row r="746">
      <c r="A746" s="51" t="n"/>
      <c r="B746" s="52" t="n"/>
      <c r="C746" s="52" t="n"/>
      <c r="D746" s="53" t="n"/>
      <c r="E746" s="53" t="n"/>
      <c r="F746" s="54" t="n"/>
      <c r="G746" s="54" t="n"/>
      <c r="H746" s="54" t="n"/>
      <c r="I746" s="54" t="n"/>
      <c r="J746" s="53" t="n"/>
      <c r="K746" s="55" t="str">
        <f>IF(COUNTA(A746:I746)=0,"",IF(F746="",IFERROR(INDEX(eq_dur,MATCH(B746,eq_code,0)),""),F746))</f>
        <v/>
      </c>
      <c r="L746" s="55" t="str">
        <f>IF(ISNUMBER(K746),N(IFERROR(INDEX(eq_pause,MATCH(B746,eq_code,0)),0))+SUMIFS(st_min,st_date,A746,st_eq,B746,st_po,C746,st_type,"Planifié"),"")</f>
        <v/>
      </c>
      <c r="M746" s="55" t="str">
        <f>IF(ISNUMBER(K746),K746-L746,"")</f>
        <v/>
      </c>
      <c r="N746" s="55" t="str">
        <f>IF(ISNUMBER(K746),SUMIFS(st_min,st_date,A746,st_eq,B746,st_po,C746,st_type,"Non planifié"),"")</f>
        <v/>
      </c>
      <c r="O746" s="55" t="str">
        <f>IF(ISNUMBER(K746),M746-N746,"")</f>
        <v/>
      </c>
      <c r="P746" s="55" t="str">
        <f>IF(COUNTA(A746:I746)=0,"",N(G746)+N(H746)+N(I746))</f>
        <v/>
      </c>
      <c r="Q746" s="56" t="str">
        <f>IF(COUNTA(A746:I746)=0,"",IF(N(IFERROR(INDEX(art_rate,MATCH(E746,art_ref,0)),0))&gt;0,N(IFERROR(INDEX(art_rate,MATCH(E746,art_ref,0)),0)),N(IFERROR(INDEX(po_rate,MATCH(C746,po_code,0)),0))))</f>
        <v/>
      </c>
      <c r="R746" s="55" t="str">
        <f>IF(AC746=1,P746*60/Q746,"")</f>
        <v/>
      </c>
      <c r="S746" s="55" t="str">
        <f>IF(AC746=1,N(G746)*60/Q746,"")</f>
        <v/>
      </c>
      <c r="T746" s="57" t="str">
        <f>IF(AC746=1,O746/M746,"")</f>
        <v/>
      </c>
      <c r="U746" s="57" t="str">
        <f>IF(AC746=1,IF(O746&gt;0,R746/O746,""),"")</f>
        <v/>
      </c>
      <c r="V746" s="57" t="str">
        <f>IF(AC746=1,IF(P746&gt;0,N(G746)/P746,""),"")</f>
        <v/>
      </c>
      <c r="W746" s="57" t="str">
        <f>IF(AC746=1,S746/M746,"")</f>
        <v/>
      </c>
      <c r="X746" s="57" t="str">
        <f>IF(AC746=1,S746/K746,"")</f>
        <v/>
      </c>
      <c r="Y746" s="58" t="str">
        <f>IF(W746="","",IF(W746&gt;=p_target,"Bon",IF(W746&gt;=p_alert,"À surveiller","Faible")))</f>
        <v/>
      </c>
      <c r="Z746" s="58" t="str">
        <f>IF(W746="","",IF(MIN(IF(T746="",1,T746),IF(U746="",1,U746),IF(V746="",1,V746))&gt;=1,"Aucune",IF(IF(T746="",1,T746)&lt;=MIN(IF(U746="",1,U746),IF(V746="",1,V746)),"Disponibilité",IF(IF(U746="",1,U746)&lt;=IF(V746="",1,V746),"Performance","Qualité"))))</f>
        <v/>
      </c>
      <c r="AA746" s="59" t="str">
        <f>IF(AC746=1,N(H746)*N(IFERROR(INDEX(art_cost,MATCH(E746,art_ref,0)),0)),"")</f>
        <v/>
      </c>
      <c r="AB746" s="58" t="str">
        <f>IF(COUNTA(A746:I746)=0,"",IF(N(A746)&lt;=0,"Date manquante ou invalide",IF(B746="","Équipe manquante",IF(ISNA(MATCH(B746,eq_code,0)),"Équipe inconnue",IF(INDEX(eq_check,MATCH(B746,eq_code,0))&lt;&gt;"OK","Équipe à corriger dans Paramètres",IF(C746="","Poste manquant",IF(ISNA(MATCH(C746,po_code,0)),"Poste inconnu",IF(AND(E746&lt;&gt;"",ISNA(MATCH(E746,art_ref,0))),"Article inconnu",IF(IF(E746="",FALSE,INDEX(art_check,MATCH(E746,art_ref,0))&lt;&gt;"OK"),"Article à corriger (feuille Articles)",IF(COUNTIFS(sj_date,A746,sj_eq,B746,sj_po,C746)&gt;1,"Ligne en double (même jour, équipe et poste)",IF(OR(NOT(ISNUMBER(K746)),N(K746)&lt;=0,N(K746)&gt;1440),"Temps d'ouverture invalide",IF(OR(AND(G746&lt;&gt;"",NOT(ISNUMBER(G746))),N(G746)&lt;0,N(G746)&lt;&gt;INT(N(G746)),AND(H746&lt;&gt;"",NOT(ISNUMBER(H746))),N(H746)&lt;0,N(H746)&lt;&gt;INT(N(H746)),AND(I746&lt;&gt;"",NOT(ISNUMBER(I746))),N(I746)&lt;0,N(I746)&lt;&gt;INT(N(I746))),"Quantité invalide",IF(Q746&lt;=0,"Cadence manquante (poste ou article)",IF(M746&lt;=0,"Arrêts planifiés supérieurs au temps d'ouverture",IF(O746&lt;0,"Arrêts supérieurs au temps requis",IF(AND(P746&gt;0,O746=0),"Pièces déclarées sans temps de marche",IF(AND(P746=0,O746&gt;0),"Aucune pièce déclarée",IF(P746*60/Q746&gt;O746+0.001,"Cadence dépassée : vérifiez la cadence","OK"))))))))))))))))))</f>
        <v/>
      </c>
      <c r="AC746">
        <f>IF(OR(AB746="OK",AB746="Aucune pièce déclarée",AB746="Cadence dépassée : vérifiez la cadence"),1,0)</f>
        <v>0.0</v>
      </c>
      <c r="AD746">
        <f>IF(AND(AC746=1,A746&gt;=p_from,A746&lt;=p_to),1,0)</f>
        <v>0.0</v>
      </c>
      <c r="AE746">
        <f>IF(AD746=1,IF(COUNTIFS($A$6:A746,A746,$AD$6:AD746,1)=1,1,0),0)</f>
        <v>0.0</v>
      </c>
      <c r="AF746" t="str">
        <f>IF(AE746=1,COUNTIFS(sj_first,1,sj_date,"&lt;"&amp;A746)+1,"")</f>
        <v/>
      </c>
      <c r="AG746" t="str">
        <f>IF(AND(AD746=1,N(W746)&lt;p_alert),ROUND(W746,4),"")</f>
        <v/>
      </c>
      <c r="AH746" t="str">
        <f>IF(AG746="","",COUNTIF(sj_akey,"&lt;"&amp;AG746)+COUNTIF($AG$6:AG746,AG746))</f>
        <v/>
      </c>
    </row>
    <row r="747">
      <c r="A747" s="51" t="n"/>
      <c r="B747" s="52" t="n"/>
      <c r="C747" s="52" t="n"/>
      <c r="D747" s="53" t="n"/>
      <c r="E747" s="53" t="n"/>
      <c r="F747" s="54" t="n"/>
      <c r="G747" s="54" t="n"/>
      <c r="H747" s="54" t="n"/>
      <c r="I747" s="54" t="n"/>
      <c r="J747" s="53" t="n"/>
      <c r="K747" s="55" t="str">
        <f>IF(COUNTA(A747:I747)=0,"",IF(F747="",IFERROR(INDEX(eq_dur,MATCH(B747,eq_code,0)),""),F747))</f>
        <v/>
      </c>
      <c r="L747" s="55" t="str">
        <f>IF(ISNUMBER(K747),N(IFERROR(INDEX(eq_pause,MATCH(B747,eq_code,0)),0))+SUMIFS(st_min,st_date,A747,st_eq,B747,st_po,C747,st_type,"Planifié"),"")</f>
        <v/>
      </c>
      <c r="M747" s="55" t="str">
        <f>IF(ISNUMBER(K747),K747-L747,"")</f>
        <v/>
      </c>
      <c r="N747" s="55" t="str">
        <f>IF(ISNUMBER(K747),SUMIFS(st_min,st_date,A747,st_eq,B747,st_po,C747,st_type,"Non planifié"),"")</f>
        <v/>
      </c>
      <c r="O747" s="55" t="str">
        <f>IF(ISNUMBER(K747),M747-N747,"")</f>
        <v/>
      </c>
      <c r="P747" s="55" t="str">
        <f>IF(COUNTA(A747:I747)=0,"",N(G747)+N(H747)+N(I747))</f>
        <v/>
      </c>
      <c r="Q747" s="56" t="str">
        <f>IF(COUNTA(A747:I747)=0,"",IF(N(IFERROR(INDEX(art_rate,MATCH(E747,art_ref,0)),0))&gt;0,N(IFERROR(INDEX(art_rate,MATCH(E747,art_ref,0)),0)),N(IFERROR(INDEX(po_rate,MATCH(C747,po_code,0)),0))))</f>
        <v/>
      </c>
      <c r="R747" s="55" t="str">
        <f>IF(AC747=1,P747*60/Q747,"")</f>
        <v/>
      </c>
      <c r="S747" s="55" t="str">
        <f>IF(AC747=1,N(G747)*60/Q747,"")</f>
        <v/>
      </c>
      <c r="T747" s="57" t="str">
        <f>IF(AC747=1,O747/M747,"")</f>
        <v/>
      </c>
      <c r="U747" s="57" t="str">
        <f>IF(AC747=1,IF(O747&gt;0,R747/O747,""),"")</f>
        <v/>
      </c>
      <c r="V747" s="57" t="str">
        <f>IF(AC747=1,IF(P747&gt;0,N(G747)/P747,""),"")</f>
        <v/>
      </c>
      <c r="W747" s="57" t="str">
        <f>IF(AC747=1,S747/M747,"")</f>
        <v/>
      </c>
      <c r="X747" s="57" t="str">
        <f>IF(AC747=1,S747/K747,"")</f>
        <v/>
      </c>
      <c r="Y747" s="58" t="str">
        <f>IF(W747="","",IF(W747&gt;=p_target,"Bon",IF(W747&gt;=p_alert,"À surveiller","Faible")))</f>
        <v/>
      </c>
      <c r="Z747" s="58" t="str">
        <f>IF(W747="","",IF(MIN(IF(T747="",1,T747),IF(U747="",1,U747),IF(V747="",1,V747))&gt;=1,"Aucune",IF(IF(T747="",1,T747)&lt;=MIN(IF(U747="",1,U747),IF(V747="",1,V747)),"Disponibilité",IF(IF(U747="",1,U747)&lt;=IF(V747="",1,V747),"Performance","Qualité"))))</f>
        <v/>
      </c>
      <c r="AA747" s="59" t="str">
        <f>IF(AC747=1,N(H747)*N(IFERROR(INDEX(art_cost,MATCH(E747,art_ref,0)),0)),"")</f>
        <v/>
      </c>
      <c r="AB747" s="58" t="str">
        <f>IF(COUNTA(A747:I747)=0,"",IF(N(A747)&lt;=0,"Date manquante ou invalide",IF(B747="","Équipe manquante",IF(ISNA(MATCH(B747,eq_code,0)),"Équipe inconnue",IF(INDEX(eq_check,MATCH(B747,eq_code,0))&lt;&gt;"OK","Équipe à corriger dans Paramètres",IF(C747="","Poste manquant",IF(ISNA(MATCH(C747,po_code,0)),"Poste inconnu",IF(AND(E747&lt;&gt;"",ISNA(MATCH(E747,art_ref,0))),"Article inconnu",IF(IF(E747="",FALSE,INDEX(art_check,MATCH(E747,art_ref,0))&lt;&gt;"OK"),"Article à corriger (feuille Articles)",IF(COUNTIFS(sj_date,A747,sj_eq,B747,sj_po,C747)&gt;1,"Ligne en double (même jour, équipe et poste)",IF(OR(NOT(ISNUMBER(K747)),N(K747)&lt;=0,N(K747)&gt;1440),"Temps d'ouverture invalide",IF(OR(AND(G747&lt;&gt;"",NOT(ISNUMBER(G747))),N(G747)&lt;0,N(G747)&lt;&gt;INT(N(G747)),AND(H747&lt;&gt;"",NOT(ISNUMBER(H747))),N(H747)&lt;0,N(H747)&lt;&gt;INT(N(H747)),AND(I747&lt;&gt;"",NOT(ISNUMBER(I747))),N(I747)&lt;0,N(I747)&lt;&gt;INT(N(I747))),"Quantité invalide",IF(Q747&lt;=0,"Cadence manquante (poste ou article)",IF(M747&lt;=0,"Arrêts planifiés supérieurs au temps d'ouverture",IF(O747&lt;0,"Arrêts supérieurs au temps requis",IF(AND(P747&gt;0,O747=0),"Pièces déclarées sans temps de marche",IF(AND(P747=0,O747&gt;0),"Aucune pièce déclarée",IF(P747*60/Q747&gt;O747+0.001,"Cadence dépassée : vérifiez la cadence","OK"))))))))))))))))))</f>
        <v/>
      </c>
      <c r="AC747">
        <f>IF(OR(AB747="OK",AB747="Aucune pièce déclarée",AB747="Cadence dépassée : vérifiez la cadence"),1,0)</f>
        <v>0.0</v>
      </c>
      <c r="AD747">
        <f>IF(AND(AC747=1,A747&gt;=p_from,A747&lt;=p_to),1,0)</f>
        <v>0.0</v>
      </c>
      <c r="AE747">
        <f>IF(AD747=1,IF(COUNTIFS($A$6:A747,A747,$AD$6:AD747,1)=1,1,0),0)</f>
        <v>0.0</v>
      </c>
      <c r="AF747" t="str">
        <f>IF(AE747=1,COUNTIFS(sj_first,1,sj_date,"&lt;"&amp;A747)+1,"")</f>
        <v/>
      </c>
      <c r="AG747" t="str">
        <f>IF(AND(AD747=1,N(W747)&lt;p_alert),ROUND(W747,4),"")</f>
        <v/>
      </c>
      <c r="AH747" t="str">
        <f>IF(AG747="","",COUNTIF(sj_akey,"&lt;"&amp;AG747)+COUNTIF($AG$6:AG747,AG747))</f>
        <v/>
      </c>
    </row>
    <row r="748">
      <c r="A748" s="51" t="n"/>
      <c r="B748" s="52" t="n"/>
      <c r="C748" s="52" t="n"/>
      <c r="D748" s="53" t="n"/>
      <c r="E748" s="53" t="n"/>
      <c r="F748" s="54" t="n"/>
      <c r="G748" s="54" t="n"/>
      <c r="H748" s="54" t="n"/>
      <c r="I748" s="54" t="n"/>
      <c r="J748" s="53" t="n"/>
      <c r="K748" s="55" t="str">
        <f>IF(COUNTA(A748:I748)=0,"",IF(F748="",IFERROR(INDEX(eq_dur,MATCH(B748,eq_code,0)),""),F748))</f>
        <v/>
      </c>
      <c r="L748" s="55" t="str">
        <f>IF(ISNUMBER(K748),N(IFERROR(INDEX(eq_pause,MATCH(B748,eq_code,0)),0))+SUMIFS(st_min,st_date,A748,st_eq,B748,st_po,C748,st_type,"Planifié"),"")</f>
        <v/>
      </c>
      <c r="M748" s="55" t="str">
        <f>IF(ISNUMBER(K748),K748-L748,"")</f>
        <v/>
      </c>
      <c r="N748" s="55" t="str">
        <f>IF(ISNUMBER(K748),SUMIFS(st_min,st_date,A748,st_eq,B748,st_po,C748,st_type,"Non planifié"),"")</f>
        <v/>
      </c>
      <c r="O748" s="55" t="str">
        <f>IF(ISNUMBER(K748),M748-N748,"")</f>
        <v/>
      </c>
      <c r="P748" s="55" t="str">
        <f>IF(COUNTA(A748:I748)=0,"",N(G748)+N(H748)+N(I748))</f>
        <v/>
      </c>
      <c r="Q748" s="56" t="str">
        <f>IF(COUNTA(A748:I748)=0,"",IF(N(IFERROR(INDEX(art_rate,MATCH(E748,art_ref,0)),0))&gt;0,N(IFERROR(INDEX(art_rate,MATCH(E748,art_ref,0)),0)),N(IFERROR(INDEX(po_rate,MATCH(C748,po_code,0)),0))))</f>
        <v/>
      </c>
      <c r="R748" s="55" t="str">
        <f>IF(AC748=1,P748*60/Q748,"")</f>
        <v/>
      </c>
      <c r="S748" s="55" t="str">
        <f>IF(AC748=1,N(G748)*60/Q748,"")</f>
        <v/>
      </c>
      <c r="T748" s="57" t="str">
        <f>IF(AC748=1,O748/M748,"")</f>
        <v/>
      </c>
      <c r="U748" s="57" t="str">
        <f>IF(AC748=1,IF(O748&gt;0,R748/O748,""),"")</f>
        <v/>
      </c>
      <c r="V748" s="57" t="str">
        <f>IF(AC748=1,IF(P748&gt;0,N(G748)/P748,""),"")</f>
        <v/>
      </c>
      <c r="W748" s="57" t="str">
        <f>IF(AC748=1,S748/M748,"")</f>
        <v/>
      </c>
      <c r="X748" s="57" t="str">
        <f>IF(AC748=1,S748/K748,"")</f>
        <v/>
      </c>
      <c r="Y748" s="58" t="str">
        <f>IF(W748="","",IF(W748&gt;=p_target,"Bon",IF(W748&gt;=p_alert,"À surveiller","Faible")))</f>
        <v/>
      </c>
      <c r="Z748" s="58" t="str">
        <f>IF(W748="","",IF(MIN(IF(T748="",1,T748),IF(U748="",1,U748),IF(V748="",1,V748))&gt;=1,"Aucune",IF(IF(T748="",1,T748)&lt;=MIN(IF(U748="",1,U748),IF(V748="",1,V748)),"Disponibilité",IF(IF(U748="",1,U748)&lt;=IF(V748="",1,V748),"Performance","Qualité"))))</f>
        <v/>
      </c>
      <c r="AA748" s="59" t="str">
        <f>IF(AC748=1,N(H748)*N(IFERROR(INDEX(art_cost,MATCH(E748,art_ref,0)),0)),"")</f>
        <v/>
      </c>
      <c r="AB748" s="58" t="str">
        <f>IF(COUNTA(A748:I748)=0,"",IF(N(A748)&lt;=0,"Date manquante ou invalide",IF(B748="","Équipe manquante",IF(ISNA(MATCH(B748,eq_code,0)),"Équipe inconnue",IF(INDEX(eq_check,MATCH(B748,eq_code,0))&lt;&gt;"OK","Équipe à corriger dans Paramètres",IF(C748="","Poste manquant",IF(ISNA(MATCH(C748,po_code,0)),"Poste inconnu",IF(AND(E748&lt;&gt;"",ISNA(MATCH(E748,art_ref,0))),"Article inconnu",IF(IF(E748="",FALSE,INDEX(art_check,MATCH(E748,art_ref,0))&lt;&gt;"OK"),"Article à corriger (feuille Articles)",IF(COUNTIFS(sj_date,A748,sj_eq,B748,sj_po,C748)&gt;1,"Ligne en double (même jour, équipe et poste)",IF(OR(NOT(ISNUMBER(K748)),N(K748)&lt;=0,N(K748)&gt;1440),"Temps d'ouverture invalide",IF(OR(AND(G748&lt;&gt;"",NOT(ISNUMBER(G748))),N(G748)&lt;0,N(G748)&lt;&gt;INT(N(G748)),AND(H748&lt;&gt;"",NOT(ISNUMBER(H748))),N(H748)&lt;0,N(H748)&lt;&gt;INT(N(H748)),AND(I748&lt;&gt;"",NOT(ISNUMBER(I748))),N(I748)&lt;0,N(I748)&lt;&gt;INT(N(I748))),"Quantité invalide",IF(Q748&lt;=0,"Cadence manquante (poste ou article)",IF(M748&lt;=0,"Arrêts planifiés supérieurs au temps d'ouverture",IF(O748&lt;0,"Arrêts supérieurs au temps requis",IF(AND(P748&gt;0,O748=0),"Pièces déclarées sans temps de marche",IF(AND(P748=0,O748&gt;0),"Aucune pièce déclarée",IF(P748*60/Q748&gt;O748+0.001,"Cadence dépassée : vérifiez la cadence","OK"))))))))))))))))))</f>
        <v/>
      </c>
      <c r="AC748">
        <f>IF(OR(AB748="OK",AB748="Aucune pièce déclarée",AB748="Cadence dépassée : vérifiez la cadence"),1,0)</f>
        <v>0.0</v>
      </c>
      <c r="AD748">
        <f>IF(AND(AC748=1,A748&gt;=p_from,A748&lt;=p_to),1,0)</f>
        <v>0.0</v>
      </c>
      <c r="AE748">
        <f>IF(AD748=1,IF(COUNTIFS($A$6:A748,A748,$AD$6:AD748,1)=1,1,0),0)</f>
        <v>0.0</v>
      </c>
      <c r="AF748" t="str">
        <f>IF(AE748=1,COUNTIFS(sj_first,1,sj_date,"&lt;"&amp;A748)+1,"")</f>
        <v/>
      </c>
      <c r="AG748" t="str">
        <f>IF(AND(AD748=1,N(W748)&lt;p_alert),ROUND(W748,4),"")</f>
        <v/>
      </c>
      <c r="AH748" t="str">
        <f>IF(AG748="","",COUNTIF(sj_akey,"&lt;"&amp;AG748)+COUNTIF($AG$6:AG748,AG748))</f>
        <v/>
      </c>
    </row>
    <row r="749">
      <c r="A749" s="51" t="n"/>
      <c r="B749" s="52" t="n"/>
      <c r="C749" s="52" t="n"/>
      <c r="D749" s="53" t="n"/>
      <c r="E749" s="53" t="n"/>
      <c r="F749" s="54" t="n"/>
      <c r="G749" s="54" t="n"/>
      <c r="H749" s="54" t="n"/>
      <c r="I749" s="54" t="n"/>
      <c r="J749" s="53" t="n"/>
      <c r="K749" s="55" t="str">
        <f>IF(COUNTA(A749:I749)=0,"",IF(F749="",IFERROR(INDEX(eq_dur,MATCH(B749,eq_code,0)),""),F749))</f>
        <v/>
      </c>
      <c r="L749" s="55" t="str">
        <f>IF(ISNUMBER(K749),N(IFERROR(INDEX(eq_pause,MATCH(B749,eq_code,0)),0))+SUMIFS(st_min,st_date,A749,st_eq,B749,st_po,C749,st_type,"Planifié"),"")</f>
        <v/>
      </c>
      <c r="M749" s="55" t="str">
        <f>IF(ISNUMBER(K749),K749-L749,"")</f>
        <v/>
      </c>
      <c r="N749" s="55" t="str">
        <f>IF(ISNUMBER(K749),SUMIFS(st_min,st_date,A749,st_eq,B749,st_po,C749,st_type,"Non planifié"),"")</f>
        <v/>
      </c>
      <c r="O749" s="55" t="str">
        <f>IF(ISNUMBER(K749),M749-N749,"")</f>
        <v/>
      </c>
      <c r="P749" s="55" t="str">
        <f>IF(COUNTA(A749:I749)=0,"",N(G749)+N(H749)+N(I749))</f>
        <v/>
      </c>
      <c r="Q749" s="56" t="str">
        <f>IF(COUNTA(A749:I749)=0,"",IF(N(IFERROR(INDEX(art_rate,MATCH(E749,art_ref,0)),0))&gt;0,N(IFERROR(INDEX(art_rate,MATCH(E749,art_ref,0)),0)),N(IFERROR(INDEX(po_rate,MATCH(C749,po_code,0)),0))))</f>
        <v/>
      </c>
      <c r="R749" s="55" t="str">
        <f>IF(AC749=1,P749*60/Q749,"")</f>
        <v/>
      </c>
      <c r="S749" s="55" t="str">
        <f>IF(AC749=1,N(G749)*60/Q749,"")</f>
        <v/>
      </c>
      <c r="T749" s="57" t="str">
        <f>IF(AC749=1,O749/M749,"")</f>
        <v/>
      </c>
      <c r="U749" s="57" t="str">
        <f>IF(AC749=1,IF(O749&gt;0,R749/O749,""),"")</f>
        <v/>
      </c>
      <c r="V749" s="57" t="str">
        <f>IF(AC749=1,IF(P749&gt;0,N(G749)/P749,""),"")</f>
        <v/>
      </c>
      <c r="W749" s="57" t="str">
        <f>IF(AC749=1,S749/M749,"")</f>
        <v/>
      </c>
      <c r="X749" s="57" t="str">
        <f>IF(AC749=1,S749/K749,"")</f>
        <v/>
      </c>
      <c r="Y749" s="58" t="str">
        <f>IF(W749="","",IF(W749&gt;=p_target,"Bon",IF(W749&gt;=p_alert,"À surveiller","Faible")))</f>
        <v/>
      </c>
      <c r="Z749" s="58" t="str">
        <f>IF(W749="","",IF(MIN(IF(T749="",1,T749),IF(U749="",1,U749),IF(V749="",1,V749))&gt;=1,"Aucune",IF(IF(T749="",1,T749)&lt;=MIN(IF(U749="",1,U749),IF(V749="",1,V749)),"Disponibilité",IF(IF(U749="",1,U749)&lt;=IF(V749="",1,V749),"Performance","Qualité"))))</f>
        <v/>
      </c>
      <c r="AA749" s="59" t="str">
        <f>IF(AC749=1,N(H749)*N(IFERROR(INDEX(art_cost,MATCH(E749,art_ref,0)),0)),"")</f>
        <v/>
      </c>
      <c r="AB749" s="58" t="str">
        <f>IF(COUNTA(A749:I749)=0,"",IF(N(A749)&lt;=0,"Date manquante ou invalide",IF(B749="","Équipe manquante",IF(ISNA(MATCH(B749,eq_code,0)),"Équipe inconnue",IF(INDEX(eq_check,MATCH(B749,eq_code,0))&lt;&gt;"OK","Équipe à corriger dans Paramètres",IF(C749="","Poste manquant",IF(ISNA(MATCH(C749,po_code,0)),"Poste inconnu",IF(AND(E749&lt;&gt;"",ISNA(MATCH(E749,art_ref,0))),"Article inconnu",IF(IF(E749="",FALSE,INDEX(art_check,MATCH(E749,art_ref,0))&lt;&gt;"OK"),"Article à corriger (feuille Articles)",IF(COUNTIFS(sj_date,A749,sj_eq,B749,sj_po,C749)&gt;1,"Ligne en double (même jour, équipe et poste)",IF(OR(NOT(ISNUMBER(K749)),N(K749)&lt;=0,N(K749)&gt;1440),"Temps d'ouverture invalide",IF(OR(AND(G749&lt;&gt;"",NOT(ISNUMBER(G749))),N(G749)&lt;0,N(G749)&lt;&gt;INT(N(G749)),AND(H749&lt;&gt;"",NOT(ISNUMBER(H749))),N(H749)&lt;0,N(H749)&lt;&gt;INT(N(H749)),AND(I749&lt;&gt;"",NOT(ISNUMBER(I749))),N(I749)&lt;0,N(I749)&lt;&gt;INT(N(I749))),"Quantité invalide",IF(Q749&lt;=0,"Cadence manquante (poste ou article)",IF(M749&lt;=0,"Arrêts planifiés supérieurs au temps d'ouverture",IF(O749&lt;0,"Arrêts supérieurs au temps requis",IF(AND(P749&gt;0,O749=0),"Pièces déclarées sans temps de marche",IF(AND(P749=0,O749&gt;0),"Aucune pièce déclarée",IF(P749*60/Q749&gt;O749+0.001,"Cadence dépassée : vérifiez la cadence","OK"))))))))))))))))))</f>
        <v/>
      </c>
      <c r="AC749">
        <f>IF(OR(AB749="OK",AB749="Aucune pièce déclarée",AB749="Cadence dépassée : vérifiez la cadence"),1,0)</f>
        <v>0.0</v>
      </c>
      <c r="AD749">
        <f>IF(AND(AC749=1,A749&gt;=p_from,A749&lt;=p_to),1,0)</f>
        <v>0.0</v>
      </c>
      <c r="AE749">
        <f>IF(AD749=1,IF(COUNTIFS($A$6:A749,A749,$AD$6:AD749,1)=1,1,0),0)</f>
        <v>0.0</v>
      </c>
      <c r="AF749" t="str">
        <f>IF(AE749=1,COUNTIFS(sj_first,1,sj_date,"&lt;"&amp;A749)+1,"")</f>
        <v/>
      </c>
      <c r="AG749" t="str">
        <f>IF(AND(AD749=1,N(W749)&lt;p_alert),ROUND(W749,4),"")</f>
        <v/>
      </c>
      <c r="AH749" t="str">
        <f>IF(AG749="","",COUNTIF(sj_akey,"&lt;"&amp;AG749)+COUNTIF($AG$6:AG749,AG749))</f>
        <v/>
      </c>
    </row>
    <row r="750">
      <c r="A750" s="51" t="n"/>
      <c r="B750" s="52" t="n"/>
      <c r="C750" s="52" t="n"/>
      <c r="D750" s="53" t="n"/>
      <c r="E750" s="53" t="n"/>
      <c r="F750" s="54" t="n"/>
      <c r="G750" s="54" t="n"/>
      <c r="H750" s="54" t="n"/>
      <c r="I750" s="54" t="n"/>
      <c r="J750" s="53" t="n"/>
      <c r="K750" s="55" t="str">
        <f>IF(COUNTA(A750:I750)=0,"",IF(F750="",IFERROR(INDEX(eq_dur,MATCH(B750,eq_code,0)),""),F750))</f>
        <v/>
      </c>
      <c r="L750" s="55" t="str">
        <f>IF(ISNUMBER(K750),N(IFERROR(INDEX(eq_pause,MATCH(B750,eq_code,0)),0))+SUMIFS(st_min,st_date,A750,st_eq,B750,st_po,C750,st_type,"Planifié"),"")</f>
        <v/>
      </c>
      <c r="M750" s="55" t="str">
        <f>IF(ISNUMBER(K750),K750-L750,"")</f>
        <v/>
      </c>
      <c r="N750" s="55" t="str">
        <f>IF(ISNUMBER(K750),SUMIFS(st_min,st_date,A750,st_eq,B750,st_po,C750,st_type,"Non planifié"),"")</f>
        <v/>
      </c>
      <c r="O750" s="55" t="str">
        <f>IF(ISNUMBER(K750),M750-N750,"")</f>
        <v/>
      </c>
      <c r="P750" s="55" t="str">
        <f>IF(COUNTA(A750:I750)=0,"",N(G750)+N(H750)+N(I750))</f>
        <v/>
      </c>
      <c r="Q750" s="56" t="str">
        <f>IF(COUNTA(A750:I750)=0,"",IF(N(IFERROR(INDEX(art_rate,MATCH(E750,art_ref,0)),0))&gt;0,N(IFERROR(INDEX(art_rate,MATCH(E750,art_ref,0)),0)),N(IFERROR(INDEX(po_rate,MATCH(C750,po_code,0)),0))))</f>
        <v/>
      </c>
      <c r="R750" s="55" t="str">
        <f>IF(AC750=1,P750*60/Q750,"")</f>
        <v/>
      </c>
      <c r="S750" s="55" t="str">
        <f>IF(AC750=1,N(G750)*60/Q750,"")</f>
        <v/>
      </c>
      <c r="T750" s="57" t="str">
        <f>IF(AC750=1,O750/M750,"")</f>
        <v/>
      </c>
      <c r="U750" s="57" t="str">
        <f>IF(AC750=1,IF(O750&gt;0,R750/O750,""),"")</f>
        <v/>
      </c>
      <c r="V750" s="57" t="str">
        <f>IF(AC750=1,IF(P750&gt;0,N(G750)/P750,""),"")</f>
        <v/>
      </c>
      <c r="W750" s="57" t="str">
        <f>IF(AC750=1,S750/M750,"")</f>
        <v/>
      </c>
      <c r="X750" s="57" t="str">
        <f>IF(AC750=1,S750/K750,"")</f>
        <v/>
      </c>
      <c r="Y750" s="58" t="str">
        <f>IF(W750="","",IF(W750&gt;=p_target,"Bon",IF(W750&gt;=p_alert,"À surveiller","Faible")))</f>
        <v/>
      </c>
      <c r="Z750" s="58" t="str">
        <f>IF(W750="","",IF(MIN(IF(T750="",1,T750),IF(U750="",1,U750),IF(V750="",1,V750))&gt;=1,"Aucune",IF(IF(T750="",1,T750)&lt;=MIN(IF(U750="",1,U750),IF(V750="",1,V750)),"Disponibilité",IF(IF(U750="",1,U750)&lt;=IF(V750="",1,V750),"Performance","Qualité"))))</f>
        <v/>
      </c>
      <c r="AA750" s="59" t="str">
        <f>IF(AC750=1,N(H750)*N(IFERROR(INDEX(art_cost,MATCH(E750,art_ref,0)),0)),"")</f>
        <v/>
      </c>
      <c r="AB750" s="58" t="str">
        <f>IF(COUNTA(A750:I750)=0,"",IF(N(A750)&lt;=0,"Date manquante ou invalide",IF(B750="","Équipe manquante",IF(ISNA(MATCH(B750,eq_code,0)),"Équipe inconnue",IF(INDEX(eq_check,MATCH(B750,eq_code,0))&lt;&gt;"OK","Équipe à corriger dans Paramètres",IF(C750="","Poste manquant",IF(ISNA(MATCH(C750,po_code,0)),"Poste inconnu",IF(AND(E750&lt;&gt;"",ISNA(MATCH(E750,art_ref,0))),"Article inconnu",IF(IF(E750="",FALSE,INDEX(art_check,MATCH(E750,art_ref,0))&lt;&gt;"OK"),"Article à corriger (feuille Articles)",IF(COUNTIFS(sj_date,A750,sj_eq,B750,sj_po,C750)&gt;1,"Ligne en double (même jour, équipe et poste)",IF(OR(NOT(ISNUMBER(K750)),N(K750)&lt;=0,N(K750)&gt;1440),"Temps d'ouverture invalide",IF(OR(AND(G750&lt;&gt;"",NOT(ISNUMBER(G750))),N(G750)&lt;0,N(G750)&lt;&gt;INT(N(G750)),AND(H750&lt;&gt;"",NOT(ISNUMBER(H750))),N(H750)&lt;0,N(H750)&lt;&gt;INT(N(H750)),AND(I750&lt;&gt;"",NOT(ISNUMBER(I750))),N(I750)&lt;0,N(I750)&lt;&gt;INT(N(I750))),"Quantité invalide",IF(Q750&lt;=0,"Cadence manquante (poste ou article)",IF(M750&lt;=0,"Arrêts planifiés supérieurs au temps d'ouverture",IF(O750&lt;0,"Arrêts supérieurs au temps requis",IF(AND(P750&gt;0,O750=0),"Pièces déclarées sans temps de marche",IF(AND(P750=0,O750&gt;0),"Aucune pièce déclarée",IF(P750*60/Q750&gt;O750+0.001,"Cadence dépassée : vérifiez la cadence","OK"))))))))))))))))))</f>
        <v/>
      </c>
      <c r="AC750">
        <f>IF(OR(AB750="OK",AB750="Aucune pièce déclarée",AB750="Cadence dépassée : vérifiez la cadence"),1,0)</f>
        <v>0.0</v>
      </c>
      <c r="AD750">
        <f>IF(AND(AC750=1,A750&gt;=p_from,A750&lt;=p_to),1,0)</f>
        <v>0.0</v>
      </c>
      <c r="AE750">
        <f>IF(AD750=1,IF(COUNTIFS($A$6:A750,A750,$AD$6:AD750,1)=1,1,0),0)</f>
        <v>0.0</v>
      </c>
      <c r="AF750" t="str">
        <f>IF(AE750=1,COUNTIFS(sj_first,1,sj_date,"&lt;"&amp;A750)+1,"")</f>
        <v/>
      </c>
      <c r="AG750" t="str">
        <f>IF(AND(AD750=1,N(W750)&lt;p_alert),ROUND(W750,4),"")</f>
        <v/>
      </c>
      <c r="AH750" t="str">
        <f>IF(AG750="","",COUNTIF(sj_akey,"&lt;"&amp;AG750)+COUNTIF($AG$6:AG750,AG750))</f>
        <v/>
      </c>
    </row>
    <row r="751">
      <c r="A751" s="51" t="n"/>
      <c r="B751" s="52" t="n"/>
      <c r="C751" s="52" t="n"/>
      <c r="D751" s="53" t="n"/>
      <c r="E751" s="53" t="n"/>
      <c r="F751" s="54" t="n"/>
      <c r="G751" s="54" t="n"/>
      <c r="H751" s="54" t="n"/>
      <c r="I751" s="54" t="n"/>
      <c r="J751" s="53" t="n"/>
      <c r="K751" s="55" t="str">
        <f>IF(COUNTA(A751:I751)=0,"",IF(F751="",IFERROR(INDEX(eq_dur,MATCH(B751,eq_code,0)),""),F751))</f>
        <v/>
      </c>
      <c r="L751" s="55" t="str">
        <f>IF(ISNUMBER(K751),N(IFERROR(INDEX(eq_pause,MATCH(B751,eq_code,0)),0))+SUMIFS(st_min,st_date,A751,st_eq,B751,st_po,C751,st_type,"Planifié"),"")</f>
        <v/>
      </c>
      <c r="M751" s="55" t="str">
        <f>IF(ISNUMBER(K751),K751-L751,"")</f>
        <v/>
      </c>
      <c r="N751" s="55" t="str">
        <f>IF(ISNUMBER(K751),SUMIFS(st_min,st_date,A751,st_eq,B751,st_po,C751,st_type,"Non planifié"),"")</f>
        <v/>
      </c>
      <c r="O751" s="55" t="str">
        <f>IF(ISNUMBER(K751),M751-N751,"")</f>
        <v/>
      </c>
      <c r="P751" s="55" t="str">
        <f>IF(COUNTA(A751:I751)=0,"",N(G751)+N(H751)+N(I751))</f>
        <v/>
      </c>
      <c r="Q751" s="56" t="str">
        <f>IF(COUNTA(A751:I751)=0,"",IF(N(IFERROR(INDEX(art_rate,MATCH(E751,art_ref,0)),0))&gt;0,N(IFERROR(INDEX(art_rate,MATCH(E751,art_ref,0)),0)),N(IFERROR(INDEX(po_rate,MATCH(C751,po_code,0)),0))))</f>
        <v/>
      </c>
      <c r="R751" s="55" t="str">
        <f>IF(AC751=1,P751*60/Q751,"")</f>
        <v/>
      </c>
      <c r="S751" s="55" t="str">
        <f>IF(AC751=1,N(G751)*60/Q751,"")</f>
        <v/>
      </c>
      <c r="T751" s="57" t="str">
        <f>IF(AC751=1,O751/M751,"")</f>
        <v/>
      </c>
      <c r="U751" s="57" t="str">
        <f>IF(AC751=1,IF(O751&gt;0,R751/O751,""),"")</f>
        <v/>
      </c>
      <c r="V751" s="57" t="str">
        <f>IF(AC751=1,IF(P751&gt;0,N(G751)/P751,""),"")</f>
        <v/>
      </c>
      <c r="W751" s="57" t="str">
        <f>IF(AC751=1,S751/M751,"")</f>
        <v/>
      </c>
      <c r="X751" s="57" t="str">
        <f>IF(AC751=1,S751/K751,"")</f>
        <v/>
      </c>
      <c r="Y751" s="58" t="str">
        <f>IF(W751="","",IF(W751&gt;=p_target,"Bon",IF(W751&gt;=p_alert,"À surveiller","Faible")))</f>
        <v/>
      </c>
      <c r="Z751" s="58" t="str">
        <f>IF(W751="","",IF(MIN(IF(T751="",1,T751),IF(U751="",1,U751),IF(V751="",1,V751))&gt;=1,"Aucune",IF(IF(T751="",1,T751)&lt;=MIN(IF(U751="",1,U751),IF(V751="",1,V751)),"Disponibilité",IF(IF(U751="",1,U751)&lt;=IF(V751="",1,V751),"Performance","Qualité"))))</f>
        <v/>
      </c>
      <c r="AA751" s="59" t="str">
        <f>IF(AC751=1,N(H751)*N(IFERROR(INDEX(art_cost,MATCH(E751,art_ref,0)),0)),"")</f>
        <v/>
      </c>
      <c r="AB751" s="58" t="str">
        <f>IF(COUNTA(A751:I751)=0,"",IF(N(A751)&lt;=0,"Date manquante ou invalide",IF(B751="","Équipe manquante",IF(ISNA(MATCH(B751,eq_code,0)),"Équipe inconnue",IF(INDEX(eq_check,MATCH(B751,eq_code,0))&lt;&gt;"OK","Équipe à corriger dans Paramètres",IF(C751="","Poste manquant",IF(ISNA(MATCH(C751,po_code,0)),"Poste inconnu",IF(AND(E751&lt;&gt;"",ISNA(MATCH(E751,art_ref,0))),"Article inconnu",IF(IF(E751="",FALSE,INDEX(art_check,MATCH(E751,art_ref,0))&lt;&gt;"OK"),"Article à corriger (feuille Articles)",IF(COUNTIFS(sj_date,A751,sj_eq,B751,sj_po,C751)&gt;1,"Ligne en double (même jour, équipe et poste)",IF(OR(NOT(ISNUMBER(K751)),N(K751)&lt;=0,N(K751)&gt;1440),"Temps d'ouverture invalide",IF(OR(AND(G751&lt;&gt;"",NOT(ISNUMBER(G751))),N(G751)&lt;0,N(G751)&lt;&gt;INT(N(G751)),AND(H751&lt;&gt;"",NOT(ISNUMBER(H751))),N(H751)&lt;0,N(H751)&lt;&gt;INT(N(H751)),AND(I751&lt;&gt;"",NOT(ISNUMBER(I751))),N(I751)&lt;0,N(I751)&lt;&gt;INT(N(I751))),"Quantité invalide",IF(Q751&lt;=0,"Cadence manquante (poste ou article)",IF(M751&lt;=0,"Arrêts planifiés supérieurs au temps d'ouverture",IF(O751&lt;0,"Arrêts supérieurs au temps requis",IF(AND(P751&gt;0,O751=0),"Pièces déclarées sans temps de marche",IF(AND(P751=0,O751&gt;0),"Aucune pièce déclarée",IF(P751*60/Q751&gt;O751+0.001,"Cadence dépassée : vérifiez la cadence","OK"))))))))))))))))))</f>
        <v/>
      </c>
      <c r="AC751">
        <f>IF(OR(AB751="OK",AB751="Aucune pièce déclarée",AB751="Cadence dépassée : vérifiez la cadence"),1,0)</f>
        <v>0.0</v>
      </c>
      <c r="AD751">
        <f>IF(AND(AC751=1,A751&gt;=p_from,A751&lt;=p_to),1,0)</f>
        <v>0.0</v>
      </c>
      <c r="AE751">
        <f>IF(AD751=1,IF(COUNTIFS($A$6:A751,A751,$AD$6:AD751,1)=1,1,0),0)</f>
        <v>0.0</v>
      </c>
      <c r="AF751" t="str">
        <f>IF(AE751=1,COUNTIFS(sj_first,1,sj_date,"&lt;"&amp;A751)+1,"")</f>
        <v/>
      </c>
      <c r="AG751" t="str">
        <f>IF(AND(AD751=1,N(W751)&lt;p_alert),ROUND(W751,4),"")</f>
        <v/>
      </c>
      <c r="AH751" t="str">
        <f>IF(AG751="","",COUNTIF(sj_akey,"&lt;"&amp;AG751)+COUNTIF($AG$6:AG751,AG751))</f>
        <v/>
      </c>
    </row>
    <row r="752">
      <c r="A752" s="51" t="n"/>
      <c r="B752" s="52" t="n"/>
      <c r="C752" s="52" t="n"/>
      <c r="D752" s="53" t="n"/>
      <c r="E752" s="53" t="n"/>
      <c r="F752" s="54" t="n"/>
      <c r="G752" s="54" t="n"/>
      <c r="H752" s="54" t="n"/>
      <c r="I752" s="54" t="n"/>
      <c r="J752" s="53" t="n"/>
      <c r="K752" s="55" t="str">
        <f>IF(COUNTA(A752:I752)=0,"",IF(F752="",IFERROR(INDEX(eq_dur,MATCH(B752,eq_code,0)),""),F752))</f>
        <v/>
      </c>
      <c r="L752" s="55" t="str">
        <f>IF(ISNUMBER(K752),N(IFERROR(INDEX(eq_pause,MATCH(B752,eq_code,0)),0))+SUMIFS(st_min,st_date,A752,st_eq,B752,st_po,C752,st_type,"Planifié"),"")</f>
        <v/>
      </c>
      <c r="M752" s="55" t="str">
        <f>IF(ISNUMBER(K752),K752-L752,"")</f>
        <v/>
      </c>
      <c r="N752" s="55" t="str">
        <f>IF(ISNUMBER(K752),SUMIFS(st_min,st_date,A752,st_eq,B752,st_po,C752,st_type,"Non planifié"),"")</f>
        <v/>
      </c>
      <c r="O752" s="55" t="str">
        <f>IF(ISNUMBER(K752),M752-N752,"")</f>
        <v/>
      </c>
      <c r="P752" s="55" t="str">
        <f>IF(COUNTA(A752:I752)=0,"",N(G752)+N(H752)+N(I752))</f>
        <v/>
      </c>
      <c r="Q752" s="56" t="str">
        <f>IF(COUNTA(A752:I752)=0,"",IF(N(IFERROR(INDEX(art_rate,MATCH(E752,art_ref,0)),0))&gt;0,N(IFERROR(INDEX(art_rate,MATCH(E752,art_ref,0)),0)),N(IFERROR(INDEX(po_rate,MATCH(C752,po_code,0)),0))))</f>
        <v/>
      </c>
      <c r="R752" s="55" t="str">
        <f>IF(AC752=1,P752*60/Q752,"")</f>
        <v/>
      </c>
      <c r="S752" s="55" t="str">
        <f>IF(AC752=1,N(G752)*60/Q752,"")</f>
        <v/>
      </c>
      <c r="T752" s="57" t="str">
        <f>IF(AC752=1,O752/M752,"")</f>
        <v/>
      </c>
      <c r="U752" s="57" t="str">
        <f>IF(AC752=1,IF(O752&gt;0,R752/O752,""),"")</f>
        <v/>
      </c>
      <c r="V752" s="57" t="str">
        <f>IF(AC752=1,IF(P752&gt;0,N(G752)/P752,""),"")</f>
        <v/>
      </c>
      <c r="W752" s="57" t="str">
        <f>IF(AC752=1,S752/M752,"")</f>
        <v/>
      </c>
      <c r="X752" s="57" t="str">
        <f>IF(AC752=1,S752/K752,"")</f>
        <v/>
      </c>
      <c r="Y752" s="58" t="str">
        <f>IF(W752="","",IF(W752&gt;=p_target,"Bon",IF(W752&gt;=p_alert,"À surveiller","Faible")))</f>
        <v/>
      </c>
      <c r="Z752" s="58" t="str">
        <f>IF(W752="","",IF(MIN(IF(T752="",1,T752),IF(U752="",1,U752),IF(V752="",1,V752))&gt;=1,"Aucune",IF(IF(T752="",1,T752)&lt;=MIN(IF(U752="",1,U752),IF(V752="",1,V752)),"Disponibilité",IF(IF(U752="",1,U752)&lt;=IF(V752="",1,V752),"Performance","Qualité"))))</f>
        <v/>
      </c>
      <c r="AA752" s="59" t="str">
        <f>IF(AC752=1,N(H752)*N(IFERROR(INDEX(art_cost,MATCH(E752,art_ref,0)),0)),"")</f>
        <v/>
      </c>
      <c r="AB752" s="58" t="str">
        <f>IF(COUNTA(A752:I752)=0,"",IF(N(A752)&lt;=0,"Date manquante ou invalide",IF(B752="","Équipe manquante",IF(ISNA(MATCH(B752,eq_code,0)),"Équipe inconnue",IF(INDEX(eq_check,MATCH(B752,eq_code,0))&lt;&gt;"OK","Équipe à corriger dans Paramètres",IF(C752="","Poste manquant",IF(ISNA(MATCH(C752,po_code,0)),"Poste inconnu",IF(AND(E752&lt;&gt;"",ISNA(MATCH(E752,art_ref,0))),"Article inconnu",IF(IF(E752="",FALSE,INDEX(art_check,MATCH(E752,art_ref,0))&lt;&gt;"OK"),"Article à corriger (feuille Articles)",IF(COUNTIFS(sj_date,A752,sj_eq,B752,sj_po,C752)&gt;1,"Ligne en double (même jour, équipe et poste)",IF(OR(NOT(ISNUMBER(K752)),N(K752)&lt;=0,N(K752)&gt;1440),"Temps d'ouverture invalide",IF(OR(AND(G752&lt;&gt;"",NOT(ISNUMBER(G752))),N(G752)&lt;0,N(G752)&lt;&gt;INT(N(G752)),AND(H752&lt;&gt;"",NOT(ISNUMBER(H752))),N(H752)&lt;0,N(H752)&lt;&gt;INT(N(H752)),AND(I752&lt;&gt;"",NOT(ISNUMBER(I752))),N(I752)&lt;0,N(I752)&lt;&gt;INT(N(I752))),"Quantité invalide",IF(Q752&lt;=0,"Cadence manquante (poste ou article)",IF(M752&lt;=0,"Arrêts planifiés supérieurs au temps d'ouverture",IF(O752&lt;0,"Arrêts supérieurs au temps requis",IF(AND(P752&gt;0,O752=0),"Pièces déclarées sans temps de marche",IF(AND(P752=0,O752&gt;0),"Aucune pièce déclarée",IF(P752*60/Q752&gt;O752+0.001,"Cadence dépassée : vérifiez la cadence","OK"))))))))))))))))))</f>
        <v/>
      </c>
      <c r="AC752">
        <f>IF(OR(AB752="OK",AB752="Aucune pièce déclarée",AB752="Cadence dépassée : vérifiez la cadence"),1,0)</f>
        <v>0.0</v>
      </c>
      <c r="AD752">
        <f>IF(AND(AC752=1,A752&gt;=p_from,A752&lt;=p_to),1,0)</f>
        <v>0.0</v>
      </c>
      <c r="AE752">
        <f>IF(AD752=1,IF(COUNTIFS($A$6:A752,A752,$AD$6:AD752,1)=1,1,0),0)</f>
        <v>0.0</v>
      </c>
      <c r="AF752" t="str">
        <f>IF(AE752=1,COUNTIFS(sj_first,1,sj_date,"&lt;"&amp;A752)+1,"")</f>
        <v/>
      </c>
      <c r="AG752" t="str">
        <f>IF(AND(AD752=1,N(W752)&lt;p_alert),ROUND(W752,4),"")</f>
        <v/>
      </c>
      <c r="AH752" t="str">
        <f>IF(AG752="","",COUNTIF(sj_akey,"&lt;"&amp;AG752)+COUNTIF($AG$6:AG752,AG752))</f>
        <v/>
      </c>
    </row>
    <row r="753">
      <c r="A753" s="51" t="n"/>
      <c r="B753" s="52" t="n"/>
      <c r="C753" s="52" t="n"/>
      <c r="D753" s="53" t="n"/>
      <c r="E753" s="53" t="n"/>
      <c r="F753" s="54" t="n"/>
      <c r="G753" s="54" t="n"/>
      <c r="H753" s="54" t="n"/>
      <c r="I753" s="54" t="n"/>
      <c r="J753" s="53" t="n"/>
      <c r="K753" s="55" t="str">
        <f>IF(COUNTA(A753:I753)=0,"",IF(F753="",IFERROR(INDEX(eq_dur,MATCH(B753,eq_code,0)),""),F753))</f>
        <v/>
      </c>
      <c r="L753" s="55" t="str">
        <f>IF(ISNUMBER(K753),N(IFERROR(INDEX(eq_pause,MATCH(B753,eq_code,0)),0))+SUMIFS(st_min,st_date,A753,st_eq,B753,st_po,C753,st_type,"Planifié"),"")</f>
        <v/>
      </c>
      <c r="M753" s="55" t="str">
        <f>IF(ISNUMBER(K753),K753-L753,"")</f>
        <v/>
      </c>
      <c r="N753" s="55" t="str">
        <f>IF(ISNUMBER(K753),SUMIFS(st_min,st_date,A753,st_eq,B753,st_po,C753,st_type,"Non planifié"),"")</f>
        <v/>
      </c>
      <c r="O753" s="55" t="str">
        <f>IF(ISNUMBER(K753),M753-N753,"")</f>
        <v/>
      </c>
      <c r="P753" s="55" t="str">
        <f>IF(COUNTA(A753:I753)=0,"",N(G753)+N(H753)+N(I753))</f>
        <v/>
      </c>
      <c r="Q753" s="56" t="str">
        <f>IF(COUNTA(A753:I753)=0,"",IF(N(IFERROR(INDEX(art_rate,MATCH(E753,art_ref,0)),0))&gt;0,N(IFERROR(INDEX(art_rate,MATCH(E753,art_ref,0)),0)),N(IFERROR(INDEX(po_rate,MATCH(C753,po_code,0)),0))))</f>
        <v/>
      </c>
      <c r="R753" s="55" t="str">
        <f>IF(AC753=1,P753*60/Q753,"")</f>
        <v/>
      </c>
      <c r="S753" s="55" t="str">
        <f>IF(AC753=1,N(G753)*60/Q753,"")</f>
        <v/>
      </c>
      <c r="T753" s="57" t="str">
        <f>IF(AC753=1,O753/M753,"")</f>
        <v/>
      </c>
      <c r="U753" s="57" t="str">
        <f>IF(AC753=1,IF(O753&gt;0,R753/O753,""),"")</f>
        <v/>
      </c>
      <c r="V753" s="57" t="str">
        <f>IF(AC753=1,IF(P753&gt;0,N(G753)/P753,""),"")</f>
        <v/>
      </c>
      <c r="W753" s="57" t="str">
        <f>IF(AC753=1,S753/M753,"")</f>
        <v/>
      </c>
      <c r="X753" s="57" t="str">
        <f>IF(AC753=1,S753/K753,"")</f>
        <v/>
      </c>
      <c r="Y753" s="58" t="str">
        <f>IF(W753="","",IF(W753&gt;=p_target,"Bon",IF(W753&gt;=p_alert,"À surveiller","Faible")))</f>
        <v/>
      </c>
      <c r="Z753" s="58" t="str">
        <f>IF(W753="","",IF(MIN(IF(T753="",1,T753),IF(U753="",1,U753),IF(V753="",1,V753))&gt;=1,"Aucune",IF(IF(T753="",1,T753)&lt;=MIN(IF(U753="",1,U753),IF(V753="",1,V753)),"Disponibilité",IF(IF(U753="",1,U753)&lt;=IF(V753="",1,V753),"Performance","Qualité"))))</f>
        <v/>
      </c>
      <c r="AA753" s="59" t="str">
        <f>IF(AC753=1,N(H753)*N(IFERROR(INDEX(art_cost,MATCH(E753,art_ref,0)),0)),"")</f>
        <v/>
      </c>
      <c r="AB753" s="58" t="str">
        <f>IF(COUNTA(A753:I753)=0,"",IF(N(A753)&lt;=0,"Date manquante ou invalide",IF(B753="","Équipe manquante",IF(ISNA(MATCH(B753,eq_code,0)),"Équipe inconnue",IF(INDEX(eq_check,MATCH(B753,eq_code,0))&lt;&gt;"OK","Équipe à corriger dans Paramètres",IF(C753="","Poste manquant",IF(ISNA(MATCH(C753,po_code,0)),"Poste inconnu",IF(AND(E753&lt;&gt;"",ISNA(MATCH(E753,art_ref,0))),"Article inconnu",IF(IF(E753="",FALSE,INDEX(art_check,MATCH(E753,art_ref,0))&lt;&gt;"OK"),"Article à corriger (feuille Articles)",IF(COUNTIFS(sj_date,A753,sj_eq,B753,sj_po,C753)&gt;1,"Ligne en double (même jour, équipe et poste)",IF(OR(NOT(ISNUMBER(K753)),N(K753)&lt;=0,N(K753)&gt;1440),"Temps d'ouverture invalide",IF(OR(AND(G753&lt;&gt;"",NOT(ISNUMBER(G753))),N(G753)&lt;0,N(G753)&lt;&gt;INT(N(G753)),AND(H753&lt;&gt;"",NOT(ISNUMBER(H753))),N(H753)&lt;0,N(H753)&lt;&gt;INT(N(H753)),AND(I753&lt;&gt;"",NOT(ISNUMBER(I753))),N(I753)&lt;0,N(I753)&lt;&gt;INT(N(I753))),"Quantité invalide",IF(Q753&lt;=0,"Cadence manquante (poste ou article)",IF(M753&lt;=0,"Arrêts planifiés supérieurs au temps d'ouverture",IF(O753&lt;0,"Arrêts supérieurs au temps requis",IF(AND(P753&gt;0,O753=0),"Pièces déclarées sans temps de marche",IF(AND(P753=0,O753&gt;0),"Aucune pièce déclarée",IF(P753*60/Q753&gt;O753+0.001,"Cadence dépassée : vérifiez la cadence","OK"))))))))))))))))))</f>
        <v/>
      </c>
      <c r="AC753">
        <f>IF(OR(AB753="OK",AB753="Aucune pièce déclarée",AB753="Cadence dépassée : vérifiez la cadence"),1,0)</f>
        <v>0.0</v>
      </c>
      <c r="AD753">
        <f>IF(AND(AC753=1,A753&gt;=p_from,A753&lt;=p_to),1,0)</f>
        <v>0.0</v>
      </c>
      <c r="AE753">
        <f>IF(AD753=1,IF(COUNTIFS($A$6:A753,A753,$AD$6:AD753,1)=1,1,0),0)</f>
        <v>0.0</v>
      </c>
      <c r="AF753" t="str">
        <f>IF(AE753=1,COUNTIFS(sj_first,1,sj_date,"&lt;"&amp;A753)+1,"")</f>
        <v/>
      </c>
      <c r="AG753" t="str">
        <f>IF(AND(AD753=1,N(W753)&lt;p_alert),ROUND(W753,4),"")</f>
        <v/>
      </c>
      <c r="AH753" t="str">
        <f>IF(AG753="","",COUNTIF(sj_akey,"&lt;"&amp;AG753)+COUNTIF($AG$6:AG753,AG753))</f>
        <v/>
      </c>
    </row>
    <row r="754">
      <c r="A754" s="51" t="n"/>
      <c r="B754" s="52" t="n"/>
      <c r="C754" s="52" t="n"/>
      <c r="D754" s="53" t="n"/>
      <c r="E754" s="53" t="n"/>
      <c r="F754" s="54" t="n"/>
      <c r="G754" s="54" t="n"/>
      <c r="H754" s="54" t="n"/>
      <c r="I754" s="54" t="n"/>
      <c r="J754" s="53" t="n"/>
      <c r="K754" s="55" t="str">
        <f>IF(COUNTA(A754:I754)=0,"",IF(F754="",IFERROR(INDEX(eq_dur,MATCH(B754,eq_code,0)),""),F754))</f>
        <v/>
      </c>
      <c r="L754" s="55" t="str">
        <f>IF(ISNUMBER(K754),N(IFERROR(INDEX(eq_pause,MATCH(B754,eq_code,0)),0))+SUMIFS(st_min,st_date,A754,st_eq,B754,st_po,C754,st_type,"Planifié"),"")</f>
        <v/>
      </c>
      <c r="M754" s="55" t="str">
        <f>IF(ISNUMBER(K754),K754-L754,"")</f>
        <v/>
      </c>
      <c r="N754" s="55" t="str">
        <f>IF(ISNUMBER(K754),SUMIFS(st_min,st_date,A754,st_eq,B754,st_po,C754,st_type,"Non planifié"),"")</f>
        <v/>
      </c>
      <c r="O754" s="55" t="str">
        <f>IF(ISNUMBER(K754),M754-N754,"")</f>
        <v/>
      </c>
      <c r="P754" s="55" t="str">
        <f>IF(COUNTA(A754:I754)=0,"",N(G754)+N(H754)+N(I754))</f>
        <v/>
      </c>
      <c r="Q754" s="56" t="str">
        <f>IF(COUNTA(A754:I754)=0,"",IF(N(IFERROR(INDEX(art_rate,MATCH(E754,art_ref,0)),0))&gt;0,N(IFERROR(INDEX(art_rate,MATCH(E754,art_ref,0)),0)),N(IFERROR(INDEX(po_rate,MATCH(C754,po_code,0)),0))))</f>
        <v/>
      </c>
      <c r="R754" s="55" t="str">
        <f>IF(AC754=1,P754*60/Q754,"")</f>
        <v/>
      </c>
      <c r="S754" s="55" t="str">
        <f>IF(AC754=1,N(G754)*60/Q754,"")</f>
        <v/>
      </c>
      <c r="T754" s="57" t="str">
        <f>IF(AC754=1,O754/M754,"")</f>
        <v/>
      </c>
      <c r="U754" s="57" t="str">
        <f>IF(AC754=1,IF(O754&gt;0,R754/O754,""),"")</f>
        <v/>
      </c>
      <c r="V754" s="57" t="str">
        <f>IF(AC754=1,IF(P754&gt;0,N(G754)/P754,""),"")</f>
        <v/>
      </c>
      <c r="W754" s="57" t="str">
        <f>IF(AC754=1,S754/M754,"")</f>
        <v/>
      </c>
      <c r="X754" s="57" t="str">
        <f>IF(AC754=1,S754/K754,"")</f>
        <v/>
      </c>
      <c r="Y754" s="58" t="str">
        <f>IF(W754="","",IF(W754&gt;=p_target,"Bon",IF(W754&gt;=p_alert,"À surveiller","Faible")))</f>
        <v/>
      </c>
      <c r="Z754" s="58" t="str">
        <f>IF(W754="","",IF(MIN(IF(T754="",1,T754),IF(U754="",1,U754),IF(V754="",1,V754))&gt;=1,"Aucune",IF(IF(T754="",1,T754)&lt;=MIN(IF(U754="",1,U754),IF(V754="",1,V754)),"Disponibilité",IF(IF(U754="",1,U754)&lt;=IF(V754="",1,V754),"Performance","Qualité"))))</f>
        <v/>
      </c>
      <c r="AA754" s="59" t="str">
        <f>IF(AC754=1,N(H754)*N(IFERROR(INDEX(art_cost,MATCH(E754,art_ref,0)),0)),"")</f>
        <v/>
      </c>
      <c r="AB754" s="58" t="str">
        <f>IF(COUNTA(A754:I754)=0,"",IF(N(A754)&lt;=0,"Date manquante ou invalide",IF(B754="","Équipe manquante",IF(ISNA(MATCH(B754,eq_code,0)),"Équipe inconnue",IF(INDEX(eq_check,MATCH(B754,eq_code,0))&lt;&gt;"OK","Équipe à corriger dans Paramètres",IF(C754="","Poste manquant",IF(ISNA(MATCH(C754,po_code,0)),"Poste inconnu",IF(AND(E754&lt;&gt;"",ISNA(MATCH(E754,art_ref,0))),"Article inconnu",IF(IF(E754="",FALSE,INDEX(art_check,MATCH(E754,art_ref,0))&lt;&gt;"OK"),"Article à corriger (feuille Articles)",IF(COUNTIFS(sj_date,A754,sj_eq,B754,sj_po,C754)&gt;1,"Ligne en double (même jour, équipe et poste)",IF(OR(NOT(ISNUMBER(K754)),N(K754)&lt;=0,N(K754)&gt;1440),"Temps d'ouverture invalide",IF(OR(AND(G754&lt;&gt;"",NOT(ISNUMBER(G754))),N(G754)&lt;0,N(G754)&lt;&gt;INT(N(G754)),AND(H754&lt;&gt;"",NOT(ISNUMBER(H754))),N(H754)&lt;0,N(H754)&lt;&gt;INT(N(H754)),AND(I754&lt;&gt;"",NOT(ISNUMBER(I754))),N(I754)&lt;0,N(I754)&lt;&gt;INT(N(I754))),"Quantité invalide",IF(Q754&lt;=0,"Cadence manquante (poste ou article)",IF(M754&lt;=0,"Arrêts planifiés supérieurs au temps d'ouverture",IF(O754&lt;0,"Arrêts supérieurs au temps requis",IF(AND(P754&gt;0,O754=0),"Pièces déclarées sans temps de marche",IF(AND(P754=0,O754&gt;0),"Aucune pièce déclarée",IF(P754*60/Q754&gt;O754+0.001,"Cadence dépassée : vérifiez la cadence","OK"))))))))))))))))))</f>
        <v/>
      </c>
      <c r="AC754">
        <f>IF(OR(AB754="OK",AB754="Aucune pièce déclarée",AB754="Cadence dépassée : vérifiez la cadence"),1,0)</f>
        <v>0.0</v>
      </c>
      <c r="AD754">
        <f>IF(AND(AC754=1,A754&gt;=p_from,A754&lt;=p_to),1,0)</f>
        <v>0.0</v>
      </c>
      <c r="AE754">
        <f>IF(AD754=1,IF(COUNTIFS($A$6:A754,A754,$AD$6:AD754,1)=1,1,0),0)</f>
        <v>0.0</v>
      </c>
      <c r="AF754" t="str">
        <f>IF(AE754=1,COUNTIFS(sj_first,1,sj_date,"&lt;"&amp;A754)+1,"")</f>
        <v/>
      </c>
      <c r="AG754" t="str">
        <f>IF(AND(AD754=1,N(W754)&lt;p_alert),ROUND(W754,4),"")</f>
        <v/>
      </c>
      <c r="AH754" t="str">
        <f>IF(AG754="","",COUNTIF(sj_akey,"&lt;"&amp;AG754)+COUNTIF($AG$6:AG754,AG754))</f>
        <v/>
      </c>
    </row>
    <row r="755">
      <c r="A755" s="51" t="n"/>
      <c r="B755" s="52" t="n"/>
      <c r="C755" s="52" t="n"/>
      <c r="D755" s="53" t="n"/>
      <c r="E755" s="53" t="n"/>
      <c r="F755" s="54" t="n"/>
      <c r="G755" s="54" t="n"/>
      <c r="H755" s="54" t="n"/>
      <c r="I755" s="54" t="n"/>
      <c r="J755" s="53" t="n"/>
      <c r="K755" s="55" t="str">
        <f>IF(COUNTA(A755:I755)=0,"",IF(F755="",IFERROR(INDEX(eq_dur,MATCH(B755,eq_code,0)),""),F755))</f>
        <v/>
      </c>
      <c r="L755" s="55" t="str">
        <f>IF(ISNUMBER(K755),N(IFERROR(INDEX(eq_pause,MATCH(B755,eq_code,0)),0))+SUMIFS(st_min,st_date,A755,st_eq,B755,st_po,C755,st_type,"Planifié"),"")</f>
        <v/>
      </c>
      <c r="M755" s="55" t="str">
        <f>IF(ISNUMBER(K755),K755-L755,"")</f>
        <v/>
      </c>
      <c r="N755" s="55" t="str">
        <f>IF(ISNUMBER(K755),SUMIFS(st_min,st_date,A755,st_eq,B755,st_po,C755,st_type,"Non planifié"),"")</f>
        <v/>
      </c>
      <c r="O755" s="55" t="str">
        <f>IF(ISNUMBER(K755),M755-N755,"")</f>
        <v/>
      </c>
      <c r="P755" s="55" t="str">
        <f>IF(COUNTA(A755:I755)=0,"",N(G755)+N(H755)+N(I755))</f>
        <v/>
      </c>
      <c r="Q755" s="56" t="str">
        <f>IF(COUNTA(A755:I755)=0,"",IF(N(IFERROR(INDEX(art_rate,MATCH(E755,art_ref,0)),0))&gt;0,N(IFERROR(INDEX(art_rate,MATCH(E755,art_ref,0)),0)),N(IFERROR(INDEX(po_rate,MATCH(C755,po_code,0)),0))))</f>
        <v/>
      </c>
      <c r="R755" s="55" t="str">
        <f>IF(AC755=1,P755*60/Q755,"")</f>
        <v/>
      </c>
      <c r="S755" s="55" t="str">
        <f>IF(AC755=1,N(G755)*60/Q755,"")</f>
        <v/>
      </c>
      <c r="T755" s="57" t="str">
        <f>IF(AC755=1,O755/M755,"")</f>
        <v/>
      </c>
      <c r="U755" s="57" t="str">
        <f>IF(AC755=1,IF(O755&gt;0,R755/O755,""),"")</f>
        <v/>
      </c>
      <c r="V755" s="57" t="str">
        <f>IF(AC755=1,IF(P755&gt;0,N(G755)/P755,""),"")</f>
        <v/>
      </c>
      <c r="W755" s="57" t="str">
        <f>IF(AC755=1,S755/M755,"")</f>
        <v/>
      </c>
      <c r="X755" s="57" t="str">
        <f>IF(AC755=1,S755/K755,"")</f>
        <v/>
      </c>
      <c r="Y755" s="58" t="str">
        <f>IF(W755="","",IF(W755&gt;=p_target,"Bon",IF(W755&gt;=p_alert,"À surveiller","Faible")))</f>
        <v/>
      </c>
      <c r="Z755" s="58" t="str">
        <f>IF(W755="","",IF(MIN(IF(T755="",1,T755),IF(U755="",1,U755),IF(V755="",1,V755))&gt;=1,"Aucune",IF(IF(T755="",1,T755)&lt;=MIN(IF(U755="",1,U755),IF(V755="",1,V755)),"Disponibilité",IF(IF(U755="",1,U755)&lt;=IF(V755="",1,V755),"Performance","Qualité"))))</f>
        <v/>
      </c>
      <c r="AA755" s="59" t="str">
        <f>IF(AC755=1,N(H755)*N(IFERROR(INDEX(art_cost,MATCH(E755,art_ref,0)),0)),"")</f>
        <v/>
      </c>
      <c r="AB755" s="58" t="str">
        <f>IF(COUNTA(A755:I755)=0,"",IF(N(A755)&lt;=0,"Date manquante ou invalide",IF(B755="","Équipe manquante",IF(ISNA(MATCH(B755,eq_code,0)),"Équipe inconnue",IF(INDEX(eq_check,MATCH(B755,eq_code,0))&lt;&gt;"OK","Équipe à corriger dans Paramètres",IF(C755="","Poste manquant",IF(ISNA(MATCH(C755,po_code,0)),"Poste inconnu",IF(AND(E755&lt;&gt;"",ISNA(MATCH(E755,art_ref,0))),"Article inconnu",IF(IF(E755="",FALSE,INDEX(art_check,MATCH(E755,art_ref,0))&lt;&gt;"OK"),"Article à corriger (feuille Articles)",IF(COUNTIFS(sj_date,A755,sj_eq,B755,sj_po,C755)&gt;1,"Ligne en double (même jour, équipe et poste)",IF(OR(NOT(ISNUMBER(K755)),N(K755)&lt;=0,N(K755)&gt;1440),"Temps d'ouverture invalide",IF(OR(AND(G755&lt;&gt;"",NOT(ISNUMBER(G755))),N(G755)&lt;0,N(G755)&lt;&gt;INT(N(G755)),AND(H755&lt;&gt;"",NOT(ISNUMBER(H755))),N(H755)&lt;0,N(H755)&lt;&gt;INT(N(H755)),AND(I755&lt;&gt;"",NOT(ISNUMBER(I755))),N(I755)&lt;0,N(I755)&lt;&gt;INT(N(I755))),"Quantité invalide",IF(Q755&lt;=0,"Cadence manquante (poste ou article)",IF(M755&lt;=0,"Arrêts planifiés supérieurs au temps d'ouverture",IF(O755&lt;0,"Arrêts supérieurs au temps requis",IF(AND(P755&gt;0,O755=0),"Pièces déclarées sans temps de marche",IF(AND(P755=0,O755&gt;0),"Aucune pièce déclarée",IF(P755*60/Q755&gt;O755+0.001,"Cadence dépassée : vérifiez la cadence","OK"))))))))))))))))))</f>
        <v/>
      </c>
      <c r="AC755">
        <f>IF(OR(AB755="OK",AB755="Aucune pièce déclarée",AB755="Cadence dépassée : vérifiez la cadence"),1,0)</f>
        <v>0.0</v>
      </c>
      <c r="AD755">
        <f>IF(AND(AC755=1,A755&gt;=p_from,A755&lt;=p_to),1,0)</f>
        <v>0.0</v>
      </c>
      <c r="AE755">
        <f>IF(AD755=1,IF(COUNTIFS($A$6:A755,A755,$AD$6:AD755,1)=1,1,0),0)</f>
        <v>0.0</v>
      </c>
      <c r="AF755" t="str">
        <f>IF(AE755=1,COUNTIFS(sj_first,1,sj_date,"&lt;"&amp;A755)+1,"")</f>
        <v/>
      </c>
      <c r="AG755" t="str">
        <f>IF(AND(AD755=1,N(W755)&lt;p_alert),ROUND(W755,4),"")</f>
        <v/>
      </c>
      <c r="AH755" t="str">
        <f>IF(AG755="","",COUNTIF(sj_akey,"&lt;"&amp;AG755)+COUNTIF($AG$6:AG755,AG755))</f>
        <v/>
      </c>
    </row>
    <row r="756">
      <c r="A756" s="51" t="n"/>
      <c r="B756" s="52" t="n"/>
      <c r="C756" s="52" t="n"/>
      <c r="D756" s="53" t="n"/>
      <c r="E756" s="53" t="n"/>
      <c r="F756" s="54" t="n"/>
      <c r="G756" s="54" t="n"/>
      <c r="H756" s="54" t="n"/>
      <c r="I756" s="54" t="n"/>
      <c r="J756" s="53" t="n"/>
      <c r="K756" s="55" t="str">
        <f>IF(COUNTA(A756:I756)=0,"",IF(F756="",IFERROR(INDEX(eq_dur,MATCH(B756,eq_code,0)),""),F756))</f>
        <v/>
      </c>
      <c r="L756" s="55" t="str">
        <f>IF(ISNUMBER(K756),N(IFERROR(INDEX(eq_pause,MATCH(B756,eq_code,0)),0))+SUMIFS(st_min,st_date,A756,st_eq,B756,st_po,C756,st_type,"Planifié"),"")</f>
        <v/>
      </c>
      <c r="M756" s="55" t="str">
        <f>IF(ISNUMBER(K756),K756-L756,"")</f>
        <v/>
      </c>
      <c r="N756" s="55" t="str">
        <f>IF(ISNUMBER(K756),SUMIFS(st_min,st_date,A756,st_eq,B756,st_po,C756,st_type,"Non planifié"),"")</f>
        <v/>
      </c>
      <c r="O756" s="55" t="str">
        <f>IF(ISNUMBER(K756),M756-N756,"")</f>
        <v/>
      </c>
      <c r="P756" s="55" t="str">
        <f>IF(COUNTA(A756:I756)=0,"",N(G756)+N(H756)+N(I756))</f>
        <v/>
      </c>
      <c r="Q756" s="56" t="str">
        <f>IF(COUNTA(A756:I756)=0,"",IF(N(IFERROR(INDEX(art_rate,MATCH(E756,art_ref,0)),0))&gt;0,N(IFERROR(INDEX(art_rate,MATCH(E756,art_ref,0)),0)),N(IFERROR(INDEX(po_rate,MATCH(C756,po_code,0)),0))))</f>
        <v/>
      </c>
      <c r="R756" s="55" t="str">
        <f>IF(AC756=1,P756*60/Q756,"")</f>
        <v/>
      </c>
      <c r="S756" s="55" t="str">
        <f>IF(AC756=1,N(G756)*60/Q756,"")</f>
        <v/>
      </c>
      <c r="T756" s="57" t="str">
        <f>IF(AC756=1,O756/M756,"")</f>
        <v/>
      </c>
      <c r="U756" s="57" t="str">
        <f>IF(AC756=1,IF(O756&gt;0,R756/O756,""),"")</f>
        <v/>
      </c>
      <c r="V756" s="57" t="str">
        <f>IF(AC756=1,IF(P756&gt;0,N(G756)/P756,""),"")</f>
        <v/>
      </c>
      <c r="W756" s="57" t="str">
        <f>IF(AC756=1,S756/M756,"")</f>
        <v/>
      </c>
      <c r="X756" s="57" t="str">
        <f>IF(AC756=1,S756/K756,"")</f>
        <v/>
      </c>
      <c r="Y756" s="58" t="str">
        <f>IF(W756="","",IF(W756&gt;=p_target,"Bon",IF(W756&gt;=p_alert,"À surveiller","Faible")))</f>
        <v/>
      </c>
      <c r="Z756" s="58" t="str">
        <f>IF(W756="","",IF(MIN(IF(T756="",1,T756),IF(U756="",1,U756),IF(V756="",1,V756))&gt;=1,"Aucune",IF(IF(T756="",1,T756)&lt;=MIN(IF(U756="",1,U756),IF(V756="",1,V756)),"Disponibilité",IF(IF(U756="",1,U756)&lt;=IF(V756="",1,V756),"Performance","Qualité"))))</f>
        <v/>
      </c>
      <c r="AA756" s="59" t="str">
        <f>IF(AC756=1,N(H756)*N(IFERROR(INDEX(art_cost,MATCH(E756,art_ref,0)),0)),"")</f>
        <v/>
      </c>
      <c r="AB756" s="58" t="str">
        <f>IF(COUNTA(A756:I756)=0,"",IF(N(A756)&lt;=0,"Date manquante ou invalide",IF(B756="","Équipe manquante",IF(ISNA(MATCH(B756,eq_code,0)),"Équipe inconnue",IF(INDEX(eq_check,MATCH(B756,eq_code,0))&lt;&gt;"OK","Équipe à corriger dans Paramètres",IF(C756="","Poste manquant",IF(ISNA(MATCH(C756,po_code,0)),"Poste inconnu",IF(AND(E756&lt;&gt;"",ISNA(MATCH(E756,art_ref,0))),"Article inconnu",IF(IF(E756="",FALSE,INDEX(art_check,MATCH(E756,art_ref,0))&lt;&gt;"OK"),"Article à corriger (feuille Articles)",IF(COUNTIFS(sj_date,A756,sj_eq,B756,sj_po,C756)&gt;1,"Ligne en double (même jour, équipe et poste)",IF(OR(NOT(ISNUMBER(K756)),N(K756)&lt;=0,N(K756)&gt;1440),"Temps d'ouverture invalide",IF(OR(AND(G756&lt;&gt;"",NOT(ISNUMBER(G756))),N(G756)&lt;0,N(G756)&lt;&gt;INT(N(G756)),AND(H756&lt;&gt;"",NOT(ISNUMBER(H756))),N(H756)&lt;0,N(H756)&lt;&gt;INT(N(H756)),AND(I756&lt;&gt;"",NOT(ISNUMBER(I756))),N(I756)&lt;0,N(I756)&lt;&gt;INT(N(I756))),"Quantité invalide",IF(Q756&lt;=0,"Cadence manquante (poste ou article)",IF(M756&lt;=0,"Arrêts planifiés supérieurs au temps d'ouverture",IF(O756&lt;0,"Arrêts supérieurs au temps requis",IF(AND(P756&gt;0,O756=0),"Pièces déclarées sans temps de marche",IF(AND(P756=0,O756&gt;0),"Aucune pièce déclarée",IF(P756*60/Q756&gt;O756+0.001,"Cadence dépassée : vérifiez la cadence","OK"))))))))))))))))))</f>
        <v/>
      </c>
      <c r="AC756">
        <f>IF(OR(AB756="OK",AB756="Aucune pièce déclarée",AB756="Cadence dépassée : vérifiez la cadence"),1,0)</f>
        <v>0.0</v>
      </c>
      <c r="AD756">
        <f>IF(AND(AC756=1,A756&gt;=p_from,A756&lt;=p_to),1,0)</f>
        <v>0.0</v>
      </c>
      <c r="AE756">
        <f>IF(AD756=1,IF(COUNTIFS($A$6:A756,A756,$AD$6:AD756,1)=1,1,0),0)</f>
        <v>0.0</v>
      </c>
      <c r="AF756" t="str">
        <f>IF(AE756=1,COUNTIFS(sj_first,1,sj_date,"&lt;"&amp;A756)+1,"")</f>
        <v/>
      </c>
      <c r="AG756" t="str">
        <f>IF(AND(AD756=1,N(W756)&lt;p_alert),ROUND(W756,4),"")</f>
        <v/>
      </c>
      <c r="AH756" t="str">
        <f>IF(AG756="","",COUNTIF(sj_akey,"&lt;"&amp;AG756)+COUNTIF($AG$6:AG756,AG756))</f>
        <v/>
      </c>
    </row>
    <row r="757">
      <c r="A757" s="51" t="n"/>
      <c r="B757" s="52" t="n"/>
      <c r="C757" s="52" t="n"/>
      <c r="D757" s="53" t="n"/>
      <c r="E757" s="53" t="n"/>
      <c r="F757" s="54" t="n"/>
      <c r="G757" s="54" t="n"/>
      <c r="H757" s="54" t="n"/>
      <c r="I757" s="54" t="n"/>
      <c r="J757" s="53" t="n"/>
      <c r="K757" s="55" t="str">
        <f>IF(COUNTA(A757:I757)=0,"",IF(F757="",IFERROR(INDEX(eq_dur,MATCH(B757,eq_code,0)),""),F757))</f>
        <v/>
      </c>
      <c r="L757" s="55" t="str">
        <f>IF(ISNUMBER(K757),N(IFERROR(INDEX(eq_pause,MATCH(B757,eq_code,0)),0))+SUMIFS(st_min,st_date,A757,st_eq,B757,st_po,C757,st_type,"Planifié"),"")</f>
        <v/>
      </c>
      <c r="M757" s="55" t="str">
        <f>IF(ISNUMBER(K757),K757-L757,"")</f>
        <v/>
      </c>
      <c r="N757" s="55" t="str">
        <f>IF(ISNUMBER(K757),SUMIFS(st_min,st_date,A757,st_eq,B757,st_po,C757,st_type,"Non planifié"),"")</f>
        <v/>
      </c>
      <c r="O757" s="55" t="str">
        <f>IF(ISNUMBER(K757),M757-N757,"")</f>
        <v/>
      </c>
      <c r="P757" s="55" t="str">
        <f>IF(COUNTA(A757:I757)=0,"",N(G757)+N(H757)+N(I757))</f>
        <v/>
      </c>
      <c r="Q757" s="56" t="str">
        <f>IF(COUNTA(A757:I757)=0,"",IF(N(IFERROR(INDEX(art_rate,MATCH(E757,art_ref,0)),0))&gt;0,N(IFERROR(INDEX(art_rate,MATCH(E757,art_ref,0)),0)),N(IFERROR(INDEX(po_rate,MATCH(C757,po_code,0)),0))))</f>
        <v/>
      </c>
      <c r="R757" s="55" t="str">
        <f>IF(AC757=1,P757*60/Q757,"")</f>
        <v/>
      </c>
      <c r="S757" s="55" t="str">
        <f>IF(AC757=1,N(G757)*60/Q757,"")</f>
        <v/>
      </c>
      <c r="T757" s="57" t="str">
        <f>IF(AC757=1,O757/M757,"")</f>
        <v/>
      </c>
      <c r="U757" s="57" t="str">
        <f>IF(AC757=1,IF(O757&gt;0,R757/O757,""),"")</f>
        <v/>
      </c>
      <c r="V757" s="57" t="str">
        <f>IF(AC757=1,IF(P757&gt;0,N(G757)/P757,""),"")</f>
        <v/>
      </c>
      <c r="W757" s="57" t="str">
        <f>IF(AC757=1,S757/M757,"")</f>
        <v/>
      </c>
      <c r="X757" s="57" t="str">
        <f>IF(AC757=1,S757/K757,"")</f>
        <v/>
      </c>
      <c r="Y757" s="58" t="str">
        <f>IF(W757="","",IF(W757&gt;=p_target,"Bon",IF(W757&gt;=p_alert,"À surveiller","Faible")))</f>
        <v/>
      </c>
      <c r="Z757" s="58" t="str">
        <f>IF(W757="","",IF(MIN(IF(T757="",1,T757),IF(U757="",1,U757),IF(V757="",1,V757))&gt;=1,"Aucune",IF(IF(T757="",1,T757)&lt;=MIN(IF(U757="",1,U757),IF(V757="",1,V757)),"Disponibilité",IF(IF(U757="",1,U757)&lt;=IF(V757="",1,V757),"Performance","Qualité"))))</f>
        <v/>
      </c>
      <c r="AA757" s="59" t="str">
        <f>IF(AC757=1,N(H757)*N(IFERROR(INDEX(art_cost,MATCH(E757,art_ref,0)),0)),"")</f>
        <v/>
      </c>
      <c r="AB757" s="58" t="str">
        <f>IF(COUNTA(A757:I757)=0,"",IF(N(A757)&lt;=0,"Date manquante ou invalide",IF(B757="","Équipe manquante",IF(ISNA(MATCH(B757,eq_code,0)),"Équipe inconnue",IF(INDEX(eq_check,MATCH(B757,eq_code,0))&lt;&gt;"OK","Équipe à corriger dans Paramètres",IF(C757="","Poste manquant",IF(ISNA(MATCH(C757,po_code,0)),"Poste inconnu",IF(AND(E757&lt;&gt;"",ISNA(MATCH(E757,art_ref,0))),"Article inconnu",IF(IF(E757="",FALSE,INDEX(art_check,MATCH(E757,art_ref,0))&lt;&gt;"OK"),"Article à corriger (feuille Articles)",IF(COUNTIFS(sj_date,A757,sj_eq,B757,sj_po,C757)&gt;1,"Ligne en double (même jour, équipe et poste)",IF(OR(NOT(ISNUMBER(K757)),N(K757)&lt;=0,N(K757)&gt;1440),"Temps d'ouverture invalide",IF(OR(AND(G757&lt;&gt;"",NOT(ISNUMBER(G757))),N(G757)&lt;0,N(G757)&lt;&gt;INT(N(G757)),AND(H757&lt;&gt;"",NOT(ISNUMBER(H757))),N(H757)&lt;0,N(H757)&lt;&gt;INT(N(H757)),AND(I757&lt;&gt;"",NOT(ISNUMBER(I757))),N(I757)&lt;0,N(I757)&lt;&gt;INT(N(I757))),"Quantité invalide",IF(Q757&lt;=0,"Cadence manquante (poste ou article)",IF(M757&lt;=0,"Arrêts planifiés supérieurs au temps d'ouverture",IF(O757&lt;0,"Arrêts supérieurs au temps requis",IF(AND(P757&gt;0,O757=0),"Pièces déclarées sans temps de marche",IF(AND(P757=0,O757&gt;0),"Aucune pièce déclarée",IF(P757*60/Q757&gt;O757+0.001,"Cadence dépassée : vérifiez la cadence","OK"))))))))))))))))))</f>
        <v/>
      </c>
      <c r="AC757">
        <f>IF(OR(AB757="OK",AB757="Aucune pièce déclarée",AB757="Cadence dépassée : vérifiez la cadence"),1,0)</f>
        <v>0.0</v>
      </c>
      <c r="AD757">
        <f>IF(AND(AC757=1,A757&gt;=p_from,A757&lt;=p_to),1,0)</f>
        <v>0.0</v>
      </c>
      <c r="AE757">
        <f>IF(AD757=1,IF(COUNTIFS($A$6:A757,A757,$AD$6:AD757,1)=1,1,0),0)</f>
        <v>0.0</v>
      </c>
      <c r="AF757" t="str">
        <f>IF(AE757=1,COUNTIFS(sj_first,1,sj_date,"&lt;"&amp;A757)+1,"")</f>
        <v/>
      </c>
      <c r="AG757" t="str">
        <f>IF(AND(AD757=1,N(W757)&lt;p_alert),ROUND(W757,4),"")</f>
        <v/>
      </c>
      <c r="AH757" t="str">
        <f>IF(AG757="","",COUNTIF(sj_akey,"&lt;"&amp;AG757)+COUNTIF($AG$6:AG757,AG757))</f>
        <v/>
      </c>
    </row>
    <row r="758">
      <c r="A758" s="51" t="n"/>
      <c r="B758" s="52" t="n"/>
      <c r="C758" s="52" t="n"/>
      <c r="D758" s="53" t="n"/>
      <c r="E758" s="53" t="n"/>
      <c r="F758" s="54" t="n"/>
      <c r="G758" s="54" t="n"/>
      <c r="H758" s="54" t="n"/>
      <c r="I758" s="54" t="n"/>
      <c r="J758" s="53" t="n"/>
      <c r="K758" s="55" t="str">
        <f>IF(COUNTA(A758:I758)=0,"",IF(F758="",IFERROR(INDEX(eq_dur,MATCH(B758,eq_code,0)),""),F758))</f>
        <v/>
      </c>
      <c r="L758" s="55" t="str">
        <f>IF(ISNUMBER(K758),N(IFERROR(INDEX(eq_pause,MATCH(B758,eq_code,0)),0))+SUMIFS(st_min,st_date,A758,st_eq,B758,st_po,C758,st_type,"Planifié"),"")</f>
        <v/>
      </c>
      <c r="M758" s="55" t="str">
        <f>IF(ISNUMBER(K758),K758-L758,"")</f>
        <v/>
      </c>
      <c r="N758" s="55" t="str">
        <f>IF(ISNUMBER(K758),SUMIFS(st_min,st_date,A758,st_eq,B758,st_po,C758,st_type,"Non planifié"),"")</f>
        <v/>
      </c>
      <c r="O758" s="55" t="str">
        <f>IF(ISNUMBER(K758),M758-N758,"")</f>
        <v/>
      </c>
      <c r="P758" s="55" t="str">
        <f>IF(COUNTA(A758:I758)=0,"",N(G758)+N(H758)+N(I758))</f>
        <v/>
      </c>
      <c r="Q758" s="56" t="str">
        <f>IF(COUNTA(A758:I758)=0,"",IF(N(IFERROR(INDEX(art_rate,MATCH(E758,art_ref,0)),0))&gt;0,N(IFERROR(INDEX(art_rate,MATCH(E758,art_ref,0)),0)),N(IFERROR(INDEX(po_rate,MATCH(C758,po_code,0)),0))))</f>
        <v/>
      </c>
      <c r="R758" s="55" t="str">
        <f>IF(AC758=1,P758*60/Q758,"")</f>
        <v/>
      </c>
      <c r="S758" s="55" t="str">
        <f>IF(AC758=1,N(G758)*60/Q758,"")</f>
        <v/>
      </c>
      <c r="T758" s="57" t="str">
        <f>IF(AC758=1,O758/M758,"")</f>
        <v/>
      </c>
      <c r="U758" s="57" t="str">
        <f>IF(AC758=1,IF(O758&gt;0,R758/O758,""),"")</f>
        <v/>
      </c>
      <c r="V758" s="57" t="str">
        <f>IF(AC758=1,IF(P758&gt;0,N(G758)/P758,""),"")</f>
        <v/>
      </c>
      <c r="W758" s="57" t="str">
        <f>IF(AC758=1,S758/M758,"")</f>
        <v/>
      </c>
      <c r="X758" s="57" t="str">
        <f>IF(AC758=1,S758/K758,"")</f>
        <v/>
      </c>
      <c r="Y758" s="58" t="str">
        <f>IF(W758="","",IF(W758&gt;=p_target,"Bon",IF(W758&gt;=p_alert,"À surveiller","Faible")))</f>
        <v/>
      </c>
      <c r="Z758" s="58" t="str">
        <f>IF(W758="","",IF(MIN(IF(T758="",1,T758),IF(U758="",1,U758),IF(V758="",1,V758))&gt;=1,"Aucune",IF(IF(T758="",1,T758)&lt;=MIN(IF(U758="",1,U758),IF(V758="",1,V758)),"Disponibilité",IF(IF(U758="",1,U758)&lt;=IF(V758="",1,V758),"Performance","Qualité"))))</f>
        <v/>
      </c>
      <c r="AA758" s="59" t="str">
        <f>IF(AC758=1,N(H758)*N(IFERROR(INDEX(art_cost,MATCH(E758,art_ref,0)),0)),"")</f>
        <v/>
      </c>
      <c r="AB758" s="58" t="str">
        <f>IF(COUNTA(A758:I758)=0,"",IF(N(A758)&lt;=0,"Date manquante ou invalide",IF(B758="","Équipe manquante",IF(ISNA(MATCH(B758,eq_code,0)),"Équipe inconnue",IF(INDEX(eq_check,MATCH(B758,eq_code,0))&lt;&gt;"OK","Équipe à corriger dans Paramètres",IF(C758="","Poste manquant",IF(ISNA(MATCH(C758,po_code,0)),"Poste inconnu",IF(AND(E758&lt;&gt;"",ISNA(MATCH(E758,art_ref,0))),"Article inconnu",IF(IF(E758="",FALSE,INDEX(art_check,MATCH(E758,art_ref,0))&lt;&gt;"OK"),"Article à corriger (feuille Articles)",IF(COUNTIFS(sj_date,A758,sj_eq,B758,sj_po,C758)&gt;1,"Ligne en double (même jour, équipe et poste)",IF(OR(NOT(ISNUMBER(K758)),N(K758)&lt;=0,N(K758)&gt;1440),"Temps d'ouverture invalide",IF(OR(AND(G758&lt;&gt;"",NOT(ISNUMBER(G758))),N(G758)&lt;0,N(G758)&lt;&gt;INT(N(G758)),AND(H758&lt;&gt;"",NOT(ISNUMBER(H758))),N(H758)&lt;0,N(H758)&lt;&gt;INT(N(H758)),AND(I758&lt;&gt;"",NOT(ISNUMBER(I758))),N(I758)&lt;0,N(I758)&lt;&gt;INT(N(I758))),"Quantité invalide",IF(Q758&lt;=0,"Cadence manquante (poste ou article)",IF(M758&lt;=0,"Arrêts planifiés supérieurs au temps d'ouverture",IF(O758&lt;0,"Arrêts supérieurs au temps requis",IF(AND(P758&gt;0,O758=0),"Pièces déclarées sans temps de marche",IF(AND(P758=0,O758&gt;0),"Aucune pièce déclarée",IF(P758*60/Q758&gt;O758+0.001,"Cadence dépassée : vérifiez la cadence","OK"))))))))))))))))))</f>
        <v/>
      </c>
      <c r="AC758">
        <f>IF(OR(AB758="OK",AB758="Aucune pièce déclarée",AB758="Cadence dépassée : vérifiez la cadence"),1,0)</f>
        <v>0.0</v>
      </c>
      <c r="AD758">
        <f>IF(AND(AC758=1,A758&gt;=p_from,A758&lt;=p_to),1,0)</f>
        <v>0.0</v>
      </c>
      <c r="AE758">
        <f>IF(AD758=1,IF(COUNTIFS($A$6:A758,A758,$AD$6:AD758,1)=1,1,0),0)</f>
        <v>0.0</v>
      </c>
      <c r="AF758" t="str">
        <f>IF(AE758=1,COUNTIFS(sj_first,1,sj_date,"&lt;"&amp;A758)+1,"")</f>
        <v/>
      </c>
      <c r="AG758" t="str">
        <f>IF(AND(AD758=1,N(W758)&lt;p_alert),ROUND(W758,4),"")</f>
        <v/>
      </c>
      <c r="AH758" t="str">
        <f>IF(AG758="","",COUNTIF(sj_akey,"&lt;"&amp;AG758)+COUNTIF($AG$6:AG758,AG758))</f>
        <v/>
      </c>
    </row>
    <row r="759">
      <c r="A759" s="51" t="n"/>
      <c r="B759" s="52" t="n"/>
      <c r="C759" s="52" t="n"/>
      <c r="D759" s="53" t="n"/>
      <c r="E759" s="53" t="n"/>
      <c r="F759" s="54" t="n"/>
      <c r="G759" s="54" t="n"/>
      <c r="H759" s="54" t="n"/>
      <c r="I759" s="54" t="n"/>
      <c r="J759" s="53" t="n"/>
      <c r="K759" s="55" t="str">
        <f>IF(COUNTA(A759:I759)=0,"",IF(F759="",IFERROR(INDEX(eq_dur,MATCH(B759,eq_code,0)),""),F759))</f>
        <v/>
      </c>
      <c r="L759" s="55" t="str">
        <f>IF(ISNUMBER(K759),N(IFERROR(INDEX(eq_pause,MATCH(B759,eq_code,0)),0))+SUMIFS(st_min,st_date,A759,st_eq,B759,st_po,C759,st_type,"Planifié"),"")</f>
        <v/>
      </c>
      <c r="M759" s="55" t="str">
        <f>IF(ISNUMBER(K759),K759-L759,"")</f>
        <v/>
      </c>
      <c r="N759" s="55" t="str">
        <f>IF(ISNUMBER(K759),SUMIFS(st_min,st_date,A759,st_eq,B759,st_po,C759,st_type,"Non planifié"),"")</f>
        <v/>
      </c>
      <c r="O759" s="55" t="str">
        <f>IF(ISNUMBER(K759),M759-N759,"")</f>
        <v/>
      </c>
      <c r="P759" s="55" t="str">
        <f>IF(COUNTA(A759:I759)=0,"",N(G759)+N(H759)+N(I759))</f>
        <v/>
      </c>
      <c r="Q759" s="56" t="str">
        <f>IF(COUNTA(A759:I759)=0,"",IF(N(IFERROR(INDEX(art_rate,MATCH(E759,art_ref,0)),0))&gt;0,N(IFERROR(INDEX(art_rate,MATCH(E759,art_ref,0)),0)),N(IFERROR(INDEX(po_rate,MATCH(C759,po_code,0)),0))))</f>
        <v/>
      </c>
      <c r="R759" s="55" t="str">
        <f>IF(AC759=1,P759*60/Q759,"")</f>
        <v/>
      </c>
      <c r="S759" s="55" t="str">
        <f>IF(AC759=1,N(G759)*60/Q759,"")</f>
        <v/>
      </c>
      <c r="T759" s="57" t="str">
        <f>IF(AC759=1,O759/M759,"")</f>
        <v/>
      </c>
      <c r="U759" s="57" t="str">
        <f>IF(AC759=1,IF(O759&gt;0,R759/O759,""),"")</f>
        <v/>
      </c>
      <c r="V759" s="57" t="str">
        <f>IF(AC759=1,IF(P759&gt;0,N(G759)/P759,""),"")</f>
        <v/>
      </c>
      <c r="W759" s="57" t="str">
        <f>IF(AC759=1,S759/M759,"")</f>
        <v/>
      </c>
      <c r="X759" s="57" t="str">
        <f>IF(AC759=1,S759/K759,"")</f>
        <v/>
      </c>
      <c r="Y759" s="58" t="str">
        <f>IF(W759="","",IF(W759&gt;=p_target,"Bon",IF(W759&gt;=p_alert,"À surveiller","Faible")))</f>
        <v/>
      </c>
      <c r="Z759" s="58" t="str">
        <f>IF(W759="","",IF(MIN(IF(T759="",1,T759),IF(U759="",1,U759),IF(V759="",1,V759))&gt;=1,"Aucune",IF(IF(T759="",1,T759)&lt;=MIN(IF(U759="",1,U759),IF(V759="",1,V759)),"Disponibilité",IF(IF(U759="",1,U759)&lt;=IF(V759="",1,V759),"Performance","Qualité"))))</f>
        <v/>
      </c>
      <c r="AA759" s="59" t="str">
        <f>IF(AC759=1,N(H759)*N(IFERROR(INDEX(art_cost,MATCH(E759,art_ref,0)),0)),"")</f>
        <v/>
      </c>
      <c r="AB759" s="58" t="str">
        <f>IF(COUNTA(A759:I759)=0,"",IF(N(A759)&lt;=0,"Date manquante ou invalide",IF(B759="","Équipe manquante",IF(ISNA(MATCH(B759,eq_code,0)),"Équipe inconnue",IF(INDEX(eq_check,MATCH(B759,eq_code,0))&lt;&gt;"OK","Équipe à corriger dans Paramètres",IF(C759="","Poste manquant",IF(ISNA(MATCH(C759,po_code,0)),"Poste inconnu",IF(AND(E759&lt;&gt;"",ISNA(MATCH(E759,art_ref,0))),"Article inconnu",IF(IF(E759="",FALSE,INDEX(art_check,MATCH(E759,art_ref,0))&lt;&gt;"OK"),"Article à corriger (feuille Articles)",IF(COUNTIFS(sj_date,A759,sj_eq,B759,sj_po,C759)&gt;1,"Ligne en double (même jour, équipe et poste)",IF(OR(NOT(ISNUMBER(K759)),N(K759)&lt;=0,N(K759)&gt;1440),"Temps d'ouverture invalide",IF(OR(AND(G759&lt;&gt;"",NOT(ISNUMBER(G759))),N(G759)&lt;0,N(G759)&lt;&gt;INT(N(G759)),AND(H759&lt;&gt;"",NOT(ISNUMBER(H759))),N(H759)&lt;0,N(H759)&lt;&gt;INT(N(H759)),AND(I759&lt;&gt;"",NOT(ISNUMBER(I759))),N(I759)&lt;0,N(I759)&lt;&gt;INT(N(I759))),"Quantité invalide",IF(Q759&lt;=0,"Cadence manquante (poste ou article)",IF(M759&lt;=0,"Arrêts planifiés supérieurs au temps d'ouverture",IF(O759&lt;0,"Arrêts supérieurs au temps requis",IF(AND(P759&gt;0,O759=0),"Pièces déclarées sans temps de marche",IF(AND(P759=0,O759&gt;0),"Aucune pièce déclarée",IF(P759*60/Q759&gt;O759+0.001,"Cadence dépassée : vérifiez la cadence","OK"))))))))))))))))))</f>
        <v/>
      </c>
      <c r="AC759">
        <f>IF(OR(AB759="OK",AB759="Aucune pièce déclarée",AB759="Cadence dépassée : vérifiez la cadence"),1,0)</f>
        <v>0.0</v>
      </c>
      <c r="AD759">
        <f>IF(AND(AC759=1,A759&gt;=p_from,A759&lt;=p_to),1,0)</f>
        <v>0.0</v>
      </c>
      <c r="AE759">
        <f>IF(AD759=1,IF(COUNTIFS($A$6:A759,A759,$AD$6:AD759,1)=1,1,0),0)</f>
        <v>0.0</v>
      </c>
      <c r="AF759" t="str">
        <f>IF(AE759=1,COUNTIFS(sj_first,1,sj_date,"&lt;"&amp;A759)+1,"")</f>
        <v/>
      </c>
      <c r="AG759" t="str">
        <f>IF(AND(AD759=1,N(W759)&lt;p_alert),ROUND(W759,4),"")</f>
        <v/>
      </c>
      <c r="AH759" t="str">
        <f>IF(AG759="","",COUNTIF(sj_akey,"&lt;"&amp;AG759)+COUNTIF($AG$6:AG759,AG759))</f>
        <v/>
      </c>
    </row>
    <row r="760">
      <c r="A760" s="51" t="n"/>
      <c r="B760" s="52" t="n"/>
      <c r="C760" s="52" t="n"/>
      <c r="D760" s="53" t="n"/>
      <c r="E760" s="53" t="n"/>
      <c r="F760" s="54" t="n"/>
      <c r="G760" s="54" t="n"/>
      <c r="H760" s="54" t="n"/>
      <c r="I760" s="54" t="n"/>
      <c r="J760" s="53" t="n"/>
      <c r="K760" s="55" t="str">
        <f>IF(COUNTA(A760:I760)=0,"",IF(F760="",IFERROR(INDEX(eq_dur,MATCH(B760,eq_code,0)),""),F760))</f>
        <v/>
      </c>
      <c r="L760" s="55" t="str">
        <f>IF(ISNUMBER(K760),N(IFERROR(INDEX(eq_pause,MATCH(B760,eq_code,0)),0))+SUMIFS(st_min,st_date,A760,st_eq,B760,st_po,C760,st_type,"Planifié"),"")</f>
        <v/>
      </c>
      <c r="M760" s="55" t="str">
        <f>IF(ISNUMBER(K760),K760-L760,"")</f>
        <v/>
      </c>
      <c r="N760" s="55" t="str">
        <f>IF(ISNUMBER(K760),SUMIFS(st_min,st_date,A760,st_eq,B760,st_po,C760,st_type,"Non planifié"),"")</f>
        <v/>
      </c>
      <c r="O760" s="55" t="str">
        <f>IF(ISNUMBER(K760),M760-N760,"")</f>
        <v/>
      </c>
      <c r="P760" s="55" t="str">
        <f>IF(COUNTA(A760:I760)=0,"",N(G760)+N(H760)+N(I760))</f>
        <v/>
      </c>
      <c r="Q760" s="56" t="str">
        <f>IF(COUNTA(A760:I760)=0,"",IF(N(IFERROR(INDEX(art_rate,MATCH(E760,art_ref,0)),0))&gt;0,N(IFERROR(INDEX(art_rate,MATCH(E760,art_ref,0)),0)),N(IFERROR(INDEX(po_rate,MATCH(C760,po_code,0)),0))))</f>
        <v/>
      </c>
      <c r="R760" s="55" t="str">
        <f>IF(AC760=1,P760*60/Q760,"")</f>
        <v/>
      </c>
      <c r="S760" s="55" t="str">
        <f>IF(AC760=1,N(G760)*60/Q760,"")</f>
        <v/>
      </c>
      <c r="T760" s="57" t="str">
        <f>IF(AC760=1,O760/M760,"")</f>
        <v/>
      </c>
      <c r="U760" s="57" t="str">
        <f>IF(AC760=1,IF(O760&gt;0,R760/O760,""),"")</f>
        <v/>
      </c>
      <c r="V760" s="57" t="str">
        <f>IF(AC760=1,IF(P760&gt;0,N(G760)/P760,""),"")</f>
        <v/>
      </c>
      <c r="W760" s="57" t="str">
        <f>IF(AC760=1,S760/M760,"")</f>
        <v/>
      </c>
      <c r="X760" s="57" t="str">
        <f>IF(AC760=1,S760/K760,"")</f>
        <v/>
      </c>
      <c r="Y760" s="58" t="str">
        <f>IF(W760="","",IF(W760&gt;=p_target,"Bon",IF(W760&gt;=p_alert,"À surveiller","Faible")))</f>
        <v/>
      </c>
      <c r="Z760" s="58" t="str">
        <f>IF(W760="","",IF(MIN(IF(T760="",1,T760),IF(U760="",1,U760),IF(V760="",1,V760))&gt;=1,"Aucune",IF(IF(T760="",1,T760)&lt;=MIN(IF(U760="",1,U760),IF(V760="",1,V760)),"Disponibilité",IF(IF(U760="",1,U760)&lt;=IF(V760="",1,V760),"Performance","Qualité"))))</f>
        <v/>
      </c>
      <c r="AA760" s="59" t="str">
        <f>IF(AC760=1,N(H760)*N(IFERROR(INDEX(art_cost,MATCH(E760,art_ref,0)),0)),"")</f>
        <v/>
      </c>
      <c r="AB760" s="58" t="str">
        <f>IF(COUNTA(A760:I760)=0,"",IF(N(A760)&lt;=0,"Date manquante ou invalide",IF(B760="","Équipe manquante",IF(ISNA(MATCH(B760,eq_code,0)),"Équipe inconnue",IF(INDEX(eq_check,MATCH(B760,eq_code,0))&lt;&gt;"OK","Équipe à corriger dans Paramètres",IF(C760="","Poste manquant",IF(ISNA(MATCH(C760,po_code,0)),"Poste inconnu",IF(AND(E760&lt;&gt;"",ISNA(MATCH(E760,art_ref,0))),"Article inconnu",IF(IF(E760="",FALSE,INDEX(art_check,MATCH(E760,art_ref,0))&lt;&gt;"OK"),"Article à corriger (feuille Articles)",IF(COUNTIFS(sj_date,A760,sj_eq,B760,sj_po,C760)&gt;1,"Ligne en double (même jour, équipe et poste)",IF(OR(NOT(ISNUMBER(K760)),N(K760)&lt;=0,N(K760)&gt;1440),"Temps d'ouverture invalide",IF(OR(AND(G760&lt;&gt;"",NOT(ISNUMBER(G760))),N(G760)&lt;0,N(G760)&lt;&gt;INT(N(G760)),AND(H760&lt;&gt;"",NOT(ISNUMBER(H760))),N(H760)&lt;0,N(H760)&lt;&gt;INT(N(H760)),AND(I760&lt;&gt;"",NOT(ISNUMBER(I760))),N(I760)&lt;0,N(I760)&lt;&gt;INT(N(I760))),"Quantité invalide",IF(Q760&lt;=0,"Cadence manquante (poste ou article)",IF(M760&lt;=0,"Arrêts planifiés supérieurs au temps d'ouverture",IF(O760&lt;0,"Arrêts supérieurs au temps requis",IF(AND(P760&gt;0,O760=0),"Pièces déclarées sans temps de marche",IF(AND(P760=0,O760&gt;0),"Aucune pièce déclarée",IF(P760*60/Q760&gt;O760+0.001,"Cadence dépassée : vérifiez la cadence","OK"))))))))))))))))))</f>
        <v/>
      </c>
      <c r="AC760">
        <f>IF(OR(AB760="OK",AB760="Aucune pièce déclarée",AB760="Cadence dépassée : vérifiez la cadence"),1,0)</f>
        <v>0.0</v>
      </c>
      <c r="AD760">
        <f>IF(AND(AC760=1,A760&gt;=p_from,A760&lt;=p_to),1,0)</f>
        <v>0.0</v>
      </c>
      <c r="AE760">
        <f>IF(AD760=1,IF(COUNTIFS($A$6:A760,A760,$AD$6:AD760,1)=1,1,0),0)</f>
        <v>0.0</v>
      </c>
      <c r="AF760" t="str">
        <f>IF(AE760=1,COUNTIFS(sj_first,1,sj_date,"&lt;"&amp;A760)+1,"")</f>
        <v/>
      </c>
      <c r="AG760" t="str">
        <f>IF(AND(AD760=1,N(W760)&lt;p_alert),ROUND(W760,4),"")</f>
        <v/>
      </c>
      <c r="AH760" t="str">
        <f>IF(AG760="","",COUNTIF(sj_akey,"&lt;"&amp;AG760)+COUNTIF($AG$6:AG760,AG760))</f>
        <v/>
      </c>
    </row>
    <row r="761">
      <c r="A761" s="51" t="n"/>
      <c r="B761" s="52" t="n"/>
      <c r="C761" s="52" t="n"/>
      <c r="D761" s="53" t="n"/>
      <c r="E761" s="53" t="n"/>
      <c r="F761" s="54" t="n"/>
      <c r="G761" s="54" t="n"/>
      <c r="H761" s="54" t="n"/>
      <c r="I761" s="54" t="n"/>
      <c r="J761" s="53" t="n"/>
      <c r="K761" s="55" t="str">
        <f>IF(COUNTA(A761:I761)=0,"",IF(F761="",IFERROR(INDEX(eq_dur,MATCH(B761,eq_code,0)),""),F761))</f>
        <v/>
      </c>
      <c r="L761" s="55" t="str">
        <f>IF(ISNUMBER(K761),N(IFERROR(INDEX(eq_pause,MATCH(B761,eq_code,0)),0))+SUMIFS(st_min,st_date,A761,st_eq,B761,st_po,C761,st_type,"Planifié"),"")</f>
        <v/>
      </c>
      <c r="M761" s="55" t="str">
        <f>IF(ISNUMBER(K761),K761-L761,"")</f>
        <v/>
      </c>
      <c r="N761" s="55" t="str">
        <f>IF(ISNUMBER(K761),SUMIFS(st_min,st_date,A761,st_eq,B761,st_po,C761,st_type,"Non planifié"),"")</f>
        <v/>
      </c>
      <c r="O761" s="55" t="str">
        <f>IF(ISNUMBER(K761),M761-N761,"")</f>
        <v/>
      </c>
      <c r="P761" s="55" t="str">
        <f>IF(COUNTA(A761:I761)=0,"",N(G761)+N(H761)+N(I761))</f>
        <v/>
      </c>
      <c r="Q761" s="56" t="str">
        <f>IF(COUNTA(A761:I761)=0,"",IF(N(IFERROR(INDEX(art_rate,MATCH(E761,art_ref,0)),0))&gt;0,N(IFERROR(INDEX(art_rate,MATCH(E761,art_ref,0)),0)),N(IFERROR(INDEX(po_rate,MATCH(C761,po_code,0)),0))))</f>
        <v/>
      </c>
      <c r="R761" s="55" t="str">
        <f>IF(AC761=1,P761*60/Q761,"")</f>
        <v/>
      </c>
      <c r="S761" s="55" t="str">
        <f>IF(AC761=1,N(G761)*60/Q761,"")</f>
        <v/>
      </c>
      <c r="T761" s="57" t="str">
        <f>IF(AC761=1,O761/M761,"")</f>
        <v/>
      </c>
      <c r="U761" s="57" t="str">
        <f>IF(AC761=1,IF(O761&gt;0,R761/O761,""),"")</f>
        <v/>
      </c>
      <c r="V761" s="57" t="str">
        <f>IF(AC761=1,IF(P761&gt;0,N(G761)/P761,""),"")</f>
        <v/>
      </c>
      <c r="W761" s="57" t="str">
        <f>IF(AC761=1,S761/M761,"")</f>
        <v/>
      </c>
      <c r="X761" s="57" t="str">
        <f>IF(AC761=1,S761/K761,"")</f>
        <v/>
      </c>
      <c r="Y761" s="58" t="str">
        <f>IF(W761="","",IF(W761&gt;=p_target,"Bon",IF(W761&gt;=p_alert,"À surveiller","Faible")))</f>
        <v/>
      </c>
      <c r="Z761" s="58" t="str">
        <f>IF(W761="","",IF(MIN(IF(T761="",1,T761),IF(U761="",1,U761),IF(V761="",1,V761))&gt;=1,"Aucune",IF(IF(T761="",1,T761)&lt;=MIN(IF(U761="",1,U761),IF(V761="",1,V761)),"Disponibilité",IF(IF(U761="",1,U761)&lt;=IF(V761="",1,V761),"Performance","Qualité"))))</f>
        <v/>
      </c>
      <c r="AA761" s="59" t="str">
        <f>IF(AC761=1,N(H761)*N(IFERROR(INDEX(art_cost,MATCH(E761,art_ref,0)),0)),"")</f>
        <v/>
      </c>
      <c r="AB761" s="58" t="str">
        <f>IF(COUNTA(A761:I761)=0,"",IF(N(A761)&lt;=0,"Date manquante ou invalide",IF(B761="","Équipe manquante",IF(ISNA(MATCH(B761,eq_code,0)),"Équipe inconnue",IF(INDEX(eq_check,MATCH(B761,eq_code,0))&lt;&gt;"OK","Équipe à corriger dans Paramètres",IF(C761="","Poste manquant",IF(ISNA(MATCH(C761,po_code,0)),"Poste inconnu",IF(AND(E761&lt;&gt;"",ISNA(MATCH(E761,art_ref,0))),"Article inconnu",IF(IF(E761="",FALSE,INDEX(art_check,MATCH(E761,art_ref,0))&lt;&gt;"OK"),"Article à corriger (feuille Articles)",IF(COUNTIFS(sj_date,A761,sj_eq,B761,sj_po,C761)&gt;1,"Ligne en double (même jour, équipe et poste)",IF(OR(NOT(ISNUMBER(K761)),N(K761)&lt;=0,N(K761)&gt;1440),"Temps d'ouverture invalide",IF(OR(AND(G761&lt;&gt;"",NOT(ISNUMBER(G761))),N(G761)&lt;0,N(G761)&lt;&gt;INT(N(G761)),AND(H761&lt;&gt;"",NOT(ISNUMBER(H761))),N(H761)&lt;0,N(H761)&lt;&gt;INT(N(H761)),AND(I761&lt;&gt;"",NOT(ISNUMBER(I761))),N(I761)&lt;0,N(I761)&lt;&gt;INT(N(I761))),"Quantité invalide",IF(Q761&lt;=0,"Cadence manquante (poste ou article)",IF(M761&lt;=0,"Arrêts planifiés supérieurs au temps d'ouverture",IF(O761&lt;0,"Arrêts supérieurs au temps requis",IF(AND(P761&gt;0,O761=0),"Pièces déclarées sans temps de marche",IF(AND(P761=0,O761&gt;0),"Aucune pièce déclarée",IF(P761*60/Q761&gt;O761+0.001,"Cadence dépassée : vérifiez la cadence","OK"))))))))))))))))))</f>
        <v/>
      </c>
      <c r="AC761">
        <f>IF(OR(AB761="OK",AB761="Aucune pièce déclarée",AB761="Cadence dépassée : vérifiez la cadence"),1,0)</f>
        <v>0.0</v>
      </c>
      <c r="AD761">
        <f>IF(AND(AC761=1,A761&gt;=p_from,A761&lt;=p_to),1,0)</f>
        <v>0.0</v>
      </c>
      <c r="AE761">
        <f>IF(AD761=1,IF(COUNTIFS($A$6:A761,A761,$AD$6:AD761,1)=1,1,0),0)</f>
        <v>0.0</v>
      </c>
      <c r="AF761" t="str">
        <f>IF(AE761=1,COUNTIFS(sj_first,1,sj_date,"&lt;"&amp;A761)+1,"")</f>
        <v/>
      </c>
      <c r="AG761" t="str">
        <f>IF(AND(AD761=1,N(W761)&lt;p_alert),ROUND(W761,4),"")</f>
        <v/>
      </c>
      <c r="AH761" t="str">
        <f>IF(AG761="","",COUNTIF(sj_akey,"&lt;"&amp;AG761)+COUNTIF($AG$6:AG761,AG761))</f>
        <v/>
      </c>
    </row>
    <row r="762">
      <c r="A762" s="51" t="n"/>
      <c r="B762" s="52" t="n"/>
      <c r="C762" s="52" t="n"/>
      <c r="D762" s="53" t="n"/>
      <c r="E762" s="53" t="n"/>
      <c r="F762" s="54" t="n"/>
      <c r="G762" s="54" t="n"/>
      <c r="H762" s="54" t="n"/>
      <c r="I762" s="54" t="n"/>
      <c r="J762" s="53" t="n"/>
      <c r="K762" s="55" t="str">
        <f>IF(COUNTA(A762:I762)=0,"",IF(F762="",IFERROR(INDEX(eq_dur,MATCH(B762,eq_code,0)),""),F762))</f>
        <v/>
      </c>
      <c r="L762" s="55" t="str">
        <f>IF(ISNUMBER(K762),N(IFERROR(INDEX(eq_pause,MATCH(B762,eq_code,0)),0))+SUMIFS(st_min,st_date,A762,st_eq,B762,st_po,C762,st_type,"Planifié"),"")</f>
        <v/>
      </c>
      <c r="M762" s="55" t="str">
        <f>IF(ISNUMBER(K762),K762-L762,"")</f>
        <v/>
      </c>
      <c r="N762" s="55" t="str">
        <f>IF(ISNUMBER(K762),SUMIFS(st_min,st_date,A762,st_eq,B762,st_po,C762,st_type,"Non planifié"),"")</f>
        <v/>
      </c>
      <c r="O762" s="55" t="str">
        <f>IF(ISNUMBER(K762),M762-N762,"")</f>
        <v/>
      </c>
      <c r="P762" s="55" t="str">
        <f>IF(COUNTA(A762:I762)=0,"",N(G762)+N(H762)+N(I762))</f>
        <v/>
      </c>
      <c r="Q762" s="56" t="str">
        <f>IF(COUNTA(A762:I762)=0,"",IF(N(IFERROR(INDEX(art_rate,MATCH(E762,art_ref,0)),0))&gt;0,N(IFERROR(INDEX(art_rate,MATCH(E762,art_ref,0)),0)),N(IFERROR(INDEX(po_rate,MATCH(C762,po_code,0)),0))))</f>
        <v/>
      </c>
      <c r="R762" s="55" t="str">
        <f>IF(AC762=1,P762*60/Q762,"")</f>
        <v/>
      </c>
      <c r="S762" s="55" t="str">
        <f>IF(AC762=1,N(G762)*60/Q762,"")</f>
        <v/>
      </c>
      <c r="T762" s="57" t="str">
        <f>IF(AC762=1,O762/M762,"")</f>
        <v/>
      </c>
      <c r="U762" s="57" t="str">
        <f>IF(AC762=1,IF(O762&gt;0,R762/O762,""),"")</f>
        <v/>
      </c>
      <c r="V762" s="57" t="str">
        <f>IF(AC762=1,IF(P762&gt;0,N(G762)/P762,""),"")</f>
        <v/>
      </c>
      <c r="W762" s="57" t="str">
        <f>IF(AC762=1,S762/M762,"")</f>
        <v/>
      </c>
      <c r="X762" s="57" t="str">
        <f>IF(AC762=1,S762/K762,"")</f>
        <v/>
      </c>
      <c r="Y762" s="58" t="str">
        <f>IF(W762="","",IF(W762&gt;=p_target,"Bon",IF(W762&gt;=p_alert,"À surveiller","Faible")))</f>
        <v/>
      </c>
      <c r="Z762" s="58" t="str">
        <f>IF(W762="","",IF(MIN(IF(T762="",1,T762),IF(U762="",1,U762),IF(V762="",1,V762))&gt;=1,"Aucune",IF(IF(T762="",1,T762)&lt;=MIN(IF(U762="",1,U762),IF(V762="",1,V762)),"Disponibilité",IF(IF(U762="",1,U762)&lt;=IF(V762="",1,V762),"Performance","Qualité"))))</f>
        <v/>
      </c>
      <c r="AA762" s="59" t="str">
        <f>IF(AC762=1,N(H762)*N(IFERROR(INDEX(art_cost,MATCH(E762,art_ref,0)),0)),"")</f>
        <v/>
      </c>
      <c r="AB762" s="58" t="str">
        <f>IF(COUNTA(A762:I762)=0,"",IF(N(A762)&lt;=0,"Date manquante ou invalide",IF(B762="","Équipe manquante",IF(ISNA(MATCH(B762,eq_code,0)),"Équipe inconnue",IF(INDEX(eq_check,MATCH(B762,eq_code,0))&lt;&gt;"OK","Équipe à corriger dans Paramètres",IF(C762="","Poste manquant",IF(ISNA(MATCH(C762,po_code,0)),"Poste inconnu",IF(AND(E762&lt;&gt;"",ISNA(MATCH(E762,art_ref,0))),"Article inconnu",IF(IF(E762="",FALSE,INDEX(art_check,MATCH(E762,art_ref,0))&lt;&gt;"OK"),"Article à corriger (feuille Articles)",IF(COUNTIFS(sj_date,A762,sj_eq,B762,sj_po,C762)&gt;1,"Ligne en double (même jour, équipe et poste)",IF(OR(NOT(ISNUMBER(K762)),N(K762)&lt;=0,N(K762)&gt;1440),"Temps d'ouverture invalide",IF(OR(AND(G762&lt;&gt;"",NOT(ISNUMBER(G762))),N(G762)&lt;0,N(G762)&lt;&gt;INT(N(G762)),AND(H762&lt;&gt;"",NOT(ISNUMBER(H762))),N(H762)&lt;0,N(H762)&lt;&gt;INT(N(H762)),AND(I762&lt;&gt;"",NOT(ISNUMBER(I762))),N(I762)&lt;0,N(I762)&lt;&gt;INT(N(I762))),"Quantité invalide",IF(Q762&lt;=0,"Cadence manquante (poste ou article)",IF(M762&lt;=0,"Arrêts planifiés supérieurs au temps d'ouverture",IF(O762&lt;0,"Arrêts supérieurs au temps requis",IF(AND(P762&gt;0,O762=0),"Pièces déclarées sans temps de marche",IF(AND(P762=0,O762&gt;0),"Aucune pièce déclarée",IF(P762*60/Q762&gt;O762+0.001,"Cadence dépassée : vérifiez la cadence","OK"))))))))))))))))))</f>
        <v/>
      </c>
      <c r="AC762">
        <f>IF(OR(AB762="OK",AB762="Aucune pièce déclarée",AB762="Cadence dépassée : vérifiez la cadence"),1,0)</f>
        <v>0.0</v>
      </c>
      <c r="AD762">
        <f>IF(AND(AC762=1,A762&gt;=p_from,A762&lt;=p_to),1,0)</f>
        <v>0.0</v>
      </c>
      <c r="AE762">
        <f>IF(AD762=1,IF(COUNTIFS($A$6:A762,A762,$AD$6:AD762,1)=1,1,0),0)</f>
        <v>0.0</v>
      </c>
      <c r="AF762" t="str">
        <f>IF(AE762=1,COUNTIFS(sj_first,1,sj_date,"&lt;"&amp;A762)+1,"")</f>
        <v/>
      </c>
      <c r="AG762" t="str">
        <f>IF(AND(AD762=1,N(W762)&lt;p_alert),ROUND(W762,4),"")</f>
        <v/>
      </c>
      <c r="AH762" t="str">
        <f>IF(AG762="","",COUNTIF(sj_akey,"&lt;"&amp;AG762)+COUNTIF($AG$6:AG762,AG762))</f>
        <v/>
      </c>
    </row>
    <row r="763">
      <c r="A763" s="51" t="n"/>
      <c r="B763" s="52" t="n"/>
      <c r="C763" s="52" t="n"/>
      <c r="D763" s="53" t="n"/>
      <c r="E763" s="53" t="n"/>
      <c r="F763" s="54" t="n"/>
      <c r="G763" s="54" t="n"/>
      <c r="H763" s="54" t="n"/>
      <c r="I763" s="54" t="n"/>
      <c r="J763" s="53" t="n"/>
      <c r="K763" s="55" t="str">
        <f>IF(COUNTA(A763:I763)=0,"",IF(F763="",IFERROR(INDEX(eq_dur,MATCH(B763,eq_code,0)),""),F763))</f>
        <v/>
      </c>
      <c r="L763" s="55" t="str">
        <f>IF(ISNUMBER(K763),N(IFERROR(INDEX(eq_pause,MATCH(B763,eq_code,0)),0))+SUMIFS(st_min,st_date,A763,st_eq,B763,st_po,C763,st_type,"Planifié"),"")</f>
        <v/>
      </c>
      <c r="M763" s="55" t="str">
        <f>IF(ISNUMBER(K763),K763-L763,"")</f>
        <v/>
      </c>
      <c r="N763" s="55" t="str">
        <f>IF(ISNUMBER(K763),SUMIFS(st_min,st_date,A763,st_eq,B763,st_po,C763,st_type,"Non planifié"),"")</f>
        <v/>
      </c>
      <c r="O763" s="55" t="str">
        <f>IF(ISNUMBER(K763),M763-N763,"")</f>
        <v/>
      </c>
      <c r="P763" s="55" t="str">
        <f>IF(COUNTA(A763:I763)=0,"",N(G763)+N(H763)+N(I763))</f>
        <v/>
      </c>
      <c r="Q763" s="56" t="str">
        <f>IF(COUNTA(A763:I763)=0,"",IF(N(IFERROR(INDEX(art_rate,MATCH(E763,art_ref,0)),0))&gt;0,N(IFERROR(INDEX(art_rate,MATCH(E763,art_ref,0)),0)),N(IFERROR(INDEX(po_rate,MATCH(C763,po_code,0)),0))))</f>
        <v/>
      </c>
      <c r="R763" s="55" t="str">
        <f>IF(AC763=1,P763*60/Q763,"")</f>
        <v/>
      </c>
      <c r="S763" s="55" t="str">
        <f>IF(AC763=1,N(G763)*60/Q763,"")</f>
        <v/>
      </c>
      <c r="T763" s="57" t="str">
        <f>IF(AC763=1,O763/M763,"")</f>
        <v/>
      </c>
      <c r="U763" s="57" t="str">
        <f>IF(AC763=1,IF(O763&gt;0,R763/O763,""),"")</f>
        <v/>
      </c>
      <c r="V763" s="57" t="str">
        <f>IF(AC763=1,IF(P763&gt;0,N(G763)/P763,""),"")</f>
        <v/>
      </c>
      <c r="W763" s="57" t="str">
        <f>IF(AC763=1,S763/M763,"")</f>
        <v/>
      </c>
      <c r="X763" s="57" t="str">
        <f>IF(AC763=1,S763/K763,"")</f>
        <v/>
      </c>
      <c r="Y763" s="58" t="str">
        <f>IF(W763="","",IF(W763&gt;=p_target,"Bon",IF(W763&gt;=p_alert,"À surveiller","Faible")))</f>
        <v/>
      </c>
      <c r="Z763" s="58" t="str">
        <f>IF(W763="","",IF(MIN(IF(T763="",1,T763),IF(U763="",1,U763),IF(V763="",1,V763))&gt;=1,"Aucune",IF(IF(T763="",1,T763)&lt;=MIN(IF(U763="",1,U763),IF(V763="",1,V763)),"Disponibilité",IF(IF(U763="",1,U763)&lt;=IF(V763="",1,V763),"Performance","Qualité"))))</f>
        <v/>
      </c>
      <c r="AA763" s="59" t="str">
        <f>IF(AC763=1,N(H763)*N(IFERROR(INDEX(art_cost,MATCH(E763,art_ref,0)),0)),"")</f>
        <v/>
      </c>
      <c r="AB763" s="58" t="str">
        <f>IF(COUNTA(A763:I763)=0,"",IF(N(A763)&lt;=0,"Date manquante ou invalide",IF(B763="","Équipe manquante",IF(ISNA(MATCH(B763,eq_code,0)),"Équipe inconnue",IF(INDEX(eq_check,MATCH(B763,eq_code,0))&lt;&gt;"OK","Équipe à corriger dans Paramètres",IF(C763="","Poste manquant",IF(ISNA(MATCH(C763,po_code,0)),"Poste inconnu",IF(AND(E763&lt;&gt;"",ISNA(MATCH(E763,art_ref,0))),"Article inconnu",IF(IF(E763="",FALSE,INDEX(art_check,MATCH(E763,art_ref,0))&lt;&gt;"OK"),"Article à corriger (feuille Articles)",IF(COUNTIFS(sj_date,A763,sj_eq,B763,sj_po,C763)&gt;1,"Ligne en double (même jour, équipe et poste)",IF(OR(NOT(ISNUMBER(K763)),N(K763)&lt;=0,N(K763)&gt;1440),"Temps d'ouverture invalide",IF(OR(AND(G763&lt;&gt;"",NOT(ISNUMBER(G763))),N(G763)&lt;0,N(G763)&lt;&gt;INT(N(G763)),AND(H763&lt;&gt;"",NOT(ISNUMBER(H763))),N(H763)&lt;0,N(H763)&lt;&gt;INT(N(H763)),AND(I763&lt;&gt;"",NOT(ISNUMBER(I763))),N(I763)&lt;0,N(I763)&lt;&gt;INT(N(I763))),"Quantité invalide",IF(Q763&lt;=0,"Cadence manquante (poste ou article)",IF(M763&lt;=0,"Arrêts planifiés supérieurs au temps d'ouverture",IF(O763&lt;0,"Arrêts supérieurs au temps requis",IF(AND(P763&gt;0,O763=0),"Pièces déclarées sans temps de marche",IF(AND(P763=0,O763&gt;0),"Aucune pièce déclarée",IF(P763*60/Q763&gt;O763+0.001,"Cadence dépassée : vérifiez la cadence","OK"))))))))))))))))))</f>
        <v/>
      </c>
      <c r="AC763">
        <f>IF(OR(AB763="OK",AB763="Aucune pièce déclarée",AB763="Cadence dépassée : vérifiez la cadence"),1,0)</f>
        <v>0.0</v>
      </c>
      <c r="AD763">
        <f>IF(AND(AC763=1,A763&gt;=p_from,A763&lt;=p_to),1,0)</f>
        <v>0.0</v>
      </c>
      <c r="AE763">
        <f>IF(AD763=1,IF(COUNTIFS($A$6:A763,A763,$AD$6:AD763,1)=1,1,0),0)</f>
        <v>0.0</v>
      </c>
      <c r="AF763" t="str">
        <f>IF(AE763=1,COUNTIFS(sj_first,1,sj_date,"&lt;"&amp;A763)+1,"")</f>
        <v/>
      </c>
      <c r="AG763" t="str">
        <f>IF(AND(AD763=1,N(W763)&lt;p_alert),ROUND(W763,4),"")</f>
        <v/>
      </c>
      <c r="AH763" t="str">
        <f>IF(AG763="","",COUNTIF(sj_akey,"&lt;"&amp;AG763)+COUNTIF($AG$6:AG763,AG763))</f>
        <v/>
      </c>
    </row>
    <row r="764">
      <c r="A764" s="51" t="n"/>
      <c r="B764" s="52" t="n"/>
      <c r="C764" s="52" t="n"/>
      <c r="D764" s="53" t="n"/>
      <c r="E764" s="53" t="n"/>
      <c r="F764" s="54" t="n"/>
      <c r="G764" s="54" t="n"/>
      <c r="H764" s="54" t="n"/>
      <c r="I764" s="54" t="n"/>
      <c r="J764" s="53" t="n"/>
      <c r="K764" s="55" t="str">
        <f>IF(COUNTA(A764:I764)=0,"",IF(F764="",IFERROR(INDEX(eq_dur,MATCH(B764,eq_code,0)),""),F764))</f>
        <v/>
      </c>
      <c r="L764" s="55" t="str">
        <f>IF(ISNUMBER(K764),N(IFERROR(INDEX(eq_pause,MATCH(B764,eq_code,0)),0))+SUMIFS(st_min,st_date,A764,st_eq,B764,st_po,C764,st_type,"Planifié"),"")</f>
        <v/>
      </c>
      <c r="M764" s="55" t="str">
        <f>IF(ISNUMBER(K764),K764-L764,"")</f>
        <v/>
      </c>
      <c r="N764" s="55" t="str">
        <f>IF(ISNUMBER(K764),SUMIFS(st_min,st_date,A764,st_eq,B764,st_po,C764,st_type,"Non planifié"),"")</f>
        <v/>
      </c>
      <c r="O764" s="55" t="str">
        <f>IF(ISNUMBER(K764),M764-N764,"")</f>
        <v/>
      </c>
      <c r="P764" s="55" t="str">
        <f>IF(COUNTA(A764:I764)=0,"",N(G764)+N(H764)+N(I764))</f>
        <v/>
      </c>
      <c r="Q764" s="56" t="str">
        <f>IF(COUNTA(A764:I764)=0,"",IF(N(IFERROR(INDEX(art_rate,MATCH(E764,art_ref,0)),0))&gt;0,N(IFERROR(INDEX(art_rate,MATCH(E764,art_ref,0)),0)),N(IFERROR(INDEX(po_rate,MATCH(C764,po_code,0)),0))))</f>
        <v/>
      </c>
      <c r="R764" s="55" t="str">
        <f>IF(AC764=1,P764*60/Q764,"")</f>
        <v/>
      </c>
      <c r="S764" s="55" t="str">
        <f>IF(AC764=1,N(G764)*60/Q764,"")</f>
        <v/>
      </c>
      <c r="T764" s="57" t="str">
        <f>IF(AC764=1,O764/M764,"")</f>
        <v/>
      </c>
      <c r="U764" s="57" t="str">
        <f>IF(AC764=1,IF(O764&gt;0,R764/O764,""),"")</f>
        <v/>
      </c>
      <c r="V764" s="57" t="str">
        <f>IF(AC764=1,IF(P764&gt;0,N(G764)/P764,""),"")</f>
        <v/>
      </c>
      <c r="W764" s="57" t="str">
        <f>IF(AC764=1,S764/M764,"")</f>
        <v/>
      </c>
      <c r="X764" s="57" t="str">
        <f>IF(AC764=1,S764/K764,"")</f>
        <v/>
      </c>
      <c r="Y764" s="58" t="str">
        <f>IF(W764="","",IF(W764&gt;=p_target,"Bon",IF(W764&gt;=p_alert,"À surveiller","Faible")))</f>
        <v/>
      </c>
      <c r="Z764" s="58" t="str">
        <f>IF(W764="","",IF(MIN(IF(T764="",1,T764),IF(U764="",1,U764),IF(V764="",1,V764))&gt;=1,"Aucune",IF(IF(T764="",1,T764)&lt;=MIN(IF(U764="",1,U764),IF(V764="",1,V764)),"Disponibilité",IF(IF(U764="",1,U764)&lt;=IF(V764="",1,V764),"Performance","Qualité"))))</f>
        <v/>
      </c>
      <c r="AA764" s="59" t="str">
        <f>IF(AC764=1,N(H764)*N(IFERROR(INDEX(art_cost,MATCH(E764,art_ref,0)),0)),"")</f>
        <v/>
      </c>
      <c r="AB764" s="58" t="str">
        <f>IF(COUNTA(A764:I764)=0,"",IF(N(A764)&lt;=0,"Date manquante ou invalide",IF(B764="","Équipe manquante",IF(ISNA(MATCH(B764,eq_code,0)),"Équipe inconnue",IF(INDEX(eq_check,MATCH(B764,eq_code,0))&lt;&gt;"OK","Équipe à corriger dans Paramètres",IF(C764="","Poste manquant",IF(ISNA(MATCH(C764,po_code,0)),"Poste inconnu",IF(AND(E764&lt;&gt;"",ISNA(MATCH(E764,art_ref,0))),"Article inconnu",IF(IF(E764="",FALSE,INDEX(art_check,MATCH(E764,art_ref,0))&lt;&gt;"OK"),"Article à corriger (feuille Articles)",IF(COUNTIFS(sj_date,A764,sj_eq,B764,sj_po,C764)&gt;1,"Ligne en double (même jour, équipe et poste)",IF(OR(NOT(ISNUMBER(K764)),N(K764)&lt;=0,N(K764)&gt;1440),"Temps d'ouverture invalide",IF(OR(AND(G764&lt;&gt;"",NOT(ISNUMBER(G764))),N(G764)&lt;0,N(G764)&lt;&gt;INT(N(G764)),AND(H764&lt;&gt;"",NOT(ISNUMBER(H764))),N(H764)&lt;0,N(H764)&lt;&gt;INT(N(H764)),AND(I764&lt;&gt;"",NOT(ISNUMBER(I764))),N(I764)&lt;0,N(I764)&lt;&gt;INT(N(I764))),"Quantité invalide",IF(Q764&lt;=0,"Cadence manquante (poste ou article)",IF(M764&lt;=0,"Arrêts planifiés supérieurs au temps d'ouverture",IF(O764&lt;0,"Arrêts supérieurs au temps requis",IF(AND(P764&gt;0,O764=0),"Pièces déclarées sans temps de marche",IF(AND(P764=0,O764&gt;0),"Aucune pièce déclarée",IF(P764*60/Q764&gt;O764+0.001,"Cadence dépassée : vérifiez la cadence","OK"))))))))))))))))))</f>
        <v/>
      </c>
      <c r="AC764">
        <f>IF(OR(AB764="OK",AB764="Aucune pièce déclarée",AB764="Cadence dépassée : vérifiez la cadence"),1,0)</f>
        <v>0.0</v>
      </c>
      <c r="AD764">
        <f>IF(AND(AC764=1,A764&gt;=p_from,A764&lt;=p_to),1,0)</f>
        <v>0.0</v>
      </c>
      <c r="AE764">
        <f>IF(AD764=1,IF(COUNTIFS($A$6:A764,A764,$AD$6:AD764,1)=1,1,0),0)</f>
        <v>0.0</v>
      </c>
      <c r="AF764" t="str">
        <f>IF(AE764=1,COUNTIFS(sj_first,1,sj_date,"&lt;"&amp;A764)+1,"")</f>
        <v/>
      </c>
      <c r="AG764" t="str">
        <f>IF(AND(AD764=1,N(W764)&lt;p_alert),ROUND(W764,4),"")</f>
        <v/>
      </c>
      <c r="AH764" t="str">
        <f>IF(AG764="","",COUNTIF(sj_akey,"&lt;"&amp;AG764)+COUNTIF($AG$6:AG764,AG764))</f>
        <v/>
      </c>
    </row>
    <row r="765">
      <c r="A765" s="51" t="n"/>
      <c r="B765" s="52" t="n"/>
      <c r="C765" s="52" t="n"/>
      <c r="D765" s="53" t="n"/>
      <c r="E765" s="53" t="n"/>
      <c r="F765" s="54" t="n"/>
      <c r="G765" s="54" t="n"/>
      <c r="H765" s="54" t="n"/>
      <c r="I765" s="54" t="n"/>
      <c r="J765" s="53" t="n"/>
      <c r="K765" s="55" t="str">
        <f>IF(COUNTA(A765:I765)=0,"",IF(F765="",IFERROR(INDEX(eq_dur,MATCH(B765,eq_code,0)),""),F765))</f>
        <v/>
      </c>
      <c r="L765" s="55" t="str">
        <f>IF(ISNUMBER(K765),N(IFERROR(INDEX(eq_pause,MATCH(B765,eq_code,0)),0))+SUMIFS(st_min,st_date,A765,st_eq,B765,st_po,C765,st_type,"Planifié"),"")</f>
        <v/>
      </c>
      <c r="M765" s="55" t="str">
        <f>IF(ISNUMBER(K765),K765-L765,"")</f>
        <v/>
      </c>
      <c r="N765" s="55" t="str">
        <f>IF(ISNUMBER(K765),SUMIFS(st_min,st_date,A765,st_eq,B765,st_po,C765,st_type,"Non planifié"),"")</f>
        <v/>
      </c>
      <c r="O765" s="55" t="str">
        <f>IF(ISNUMBER(K765),M765-N765,"")</f>
        <v/>
      </c>
      <c r="P765" s="55" t="str">
        <f>IF(COUNTA(A765:I765)=0,"",N(G765)+N(H765)+N(I765))</f>
        <v/>
      </c>
      <c r="Q765" s="56" t="str">
        <f>IF(COUNTA(A765:I765)=0,"",IF(N(IFERROR(INDEX(art_rate,MATCH(E765,art_ref,0)),0))&gt;0,N(IFERROR(INDEX(art_rate,MATCH(E765,art_ref,0)),0)),N(IFERROR(INDEX(po_rate,MATCH(C765,po_code,0)),0))))</f>
        <v/>
      </c>
      <c r="R765" s="55" t="str">
        <f>IF(AC765=1,P765*60/Q765,"")</f>
        <v/>
      </c>
      <c r="S765" s="55" t="str">
        <f>IF(AC765=1,N(G765)*60/Q765,"")</f>
        <v/>
      </c>
      <c r="T765" s="57" t="str">
        <f>IF(AC765=1,O765/M765,"")</f>
        <v/>
      </c>
      <c r="U765" s="57" t="str">
        <f>IF(AC765=1,IF(O765&gt;0,R765/O765,""),"")</f>
        <v/>
      </c>
      <c r="V765" s="57" t="str">
        <f>IF(AC765=1,IF(P765&gt;0,N(G765)/P765,""),"")</f>
        <v/>
      </c>
      <c r="W765" s="57" t="str">
        <f>IF(AC765=1,S765/M765,"")</f>
        <v/>
      </c>
      <c r="X765" s="57" t="str">
        <f>IF(AC765=1,S765/K765,"")</f>
        <v/>
      </c>
      <c r="Y765" s="58" t="str">
        <f>IF(W765="","",IF(W765&gt;=p_target,"Bon",IF(W765&gt;=p_alert,"À surveiller","Faible")))</f>
        <v/>
      </c>
      <c r="Z765" s="58" t="str">
        <f>IF(W765="","",IF(MIN(IF(T765="",1,T765),IF(U765="",1,U765),IF(V765="",1,V765))&gt;=1,"Aucune",IF(IF(T765="",1,T765)&lt;=MIN(IF(U765="",1,U765),IF(V765="",1,V765)),"Disponibilité",IF(IF(U765="",1,U765)&lt;=IF(V765="",1,V765),"Performance","Qualité"))))</f>
        <v/>
      </c>
      <c r="AA765" s="59" t="str">
        <f>IF(AC765=1,N(H765)*N(IFERROR(INDEX(art_cost,MATCH(E765,art_ref,0)),0)),"")</f>
        <v/>
      </c>
      <c r="AB765" s="58" t="str">
        <f>IF(COUNTA(A765:I765)=0,"",IF(N(A765)&lt;=0,"Date manquante ou invalide",IF(B765="","Équipe manquante",IF(ISNA(MATCH(B765,eq_code,0)),"Équipe inconnue",IF(INDEX(eq_check,MATCH(B765,eq_code,0))&lt;&gt;"OK","Équipe à corriger dans Paramètres",IF(C765="","Poste manquant",IF(ISNA(MATCH(C765,po_code,0)),"Poste inconnu",IF(AND(E765&lt;&gt;"",ISNA(MATCH(E765,art_ref,0))),"Article inconnu",IF(IF(E765="",FALSE,INDEX(art_check,MATCH(E765,art_ref,0))&lt;&gt;"OK"),"Article à corriger (feuille Articles)",IF(COUNTIFS(sj_date,A765,sj_eq,B765,sj_po,C765)&gt;1,"Ligne en double (même jour, équipe et poste)",IF(OR(NOT(ISNUMBER(K765)),N(K765)&lt;=0,N(K765)&gt;1440),"Temps d'ouverture invalide",IF(OR(AND(G765&lt;&gt;"",NOT(ISNUMBER(G765))),N(G765)&lt;0,N(G765)&lt;&gt;INT(N(G765)),AND(H765&lt;&gt;"",NOT(ISNUMBER(H765))),N(H765)&lt;0,N(H765)&lt;&gt;INT(N(H765)),AND(I765&lt;&gt;"",NOT(ISNUMBER(I765))),N(I765)&lt;0,N(I765)&lt;&gt;INT(N(I765))),"Quantité invalide",IF(Q765&lt;=0,"Cadence manquante (poste ou article)",IF(M765&lt;=0,"Arrêts planifiés supérieurs au temps d'ouverture",IF(O765&lt;0,"Arrêts supérieurs au temps requis",IF(AND(P765&gt;0,O765=0),"Pièces déclarées sans temps de marche",IF(AND(P765=0,O765&gt;0),"Aucune pièce déclarée",IF(P765*60/Q765&gt;O765+0.001,"Cadence dépassée : vérifiez la cadence","OK"))))))))))))))))))</f>
        <v/>
      </c>
      <c r="AC765">
        <f>IF(OR(AB765="OK",AB765="Aucune pièce déclarée",AB765="Cadence dépassée : vérifiez la cadence"),1,0)</f>
        <v>0.0</v>
      </c>
      <c r="AD765">
        <f>IF(AND(AC765=1,A765&gt;=p_from,A765&lt;=p_to),1,0)</f>
        <v>0.0</v>
      </c>
      <c r="AE765">
        <f>IF(AD765=1,IF(COUNTIFS($A$6:A765,A765,$AD$6:AD765,1)=1,1,0),0)</f>
        <v>0.0</v>
      </c>
      <c r="AF765" t="str">
        <f>IF(AE765=1,COUNTIFS(sj_first,1,sj_date,"&lt;"&amp;A765)+1,"")</f>
        <v/>
      </c>
      <c r="AG765" t="str">
        <f>IF(AND(AD765=1,N(W765)&lt;p_alert),ROUND(W765,4),"")</f>
        <v/>
      </c>
      <c r="AH765" t="str">
        <f>IF(AG765="","",COUNTIF(sj_akey,"&lt;"&amp;AG765)+COUNTIF($AG$6:AG765,AG765))</f>
        <v/>
      </c>
    </row>
    <row r="766">
      <c r="A766" s="51" t="n"/>
      <c r="B766" s="52" t="n"/>
      <c r="C766" s="52" t="n"/>
      <c r="D766" s="53" t="n"/>
      <c r="E766" s="53" t="n"/>
      <c r="F766" s="54" t="n"/>
      <c r="G766" s="54" t="n"/>
      <c r="H766" s="54" t="n"/>
      <c r="I766" s="54" t="n"/>
      <c r="J766" s="53" t="n"/>
      <c r="K766" s="55" t="str">
        <f>IF(COUNTA(A766:I766)=0,"",IF(F766="",IFERROR(INDEX(eq_dur,MATCH(B766,eq_code,0)),""),F766))</f>
        <v/>
      </c>
      <c r="L766" s="55" t="str">
        <f>IF(ISNUMBER(K766),N(IFERROR(INDEX(eq_pause,MATCH(B766,eq_code,0)),0))+SUMIFS(st_min,st_date,A766,st_eq,B766,st_po,C766,st_type,"Planifié"),"")</f>
        <v/>
      </c>
      <c r="M766" s="55" t="str">
        <f>IF(ISNUMBER(K766),K766-L766,"")</f>
        <v/>
      </c>
      <c r="N766" s="55" t="str">
        <f>IF(ISNUMBER(K766),SUMIFS(st_min,st_date,A766,st_eq,B766,st_po,C766,st_type,"Non planifié"),"")</f>
        <v/>
      </c>
      <c r="O766" s="55" t="str">
        <f>IF(ISNUMBER(K766),M766-N766,"")</f>
        <v/>
      </c>
      <c r="P766" s="55" t="str">
        <f>IF(COUNTA(A766:I766)=0,"",N(G766)+N(H766)+N(I766))</f>
        <v/>
      </c>
      <c r="Q766" s="56" t="str">
        <f>IF(COUNTA(A766:I766)=0,"",IF(N(IFERROR(INDEX(art_rate,MATCH(E766,art_ref,0)),0))&gt;0,N(IFERROR(INDEX(art_rate,MATCH(E766,art_ref,0)),0)),N(IFERROR(INDEX(po_rate,MATCH(C766,po_code,0)),0))))</f>
        <v/>
      </c>
      <c r="R766" s="55" t="str">
        <f>IF(AC766=1,P766*60/Q766,"")</f>
        <v/>
      </c>
      <c r="S766" s="55" t="str">
        <f>IF(AC766=1,N(G766)*60/Q766,"")</f>
        <v/>
      </c>
      <c r="T766" s="57" t="str">
        <f>IF(AC766=1,O766/M766,"")</f>
        <v/>
      </c>
      <c r="U766" s="57" t="str">
        <f>IF(AC766=1,IF(O766&gt;0,R766/O766,""),"")</f>
        <v/>
      </c>
      <c r="V766" s="57" t="str">
        <f>IF(AC766=1,IF(P766&gt;0,N(G766)/P766,""),"")</f>
        <v/>
      </c>
      <c r="W766" s="57" t="str">
        <f>IF(AC766=1,S766/M766,"")</f>
        <v/>
      </c>
      <c r="X766" s="57" t="str">
        <f>IF(AC766=1,S766/K766,"")</f>
        <v/>
      </c>
      <c r="Y766" s="58" t="str">
        <f>IF(W766="","",IF(W766&gt;=p_target,"Bon",IF(W766&gt;=p_alert,"À surveiller","Faible")))</f>
        <v/>
      </c>
      <c r="Z766" s="58" t="str">
        <f>IF(W766="","",IF(MIN(IF(T766="",1,T766),IF(U766="",1,U766),IF(V766="",1,V766))&gt;=1,"Aucune",IF(IF(T766="",1,T766)&lt;=MIN(IF(U766="",1,U766),IF(V766="",1,V766)),"Disponibilité",IF(IF(U766="",1,U766)&lt;=IF(V766="",1,V766),"Performance","Qualité"))))</f>
        <v/>
      </c>
      <c r="AA766" s="59" t="str">
        <f>IF(AC766=1,N(H766)*N(IFERROR(INDEX(art_cost,MATCH(E766,art_ref,0)),0)),"")</f>
        <v/>
      </c>
      <c r="AB766" s="58" t="str">
        <f>IF(COUNTA(A766:I766)=0,"",IF(N(A766)&lt;=0,"Date manquante ou invalide",IF(B766="","Équipe manquante",IF(ISNA(MATCH(B766,eq_code,0)),"Équipe inconnue",IF(INDEX(eq_check,MATCH(B766,eq_code,0))&lt;&gt;"OK","Équipe à corriger dans Paramètres",IF(C766="","Poste manquant",IF(ISNA(MATCH(C766,po_code,0)),"Poste inconnu",IF(AND(E766&lt;&gt;"",ISNA(MATCH(E766,art_ref,0))),"Article inconnu",IF(IF(E766="",FALSE,INDEX(art_check,MATCH(E766,art_ref,0))&lt;&gt;"OK"),"Article à corriger (feuille Articles)",IF(COUNTIFS(sj_date,A766,sj_eq,B766,sj_po,C766)&gt;1,"Ligne en double (même jour, équipe et poste)",IF(OR(NOT(ISNUMBER(K766)),N(K766)&lt;=0,N(K766)&gt;1440),"Temps d'ouverture invalide",IF(OR(AND(G766&lt;&gt;"",NOT(ISNUMBER(G766))),N(G766)&lt;0,N(G766)&lt;&gt;INT(N(G766)),AND(H766&lt;&gt;"",NOT(ISNUMBER(H766))),N(H766)&lt;0,N(H766)&lt;&gt;INT(N(H766)),AND(I766&lt;&gt;"",NOT(ISNUMBER(I766))),N(I766)&lt;0,N(I766)&lt;&gt;INT(N(I766))),"Quantité invalide",IF(Q766&lt;=0,"Cadence manquante (poste ou article)",IF(M766&lt;=0,"Arrêts planifiés supérieurs au temps d'ouverture",IF(O766&lt;0,"Arrêts supérieurs au temps requis",IF(AND(P766&gt;0,O766=0),"Pièces déclarées sans temps de marche",IF(AND(P766=0,O766&gt;0),"Aucune pièce déclarée",IF(P766*60/Q766&gt;O766+0.001,"Cadence dépassée : vérifiez la cadence","OK"))))))))))))))))))</f>
        <v/>
      </c>
      <c r="AC766">
        <f>IF(OR(AB766="OK",AB766="Aucune pièce déclarée",AB766="Cadence dépassée : vérifiez la cadence"),1,0)</f>
        <v>0.0</v>
      </c>
      <c r="AD766">
        <f>IF(AND(AC766=1,A766&gt;=p_from,A766&lt;=p_to),1,0)</f>
        <v>0.0</v>
      </c>
      <c r="AE766">
        <f>IF(AD766=1,IF(COUNTIFS($A$6:A766,A766,$AD$6:AD766,1)=1,1,0),0)</f>
        <v>0.0</v>
      </c>
      <c r="AF766" t="str">
        <f>IF(AE766=1,COUNTIFS(sj_first,1,sj_date,"&lt;"&amp;A766)+1,"")</f>
        <v/>
      </c>
      <c r="AG766" t="str">
        <f>IF(AND(AD766=1,N(W766)&lt;p_alert),ROUND(W766,4),"")</f>
        <v/>
      </c>
      <c r="AH766" t="str">
        <f>IF(AG766="","",COUNTIF(sj_akey,"&lt;"&amp;AG766)+COUNTIF($AG$6:AG766,AG766))</f>
        <v/>
      </c>
    </row>
    <row r="767">
      <c r="A767" s="51" t="n"/>
      <c r="B767" s="52" t="n"/>
      <c r="C767" s="52" t="n"/>
      <c r="D767" s="53" t="n"/>
      <c r="E767" s="53" t="n"/>
      <c r="F767" s="54" t="n"/>
      <c r="G767" s="54" t="n"/>
      <c r="H767" s="54" t="n"/>
      <c r="I767" s="54" t="n"/>
      <c r="J767" s="53" t="n"/>
      <c r="K767" s="55" t="str">
        <f>IF(COUNTA(A767:I767)=0,"",IF(F767="",IFERROR(INDEX(eq_dur,MATCH(B767,eq_code,0)),""),F767))</f>
        <v/>
      </c>
      <c r="L767" s="55" t="str">
        <f>IF(ISNUMBER(K767),N(IFERROR(INDEX(eq_pause,MATCH(B767,eq_code,0)),0))+SUMIFS(st_min,st_date,A767,st_eq,B767,st_po,C767,st_type,"Planifié"),"")</f>
        <v/>
      </c>
      <c r="M767" s="55" t="str">
        <f>IF(ISNUMBER(K767),K767-L767,"")</f>
        <v/>
      </c>
      <c r="N767" s="55" t="str">
        <f>IF(ISNUMBER(K767),SUMIFS(st_min,st_date,A767,st_eq,B767,st_po,C767,st_type,"Non planifié"),"")</f>
        <v/>
      </c>
      <c r="O767" s="55" t="str">
        <f>IF(ISNUMBER(K767),M767-N767,"")</f>
        <v/>
      </c>
      <c r="P767" s="55" t="str">
        <f>IF(COUNTA(A767:I767)=0,"",N(G767)+N(H767)+N(I767))</f>
        <v/>
      </c>
      <c r="Q767" s="56" t="str">
        <f>IF(COUNTA(A767:I767)=0,"",IF(N(IFERROR(INDEX(art_rate,MATCH(E767,art_ref,0)),0))&gt;0,N(IFERROR(INDEX(art_rate,MATCH(E767,art_ref,0)),0)),N(IFERROR(INDEX(po_rate,MATCH(C767,po_code,0)),0))))</f>
        <v/>
      </c>
      <c r="R767" s="55" t="str">
        <f>IF(AC767=1,P767*60/Q767,"")</f>
        <v/>
      </c>
      <c r="S767" s="55" t="str">
        <f>IF(AC767=1,N(G767)*60/Q767,"")</f>
        <v/>
      </c>
      <c r="T767" s="57" t="str">
        <f>IF(AC767=1,O767/M767,"")</f>
        <v/>
      </c>
      <c r="U767" s="57" t="str">
        <f>IF(AC767=1,IF(O767&gt;0,R767/O767,""),"")</f>
        <v/>
      </c>
      <c r="V767" s="57" t="str">
        <f>IF(AC767=1,IF(P767&gt;0,N(G767)/P767,""),"")</f>
        <v/>
      </c>
      <c r="W767" s="57" t="str">
        <f>IF(AC767=1,S767/M767,"")</f>
        <v/>
      </c>
      <c r="X767" s="57" t="str">
        <f>IF(AC767=1,S767/K767,"")</f>
        <v/>
      </c>
      <c r="Y767" s="58" t="str">
        <f>IF(W767="","",IF(W767&gt;=p_target,"Bon",IF(W767&gt;=p_alert,"À surveiller","Faible")))</f>
        <v/>
      </c>
      <c r="Z767" s="58" t="str">
        <f>IF(W767="","",IF(MIN(IF(T767="",1,T767),IF(U767="",1,U767),IF(V767="",1,V767))&gt;=1,"Aucune",IF(IF(T767="",1,T767)&lt;=MIN(IF(U767="",1,U767),IF(V767="",1,V767)),"Disponibilité",IF(IF(U767="",1,U767)&lt;=IF(V767="",1,V767),"Performance","Qualité"))))</f>
        <v/>
      </c>
      <c r="AA767" s="59" t="str">
        <f>IF(AC767=1,N(H767)*N(IFERROR(INDEX(art_cost,MATCH(E767,art_ref,0)),0)),"")</f>
        <v/>
      </c>
      <c r="AB767" s="58" t="str">
        <f>IF(COUNTA(A767:I767)=0,"",IF(N(A767)&lt;=0,"Date manquante ou invalide",IF(B767="","Équipe manquante",IF(ISNA(MATCH(B767,eq_code,0)),"Équipe inconnue",IF(INDEX(eq_check,MATCH(B767,eq_code,0))&lt;&gt;"OK","Équipe à corriger dans Paramètres",IF(C767="","Poste manquant",IF(ISNA(MATCH(C767,po_code,0)),"Poste inconnu",IF(AND(E767&lt;&gt;"",ISNA(MATCH(E767,art_ref,0))),"Article inconnu",IF(IF(E767="",FALSE,INDEX(art_check,MATCH(E767,art_ref,0))&lt;&gt;"OK"),"Article à corriger (feuille Articles)",IF(COUNTIFS(sj_date,A767,sj_eq,B767,sj_po,C767)&gt;1,"Ligne en double (même jour, équipe et poste)",IF(OR(NOT(ISNUMBER(K767)),N(K767)&lt;=0,N(K767)&gt;1440),"Temps d'ouverture invalide",IF(OR(AND(G767&lt;&gt;"",NOT(ISNUMBER(G767))),N(G767)&lt;0,N(G767)&lt;&gt;INT(N(G767)),AND(H767&lt;&gt;"",NOT(ISNUMBER(H767))),N(H767)&lt;0,N(H767)&lt;&gt;INT(N(H767)),AND(I767&lt;&gt;"",NOT(ISNUMBER(I767))),N(I767)&lt;0,N(I767)&lt;&gt;INT(N(I767))),"Quantité invalide",IF(Q767&lt;=0,"Cadence manquante (poste ou article)",IF(M767&lt;=0,"Arrêts planifiés supérieurs au temps d'ouverture",IF(O767&lt;0,"Arrêts supérieurs au temps requis",IF(AND(P767&gt;0,O767=0),"Pièces déclarées sans temps de marche",IF(AND(P767=0,O767&gt;0),"Aucune pièce déclarée",IF(P767*60/Q767&gt;O767+0.001,"Cadence dépassée : vérifiez la cadence","OK"))))))))))))))))))</f>
        <v/>
      </c>
      <c r="AC767">
        <f>IF(OR(AB767="OK",AB767="Aucune pièce déclarée",AB767="Cadence dépassée : vérifiez la cadence"),1,0)</f>
        <v>0.0</v>
      </c>
      <c r="AD767">
        <f>IF(AND(AC767=1,A767&gt;=p_from,A767&lt;=p_to),1,0)</f>
        <v>0.0</v>
      </c>
      <c r="AE767">
        <f>IF(AD767=1,IF(COUNTIFS($A$6:A767,A767,$AD$6:AD767,1)=1,1,0),0)</f>
        <v>0.0</v>
      </c>
      <c r="AF767" t="str">
        <f>IF(AE767=1,COUNTIFS(sj_first,1,sj_date,"&lt;"&amp;A767)+1,"")</f>
        <v/>
      </c>
      <c r="AG767" t="str">
        <f>IF(AND(AD767=1,N(W767)&lt;p_alert),ROUND(W767,4),"")</f>
        <v/>
      </c>
      <c r="AH767" t="str">
        <f>IF(AG767="","",COUNTIF(sj_akey,"&lt;"&amp;AG767)+COUNTIF($AG$6:AG767,AG767))</f>
        <v/>
      </c>
    </row>
    <row r="768">
      <c r="A768" s="51" t="n"/>
      <c r="B768" s="52" t="n"/>
      <c r="C768" s="52" t="n"/>
      <c r="D768" s="53" t="n"/>
      <c r="E768" s="53" t="n"/>
      <c r="F768" s="54" t="n"/>
      <c r="G768" s="54" t="n"/>
      <c r="H768" s="54" t="n"/>
      <c r="I768" s="54" t="n"/>
      <c r="J768" s="53" t="n"/>
      <c r="K768" s="55" t="str">
        <f>IF(COUNTA(A768:I768)=0,"",IF(F768="",IFERROR(INDEX(eq_dur,MATCH(B768,eq_code,0)),""),F768))</f>
        <v/>
      </c>
      <c r="L768" s="55" t="str">
        <f>IF(ISNUMBER(K768),N(IFERROR(INDEX(eq_pause,MATCH(B768,eq_code,0)),0))+SUMIFS(st_min,st_date,A768,st_eq,B768,st_po,C768,st_type,"Planifié"),"")</f>
        <v/>
      </c>
      <c r="M768" s="55" t="str">
        <f>IF(ISNUMBER(K768),K768-L768,"")</f>
        <v/>
      </c>
      <c r="N768" s="55" t="str">
        <f>IF(ISNUMBER(K768),SUMIFS(st_min,st_date,A768,st_eq,B768,st_po,C768,st_type,"Non planifié"),"")</f>
        <v/>
      </c>
      <c r="O768" s="55" t="str">
        <f>IF(ISNUMBER(K768),M768-N768,"")</f>
        <v/>
      </c>
      <c r="P768" s="55" t="str">
        <f>IF(COUNTA(A768:I768)=0,"",N(G768)+N(H768)+N(I768))</f>
        <v/>
      </c>
      <c r="Q768" s="56" t="str">
        <f>IF(COUNTA(A768:I768)=0,"",IF(N(IFERROR(INDEX(art_rate,MATCH(E768,art_ref,0)),0))&gt;0,N(IFERROR(INDEX(art_rate,MATCH(E768,art_ref,0)),0)),N(IFERROR(INDEX(po_rate,MATCH(C768,po_code,0)),0))))</f>
        <v/>
      </c>
      <c r="R768" s="55" t="str">
        <f>IF(AC768=1,P768*60/Q768,"")</f>
        <v/>
      </c>
      <c r="S768" s="55" t="str">
        <f>IF(AC768=1,N(G768)*60/Q768,"")</f>
        <v/>
      </c>
      <c r="T768" s="57" t="str">
        <f>IF(AC768=1,O768/M768,"")</f>
        <v/>
      </c>
      <c r="U768" s="57" t="str">
        <f>IF(AC768=1,IF(O768&gt;0,R768/O768,""),"")</f>
        <v/>
      </c>
      <c r="V768" s="57" t="str">
        <f>IF(AC768=1,IF(P768&gt;0,N(G768)/P768,""),"")</f>
        <v/>
      </c>
      <c r="W768" s="57" t="str">
        <f>IF(AC768=1,S768/M768,"")</f>
        <v/>
      </c>
      <c r="X768" s="57" t="str">
        <f>IF(AC768=1,S768/K768,"")</f>
        <v/>
      </c>
      <c r="Y768" s="58" t="str">
        <f>IF(W768="","",IF(W768&gt;=p_target,"Bon",IF(W768&gt;=p_alert,"À surveiller","Faible")))</f>
        <v/>
      </c>
      <c r="Z768" s="58" t="str">
        <f>IF(W768="","",IF(MIN(IF(T768="",1,T768),IF(U768="",1,U768),IF(V768="",1,V768))&gt;=1,"Aucune",IF(IF(T768="",1,T768)&lt;=MIN(IF(U768="",1,U768),IF(V768="",1,V768)),"Disponibilité",IF(IF(U768="",1,U768)&lt;=IF(V768="",1,V768),"Performance","Qualité"))))</f>
        <v/>
      </c>
      <c r="AA768" s="59" t="str">
        <f>IF(AC768=1,N(H768)*N(IFERROR(INDEX(art_cost,MATCH(E768,art_ref,0)),0)),"")</f>
        <v/>
      </c>
      <c r="AB768" s="58" t="str">
        <f>IF(COUNTA(A768:I768)=0,"",IF(N(A768)&lt;=0,"Date manquante ou invalide",IF(B768="","Équipe manquante",IF(ISNA(MATCH(B768,eq_code,0)),"Équipe inconnue",IF(INDEX(eq_check,MATCH(B768,eq_code,0))&lt;&gt;"OK","Équipe à corriger dans Paramètres",IF(C768="","Poste manquant",IF(ISNA(MATCH(C768,po_code,0)),"Poste inconnu",IF(AND(E768&lt;&gt;"",ISNA(MATCH(E768,art_ref,0))),"Article inconnu",IF(IF(E768="",FALSE,INDEX(art_check,MATCH(E768,art_ref,0))&lt;&gt;"OK"),"Article à corriger (feuille Articles)",IF(COUNTIFS(sj_date,A768,sj_eq,B768,sj_po,C768)&gt;1,"Ligne en double (même jour, équipe et poste)",IF(OR(NOT(ISNUMBER(K768)),N(K768)&lt;=0,N(K768)&gt;1440),"Temps d'ouverture invalide",IF(OR(AND(G768&lt;&gt;"",NOT(ISNUMBER(G768))),N(G768)&lt;0,N(G768)&lt;&gt;INT(N(G768)),AND(H768&lt;&gt;"",NOT(ISNUMBER(H768))),N(H768)&lt;0,N(H768)&lt;&gt;INT(N(H768)),AND(I768&lt;&gt;"",NOT(ISNUMBER(I768))),N(I768)&lt;0,N(I768)&lt;&gt;INT(N(I768))),"Quantité invalide",IF(Q768&lt;=0,"Cadence manquante (poste ou article)",IF(M768&lt;=0,"Arrêts planifiés supérieurs au temps d'ouverture",IF(O768&lt;0,"Arrêts supérieurs au temps requis",IF(AND(P768&gt;0,O768=0),"Pièces déclarées sans temps de marche",IF(AND(P768=0,O768&gt;0),"Aucune pièce déclarée",IF(P768*60/Q768&gt;O768+0.001,"Cadence dépassée : vérifiez la cadence","OK"))))))))))))))))))</f>
        <v/>
      </c>
      <c r="AC768">
        <f>IF(OR(AB768="OK",AB768="Aucune pièce déclarée",AB768="Cadence dépassée : vérifiez la cadence"),1,0)</f>
        <v>0.0</v>
      </c>
      <c r="AD768">
        <f>IF(AND(AC768=1,A768&gt;=p_from,A768&lt;=p_to),1,0)</f>
        <v>0.0</v>
      </c>
      <c r="AE768">
        <f>IF(AD768=1,IF(COUNTIFS($A$6:A768,A768,$AD$6:AD768,1)=1,1,0),0)</f>
        <v>0.0</v>
      </c>
      <c r="AF768" t="str">
        <f>IF(AE768=1,COUNTIFS(sj_first,1,sj_date,"&lt;"&amp;A768)+1,"")</f>
        <v/>
      </c>
      <c r="AG768" t="str">
        <f>IF(AND(AD768=1,N(W768)&lt;p_alert),ROUND(W768,4),"")</f>
        <v/>
      </c>
      <c r="AH768" t="str">
        <f>IF(AG768="","",COUNTIF(sj_akey,"&lt;"&amp;AG768)+COUNTIF($AG$6:AG768,AG768))</f>
        <v/>
      </c>
    </row>
    <row r="769">
      <c r="A769" s="51" t="n"/>
      <c r="B769" s="52" t="n"/>
      <c r="C769" s="52" t="n"/>
      <c r="D769" s="53" t="n"/>
      <c r="E769" s="53" t="n"/>
      <c r="F769" s="54" t="n"/>
      <c r="G769" s="54" t="n"/>
      <c r="H769" s="54" t="n"/>
      <c r="I769" s="54" t="n"/>
      <c r="J769" s="53" t="n"/>
      <c r="K769" s="55" t="str">
        <f>IF(COUNTA(A769:I769)=0,"",IF(F769="",IFERROR(INDEX(eq_dur,MATCH(B769,eq_code,0)),""),F769))</f>
        <v/>
      </c>
      <c r="L769" s="55" t="str">
        <f>IF(ISNUMBER(K769),N(IFERROR(INDEX(eq_pause,MATCH(B769,eq_code,0)),0))+SUMIFS(st_min,st_date,A769,st_eq,B769,st_po,C769,st_type,"Planifié"),"")</f>
        <v/>
      </c>
      <c r="M769" s="55" t="str">
        <f>IF(ISNUMBER(K769),K769-L769,"")</f>
        <v/>
      </c>
      <c r="N769" s="55" t="str">
        <f>IF(ISNUMBER(K769),SUMIFS(st_min,st_date,A769,st_eq,B769,st_po,C769,st_type,"Non planifié"),"")</f>
        <v/>
      </c>
      <c r="O769" s="55" t="str">
        <f>IF(ISNUMBER(K769),M769-N769,"")</f>
        <v/>
      </c>
      <c r="P769" s="55" t="str">
        <f>IF(COUNTA(A769:I769)=0,"",N(G769)+N(H769)+N(I769))</f>
        <v/>
      </c>
      <c r="Q769" s="56" t="str">
        <f>IF(COUNTA(A769:I769)=0,"",IF(N(IFERROR(INDEX(art_rate,MATCH(E769,art_ref,0)),0))&gt;0,N(IFERROR(INDEX(art_rate,MATCH(E769,art_ref,0)),0)),N(IFERROR(INDEX(po_rate,MATCH(C769,po_code,0)),0))))</f>
        <v/>
      </c>
      <c r="R769" s="55" t="str">
        <f>IF(AC769=1,P769*60/Q769,"")</f>
        <v/>
      </c>
      <c r="S769" s="55" t="str">
        <f>IF(AC769=1,N(G769)*60/Q769,"")</f>
        <v/>
      </c>
      <c r="T769" s="57" t="str">
        <f>IF(AC769=1,O769/M769,"")</f>
        <v/>
      </c>
      <c r="U769" s="57" t="str">
        <f>IF(AC769=1,IF(O769&gt;0,R769/O769,""),"")</f>
        <v/>
      </c>
      <c r="V769" s="57" t="str">
        <f>IF(AC769=1,IF(P769&gt;0,N(G769)/P769,""),"")</f>
        <v/>
      </c>
      <c r="W769" s="57" t="str">
        <f>IF(AC769=1,S769/M769,"")</f>
        <v/>
      </c>
      <c r="X769" s="57" t="str">
        <f>IF(AC769=1,S769/K769,"")</f>
        <v/>
      </c>
      <c r="Y769" s="58" t="str">
        <f>IF(W769="","",IF(W769&gt;=p_target,"Bon",IF(W769&gt;=p_alert,"À surveiller","Faible")))</f>
        <v/>
      </c>
      <c r="Z769" s="58" t="str">
        <f>IF(W769="","",IF(MIN(IF(T769="",1,T769),IF(U769="",1,U769),IF(V769="",1,V769))&gt;=1,"Aucune",IF(IF(T769="",1,T769)&lt;=MIN(IF(U769="",1,U769),IF(V769="",1,V769)),"Disponibilité",IF(IF(U769="",1,U769)&lt;=IF(V769="",1,V769),"Performance","Qualité"))))</f>
        <v/>
      </c>
      <c r="AA769" s="59" t="str">
        <f>IF(AC769=1,N(H769)*N(IFERROR(INDEX(art_cost,MATCH(E769,art_ref,0)),0)),"")</f>
        <v/>
      </c>
      <c r="AB769" s="58" t="str">
        <f>IF(COUNTA(A769:I769)=0,"",IF(N(A769)&lt;=0,"Date manquante ou invalide",IF(B769="","Équipe manquante",IF(ISNA(MATCH(B769,eq_code,0)),"Équipe inconnue",IF(INDEX(eq_check,MATCH(B769,eq_code,0))&lt;&gt;"OK","Équipe à corriger dans Paramètres",IF(C769="","Poste manquant",IF(ISNA(MATCH(C769,po_code,0)),"Poste inconnu",IF(AND(E769&lt;&gt;"",ISNA(MATCH(E769,art_ref,0))),"Article inconnu",IF(IF(E769="",FALSE,INDEX(art_check,MATCH(E769,art_ref,0))&lt;&gt;"OK"),"Article à corriger (feuille Articles)",IF(COUNTIFS(sj_date,A769,sj_eq,B769,sj_po,C769)&gt;1,"Ligne en double (même jour, équipe et poste)",IF(OR(NOT(ISNUMBER(K769)),N(K769)&lt;=0,N(K769)&gt;1440),"Temps d'ouverture invalide",IF(OR(AND(G769&lt;&gt;"",NOT(ISNUMBER(G769))),N(G769)&lt;0,N(G769)&lt;&gt;INT(N(G769)),AND(H769&lt;&gt;"",NOT(ISNUMBER(H769))),N(H769)&lt;0,N(H769)&lt;&gt;INT(N(H769)),AND(I769&lt;&gt;"",NOT(ISNUMBER(I769))),N(I769)&lt;0,N(I769)&lt;&gt;INT(N(I769))),"Quantité invalide",IF(Q769&lt;=0,"Cadence manquante (poste ou article)",IF(M769&lt;=0,"Arrêts planifiés supérieurs au temps d'ouverture",IF(O769&lt;0,"Arrêts supérieurs au temps requis",IF(AND(P769&gt;0,O769=0),"Pièces déclarées sans temps de marche",IF(AND(P769=0,O769&gt;0),"Aucune pièce déclarée",IF(P769*60/Q769&gt;O769+0.001,"Cadence dépassée : vérifiez la cadence","OK"))))))))))))))))))</f>
        <v/>
      </c>
      <c r="AC769">
        <f>IF(OR(AB769="OK",AB769="Aucune pièce déclarée",AB769="Cadence dépassée : vérifiez la cadence"),1,0)</f>
        <v>0.0</v>
      </c>
      <c r="AD769">
        <f>IF(AND(AC769=1,A769&gt;=p_from,A769&lt;=p_to),1,0)</f>
        <v>0.0</v>
      </c>
      <c r="AE769">
        <f>IF(AD769=1,IF(COUNTIFS($A$6:A769,A769,$AD$6:AD769,1)=1,1,0),0)</f>
        <v>0.0</v>
      </c>
      <c r="AF769" t="str">
        <f>IF(AE769=1,COUNTIFS(sj_first,1,sj_date,"&lt;"&amp;A769)+1,"")</f>
        <v/>
      </c>
      <c r="AG769" t="str">
        <f>IF(AND(AD769=1,N(W769)&lt;p_alert),ROUND(W769,4),"")</f>
        <v/>
      </c>
      <c r="AH769" t="str">
        <f>IF(AG769="","",COUNTIF(sj_akey,"&lt;"&amp;AG769)+COUNTIF($AG$6:AG769,AG769))</f>
        <v/>
      </c>
    </row>
    <row r="770">
      <c r="A770" s="51" t="n"/>
      <c r="B770" s="52" t="n"/>
      <c r="C770" s="52" t="n"/>
      <c r="D770" s="53" t="n"/>
      <c r="E770" s="53" t="n"/>
      <c r="F770" s="54" t="n"/>
      <c r="G770" s="54" t="n"/>
      <c r="H770" s="54" t="n"/>
      <c r="I770" s="54" t="n"/>
      <c r="J770" s="53" t="n"/>
      <c r="K770" s="55" t="str">
        <f>IF(COUNTA(A770:I770)=0,"",IF(F770="",IFERROR(INDEX(eq_dur,MATCH(B770,eq_code,0)),""),F770))</f>
        <v/>
      </c>
      <c r="L770" s="55" t="str">
        <f>IF(ISNUMBER(K770),N(IFERROR(INDEX(eq_pause,MATCH(B770,eq_code,0)),0))+SUMIFS(st_min,st_date,A770,st_eq,B770,st_po,C770,st_type,"Planifié"),"")</f>
        <v/>
      </c>
      <c r="M770" s="55" t="str">
        <f>IF(ISNUMBER(K770),K770-L770,"")</f>
        <v/>
      </c>
      <c r="N770" s="55" t="str">
        <f>IF(ISNUMBER(K770),SUMIFS(st_min,st_date,A770,st_eq,B770,st_po,C770,st_type,"Non planifié"),"")</f>
        <v/>
      </c>
      <c r="O770" s="55" t="str">
        <f>IF(ISNUMBER(K770),M770-N770,"")</f>
        <v/>
      </c>
      <c r="P770" s="55" t="str">
        <f>IF(COUNTA(A770:I770)=0,"",N(G770)+N(H770)+N(I770))</f>
        <v/>
      </c>
      <c r="Q770" s="56" t="str">
        <f>IF(COUNTA(A770:I770)=0,"",IF(N(IFERROR(INDEX(art_rate,MATCH(E770,art_ref,0)),0))&gt;0,N(IFERROR(INDEX(art_rate,MATCH(E770,art_ref,0)),0)),N(IFERROR(INDEX(po_rate,MATCH(C770,po_code,0)),0))))</f>
        <v/>
      </c>
      <c r="R770" s="55" t="str">
        <f>IF(AC770=1,P770*60/Q770,"")</f>
        <v/>
      </c>
      <c r="S770" s="55" t="str">
        <f>IF(AC770=1,N(G770)*60/Q770,"")</f>
        <v/>
      </c>
      <c r="T770" s="57" t="str">
        <f>IF(AC770=1,O770/M770,"")</f>
        <v/>
      </c>
      <c r="U770" s="57" t="str">
        <f>IF(AC770=1,IF(O770&gt;0,R770/O770,""),"")</f>
        <v/>
      </c>
      <c r="V770" s="57" t="str">
        <f>IF(AC770=1,IF(P770&gt;0,N(G770)/P770,""),"")</f>
        <v/>
      </c>
      <c r="W770" s="57" t="str">
        <f>IF(AC770=1,S770/M770,"")</f>
        <v/>
      </c>
      <c r="X770" s="57" t="str">
        <f>IF(AC770=1,S770/K770,"")</f>
        <v/>
      </c>
      <c r="Y770" s="58" t="str">
        <f>IF(W770="","",IF(W770&gt;=p_target,"Bon",IF(W770&gt;=p_alert,"À surveiller","Faible")))</f>
        <v/>
      </c>
      <c r="Z770" s="58" t="str">
        <f>IF(W770="","",IF(MIN(IF(T770="",1,T770),IF(U770="",1,U770),IF(V770="",1,V770))&gt;=1,"Aucune",IF(IF(T770="",1,T770)&lt;=MIN(IF(U770="",1,U770),IF(V770="",1,V770)),"Disponibilité",IF(IF(U770="",1,U770)&lt;=IF(V770="",1,V770),"Performance","Qualité"))))</f>
        <v/>
      </c>
      <c r="AA770" s="59" t="str">
        <f>IF(AC770=1,N(H770)*N(IFERROR(INDEX(art_cost,MATCH(E770,art_ref,0)),0)),"")</f>
        <v/>
      </c>
      <c r="AB770" s="58" t="str">
        <f>IF(COUNTA(A770:I770)=0,"",IF(N(A770)&lt;=0,"Date manquante ou invalide",IF(B770="","Équipe manquante",IF(ISNA(MATCH(B770,eq_code,0)),"Équipe inconnue",IF(INDEX(eq_check,MATCH(B770,eq_code,0))&lt;&gt;"OK","Équipe à corriger dans Paramètres",IF(C770="","Poste manquant",IF(ISNA(MATCH(C770,po_code,0)),"Poste inconnu",IF(AND(E770&lt;&gt;"",ISNA(MATCH(E770,art_ref,0))),"Article inconnu",IF(IF(E770="",FALSE,INDEX(art_check,MATCH(E770,art_ref,0))&lt;&gt;"OK"),"Article à corriger (feuille Articles)",IF(COUNTIFS(sj_date,A770,sj_eq,B770,sj_po,C770)&gt;1,"Ligne en double (même jour, équipe et poste)",IF(OR(NOT(ISNUMBER(K770)),N(K770)&lt;=0,N(K770)&gt;1440),"Temps d'ouverture invalide",IF(OR(AND(G770&lt;&gt;"",NOT(ISNUMBER(G770))),N(G770)&lt;0,N(G770)&lt;&gt;INT(N(G770)),AND(H770&lt;&gt;"",NOT(ISNUMBER(H770))),N(H770)&lt;0,N(H770)&lt;&gt;INT(N(H770)),AND(I770&lt;&gt;"",NOT(ISNUMBER(I770))),N(I770)&lt;0,N(I770)&lt;&gt;INT(N(I770))),"Quantité invalide",IF(Q770&lt;=0,"Cadence manquante (poste ou article)",IF(M770&lt;=0,"Arrêts planifiés supérieurs au temps d'ouverture",IF(O770&lt;0,"Arrêts supérieurs au temps requis",IF(AND(P770&gt;0,O770=0),"Pièces déclarées sans temps de marche",IF(AND(P770=0,O770&gt;0),"Aucune pièce déclarée",IF(P770*60/Q770&gt;O770+0.001,"Cadence dépassée : vérifiez la cadence","OK"))))))))))))))))))</f>
        <v/>
      </c>
      <c r="AC770">
        <f>IF(OR(AB770="OK",AB770="Aucune pièce déclarée",AB770="Cadence dépassée : vérifiez la cadence"),1,0)</f>
        <v>0.0</v>
      </c>
      <c r="AD770">
        <f>IF(AND(AC770=1,A770&gt;=p_from,A770&lt;=p_to),1,0)</f>
        <v>0.0</v>
      </c>
      <c r="AE770">
        <f>IF(AD770=1,IF(COUNTIFS($A$6:A770,A770,$AD$6:AD770,1)=1,1,0),0)</f>
        <v>0.0</v>
      </c>
      <c r="AF770" t="str">
        <f>IF(AE770=1,COUNTIFS(sj_first,1,sj_date,"&lt;"&amp;A770)+1,"")</f>
        <v/>
      </c>
      <c r="AG770" t="str">
        <f>IF(AND(AD770=1,N(W770)&lt;p_alert),ROUND(W770,4),"")</f>
        <v/>
      </c>
      <c r="AH770" t="str">
        <f>IF(AG770="","",COUNTIF(sj_akey,"&lt;"&amp;AG770)+COUNTIF($AG$6:AG770,AG770))</f>
        <v/>
      </c>
    </row>
    <row r="771">
      <c r="A771" s="51" t="n"/>
      <c r="B771" s="52" t="n"/>
      <c r="C771" s="52" t="n"/>
      <c r="D771" s="53" t="n"/>
      <c r="E771" s="53" t="n"/>
      <c r="F771" s="54" t="n"/>
      <c r="G771" s="54" t="n"/>
      <c r="H771" s="54" t="n"/>
      <c r="I771" s="54" t="n"/>
      <c r="J771" s="53" t="n"/>
      <c r="K771" s="55" t="str">
        <f>IF(COUNTA(A771:I771)=0,"",IF(F771="",IFERROR(INDEX(eq_dur,MATCH(B771,eq_code,0)),""),F771))</f>
        <v/>
      </c>
      <c r="L771" s="55" t="str">
        <f>IF(ISNUMBER(K771),N(IFERROR(INDEX(eq_pause,MATCH(B771,eq_code,0)),0))+SUMIFS(st_min,st_date,A771,st_eq,B771,st_po,C771,st_type,"Planifié"),"")</f>
        <v/>
      </c>
      <c r="M771" s="55" t="str">
        <f>IF(ISNUMBER(K771),K771-L771,"")</f>
        <v/>
      </c>
      <c r="N771" s="55" t="str">
        <f>IF(ISNUMBER(K771),SUMIFS(st_min,st_date,A771,st_eq,B771,st_po,C771,st_type,"Non planifié"),"")</f>
        <v/>
      </c>
      <c r="O771" s="55" t="str">
        <f>IF(ISNUMBER(K771),M771-N771,"")</f>
        <v/>
      </c>
      <c r="P771" s="55" t="str">
        <f>IF(COUNTA(A771:I771)=0,"",N(G771)+N(H771)+N(I771))</f>
        <v/>
      </c>
      <c r="Q771" s="56" t="str">
        <f>IF(COUNTA(A771:I771)=0,"",IF(N(IFERROR(INDEX(art_rate,MATCH(E771,art_ref,0)),0))&gt;0,N(IFERROR(INDEX(art_rate,MATCH(E771,art_ref,0)),0)),N(IFERROR(INDEX(po_rate,MATCH(C771,po_code,0)),0))))</f>
        <v/>
      </c>
      <c r="R771" s="55" t="str">
        <f>IF(AC771=1,P771*60/Q771,"")</f>
        <v/>
      </c>
      <c r="S771" s="55" t="str">
        <f>IF(AC771=1,N(G771)*60/Q771,"")</f>
        <v/>
      </c>
      <c r="T771" s="57" t="str">
        <f>IF(AC771=1,O771/M771,"")</f>
        <v/>
      </c>
      <c r="U771" s="57" t="str">
        <f>IF(AC771=1,IF(O771&gt;0,R771/O771,""),"")</f>
        <v/>
      </c>
      <c r="V771" s="57" t="str">
        <f>IF(AC771=1,IF(P771&gt;0,N(G771)/P771,""),"")</f>
        <v/>
      </c>
      <c r="W771" s="57" t="str">
        <f>IF(AC771=1,S771/M771,"")</f>
        <v/>
      </c>
      <c r="X771" s="57" t="str">
        <f>IF(AC771=1,S771/K771,"")</f>
        <v/>
      </c>
      <c r="Y771" s="58" t="str">
        <f>IF(W771="","",IF(W771&gt;=p_target,"Bon",IF(W771&gt;=p_alert,"À surveiller","Faible")))</f>
        <v/>
      </c>
      <c r="Z771" s="58" t="str">
        <f>IF(W771="","",IF(MIN(IF(T771="",1,T771),IF(U771="",1,U771),IF(V771="",1,V771))&gt;=1,"Aucune",IF(IF(T771="",1,T771)&lt;=MIN(IF(U771="",1,U771),IF(V771="",1,V771)),"Disponibilité",IF(IF(U771="",1,U771)&lt;=IF(V771="",1,V771),"Performance","Qualité"))))</f>
        <v/>
      </c>
      <c r="AA771" s="59" t="str">
        <f>IF(AC771=1,N(H771)*N(IFERROR(INDEX(art_cost,MATCH(E771,art_ref,0)),0)),"")</f>
        <v/>
      </c>
      <c r="AB771" s="58" t="str">
        <f>IF(COUNTA(A771:I771)=0,"",IF(N(A771)&lt;=0,"Date manquante ou invalide",IF(B771="","Équipe manquante",IF(ISNA(MATCH(B771,eq_code,0)),"Équipe inconnue",IF(INDEX(eq_check,MATCH(B771,eq_code,0))&lt;&gt;"OK","Équipe à corriger dans Paramètres",IF(C771="","Poste manquant",IF(ISNA(MATCH(C771,po_code,0)),"Poste inconnu",IF(AND(E771&lt;&gt;"",ISNA(MATCH(E771,art_ref,0))),"Article inconnu",IF(IF(E771="",FALSE,INDEX(art_check,MATCH(E771,art_ref,0))&lt;&gt;"OK"),"Article à corriger (feuille Articles)",IF(COUNTIFS(sj_date,A771,sj_eq,B771,sj_po,C771)&gt;1,"Ligne en double (même jour, équipe et poste)",IF(OR(NOT(ISNUMBER(K771)),N(K771)&lt;=0,N(K771)&gt;1440),"Temps d'ouverture invalide",IF(OR(AND(G771&lt;&gt;"",NOT(ISNUMBER(G771))),N(G771)&lt;0,N(G771)&lt;&gt;INT(N(G771)),AND(H771&lt;&gt;"",NOT(ISNUMBER(H771))),N(H771)&lt;0,N(H771)&lt;&gt;INT(N(H771)),AND(I771&lt;&gt;"",NOT(ISNUMBER(I771))),N(I771)&lt;0,N(I771)&lt;&gt;INT(N(I771))),"Quantité invalide",IF(Q771&lt;=0,"Cadence manquante (poste ou article)",IF(M771&lt;=0,"Arrêts planifiés supérieurs au temps d'ouverture",IF(O771&lt;0,"Arrêts supérieurs au temps requis",IF(AND(P771&gt;0,O771=0),"Pièces déclarées sans temps de marche",IF(AND(P771=0,O771&gt;0),"Aucune pièce déclarée",IF(P771*60/Q771&gt;O771+0.001,"Cadence dépassée : vérifiez la cadence","OK"))))))))))))))))))</f>
        <v/>
      </c>
      <c r="AC771">
        <f>IF(OR(AB771="OK",AB771="Aucune pièce déclarée",AB771="Cadence dépassée : vérifiez la cadence"),1,0)</f>
        <v>0.0</v>
      </c>
      <c r="AD771">
        <f>IF(AND(AC771=1,A771&gt;=p_from,A771&lt;=p_to),1,0)</f>
        <v>0.0</v>
      </c>
      <c r="AE771">
        <f>IF(AD771=1,IF(COUNTIFS($A$6:A771,A771,$AD$6:AD771,1)=1,1,0),0)</f>
        <v>0.0</v>
      </c>
      <c r="AF771" t="str">
        <f>IF(AE771=1,COUNTIFS(sj_first,1,sj_date,"&lt;"&amp;A771)+1,"")</f>
        <v/>
      </c>
      <c r="AG771" t="str">
        <f>IF(AND(AD771=1,N(W771)&lt;p_alert),ROUND(W771,4),"")</f>
        <v/>
      </c>
      <c r="AH771" t="str">
        <f>IF(AG771="","",COUNTIF(sj_akey,"&lt;"&amp;AG771)+COUNTIF($AG$6:AG771,AG771))</f>
        <v/>
      </c>
    </row>
    <row r="772">
      <c r="A772" s="51" t="n"/>
      <c r="B772" s="52" t="n"/>
      <c r="C772" s="52" t="n"/>
      <c r="D772" s="53" t="n"/>
      <c r="E772" s="53" t="n"/>
      <c r="F772" s="54" t="n"/>
      <c r="G772" s="54" t="n"/>
      <c r="H772" s="54" t="n"/>
      <c r="I772" s="54" t="n"/>
      <c r="J772" s="53" t="n"/>
      <c r="K772" s="55" t="str">
        <f>IF(COUNTA(A772:I772)=0,"",IF(F772="",IFERROR(INDEX(eq_dur,MATCH(B772,eq_code,0)),""),F772))</f>
        <v/>
      </c>
      <c r="L772" s="55" t="str">
        <f>IF(ISNUMBER(K772),N(IFERROR(INDEX(eq_pause,MATCH(B772,eq_code,0)),0))+SUMIFS(st_min,st_date,A772,st_eq,B772,st_po,C772,st_type,"Planifié"),"")</f>
        <v/>
      </c>
      <c r="M772" s="55" t="str">
        <f>IF(ISNUMBER(K772),K772-L772,"")</f>
        <v/>
      </c>
      <c r="N772" s="55" t="str">
        <f>IF(ISNUMBER(K772),SUMIFS(st_min,st_date,A772,st_eq,B772,st_po,C772,st_type,"Non planifié"),"")</f>
        <v/>
      </c>
      <c r="O772" s="55" t="str">
        <f>IF(ISNUMBER(K772),M772-N772,"")</f>
        <v/>
      </c>
      <c r="P772" s="55" t="str">
        <f>IF(COUNTA(A772:I772)=0,"",N(G772)+N(H772)+N(I772))</f>
        <v/>
      </c>
      <c r="Q772" s="56" t="str">
        <f>IF(COUNTA(A772:I772)=0,"",IF(N(IFERROR(INDEX(art_rate,MATCH(E772,art_ref,0)),0))&gt;0,N(IFERROR(INDEX(art_rate,MATCH(E772,art_ref,0)),0)),N(IFERROR(INDEX(po_rate,MATCH(C772,po_code,0)),0))))</f>
        <v/>
      </c>
      <c r="R772" s="55" t="str">
        <f>IF(AC772=1,P772*60/Q772,"")</f>
        <v/>
      </c>
      <c r="S772" s="55" t="str">
        <f>IF(AC772=1,N(G772)*60/Q772,"")</f>
        <v/>
      </c>
      <c r="T772" s="57" t="str">
        <f>IF(AC772=1,O772/M772,"")</f>
        <v/>
      </c>
      <c r="U772" s="57" t="str">
        <f>IF(AC772=1,IF(O772&gt;0,R772/O772,""),"")</f>
        <v/>
      </c>
      <c r="V772" s="57" t="str">
        <f>IF(AC772=1,IF(P772&gt;0,N(G772)/P772,""),"")</f>
        <v/>
      </c>
      <c r="W772" s="57" t="str">
        <f>IF(AC772=1,S772/M772,"")</f>
        <v/>
      </c>
      <c r="X772" s="57" t="str">
        <f>IF(AC772=1,S772/K772,"")</f>
        <v/>
      </c>
      <c r="Y772" s="58" t="str">
        <f>IF(W772="","",IF(W772&gt;=p_target,"Bon",IF(W772&gt;=p_alert,"À surveiller","Faible")))</f>
        <v/>
      </c>
      <c r="Z772" s="58" t="str">
        <f>IF(W772="","",IF(MIN(IF(T772="",1,T772),IF(U772="",1,U772),IF(V772="",1,V772))&gt;=1,"Aucune",IF(IF(T772="",1,T772)&lt;=MIN(IF(U772="",1,U772),IF(V772="",1,V772)),"Disponibilité",IF(IF(U772="",1,U772)&lt;=IF(V772="",1,V772),"Performance","Qualité"))))</f>
        <v/>
      </c>
      <c r="AA772" s="59" t="str">
        <f>IF(AC772=1,N(H772)*N(IFERROR(INDEX(art_cost,MATCH(E772,art_ref,0)),0)),"")</f>
        <v/>
      </c>
      <c r="AB772" s="58" t="str">
        <f>IF(COUNTA(A772:I772)=0,"",IF(N(A772)&lt;=0,"Date manquante ou invalide",IF(B772="","Équipe manquante",IF(ISNA(MATCH(B772,eq_code,0)),"Équipe inconnue",IF(INDEX(eq_check,MATCH(B772,eq_code,0))&lt;&gt;"OK","Équipe à corriger dans Paramètres",IF(C772="","Poste manquant",IF(ISNA(MATCH(C772,po_code,0)),"Poste inconnu",IF(AND(E772&lt;&gt;"",ISNA(MATCH(E772,art_ref,0))),"Article inconnu",IF(IF(E772="",FALSE,INDEX(art_check,MATCH(E772,art_ref,0))&lt;&gt;"OK"),"Article à corriger (feuille Articles)",IF(COUNTIFS(sj_date,A772,sj_eq,B772,sj_po,C772)&gt;1,"Ligne en double (même jour, équipe et poste)",IF(OR(NOT(ISNUMBER(K772)),N(K772)&lt;=0,N(K772)&gt;1440),"Temps d'ouverture invalide",IF(OR(AND(G772&lt;&gt;"",NOT(ISNUMBER(G772))),N(G772)&lt;0,N(G772)&lt;&gt;INT(N(G772)),AND(H772&lt;&gt;"",NOT(ISNUMBER(H772))),N(H772)&lt;0,N(H772)&lt;&gt;INT(N(H772)),AND(I772&lt;&gt;"",NOT(ISNUMBER(I772))),N(I772)&lt;0,N(I772)&lt;&gt;INT(N(I772))),"Quantité invalide",IF(Q772&lt;=0,"Cadence manquante (poste ou article)",IF(M772&lt;=0,"Arrêts planifiés supérieurs au temps d'ouverture",IF(O772&lt;0,"Arrêts supérieurs au temps requis",IF(AND(P772&gt;0,O772=0),"Pièces déclarées sans temps de marche",IF(AND(P772=0,O772&gt;0),"Aucune pièce déclarée",IF(P772*60/Q772&gt;O772+0.001,"Cadence dépassée : vérifiez la cadence","OK"))))))))))))))))))</f>
        <v/>
      </c>
      <c r="AC772">
        <f>IF(OR(AB772="OK",AB772="Aucune pièce déclarée",AB772="Cadence dépassée : vérifiez la cadence"),1,0)</f>
        <v>0.0</v>
      </c>
      <c r="AD772">
        <f>IF(AND(AC772=1,A772&gt;=p_from,A772&lt;=p_to),1,0)</f>
        <v>0.0</v>
      </c>
      <c r="AE772">
        <f>IF(AD772=1,IF(COUNTIFS($A$6:A772,A772,$AD$6:AD772,1)=1,1,0),0)</f>
        <v>0.0</v>
      </c>
      <c r="AF772" t="str">
        <f>IF(AE772=1,COUNTIFS(sj_first,1,sj_date,"&lt;"&amp;A772)+1,"")</f>
        <v/>
      </c>
      <c r="AG772" t="str">
        <f>IF(AND(AD772=1,N(W772)&lt;p_alert),ROUND(W772,4),"")</f>
        <v/>
      </c>
      <c r="AH772" t="str">
        <f>IF(AG772="","",COUNTIF(sj_akey,"&lt;"&amp;AG772)+COUNTIF($AG$6:AG772,AG772))</f>
        <v/>
      </c>
    </row>
    <row r="773">
      <c r="A773" s="51" t="n"/>
      <c r="B773" s="52" t="n"/>
      <c r="C773" s="52" t="n"/>
      <c r="D773" s="53" t="n"/>
      <c r="E773" s="53" t="n"/>
      <c r="F773" s="54" t="n"/>
      <c r="G773" s="54" t="n"/>
      <c r="H773" s="54" t="n"/>
      <c r="I773" s="54" t="n"/>
      <c r="J773" s="53" t="n"/>
      <c r="K773" s="55" t="str">
        <f>IF(COUNTA(A773:I773)=0,"",IF(F773="",IFERROR(INDEX(eq_dur,MATCH(B773,eq_code,0)),""),F773))</f>
        <v/>
      </c>
      <c r="L773" s="55" t="str">
        <f>IF(ISNUMBER(K773),N(IFERROR(INDEX(eq_pause,MATCH(B773,eq_code,0)),0))+SUMIFS(st_min,st_date,A773,st_eq,B773,st_po,C773,st_type,"Planifié"),"")</f>
        <v/>
      </c>
      <c r="M773" s="55" t="str">
        <f>IF(ISNUMBER(K773),K773-L773,"")</f>
        <v/>
      </c>
      <c r="N773" s="55" t="str">
        <f>IF(ISNUMBER(K773),SUMIFS(st_min,st_date,A773,st_eq,B773,st_po,C773,st_type,"Non planifié"),"")</f>
        <v/>
      </c>
      <c r="O773" s="55" t="str">
        <f>IF(ISNUMBER(K773),M773-N773,"")</f>
        <v/>
      </c>
      <c r="P773" s="55" t="str">
        <f>IF(COUNTA(A773:I773)=0,"",N(G773)+N(H773)+N(I773))</f>
        <v/>
      </c>
      <c r="Q773" s="56" t="str">
        <f>IF(COUNTA(A773:I773)=0,"",IF(N(IFERROR(INDEX(art_rate,MATCH(E773,art_ref,0)),0))&gt;0,N(IFERROR(INDEX(art_rate,MATCH(E773,art_ref,0)),0)),N(IFERROR(INDEX(po_rate,MATCH(C773,po_code,0)),0))))</f>
        <v/>
      </c>
      <c r="R773" s="55" t="str">
        <f>IF(AC773=1,P773*60/Q773,"")</f>
        <v/>
      </c>
      <c r="S773" s="55" t="str">
        <f>IF(AC773=1,N(G773)*60/Q773,"")</f>
        <v/>
      </c>
      <c r="T773" s="57" t="str">
        <f>IF(AC773=1,O773/M773,"")</f>
        <v/>
      </c>
      <c r="U773" s="57" t="str">
        <f>IF(AC773=1,IF(O773&gt;0,R773/O773,""),"")</f>
        <v/>
      </c>
      <c r="V773" s="57" t="str">
        <f>IF(AC773=1,IF(P773&gt;0,N(G773)/P773,""),"")</f>
        <v/>
      </c>
      <c r="W773" s="57" t="str">
        <f>IF(AC773=1,S773/M773,"")</f>
        <v/>
      </c>
      <c r="X773" s="57" t="str">
        <f>IF(AC773=1,S773/K773,"")</f>
        <v/>
      </c>
      <c r="Y773" s="58" t="str">
        <f>IF(W773="","",IF(W773&gt;=p_target,"Bon",IF(W773&gt;=p_alert,"À surveiller","Faible")))</f>
        <v/>
      </c>
      <c r="Z773" s="58" t="str">
        <f>IF(W773="","",IF(MIN(IF(T773="",1,T773),IF(U773="",1,U773),IF(V773="",1,V773))&gt;=1,"Aucune",IF(IF(T773="",1,T773)&lt;=MIN(IF(U773="",1,U773),IF(V773="",1,V773)),"Disponibilité",IF(IF(U773="",1,U773)&lt;=IF(V773="",1,V773),"Performance","Qualité"))))</f>
        <v/>
      </c>
      <c r="AA773" s="59" t="str">
        <f>IF(AC773=1,N(H773)*N(IFERROR(INDEX(art_cost,MATCH(E773,art_ref,0)),0)),"")</f>
        <v/>
      </c>
      <c r="AB773" s="58" t="str">
        <f>IF(COUNTA(A773:I773)=0,"",IF(N(A773)&lt;=0,"Date manquante ou invalide",IF(B773="","Équipe manquante",IF(ISNA(MATCH(B773,eq_code,0)),"Équipe inconnue",IF(INDEX(eq_check,MATCH(B773,eq_code,0))&lt;&gt;"OK","Équipe à corriger dans Paramètres",IF(C773="","Poste manquant",IF(ISNA(MATCH(C773,po_code,0)),"Poste inconnu",IF(AND(E773&lt;&gt;"",ISNA(MATCH(E773,art_ref,0))),"Article inconnu",IF(IF(E773="",FALSE,INDEX(art_check,MATCH(E773,art_ref,0))&lt;&gt;"OK"),"Article à corriger (feuille Articles)",IF(COUNTIFS(sj_date,A773,sj_eq,B773,sj_po,C773)&gt;1,"Ligne en double (même jour, équipe et poste)",IF(OR(NOT(ISNUMBER(K773)),N(K773)&lt;=0,N(K773)&gt;1440),"Temps d'ouverture invalide",IF(OR(AND(G773&lt;&gt;"",NOT(ISNUMBER(G773))),N(G773)&lt;0,N(G773)&lt;&gt;INT(N(G773)),AND(H773&lt;&gt;"",NOT(ISNUMBER(H773))),N(H773)&lt;0,N(H773)&lt;&gt;INT(N(H773)),AND(I773&lt;&gt;"",NOT(ISNUMBER(I773))),N(I773)&lt;0,N(I773)&lt;&gt;INT(N(I773))),"Quantité invalide",IF(Q773&lt;=0,"Cadence manquante (poste ou article)",IF(M773&lt;=0,"Arrêts planifiés supérieurs au temps d'ouverture",IF(O773&lt;0,"Arrêts supérieurs au temps requis",IF(AND(P773&gt;0,O773=0),"Pièces déclarées sans temps de marche",IF(AND(P773=0,O773&gt;0),"Aucune pièce déclarée",IF(P773*60/Q773&gt;O773+0.001,"Cadence dépassée : vérifiez la cadence","OK"))))))))))))))))))</f>
        <v/>
      </c>
      <c r="AC773">
        <f>IF(OR(AB773="OK",AB773="Aucune pièce déclarée",AB773="Cadence dépassée : vérifiez la cadence"),1,0)</f>
        <v>0.0</v>
      </c>
      <c r="AD773">
        <f>IF(AND(AC773=1,A773&gt;=p_from,A773&lt;=p_to),1,0)</f>
        <v>0.0</v>
      </c>
      <c r="AE773">
        <f>IF(AD773=1,IF(COUNTIFS($A$6:A773,A773,$AD$6:AD773,1)=1,1,0),0)</f>
        <v>0.0</v>
      </c>
      <c r="AF773" t="str">
        <f>IF(AE773=1,COUNTIFS(sj_first,1,sj_date,"&lt;"&amp;A773)+1,"")</f>
        <v/>
      </c>
      <c r="AG773" t="str">
        <f>IF(AND(AD773=1,N(W773)&lt;p_alert),ROUND(W773,4),"")</f>
        <v/>
      </c>
      <c r="AH773" t="str">
        <f>IF(AG773="","",COUNTIF(sj_akey,"&lt;"&amp;AG773)+COUNTIF($AG$6:AG773,AG773))</f>
        <v/>
      </c>
    </row>
    <row r="774">
      <c r="A774" s="51" t="n"/>
      <c r="B774" s="52" t="n"/>
      <c r="C774" s="52" t="n"/>
      <c r="D774" s="53" t="n"/>
      <c r="E774" s="53" t="n"/>
      <c r="F774" s="54" t="n"/>
      <c r="G774" s="54" t="n"/>
      <c r="H774" s="54" t="n"/>
      <c r="I774" s="54" t="n"/>
      <c r="J774" s="53" t="n"/>
      <c r="K774" s="55" t="str">
        <f>IF(COUNTA(A774:I774)=0,"",IF(F774="",IFERROR(INDEX(eq_dur,MATCH(B774,eq_code,0)),""),F774))</f>
        <v/>
      </c>
      <c r="L774" s="55" t="str">
        <f>IF(ISNUMBER(K774),N(IFERROR(INDEX(eq_pause,MATCH(B774,eq_code,0)),0))+SUMIFS(st_min,st_date,A774,st_eq,B774,st_po,C774,st_type,"Planifié"),"")</f>
        <v/>
      </c>
      <c r="M774" s="55" t="str">
        <f>IF(ISNUMBER(K774),K774-L774,"")</f>
        <v/>
      </c>
      <c r="N774" s="55" t="str">
        <f>IF(ISNUMBER(K774),SUMIFS(st_min,st_date,A774,st_eq,B774,st_po,C774,st_type,"Non planifié"),"")</f>
        <v/>
      </c>
      <c r="O774" s="55" t="str">
        <f>IF(ISNUMBER(K774),M774-N774,"")</f>
        <v/>
      </c>
      <c r="P774" s="55" t="str">
        <f>IF(COUNTA(A774:I774)=0,"",N(G774)+N(H774)+N(I774))</f>
        <v/>
      </c>
      <c r="Q774" s="56" t="str">
        <f>IF(COUNTA(A774:I774)=0,"",IF(N(IFERROR(INDEX(art_rate,MATCH(E774,art_ref,0)),0))&gt;0,N(IFERROR(INDEX(art_rate,MATCH(E774,art_ref,0)),0)),N(IFERROR(INDEX(po_rate,MATCH(C774,po_code,0)),0))))</f>
        <v/>
      </c>
      <c r="R774" s="55" t="str">
        <f>IF(AC774=1,P774*60/Q774,"")</f>
        <v/>
      </c>
      <c r="S774" s="55" t="str">
        <f>IF(AC774=1,N(G774)*60/Q774,"")</f>
        <v/>
      </c>
      <c r="T774" s="57" t="str">
        <f>IF(AC774=1,O774/M774,"")</f>
        <v/>
      </c>
      <c r="U774" s="57" t="str">
        <f>IF(AC774=1,IF(O774&gt;0,R774/O774,""),"")</f>
        <v/>
      </c>
      <c r="V774" s="57" t="str">
        <f>IF(AC774=1,IF(P774&gt;0,N(G774)/P774,""),"")</f>
        <v/>
      </c>
      <c r="W774" s="57" t="str">
        <f>IF(AC774=1,S774/M774,"")</f>
        <v/>
      </c>
      <c r="X774" s="57" t="str">
        <f>IF(AC774=1,S774/K774,"")</f>
        <v/>
      </c>
      <c r="Y774" s="58" t="str">
        <f>IF(W774="","",IF(W774&gt;=p_target,"Bon",IF(W774&gt;=p_alert,"À surveiller","Faible")))</f>
        <v/>
      </c>
      <c r="Z774" s="58" t="str">
        <f>IF(W774="","",IF(MIN(IF(T774="",1,T774),IF(U774="",1,U774),IF(V774="",1,V774))&gt;=1,"Aucune",IF(IF(T774="",1,T774)&lt;=MIN(IF(U774="",1,U774),IF(V774="",1,V774)),"Disponibilité",IF(IF(U774="",1,U774)&lt;=IF(V774="",1,V774),"Performance","Qualité"))))</f>
        <v/>
      </c>
      <c r="AA774" s="59" t="str">
        <f>IF(AC774=1,N(H774)*N(IFERROR(INDEX(art_cost,MATCH(E774,art_ref,0)),0)),"")</f>
        <v/>
      </c>
      <c r="AB774" s="58" t="str">
        <f>IF(COUNTA(A774:I774)=0,"",IF(N(A774)&lt;=0,"Date manquante ou invalide",IF(B774="","Équipe manquante",IF(ISNA(MATCH(B774,eq_code,0)),"Équipe inconnue",IF(INDEX(eq_check,MATCH(B774,eq_code,0))&lt;&gt;"OK","Équipe à corriger dans Paramètres",IF(C774="","Poste manquant",IF(ISNA(MATCH(C774,po_code,0)),"Poste inconnu",IF(AND(E774&lt;&gt;"",ISNA(MATCH(E774,art_ref,0))),"Article inconnu",IF(IF(E774="",FALSE,INDEX(art_check,MATCH(E774,art_ref,0))&lt;&gt;"OK"),"Article à corriger (feuille Articles)",IF(COUNTIFS(sj_date,A774,sj_eq,B774,sj_po,C774)&gt;1,"Ligne en double (même jour, équipe et poste)",IF(OR(NOT(ISNUMBER(K774)),N(K774)&lt;=0,N(K774)&gt;1440),"Temps d'ouverture invalide",IF(OR(AND(G774&lt;&gt;"",NOT(ISNUMBER(G774))),N(G774)&lt;0,N(G774)&lt;&gt;INT(N(G774)),AND(H774&lt;&gt;"",NOT(ISNUMBER(H774))),N(H774)&lt;0,N(H774)&lt;&gt;INT(N(H774)),AND(I774&lt;&gt;"",NOT(ISNUMBER(I774))),N(I774)&lt;0,N(I774)&lt;&gt;INT(N(I774))),"Quantité invalide",IF(Q774&lt;=0,"Cadence manquante (poste ou article)",IF(M774&lt;=0,"Arrêts planifiés supérieurs au temps d'ouverture",IF(O774&lt;0,"Arrêts supérieurs au temps requis",IF(AND(P774&gt;0,O774=0),"Pièces déclarées sans temps de marche",IF(AND(P774=0,O774&gt;0),"Aucune pièce déclarée",IF(P774*60/Q774&gt;O774+0.001,"Cadence dépassée : vérifiez la cadence","OK"))))))))))))))))))</f>
        <v/>
      </c>
      <c r="AC774">
        <f>IF(OR(AB774="OK",AB774="Aucune pièce déclarée",AB774="Cadence dépassée : vérifiez la cadence"),1,0)</f>
        <v>0.0</v>
      </c>
      <c r="AD774">
        <f>IF(AND(AC774=1,A774&gt;=p_from,A774&lt;=p_to),1,0)</f>
        <v>0.0</v>
      </c>
      <c r="AE774">
        <f>IF(AD774=1,IF(COUNTIFS($A$6:A774,A774,$AD$6:AD774,1)=1,1,0),0)</f>
        <v>0.0</v>
      </c>
      <c r="AF774" t="str">
        <f>IF(AE774=1,COUNTIFS(sj_first,1,sj_date,"&lt;"&amp;A774)+1,"")</f>
        <v/>
      </c>
      <c r="AG774" t="str">
        <f>IF(AND(AD774=1,N(W774)&lt;p_alert),ROUND(W774,4),"")</f>
        <v/>
      </c>
      <c r="AH774" t="str">
        <f>IF(AG774="","",COUNTIF(sj_akey,"&lt;"&amp;AG774)+COUNTIF($AG$6:AG774,AG774))</f>
        <v/>
      </c>
    </row>
    <row r="775">
      <c r="A775" s="51" t="n"/>
      <c r="B775" s="52" t="n"/>
      <c r="C775" s="52" t="n"/>
      <c r="D775" s="53" t="n"/>
      <c r="E775" s="53" t="n"/>
      <c r="F775" s="54" t="n"/>
      <c r="G775" s="54" t="n"/>
      <c r="H775" s="54" t="n"/>
      <c r="I775" s="54" t="n"/>
      <c r="J775" s="53" t="n"/>
      <c r="K775" s="55" t="str">
        <f>IF(COUNTA(A775:I775)=0,"",IF(F775="",IFERROR(INDEX(eq_dur,MATCH(B775,eq_code,0)),""),F775))</f>
        <v/>
      </c>
      <c r="L775" s="55" t="str">
        <f>IF(ISNUMBER(K775),N(IFERROR(INDEX(eq_pause,MATCH(B775,eq_code,0)),0))+SUMIFS(st_min,st_date,A775,st_eq,B775,st_po,C775,st_type,"Planifié"),"")</f>
        <v/>
      </c>
      <c r="M775" s="55" t="str">
        <f>IF(ISNUMBER(K775),K775-L775,"")</f>
        <v/>
      </c>
      <c r="N775" s="55" t="str">
        <f>IF(ISNUMBER(K775),SUMIFS(st_min,st_date,A775,st_eq,B775,st_po,C775,st_type,"Non planifié"),"")</f>
        <v/>
      </c>
      <c r="O775" s="55" t="str">
        <f>IF(ISNUMBER(K775),M775-N775,"")</f>
        <v/>
      </c>
      <c r="P775" s="55" t="str">
        <f>IF(COUNTA(A775:I775)=0,"",N(G775)+N(H775)+N(I775))</f>
        <v/>
      </c>
      <c r="Q775" s="56" t="str">
        <f>IF(COUNTA(A775:I775)=0,"",IF(N(IFERROR(INDEX(art_rate,MATCH(E775,art_ref,0)),0))&gt;0,N(IFERROR(INDEX(art_rate,MATCH(E775,art_ref,0)),0)),N(IFERROR(INDEX(po_rate,MATCH(C775,po_code,0)),0))))</f>
        <v/>
      </c>
      <c r="R775" s="55" t="str">
        <f>IF(AC775=1,P775*60/Q775,"")</f>
        <v/>
      </c>
      <c r="S775" s="55" t="str">
        <f>IF(AC775=1,N(G775)*60/Q775,"")</f>
        <v/>
      </c>
      <c r="T775" s="57" t="str">
        <f>IF(AC775=1,O775/M775,"")</f>
        <v/>
      </c>
      <c r="U775" s="57" t="str">
        <f>IF(AC775=1,IF(O775&gt;0,R775/O775,""),"")</f>
        <v/>
      </c>
      <c r="V775" s="57" t="str">
        <f>IF(AC775=1,IF(P775&gt;0,N(G775)/P775,""),"")</f>
        <v/>
      </c>
      <c r="W775" s="57" t="str">
        <f>IF(AC775=1,S775/M775,"")</f>
        <v/>
      </c>
      <c r="X775" s="57" t="str">
        <f>IF(AC775=1,S775/K775,"")</f>
        <v/>
      </c>
      <c r="Y775" s="58" t="str">
        <f>IF(W775="","",IF(W775&gt;=p_target,"Bon",IF(W775&gt;=p_alert,"À surveiller","Faible")))</f>
        <v/>
      </c>
      <c r="Z775" s="58" t="str">
        <f>IF(W775="","",IF(MIN(IF(T775="",1,T775),IF(U775="",1,U775),IF(V775="",1,V775))&gt;=1,"Aucune",IF(IF(T775="",1,T775)&lt;=MIN(IF(U775="",1,U775),IF(V775="",1,V775)),"Disponibilité",IF(IF(U775="",1,U775)&lt;=IF(V775="",1,V775),"Performance","Qualité"))))</f>
        <v/>
      </c>
      <c r="AA775" s="59" t="str">
        <f>IF(AC775=1,N(H775)*N(IFERROR(INDEX(art_cost,MATCH(E775,art_ref,0)),0)),"")</f>
        <v/>
      </c>
      <c r="AB775" s="58" t="str">
        <f>IF(COUNTA(A775:I775)=0,"",IF(N(A775)&lt;=0,"Date manquante ou invalide",IF(B775="","Équipe manquante",IF(ISNA(MATCH(B775,eq_code,0)),"Équipe inconnue",IF(INDEX(eq_check,MATCH(B775,eq_code,0))&lt;&gt;"OK","Équipe à corriger dans Paramètres",IF(C775="","Poste manquant",IF(ISNA(MATCH(C775,po_code,0)),"Poste inconnu",IF(AND(E775&lt;&gt;"",ISNA(MATCH(E775,art_ref,0))),"Article inconnu",IF(IF(E775="",FALSE,INDEX(art_check,MATCH(E775,art_ref,0))&lt;&gt;"OK"),"Article à corriger (feuille Articles)",IF(COUNTIFS(sj_date,A775,sj_eq,B775,sj_po,C775)&gt;1,"Ligne en double (même jour, équipe et poste)",IF(OR(NOT(ISNUMBER(K775)),N(K775)&lt;=0,N(K775)&gt;1440),"Temps d'ouverture invalide",IF(OR(AND(G775&lt;&gt;"",NOT(ISNUMBER(G775))),N(G775)&lt;0,N(G775)&lt;&gt;INT(N(G775)),AND(H775&lt;&gt;"",NOT(ISNUMBER(H775))),N(H775)&lt;0,N(H775)&lt;&gt;INT(N(H775)),AND(I775&lt;&gt;"",NOT(ISNUMBER(I775))),N(I775)&lt;0,N(I775)&lt;&gt;INT(N(I775))),"Quantité invalide",IF(Q775&lt;=0,"Cadence manquante (poste ou article)",IF(M775&lt;=0,"Arrêts planifiés supérieurs au temps d'ouverture",IF(O775&lt;0,"Arrêts supérieurs au temps requis",IF(AND(P775&gt;0,O775=0),"Pièces déclarées sans temps de marche",IF(AND(P775=0,O775&gt;0),"Aucune pièce déclarée",IF(P775*60/Q775&gt;O775+0.001,"Cadence dépassée : vérifiez la cadence","OK"))))))))))))))))))</f>
        <v/>
      </c>
      <c r="AC775">
        <f>IF(OR(AB775="OK",AB775="Aucune pièce déclarée",AB775="Cadence dépassée : vérifiez la cadence"),1,0)</f>
        <v>0.0</v>
      </c>
      <c r="AD775">
        <f>IF(AND(AC775=1,A775&gt;=p_from,A775&lt;=p_to),1,0)</f>
        <v>0.0</v>
      </c>
      <c r="AE775">
        <f>IF(AD775=1,IF(COUNTIFS($A$6:A775,A775,$AD$6:AD775,1)=1,1,0),0)</f>
        <v>0.0</v>
      </c>
      <c r="AF775" t="str">
        <f>IF(AE775=1,COUNTIFS(sj_first,1,sj_date,"&lt;"&amp;A775)+1,"")</f>
        <v/>
      </c>
      <c r="AG775" t="str">
        <f>IF(AND(AD775=1,N(W775)&lt;p_alert),ROUND(W775,4),"")</f>
        <v/>
      </c>
      <c r="AH775" t="str">
        <f>IF(AG775="","",COUNTIF(sj_akey,"&lt;"&amp;AG775)+COUNTIF($AG$6:AG775,AG775))</f>
        <v/>
      </c>
    </row>
    <row r="776">
      <c r="A776" s="51" t="n"/>
      <c r="B776" s="52" t="n"/>
      <c r="C776" s="52" t="n"/>
      <c r="D776" s="53" t="n"/>
      <c r="E776" s="53" t="n"/>
      <c r="F776" s="54" t="n"/>
      <c r="G776" s="54" t="n"/>
      <c r="H776" s="54" t="n"/>
      <c r="I776" s="54" t="n"/>
      <c r="J776" s="53" t="n"/>
      <c r="K776" s="55" t="str">
        <f>IF(COUNTA(A776:I776)=0,"",IF(F776="",IFERROR(INDEX(eq_dur,MATCH(B776,eq_code,0)),""),F776))</f>
        <v/>
      </c>
      <c r="L776" s="55" t="str">
        <f>IF(ISNUMBER(K776),N(IFERROR(INDEX(eq_pause,MATCH(B776,eq_code,0)),0))+SUMIFS(st_min,st_date,A776,st_eq,B776,st_po,C776,st_type,"Planifié"),"")</f>
        <v/>
      </c>
      <c r="M776" s="55" t="str">
        <f>IF(ISNUMBER(K776),K776-L776,"")</f>
        <v/>
      </c>
      <c r="N776" s="55" t="str">
        <f>IF(ISNUMBER(K776),SUMIFS(st_min,st_date,A776,st_eq,B776,st_po,C776,st_type,"Non planifié"),"")</f>
        <v/>
      </c>
      <c r="O776" s="55" t="str">
        <f>IF(ISNUMBER(K776),M776-N776,"")</f>
        <v/>
      </c>
      <c r="P776" s="55" t="str">
        <f>IF(COUNTA(A776:I776)=0,"",N(G776)+N(H776)+N(I776))</f>
        <v/>
      </c>
      <c r="Q776" s="56" t="str">
        <f>IF(COUNTA(A776:I776)=0,"",IF(N(IFERROR(INDEX(art_rate,MATCH(E776,art_ref,0)),0))&gt;0,N(IFERROR(INDEX(art_rate,MATCH(E776,art_ref,0)),0)),N(IFERROR(INDEX(po_rate,MATCH(C776,po_code,0)),0))))</f>
        <v/>
      </c>
      <c r="R776" s="55" t="str">
        <f>IF(AC776=1,P776*60/Q776,"")</f>
        <v/>
      </c>
      <c r="S776" s="55" t="str">
        <f>IF(AC776=1,N(G776)*60/Q776,"")</f>
        <v/>
      </c>
      <c r="T776" s="57" t="str">
        <f>IF(AC776=1,O776/M776,"")</f>
        <v/>
      </c>
      <c r="U776" s="57" t="str">
        <f>IF(AC776=1,IF(O776&gt;0,R776/O776,""),"")</f>
        <v/>
      </c>
      <c r="V776" s="57" t="str">
        <f>IF(AC776=1,IF(P776&gt;0,N(G776)/P776,""),"")</f>
        <v/>
      </c>
      <c r="W776" s="57" t="str">
        <f>IF(AC776=1,S776/M776,"")</f>
        <v/>
      </c>
      <c r="X776" s="57" t="str">
        <f>IF(AC776=1,S776/K776,"")</f>
        <v/>
      </c>
      <c r="Y776" s="58" t="str">
        <f>IF(W776="","",IF(W776&gt;=p_target,"Bon",IF(W776&gt;=p_alert,"À surveiller","Faible")))</f>
        <v/>
      </c>
      <c r="Z776" s="58" t="str">
        <f>IF(W776="","",IF(MIN(IF(T776="",1,T776),IF(U776="",1,U776),IF(V776="",1,V776))&gt;=1,"Aucune",IF(IF(T776="",1,T776)&lt;=MIN(IF(U776="",1,U776),IF(V776="",1,V776)),"Disponibilité",IF(IF(U776="",1,U776)&lt;=IF(V776="",1,V776),"Performance","Qualité"))))</f>
        <v/>
      </c>
      <c r="AA776" s="59" t="str">
        <f>IF(AC776=1,N(H776)*N(IFERROR(INDEX(art_cost,MATCH(E776,art_ref,0)),0)),"")</f>
        <v/>
      </c>
      <c r="AB776" s="58" t="str">
        <f>IF(COUNTA(A776:I776)=0,"",IF(N(A776)&lt;=0,"Date manquante ou invalide",IF(B776="","Équipe manquante",IF(ISNA(MATCH(B776,eq_code,0)),"Équipe inconnue",IF(INDEX(eq_check,MATCH(B776,eq_code,0))&lt;&gt;"OK","Équipe à corriger dans Paramètres",IF(C776="","Poste manquant",IF(ISNA(MATCH(C776,po_code,0)),"Poste inconnu",IF(AND(E776&lt;&gt;"",ISNA(MATCH(E776,art_ref,0))),"Article inconnu",IF(IF(E776="",FALSE,INDEX(art_check,MATCH(E776,art_ref,0))&lt;&gt;"OK"),"Article à corriger (feuille Articles)",IF(COUNTIFS(sj_date,A776,sj_eq,B776,sj_po,C776)&gt;1,"Ligne en double (même jour, équipe et poste)",IF(OR(NOT(ISNUMBER(K776)),N(K776)&lt;=0,N(K776)&gt;1440),"Temps d'ouverture invalide",IF(OR(AND(G776&lt;&gt;"",NOT(ISNUMBER(G776))),N(G776)&lt;0,N(G776)&lt;&gt;INT(N(G776)),AND(H776&lt;&gt;"",NOT(ISNUMBER(H776))),N(H776)&lt;0,N(H776)&lt;&gt;INT(N(H776)),AND(I776&lt;&gt;"",NOT(ISNUMBER(I776))),N(I776)&lt;0,N(I776)&lt;&gt;INT(N(I776))),"Quantité invalide",IF(Q776&lt;=0,"Cadence manquante (poste ou article)",IF(M776&lt;=0,"Arrêts planifiés supérieurs au temps d'ouverture",IF(O776&lt;0,"Arrêts supérieurs au temps requis",IF(AND(P776&gt;0,O776=0),"Pièces déclarées sans temps de marche",IF(AND(P776=0,O776&gt;0),"Aucune pièce déclarée",IF(P776*60/Q776&gt;O776+0.001,"Cadence dépassée : vérifiez la cadence","OK"))))))))))))))))))</f>
        <v/>
      </c>
      <c r="AC776">
        <f>IF(OR(AB776="OK",AB776="Aucune pièce déclarée",AB776="Cadence dépassée : vérifiez la cadence"),1,0)</f>
        <v>0.0</v>
      </c>
      <c r="AD776">
        <f>IF(AND(AC776=1,A776&gt;=p_from,A776&lt;=p_to),1,0)</f>
        <v>0.0</v>
      </c>
      <c r="AE776">
        <f>IF(AD776=1,IF(COUNTIFS($A$6:A776,A776,$AD$6:AD776,1)=1,1,0),0)</f>
        <v>0.0</v>
      </c>
      <c r="AF776" t="str">
        <f>IF(AE776=1,COUNTIFS(sj_first,1,sj_date,"&lt;"&amp;A776)+1,"")</f>
        <v/>
      </c>
      <c r="AG776" t="str">
        <f>IF(AND(AD776=1,N(W776)&lt;p_alert),ROUND(W776,4),"")</f>
        <v/>
      </c>
      <c r="AH776" t="str">
        <f>IF(AG776="","",COUNTIF(sj_akey,"&lt;"&amp;AG776)+COUNTIF($AG$6:AG776,AG776))</f>
        <v/>
      </c>
    </row>
    <row r="777">
      <c r="A777" s="51" t="n"/>
      <c r="B777" s="52" t="n"/>
      <c r="C777" s="52" t="n"/>
      <c r="D777" s="53" t="n"/>
      <c r="E777" s="53" t="n"/>
      <c r="F777" s="54" t="n"/>
      <c r="G777" s="54" t="n"/>
      <c r="H777" s="54" t="n"/>
      <c r="I777" s="54" t="n"/>
      <c r="J777" s="53" t="n"/>
      <c r="K777" s="55" t="str">
        <f>IF(COUNTA(A777:I777)=0,"",IF(F777="",IFERROR(INDEX(eq_dur,MATCH(B777,eq_code,0)),""),F777))</f>
        <v/>
      </c>
      <c r="L777" s="55" t="str">
        <f>IF(ISNUMBER(K777),N(IFERROR(INDEX(eq_pause,MATCH(B777,eq_code,0)),0))+SUMIFS(st_min,st_date,A777,st_eq,B777,st_po,C777,st_type,"Planifié"),"")</f>
        <v/>
      </c>
      <c r="M777" s="55" t="str">
        <f>IF(ISNUMBER(K777),K777-L777,"")</f>
        <v/>
      </c>
      <c r="N777" s="55" t="str">
        <f>IF(ISNUMBER(K777),SUMIFS(st_min,st_date,A777,st_eq,B777,st_po,C777,st_type,"Non planifié"),"")</f>
        <v/>
      </c>
      <c r="O777" s="55" t="str">
        <f>IF(ISNUMBER(K777),M777-N777,"")</f>
        <v/>
      </c>
      <c r="P777" s="55" t="str">
        <f>IF(COUNTA(A777:I777)=0,"",N(G777)+N(H777)+N(I777))</f>
        <v/>
      </c>
      <c r="Q777" s="56" t="str">
        <f>IF(COUNTA(A777:I777)=0,"",IF(N(IFERROR(INDEX(art_rate,MATCH(E777,art_ref,0)),0))&gt;0,N(IFERROR(INDEX(art_rate,MATCH(E777,art_ref,0)),0)),N(IFERROR(INDEX(po_rate,MATCH(C777,po_code,0)),0))))</f>
        <v/>
      </c>
      <c r="R777" s="55" t="str">
        <f>IF(AC777=1,P777*60/Q777,"")</f>
        <v/>
      </c>
      <c r="S777" s="55" t="str">
        <f>IF(AC777=1,N(G777)*60/Q777,"")</f>
        <v/>
      </c>
      <c r="T777" s="57" t="str">
        <f>IF(AC777=1,O777/M777,"")</f>
        <v/>
      </c>
      <c r="U777" s="57" t="str">
        <f>IF(AC777=1,IF(O777&gt;0,R777/O777,""),"")</f>
        <v/>
      </c>
      <c r="V777" s="57" t="str">
        <f>IF(AC777=1,IF(P777&gt;0,N(G777)/P777,""),"")</f>
        <v/>
      </c>
      <c r="W777" s="57" t="str">
        <f>IF(AC777=1,S777/M777,"")</f>
        <v/>
      </c>
      <c r="X777" s="57" t="str">
        <f>IF(AC777=1,S777/K777,"")</f>
        <v/>
      </c>
      <c r="Y777" s="58" t="str">
        <f>IF(W777="","",IF(W777&gt;=p_target,"Bon",IF(W777&gt;=p_alert,"À surveiller","Faible")))</f>
        <v/>
      </c>
      <c r="Z777" s="58" t="str">
        <f>IF(W777="","",IF(MIN(IF(T777="",1,T777),IF(U777="",1,U777),IF(V777="",1,V777))&gt;=1,"Aucune",IF(IF(T777="",1,T777)&lt;=MIN(IF(U777="",1,U777),IF(V777="",1,V777)),"Disponibilité",IF(IF(U777="",1,U777)&lt;=IF(V777="",1,V777),"Performance","Qualité"))))</f>
        <v/>
      </c>
      <c r="AA777" s="59" t="str">
        <f>IF(AC777=1,N(H777)*N(IFERROR(INDEX(art_cost,MATCH(E777,art_ref,0)),0)),"")</f>
        <v/>
      </c>
      <c r="AB777" s="58" t="str">
        <f>IF(COUNTA(A777:I777)=0,"",IF(N(A777)&lt;=0,"Date manquante ou invalide",IF(B777="","Équipe manquante",IF(ISNA(MATCH(B777,eq_code,0)),"Équipe inconnue",IF(INDEX(eq_check,MATCH(B777,eq_code,0))&lt;&gt;"OK","Équipe à corriger dans Paramètres",IF(C777="","Poste manquant",IF(ISNA(MATCH(C777,po_code,0)),"Poste inconnu",IF(AND(E777&lt;&gt;"",ISNA(MATCH(E777,art_ref,0))),"Article inconnu",IF(IF(E777="",FALSE,INDEX(art_check,MATCH(E777,art_ref,0))&lt;&gt;"OK"),"Article à corriger (feuille Articles)",IF(COUNTIFS(sj_date,A777,sj_eq,B777,sj_po,C777)&gt;1,"Ligne en double (même jour, équipe et poste)",IF(OR(NOT(ISNUMBER(K777)),N(K777)&lt;=0,N(K777)&gt;1440),"Temps d'ouverture invalide",IF(OR(AND(G777&lt;&gt;"",NOT(ISNUMBER(G777))),N(G777)&lt;0,N(G777)&lt;&gt;INT(N(G777)),AND(H777&lt;&gt;"",NOT(ISNUMBER(H777))),N(H777)&lt;0,N(H777)&lt;&gt;INT(N(H777)),AND(I777&lt;&gt;"",NOT(ISNUMBER(I777))),N(I777)&lt;0,N(I777)&lt;&gt;INT(N(I777))),"Quantité invalide",IF(Q777&lt;=0,"Cadence manquante (poste ou article)",IF(M777&lt;=0,"Arrêts planifiés supérieurs au temps d'ouverture",IF(O777&lt;0,"Arrêts supérieurs au temps requis",IF(AND(P777&gt;0,O777=0),"Pièces déclarées sans temps de marche",IF(AND(P777=0,O777&gt;0),"Aucune pièce déclarée",IF(P777*60/Q777&gt;O777+0.001,"Cadence dépassée : vérifiez la cadence","OK"))))))))))))))))))</f>
        <v/>
      </c>
      <c r="AC777">
        <f>IF(OR(AB777="OK",AB777="Aucune pièce déclarée",AB777="Cadence dépassée : vérifiez la cadence"),1,0)</f>
        <v>0.0</v>
      </c>
      <c r="AD777">
        <f>IF(AND(AC777=1,A777&gt;=p_from,A777&lt;=p_to),1,0)</f>
        <v>0.0</v>
      </c>
      <c r="AE777">
        <f>IF(AD777=1,IF(COUNTIFS($A$6:A777,A777,$AD$6:AD777,1)=1,1,0),0)</f>
        <v>0.0</v>
      </c>
      <c r="AF777" t="str">
        <f>IF(AE777=1,COUNTIFS(sj_first,1,sj_date,"&lt;"&amp;A777)+1,"")</f>
        <v/>
      </c>
      <c r="AG777" t="str">
        <f>IF(AND(AD777=1,N(W777)&lt;p_alert),ROUND(W777,4),"")</f>
        <v/>
      </c>
      <c r="AH777" t="str">
        <f>IF(AG777="","",COUNTIF(sj_akey,"&lt;"&amp;AG777)+COUNTIF($AG$6:AG777,AG777))</f>
        <v/>
      </c>
    </row>
    <row r="778">
      <c r="A778" s="51" t="n"/>
      <c r="B778" s="52" t="n"/>
      <c r="C778" s="52" t="n"/>
      <c r="D778" s="53" t="n"/>
      <c r="E778" s="53" t="n"/>
      <c r="F778" s="54" t="n"/>
      <c r="G778" s="54" t="n"/>
      <c r="H778" s="54" t="n"/>
      <c r="I778" s="54" t="n"/>
      <c r="J778" s="53" t="n"/>
      <c r="K778" s="55" t="str">
        <f>IF(COUNTA(A778:I778)=0,"",IF(F778="",IFERROR(INDEX(eq_dur,MATCH(B778,eq_code,0)),""),F778))</f>
        <v/>
      </c>
      <c r="L778" s="55" t="str">
        <f>IF(ISNUMBER(K778),N(IFERROR(INDEX(eq_pause,MATCH(B778,eq_code,0)),0))+SUMIFS(st_min,st_date,A778,st_eq,B778,st_po,C778,st_type,"Planifié"),"")</f>
        <v/>
      </c>
      <c r="M778" s="55" t="str">
        <f>IF(ISNUMBER(K778),K778-L778,"")</f>
        <v/>
      </c>
      <c r="N778" s="55" t="str">
        <f>IF(ISNUMBER(K778),SUMIFS(st_min,st_date,A778,st_eq,B778,st_po,C778,st_type,"Non planifié"),"")</f>
        <v/>
      </c>
      <c r="O778" s="55" t="str">
        <f>IF(ISNUMBER(K778),M778-N778,"")</f>
        <v/>
      </c>
      <c r="P778" s="55" t="str">
        <f>IF(COUNTA(A778:I778)=0,"",N(G778)+N(H778)+N(I778))</f>
        <v/>
      </c>
      <c r="Q778" s="56" t="str">
        <f>IF(COUNTA(A778:I778)=0,"",IF(N(IFERROR(INDEX(art_rate,MATCH(E778,art_ref,0)),0))&gt;0,N(IFERROR(INDEX(art_rate,MATCH(E778,art_ref,0)),0)),N(IFERROR(INDEX(po_rate,MATCH(C778,po_code,0)),0))))</f>
        <v/>
      </c>
      <c r="R778" s="55" t="str">
        <f>IF(AC778=1,P778*60/Q778,"")</f>
        <v/>
      </c>
      <c r="S778" s="55" t="str">
        <f>IF(AC778=1,N(G778)*60/Q778,"")</f>
        <v/>
      </c>
      <c r="T778" s="57" t="str">
        <f>IF(AC778=1,O778/M778,"")</f>
        <v/>
      </c>
      <c r="U778" s="57" t="str">
        <f>IF(AC778=1,IF(O778&gt;0,R778/O778,""),"")</f>
        <v/>
      </c>
      <c r="V778" s="57" t="str">
        <f>IF(AC778=1,IF(P778&gt;0,N(G778)/P778,""),"")</f>
        <v/>
      </c>
      <c r="W778" s="57" t="str">
        <f>IF(AC778=1,S778/M778,"")</f>
        <v/>
      </c>
      <c r="X778" s="57" t="str">
        <f>IF(AC778=1,S778/K778,"")</f>
        <v/>
      </c>
      <c r="Y778" s="58" t="str">
        <f>IF(W778="","",IF(W778&gt;=p_target,"Bon",IF(W778&gt;=p_alert,"À surveiller","Faible")))</f>
        <v/>
      </c>
      <c r="Z778" s="58" t="str">
        <f>IF(W778="","",IF(MIN(IF(T778="",1,T778),IF(U778="",1,U778),IF(V778="",1,V778))&gt;=1,"Aucune",IF(IF(T778="",1,T778)&lt;=MIN(IF(U778="",1,U778),IF(V778="",1,V778)),"Disponibilité",IF(IF(U778="",1,U778)&lt;=IF(V778="",1,V778),"Performance","Qualité"))))</f>
        <v/>
      </c>
      <c r="AA778" s="59" t="str">
        <f>IF(AC778=1,N(H778)*N(IFERROR(INDEX(art_cost,MATCH(E778,art_ref,0)),0)),"")</f>
        <v/>
      </c>
      <c r="AB778" s="58" t="str">
        <f>IF(COUNTA(A778:I778)=0,"",IF(N(A778)&lt;=0,"Date manquante ou invalide",IF(B778="","Équipe manquante",IF(ISNA(MATCH(B778,eq_code,0)),"Équipe inconnue",IF(INDEX(eq_check,MATCH(B778,eq_code,0))&lt;&gt;"OK","Équipe à corriger dans Paramètres",IF(C778="","Poste manquant",IF(ISNA(MATCH(C778,po_code,0)),"Poste inconnu",IF(AND(E778&lt;&gt;"",ISNA(MATCH(E778,art_ref,0))),"Article inconnu",IF(IF(E778="",FALSE,INDEX(art_check,MATCH(E778,art_ref,0))&lt;&gt;"OK"),"Article à corriger (feuille Articles)",IF(COUNTIFS(sj_date,A778,sj_eq,B778,sj_po,C778)&gt;1,"Ligne en double (même jour, équipe et poste)",IF(OR(NOT(ISNUMBER(K778)),N(K778)&lt;=0,N(K778)&gt;1440),"Temps d'ouverture invalide",IF(OR(AND(G778&lt;&gt;"",NOT(ISNUMBER(G778))),N(G778)&lt;0,N(G778)&lt;&gt;INT(N(G778)),AND(H778&lt;&gt;"",NOT(ISNUMBER(H778))),N(H778)&lt;0,N(H778)&lt;&gt;INT(N(H778)),AND(I778&lt;&gt;"",NOT(ISNUMBER(I778))),N(I778)&lt;0,N(I778)&lt;&gt;INT(N(I778))),"Quantité invalide",IF(Q778&lt;=0,"Cadence manquante (poste ou article)",IF(M778&lt;=0,"Arrêts planifiés supérieurs au temps d'ouverture",IF(O778&lt;0,"Arrêts supérieurs au temps requis",IF(AND(P778&gt;0,O778=0),"Pièces déclarées sans temps de marche",IF(AND(P778=0,O778&gt;0),"Aucune pièce déclarée",IF(P778*60/Q778&gt;O778+0.001,"Cadence dépassée : vérifiez la cadence","OK"))))))))))))))))))</f>
        <v/>
      </c>
      <c r="AC778">
        <f>IF(OR(AB778="OK",AB778="Aucune pièce déclarée",AB778="Cadence dépassée : vérifiez la cadence"),1,0)</f>
        <v>0.0</v>
      </c>
      <c r="AD778">
        <f>IF(AND(AC778=1,A778&gt;=p_from,A778&lt;=p_to),1,0)</f>
        <v>0.0</v>
      </c>
      <c r="AE778">
        <f>IF(AD778=1,IF(COUNTIFS($A$6:A778,A778,$AD$6:AD778,1)=1,1,0),0)</f>
        <v>0.0</v>
      </c>
      <c r="AF778" t="str">
        <f>IF(AE778=1,COUNTIFS(sj_first,1,sj_date,"&lt;"&amp;A778)+1,"")</f>
        <v/>
      </c>
      <c r="AG778" t="str">
        <f>IF(AND(AD778=1,N(W778)&lt;p_alert),ROUND(W778,4),"")</f>
        <v/>
      </c>
      <c r="AH778" t="str">
        <f>IF(AG778="","",COUNTIF(sj_akey,"&lt;"&amp;AG778)+COUNTIF($AG$6:AG778,AG778))</f>
        <v/>
      </c>
    </row>
    <row r="779">
      <c r="A779" s="51" t="n"/>
      <c r="B779" s="52" t="n"/>
      <c r="C779" s="52" t="n"/>
      <c r="D779" s="53" t="n"/>
      <c r="E779" s="53" t="n"/>
      <c r="F779" s="54" t="n"/>
      <c r="G779" s="54" t="n"/>
      <c r="H779" s="54" t="n"/>
      <c r="I779" s="54" t="n"/>
      <c r="J779" s="53" t="n"/>
      <c r="K779" s="55" t="str">
        <f>IF(COUNTA(A779:I779)=0,"",IF(F779="",IFERROR(INDEX(eq_dur,MATCH(B779,eq_code,0)),""),F779))</f>
        <v/>
      </c>
      <c r="L779" s="55" t="str">
        <f>IF(ISNUMBER(K779),N(IFERROR(INDEX(eq_pause,MATCH(B779,eq_code,0)),0))+SUMIFS(st_min,st_date,A779,st_eq,B779,st_po,C779,st_type,"Planifié"),"")</f>
        <v/>
      </c>
      <c r="M779" s="55" t="str">
        <f>IF(ISNUMBER(K779),K779-L779,"")</f>
        <v/>
      </c>
      <c r="N779" s="55" t="str">
        <f>IF(ISNUMBER(K779),SUMIFS(st_min,st_date,A779,st_eq,B779,st_po,C779,st_type,"Non planifié"),"")</f>
        <v/>
      </c>
      <c r="O779" s="55" t="str">
        <f>IF(ISNUMBER(K779),M779-N779,"")</f>
        <v/>
      </c>
      <c r="P779" s="55" t="str">
        <f>IF(COUNTA(A779:I779)=0,"",N(G779)+N(H779)+N(I779))</f>
        <v/>
      </c>
      <c r="Q779" s="56" t="str">
        <f>IF(COUNTA(A779:I779)=0,"",IF(N(IFERROR(INDEX(art_rate,MATCH(E779,art_ref,0)),0))&gt;0,N(IFERROR(INDEX(art_rate,MATCH(E779,art_ref,0)),0)),N(IFERROR(INDEX(po_rate,MATCH(C779,po_code,0)),0))))</f>
        <v/>
      </c>
      <c r="R779" s="55" t="str">
        <f>IF(AC779=1,P779*60/Q779,"")</f>
        <v/>
      </c>
      <c r="S779" s="55" t="str">
        <f>IF(AC779=1,N(G779)*60/Q779,"")</f>
        <v/>
      </c>
      <c r="T779" s="57" t="str">
        <f>IF(AC779=1,O779/M779,"")</f>
        <v/>
      </c>
      <c r="U779" s="57" t="str">
        <f>IF(AC779=1,IF(O779&gt;0,R779/O779,""),"")</f>
        <v/>
      </c>
      <c r="V779" s="57" t="str">
        <f>IF(AC779=1,IF(P779&gt;0,N(G779)/P779,""),"")</f>
        <v/>
      </c>
      <c r="W779" s="57" t="str">
        <f>IF(AC779=1,S779/M779,"")</f>
        <v/>
      </c>
      <c r="X779" s="57" t="str">
        <f>IF(AC779=1,S779/K779,"")</f>
        <v/>
      </c>
      <c r="Y779" s="58" t="str">
        <f>IF(W779="","",IF(W779&gt;=p_target,"Bon",IF(W779&gt;=p_alert,"À surveiller","Faible")))</f>
        <v/>
      </c>
      <c r="Z779" s="58" t="str">
        <f>IF(W779="","",IF(MIN(IF(T779="",1,T779),IF(U779="",1,U779),IF(V779="",1,V779))&gt;=1,"Aucune",IF(IF(T779="",1,T779)&lt;=MIN(IF(U779="",1,U779),IF(V779="",1,V779)),"Disponibilité",IF(IF(U779="",1,U779)&lt;=IF(V779="",1,V779),"Performance","Qualité"))))</f>
        <v/>
      </c>
      <c r="AA779" s="59" t="str">
        <f>IF(AC779=1,N(H779)*N(IFERROR(INDEX(art_cost,MATCH(E779,art_ref,0)),0)),"")</f>
        <v/>
      </c>
      <c r="AB779" s="58" t="str">
        <f>IF(COUNTA(A779:I779)=0,"",IF(N(A779)&lt;=0,"Date manquante ou invalide",IF(B779="","Équipe manquante",IF(ISNA(MATCH(B779,eq_code,0)),"Équipe inconnue",IF(INDEX(eq_check,MATCH(B779,eq_code,0))&lt;&gt;"OK","Équipe à corriger dans Paramètres",IF(C779="","Poste manquant",IF(ISNA(MATCH(C779,po_code,0)),"Poste inconnu",IF(AND(E779&lt;&gt;"",ISNA(MATCH(E779,art_ref,0))),"Article inconnu",IF(IF(E779="",FALSE,INDEX(art_check,MATCH(E779,art_ref,0))&lt;&gt;"OK"),"Article à corriger (feuille Articles)",IF(COUNTIFS(sj_date,A779,sj_eq,B779,sj_po,C779)&gt;1,"Ligne en double (même jour, équipe et poste)",IF(OR(NOT(ISNUMBER(K779)),N(K779)&lt;=0,N(K779)&gt;1440),"Temps d'ouverture invalide",IF(OR(AND(G779&lt;&gt;"",NOT(ISNUMBER(G779))),N(G779)&lt;0,N(G779)&lt;&gt;INT(N(G779)),AND(H779&lt;&gt;"",NOT(ISNUMBER(H779))),N(H779)&lt;0,N(H779)&lt;&gt;INT(N(H779)),AND(I779&lt;&gt;"",NOT(ISNUMBER(I779))),N(I779)&lt;0,N(I779)&lt;&gt;INT(N(I779))),"Quantité invalide",IF(Q779&lt;=0,"Cadence manquante (poste ou article)",IF(M779&lt;=0,"Arrêts planifiés supérieurs au temps d'ouverture",IF(O779&lt;0,"Arrêts supérieurs au temps requis",IF(AND(P779&gt;0,O779=0),"Pièces déclarées sans temps de marche",IF(AND(P779=0,O779&gt;0),"Aucune pièce déclarée",IF(P779*60/Q779&gt;O779+0.001,"Cadence dépassée : vérifiez la cadence","OK"))))))))))))))))))</f>
        <v/>
      </c>
      <c r="AC779">
        <f>IF(OR(AB779="OK",AB779="Aucune pièce déclarée",AB779="Cadence dépassée : vérifiez la cadence"),1,0)</f>
        <v>0.0</v>
      </c>
      <c r="AD779">
        <f>IF(AND(AC779=1,A779&gt;=p_from,A779&lt;=p_to),1,0)</f>
        <v>0.0</v>
      </c>
      <c r="AE779">
        <f>IF(AD779=1,IF(COUNTIFS($A$6:A779,A779,$AD$6:AD779,1)=1,1,0),0)</f>
        <v>0.0</v>
      </c>
      <c r="AF779" t="str">
        <f>IF(AE779=1,COUNTIFS(sj_first,1,sj_date,"&lt;"&amp;A779)+1,"")</f>
        <v/>
      </c>
      <c r="AG779" t="str">
        <f>IF(AND(AD779=1,N(W779)&lt;p_alert),ROUND(W779,4),"")</f>
        <v/>
      </c>
      <c r="AH779" t="str">
        <f>IF(AG779="","",COUNTIF(sj_akey,"&lt;"&amp;AG779)+COUNTIF($AG$6:AG779,AG779))</f>
        <v/>
      </c>
    </row>
    <row r="780">
      <c r="A780" s="51" t="n"/>
      <c r="B780" s="52" t="n"/>
      <c r="C780" s="52" t="n"/>
      <c r="D780" s="53" t="n"/>
      <c r="E780" s="53" t="n"/>
      <c r="F780" s="54" t="n"/>
      <c r="G780" s="54" t="n"/>
      <c r="H780" s="54" t="n"/>
      <c r="I780" s="54" t="n"/>
      <c r="J780" s="53" t="n"/>
      <c r="K780" s="55" t="str">
        <f>IF(COUNTA(A780:I780)=0,"",IF(F780="",IFERROR(INDEX(eq_dur,MATCH(B780,eq_code,0)),""),F780))</f>
        <v/>
      </c>
      <c r="L780" s="55" t="str">
        <f>IF(ISNUMBER(K780),N(IFERROR(INDEX(eq_pause,MATCH(B780,eq_code,0)),0))+SUMIFS(st_min,st_date,A780,st_eq,B780,st_po,C780,st_type,"Planifié"),"")</f>
        <v/>
      </c>
      <c r="M780" s="55" t="str">
        <f>IF(ISNUMBER(K780),K780-L780,"")</f>
        <v/>
      </c>
      <c r="N780" s="55" t="str">
        <f>IF(ISNUMBER(K780),SUMIFS(st_min,st_date,A780,st_eq,B780,st_po,C780,st_type,"Non planifié"),"")</f>
        <v/>
      </c>
      <c r="O780" s="55" t="str">
        <f>IF(ISNUMBER(K780),M780-N780,"")</f>
        <v/>
      </c>
      <c r="P780" s="55" t="str">
        <f>IF(COUNTA(A780:I780)=0,"",N(G780)+N(H780)+N(I780))</f>
        <v/>
      </c>
      <c r="Q780" s="56" t="str">
        <f>IF(COUNTA(A780:I780)=0,"",IF(N(IFERROR(INDEX(art_rate,MATCH(E780,art_ref,0)),0))&gt;0,N(IFERROR(INDEX(art_rate,MATCH(E780,art_ref,0)),0)),N(IFERROR(INDEX(po_rate,MATCH(C780,po_code,0)),0))))</f>
        <v/>
      </c>
      <c r="R780" s="55" t="str">
        <f>IF(AC780=1,P780*60/Q780,"")</f>
        <v/>
      </c>
      <c r="S780" s="55" t="str">
        <f>IF(AC780=1,N(G780)*60/Q780,"")</f>
        <v/>
      </c>
      <c r="T780" s="57" t="str">
        <f>IF(AC780=1,O780/M780,"")</f>
        <v/>
      </c>
      <c r="U780" s="57" t="str">
        <f>IF(AC780=1,IF(O780&gt;0,R780/O780,""),"")</f>
        <v/>
      </c>
      <c r="V780" s="57" t="str">
        <f>IF(AC780=1,IF(P780&gt;0,N(G780)/P780,""),"")</f>
        <v/>
      </c>
      <c r="W780" s="57" t="str">
        <f>IF(AC780=1,S780/M780,"")</f>
        <v/>
      </c>
      <c r="X780" s="57" t="str">
        <f>IF(AC780=1,S780/K780,"")</f>
        <v/>
      </c>
      <c r="Y780" s="58" t="str">
        <f>IF(W780="","",IF(W780&gt;=p_target,"Bon",IF(W780&gt;=p_alert,"À surveiller","Faible")))</f>
        <v/>
      </c>
      <c r="Z780" s="58" t="str">
        <f>IF(W780="","",IF(MIN(IF(T780="",1,T780),IF(U780="",1,U780),IF(V780="",1,V780))&gt;=1,"Aucune",IF(IF(T780="",1,T780)&lt;=MIN(IF(U780="",1,U780),IF(V780="",1,V780)),"Disponibilité",IF(IF(U780="",1,U780)&lt;=IF(V780="",1,V780),"Performance","Qualité"))))</f>
        <v/>
      </c>
      <c r="AA780" s="59" t="str">
        <f>IF(AC780=1,N(H780)*N(IFERROR(INDEX(art_cost,MATCH(E780,art_ref,0)),0)),"")</f>
        <v/>
      </c>
      <c r="AB780" s="58" t="str">
        <f>IF(COUNTA(A780:I780)=0,"",IF(N(A780)&lt;=0,"Date manquante ou invalide",IF(B780="","Équipe manquante",IF(ISNA(MATCH(B780,eq_code,0)),"Équipe inconnue",IF(INDEX(eq_check,MATCH(B780,eq_code,0))&lt;&gt;"OK","Équipe à corriger dans Paramètres",IF(C780="","Poste manquant",IF(ISNA(MATCH(C780,po_code,0)),"Poste inconnu",IF(AND(E780&lt;&gt;"",ISNA(MATCH(E780,art_ref,0))),"Article inconnu",IF(IF(E780="",FALSE,INDEX(art_check,MATCH(E780,art_ref,0))&lt;&gt;"OK"),"Article à corriger (feuille Articles)",IF(COUNTIFS(sj_date,A780,sj_eq,B780,sj_po,C780)&gt;1,"Ligne en double (même jour, équipe et poste)",IF(OR(NOT(ISNUMBER(K780)),N(K780)&lt;=0,N(K780)&gt;1440),"Temps d'ouverture invalide",IF(OR(AND(G780&lt;&gt;"",NOT(ISNUMBER(G780))),N(G780)&lt;0,N(G780)&lt;&gt;INT(N(G780)),AND(H780&lt;&gt;"",NOT(ISNUMBER(H780))),N(H780)&lt;0,N(H780)&lt;&gt;INT(N(H780)),AND(I780&lt;&gt;"",NOT(ISNUMBER(I780))),N(I780)&lt;0,N(I780)&lt;&gt;INT(N(I780))),"Quantité invalide",IF(Q780&lt;=0,"Cadence manquante (poste ou article)",IF(M780&lt;=0,"Arrêts planifiés supérieurs au temps d'ouverture",IF(O780&lt;0,"Arrêts supérieurs au temps requis",IF(AND(P780&gt;0,O780=0),"Pièces déclarées sans temps de marche",IF(AND(P780=0,O780&gt;0),"Aucune pièce déclarée",IF(P780*60/Q780&gt;O780+0.001,"Cadence dépassée : vérifiez la cadence","OK"))))))))))))))))))</f>
        <v/>
      </c>
      <c r="AC780">
        <f>IF(OR(AB780="OK",AB780="Aucune pièce déclarée",AB780="Cadence dépassée : vérifiez la cadence"),1,0)</f>
        <v>0.0</v>
      </c>
      <c r="AD780">
        <f>IF(AND(AC780=1,A780&gt;=p_from,A780&lt;=p_to),1,0)</f>
        <v>0.0</v>
      </c>
      <c r="AE780">
        <f>IF(AD780=1,IF(COUNTIFS($A$6:A780,A780,$AD$6:AD780,1)=1,1,0),0)</f>
        <v>0.0</v>
      </c>
      <c r="AF780" t="str">
        <f>IF(AE780=1,COUNTIFS(sj_first,1,sj_date,"&lt;"&amp;A780)+1,"")</f>
        <v/>
      </c>
      <c r="AG780" t="str">
        <f>IF(AND(AD780=1,N(W780)&lt;p_alert),ROUND(W780,4),"")</f>
        <v/>
      </c>
      <c r="AH780" t="str">
        <f>IF(AG780="","",COUNTIF(sj_akey,"&lt;"&amp;AG780)+COUNTIF($AG$6:AG780,AG780))</f>
        <v/>
      </c>
    </row>
    <row r="781">
      <c r="A781" s="51" t="n"/>
      <c r="B781" s="52" t="n"/>
      <c r="C781" s="52" t="n"/>
      <c r="D781" s="53" t="n"/>
      <c r="E781" s="53" t="n"/>
      <c r="F781" s="54" t="n"/>
      <c r="G781" s="54" t="n"/>
      <c r="H781" s="54" t="n"/>
      <c r="I781" s="54" t="n"/>
      <c r="J781" s="53" t="n"/>
      <c r="K781" s="55" t="str">
        <f>IF(COUNTA(A781:I781)=0,"",IF(F781="",IFERROR(INDEX(eq_dur,MATCH(B781,eq_code,0)),""),F781))</f>
        <v/>
      </c>
      <c r="L781" s="55" t="str">
        <f>IF(ISNUMBER(K781),N(IFERROR(INDEX(eq_pause,MATCH(B781,eq_code,0)),0))+SUMIFS(st_min,st_date,A781,st_eq,B781,st_po,C781,st_type,"Planifié"),"")</f>
        <v/>
      </c>
      <c r="M781" s="55" t="str">
        <f>IF(ISNUMBER(K781),K781-L781,"")</f>
        <v/>
      </c>
      <c r="N781" s="55" t="str">
        <f>IF(ISNUMBER(K781),SUMIFS(st_min,st_date,A781,st_eq,B781,st_po,C781,st_type,"Non planifié"),"")</f>
        <v/>
      </c>
      <c r="O781" s="55" t="str">
        <f>IF(ISNUMBER(K781),M781-N781,"")</f>
        <v/>
      </c>
      <c r="P781" s="55" t="str">
        <f>IF(COUNTA(A781:I781)=0,"",N(G781)+N(H781)+N(I781))</f>
        <v/>
      </c>
      <c r="Q781" s="56" t="str">
        <f>IF(COUNTA(A781:I781)=0,"",IF(N(IFERROR(INDEX(art_rate,MATCH(E781,art_ref,0)),0))&gt;0,N(IFERROR(INDEX(art_rate,MATCH(E781,art_ref,0)),0)),N(IFERROR(INDEX(po_rate,MATCH(C781,po_code,0)),0))))</f>
        <v/>
      </c>
      <c r="R781" s="55" t="str">
        <f>IF(AC781=1,P781*60/Q781,"")</f>
        <v/>
      </c>
      <c r="S781" s="55" t="str">
        <f>IF(AC781=1,N(G781)*60/Q781,"")</f>
        <v/>
      </c>
      <c r="T781" s="57" t="str">
        <f>IF(AC781=1,O781/M781,"")</f>
        <v/>
      </c>
      <c r="U781" s="57" t="str">
        <f>IF(AC781=1,IF(O781&gt;0,R781/O781,""),"")</f>
        <v/>
      </c>
      <c r="V781" s="57" t="str">
        <f>IF(AC781=1,IF(P781&gt;0,N(G781)/P781,""),"")</f>
        <v/>
      </c>
      <c r="W781" s="57" t="str">
        <f>IF(AC781=1,S781/M781,"")</f>
        <v/>
      </c>
      <c r="X781" s="57" t="str">
        <f>IF(AC781=1,S781/K781,"")</f>
        <v/>
      </c>
      <c r="Y781" s="58" t="str">
        <f>IF(W781="","",IF(W781&gt;=p_target,"Bon",IF(W781&gt;=p_alert,"À surveiller","Faible")))</f>
        <v/>
      </c>
      <c r="Z781" s="58" t="str">
        <f>IF(W781="","",IF(MIN(IF(T781="",1,T781),IF(U781="",1,U781),IF(V781="",1,V781))&gt;=1,"Aucune",IF(IF(T781="",1,T781)&lt;=MIN(IF(U781="",1,U781),IF(V781="",1,V781)),"Disponibilité",IF(IF(U781="",1,U781)&lt;=IF(V781="",1,V781),"Performance","Qualité"))))</f>
        <v/>
      </c>
      <c r="AA781" s="59" t="str">
        <f>IF(AC781=1,N(H781)*N(IFERROR(INDEX(art_cost,MATCH(E781,art_ref,0)),0)),"")</f>
        <v/>
      </c>
      <c r="AB781" s="58" t="str">
        <f>IF(COUNTA(A781:I781)=0,"",IF(N(A781)&lt;=0,"Date manquante ou invalide",IF(B781="","Équipe manquante",IF(ISNA(MATCH(B781,eq_code,0)),"Équipe inconnue",IF(INDEX(eq_check,MATCH(B781,eq_code,0))&lt;&gt;"OK","Équipe à corriger dans Paramètres",IF(C781="","Poste manquant",IF(ISNA(MATCH(C781,po_code,0)),"Poste inconnu",IF(AND(E781&lt;&gt;"",ISNA(MATCH(E781,art_ref,0))),"Article inconnu",IF(IF(E781="",FALSE,INDEX(art_check,MATCH(E781,art_ref,0))&lt;&gt;"OK"),"Article à corriger (feuille Articles)",IF(COUNTIFS(sj_date,A781,sj_eq,B781,sj_po,C781)&gt;1,"Ligne en double (même jour, équipe et poste)",IF(OR(NOT(ISNUMBER(K781)),N(K781)&lt;=0,N(K781)&gt;1440),"Temps d'ouverture invalide",IF(OR(AND(G781&lt;&gt;"",NOT(ISNUMBER(G781))),N(G781)&lt;0,N(G781)&lt;&gt;INT(N(G781)),AND(H781&lt;&gt;"",NOT(ISNUMBER(H781))),N(H781)&lt;0,N(H781)&lt;&gt;INT(N(H781)),AND(I781&lt;&gt;"",NOT(ISNUMBER(I781))),N(I781)&lt;0,N(I781)&lt;&gt;INT(N(I781))),"Quantité invalide",IF(Q781&lt;=0,"Cadence manquante (poste ou article)",IF(M781&lt;=0,"Arrêts planifiés supérieurs au temps d'ouverture",IF(O781&lt;0,"Arrêts supérieurs au temps requis",IF(AND(P781&gt;0,O781=0),"Pièces déclarées sans temps de marche",IF(AND(P781=0,O781&gt;0),"Aucune pièce déclarée",IF(P781*60/Q781&gt;O781+0.001,"Cadence dépassée : vérifiez la cadence","OK"))))))))))))))))))</f>
        <v/>
      </c>
      <c r="AC781">
        <f>IF(OR(AB781="OK",AB781="Aucune pièce déclarée",AB781="Cadence dépassée : vérifiez la cadence"),1,0)</f>
        <v>0.0</v>
      </c>
      <c r="AD781">
        <f>IF(AND(AC781=1,A781&gt;=p_from,A781&lt;=p_to),1,0)</f>
        <v>0.0</v>
      </c>
      <c r="AE781">
        <f>IF(AD781=1,IF(COUNTIFS($A$6:A781,A781,$AD$6:AD781,1)=1,1,0),0)</f>
        <v>0.0</v>
      </c>
      <c r="AF781" t="str">
        <f>IF(AE781=1,COUNTIFS(sj_first,1,sj_date,"&lt;"&amp;A781)+1,"")</f>
        <v/>
      </c>
      <c r="AG781" t="str">
        <f>IF(AND(AD781=1,N(W781)&lt;p_alert),ROUND(W781,4),"")</f>
        <v/>
      </c>
      <c r="AH781" t="str">
        <f>IF(AG781="","",COUNTIF(sj_akey,"&lt;"&amp;AG781)+COUNTIF($AG$6:AG781,AG781))</f>
        <v/>
      </c>
    </row>
    <row r="782">
      <c r="A782" s="51" t="n"/>
      <c r="B782" s="52" t="n"/>
      <c r="C782" s="52" t="n"/>
      <c r="D782" s="53" t="n"/>
      <c r="E782" s="53" t="n"/>
      <c r="F782" s="54" t="n"/>
      <c r="G782" s="54" t="n"/>
      <c r="H782" s="54" t="n"/>
      <c r="I782" s="54" t="n"/>
      <c r="J782" s="53" t="n"/>
      <c r="K782" s="55" t="str">
        <f>IF(COUNTA(A782:I782)=0,"",IF(F782="",IFERROR(INDEX(eq_dur,MATCH(B782,eq_code,0)),""),F782))</f>
        <v/>
      </c>
      <c r="L782" s="55" t="str">
        <f>IF(ISNUMBER(K782),N(IFERROR(INDEX(eq_pause,MATCH(B782,eq_code,0)),0))+SUMIFS(st_min,st_date,A782,st_eq,B782,st_po,C782,st_type,"Planifié"),"")</f>
        <v/>
      </c>
      <c r="M782" s="55" t="str">
        <f>IF(ISNUMBER(K782),K782-L782,"")</f>
        <v/>
      </c>
      <c r="N782" s="55" t="str">
        <f>IF(ISNUMBER(K782),SUMIFS(st_min,st_date,A782,st_eq,B782,st_po,C782,st_type,"Non planifié"),"")</f>
        <v/>
      </c>
      <c r="O782" s="55" t="str">
        <f>IF(ISNUMBER(K782),M782-N782,"")</f>
        <v/>
      </c>
      <c r="P782" s="55" t="str">
        <f>IF(COUNTA(A782:I782)=0,"",N(G782)+N(H782)+N(I782))</f>
        <v/>
      </c>
      <c r="Q782" s="56" t="str">
        <f>IF(COUNTA(A782:I782)=0,"",IF(N(IFERROR(INDEX(art_rate,MATCH(E782,art_ref,0)),0))&gt;0,N(IFERROR(INDEX(art_rate,MATCH(E782,art_ref,0)),0)),N(IFERROR(INDEX(po_rate,MATCH(C782,po_code,0)),0))))</f>
        <v/>
      </c>
      <c r="R782" s="55" t="str">
        <f>IF(AC782=1,P782*60/Q782,"")</f>
        <v/>
      </c>
      <c r="S782" s="55" t="str">
        <f>IF(AC782=1,N(G782)*60/Q782,"")</f>
        <v/>
      </c>
      <c r="T782" s="57" t="str">
        <f>IF(AC782=1,O782/M782,"")</f>
        <v/>
      </c>
      <c r="U782" s="57" t="str">
        <f>IF(AC782=1,IF(O782&gt;0,R782/O782,""),"")</f>
        <v/>
      </c>
      <c r="V782" s="57" t="str">
        <f>IF(AC782=1,IF(P782&gt;0,N(G782)/P782,""),"")</f>
        <v/>
      </c>
      <c r="W782" s="57" t="str">
        <f>IF(AC782=1,S782/M782,"")</f>
        <v/>
      </c>
      <c r="X782" s="57" t="str">
        <f>IF(AC782=1,S782/K782,"")</f>
        <v/>
      </c>
      <c r="Y782" s="58" t="str">
        <f>IF(W782="","",IF(W782&gt;=p_target,"Bon",IF(W782&gt;=p_alert,"À surveiller","Faible")))</f>
        <v/>
      </c>
      <c r="Z782" s="58" t="str">
        <f>IF(W782="","",IF(MIN(IF(T782="",1,T782),IF(U782="",1,U782),IF(V782="",1,V782))&gt;=1,"Aucune",IF(IF(T782="",1,T782)&lt;=MIN(IF(U782="",1,U782),IF(V782="",1,V782)),"Disponibilité",IF(IF(U782="",1,U782)&lt;=IF(V782="",1,V782),"Performance","Qualité"))))</f>
        <v/>
      </c>
      <c r="AA782" s="59" t="str">
        <f>IF(AC782=1,N(H782)*N(IFERROR(INDEX(art_cost,MATCH(E782,art_ref,0)),0)),"")</f>
        <v/>
      </c>
      <c r="AB782" s="58" t="str">
        <f>IF(COUNTA(A782:I782)=0,"",IF(N(A782)&lt;=0,"Date manquante ou invalide",IF(B782="","Équipe manquante",IF(ISNA(MATCH(B782,eq_code,0)),"Équipe inconnue",IF(INDEX(eq_check,MATCH(B782,eq_code,0))&lt;&gt;"OK","Équipe à corriger dans Paramètres",IF(C782="","Poste manquant",IF(ISNA(MATCH(C782,po_code,0)),"Poste inconnu",IF(AND(E782&lt;&gt;"",ISNA(MATCH(E782,art_ref,0))),"Article inconnu",IF(IF(E782="",FALSE,INDEX(art_check,MATCH(E782,art_ref,0))&lt;&gt;"OK"),"Article à corriger (feuille Articles)",IF(COUNTIFS(sj_date,A782,sj_eq,B782,sj_po,C782)&gt;1,"Ligne en double (même jour, équipe et poste)",IF(OR(NOT(ISNUMBER(K782)),N(K782)&lt;=0,N(K782)&gt;1440),"Temps d'ouverture invalide",IF(OR(AND(G782&lt;&gt;"",NOT(ISNUMBER(G782))),N(G782)&lt;0,N(G782)&lt;&gt;INT(N(G782)),AND(H782&lt;&gt;"",NOT(ISNUMBER(H782))),N(H782)&lt;0,N(H782)&lt;&gt;INT(N(H782)),AND(I782&lt;&gt;"",NOT(ISNUMBER(I782))),N(I782)&lt;0,N(I782)&lt;&gt;INT(N(I782))),"Quantité invalide",IF(Q782&lt;=0,"Cadence manquante (poste ou article)",IF(M782&lt;=0,"Arrêts planifiés supérieurs au temps d'ouverture",IF(O782&lt;0,"Arrêts supérieurs au temps requis",IF(AND(P782&gt;0,O782=0),"Pièces déclarées sans temps de marche",IF(AND(P782=0,O782&gt;0),"Aucune pièce déclarée",IF(P782*60/Q782&gt;O782+0.001,"Cadence dépassée : vérifiez la cadence","OK"))))))))))))))))))</f>
        <v/>
      </c>
      <c r="AC782">
        <f>IF(OR(AB782="OK",AB782="Aucune pièce déclarée",AB782="Cadence dépassée : vérifiez la cadence"),1,0)</f>
        <v>0.0</v>
      </c>
      <c r="AD782">
        <f>IF(AND(AC782=1,A782&gt;=p_from,A782&lt;=p_to),1,0)</f>
        <v>0.0</v>
      </c>
      <c r="AE782">
        <f>IF(AD782=1,IF(COUNTIFS($A$6:A782,A782,$AD$6:AD782,1)=1,1,0),0)</f>
        <v>0.0</v>
      </c>
      <c r="AF782" t="str">
        <f>IF(AE782=1,COUNTIFS(sj_first,1,sj_date,"&lt;"&amp;A782)+1,"")</f>
        <v/>
      </c>
      <c r="AG782" t="str">
        <f>IF(AND(AD782=1,N(W782)&lt;p_alert),ROUND(W782,4),"")</f>
        <v/>
      </c>
      <c r="AH782" t="str">
        <f>IF(AG782="","",COUNTIF(sj_akey,"&lt;"&amp;AG782)+COUNTIF($AG$6:AG782,AG782))</f>
        <v/>
      </c>
    </row>
    <row r="783">
      <c r="A783" s="51" t="n"/>
      <c r="B783" s="52" t="n"/>
      <c r="C783" s="52" t="n"/>
      <c r="D783" s="53" t="n"/>
      <c r="E783" s="53" t="n"/>
      <c r="F783" s="54" t="n"/>
      <c r="G783" s="54" t="n"/>
      <c r="H783" s="54" t="n"/>
      <c r="I783" s="54" t="n"/>
      <c r="J783" s="53" t="n"/>
      <c r="K783" s="55" t="str">
        <f>IF(COUNTA(A783:I783)=0,"",IF(F783="",IFERROR(INDEX(eq_dur,MATCH(B783,eq_code,0)),""),F783))</f>
        <v/>
      </c>
      <c r="L783" s="55" t="str">
        <f>IF(ISNUMBER(K783),N(IFERROR(INDEX(eq_pause,MATCH(B783,eq_code,0)),0))+SUMIFS(st_min,st_date,A783,st_eq,B783,st_po,C783,st_type,"Planifié"),"")</f>
        <v/>
      </c>
      <c r="M783" s="55" t="str">
        <f>IF(ISNUMBER(K783),K783-L783,"")</f>
        <v/>
      </c>
      <c r="N783" s="55" t="str">
        <f>IF(ISNUMBER(K783),SUMIFS(st_min,st_date,A783,st_eq,B783,st_po,C783,st_type,"Non planifié"),"")</f>
        <v/>
      </c>
      <c r="O783" s="55" t="str">
        <f>IF(ISNUMBER(K783),M783-N783,"")</f>
        <v/>
      </c>
      <c r="P783" s="55" t="str">
        <f>IF(COUNTA(A783:I783)=0,"",N(G783)+N(H783)+N(I783))</f>
        <v/>
      </c>
      <c r="Q783" s="56" t="str">
        <f>IF(COUNTA(A783:I783)=0,"",IF(N(IFERROR(INDEX(art_rate,MATCH(E783,art_ref,0)),0))&gt;0,N(IFERROR(INDEX(art_rate,MATCH(E783,art_ref,0)),0)),N(IFERROR(INDEX(po_rate,MATCH(C783,po_code,0)),0))))</f>
        <v/>
      </c>
      <c r="R783" s="55" t="str">
        <f>IF(AC783=1,P783*60/Q783,"")</f>
        <v/>
      </c>
      <c r="S783" s="55" t="str">
        <f>IF(AC783=1,N(G783)*60/Q783,"")</f>
        <v/>
      </c>
      <c r="T783" s="57" t="str">
        <f>IF(AC783=1,O783/M783,"")</f>
        <v/>
      </c>
      <c r="U783" s="57" t="str">
        <f>IF(AC783=1,IF(O783&gt;0,R783/O783,""),"")</f>
        <v/>
      </c>
      <c r="V783" s="57" t="str">
        <f>IF(AC783=1,IF(P783&gt;0,N(G783)/P783,""),"")</f>
        <v/>
      </c>
      <c r="W783" s="57" t="str">
        <f>IF(AC783=1,S783/M783,"")</f>
        <v/>
      </c>
      <c r="X783" s="57" t="str">
        <f>IF(AC783=1,S783/K783,"")</f>
        <v/>
      </c>
      <c r="Y783" s="58" t="str">
        <f>IF(W783="","",IF(W783&gt;=p_target,"Bon",IF(W783&gt;=p_alert,"À surveiller","Faible")))</f>
        <v/>
      </c>
      <c r="Z783" s="58" t="str">
        <f>IF(W783="","",IF(MIN(IF(T783="",1,T783),IF(U783="",1,U783),IF(V783="",1,V783))&gt;=1,"Aucune",IF(IF(T783="",1,T783)&lt;=MIN(IF(U783="",1,U783),IF(V783="",1,V783)),"Disponibilité",IF(IF(U783="",1,U783)&lt;=IF(V783="",1,V783),"Performance","Qualité"))))</f>
        <v/>
      </c>
      <c r="AA783" s="59" t="str">
        <f>IF(AC783=1,N(H783)*N(IFERROR(INDEX(art_cost,MATCH(E783,art_ref,0)),0)),"")</f>
        <v/>
      </c>
      <c r="AB783" s="58" t="str">
        <f>IF(COUNTA(A783:I783)=0,"",IF(N(A783)&lt;=0,"Date manquante ou invalide",IF(B783="","Équipe manquante",IF(ISNA(MATCH(B783,eq_code,0)),"Équipe inconnue",IF(INDEX(eq_check,MATCH(B783,eq_code,0))&lt;&gt;"OK","Équipe à corriger dans Paramètres",IF(C783="","Poste manquant",IF(ISNA(MATCH(C783,po_code,0)),"Poste inconnu",IF(AND(E783&lt;&gt;"",ISNA(MATCH(E783,art_ref,0))),"Article inconnu",IF(IF(E783="",FALSE,INDEX(art_check,MATCH(E783,art_ref,0))&lt;&gt;"OK"),"Article à corriger (feuille Articles)",IF(COUNTIFS(sj_date,A783,sj_eq,B783,sj_po,C783)&gt;1,"Ligne en double (même jour, équipe et poste)",IF(OR(NOT(ISNUMBER(K783)),N(K783)&lt;=0,N(K783)&gt;1440),"Temps d'ouverture invalide",IF(OR(AND(G783&lt;&gt;"",NOT(ISNUMBER(G783))),N(G783)&lt;0,N(G783)&lt;&gt;INT(N(G783)),AND(H783&lt;&gt;"",NOT(ISNUMBER(H783))),N(H783)&lt;0,N(H783)&lt;&gt;INT(N(H783)),AND(I783&lt;&gt;"",NOT(ISNUMBER(I783))),N(I783)&lt;0,N(I783)&lt;&gt;INT(N(I783))),"Quantité invalide",IF(Q783&lt;=0,"Cadence manquante (poste ou article)",IF(M783&lt;=0,"Arrêts planifiés supérieurs au temps d'ouverture",IF(O783&lt;0,"Arrêts supérieurs au temps requis",IF(AND(P783&gt;0,O783=0),"Pièces déclarées sans temps de marche",IF(AND(P783=0,O783&gt;0),"Aucune pièce déclarée",IF(P783*60/Q783&gt;O783+0.001,"Cadence dépassée : vérifiez la cadence","OK"))))))))))))))))))</f>
        <v/>
      </c>
      <c r="AC783">
        <f>IF(OR(AB783="OK",AB783="Aucune pièce déclarée",AB783="Cadence dépassée : vérifiez la cadence"),1,0)</f>
        <v>0.0</v>
      </c>
      <c r="AD783">
        <f>IF(AND(AC783=1,A783&gt;=p_from,A783&lt;=p_to),1,0)</f>
        <v>0.0</v>
      </c>
      <c r="AE783">
        <f>IF(AD783=1,IF(COUNTIFS($A$6:A783,A783,$AD$6:AD783,1)=1,1,0),0)</f>
        <v>0.0</v>
      </c>
      <c r="AF783" t="str">
        <f>IF(AE783=1,COUNTIFS(sj_first,1,sj_date,"&lt;"&amp;A783)+1,"")</f>
        <v/>
      </c>
      <c r="AG783" t="str">
        <f>IF(AND(AD783=1,N(W783)&lt;p_alert),ROUND(W783,4),"")</f>
        <v/>
      </c>
      <c r="AH783" t="str">
        <f>IF(AG783="","",COUNTIF(sj_akey,"&lt;"&amp;AG783)+COUNTIF($AG$6:AG783,AG783))</f>
        <v/>
      </c>
    </row>
    <row r="784">
      <c r="A784" s="51" t="n"/>
      <c r="B784" s="52" t="n"/>
      <c r="C784" s="52" t="n"/>
      <c r="D784" s="53" t="n"/>
      <c r="E784" s="53" t="n"/>
      <c r="F784" s="54" t="n"/>
      <c r="G784" s="54" t="n"/>
      <c r="H784" s="54" t="n"/>
      <c r="I784" s="54" t="n"/>
      <c r="J784" s="53" t="n"/>
      <c r="K784" s="55" t="str">
        <f>IF(COUNTA(A784:I784)=0,"",IF(F784="",IFERROR(INDEX(eq_dur,MATCH(B784,eq_code,0)),""),F784))</f>
        <v/>
      </c>
      <c r="L784" s="55" t="str">
        <f>IF(ISNUMBER(K784),N(IFERROR(INDEX(eq_pause,MATCH(B784,eq_code,0)),0))+SUMIFS(st_min,st_date,A784,st_eq,B784,st_po,C784,st_type,"Planifié"),"")</f>
        <v/>
      </c>
      <c r="M784" s="55" t="str">
        <f>IF(ISNUMBER(K784),K784-L784,"")</f>
        <v/>
      </c>
      <c r="N784" s="55" t="str">
        <f>IF(ISNUMBER(K784),SUMIFS(st_min,st_date,A784,st_eq,B784,st_po,C784,st_type,"Non planifié"),"")</f>
        <v/>
      </c>
      <c r="O784" s="55" t="str">
        <f>IF(ISNUMBER(K784),M784-N784,"")</f>
        <v/>
      </c>
      <c r="P784" s="55" t="str">
        <f>IF(COUNTA(A784:I784)=0,"",N(G784)+N(H784)+N(I784))</f>
        <v/>
      </c>
      <c r="Q784" s="56" t="str">
        <f>IF(COUNTA(A784:I784)=0,"",IF(N(IFERROR(INDEX(art_rate,MATCH(E784,art_ref,0)),0))&gt;0,N(IFERROR(INDEX(art_rate,MATCH(E784,art_ref,0)),0)),N(IFERROR(INDEX(po_rate,MATCH(C784,po_code,0)),0))))</f>
        <v/>
      </c>
      <c r="R784" s="55" t="str">
        <f>IF(AC784=1,P784*60/Q784,"")</f>
        <v/>
      </c>
      <c r="S784" s="55" t="str">
        <f>IF(AC784=1,N(G784)*60/Q784,"")</f>
        <v/>
      </c>
      <c r="T784" s="57" t="str">
        <f>IF(AC784=1,O784/M784,"")</f>
        <v/>
      </c>
      <c r="U784" s="57" t="str">
        <f>IF(AC784=1,IF(O784&gt;0,R784/O784,""),"")</f>
        <v/>
      </c>
      <c r="V784" s="57" t="str">
        <f>IF(AC784=1,IF(P784&gt;0,N(G784)/P784,""),"")</f>
        <v/>
      </c>
      <c r="W784" s="57" t="str">
        <f>IF(AC784=1,S784/M784,"")</f>
        <v/>
      </c>
      <c r="X784" s="57" t="str">
        <f>IF(AC784=1,S784/K784,"")</f>
        <v/>
      </c>
      <c r="Y784" s="58" t="str">
        <f>IF(W784="","",IF(W784&gt;=p_target,"Bon",IF(W784&gt;=p_alert,"À surveiller","Faible")))</f>
        <v/>
      </c>
      <c r="Z784" s="58" t="str">
        <f>IF(W784="","",IF(MIN(IF(T784="",1,T784),IF(U784="",1,U784),IF(V784="",1,V784))&gt;=1,"Aucune",IF(IF(T784="",1,T784)&lt;=MIN(IF(U784="",1,U784),IF(V784="",1,V784)),"Disponibilité",IF(IF(U784="",1,U784)&lt;=IF(V784="",1,V784),"Performance","Qualité"))))</f>
        <v/>
      </c>
      <c r="AA784" s="59" t="str">
        <f>IF(AC784=1,N(H784)*N(IFERROR(INDEX(art_cost,MATCH(E784,art_ref,0)),0)),"")</f>
        <v/>
      </c>
      <c r="AB784" s="58" t="str">
        <f>IF(COUNTA(A784:I784)=0,"",IF(N(A784)&lt;=0,"Date manquante ou invalide",IF(B784="","Équipe manquante",IF(ISNA(MATCH(B784,eq_code,0)),"Équipe inconnue",IF(INDEX(eq_check,MATCH(B784,eq_code,0))&lt;&gt;"OK","Équipe à corriger dans Paramètres",IF(C784="","Poste manquant",IF(ISNA(MATCH(C784,po_code,0)),"Poste inconnu",IF(AND(E784&lt;&gt;"",ISNA(MATCH(E784,art_ref,0))),"Article inconnu",IF(IF(E784="",FALSE,INDEX(art_check,MATCH(E784,art_ref,0))&lt;&gt;"OK"),"Article à corriger (feuille Articles)",IF(COUNTIFS(sj_date,A784,sj_eq,B784,sj_po,C784)&gt;1,"Ligne en double (même jour, équipe et poste)",IF(OR(NOT(ISNUMBER(K784)),N(K784)&lt;=0,N(K784)&gt;1440),"Temps d'ouverture invalide",IF(OR(AND(G784&lt;&gt;"",NOT(ISNUMBER(G784))),N(G784)&lt;0,N(G784)&lt;&gt;INT(N(G784)),AND(H784&lt;&gt;"",NOT(ISNUMBER(H784))),N(H784)&lt;0,N(H784)&lt;&gt;INT(N(H784)),AND(I784&lt;&gt;"",NOT(ISNUMBER(I784))),N(I784)&lt;0,N(I784)&lt;&gt;INT(N(I784))),"Quantité invalide",IF(Q784&lt;=0,"Cadence manquante (poste ou article)",IF(M784&lt;=0,"Arrêts planifiés supérieurs au temps d'ouverture",IF(O784&lt;0,"Arrêts supérieurs au temps requis",IF(AND(P784&gt;0,O784=0),"Pièces déclarées sans temps de marche",IF(AND(P784=0,O784&gt;0),"Aucune pièce déclarée",IF(P784*60/Q784&gt;O784+0.001,"Cadence dépassée : vérifiez la cadence","OK"))))))))))))))))))</f>
        <v/>
      </c>
      <c r="AC784">
        <f>IF(OR(AB784="OK",AB784="Aucune pièce déclarée",AB784="Cadence dépassée : vérifiez la cadence"),1,0)</f>
        <v>0.0</v>
      </c>
      <c r="AD784">
        <f>IF(AND(AC784=1,A784&gt;=p_from,A784&lt;=p_to),1,0)</f>
        <v>0.0</v>
      </c>
      <c r="AE784">
        <f>IF(AD784=1,IF(COUNTIFS($A$6:A784,A784,$AD$6:AD784,1)=1,1,0),0)</f>
        <v>0.0</v>
      </c>
      <c r="AF784" t="str">
        <f>IF(AE784=1,COUNTIFS(sj_first,1,sj_date,"&lt;"&amp;A784)+1,"")</f>
        <v/>
      </c>
      <c r="AG784" t="str">
        <f>IF(AND(AD784=1,N(W784)&lt;p_alert),ROUND(W784,4),"")</f>
        <v/>
      </c>
      <c r="AH784" t="str">
        <f>IF(AG784="","",COUNTIF(sj_akey,"&lt;"&amp;AG784)+COUNTIF($AG$6:AG784,AG784))</f>
        <v/>
      </c>
    </row>
    <row r="785">
      <c r="A785" s="51" t="n"/>
      <c r="B785" s="52" t="n"/>
      <c r="C785" s="52" t="n"/>
      <c r="D785" s="53" t="n"/>
      <c r="E785" s="53" t="n"/>
      <c r="F785" s="54" t="n"/>
      <c r="G785" s="54" t="n"/>
      <c r="H785" s="54" t="n"/>
      <c r="I785" s="54" t="n"/>
      <c r="J785" s="53" t="n"/>
      <c r="K785" s="55" t="str">
        <f>IF(COUNTA(A785:I785)=0,"",IF(F785="",IFERROR(INDEX(eq_dur,MATCH(B785,eq_code,0)),""),F785))</f>
        <v/>
      </c>
      <c r="L785" s="55" t="str">
        <f>IF(ISNUMBER(K785),N(IFERROR(INDEX(eq_pause,MATCH(B785,eq_code,0)),0))+SUMIFS(st_min,st_date,A785,st_eq,B785,st_po,C785,st_type,"Planifié"),"")</f>
        <v/>
      </c>
      <c r="M785" s="55" t="str">
        <f>IF(ISNUMBER(K785),K785-L785,"")</f>
        <v/>
      </c>
      <c r="N785" s="55" t="str">
        <f>IF(ISNUMBER(K785),SUMIFS(st_min,st_date,A785,st_eq,B785,st_po,C785,st_type,"Non planifié"),"")</f>
        <v/>
      </c>
      <c r="O785" s="55" t="str">
        <f>IF(ISNUMBER(K785),M785-N785,"")</f>
        <v/>
      </c>
      <c r="P785" s="55" t="str">
        <f>IF(COUNTA(A785:I785)=0,"",N(G785)+N(H785)+N(I785))</f>
        <v/>
      </c>
      <c r="Q785" s="56" t="str">
        <f>IF(COUNTA(A785:I785)=0,"",IF(N(IFERROR(INDEX(art_rate,MATCH(E785,art_ref,0)),0))&gt;0,N(IFERROR(INDEX(art_rate,MATCH(E785,art_ref,0)),0)),N(IFERROR(INDEX(po_rate,MATCH(C785,po_code,0)),0))))</f>
        <v/>
      </c>
      <c r="R785" s="55" t="str">
        <f>IF(AC785=1,P785*60/Q785,"")</f>
        <v/>
      </c>
      <c r="S785" s="55" t="str">
        <f>IF(AC785=1,N(G785)*60/Q785,"")</f>
        <v/>
      </c>
      <c r="T785" s="57" t="str">
        <f>IF(AC785=1,O785/M785,"")</f>
        <v/>
      </c>
      <c r="U785" s="57" t="str">
        <f>IF(AC785=1,IF(O785&gt;0,R785/O785,""),"")</f>
        <v/>
      </c>
      <c r="V785" s="57" t="str">
        <f>IF(AC785=1,IF(P785&gt;0,N(G785)/P785,""),"")</f>
        <v/>
      </c>
      <c r="W785" s="57" t="str">
        <f>IF(AC785=1,S785/M785,"")</f>
        <v/>
      </c>
      <c r="X785" s="57" t="str">
        <f>IF(AC785=1,S785/K785,"")</f>
        <v/>
      </c>
      <c r="Y785" s="58" t="str">
        <f>IF(W785="","",IF(W785&gt;=p_target,"Bon",IF(W785&gt;=p_alert,"À surveiller","Faible")))</f>
        <v/>
      </c>
      <c r="Z785" s="58" t="str">
        <f>IF(W785="","",IF(MIN(IF(T785="",1,T785),IF(U785="",1,U785),IF(V785="",1,V785))&gt;=1,"Aucune",IF(IF(T785="",1,T785)&lt;=MIN(IF(U785="",1,U785),IF(V785="",1,V785)),"Disponibilité",IF(IF(U785="",1,U785)&lt;=IF(V785="",1,V785),"Performance","Qualité"))))</f>
        <v/>
      </c>
      <c r="AA785" s="59" t="str">
        <f>IF(AC785=1,N(H785)*N(IFERROR(INDEX(art_cost,MATCH(E785,art_ref,0)),0)),"")</f>
        <v/>
      </c>
      <c r="AB785" s="58" t="str">
        <f>IF(COUNTA(A785:I785)=0,"",IF(N(A785)&lt;=0,"Date manquante ou invalide",IF(B785="","Équipe manquante",IF(ISNA(MATCH(B785,eq_code,0)),"Équipe inconnue",IF(INDEX(eq_check,MATCH(B785,eq_code,0))&lt;&gt;"OK","Équipe à corriger dans Paramètres",IF(C785="","Poste manquant",IF(ISNA(MATCH(C785,po_code,0)),"Poste inconnu",IF(AND(E785&lt;&gt;"",ISNA(MATCH(E785,art_ref,0))),"Article inconnu",IF(IF(E785="",FALSE,INDEX(art_check,MATCH(E785,art_ref,0))&lt;&gt;"OK"),"Article à corriger (feuille Articles)",IF(COUNTIFS(sj_date,A785,sj_eq,B785,sj_po,C785)&gt;1,"Ligne en double (même jour, équipe et poste)",IF(OR(NOT(ISNUMBER(K785)),N(K785)&lt;=0,N(K785)&gt;1440),"Temps d'ouverture invalide",IF(OR(AND(G785&lt;&gt;"",NOT(ISNUMBER(G785))),N(G785)&lt;0,N(G785)&lt;&gt;INT(N(G785)),AND(H785&lt;&gt;"",NOT(ISNUMBER(H785))),N(H785)&lt;0,N(H785)&lt;&gt;INT(N(H785)),AND(I785&lt;&gt;"",NOT(ISNUMBER(I785))),N(I785)&lt;0,N(I785)&lt;&gt;INT(N(I785))),"Quantité invalide",IF(Q785&lt;=0,"Cadence manquante (poste ou article)",IF(M785&lt;=0,"Arrêts planifiés supérieurs au temps d'ouverture",IF(O785&lt;0,"Arrêts supérieurs au temps requis",IF(AND(P785&gt;0,O785=0),"Pièces déclarées sans temps de marche",IF(AND(P785=0,O785&gt;0),"Aucune pièce déclarée",IF(P785*60/Q785&gt;O785+0.001,"Cadence dépassée : vérifiez la cadence","OK"))))))))))))))))))</f>
        <v/>
      </c>
      <c r="AC785">
        <f>IF(OR(AB785="OK",AB785="Aucune pièce déclarée",AB785="Cadence dépassée : vérifiez la cadence"),1,0)</f>
        <v>0.0</v>
      </c>
      <c r="AD785">
        <f>IF(AND(AC785=1,A785&gt;=p_from,A785&lt;=p_to),1,0)</f>
        <v>0.0</v>
      </c>
      <c r="AE785">
        <f>IF(AD785=1,IF(COUNTIFS($A$6:A785,A785,$AD$6:AD785,1)=1,1,0),0)</f>
        <v>0.0</v>
      </c>
      <c r="AF785" t="str">
        <f>IF(AE785=1,COUNTIFS(sj_first,1,sj_date,"&lt;"&amp;A785)+1,"")</f>
        <v/>
      </c>
      <c r="AG785" t="str">
        <f>IF(AND(AD785=1,N(W785)&lt;p_alert),ROUND(W785,4),"")</f>
        <v/>
      </c>
      <c r="AH785" t="str">
        <f>IF(AG785="","",COUNTIF(sj_akey,"&lt;"&amp;AG785)+COUNTIF($AG$6:AG785,AG785))</f>
        <v/>
      </c>
    </row>
    <row r="786">
      <c r="A786" s="51" t="n"/>
      <c r="B786" s="52" t="n"/>
      <c r="C786" s="52" t="n"/>
      <c r="D786" s="53" t="n"/>
      <c r="E786" s="53" t="n"/>
      <c r="F786" s="54" t="n"/>
      <c r="G786" s="54" t="n"/>
      <c r="H786" s="54" t="n"/>
      <c r="I786" s="54" t="n"/>
      <c r="J786" s="53" t="n"/>
      <c r="K786" s="55" t="str">
        <f>IF(COUNTA(A786:I786)=0,"",IF(F786="",IFERROR(INDEX(eq_dur,MATCH(B786,eq_code,0)),""),F786))</f>
        <v/>
      </c>
      <c r="L786" s="55" t="str">
        <f>IF(ISNUMBER(K786),N(IFERROR(INDEX(eq_pause,MATCH(B786,eq_code,0)),0))+SUMIFS(st_min,st_date,A786,st_eq,B786,st_po,C786,st_type,"Planifié"),"")</f>
        <v/>
      </c>
      <c r="M786" s="55" t="str">
        <f>IF(ISNUMBER(K786),K786-L786,"")</f>
        <v/>
      </c>
      <c r="N786" s="55" t="str">
        <f>IF(ISNUMBER(K786),SUMIFS(st_min,st_date,A786,st_eq,B786,st_po,C786,st_type,"Non planifié"),"")</f>
        <v/>
      </c>
      <c r="O786" s="55" t="str">
        <f>IF(ISNUMBER(K786),M786-N786,"")</f>
        <v/>
      </c>
      <c r="P786" s="55" t="str">
        <f>IF(COUNTA(A786:I786)=0,"",N(G786)+N(H786)+N(I786))</f>
        <v/>
      </c>
      <c r="Q786" s="56" t="str">
        <f>IF(COUNTA(A786:I786)=0,"",IF(N(IFERROR(INDEX(art_rate,MATCH(E786,art_ref,0)),0))&gt;0,N(IFERROR(INDEX(art_rate,MATCH(E786,art_ref,0)),0)),N(IFERROR(INDEX(po_rate,MATCH(C786,po_code,0)),0))))</f>
        <v/>
      </c>
      <c r="R786" s="55" t="str">
        <f>IF(AC786=1,P786*60/Q786,"")</f>
        <v/>
      </c>
      <c r="S786" s="55" t="str">
        <f>IF(AC786=1,N(G786)*60/Q786,"")</f>
        <v/>
      </c>
      <c r="T786" s="57" t="str">
        <f>IF(AC786=1,O786/M786,"")</f>
        <v/>
      </c>
      <c r="U786" s="57" t="str">
        <f>IF(AC786=1,IF(O786&gt;0,R786/O786,""),"")</f>
        <v/>
      </c>
      <c r="V786" s="57" t="str">
        <f>IF(AC786=1,IF(P786&gt;0,N(G786)/P786,""),"")</f>
        <v/>
      </c>
      <c r="W786" s="57" t="str">
        <f>IF(AC786=1,S786/M786,"")</f>
        <v/>
      </c>
      <c r="X786" s="57" t="str">
        <f>IF(AC786=1,S786/K786,"")</f>
        <v/>
      </c>
      <c r="Y786" s="58" t="str">
        <f>IF(W786="","",IF(W786&gt;=p_target,"Bon",IF(W786&gt;=p_alert,"À surveiller","Faible")))</f>
        <v/>
      </c>
      <c r="Z786" s="58" t="str">
        <f>IF(W786="","",IF(MIN(IF(T786="",1,T786),IF(U786="",1,U786),IF(V786="",1,V786))&gt;=1,"Aucune",IF(IF(T786="",1,T786)&lt;=MIN(IF(U786="",1,U786),IF(V786="",1,V786)),"Disponibilité",IF(IF(U786="",1,U786)&lt;=IF(V786="",1,V786),"Performance","Qualité"))))</f>
        <v/>
      </c>
      <c r="AA786" s="59" t="str">
        <f>IF(AC786=1,N(H786)*N(IFERROR(INDEX(art_cost,MATCH(E786,art_ref,0)),0)),"")</f>
        <v/>
      </c>
      <c r="AB786" s="58" t="str">
        <f>IF(COUNTA(A786:I786)=0,"",IF(N(A786)&lt;=0,"Date manquante ou invalide",IF(B786="","Équipe manquante",IF(ISNA(MATCH(B786,eq_code,0)),"Équipe inconnue",IF(INDEX(eq_check,MATCH(B786,eq_code,0))&lt;&gt;"OK","Équipe à corriger dans Paramètres",IF(C786="","Poste manquant",IF(ISNA(MATCH(C786,po_code,0)),"Poste inconnu",IF(AND(E786&lt;&gt;"",ISNA(MATCH(E786,art_ref,0))),"Article inconnu",IF(IF(E786="",FALSE,INDEX(art_check,MATCH(E786,art_ref,0))&lt;&gt;"OK"),"Article à corriger (feuille Articles)",IF(COUNTIFS(sj_date,A786,sj_eq,B786,sj_po,C786)&gt;1,"Ligne en double (même jour, équipe et poste)",IF(OR(NOT(ISNUMBER(K786)),N(K786)&lt;=0,N(K786)&gt;1440),"Temps d'ouverture invalide",IF(OR(AND(G786&lt;&gt;"",NOT(ISNUMBER(G786))),N(G786)&lt;0,N(G786)&lt;&gt;INT(N(G786)),AND(H786&lt;&gt;"",NOT(ISNUMBER(H786))),N(H786)&lt;0,N(H786)&lt;&gt;INT(N(H786)),AND(I786&lt;&gt;"",NOT(ISNUMBER(I786))),N(I786)&lt;0,N(I786)&lt;&gt;INT(N(I786))),"Quantité invalide",IF(Q786&lt;=0,"Cadence manquante (poste ou article)",IF(M786&lt;=0,"Arrêts planifiés supérieurs au temps d'ouverture",IF(O786&lt;0,"Arrêts supérieurs au temps requis",IF(AND(P786&gt;0,O786=0),"Pièces déclarées sans temps de marche",IF(AND(P786=0,O786&gt;0),"Aucune pièce déclarée",IF(P786*60/Q786&gt;O786+0.001,"Cadence dépassée : vérifiez la cadence","OK"))))))))))))))))))</f>
        <v/>
      </c>
      <c r="AC786">
        <f>IF(OR(AB786="OK",AB786="Aucune pièce déclarée",AB786="Cadence dépassée : vérifiez la cadence"),1,0)</f>
        <v>0.0</v>
      </c>
      <c r="AD786">
        <f>IF(AND(AC786=1,A786&gt;=p_from,A786&lt;=p_to),1,0)</f>
        <v>0.0</v>
      </c>
      <c r="AE786">
        <f>IF(AD786=1,IF(COUNTIFS($A$6:A786,A786,$AD$6:AD786,1)=1,1,0),0)</f>
        <v>0.0</v>
      </c>
      <c r="AF786" t="str">
        <f>IF(AE786=1,COUNTIFS(sj_first,1,sj_date,"&lt;"&amp;A786)+1,"")</f>
        <v/>
      </c>
      <c r="AG786" t="str">
        <f>IF(AND(AD786=1,N(W786)&lt;p_alert),ROUND(W786,4),"")</f>
        <v/>
      </c>
      <c r="AH786" t="str">
        <f>IF(AG786="","",COUNTIF(sj_akey,"&lt;"&amp;AG786)+COUNTIF($AG$6:AG786,AG786))</f>
        <v/>
      </c>
    </row>
    <row r="787">
      <c r="A787" s="51" t="n"/>
      <c r="B787" s="52" t="n"/>
      <c r="C787" s="52" t="n"/>
      <c r="D787" s="53" t="n"/>
      <c r="E787" s="53" t="n"/>
      <c r="F787" s="54" t="n"/>
      <c r="G787" s="54" t="n"/>
      <c r="H787" s="54" t="n"/>
      <c r="I787" s="54" t="n"/>
      <c r="J787" s="53" t="n"/>
      <c r="K787" s="55" t="str">
        <f>IF(COUNTA(A787:I787)=0,"",IF(F787="",IFERROR(INDEX(eq_dur,MATCH(B787,eq_code,0)),""),F787))</f>
        <v/>
      </c>
      <c r="L787" s="55" t="str">
        <f>IF(ISNUMBER(K787),N(IFERROR(INDEX(eq_pause,MATCH(B787,eq_code,0)),0))+SUMIFS(st_min,st_date,A787,st_eq,B787,st_po,C787,st_type,"Planifié"),"")</f>
        <v/>
      </c>
      <c r="M787" s="55" t="str">
        <f>IF(ISNUMBER(K787),K787-L787,"")</f>
        <v/>
      </c>
      <c r="N787" s="55" t="str">
        <f>IF(ISNUMBER(K787),SUMIFS(st_min,st_date,A787,st_eq,B787,st_po,C787,st_type,"Non planifié"),"")</f>
        <v/>
      </c>
      <c r="O787" s="55" t="str">
        <f>IF(ISNUMBER(K787),M787-N787,"")</f>
        <v/>
      </c>
      <c r="P787" s="55" t="str">
        <f>IF(COUNTA(A787:I787)=0,"",N(G787)+N(H787)+N(I787))</f>
        <v/>
      </c>
      <c r="Q787" s="56" t="str">
        <f>IF(COUNTA(A787:I787)=0,"",IF(N(IFERROR(INDEX(art_rate,MATCH(E787,art_ref,0)),0))&gt;0,N(IFERROR(INDEX(art_rate,MATCH(E787,art_ref,0)),0)),N(IFERROR(INDEX(po_rate,MATCH(C787,po_code,0)),0))))</f>
        <v/>
      </c>
      <c r="R787" s="55" t="str">
        <f>IF(AC787=1,P787*60/Q787,"")</f>
        <v/>
      </c>
      <c r="S787" s="55" t="str">
        <f>IF(AC787=1,N(G787)*60/Q787,"")</f>
        <v/>
      </c>
      <c r="T787" s="57" t="str">
        <f>IF(AC787=1,O787/M787,"")</f>
        <v/>
      </c>
      <c r="U787" s="57" t="str">
        <f>IF(AC787=1,IF(O787&gt;0,R787/O787,""),"")</f>
        <v/>
      </c>
      <c r="V787" s="57" t="str">
        <f>IF(AC787=1,IF(P787&gt;0,N(G787)/P787,""),"")</f>
        <v/>
      </c>
      <c r="W787" s="57" t="str">
        <f>IF(AC787=1,S787/M787,"")</f>
        <v/>
      </c>
      <c r="X787" s="57" t="str">
        <f>IF(AC787=1,S787/K787,"")</f>
        <v/>
      </c>
      <c r="Y787" s="58" t="str">
        <f>IF(W787="","",IF(W787&gt;=p_target,"Bon",IF(W787&gt;=p_alert,"À surveiller","Faible")))</f>
        <v/>
      </c>
      <c r="Z787" s="58" t="str">
        <f>IF(W787="","",IF(MIN(IF(T787="",1,T787),IF(U787="",1,U787),IF(V787="",1,V787))&gt;=1,"Aucune",IF(IF(T787="",1,T787)&lt;=MIN(IF(U787="",1,U787),IF(V787="",1,V787)),"Disponibilité",IF(IF(U787="",1,U787)&lt;=IF(V787="",1,V787),"Performance","Qualité"))))</f>
        <v/>
      </c>
      <c r="AA787" s="59" t="str">
        <f>IF(AC787=1,N(H787)*N(IFERROR(INDEX(art_cost,MATCH(E787,art_ref,0)),0)),"")</f>
        <v/>
      </c>
      <c r="AB787" s="58" t="str">
        <f>IF(COUNTA(A787:I787)=0,"",IF(N(A787)&lt;=0,"Date manquante ou invalide",IF(B787="","Équipe manquante",IF(ISNA(MATCH(B787,eq_code,0)),"Équipe inconnue",IF(INDEX(eq_check,MATCH(B787,eq_code,0))&lt;&gt;"OK","Équipe à corriger dans Paramètres",IF(C787="","Poste manquant",IF(ISNA(MATCH(C787,po_code,0)),"Poste inconnu",IF(AND(E787&lt;&gt;"",ISNA(MATCH(E787,art_ref,0))),"Article inconnu",IF(IF(E787="",FALSE,INDEX(art_check,MATCH(E787,art_ref,0))&lt;&gt;"OK"),"Article à corriger (feuille Articles)",IF(COUNTIFS(sj_date,A787,sj_eq,B787,sj_po,C787)&gt;1,"Ligne en double (même jour, équipe et poste)",IF(OR(NOT(ISNUMBER(K787)),N(K787)&lt;=0,N(K787)&gt;1440),"Temps d'ouverture invalide",IF(OR(AND(G787&lt;&gt;"",NOT(ISNUMBER(G787))),N(G787)&lt;0,N(G787)&lt;&gt;INT(N(G787)),AND(H787&lt;&gt;"",NOT(ISNUMBER(H787))),N(H787)&lt;0,N(H787)&lt;&gt;INT(N(H787)),AND(I787&lt;&gt;"",NOT(ISNUMBER(I787))),N(I787)&lt;0,N(I787)&lt;&gt;INT(N(I787))),"Quantité invalide",IF(Q787&lt;=0,"Cadence manquante (poste ou article)",IF(M787&lt;=0,"Arrêts planifiés supérieurs au temps d'ouverture",IF(O787&lt;0,"Arrêts supérieurs au temps requis",IF(AND(P787&gt;0,O787=0),"Pièces déclarées sans temps de marche",IF(AND(P787=0,O787&gt;0),"Aucune pièce déclarée",IF(P787*60/Q787&gt;O787+0.001,"Cadence dépassée : vérifiez la cadence","OK"))))))))))))))))))</f>
        <v/>
      </c>
      <c r="AC787">
        <f>IF(OR(AB787="OK",AB787="Aucune pièce déclarée",AB787="Cadence dépassée : vérifiez la cadence"),1,0)</f>
        <v>0.0</v>
      </c>
      <c r="AD787">
        <f>IF(AND(AC787=1,A787&gt;=p_from,A787&lt;=p_to),1,0)</f>
        <v>0.0</v>
      </c>
      <c r="AE787">
        <f>IF(AD787=1,IF(COUNTIFS($A$6:A787,A787,$AD$6:AD787,1)=1,1,0),0)</f>
        <v>0.0</v>
      </c>
      <c r="AF787" t="str">
        <f>IF(AE787=1,COUNTIFS(sj_first,1,sj_date,"&lt;"&amp;A787)+1,"")</f>
        <v/>
      </c>
      <c r="AG787" t="str">
        <f>IF(AND(AD787=1,N(W787)&lt;p_alert),ROUND(W787,4),"")</f>
        <v/>
      </c>
      <c r="AH787" t="str">
        <f>IF(AG787="","",COUNTIF(sj_akey,"&lt;"&amp;AG787)+COUNTIF($AG$6:AG787,AG787))</f>
        <v/>
      </c>
    </row>
    <row r="788">
      <c r="A788" s="51" t="n"/>
      <c r="B788" s="52" t="n"/>
      <c r="C788" s="52" t="n"/>
      <c r="D788" s="53" t="n"/>
      <c r="E788" s="53" t="n"/>
      <c r="F788" s="54" t="n"/>
      <c r="G788" s="54" t="n"/>
      <c r="H788" s="54" t="n"/>
      <c r="I788" s="54" t="n"/>
      <c r="J788" s="53" t="n"/>
      <c r="K788" s="55" t="str">
        <f>IF(COUNTA(A788:I788)=0,"",IF(F788="",IFERROR(INDEX(eq_dur,MATCH(B788,eq_code,0)),""),F788))</f>
        <v/>
      </c>
      <c r="L788" s="55" t="str">
        <f>IF(ISNUMBER(K788),N(IFERROR(INDEX(eq_pause,MATCH(B788,eq_code,0)),0))+SUMIFS(st_min,st_date,A788,st_eq,B788,st_po,C788,st_type,"Planifié"),"")</f>
        <v/>
      </c>
      <c r="M788" s="55" t="str">
        <f>IF(ISNUMBER(K788),K788-L788,"")</f>
        <v/>
      </c>
      <c r="N788" s="55" t="str">
        <f>IF(ISNUMBER(K788),SUMIFS(st_min,st_date,A788,st_eq,B788,st_po,C788,st_type,"Non planifié"),"")</f>
        <v/>
      </c>
      <c r="O788" s="55" t="str">
        <f>IF(ISNUMBER(K788),M788-N788,"")</f>
        <v/>
      </c>
      <c r="P788" s="55" t="str">
        <f>IF(COUNTA(A788:I788)=0,"",N(G788)+N(H788)+N(I788))</f>
        <v/>
      </c>
      <c r="Q788" s="56" t="str">
        <f>IF(COUNTA(A788:I788)=0,"",IF(N(IFERROR(INDEX(art_rate,MATCH(E788,art_ref,0)),0))&gt;0,N(IFERROR(INDEX(art_rate,MATCH(E788,art_ref,0)),0)),N(IFERROR(INDEX(po_rate,MATCH(C788,po_code,0)),0))))</f>
        <v/>
      </c>
      <c r="R788" s="55" t="str">
        <f>IF(AC788=1,P788*60/Q788,"")</f>
        <v/>
      </c>
      <c r="S788" s="55" t="str">
        <f>IF(AC788=1,N(G788)*60/Q788,"")</f>
        <v/>
      </c>
      <c r="T788" s="57" t="str">
        <f>IF(AC788=1,O788/M788,"")</f>
        <v/>
      </c>
      <c r="U788" s="57" t="str">
        <f>IF(AC788=1,IF(O788&gt;0,R788/O788,""),"")</f>
        <v/>
      </c>
      <c r="V788" s="57" t="str">
        <f>IF(AC788=1,IF(P788&gt;0,N(G788)/P788,""),"")</f>
        <v/>
      </c>
      <c r="W788" s="57" t="str">
        <f>IF(AC788=1,S788/M788,"")</f>
        <v/>
      </c>
      <c r="X788" s="57" t="str">
        <f>IF(AC788=1,S788/K788,"")</f>
        <v/>
      </c>
      <c r="Y788" s="58" t="str">
        <f>IF(W788="","",IF(W788&gt;=p_target,"Bon",IF(W788&gt;=p_alert,"À surveiller","Faible")))</f>
        <v/>
      </c>
      <c r="Z788" s="58" t="str">
        <f>IF(W788="","",IF(MIN(IF(T788="",1,T788),IF(U788="",1,U788),IF(V788="",1,V788))&gt;=1,"Aucune",IF(IF(T788="",1,T788)&lt;=MIN(IF(U788="",1,U788),IF(V788="",1,V788)),"Disponibilité",IF(IF(U788="",1,U788)&lt;=IF(V788="",1,V788),"Performance","Qualité"))))</f>
        <v/>
      </c>
      <c r="AA788" s="59" t="str">
        <f>IF(AC788=1,N(H788)*N(IFERROR(INDEX(art_cost,MATCH(E788,art_ref,0)),0)),"")</f>
        <v/>
      </c>
      <c r="AB788" s="58" t="str">
        <f>IF(COUNTA(A788:I788)=0,"",IF(N(A788)&lt;=0,"Date manquante ou invalide",IF(B788="","Équipe manquante",IF(ISNA(MATCH(B788,eq_code,0)),"Équipe inconnue",IF(INDEX(eq_check,MATCH(B788,eq_code,0))&lt;&gt;"OK","Équipe à corriger dans Paramètres",IF(C788="","Poste manquant",IF(ISNA(MATCH(C788,po_code,0)),"Poste inconnu",IF(AND(E788&lt;&gt;"",ISNA(MATCH(E788,art_ref,0))),"Article inconnu",IF(IF(E788="",FALSE,INDEX(art_check,MATCH(E788,art_ref,0))&lt;&gt;"OK"),"Article à corriger (feuille Articles)",IF(COUNTIFS(sj_date,A788,sj_eq,B788,sj_po,C788)&gt;1,"Ligne en double (même jour, équipe et poste)",IF(OR(NOT(ISNUMBER(K788)),N(K788)&lt;=0,N(K788)&gt;1440),"Temps d'ouverture invalide",IF(OR(AND(G788&lt;&gt;"",NOT(ISNUMBER(G788))),N(G788)&lt;0,N(G788)&lt;&gt;INT(N(G788)),AND(H788&lt;&gt;"",NOT(ISNUMBER(H788))),N(H788)&lt;0,N(H788)&lt;&gt;INT(N(H788)),AND(I788&lt;&gt;"",NOT(ISNUMBER(I788))),N(I788)&lt;0,N(I788)&lt;&gt;INT(N(I788))),"Quantité invalide",IF(Q788&lt;=0,"Cadence manquante (poste ou article)",IF(M788&lt;=0,"Arrêts planifiés supérieurs au temps d'ouverture",IF(O788&lt;0,"Arrêts supérieurs au temps requis",IF(AND(P788&gt;0,O788=0),"Pièces déclarées sans temps de marche",IF(AND(P788=0,O788&gt;0),"Aucune pièce déclarée",IF(P788*60/Q788&gt;O788+0.001,"Cadence dépassée : vérifiez la cadence","OK"))))))))))))))))))</f>
        <v/>
      </c>
      <c r="AC788">
        <f>IF(OR(AB788="OK",AB788="Aucune pièce déclarée",AB788="Cadence dépassée : vérifiez la cadence"),1,0)</f>
        <v>0.0</v>
      </c>
      <c r="AD788">
        <f>IF(AND(AC788=1,A788&gt;=p_from,A788&lt;=p_to),1,0)</f>
        <v>0.0</v>
      </c>
      <c r="AE788">
        <f>IF(AD788=1,IF(COUNTIFS($A$6:A788,A788,$AD$6:AD788,1)=1,1,0),0)</f>
        <v>0.0</v>
      </c>
      <c r="AF788" t="str">
        <f>IF(AE788=1,COUNTIFS(sj_first,1,sj_date,"&lt;"&amp;A788)+1,"")</f>
        <v/>
      </c>
      <c r="AG788" t="str">
        <f>IF(AND(AD788=1,N(W788)&lt;p_alert),ROUND(W788,4),"")</f>
        <v/>
      </c>
      <c r="AH788" t="str">
        <f>IF(AG788="","",COUNTIF(sj_akey,"&lt;"&amp;AG788)+COUNTIF($AG$6:AG788,AG788))</f>
        <v/>
      </c>
    </row>
    <row r="789">
      <c r="A789" s="51" t="n"/>
      <c r="B789" s="52" t="n"/>
      <c r="C789" s="52" t="n"/>
      <c r="D789" s="53" t="n"/>
      <c r="E789" s="53" t="n"/>
      <c r="F789" s="54" t="n"/>
      <c r="G789" s="54" t="n"/>
      <c r="H789" s="54" t="n"/>
      <c r="I789" s="54" t="n"/>
      <c r="J789" s="53" t="n"/>
      <c r="K789" s="55" t="str">
        <f>IF(COUNTA(A789:I789)=0,"",IF(F789="",IFERROR(INDEX(eq_dur,MATCH(B789,eq_code,0)),""),F789))</f>
        <v/>
      </c>
      <c r="L789" s="55" t="str">
        <f>IF(ISNUMBER(K789),N(IFERROR(INDEX(eq_pause,MATCH(B789,eq_code,0)),0))+SUMIFS(st_min,st_date,A789,st_eq,B789,st_po,C789,st_type,"Planifié"),"")</f>
        <v/>
      </c>
      <c r="M789" s="55" t="str">
        <f>IF(ISNUMBER(K789),K789-L789,"")</f>
        <v/>
      </c>
      <c r="N789" s="55" t="str">
        <f>IF(ISNUMBER(K789),SUMIFS(st_min,st_date,A789,st_eq,B789,st_po,C789,st_type,"Non planifié"),"")</f>
        <v/>
      </c>
      <c r="O789" s="55" t="str">
        <f>IF(ISNUMBER(K789),M789-N789,"")</f>
        <v/>
      </c>
      <c r="P789" s="55" t="str">
        <f>IF(COUNTA(A789:I789)=0,"",N(G789)+N(H789)+N(I789))</f>
        <v/>
      </c>
      <c r="Q789" s="56" t="str">
        <f>IF(COUNTA(A789:I789)=0,"",IF(N(IFERROR(INDEX(art_rate,MATCH(E789,art_ref,0)),0))&gt;0,N(IFERROR(INDEX(art_rate,MATCH(E789,art_ref,0)),0)),N(IFERROR(INDEX(po_rate,MATCH(C789,po_code,0)),0))))</f>
        <v/>
      </c>
      <c r="R789" s="55" t="str">
        <f>IF(AC789=1,P789*60/Q789,"")</f>
        <v/>
      </c>
      <c r="S789" s="55" t="str">
        <f>IF(AC789=1,N(G789)*60/Q789,"")</f>
        <v/>
      </c>
      <c r="T789" s="57" t="str">
        <f>IF(AC789=1,O789/M789,"")</f>
        <v/>
      </c>
      <c r="U789" s="57" t="str">
        <f>IF(AC789=1,IF(O789&gt;0,R789/O789,""),"")</f>
        <v/>
      </c>
      <c r="V789" s="57" t="str">
        <f>IF(AC789=1,IF(P789&gt;0,N(G789)/P789,""),"")</f>
        <v/>
      </c>
      <c r="W789" s="57" t="str">
        <f>IF(AC789=1,S789/M789,"")</f>
        <v/>
      </c>
      <c r="X789" s="57" t="str">
        <f>IF(AC789=1,S789/K789,"")</f>
        <v/>
      </c>
      <c r="Y789" s="58" t="str">
        <f>IF(W789="","",IF(W789&gt;=p_target,"Bon",IF(W789&gt;=p_alert,"À surveiller","Faible")))</f>
        <v/>
      </c>
      <c r="Z789" s="58" t="str">
        <f>IF(W789="","",IF(MIN(IF(T789="",1,T789),IF(U789="",1,U789),IF(V789="",1,V789))&gt;=1,"Aucune",IF(IF(T789="",1,T789)&lt;=MIN(IF(U789="",1,U789),IF(V789="",1,V789)),"Disponibilité",IF(IF(U789="",1,U789)&lt;=IF(V789="",1,V789),"Performance","Qualité"))))</f>
        <v/>
      </c>
      <c r="AA789" s="59" t="str">
        <f>IF(AC789=1,N(H789)*N(IFERROR(INDEX(art_cost,MATCH(E789,art_ref,0)),0)),"")</f>
        <v/>
      </c>
      <c r="AB789" s="58" t="str">
        <f>IF(COUNTA(A789:I789)=0,"",IF(N(A789)&lt;=0,"Date manquante ou invalide",IF(B789="","Équipe manquante",IF(ISNA(MATCH(B789,eq_code,0)),"Équipe inconnue",IF(INDEX(eq_check,MATCH(B789,eq_code,0))&lt;&gt;"OK","Équipe à corriger dans Paramètres",IF(C789="","Poste manquant",IF(ISNA(MATCH(C789,po_code,0)),"Poste inconnu",IF(AND(E789&lt;&gt;"",ISNA(MATCH(E789,art_ref,0))),"Article inconnu",IF(IF(E789="",FALSE,INDEX(art_check,MATCH(E789,art_ref,0))&lt;&gt;"OK"),"Article à corriger (feuille Articles)",IF(COUNTIFS(sj_date,A789,sj_eq,B789,sj_po,C789)&gt;1,"Ligne en double (même jour, équipe et poste)",IF(OR(NOT(ISNUMBER(K789)),N(K789)&lt;=0,N(K789)&gt;1440),"Temps d'ouverture invalide",IF(OR(AND(G789&lt;&gt;"",NOT(ISNUMBER(G789))),N(G789)&lt;0,N(G789)&lt;&gt;INT(N(G789)),AND(H789&lt;&gt;"",NOT(ISNUMBER(H789))),N(H789)&lt;0,N(H789)&lt;&gt;INT(N(H789)),AND(I789&lt;&gt;"",NOT(ISNUMBER(I789))),N(I789)&lt;0,N(I789)&lt;&gt;INT(N(I789))),"Quantité invalide",IF(Q789&lt;=0,"Cadence manquante (poste ou article)",IF(M789&lt;=0,"Arrêts planifiés supérieurs au temps d'ouverture",IF(O789&lt;0,"Arrêts supérieurs au temps requis",IF(AND(P789&gt;0,O789=0),"Pièces déclarées sans temps de marche",IF(AND(P789=0,O789&gt;0),"Aucune pièce déclarée",IF(P789*60/Q789&gt;O789+0.001,"Cadence dépassée : vérifiez la cadence","OK"))))))))))))))))))</f>
        <v/>
      </c>
      <c r="AC789">
        <f>IF(OR(AB789="OK",AB789="Aucune pièce déclarée",AB789="Cadence dépassée : vérifiez la cadence"),1,0)</f>
        <v>0.0</v>
      </c>
      <c r="AD789">
        <f>IF(AND(AC789=1,A789&gt;=p_from,A789&lt;=p_to),1,0)</f>
        <v>0.0</v>
      </c>
      <c r="AE789">
        <f>IF(AD789=1,IF(COUNTIFS($A$6:A789,A789,$AD$6:AD789,1)=1,1,0),0)</f>
        <v>0.0</v>
      </c>
      <c r="AF789" t="str">
        <f>IF(AE789=1,COUNTIFS(sj_first,1,sj_date,"&lt;"&amp;A789)+1,"")</f>
        <v/>
      </c>
      <c r="AG789" t="str">
        <f>IF(AND(AD789=1,N(W789)&lt;p_alert),ROUND(W789,4),"")</f>
        <v/>
      </c>
      <c r="AH789" t="str">
        <f>IF(AG789="","",COUNTIF(sj_akey,"&lt;"&amp;AG789)+COUNTIF($AG$6:AG789,AG789))</f>
        <v/>
      </c>
    </row>
    <row r="790">
      <c r="A790" s="51" t="n"/>
      <c r="B790" s="52" t="n"/>
      <c r="C790" s="52" t="n"/>
      <c r="D790" s="53" t="n"/>
      <c r="E790" s="53" t="n"/>
      <c r="F790" s="54" t="n"/>
      <c r="G790" s="54" t="n"/>
      <c r="H790" s="54" t="n"/>
      <c r="I790" s="54" t="n"/>
      <c r="J790" s="53" t="n"/>
      <c r="K790" s="55" t="str">
        <f>IF(COUNTA(A790:I790)=0,"",IF(F790="",IFERROR(INDEX(eq_dur,MATCH(B790,eq_code,0)),""),F790))</f>
        <v/>
      </c>
      <c r="L790" s="55" t="str">
        <f>IF(ISNUMBER(K790),N(IFERROR(INDEX(eq_pause,MATCH(B790,eq_code,0)),0))+SUMIFS(st_min,st_date,A790,st_eq,B790,st_po,C790,st_type,"Planifié"),"")</f>
        <v/>
      </c>
      <c r="M790" s="55" t="str">
        <f>IF(ISNUMBER(K790),K790-L790,"")</f>
        <v/>
      </c>
      <c r="N790" s="55" t="str">
        <f>IF(ISNUMBER(K790),SUMIFS(st_min,st_date,A790,st_eq,B790,st_po,C790,st_type,"Non planifié"),"")</f>
        <v/>
      </c>
      <c r="O790" s="55" t="str">
        <f>IF(ISNUMBER(K790),M790-N790,"")</f>
        <v/>
      </c>
      <c r="P790" s="55" t="str">
        <f>IF(COUNTA(A790:I790)=0,"",N(G790)+N(H790)+N(I790))</f>
        <v/>
      </c>
      <c r="Q790" s="56" t="str">
        <f>IF(COUNTA(A790:I790)=0,"",IF(N(IFERROR(INDEX(art_rate,MATCH(E790,art_ref,0)),0))&gt;0,N(IFERROR(INDEX(art_rate,MATCH(E790,art_ref,0)),0)),N(IFERROR(INDEX(po_rate,MATCH(C790,po_code,0)),0))))</f>
        <v/>
      </c>
      <c r="R790" s="55" t="str">
        <f>IF(AC790=1,P790*60/Q790,"")</f>
        <v/>
      </c>
      <c r="S790" s="55" t="str">
        <f>IF(AC790=1,N(G790)*60/Q790,"")</f>
        <v/>
      </c>
      <c r="T790" s="57" t="str">
        <f>IF(AC790=1,O790/M790,"")</f>
        <v/>
      </c>
      <c r="U790" s="57" t="str">
        <f>IF(AC790=1,IF(O790&gt;0,R790/O790,""),"")</f>
        <v/>
      </c>
      <c r="V790" s="57" t="str">
        <f>IF(AC790=1,IF(P790&gt;0,N(G790)/P790,""),"")</f>
        <v/>
      </c>
      <c r="W790" s="57" t="str">
        <f>IF(AC790=1,S790/M790,"")</f>
        <v/>
      </c>
      <c r="X790" s="57" t="str">
        <f>IF(AC790=1,S790/K790,"")</f>
        <v/>
      </c>
      <c r="Y790" s="58" t="str">
        <f>IF(W790="","",IF(W790&gt;=p_target,"Bon",IF(W790&gt;=p_alert,"À surveiller","Faible")))</f>
        <v/>
      </c>
      <c r="Z790" s="58" t="str">
        <f>IF(W790="","",IF(MIN(IF(T790="",1,T790),IF(U790="",1,U790),IF(V790="",1,V790))&gt;=1,"Aucune",IF(IF(T790="",1,T790)&lt;=MIN(IF(U790="",1,U790),IF(V790="",1,V790)),"Disponibilité",IF(IF(U790="",1,U790)&lt;=IF(V790="",1,V790),"Performance","Qualité"))))</f>
        <v/>
      </c>
      <c r="AA790" s="59" t="str">
        <f>IF(AC790=1,N(H790)*N(IFERROR(INDEX(art_cost,MATCH(E790,art_ref,0)),0)),"")</f>
        <v/>
      </c>
      <c r="AB790" s="58" t="str">
        <f>IF(COUNTA(A790:I790)=0,"",IF(N(A790)&lt;=0,"Date manquante ou invalide",IF(B790="","Équipe manquante",IF(ISNA(MATCH(B790,eq_code,0)),"Équipe inconnue",IF(INDEX(eq_check,MATCH(B790,eq_code,0))&lt;&gt;"OK","Équipe à corriger dans Paramètres",IF(C790="","Poste manquant",IF(ISNA(MATCH(C790,po_code,0)),"Poste inconnu",IF(AND(E790&lt;&gt;"",ISNA(MATCH(E790,art_ref,0))),"Article inconnu",IF(IF(E790="",FALSE,INDEX(art_check,MATCH(E790,art_ref,0))&lt;&gt;"OK"),"Article à corriger (feuille Articles)",IF(COUNTIFS(sj_date,A790,sj_eq,B790,sj_po,C790)&gt;1,"Ligne en double (même jour, équipe et poste)",IF(OR(NOT(ISNUMBER(K790)),N(K790)&lt;=0,N(K790)&gt;1440),"Temps d'ouverture invalide",IF(OR(AND(G790&lt;&gt;"",NOT(ISNUMBER(G790))),N(G790)&lt;0,N(G790)&lt;&gt;INT(N(G790)),AND(H790&lt;&gt;"",NOT(ISNUMBER(H790))),N(H790)&lt;0,N(H790)&lt;&gt;INT(N(H790)),AND(I790&lt;&gt;"",NOT(ISNUMBER(I790))),N(I790)&lt;0,N(I790)&lt;&gt;INT(N(I790))),"Quantité invalide",IF(Q790&lt;=0,"Cadence manquante (poste ou article)",IF(M790&lt;=0,"Arrêts planifiés supérieurs au temps d'ouverture",IF(O790&lt;0,"Arrêts supérieurs au temps requis",IF(AND(P790&gt;0,O790=0),"Pièces déclarées sans temps de marche",IF(AND(P790=0,O790&gt;0),"Aucune pièce déclarée",IF(P790*60/Q790&gt;O790+0.001,"Cadence dépassée : vérifiez la cadence","OK"))))))))))))))))))</f>
        <v/>
      </c>
      <c r="AC790">
        <f>IF(OR(AB790="OK",AB790="Aucune pièce déclarée",AB790="Cadence dépassée : vérifiez la cadence"),1,0)</f>
        <v>0.0</v>
      </c>
      <c r="AD790">
        <f>IF(AND(AC790=1,A790&gt;=p_from,A790&lt;=p_to),1,0)</f>
        <v>0.0</v>
      </c>
      <c r="AE790">
        <f>IF(AD790=1,IF(COUNTIFS($A$6:A790,A790,$AD$6:AD790,1)=1,1,0),0)</f>
        <v>0.0</v>
      </c>
      <c r="AF790" t="str">
        <f>IF(AE790=1,COUNTIFS(sj_first,1,sj_date,"&lt;"&amp;A790)+1,"")</f>
        <v/>
      </c>
      <c r="AG790" t="str">
        <f>IF(AND(AD790=1,N(W790)&lt;p_alert),ROUND(W790,4),"")</f>
        <v/>
      </c>
      <c r="AH790" t="str">
        <f>IF(AG790="","",COUNTIF(sj_akey,"&lt;"&amp;AG790)+COUNTIF($AG$6:AG790,AG790))</f>
        <v/>
      </c>
    </row>
    <row r="791">
      <c r="A791" s="51" t="n"/>
      <c r="B791" s="52" t="n"/>
      <c r="C791" s="52" t="n"/>
      <c r="D791" s="53" t="n"/>
      <c r="E791" s="53" t="n"/>
      <c r="F791" s="54" t="n"/>
      <c r="G791" s="54" t="n"/>
      <c r="H791" s="54" t="n"/>
      <c r="I791" s="54" t="n"/>
      <c r="J791" s="53" t="n"/>
      <c r="K791" s="55" t="str">
        <f>IF(COUNTA(A791:I791)=0,"",IF(F791="",IFERROR(INDEX(eq_dur,MATCH(B791,eq_code,0)),""),F791))</f>
        <v/>
      </c>
      <c r="L791" s="55" t="str">
        <f>IF(ISNUMBER(K791),N(IFERROR(INDEX(eq_pause,MATCH(B791,eq_code,0)),0))+SUMIFS(st_min,st_date,A791,st_eq,B791,st_po,C791,st_type,"Planifié"),"")</f>
        <v/>
      </c>
      <c r="M791" s="55" t="str">
        <f>IF(ISNUMBER(K791),K791-L791,"")</f>
        <v/>
      </c>
      <c r="N791" s="55" t="str">
        <f>IF(ISNUMBER(K791),SUMIFS(st_min,st_date,A791,st_eq,B791,st_po,C791,st_type,"Non planifié"),"")</f>
        <v/>
      </c>
      <c r="O791" s="55" t="str">
        <f>IF(ISNUMBER(K791),M791-N791,"")</f>
        <v/>
      </c>
      <c r="P791" s="55" t="str">
        <f>IF(COUNTA(A791:I791)=0,"",N(G791)+N(H791)+N(I791))</f>
        <v/>
      </c>
      <c r="Q791" s="56" t="str">
        <f>IF(COUNTA(A791:I791)=0,"",IF(N(IFERROR(INDEX(art_rate,MATCH(E791,art_ref,0)),0))&gt;0,N(IFERROR(INDEX(art_rate,MATCH(E791,art_ref,0)),0)),N(IFERROR(INDEX(po_rate,MATCH(C791,po_code,0)),0))))</f>
        <v/>
      </c>
      <c r="R791" s="55" t="str">
        <f>IF(AC791=1,P791*60/Q791,"")</f>
        <v/>
      </c>
      <c r="S791" s="55" t="str">
        <f>IF(AC791=1,N(G791)*60/Q791,"")</f>
        <v/>
      </c>
      <c r="T791" s="57" t="str">
        <f>IF(AC791=1,O791/M791,"")</f>
        <v/>
      </c>
      <c r="U791" s="57" t="str">
        <f>IF(AC791=1,IF(O791&gt;0,R791/O791,""),"")</f>
        <v/>
      </c>
      <c r="V791" s="57" t="str">
        <f>IF(AC791=1,IF(P791&gt;0,N(G791)/P791,""),"")</f>
        <v/>
      </c>
      <c r="W791" s="57" t="str">
        <f>IF(AC791=1,S791/M791,"")</f>
        <v/>
      </c>
      <c r="X791" s="57" t="str">
        <f>IF(AC791=1,S791/K791,"")</f>
        <v/>
      </c>
      <c r="Y791" s="58" t="str">
        <f>IF(W791="","",IF(W791&gt;=p_target,"Bon",IF(W791&gt;=p_alert,"À surveiller","Faible")))</f>
        <v/>
      </c>
      <c r="Z791" s="58" t="str">
        <f>IF(W791="","",IF(MIN(IF(T791="",1,T791),IF(U791="",1,U791),IF(V791="",1,V791))&gt;=1,"Aucune",IF(IF(T791="",1,T791)&lt;=MIN(IF(U791="",1,U791),IF(V791="",1,V791)),"Disponibilité",IF(IF(U791="",1,U791)&lt;=IF(V791="",1,V791),"Performance","Qualité"))))</f>
        <v/>
      </c>
      <c r="AA791" s="59" t="str">
        <f>IF(AC791=1,N(H791)*N(IFERROR(INDEX(art_cost,MATCH(E791,art_ref,0)),0)),"")</f>
        <v/>
      </c>
      <c r="AB791" s="58" t="str">
        <f>IF(COUNTA(A791:I791)=0,"",IF(N(A791)&lt;=0,"Date manquante ou invalide",IF(B791="","Équipe manquante",IF(ISNA(MATCH(B791,eq_code,0)),"Équipe inconnue",IF(INDEX(eq_check,MATCH(B791,eq_code,0))&lt;&gt;"OK","Équipe à corriger dans Paramètres",IF(C791="","Poste manquant",IF(ISNA(MATCH(C791,po_code,0)),"Poste inconnu",IF(AND(E791&lt;&gt;"",ISNA(MATCH(E791,art_ref,0))),"Article inconnu",IF(IF(E791="",FALSE,INDEX(art_check,MATCH(E791,art_ref,0))&lt;&gt;"OK"),"Article à corriger (feuille Articles)",IF(COUNTIFS(sj_date,A791,sj_eq,B791,sj_po,C791)&gt;1,"Ligne en double (même jour, équipe et poste)",IF(OR(NOT(ISNUMBER(K791)),N(K791)&lt;=0,N(K791)&gt;1440),"Temps d'ouverture invalide",IF(OR(AND(G791&lt;&gt;"",NOT(ISNUMBER(G791))),N(G791)&lt;0,N(G791)&lt;&gt;INT(N(G791)),AND(H791&lt;&gt;"",NOT(ISNUMBER(H791))),N(H791)&lt;0,N(H791)&lt;&gt;INT(N(H791)),AND(I791&lt;&gt;"",NOT(ISNUMBER(I791))),N(I791)&lt;0,N(I791)&lt;&gt;INT(N(I791))),"Quantité invalide",IF(Q791&lt;=0,"Cadence manquante (poste ou article)",IF(M791&lt;=0,"Arrêts planifiés supérieurs au temps d'ouverture",IF(O791&lt;0,"Arrêts supérieurs au temps requis",IF(AND(P791&gt;0,O791=0),"Pièces déclarées sans temps de marche",IF(AND(P791=0,O791&gt;0),"Aucune pièce déclarée",IF(P791*60/Q791&gt;O791+0.001,"Cadence dépassée : vérifiez la cadence","OK"))))))))))))))))))</f>
        <v/>
      </c>
      <c r="AC791">
        <f>IF(OR(AB791="OK",AB791="Aucune pièce déclarée",AB791="Cadence dépassée : vérifiez la cadence"),1,0)</f>
        <v>0.0</v>
      </c>
      <c r="AD791">
        <f>IF(AND(AC791=1,A791&gt;=p_from,A791&lt;=p_to),1,0)</f>
        <v>0.0</v>
      </c>
      <c r="AE791">
        <f>IF(AD791=1,IF(COUNTIFS($A$6:A791,A791,$AD$6:AD791,1)=1,1,0),0)</f>
        <v>0.0</v>
      </c>
      <c r="AF791" t="str">
        <f>IF(AE791=1,COUNTIFS(sj_first,1,sj_date,"&lt;"&amp;A791)+1,"")</f>
        <v/>
      </c>
      <c r="AG791" t="str">
        <f>IF(AND(AD791=1,N(W791)&lt;p_alert),ROUND(W791,4),"")</f>
        <v/>
      </c>
      <c r="AH791" t="str">
        <f>IF(AG791="","",COUNTIF(sj_akey,"&lt;"&amp;AG791)+COUNTIF($AG$6:AG791,AG791))</f>
        <v/>
      </c>
    </row>
    <row r="792">
      <c r="A792" s="51" t="n"/>
      <c r="B792" s="52" t="n"/>
      <c r="C792" s="52" t="n"/>
      <c r="D792" s="53" t="n"/>
      <c r="E792" s="53" t="n"/>
      <c r="F792" s="54" t="n"/>
      <c r="G792" s="54" t="n"/>
      <c r="H792" s="54" t="n"/>
      <c r="I792" s="54" t="n"/>
      <c r="J792" s="53" t="n"/>
      <c r="K792" s="55" t="str">
        <f>IF(COUNTA(A792:I792)=0,"",IF(F792="",IFERROR(INDEX(eq_dur,MATCH(B792,eq_code,0)),""),F792))</f>
        <v/>
      </c>
      <c r="L792" s="55" t="str">
        <f>IF(ISNUMBER(K792),N(IFERROR(INDEX(eq_pause,MATCH(B792,eq_code,0)),0))+SUMIFS(st_min,st_date,A792,st_eq,B792,st_po,C792,st_type,"Planifié"),"")</f>
        <v/>
      </c>
      <c r="M792" s="55" t="str">
        <f>IF(ISNUMBER(K792),K792-L792,"")</f>
        <v/>
      </c>
      <c r="N792" s="55" t="str">
        <f>IF(ISNUMBER(K792),SUMIFS(st_min,st_date,A792,st_eq,B792,st_po,C792,st_type,"Non planifié"),"")</f>
        <v/>
      </c>
      <c r="O792" s="55" t="str">
        <f>IF(ISNUMBER(K792),M792-N792,"")</f>
        <v/>
      </c>
      <c r="P792" s="55" t="str">
        <f>IF(COUNTA(A792:I792)=0,"",N(G792)+N(H792)+N(I792))</f>
        <v/>
      </c>
      <c r="Q792" s="56" t="str">
        <f>IF(COUNTA(A792:I792)=0,"",IF(N(IFERROR(INDEX(art_rate,MATCH(E792,art_ref,0)),0))&gt;0,N(IFERROR(INDEX(art_rate,MATCH(E792,art_ref,0)),0)),N(IFERROR(INDEX(po_rate,MATCH(C792,po_code,0)),0))))</f>
        <v/>
      </c>
      <c r="R792" s="55" t="str">
        <f>IF(AC792=1,P792*60/Q792,"")</f>
        <v/>
      </c>
      <c r="S792" s="55" t="str">
        <f>IF(AC792=1,N(G792)*60/Q792,"")</f>
        <v/>
      </c>
      <c r="T792" s="57" t="str">
        <f>IF(AC792=1,O792/M792,"")</f>
        <v/>
      </c>
      <c r="U792" s="57" t="str">
        <f>IF(AC792=1,IF(O792&gt;0,R792/O792,""),"")</f>
        <v/>
      </c>
      <c r="V792" s="57" t="str">
        <f>IF(AC792=1,IF(P792&gt;0,N(G792)/P792,""),"")</f>
        <v/>
      </c>
      <c r="W792" s="57" t="str">
        <f>IF(AC792=1,S792/M792,"")</f>
        <v/>
      </c>
      <c r="X792" s="57" t="str">
        <f>IF(AC792=1,S792/K792,"")</f>
        <v/>
      </c>
      <c r="Y792" s="58" t="str">
        <f>IF(W792="","",IF(W792&gt;=p_target,"Bon",IF(W792&gt;=p_alert,"À surveiller","Faible")))</f>
        <v/>
      </c>
      <c r="Z792" s="58" t="str">
        <f>IF(W792="","",IF(MIN(IF(T792="",1,T792),IF(U792="",1,U792),IF(V792="",1,V792))&gt;=1,"Aucune",IF(IF(T792="",1,T792)&lt;=MIN(IF(U792="",1,U792),IF(V792="",1,V792)),"Disponibilité",IF(IF(U792="",1,U792)&lt;=IF(V792="",1,V792),"Performance","Qualité"))))</f>
        <v/>
      </c>
      <c r="AA792" s="59" t="str">
        <f>IF(AC792=1,N(H792)*N(IFERROR(INDEX(art_cost,MATCH(E792,art_ref,0)),0)),"")</f>
        <v/>
      </c>
      <c r="AB792" s="58" t="str">
        <f>IF(COUNTA(A792:I792)=0,"",IF(N(A792)&lt;=0,"Date manquante ou invalide",IF(B792="","Équipe manquante",IF(ISNA(MATCH(B792,eq_code,0)),"Équipe inconnue",IF(INDEX(eq_check,MATCH(B792,eq_code,0))&lt;&gt;"OK","Équipe à corriger dans Paramètres",IF(C792="","Poste manquant",IF(ISNA(MATCH(C792,po_code,0)),"Poste inconnu",IF(AND(E792&lt;&gt;"",ISNA(MATCH(E792,art_ref,0))),"Article inconnu",IF(IF(E792="",FALSE,INDEX(art_check,MATCH(E792,art_ref,0))&lt;&gt;"OK"),"Article à corriger (feuille Articles)",IF(COUNTIFS(sj_date,A792,sj_eq,B792,sj_po,C792)&gt;1,"Ligne en double (même jour, équipe et poste)",IF(OR(NOT(ISNUMBER(K792)),N(K792)&lt;=0,N(K792)&gt;1440),"Temps d'ouverture invalide",IF(OR(AND(G792&lt;&gt;"",NOT(ISNUMBER(G792))),N(G792)&lt;0,N(G792)&lt;&gt;INT(N(G792)),AND(H792&lt;&gt;"",NOT(ISNUMBER(H792))),N(H792)&lt;0,N(H792)&lt;&gt;INT(N(H792)),AND(I792&lt;&gt;"",NOT(ISNUMBER(I792))),N(I792)&lt;0,N(I792)&lt;&gt;INT(N(I792))),"Quantité invalide",IF(Q792&lt;=0,"Cadence manquante (poste ou article)",IF(M792&lt;=0,"Arrêts planifiés supérieurs au temps d'ouverture",IF(O792&lt;0,"Arrêts supérieurs au temps requis",IF(AND(P792&gt;0,O792=0),"Pièces déclarées sans temps de marche",IF(AND(P792=0,O792&gt;0),"Aucune pièce déclarée",IF(P792*60/Q792&gt;O792+0.001,"Cadence dépassée : vérifiez la cadence","OK"))))))))))))))))))</f>
        <v/>
      </c>
      <c r="AC792">
        <f>IF(OR(AB792="OK",AB792="Aucune pièce déclarée",AB792="Cadence dépassée : vérifiez la cadence"),1,0)</f>
        <v>0.0</v>
      </c>
      <c r="AD792">
        <f>IF(AND(AC792=1,A792&gt;=p_from,A792&lt;=p_to),1,0)</f>
        <v>0.0</v>
      </c>
      <c r="AE792">
        <f>IF(AD792=1,IF(COUNTIFS($A$6:A792,A792,$AD$6:AD792,1)=1,1,0),0)</f>
        <v>0.0</v>
      </c>
      <c r="AF792" t="str">
        <f>IF(AE792=1,COUNTIFS(sj_first,1,sj_date,"&lt;"&amp;A792)+1,"")</f>
        <v/>
      </c>
      <c r="AG792" t="str">
        <f>IF(AND(AD792=1,N(W792)&lt;p_alert),ROUND(W792,4),"")</f>
        <v/>
      </c>
      <c r="AH792" t="str">
        <f>IF(AG792="","",COUNTIF(sj_akey,"&lt;"&amp;AG792)+COUNTIF($AG$6:AG792,AG792))</f>
        <v/>
      </c>
    </row>
    <row r="793">
      <c r="A793" s="51" t="n"/>
      <c r="B793" s="52" t="n"/>
      <c r="C793" s="52" t="n"/>
      <c r="D793" s="53" t="n"/>
      <c r="E793" s="53" t="n"/>
      <c r="F793" s="54" t="n"/>
      <c r="G793" s="54" t="n"/>
      <c r="H793" s="54" t="n"/>
      <c r="I793" s="54" t="n"/>
      <c r="J793" s="53" t="n"/>
      <c r="K793" s="55" t="str">
        <f>IF(COUNTA(A793:I793)=0,"",IF(F793="",IFERROR(INDEX(eq_dur,MATCH(B793,eq_code,0)),""),F793))</f>
        <v/>
      </c>
      <c r="L793" s="55" t="str">
        <f>IF(ISNUMBER(K793),N(IFERROR(INDEX(eq_pause,MATCH(B793,eq_code,0)),0))+SUMIFS(st_min,st_date,A793,st_eq,B793,st_po,C793,st_type,"Planifié"),"")</f>
        <v/>
      </c>
      <c r="M793" s="55" t="str">
        <f>IF(ISNUMBER(K793),K793-L793,"")</f>
        <v/>
      </c>
      <c r="N793" s="55" t="str">
        <f>IF(ISNUMBER(K793),SUMIFS(st_min,st_date,A793,st_eq,B793,st_po,C793,st_type,"Non planifié"),"")</f>
        <v/>
      </c>
      <c r="O793" s="55" t="str">
        <f>IF(ISNUMBER(K793),M793-N793,"")</f>
        <v/>
      </c>
      <c r="P793" s="55" t="str">
        <f>IF(COUNTA(A793:I793)=0,"",N(G793)+N(H793)+N(I793))</f>
        <v/>
      </c>
      <c r="Q793" s="56" t="str">
        <f>IF(COUNTA(A793:I793)=0,"",IF(N(IFERROR(INDEX(art_rate,MATCH(E793,art_ref,0)),0))&gt;0,N(IFERROR(INDEX(art_rate,MATCH(E793,art_ref,0)),0)),N(IFERROR(INDEX(po_rate,MATCH(C793,po_code,0)),0))))</f>
        <v/>
      </c>
      <c r="R793" s="55" t="str">
        <f>IF(AC793=1,P793*60/Q793,"")</f>
        <v/>
      </c>
      <c r="S793" s="55" t="str">
        <f>IF(AC793=1,N(G793)*60/Q793,"")</f>
        <v/>
      </c>
      <c r="T793" s="57" t="str">
        <f>IF(AC793=1,O793/M793,"")</f>
        <v/>
      </c>
      <c r="U793" s="57" t="str">
        <f>IF(AC793=1,IF(O793&gt;0,R793/O793,""),"")</f>
        <v/>
      </c>
      <c r="V793" s="57" t="str">
        <f>IF(AC793=1,IF(P793&gt;0,N(G793)/P793,""),"")</f>
        <v/>
      </c>
      <c r="W793" s="57" t="str">
        <f>IF(AC793=1,S793/M793,"")</f>
        <v/>
      </c>
      <c r="X793" s="57" t="str">
        <f>IF(AC793=1,S793/K793,"")</f>
        <v/>
      </c>
      <c r="Y793" s="58" t="str">
        <f>IF(W793="","",IF(W793&gt;=p_target,"Bon",IF(W793&gt;=p_alert,"À surveiller","Faible")))</f>
        <v/>
      </c>
      <c r="Z793" s="58" t="str">
        <f>IF(W793="","",IF(MIN(IF(T793="",1,T793),IF(U793="",1,U793),IF(V793="",1,V793))&gt;=1,"Aucune",IF(IF(T793="",1,T793)&lt;=MIN(IF(U793="",1,U793),IF(V793="",1,V793)),"Disponibilité",IF(IF(U793="",1,U793)&lt;=IF(V793="",1,V793),"Performance","Qualité"))))</f>
        <v/>
      </c>
      <c r="AA793" s="59" t="str">
        <f>IF(AC793=1,N(H793)*N(IFERROR(INDEX(art_cost,MATCH(E793,art_ref,0)),0)),"")</f>
        <v/>
      </c>
      <c r="AB793" s="58" t="str">
        <f>IF(COUNTA(A793:I793)=0,"",IF(N(A793)&lt;=0,"Date manquante ou invalide",IF(B793="","Équipe manquante",IF(ISNA(MATCH(B793,eq_code,0)),"Équipe inconnue",IF(INDEX(eq_check,MATCH(B793,eq_code,0))&lt;&gt;"OK","Équipe à corriger dans Paramètres",IF(C793="","Poste manquant",IF(ISNA(MATCH(C793,po_code,0)),"Poste inconnu",IF(AND(E793&lt;&gt;"",ISNA(MATCH(E793,art_ref,0))),"Article inconnu",IF(IF(E793="",FALSE,INDEX(art_check,MATCH(E793,art_ref,0))&lt;&gt;"OK"),"Article à corriger (feuille Articles)",IF(COUNTIFS(sj_date,A793,sj_eq,B793,sj_po,C793)&gt;1,"Ligne en double (même jour, équipe et poste)",IF(OR(NOT(ISNUMBER(K793)),N(K793)&lt;=0,N(K793)&gt;1440),"Temps d'ouverture invalide",IF(OR(AND(G793&lt;&gt;"",NOT(ISNUMBER(G793))),N(G793)&lt;0,N(G793)&lt;&gt;INT(N(G793)),AND(H793&lt;&gt;"",NOT(ISNUMBER(H793))),N(H793)&lt;0,N(H793)&lt;&gt;INT(N(H793)),AND(I793&lt;&gt;"",NOT(ISNUMBER(I793))),N(I793)&lt;0,N(I793)&lt;&gt;INT(N(I793))),"Quantité invalide",IF(Q793&lt;=0,"Cadence manquante (poste ou article)",IF(M793&lt;=0,"Arrêts planifiés supérieurs au temps d'ouverture",IF(O793&lt;0,"Arrêts supérieurs au temps requis",IF(AND(P793&gt;0,O793=0),"Pièces déclarées sans temps de marche",IF(AND(P793=0,O793&gt;0),"Aucune pièce déclarée",IF(P793*60/Q793&gt;O793+0.001,"Cadence dépassée : vérifiez la cadence","OK"))))))))))))))))))</f>
        <v/>
      </c>
      <c r="AC793">
        <f>IF(OR(AB793="OK",AB793="Aucune pièce déclarée",AB793="Cadence dépassée : vérifiez la cadence"),1,0)</f>
        <v>0.0</v>
      </c>
      <c r="AD793">
        <f>IF(AND(AC793=1,A793&gt;=p_from,A793&lt;=p_to),1,0)</f>
        <v>0.0</v>
      </c>
      <c r="AE793">
        <f>IF(AD793=1,IF(COUNTIFS($A$6:A793,A793,$AD$6:AD793,1)=1,1,0),0)</f>
        <v>0.0</v>
      </c>
      <c r="AF793" t="str">
        <f>IF(AE793=1,COUNTIFS(sj_first,1,sj_date,"&lt;"&amp;A793)+1,"")</f>
        <v/>
      </c>
      <c r="AG793" t="str">
        <f>IF(AND(AD793=1,N(W793)&lt;p_alert),ROUND(W793,4),"")</f>
        <v/>
      </c>
      <c r="AH793" t="str">
        <f>IF(AG793="","",COUNTIF(sj_akey,"&lt;"&amp;AG793)+COUNTIF($AG$6:AG793,AG793))</f>
        <v/>
      </c>
    </row>
    <row r="794">
      <c r="A794" s="51" t="n"/>
      <c r="B794" s="52" t="n"/>
      <c r="C794" s="52" t="n"/>
      <c r="D794" s="53" t="n"/>
      <c r="E794" s="53" t="n"/>
      <c r="F794" s="54" t="n"/>
      <c r="G794" s="54" t="n"/>
      <c r="H794" s="54" t="n"/>
      <c r="I794" s="54" t="n"/>
      <c r="J794" s="53" t="n"/>
      <c r="K794" s="55" t="str">
        <f>IF(COUNTA(A794:I794)=0,"",IF(F794="",IFERROR(INDEX(eq_dur,MATCH(B794,eq_code,0)),""),F794))</f>
        <v/>
      </c>
      <c r="L794" s="55" t="str">
        <f>IF(ISNUMBER(K794),N(IFERROR(INDEX(eq_pause,MATCH(B794,eq_code,0)),0))+SUMIFS(st_min,st_date,A794,st_eq,B794,st_po,C794,st_type,"Planifié"),"")</f>
        <v/>
      </c>
      <c r="M794" s="55" t="str">
        <f>IF(ISNUMBER(K794),K794-L794,"")</f>
        <v/>
      </c>
      <c r="N794" s="55" t="str">
        <f>IF(ISNUMBER(K794),SUMIFS(st_min,st_date,A794,st_eq,B794,st_po,C794,st_type,"Non planifié"),"")</f>
        <v/>
      </c>
      <c r="O794" s="55" t="str">
        <f>IF(ISNUMBER(K794),M794-N794,"")</f>
        <v/>
      </c>
      <c r="P794" s="55" t="str">
        <f>IF(COUNTA(A794:I794)=0,"",N(G794)+N(H794)+N(I794))</f>
        <v/>
      </c>
      <c r="Q794" s="56" t="str">
        <f>IF(COUNTA(A794:I794)=0,"",IF(N(IFERROR(INDEX(art_rate,MATCH(E794,art_ref,0)),0))&gt;0,N(IFERROR(INDEX(art_rate,MATCH(E794,art_ref,0)),0)),N(IFERROR(INDEX(po_rate,MATCH(C794,po_code,0)),0))))</f>
        <v/>
      </c>
      <c r="R794" s="55" t="str">
        <f>IF(AC794=1,P794*60/Q794,"")</f>
        <v/>
      </c>
      <c r="S794" s="55" t="str">
        <f>IF(AC794=1,N(G794)*60/Q794,"")</f>
        <v/>
      </c>
      <c r="T794" s="57" t="str">
        <f>IF(AC794=1,O794/M794,"")</f>
        <v/>
      </c>
      <c r="U794" s="57" t="str">
        <f>IF(AC794=1,IF(O794&gt;0,R794/O794,""),"")</f>
        <v/>
      </c>
      <c r="V794" s="57" t="str">
        <f>IF(AC794=1,IF(P794&gt;0,N(G794)/P794,""),"")</f>
        <v/>
      </c>
      <c r="W794" s="57" t="str">
        <f>IF(AC794=1,S794/M794,"")</f>
        <v/>
      </c>
      <c r="X794" s="57" t="str">
        <f>IF(AC794=1,S794/K794,"")</f>
        <v/>
      </c>
      <c r="Y794" s="58" t="str">
        <f>IF(W794="","",IF(W794&gt;=p_target,"Bon",IF(W794&gt;=p_alert,"À surveiller","Faible")))</f>
        <v/>
      </c>
      <c r="Z794" s="58" t="str">
        <f>IF(W794="","",IF(MIN(IF(T794="",1,T794),IF(U794="",1,U794),IF(V794="",1,V794))&gt;=1,"Aucune",IF(IF(T794="",1,T794)&lt;=MIN(IF(U794="",1,U794),IF(V794="",1,V794)),"Disponibilité",IF(IF(U794="",1,U794)&lt;=IF(V794="",1,V794),"Performance","Qualité"))))</f>
        <v/>
      </c>
      <c r="AA794" s="59" t="str">
        <f>IF(AC794=1,N(H794)*N(IFERROR(INDEX(art_cost,MATCH(E794,art_ref,0)),0)),"")</f>
        <v/>
      </c>
      <c r="AB794" s="58" t="str">
        <f>IF(COUNTA(A794:I794)=0,"",IF(N(A794)&lt;=0,"Date manquante ou invalide",IF(B794="","Équipe manquante",IF(ISNA(MATCH(B794,eq_code,0)),"Équipe inconnue",IF(INDEX(eq_check,MATCH(B794,eq_code,0))&lt;&gt;"OK","Équipe à corriger dans Paramètres",IF(C794="","Poste manquant",IF(ISNA(MATCH(C794,po_code,0)),"Poste inconnu",IF(AND(E794&lt;&gt;"",ISNA(MATCH(E794,art_ref,0))),"Article inconnu",IF(IF(E794="",FALSE,INDEX(art_check,MATCH(E794,art_ref,0))&lt;&gt;"OK"),"Article à corriger (feuille Articles)",IF(COUNTIFS(sj_date,A794,sj_eq,B794,sj_po,C794)&gt;1,"Ligne en double (même jour, équipe et poste)",IF(OR(NOT(ISNUMBER(K794)),N(K794)&lt;=0,N(K794)&gt;1440),"Temps d'ouverture invalide",IF(OR(AND(G794&lt;&gt;"",NOT(ISNUMBER(G794))),N(G794)&lt;0,N(G794)&lt;&gt;INT(N(G794)),AND(H794&lt;&gt;"",NOT(ISNUMBER(H794))),N(H794)&lt;0,N(H794)&lt;&gt;INT(N(H794)),AND(I794&lt;&gt;"",NOT(ISNUMBER(I794))),N(I794)&lt;0,N(I794)&lt;&gt;INT(N(I794))),"Quantité invalide",IF(Q794&lt;=0,"Cadence manquante (poste ou article)",IF(M794&lt;=0,"Arrêts planifiés supérieurs au temps d'ouverture",IF(O794&lt;0,"Arrêts supérieurs au temps requis",IF(AND(P794&gt;0,O794=0),"Pièces déclarées sans temps de marche",IF(AND(P794=0,O794&gt;0),"Aucune pièce déclarée",IF(P794*60/Q794&gt;O794+0.001,"Cadence dépassée : vérifiez la cadence","OK"))))))))))))))))))</f>
        <v/>
      </c>
      <c r="AC794">
        <f>IF(OR(AB794="OK",AB794="Aucune pièce déclarée",AB794="Cadence dépassée : vérifiez la cadence"),1,0)</f>
        <v>0.0</v>
      </c>
      <c r="AD794">
        <f>IF(AND(AC794=1,A794&gt;=p_from,A794&lt;=p_to),1,0)</f>
        <v>0.0</v>
      </c>
      <c r="AE794">
        <f>IF(AD794=1,IF(COUNTIFS($A$6:A794,A794,$AD$6:AD794,1)=1,1,0),0)</f>
        <v>0.0</v>
      </c>
      <c r="AF794" t="str">
        <f>IF(AE794=1,COUNTIFS(sj_first,1,sj_date,"&lt;"&amp;A794)+1,"")</f>
        <v/>
      </c>
      <c r="AG794" t="str">
        <f>IF(AND(AD794=1,N(W794)&lt;p_alert),ROUND(W794,4),"")</f>
        <v/>
      </c>
      <c r="AH794" t="str">
        <f>IF(AG794="","",COUNTIF(sj_akey,"&lt;"&amp;AG794)+COUNTIF($AG$6:AG794,AG794))</f>
        <v/>
      </c>
    </row>
    <row r="795">
      <c r="A795" s="51" t="n"/>
      <c r="B795" s="52" t="n"/>
      <c r="C795" s="52" t="n"/>
      <c r="D795" s="53" t="n"/>
      <c r="E795" s="53" t="n"/>
      <c r="F795" s="54" t="n"/>
      <c r="G795" s="54" t="n"/>
      <c r="H795" s="54" t="n"/>
      <c r="I795" s="54" t="n"/>
      <c r="J795" s="53" t="n"/>
      <c r="K795" s="55" t="str">
        <f>IF(COUNTA(A795:I795)=0,"",IF(F795="",IFERROR(INDEX(eq_dur,MATCH(B795,eq_code,0)),""),F795))</f>
        <v/>
      </c>
      <c r="L795" s="55" t="str">
        <f>IF(ISNUMBER(K795),N(IFERROR(INDEX(eq_pause,MATCH(B795,eq_code,0)),0))+SUMIFS(st_min,st_date,A795,st_eq,B795,st_po,C795,st_type,"Planifié"),"")</f>
        <v/>
      </c>
      <c r="M795" s="55" t="str">
        <f>IF(ISNUMBER(K795),K795-L795,"")</f>
        <v/>
      </c>
      <c r="N795" s="55" t="str">
        <f>IF(ISNUMBER(K795),SUMIFS(st_min,st_date,A795,st_eq,B795,st_po,C795,st_type,"Non planifié"),"")</f>
        <v/>
      </c>
      <c r="O795" s="55" t="str">
        <f>IF(ISNUMBER(K795),M795-N795,"")</f>
        <v/>
      </c>
      <c r="P795" s="55" t="str">
        <f>IF(COUNTA(A795:I795)=0,"",N(G795)+N(H795)+N(I795))</f>
        <v/>
      </c>
      <c r="Q795" s="56" t="str">
        <f>IF(COUNTA(A795:I795)=0,"",IF(N(IFERROR(INDEX(art_rate,MATCH(E795,art_ref,0)),0))&gt;0,N(IFERROR(INDEX(art_rate,MATCH(E795,art_ref,0)),0)),N(IFERROR(INDEX(po_rate,MATCH(C795,po_code,0)),0))))</f>
        <v/>
      </c>
      <c r="R795" s="55" t="str">
        <f>IF(AC795=1,P795*60/Q795,"")</f>
        <v/>
      </c>
      <c r="S795" s="55" t="str">
        <f>IF(AC795=1,N(G795)*60/Q795,"")</f>
        <v/>
      </c>
      <c r="T795" s="57" t="str">
        <f>IF(AC795=1,O795/M795,"")</f>
        <v/>
      </c>
      <c r="U795" s="57" t="str">
        <f>IF(AC795=1,IF(O795&gt;0,R795/O795,""),"")</f>
        <v/>
      </c>
      <c r="V795" s="57" t="str">
        <f>IF(AC795=1,IF(P795&gt;0,N(G795)/P795,""),"")</f>
        <v/>
      </c>
      <c r="W795" s="57" t="str">
        <f>IF(AC795=1,S795/M795,"")</f>
        <v/>
      </c>
      <c r="X795" s="57" t="str">
        <f>IF(AC795=1,S795/K795,"")</f>
        <v/>
      </c>
      <c r="Y795" s="58" t="str">
        <f>IF(W795="","",IF(W795&gt;=p_target,"Bon",IF(W795&gt;=p_alert,"À surveiller","Faible")))</f>
        <v/>
      </c>
      <c r="Z795" s="58" t="str">
        <f>IF(W795="","",IF(MIN(IF(T795="",1,T795),IF(U795="",1,U795),IF(V795="",1,V795))&gt;=1,"Aucune",IF(IF(T795="",1,T795)&lt;=MIN(IF(U795="",1,U795),IF(V795="",1,V795)),"Disponibilité",IF(IF(U795="",1,U795)&lt;=IF(V795="",1,V795),"Performance","Qualité"))))</f>
        <v/>
      </c>
      <c r="AA795" s="59" t="str">
        <f>IF(AC795=1,N(H795)*N(IFERROR(INDEX(art_cost,MATCH(E795,art_ref,0)),0)),"")</f>
        <v/>
      </c>
      <c r="AB795" s="58" t="str">
        <f>IF(COUNTA(A795:I795)=0,"",IF(N(A795)&lt;=0,"Date manquante ou invalide",IF(B795="","Équipe manquante",IF(ISNA(MATCH(B795,eq_code,0)),"Équipe inconnue",IF(INDEX(eq_check,MATCH(B795,eq_code,0))&lt;&gt;"OK","Équipe à corriger dans Paramètres",IF(C795="","Poste manquant",IF(ISNA(MATCH(C795,po_code,0)),"Poste inconnu",IF(AND(E795&lt;&gt;"",ISNA(MATCH(E795,art_ref,0))),"Article inconnu",IF(IF(E795="",FALSE,INDEX(art_check,MATCH(E795,art_ref,0))&lt;&gt;"OK"),"Article à corriger (feuille Articles)",IF(COUNTIFS(sj_date,A795,sj_eq,B795,sj_po,C795)&gt;1,"Ligne en double (même jour, équipe et poste)",IF(OR(NOT(ISNUMBER(K795)),N(K795)&lt;=0,N(K795)&gt;1440),"Temps d'ouverture invalide",IF(OR(AND(G795&lt;&gt;"",NOT(ISNUMBER(G795))),N(G795)&lt;0,N(G795)&lt;&gt;INT(N(G795)),AND(H795&lt;&gt;"",NOT(ISNUMBER(H795))),N(H795)&lt;0,N(H795)&lt;&gt;INT(N(H795)),AND(I795&lt;&gt;"",NOT(ISNUMBER(I795))),N(I795)&lt;0,N(I795)&lt;&gt;INT(N(I795))),"Quantité invalide",IF(Q795&lt;=0,"Cadence manquante (poste ou article)",IF(M795&lt;=0,"Arrêts planifiés supérieurs au temps d'ouverture",IF(O795&lt;0,"Arrêts supérieurs au temps requis",IF(AND(P795&gt;0,O795=0),"Pièces déclarées sans temps de marche",IF(AND(P795=0,O795&gt;0),"Aucune pièce déclarée",IF(P795*60/Q795&gt;O795+0.001,"Cadence dépassée : vérifiez la cadence","OK"))))))))))))))))))</f>
        <v/>
      </c>
      <c r="AC795">
        <f>IF(OR(AB795="OK",AB795="Aucune pièce déclarée",AB795="Cadence dépassée : vérifiez la cadence"),1,0)</f>
        <v>0.0</v>
      </c>
      <c r="AD795">
        <f>IF(AND(AC795=1,A795&gt;=p_from,A795&lt;=p_to),1,0)</f>
        <v>0.0</v>
      </c>
      <c r="AE795">
        <f>IF(AD795=1,IF(COUNTIFS($A$6:A795,A795,$AD$6:AD795,1)=1,1,0),0)</f>
        <v>0.0</v>
      </c>
      <c r="AF795" t="str">
        <f>IF(AE795=1,COUNTIFS(sj_first,1,sj_date,"&lt;"&amp;A795)+1,"")</f>
        <v/>
      </c>
      <c r="AG795" t="str">
        <f>IF(AND(AD795=1,N(W795)&lt;p_alert),ROUND(W795,4),"")</f>
        <v/>
      </c>
      <c r="AH795" t="str">
        <f>IF(AG795="","",COUNTIF(sj_akey,"&lt;"&amp;AG795)+COUNTIF($AG$6:AG795,AG795))</f>
        <v/>
      </c>
    </row>
    <row r="796">
      <c r="A796" s="51" t="n"/>
      <c r="B796" s="52" t="n"/>
      <c r="C796" s="52" t="n"/>
      <c r="D796" s="53" t="n"/>
      <c r="E796" s="53" t="n"/>
      <c r="F796" s="54" t="n"/>
      <c r="G796" s="54" t="n"/>
      <c r="H796" s="54" t="n"/>
      <c r="I796" s="54" t="n"/>
      <c r="J796" s="53" t="n"/>
      <c r="K796" s="55" t="str">
        <f>IF(COUNTA(A796:I796)=0,"",IF(F796="",IFERROR(INDEX(eq_dur,MATCH(B796,eq_code,0)),""),F796))</f>
        <v/>
      </c>
      <c r="L796" s="55" t="str">
        <f>IF(ISNUMBER(K796),N(IFERROR(INDEX(eq_pause,MATCH(B796,eq_code,0)),0))+SUMIFS(st_min,st_date,A796,st_eq,B796,st_po,C796,st_type,"Planifié"),"")</f>
        <v/>
      </c>
      <c r="M796" s="55" t="str">
        <f>IF(ISNUMBER(K796),K796-L796,"")</f>
        <v/>
      </c>
      <c r="N796" s="55" t="str">
        <f>IF(ISNUMBER(K796),SUMIFS(st_min,st_date,A796,st_eq,B796,st_po,C796,st_type,"Non planifié"),"")</f>
        <v/>
      </c>
      <c r="O796" s="55" t="str">
        <f>IF(ISNUMBER(K796),M796-N796,"")</f>
        <v/>
      </c>
      <c r="P796" s="55" t="str">
        <f>IF(COUNTA(A796:I796)=0,"",N(G796)+N(H796)+N(I796))</f>
        <v/>
      </c>
      <c r="Q796" s="56" t="str">
        <f>IF(COUNTA(A796:I796)=0,"",IF(N(IFERROR(INDEX(art_rate,MATCH(E796,art_ref,0)),0))&gt;0,N(IFERROR(INDEX(art_rate,MATCH(E796,art_ref,0)),0)),N(IFERROR(INDEX(po_rate,MATCH(C796,po_code,0)),0))))</f>
        <v/>
      </c>
      <c r="R796" s="55" t="str">
        <f>IF(AC796=1,P796*60/Q796,"")</f>
        <v/>
      </c>
      <c r="S796" s="55" t="str">
        <f>IF(AC796=1,N(G796)*60/Q796,"")</f>
        <v/>
      </c>
      <c r="T796" s="57" t="str">
        <f>IF(AC796=1,O796/M796,"")</f>
        <v/>
      </c>
      <c r="U796" s="57" t="str">
        <f>IF(AC796=1,IF(O796&gt;0,R796/O796,""),"")</f>
        <v/>
      </c>
      <c r="V796" s="57" t="str">
        <f>IF(AC796=1,IF(P796&gt;0,N(G796)/P796,""),"")</f>
        <v/>
      </c>
      <c r="W796" s="57" t="str">
        <f>IF(AC796=1,S796/M796,"")</f>
        <v/>
      </c>
      <c r="X796" s="57" t="str">
        <f>IF(AC796=1,S796/K796,"")</f>
        <v/>
      </c>
      <c r="Y796" s="58" t="str">
        <f>IF(W796="","",IF(W796&gt;=p_target,"Bon",IF(W796&gt;=p_alert,"À surveiller","Faible")))</f>
        <v/>
      </c>
      <c r="Z796" s="58" t="str">
        <f>IF(W796="","",IF(MIN(IF(T796="",1,T796),IF(U796="",1,U796),IF(V796="",1,V796))&gt;=1,"Aucune",IF(IF(T796="",1,T796)&lt;=MIN(IF(U796="",1,U796),IF(V796="",1,V796)),"Disponibilité",IF(IF(U796="",1,U796)&lt;=IF(V796="",1,V796),"Performance","Qualité"))))</f>
        <v/>
      </c>
      <c r="AA796" s="59" t="str">
        <f>IF(AC796=1,N(H796)*N(IFERROR(INDEX(art_cost,MATCH(E796,art_ref,0)),0)),"")</f>
        <v/>
      </c>
      <c r="AB796" s="58" t="str">
        <f>IF(COUNTA(A796:I796)=0,"",IF(N(A796)&lt;=0,"Date manquante ou invalide",IF(B796="","Équipe manquante",IF(ISNA(MATCH(B796,eq_code,0)),"Équipe inconnue",IF(INDEX(eq_check,MATCH(B796,eq_code,0))&lt;&gt;"OK","Équipe à corriger dans Paramètres",IF(C796="","Poste manquant",IF(ISNA(MATCH(C796,po_code,0)),"Poste inconnu",IF(AND(E796&lt;&gt;"",ISNA(MATCH(E796,art_ref,0))),"Article inconnu",IF(IF(E796="",FALSE,INDEX(art_check,MATCH(E796,art_ref,0))&lt;&gt;"OK"),"Article à corriger (feuille Articles)",IF(COUNTIFS(sj_date,A796,sj_eq,B796,sj_po,C796)&gt;1,"Ligne en double (même jour, équipe et poste)",IF(OR(NOT(ISNUMBER(K796)),N(K796)&lt;=0,N(K796)&gt;1440),"Temps d'ouverture invalide",IF(OR(AND(G796&lt;&gt;"",NOT(ISNUMBER(G796))),N(G796)&lt;0,N(G796)&lt;&gt;INT(N(G796)),AND(H796&lt;&gt;"",NOT(ISNUMBER(H796))),N(H796)&lt;0,N(H796)&lt;&gt;INT(N(H796)),AND(I796&lt;&gt;"",NOT(ISNUMBER(I796))),N(I796)&lt;0,N(I796)&lt;&gt;INT(N(I796))),"Quantité invalide",IF(Q796&lt;=0,"Cadence manquante (poste ou article)",IF(M796&lt;=0,"Arrêts planifiés supérieurs au temps d'ouverture",IF(O796&lt;0,"Arrêts supérieurs au temps requis",IF(AND(P796&gt;0,O796=0),"Pièces déclarées sans temps de marche",IF(AND(P796=0,O796&gt;0),"Aucune pièce déclarée",IF(P796*60/Q796&gt;O796+0.001,"Cadence dépassée : vérifiez la cadence","OK"))))))))))))))))))</f>
        <v/>
      </c>
      <c r="AC796">
        <f>IF(OR(AB796="OK",AB796="Aucune pièce déclarée",AB796="Cadence dépassée : vérifiez la cadence"),1,0)</f>
        <v>0.0</v>
      </c>
      <c r="AD796">
        <f>IF(AND(AC796=1,A796&gt;=p_from,A796&lt;=p_to),1,0)</f>
        <v>0.0</v>
      </c>
      <c r="AE796">
        <f>IF(AD796=1,IF(COUNTIFS($A$6:A796,A796,$AD$6:AD796,1)=1,1,0),0)</f>
        <v>0.0</v>
      </c>
      <c r="AF796" t="str">
        <f>IF(AE796=1,COUNTIFS(sj_first,1,sj_date,"&lt;"&amp;A796)+1,"")</f>
        <v/>
      </c>
      <c r="AG796" t="str">
        <f>IF(AND(AD796=1,N(W796)&lt;p_alert),ROUND(W796,4),"")</f>
        <v/>
      </c>
      <c r="AH796" t="str">
        <f>IF(AG796="","",COUNTIF(sj_akey,"&lt;"&amp;AG796)+COUNTIF($AG$6:AG796,AG796))</f>
        <v/>
      </c>
    </row>
    <row r="797">
      <c r="A797" s="51" t="n"/>
      <c r="B797" s="52" t="n"/>
      <c r="C797" s="52" t="n"/>
      <c r="D797" s="53" t="n"/>
      <c r="E797" s="53" t="n"/>
      <c r="F797" s="54" t="n"/>
      <c r="G797" s="54" t="n"/>
      <c r="H797" s="54" t="n"/>
      <c r="I797" s="54" t="n"/>
      <c r="J797" s="53" t="n"/>
      <c r="K797" s="55" t="str">
        <f>IF(COUNTA(A797:I797)=0,"",IF(F797="",IFERROR(INDEX(eq_dur,MATCH(B797,eq_code,0)),""),F797))</f>
        <v/>
      </c>
      <c r="L797" s="55" t="str">
        <f>IF(ISNUMBER(K797),N(IFERROR(INDEX(eq_pause,MATCH(B797,eq_code,0)),0))+SUMIFS(st_min,st_date,A797,st_eq,B797,st_po,C797,st_type,"Planifié"),"")</f>
        <v/>
      </c>
      <c r="M797" s="55" t="str">
        <f>IF(ISNUMBER(K797),K797-L797,"")</f>
        <v/>
      </c>
      <c r="N797" s="55" t="str">
        <f>IF(ISNUMBER(K797),SUMIFS(st_min,st_date,A797,st_eq,B797,st_po,C797,st_type,"Non planifié"),"")</f>
        <v/>
      </c>
      <c r="O797" s="55" t="str">
        <f>IF(ISNUMBER(K797),M797-N797,"")</f>
        <v/>
      </c>
      <c r="P797" s="55" t="str">
        <f>IF(COUNTA(A797:I797)=0,"",N(G797)+N(H797)+N(I797))</f>
        <v/>
      </c>
      <c r="Q797" s="56" t="str">
        <f>IF(COUNTA(A797:I797)=0,"",IF(N(IFERROR(INDEX(art_rate,MATCH(E797,art_ref,0)),0))&gt;0,N(IFERROR(INDEX(art_rate,MATCH(E797,art_ref,0)),0)),N(IFERROR(INDEX(po_rate,MATCH(C797,po_code,0)),0))))</f>
        <v/>
      </c>
      <c r="R797" s="55" t="str">
        <f>IF(AC797=1,P797*60/Q797,"")</f>
        <v/>
      </c>
      <c r="S797" s="55" t="str">
        <f>IF(AC797=1,N(G797)*60/Q797,"")</f>
        <v/>
      </c>
      <c r="T797" s="57" t="str">
        <f>IF(AC797=1,O797/M797,"")</f>
        <v/>
      </c>
      <c r="U797" s="57" t="str">
        <f>IF(AC797=1,IF(O797&gt;0,R797/O797,""),"")</f>
        <v/>
      </c>
      <c r="V797" s="57" t="str">
        <f>IF(AC797=1,IF(P797&gt;0,N(G797)/P797,""),"")</f>
        <v/>
      </c>
      <c r="W797" s="57" t="str">
        <f>IF(AC797=1,S797/M797,"")</f>
        <v/>
      </c>
      <c r="X797" s="57" t="str">
        <f>IF(AC797=1,S797/K797,"")</f>
        <v/>
      </c>
      <c r="Y797" s="58" t="str">
        <f>IF(W797="","",IF(W797&gt;=p_target,"Bon",IF(W797&gt;=p_alert,"À surveiller","Faible")))</f>
        <v/>
      </c>
      <c r="Z797" s="58" t="str">
        <f>IF(W797="","",IF(MIN(IF(T797="",1,T797),IF(U797="",1,U797),IF(V797="",1,V797))&gt;=1,"Aucune",IF(IF(T797="",1,T797)&lt;=MIN(IF(U797="",1,U797),IF(V797="",1,V797)),"Disponibilité",IF(IF(U797="",1,U797)&lt;=IF(V797="",1,V797),"Performance","Qualité"))))</f>
        <v/>
      </c>
      <c r="AA797" s="59" t="str">
        <f>IF(AC797=1,N(H797)*N(IFERROR(INDEX(art_cost,MATCH(E797,art_ref,0)),0)),"")</f>
        <v/>
      </c>
      <c r="AB797" s="58" t="str">
        <f>IF(COUNTA(A797:I797)=0,"",IF(N(A797)&lt;=0,"Date manquante ou invalide",IF(B797="","Équipe manquante",IF(ISNA(MATCH(B797,eq_code,0)),"Équipe inconnue",IF(INDEX(eq_check,MATCH(B797,eq_code,0))&lt;&gt;"OK","Équipe à corriger dans Paramètres",IF(C797="","Poste manquant",IF(ISNA(MATCH(C797,po_code,0)),"Poste inconnu",IF(AND(E797&lt;&gt;"",ISNA(MATCH(E797,art_ref,0))),"Article inconnu",IF(IF(E797="",FALSE,INDEX(art_check,MATCH(E797,art_ref,0))&lt;&gt;"OK"),"Article à corriger (feuille Articles)",IF(COUNTIFS(sj_date,A797,sj_eq,B797,sj_po,C797)&gt;1,"Ligne en double (même jour, équipe et poste)",IF(OR(NOT(ISNUMBER(K797)),N(K797)&lt;=0,N(K797)&gt;1440),"Temps d'ouverture invalide",IF(OR(AND(G797&lt;&gt;"",NOT(ISNUMBER(G797))),N(G797)&lt;0,N(G797)&lt;&gt;INT(N(G797)),AND(H797&lt;&gt;"",NOT(ISNUMBER(H797))),N(H797)&lt;0,N(H797)&lt;&gt;INT(N(H797)),AND(I797&lt;&gt;"",NOT(ISNUMBER(I797))),N(I797)&lt;0,N(I797)&lt;&gt;INT(N(I797))),"Quantité invalide",IF(Q797&lt;=0,"Cadence manquante (poste ou article)",IF(M797&lt;=0,"Arrêts planifiés supérieurs au temps d'ouverture",IF(O797&lt;0,"Arrêts supérieurs au temps requis",IF(AND(P797&gt;0,O797=0),"Pièces déclarées sans temps de marche",IF(AND(P797=0,O797&gt;0),"Aucune pièce déclarée",IF(P797*60/Q797&gt;O797+0.001,"Cadence dépassée : vérifiez la cadence","OK"))))))))))))))))))</f>
        <v/>
      </c>
      <c r="AC797">
        <f>IF(OR(AB797="OK",AB797="Aucune pièce déclarée",AB797="Cadence dépassée : vérifiez la cadence"),1,0)</f>
        <v>0.0</v>
      </c>
      <c r="AD797">
        <f>IF(AND(AC797=1,A797&gt;=p_from,A797&lt;=p_to),1,0)</f>
        <v>0.0</v>
      </c>
      <c r="AE797">
        <f>IF(AD797=1,IF(COUNTIFS($A$6:A797,A797,$AD$6:AD797,1)=1,1,0),0)</f>
        <v>0.0</v>
      </c>
      <c r="AF797" t="str">
        <f>IF(AE797=1,COUNTIFS(sj_first,1,sj_date,"&lt;"&amp;A797)+1,"")</f>
        <v/>
      </c>
      <c r="AG797" t="str">
        <f>IF(AND(AD797=1,N(W797)&lt;p_alert),ROUND(W797,4),"")</f>
        <v/>
      </c>
      <c r="AH797" t="str">
        <f>IF(AG797="","",COUNTIF(sj_akey,"&lt;"&amp;AG797)+COUNTIF($AG$6:AG797,AG797))</f>
        <v/>
      </c>
    </row>
    <row r="798">
      <c r="A798" s="51" t="n"/>
      <c r="B798" s="52" t="n"/>
      <c r="C798" s="52" t="n"/>
      <c r="D798" s="53" t="n"/>
      <c r="E798" s="53" t="n"/>
      <c r="F798" s="54" t="n"/>
      <c r="G798" s="54" t="n"/>
      <c r="H798" s="54" t="n"/>
      <c r="I798" s="54" t="n"/>
      <c r="J798" s="53" t="n"/>
      <c r="K798" s="55" t="str">
        <f>IF(COUNTA(A798:I798)=0,"",IF(F798="",IFERROR(INDEX(eq_dur,MATCH(B798,eq_code,0)),""),F798))</f>
        <v/>
      </c>
      <c r="L798" s="55" t="str">
        <f>IF(ISNUMBER(K798),N(IFERROR(INDEX(eq_pause,MATCH(B798,eq_code,0)),0))+SUMIFS(st_min,st_date,A798,st_eq,B798,st_po,C798,st_type,"Planifié"),"")</f>
        <v/>
      </c>
      <c r="M798" s="55" t="str">
        <f>IF(ISNUMBER(K798),K798-L798,"")</f>
        <v/>
      </c>
      <c r="N798" s="55" t="str">
        <f>IF(ISNUMBER(K798),SUMIFS(st_min,st_date,A798,st_eq,B798,st_po,C798,st_type,"Non planifié"),"")</f>
        <v/>
      </c>
      <c r="O798" s="55" t="str">
        <f>IF(ISNUMBER(K798),M798-N798,"")</f>
        <v/>
      </c>
      <c r="P798" s="55" t="str">
        <f>IF(COUNTA(A798:I798)=0,"",N(G798)+N(H798)+N(I798))</f>
        <v/>
      </c>
      <c r="Q798" s="56" t="str">
        <f>IF(COUNTA(A798:I798)=0,"",IF(N(IFERROR(INDEX(art_rate,MATCH(E798,art_ref,0)),0))&gt;0,N(IFERROR(INDEX(art_rate,MATCH(E798,art_ref,0)),0)),N(IFERROR(INDEX(po_rate,MATCH(C798,po_code,0)),0))))</f>
        <v/>
      </c>
      <c r="R798" s="55" t="str">
        <f>IF(AC798=1,P798*60/Q798,"")</f>
        <v/>
      </c>
      <c r="S798" s="55" t="str">
        <f>IF(AC798=1,N(G798)*60/Q798,"")</f>
        <v/>
      </c>
      <c r="T798" s="57" t="str">
        <f>IF(AC798=1,O798/M798,"")</f>
        <v/>
      </c>
      <c r="U798" s="57" t="str">
        <f>IF(AC798=1,IF(O798&gt;0,R798/O798,""),"")</f>
        <v/>
      </c>
      <c r="V798" s="57" t="str">
        <f>IF(AC798=1,IF(P798&gt;0,N(G798)/P798,""),"")</f>
        <v/>
      </c>
      <c r="W798" s="57" t="str">
        <f>IF(AC798=1,S798/M798,"")</f>
        <v/>
      </c>
      <c r="X798" s="57" t="str">
        <f>IF(AC798=1,S798/K798,"")</f>
        <v/>
      </c>
      <c r="Y798" s="58" t="str">
        <f>IF(W798="","",IF(W798&gt;=p_target,"Bon",IF(W798&gt;=p_alert,"À surveiller","Faible")))</f>
        <v/>
      </c>
      <c r="Z798" s="58" t="str">
        <f>IF(W798="","",IF(MIN(IF(T798="",1,T798),IF(U798="",1,U798),IF(V798="",1,V798))&gt;=1,"Aucune",IF(IF(T798="",1,T798)&lt;=MIN(IF(U798="",1,U798),IF(V798="",1,V798)),"Disponibilité",IF(IF(U798="",1,U798)&lt;=IF(V798="",1,V798),"Performance","Qualité"))))</f>
        <v/>
      </c>
      <c r="AA798" s="59" t="str">
        <f>IF(AC798=1,N(H798)*N(IFERROR(INDEX(art_cost,MATCH(E798,art_ref,0)),0)),"")</f>
        <v/>
      </c>
      <c r="AB798" s="58" t="str">
        <f>IF(COUNTA(A798:I798)=0,"",IF(N(A798)&lt;=0,"Date manquante ou invalide",IF(B798="","Équipe manquante",IF(ISNA(MATCH(B798,eq_code,0)),"Équipe inconnue",IF(INDEX(eq_check,MATCH(B798,eq_code,0))&lt;&gt;"OK","Équipe à corriger dans Paramètres",IF(C798="","Poste manquant",IF(ISNA(MATCH(C798,po_code,0)),"Poste inconnu",IF(AND(E798&lt;&gt;"",ISNA(MATCH(E798,art_ref,0))),"Article inconnu",IF(IF(E798="",FALSE,INDEX(art_check,MATCH(E798,art_ref,0))&lt;&gt;"OK"),"Article à corriger (feuille Articles)",IF(COUNTIFS(sj_date,A798,sj_eq,B798,sj_po,C798)&gt;1,"Ligne en double (même jour, équipe et poste)",IF(OR(NOT(ISNUMBER(K798)),N(K798)&lt;=0,N(K798)&gt;1440),"Temps d'ouverture invalide",IF(OR(AND(G798&lt;&gt;"",NOT(ISNUMBER(G798))),N(G798)&lt;0,N(G798)&lt;&gt;INT(N(G798)),AND(H798&lt;&gt;"",NOT(ISNUMBER(H798))),N(H798)&lt;0,N(H798)&lt;&gt;INT(N(H798)),AND(I798&lt;&gt;"",NOT(ISNUMBER(I798))),N(I798)&lt;0,N(I798)&lt;&gt;INT(N(I798))),"Quantité invalide",IF(Q798&lt;=0,"Cadence manquante (poste ou article)",IF(M798&lt;=0,"Arrêts planifiés supérieurs au temps d'ouverture",IF(O798&lt;0,"Arrêts supérieurs au temps requis",IF(AND(P798&gt;0,O798=0),"Pièces déclarées sans temps de marche",IF(AND(P798=0,O798&gt;0),"Aucune pièce déclarée",IF(P798*60/Q798&gt;O798+0.001,"Cadence dépassée : vérifiez la cadence","OK"))))))))))))))))))</f>
        <v/>
      </c>
      <c r="AC798">
        <f>IF(OR(AB798="OK",AB798="Aucune pièce déclarée",AB798="Cadence dépassée : vérifiez la cadence"),1,0)</f>
        <v>0.0</v>
      </c>
      <c r="AD798">
        <f>IF(AND(AC798=1,A798&gt;=p_from,A798&lt;=p_to),1,0)</f>
        <v>0.0</v>
      </c>
      <c r="AE798">
        <f>IF(AD798=1,IF(COUNTIFS($A$6:A798,A798,$AD$6:AD798,1)=1,1,0),0)</f>
        <v>0.0</v>
      </c>
      <c r="AF798" t="str">
        <f>IF(AE798=1,COUNTIFS(sj_first,1,sj_date,"&lt;"&amp;A798)+1,"")</f>
        <v/>
      </c>
      <c r="AG798" t="str">
        <f>IF(AND(AD798=1,N(W798)&lt;p_alert),ROUND(W798,4),"")</f>
        <v/>
      </c>
      <c r="AH798" t="str">
        <f>IF(AG798="","",COUNTIF(sj_akey,"&lt;"&amp;AG798)+COUNTIF($AG$6:AG798,AG798))</f>
        <v/>
      </c>
    </row>
    <row r="799">
      <c r="A799" s="51" t="n"/>
      <c r="B799" s="52" t="n"/>
      <c r="C799" s="52" t="n"/>
      <c r="D799" s="53" t="n"/>
      <c r="E799" s="53" t="n"/>
      <c r="F799" s="54" t="n"/>
      <c r="G799" s="54" t="n"/>
      <c r="H799" s="54" t="n"/>
      <c r="I799" s="54" t="n"/>
      <c r="J799" s="53" t="n"/>
      <c r="K799" s="55" t="str">
        <f>IF(COUNTA(A799:I799)=0,"",IF(F799="",IFERROR(INDEX(eq_dur,MATCH(B799,eq_code,0)),""),F799))</f>
        <v/>
      </c>
      <c r="L799" s="55" t="str">
        <f>IF(ISNUMBER(K799),N(IFERROR(INDEX(eq_pause,MATCH(B799,eq_code,0)),0))+SUMIFS(st_min,st_date,A799,st_eq,B799,st_po,C799,st_type,"Planifié"),"")</f>
        <v/>
      </c>
      <c r="M799" s="55" t="str">
        <f>IF(ISNUMBER(K799),K799-L799,"")</f>
        <v/>
      </c>
      <c r="N799" s="55" t="str">
        <f>IF(ISNUMBER(K799),SUMIFS(st_min,st_date,A799,st_eq,B799,st_po,C799,st_type,"Non planifié"),"")</f>
        <v/>
      </c>
      <c r="O799" s="55" t="str">
        <f>IF(ISNUMBER(K799),M799-N799,"")</f>
        <v/>
      </c>
      <c r="P799" s="55" t="str">
        <f>IF(COUNTA(A799:I799)=0,"",N(G799)+N(H799)+N(I799))</f>
        <v/>
      </c>
      <c r="Q799" s="56" t="str">
        <f>IF(COUNTA(A799:I799)=0,"",IF(N(IFERROR(INDEX(art_rate,MATCH(E799,art_ref,0)),0))&gt;0,N(IFERROR(INDEX(art_rate,MATCH(E799,art_ref,0)),0)),N(IFERROR(INDEX(po_rate,MATCH(C799,po_code,0)),0))))</f>
        <v/>
      </c>
      <c r="R799" s="55" t="str">
        <f>IF(AC799=1,P799*60/Q799,"")</f>
        <v/>
      </c>
      <c r="S799" s="55" t="str">
        <f>IF(AC799=1,N(G799)*60/Q799,"")</f>
        <v/>
      </c>
      <c r="T799" s="57" t="str">
        <f>IF(AC799=1,O799/M799,"")</f>
        <v/>
      </c>
      <c r="U799" s="57" t="str">
        <f>IF(AC799=1,IF(O799&gt;0,R799/O799,""),"")</f>
        <v/>
      </c>
      <c r="V799" s="57" t="str">
        <f>IF(AC799=1,IF(P799&gt;0,N(G799)/P799,""),"")</f>
        <v/>
      </c>
      <c r="W799" s="57" t="str">
        <f>IF(AC799=1,S799/M799,"")</f>
        <v/>
      </c>
      <c r="X799" s="57" t="str">
        <f>IF(AC799=1,S799/K799,"")</f>
        <v/>
      </c>
      <c r="Y799" s="58" t="str">
        <f>IF(W799="","",IF(W799&gt;=p_target,"Bon",IF(W799&gt;=p_alert,"À surveiller","Faible")))</f>
        <v/>
      </c>
      <c r="Z799" s="58" t="str">
        <f>IF(W799="","",IF(MIN(IF(T799="",1,T799),IF(U799="",1,U799),IF(V799="",1,V799))&gt;=1,"Aucune",IF(IF(T799="",1,T799)&lt;=MIN(IF(U799="",1,U799),IF(V799="",1,V799)),"Disponibilité",IF(IF(U799="",1,U799)&lt;=IF(V799="",1,V799),"Performance","Qualité"))))</f>
        <v/>
      </c>
      <c r="AA799" s="59" t="str">
        <f>IF(AC799=1,N(H799)*N(IFERROR(INDEX(art_cost,MATCH(E799,art_ref,0)),0)),"")</f>
        <v/>
      </c>
      <c r="AB799" s="58" t="str">
        <f>IF(COUNTA(A799:I799)=0,"",IF(N(A799)&lt;=0,"Date manquante ou invalide",IF(B799="","Équipe manquante",IF(ISNA(MATCH(B799,eq_code,0)),"Équipe inconnue",IF(INDEX(eq_check,MATCH(B799,eq_code,0))&lt;&gt;"OK","Équipe à corriger dans Paramètres",IF(C799="","Poste manquant",IF(ISNA(MATCH(C799,po_code,0)),"Poste inconnu",IF(AND(E799&lt;&gt;"",ISNA(MATCH(E799,art_ref,0))),"Article inconnu",IF(IF(E799="",FALSE,INDEX(art_check,MATCH(E799,art_ref,0))&lt;&gt;"OK"),"Article à corriger (feuille Articles)",IF(COUNTIFS(sj_date,A799,sj_eq,B799,sj_po,C799)&gt;1,"Ligne en double (même jour, équipe et poste)",IF(OR(NOT(ISNUMBER(K799)),N(K799)&lt;=0,N(K799)&gt;1440),"Temps d'ouverture invalide",IF(OR(AND(G799&lt;&gt;"",NOT(ISNUMBER(G799))),N(G799)&lt;0,N(G799)&lt;&gt;INT(N(G799)),AND(H799&lt;&gt;"",NOT(ISNUMBER(H799))),N(H799)&lt;0,N(H799)&lt;&gt;INT(N(H799)),AND(I799&lt;&gt;"",NOT(ISNUMBER(I799))),N(I799)&lt;0,N(I799)&lt;&gt;INT(N(I799))),"Quantité invalide",IF(Q799&lt;=0,"Cadence manquante (poste ou article)",IF(M799&lt;=0,"Arrêts planifiés supérieurs au temps d'ouverture",IF(O799&lt;0,"Arrêts supérieurs au temps requis",IF(AND(P799&gt;0,O799=0),"Pièces déclarées sans temps de marche",IF(AND(P799=0,O799&gt;0),"Aucune pièce déclarée",IF(P799*60/Q799&gt;O799+0.001,"Cadence dépassée : vérifiez la cadence","OK"))))))))))))))))))</f>
        <v/>
      </c>
      <c r="AC799">
        <f>IF(OR(AB799="OK",AB799="Aucune pièce déclarée",AB799="Cadence dépassée : vérifiez la cadence"),1,0)</f>
        <v>0.0</v>
      </c>
      <c r="AD799">
        <f>IF(AND(AC799=1,A799&gt;=p_from,A799&lt;=p_to),1,0)</f>
        <v>0.0</v>
      </c>
      <c r="AE799">
        <f>IF(AD799=1,IF(COUNTIFS($A$6:A799,A799,$AD$6:AD799,1)=1,1,0),0)</f>
        <v>0.0</v>
      </c>
      <c r="AF799" t="str">
        <f>IF(AE799=1,COUNTIFS(sj_first,1,sj_date,"&lt;"&amp;A799)+1,"")</f>
        <v/>
      </c>
      <c r="AG799" t="str">
        <f>IF(AND(AD799=1,N(W799)&lt;p_alert),ROUND(W799,4),"")</f>
        <v/>
      </c>
      <c r="AH799" t="str">
        <f>IF(AG799="","",COUNTIF(sj_akey,"&lt;"&amp;AG799)+COUNTIF($AG$6:AG799,AG799))</f>
        <v/>
      </c>
    </row>
    <row r="800">
      <c r="A800" s="51" t="n"/>
      <c r="B800" s="52" t="n"/>
      <c r="C800" s="52" t="n"/>
      <c r="D800" s="53" t="n"/>
      <c r="E800" s="53" t="n"/>
      <c r="F800" s="54" t="n"/>
      <c r="G800" s="54" t="n"/>
      <c r="H800" s="54" t="n"/>
      <c r="I800" s="54" t="n"/>
      <c r="J800" s="53" t="n"/>
      <c r="K800" s="55" t="str">
        <f>IF(COUNTA(A800:I800)=0,"",IF(F800="",IFERROR(INDEX(eq_dur,MATCH(B800,eq_code,0)),""),F800))</f>
        <v/>
      </c>
      <c r="L800" s="55" t="str">
        <f>IF(ISNUMBER(K800),N(IFERROR(INDEX(eq_pause,MATCH(B800,eq_code,0)),0))+SUMIFS(st_min,st_date,A800,st_eq,B800,st_po,C800,st_type,"Planifié"),"")</f>
        <v/>
      </c>
      <c r="M800" s="55" t="str">
        <f>IF(ISNUMBER(K800),K800-L800,"")</f>
        <v/>
      </c>
      <c r="N800" s="55" t="str">
        <f>IF(ISNUMBER(K800),SUMIFS(st_min,st_date,A800,st_eq,B800,st_po,C800,st_type,"Non planifié"),"")</f>
        <v/>
      </c>
      <c r="O800" s="55" t="str">
        <f>IF(ISNUMBER(K800),M800-N800,"")</f>
        <v/>
      </c>
      <c r="P800" s="55" t="str">
        <f>IF(COUNTA(A800:I800)=0,"",N(G800)+N(H800)+N(I800))</f>
        <v/>
      </c>
      <c r="Q800" s="56" t="str">
        <f>IF(COUNTA(A800:I800)=0,"",IF(N(IFERROR(INDEX(art_rate,MATCH(E800,art_ref,0)),0))&gt;0,N(IFERROR(INDEX(art_rate,MATCH(E800,art_ref,0)),0)),N(IFERROR(INDEX(po_rate,MATCH(C800,po_code,0)),0))))</f>
        <v/>
      </c>
      <c r="R800" s="55" t="str">
        <f>IF(AC800=1,P800*60/Q800,"")</f>
        <v/>
      </c>
      <c r="S800" s="55" t="str">
        <f>IF(AC800=1,N(G800)*60/Q800,"")</f>
        <v/>
      </c>
      <c r="T800" s="57" t="str">
        <f>IF(AC800=1,O800/M800,"")</f>
        <v/>
      </c>
      <c r="U800" s="57" t="str">
        <f>IF(AC800=1,IF(O800&gt;0,R800/O800,""),"")</f>
        <v/>
      </c>
      <c r="V800" s="57" t="str">
        <f>IF(AC800=1,IF(P800&gt;0,N(G800)/P800,""),"")</f>
        <v/>
      </c>
      <c r="W800" s="57" t="str">
        <f>IF(AC800=1,S800/M800,"")</f>
        <v/>
      </c>
      <c r="X800" s="57" t="str">
        <f>IF(AC800=1,S800/K800,"")</f>
        <v/>
      </c>
      <c r="Y800" s="58" t="str">
        <f>IF(W800="","",IF(W800&gt;=p_target,"Bon",IF(W800&gt;=p_alert,"À surveiller","Faible")))</f>
        <v/>
      </c>
      <c r="Z800" s="58" t="str">
        <f>IF(W800="","",IF(MIN(IF(T800="",1,T800),IF(U800="",1,U800),IF(V800="",1,V800))&gt;=1,"Aucune",IF(IF(T800="",1,T800)&lt;=MIN(IF(U800="",1,U800),IF(V800="",1,V800)),"Disponibilité",IF(IF(U800="",1,U800)&lt;=IF(V800="",1,V800),"Performance","Qualité"))))</f>
        <v/>
      </c>
      <c r="AA800" s="59" t="str">
        <f>IF(AC800=1,N(H800)*N(IFERROR(INDEX(art_cost,MATCH(E800,art_ref,0)),0)),"")</f>
        <v/>
      </c>
      <c r="AB800" s="58" t="str">
        <f>IF(COUNTA(A800:I800)=0,"",IF(N(A800)&lt;=0,"Date manquante ou invalide",IF(B800="","Équipe manquante",IF(ISNA(MATCH(B800,eq_code,0)),"Équipe inconnue",IF(INDEX(eq_check,MATCH(B800,eq_code,0))&lt;&gt;"OK","Équipe à corriger dans Paramètres",IF(C800="","Poste manquant",IF(ISNA(MATCH(C800,po_code,0)),"Poste inconnu",IF(AND(E800&lt;&gt;"",ISNA(MATCH(E800,art_ref,0))),"Article inconnu",IF(IF(E800="",FALSE,INDEX(art_check,MATCH(E800,art_ref,0))&lt;&gt;"OK"),"Article à corriger (feuille Articles)",IF(COUNTIFS(sj_date,A800,sj_eq,B800,sj_po,C800)&gt;1,"Ligne en double (même jour, équipe et poste)",IF(OR(NOT(ISNUMBER(K800)),N(K800)&lt;=0,N(K800)&gt;1440),"Temps d'ouverture invalide",IF(OR(AND(G800&lt;&gt;"",NOT(ISNUMBER(G800))),N(G800)&lt;0,N(G800)&lt;&gt;INT(N(G800)),AND(H800&lt;&gt;"",NOT(ISNUMBER(H800))),N(H800)&lt;0,N(H800)&lt;&gt;INT(N(H800)),AND(I800&lt;&gt;"",NOT(ISNUMBER(I800))),N(I800)&lt;0,N(I800)&lt;&gt;INT(N(I800))),"Quantité invalide",IF(Q800&lt;=0,"Cadence manquante (poste ou article)",IF(M800&lt;=0,"Arrêts planifiés supérieurs au temps d'ouverture",IF(O800&lt;0,"Arrêts supérieurs au temps requis",IF(AND(P800&gt;0,O800=0),"Pièces déclarées sans temps de marche",IF(AND(P800=0,O800&gt;0),"Aucune pièce déclarée",IF(P800*60/Q800&gt;O800+0.001,"Cadence dépassée : vérifiez la cadence","OK"))))))))))))))))))</f>
        <v/>
      </c>
      <c r="AC800">
        <f>IF(OR(AB800="OK",AB800="Aucune pièce déclarée",AB800="Cadence dépassée : vérifiez la cadence"),1,0)</f>
        <v>0.0</v>
      </c>
      <c r="AD800">
        <f>IF(AND(AC800=1,A800&gt;=p_from,A800&lt;=p_to),1,0)</f>
        <v>0.0</v>
      </c>
      <c r="AE800">
        <f>IF(AD800=1,IF(COUNTIFS($A$6:A800,A800,$AD$6:AD800,1)=1,1,0),0)</f>
        <v>0.0</v>
      </c>
      <c r="AF800" t="str">
        <f>IF(AE800=1,COUNTIFS(sj_first,1,sj_date,"&lt;"&amp;A800)+1,"")</f>
        <v/>
      </c>
      <c r="AG800" t="str">
        <f>IF(AND(AD800=1,N(W800)&lt;p_alert),ROUND(W800,4),"")</f>
        <v/>
      </c>
      <c r="AH800" t="str">
        <f>IF(AG800="","",COUNTIF(sj_akey,"&lt;"&amp;AG800)+COUNTIF($AG$6:AG800,AG800))</f>
        <v/>
      </c>
    </row>
    <row r="801">
      <c r="A801" s="51" t="n"/>
      <c r="B801" s="52" t="n"/>
      <c r="C801" s="52" t="n"/>
      <c r="D801" s="53" t="n"/>
      <c r="E801" s="53" t="n"/>
      <c r="F801" s="54" t="n"/>
      <c r="G801" s="54" t="n"/>
      <c r="H801" s="54" t="n"/>
      <c r="I801" s="54" t="n"/>
      <c r="J801" s="53" t="n"/>
      <c r="K801" s="55" t="str">
        <f>IF(COUNTA(A801:I801)=0,"",IF(F801="",IFERROR(INDEX(eq_dur,MATCH(B801,eq_code,0)),""),F801))</f>
        <v/>
      </c>
      <c r="L801" s="55" t="str">
        <f>IF(ISNUMBER(K801),N(IFERROR(INDEX(eq_pause,MATCH(B801,eq_code,0)),0))+SUMIFS(st_min,st_date,A801,st_eq,B801,st_po,C801,st_type,"Planifié"),"")</f>
        <v/>
      </c>
      <c r="M801" s="55" t="str">
        <f>IF(ISNUMBER(K801),K801-L801,"")</f>
        <v/>
      </c>
      <c r="N801" s="55" t="str">
        <f>IF(ISNUMBER(K801),SUMIFS(st_min,st_date,A801,st_eq,B801,st_po,C801,st_type,"Non planifié"),"")</f>
        <v/>
      </c>
      <c r="O801" s="55" t="str">
        <f>IF(ISNUMBER(K801),M801-N801,"")</f>
        <v/>
      </c>
      <c r="P801" s="55" t="str">
        <f>IF(COUNTA(A801:I801)=0,"",N(G801)+N(H801)+N(I801))</f>
        <v/>
      </c>
      <c r="Q801" s="56" t="str">
        <f>IF(COUNTA(A801:I801)=0,"",IF(N(IFERROR(INDEX(art_rate,MATCH(E801,art_ref,0)),0))&gt;0,N(IFERROR(INDEX(art_rate,MATCH(E801,art_ref,0)),0)),N(IFERROR(INDEX(po_rate,MATCH(C801,po_code,0)),0))))</f>
        <v/>
      </c>
      <c r="R801" s="55" t="str">
        <f>IF(AC801=1,P801*60/Q801,"")</f>
        <v/>
      </c>
      <c r="S801" s="55" t="str">
        <f>IF(AC801=1,N(G801)*60/Q801,"")</f>
        <v/>
      </c>
      <c r="T801" s="57" t="str">
        <f>IF(AC801=1,O801/M801,"")</f>
        <v/>
      </c>
      <c r="U801" s="57" t="str">
        <f>IF(AC801=1,IF(O801&gt;0,R801/O801,""),"")</f>
        <v/>
      </c>
      <c r="V801" s="57" t="str">
        <f>IF(AC801=1,IF(P801&gt;0,N(G801)/P801,""),"")</f>
        <v/>
      </c>
      <c r="W801" s="57" t="str">
        <f>IF(AC801=1,S801/M801,"")</f>
        <v/>
      </c>
      <c r="X801" s="57" t="str">
        <f>IF(AC801=1,S801/K801,"")</f>
        <v/>
      </c>
      <c r="Y801" s="58" t="str">
        <f>IF(W801="","",IF(W801&gt;=p_target,"Bon",IF(W801&gt;=p_alert,"À surveiller","Faible")))</f>
        <v/>
      </c>
      <c r="Z801" s="58" t="str">
        <f>IF(W801="","",IF(MIN(IF(T801="",1,T801),IF(U801="",1,U801),IF(V801="",1,V801))&gt;=1,"Aucune",IF(IF(T801="",1,T801)&lt;=MIN(IF(U801="",1,U801),IF(V801="",1,V801)),"Disponibilité",IF(IF(U801="",1,U801)&lt;=IF(V801="",1,V801),"Performance","Qualité"))))</f>
        <v/>
      </c>
      <c r="AA801" s="59" t="str">
        <f>IF(AC801=1,N(H801)*N(IFERROR(INDEX(art_cost,MATCH(E801,art_ref,0)),0)),"")</f>
        <v/>
      </c>
      <c r="AB801" s="58" t="str">
        <f>IF(COUNTA(A801:I801)=0,"",IF(N(A801)&lt;=0,"Date manquante ou invalide",IF(B801="","Équipe manquante",IF(ISNA(MATCH(B801,eq_code,0)),"Équipe inconnue",IF(INDEX(eq_check,MATCH(B801,eq_code,0))&lt;&gt;"OK","Équipe à corriger dans Paramètres",IF(C801="","Poste manquant",IF(ISNA(MATCH(C801,po_code,0)),"Poste inconnu",IF(AND(E801&lt;&gt;"",ISNA(MATCH(E801,art_ref,0))),"Article inconnu",IF(IF(E801="",FALSE,INDEX(art_check,MATCH(E801,art_ref,0))&lt;&gt;"OK"),"Article à corriger (feuille Articles)",IF(COUNTIFS(sj_date,A801,sj_eq,B801,sj_po,C801)&gt;1,"Ligne en double (même jour, équipe et poste)",IF(OR(NOT(ISNUMBER(K801)),N(K801)&lt;=0,N(K801)&gt;1440),"Temps d'ouverture invalide",IF(OR(AND(G801&lt;&gt;"",NOT(ISNUMBER(G801))),N(G801)&lt;0,N(G801)&lt;&gt;INT(N(G801)),AND(H801&lt;&gt;"",NOT(ISNUMBER(H801))),N(H801)&lt;0,N(H801)&lt;&gt;INT(N(H801)),AND(I801&lt;&gt;"",NOT(ISNUMBER(I801))),N(I801)&lt;0,N(I801)&lt;&gt;INT(N(I801))),"Quantité invalide",IF(Q801&lt;=0,"Cadence manquante (poste ou article)",IF(M801&lt;=0,"Arrêts planifiés supérieurs au temps d'ouverture",IF(O801&lt;0,"Arrêts supérieurs au temps requis",IF(AND(P801&gt;0,O801=0),"Pièces déclarées sans temps de marche",IF(AND(P801=0,O801&gt;0),"Aucune pièce déclarée",IF(P801*60/Q801&gt;O801+0.001,"Cadence dépassée : vérifiez la cadence","OK"))))))))))))))))))</f>
        <v/>
      </c>
      <c r="AC801">
        <f>IF(OR(AB801="OK",AB801="Aucune pièce déclarée",AB801="Cadence dépassée : vérifiez la cadence"),1,0)</f>
        <v>0.0</v>
      </c>
      <c r="AD801">
        <f>IF(AND(AC801=1,A801&gt;=p_from,A801&lt;=p_to),1,0)</f>
        <v>0.0</v>
      </c>
      <c r="AE801">
        <f>IF(AD801=1,IF(COUNTIFS($A$6:A801,A801,$AD$6:AD801,1)=1,1,0),0)</f>
        <v>0.0</v>
      </c>
      <c r="AF801" t="str">
        <f>IF(AE801=1,COUNTIFS(sj_first,1,sj_date,"&lt;"&amp;A801)+1,"")</f>
        <v/>
      </c>
      <c r="AG801" t="str">
        <f>IF(AND(AD801=1,N(W801)&lt;p_alert),ROUND(W801,4),"")</f>
        <v/>
      </c>
      <c r="AH801" t="str">
        <f>IF(AG801="","",COUNTIF(sj_akey,"&lt;"&amp;AG801)+COUNTIF($AG$6:AG801,AG801))</f>
        <v/>
      </c>
    </row>
    <row r="802">
      <c r="A802" s="51" t="n"/>
      <c r="B802" s="52" t="n"/>
      <c r="C802" s="52" t="n"/>
      <c r="D802" s="53" t="n"/>
      <c r="E802" s="53" t="n"/>
      <c r="F802" s="54" t="n"/>
      <c r="G802" s="54" t="n"/>
      <c r="H802" s="54" t="n"/>
      <c r="I802" s="54" t="n"/>
      <c r="J802" s="53" t="n"/>
      <c r="K802" s="55" t="str">
        <f>IF(COUNTA(A802:I802)=0,"",IF(F802="",IFERROR(INDEX(eq_dur,MATCH(B802,eq_code,0)),""),F802))</f>
        <v/>
      </c>
      <c r="L802" s="55" t="str">
        <f>IF(ISNUMBER(K802),N(IFERROR(INDEX(eq_pause,MATCH(B802,eq_code,0)),0))+SUMIFS(st_min,st_date,A802,st_eq,B802,st_po,C802,st_type,"Planifié"),"")</f>
        <v/>
      </c>
      <c r="M802" s="55" t="str">
        <f>IF(ISNUMBER(K802),K802-L802,"")</f>
        <v/>
      </c>
      <c r="N802" s="55" t="str">
        <f>IF(ISNUMBER(K802),SUMIFS(st_min,st_date,A802,st_eq,B802,st_po,C802,st_type,"Non planifié"),"")</f>
        <v/>
      </c>
      <c r="O802" s="55" t="str">
        <f>IF(ISNUMBER(K802),M802-N802,"")</f>
        <v/>
      </c>
      <c r="P802" s="55" t="str">
        <f>IF(COUNTA(A802:I802)=0,"",N(G802)+N(H802)+N(I802))</f>
        <v/>
      </c>
      <c r="Q802" s="56" t="str">
        <f>IF(COUNTA(A802:I802)=0,"",IF(N(IFERROR(INDEX(art_rate,MATCH(E802,art_ref,0)),0))&gt;0,N(IFERROR(INDEX(art_rate,MATCH(E802,art_ref,0)),0)),N(IFERROR(INDEX(po_rate,MATCH(C802,po_code,0)),0))))</f>
        <v/>
      </c>
      <c r="R802" s="55" t="str">
        <f>IF(AC802=1,P802*60/Q802,"")</f>
        <v/>
      </c>
      <c r="S802" s="55" t="str">
        <f>IF(AC802=1,N(G802)*60/Q802,"")</f>
        <v/>
      </c>
      <c r="T802" s="57" t="str">
        <f>IF(AC802=1,O802/M802,"")</f>
        <v/>
      </c>
      <c r="U802" s="57" t="str">
        <f>IF(AC802=1,IF(O802&gt;0,R802/O802,""),"")</f>
        <v/>
      </c>
      <c r="V802" s="57" t="str">
        <f>IF(AC802=1,IF(P802&gt;0,N(G802)/P802,""),"")</f>
        <v/>
      </c>
      <c r="W802" s="57" t="str">
        <f>IF(AC802=1,S802/M802,"")</f>
        <v/>
      </c>
      <c r="X802" s="57" t="str">
        <f>IF(AC802=1,S802/K802,"")</f>
        <v/>
      </c>
      <c r="Y802" s="58" t="str">
        <f>IF(W802="","",IF(W802&gt;=p_target,"Bon",IF(W802&gt;=p_alert,"À surveiller","Faible")))</f>
        <v/>
      </c>
      <c r="Z802" s="58" t="str">
        <f>IF(W802="","",IF(MIN(IF(T802="",1,T802),IF(U802="",1,U802),IF(V802="",1,V802))&gt;=1,"Aucune",IF(IF(T802="",1,T802)&lt;=MIN(IF(U802="",1,U802),IF(V802="",1,V802)),"Disponibilité",IF(IF(U802="",1,U802)&lt;=IF(V802="",1,V802),"Performance","Qualité"))))</f>
        <v/>
      </c>
      <c r="AA802" s="59" t="str">
        <f>IF(AC802=1,N(H802)*N(IFERROR(INDEX(art_cost,MATCH(E802,art_ref,0)),0)),"")</f>
        <v/>
      </c>
      <c r="AB802" s="58" t="str">
        <f>IF(COUNTA(A802:I802)=0,"",IF(N(A802)&lt;=0,"Date manquante ou invalide",IF(B802="","Équipe manquante",IF(ISNA(MATCH(B802,eq_code,0)),"Équipe inconnue",IF(INDEX(eq_check,MATCH(B802,eq_code,0))&lt;&gt;"OK","Équipe à corriger dans Paramètres",IF(C802="","Poste manquant",IF(ISNA(MATCH(C802,po_code,0)),"Poste inconnu",IF(AND(E802&lt;&gt;"",ISNA(MATCH(E802,art_ref,0))),"Article inconnu",IF(IF(E802="",FALSE,INDEX(art_check,MATCH(E802,art_ref,0))&lt;&gt;"OK"),"Article à corriger (feuille Articles)",IF(COUNTIFS(sj_date,A802,sj_eq,B802,sj_po,C802)&gt;1,"Ligne en double (même jour, équipe et poste)",IF(OR(NOT(ISNUMBER(K802)),N(K802)&lt;=0,N(K802)&gt;1440),"Temps d'ouverture invalide",IF(OR(AND(G802&lt;&gt;"",NOT(ISNUMBER(G802))),N(G802)&lt;0,N(G802)&lt;&gt;INT(N(G802)),AND(H802&lt;&gt;"",NOT(ISNUMBER(H802))),N(H802)&lt;0,N(H802)&lt;&gt;INT(N(H802)),AND(I802&lt;&gt;"",NOT(ISNUMBER(I802))),N(I802)&lt;0,N(I802)&lt;&gt;INT(N(I802))),"Quantité invalide",IF(Q802&lt;=0,"Cadence manquante (poste ou article)",IF(M802&lt;=0,"Arrêts planifiés supérieurs au temps d'ouverture",IF(O802&lt;0,"Arrêts supérieurs au temps requis",IF(AND(P802&gt;0,O802=0),"Pièces déclarées sans temps de marche",IF(AND(P802=0,O802&gt;0),"Aucune pièce déclarée",IF(P802*60/Q802&gt;O802+0.001,"Cadence dépassée : vérifiez la cadence","OK"))))))))))))))))))</f>
        <v/>
      </c>
      <c r="AC802">
        <f>IF(OR(AB802="OK",AB802="Aucune pièce déclarée",AB802="Cadence dépassée : vérifiez la cadence"),1,0)</f>
        <v>0.0</v>
      </c>
      <c r="AD802">
        <f>IF(AND(AC802=1,A802&gt;=p_from,A802&lt;=p_to),1,0)</f>
        <v>0.0</v>
      </c>
      <c r="AE802">
        <f>IF(AD802=1,IF(COUNTIFS($A$6:A802,A802,$AD$6:AD802,1)=1,1,0),0)</f>
        <v>0.0</v>
      </c>
      <c r="AF802" t="str">
        <f>IF(AE802=1,COUNTIFS(sj_first,1,sj_date,"&lt;"&amp;A802)+1,"")</f>
        <v/>
      </c>
      <c r="AG802" t="str">
        <f>IF(AND(AD802=1,N(W802)&lt;p_alert),ROUND(W802,4),"")</f>
        <v/>
      </c>
      <c r="AH802" t="str">
        <f>IF(AG802="","",COUNTIF(sj_akey,"&lt;"&amp;AG802)+COUNTIF($AG$6:AG802,AG802))</f>
        <v/>
      </c>
    </row>
    <row r="803">
      <c r="A803" s="51" t="n"/>
      <c r="B803" s="52" t="n"/>
      <c r="C803" s="52" t="n"/>
      <c r="D803" s="53" t="n"/>
      <c r="E803" s="53" t="n"/>
      <c r="F803" s="54" t="n"/>
      <c r="G803" s="54" t="n"/>
      <c r="H803" s="54" t="n"/>
      <c r="I803" s="54" t="n"/>
      <c r="J803" s="53" t="n"/>
      <c r="K803" s="55" t="str">
        <f>IF(COUNTA(A803:I803)=0,"",IF(F803="",IFERROR(INDEX(eq_dur,MATCH(B803,eq_code,0)),""),F803))</f>
        <v/>
      </c>
      <c r="L803" s="55" t="str">
        <f>IF(ISNUMBER(K803),N(IFERROR(INDEX(eq_pause,MATCH(B803,eq_code,0)),0))+SUMIFS(st_min,st_date,A803,st_eq,B803,st_po,C803,st_type,"Planifié"),"")</f>
        <v/>
      </c>
      <c r="M803" s="55" t="str">
        <f>IF(ISNUMBER(K803),K803-L803,"")</f>
        <v/>
      </c>
      <c r="N803" s="55" t="str">
        <f>IF(ISNUMBER(K803),SUMIFS(st_min,st_date,A803,st_eq,B803,st_po,C803,st_type,"Non planifié"),"")</f>
        <v/>
      </c>
      <c r="O803" s="55" t="str">
        <f>IF(ISNUMBER(K803),M803-N803,"")</f>
        <v/>
      </c>
      <c r="P803" s="55" t="str">
        <f>IF(COUNTA(A803:I803)=0,"",N(G803)+N(H803)+N(I803))</f>
        <v/>
      </c>
      <c r="Q803" s="56" t="str">
        <f>IF(COUNTA(A803:I803)=0,"",IF(N(IFERROR(INDEX(art_rate,MATCH(E803,art_ref,0)),0))&gt;0,N(IFERROR(INDEX(art_rate,MATCH(E803,art_ref,0)),0)),N(IFERROR(INDEX(po_rate,MATCH(C803,po_code,0)),0))))</f>
        <v/>
      </c>
      <c r="R803" s="55" t="str">
        <f>IF(AC803=1,P803*60/Q803,"")</f>
        <v/>
      </c>
      <c r="S803" s="55" t="str">
        <f>IF(AC803=1,N(G803)*60/Q803,"")</f>
        <v/>
      </c>
      <c r="T803" s="57" t="str">
        <f>IF(AC803=1,O803/M803,"")</f>
        <v/>
      </c>
      <c r="U803" s="57" t="str">
        <f>IF(AC803=1,IF(O803&gt;0,R803/O803,""),"")</f>
        <v/>
      </c>
      <c r="V803" s="57" t="str">
        <f>IF(AC803=1,IF(P803&gt;0,N(G803)/P803,""),"")</f>
        <v/>
      </c>
      <c r="W803" s="57" t="str">
        <f>IF(AC803=1,S803/M803,"")</f>
        <v/>
      </c>
      <c r="X803" s="57" t="str">
        <f>IF(AC803=1,S803/K803,"")</f>
        <v/>
      </c>
      <c r="Y803" s="58" t="str">
        <f>IF(W803="","",IF(W803&gt;=p_target,"Bon",IF(W803&gt;=p_alert,"À surveiller","Faible")))</f>
        <v/>
      </c>
      <c r="Z803" s="58" t="str">
        <f>IF(W803="","",IF(MIN(IF(T803="",1,T803),IF(U803="",1,U803),IF(V803="",1,V803))&gt;=1,"Aucune",IF(IF(T803="",1,T803)&lt;=MIN(IF(U803="",1,U803),IF(V803="",1,V803)),"Disponibilité",IF(IF(U803="",1,U803)&lt;=IF(V803="",1,V803),"Performance","Qualité"))))</f>
        <v/>
      </c>
      <c r="AA803" s="59" t="str">
        <f>IF(AC803=1,N(H803)*N(IFERROR(INDEX(art_cost,MATCH(E803,art_ref,0)),0)),"")</f>
        <v/>
      </c>
      <c r="AB803" s="58" t="str">
        <f>IF(COUNTA(A803:I803)=0,"",IF(N(A803)&lt;=0,"Date manquante ou invalide",IF(B803="","Équipe manquante",IF(ISNA(MATCH(B803,eq_code,0)),"Équipe inconnue",IF(INDEX(eq_check,MATCH(B803,eq_code,0))&lt;&gt;"OK","Équipe à corriger dans Paramètres",IF(C803="","Poste manquant",IF(ISNA(MATCH(C803,po_code,0)),"Poste inconnu",IF(AND(E803&lt;&gt;"",ISNA(MATCH(E803,art_ref,0))),"Article inconnu",IF(IF(E803="",FALSE,INDEX(art_check,MATCH(E803,art_ref,0))&lt;&gt;"OK"),"Article à corriger (feuille Articles)",IF(COUNTIFS(sj_date,A803,sj_eq,B803,sj_po,C803)&gt;1,"Ligne en double (même jour, équipe et poste)",IF(OR(NOT(ISNUMBER(K803)),N(K803)&lt;=0,N(K803)&gt;1440),"Temps d'ouverture invalide",IF(OR(AND(G803&lt;&gt;"",NOT(ISNUMBER(G803))),N(G803)&lt;0,N(G803)&lt;&gt;INT(N(G803)),AND(H803&lt;&gt;"",NOT(ISNUMBER(H803))),N(H803)&lt;0,N(H803)&lt;&gt;INT(N(H803)),AND(I803&lt;&gt;"",NOT(ISNUMBER(I803))),N(I803)&lt;0,N(I803)&lt;&gt;INT(N(I803))),"Quantité invalide",IF(Q803&lt;=0,"Cadence manquante (poste ou article)",IF(M803&lt;=0,"Arrêts planifiés supérieurs au temps d'ouverture",IF(O803&lt;0,"Arrêts supérieurs au temps requis",IF(AND(P803&gt;0,O803=0),"Pièces déclarées sans temps de marche",IF(AND(P803=0,O803&gt;0),"Aucune pièce déclarée",IF(P803*60/Q803&gt;O803+0.001,"Cadence dépassée : vérifiez la cadence","OK"))))))))))))))))))</f>
        <v/>
      </c>
      <c r="AC803">
        <f>IF(OR(AB803="OK",AB803="Aucune pièce déclarée",AB803="Cadence dépassée : vérifiez la cadence"),1,0)</f>
        <v>0.0</v>
      </c>
      <c r="AD803">
        <f>IF(AND(AC803=1,A803&gt;=p_from,A803&lt;=p_to),1,0)</f>
        <v>0.0</v>
      </c>
      <c r="AE803">
        <f>IF(AD803=1,IF(COUNTIFS($A$6:A803,A803,$AD$6:AD803,1)=1,1,0),0)</f>
        <v>0.0</v>
      </c>
      <c r="AF803" t="str">
        <f>IF(AE803=1,COUNTIFS(sj_first,1,sj_date,"&lt;"&amp;A803)+1,"")</f>
        <v/>
      </c>
      <c r="AG803" t="str">
        <f>IF(AND(AD803=1,N(W803)&lt;p_alert),ROUND(W803,4),"")</f>
        <v/>
      </c>
      <c r="AH803" t="str">
        <f>IF(AG803="","",COUNTIF(sj_akey,"&lt;"&amp;AG803)+COUNTIF($AG$6:AG803,AG803))</f>
        <v/>
      </c>
    </row>
    <row r="804">
      <c r="A804" s="51" t="n"/>
      <c r="B804" s="52" t="n"/>
      <c r="C804" s="52" t="n"/>
      <c r="D804" s="53" t="n"/>
      <c r="E804" s="53" t="n"/>
      <c r="F804" s="54" t="n"/>
      <c r="G804" s="54" t="n"/>
      <c r="H804" s="54" t="n"/>
      <c r="I804" s="54" t="n"/>
      <c r="J804" s="53" t="n"/>
      <c r="K804" s="55" t="str">
        <f>IF(COUNTA(A804:I804)=0,"",IF(F804="",IFERROR(INDEX(eq_dur,MATCH(B804,eq_code,0)),""),F804))</f>
        <v/>
      </c>
      <c r="L804" s="55" t="str">
        <f>IF(ISNUMBER(K804),N(IFERROR(INDEX(eq_pause,MATCH(B804,eq_code,0)),0))+SUMIFS(st_min,st_date,A804,st_eq,B804,st_po,C804,st_type,"Planifié"),"")</f>
        <v/>
      </c>
      <c r="M804" s="55" t="str">
        <f>IF(ISNUMBER(K804),K804-L804,"")</f>
        <v/>
      </c>
      <c r="N804" s="55" t="str">
        <f>IF(ISNUMBER(K804),SUMIFS(st_min,st_date,A804,st_eq,B804,st_po,C804,st_type,"Non planifié"),"")</f>
        <v/>
      </c>
      <c r="O804" s="55" t="str">
        <f>IF(ISNUMBER(K804),M804-N804,"")</f>
        <v/>
      </c>
      <c r="P804" s="55" t="str">
        <f>IF(COUNTA(A804:I804)=0,"",N(G804)+N(H804)+N(I804))</f>
        <v/>
      </c>
      <c r="Q804" s="56" t="str">
        <f>IF(COUNTA(A804:I804)=0,"",IF(N(IFERROR(INDEX(art_rate,MATCH(E804,art_ref,0)),0))&gt;0,N(IFERROR(INDEX(art_rate,MATCH(E804,art_ref,0)),0)),N(IFERROR(INDEX(po_rate,MATCH(C804,po_code,0)),0))))</f>
        <v/>
      </c>
      <c r="R804" s="55" t="str">
        <f>IF(AC804=1,P804*60/Q804,"")</f>
        <v/>
      </c>
      <c r="S804" s="55" t="str">
        <f>IF(AC804=1,N(G804)*60/Q804,"")</f>
        <v/>
      </c>
      <c r="T804" s="57" t="str">
        <f>IF(AC804=1,O804/M804,"")</f>
        <v/>
      </c>
      <c r="U804" s="57" t="str">
        <f>IF(AC804=1,IF(O804&gt;0,R804/O804,""),"")</f>
        <v/>
      </c>
      <c r="V804" s="57" t="str">
        <f>IF(AC804=1,IF(P804&gt;0,N(G804)/P804,""),"")</f>
        <v/>
      </c>
      <c r="W804" s="57" t="str">
        <f>IF(AC804=1,S804/M804,"")</f>
        <v/>
      </c>
      <c r="X804" s="57" t="str">
        <f>IF(AC804=1,S804/K804,"")</f>
        <v/>
      </c>
      <c r="Y804" s="58" t="str">
        <f>IF(W804="","",IF(W804&gt;=p_target,"Bon",IF(W804&gt;=p_alert,"À surveiller","Faible")))</f>
        <v/>
      </c>
      <c r="Z804" s="58" t="str">
        <f>IF(W804="","",IF(MIN(IF(T804="",1,T804),IF(U804="",1,U804),IF(V804="",1,V804))&gt;=1,"Aucune",IF(IF(T804="",1,T804)&lt;=MIN(IF(U804="",1,U804),IF(V804="",1,V804)),"Disponibilité",IF(IF(U804="",1,U804)&lt;=IF(V804="",1,V804),"Performance","Qualité"))))</f>
        <v/>
      </c>
      <c r="AA804" s="59" t="str">
        <f>IF(AC804=1,N(H804)*N(IFERROR(INDEX(art_cost,MATCH(E804,art_ref,0)),0)),"")</f>
        <v/>
      </c>
      <c r="AB804" s="58" t="str">
        <f>IF(COUNTA(A804:I804)=0,"",IF(N(A804)&lt;=0,"Date manquante ou invalide",IF(B804="","Équipe manquante",IF(ISNA(MATCH(B804,eq_code,0)),"Équipe inconnue",IF(INDEX(eq_check,MATCH(B804,eq_code,0))&lt;&gt;"OK","Équipe à corriger dans Paramètres",IF(C804="","Poste manquant",IF(ISNA(MATCH(C804,po_code,0)),"Poste inconnu",IF(AND(E804&lt;&gt;"",ISNA(MATCH(E804,art_ref,0))),"Article inconnu",IF(IF(E804="",FALSE,INDEX(art_check,MATCH(E804,art_ref,0))&lt;&gt;"OK"),"Article à corriger (feuille Articles)",IF(COUNTIFS(sj_date,A804,sj_eq,B804,sj_po,C804)&gt;1,"Ligne en double (même jour, équipe et poste)",IF(OR(NOT(ISNUMBER(K804)),N(K804)&lt;=0,N(K804)&gt;1440),"Temps d'ouverture invalide",IF(OR(AND(G804&lt;&gt;"",NOT(ISNUMBER(G804))),N(G804)&lt;0,N(G804)&lt;&gt;INT(N(G804)),AND(H804&lt;&gt;"",NOT(ISNUMBER(H804))),N(H804)&lt;0,N(H804)&lt;&gt;INT(N(H804)),AND(I804&lt;&gt;"",NOT(ISNUMBER(I804))),N(I804)&lt;0,N(I804)&lt;&gt;INT(N(I804))),"Quantité invalide",IF(Q804&lt;=0,"Cadence manquante (poste ou article)",IF(M804&lt;=0,"Arrêts planifiés supérieurs au temps d'ouverture",IF(O804&lt;0,"Arrêts supérieurs au temps requis",IF(AND(P804&gt;0,O804=0),"Pièces déclarées sans temps de marche",IF(AND(P804=0,O804&gt;0),"Aucune pièce déclarée",IF(P804*60/Q804&gt;O804+0.001,"Cadence dépassée : vérifiez la cadence","OK"))))))))))))))))))</f>
        <v/>
      </c>
      <c r="AC804">
        <f>IF(OR(AB804="OK",AB804="Aucune pièce déclarée",AB804="Cadence dépassée : vérifiez la cadence"),1,0)</f>
        <v>0.0</v>
      </c>
      <c r="AD804">
        <f>IF(AND(AC804=1,A804&gt;=p_from,A804&lt;=p_to),1,0)</f>
        <v>0.0</v>
      </c>
      <c r="AE804">
        <f>IF(AD804=1,IF(COUNTIFS($A$6:A804,A804,$AD$6:AD804,1)=1,1,0),0)</f>
        <v>0.0</v>
      </c>
      <c r="AF804" t="str">
        <f>IF(AE804=1,COUNTIFS(sj_first,1,sj_date,"&lt;"&amp;A804)+1,"")</f>
        <v/>
      </c>
      <c r="AG804" t="str">
        <f>IF(AND(AD804=1,N(W804)&lt;p_alert),ROUND(W804,4),"")</f>
        <v/>
      </c>
      <c r="AH804" t="str">
        <f>IF(AG804="","",COUNTIF(sj_akey,"&lt;"&amp;AG804)+COUNTIF($AG$6:AG804,AG804))</f>
        <v/>
      </c>
    </row>
    <row r="805">
      <c r="A805" s="51" t="n"/>
      <c r="B805" s="52" t="n"/>
      <c r="C805" s="52" t="n"/>
      <c r="D805" s="53" t="n"/>
      <c r="E805" s="53" t="n"/>
      <c r="F805" s="54" t="n"/>
      <c r="G805" s="54" t="n"/>
      <c r="H805" s="54" t="n"/>
      <c r="I805" s="54" t="n"/>
      <c r="J805" s="53" t="n"/>
      <c r="K805" s="55" t="str">
        <f>IF(COUNTA(A805:I805)=0,"",IF(F805="",IFERROR(INDEX(eq_dur,MATCH(B805,eq_code,0)),""),F805))</f>
        <v/>
      </c>
      <c r="L805" s="55" t="str">
        <f>IF(ISNUMBER(K805),N(IFERROR(INDEX(eq_pause,MATCH(B805,eq_code,0)),0))+SUMIFS(st_min,st_date,A805,st_eq,B805,st_po,C805,st_type,"Planifié"),"")</f>
        <v/>
      </c>
      <c r="M805" s="55" t="str">
        <f>IF(ISNUMBER(K805),K805-L805,"")</f>
        <v/>
      </c>
      <c r="N805" s="55" t="str">
        <f>IF(ISNUMBER(K805),SUMIFS(st_min,st_date,A805,st_eq,B805,st_po,C805,st_type,"Non planifié"),"")</f>
        <v/>
      </c>
      <c r="O805" s="55" t="str">
        <f>IF(ISNUMBER(K805),M805-N805,"")</f>
        <v/>
      </c>
      <c r="P805" s="55" t="str">
        <f>IF(COUNTA(A805:I805)=0,"",N(G805)+N(H805)+N(I805))</f>
        <v/>
      </c>
      <c r="Q805" s="56" t="str">
        <f>IF(COUNTA(A805:I805)=0,"",IF(N(IFERROR(INDEX(art_rate,MATCH(E805,art_ref,0)),0))&gt;0,N(IFERROR(INDEX(art_rate,MATCH(E805,art_ref,0)),0)),N(IFERROR(INDEX(po_rate,MATCH(C805,po_code,0)),0))))</f>
        <v/>
      </c>
      <c r="R805" s="55" t="str">
        <f>IF(AC805=1,P805*60/Q805,"")</f>
        <v/>
      </c>
      <c r="S805" s="55" t="str">
        <f>IF(AC805=1,N(G805)*60/Q805,"")</f>
        <v/>
      </c>
      <c r="T805" s="57" t="str">
        <f>IF(AC805=1,O805/M805,"")</f>
        <v/>
      </c>
      <c r="U805" s="57" t="str">
        <f>IF(AC805=1,IF(O805&gt;0,R805/O805,""),"")</f>
        <v/>
      </c>
      <c r="V805" s="57" t="str">
        <f>IF(AC805=1,IF(P805&gt;0,N(G805)/P805,""),"")</f>
        <v/>
      </c>
      <c r="W805" s="57" t="str">
        <f>IF(AC805=1,S805/M805,"")</f>
        <v/>
      </c>
      <c r="X805" s="57" t="str">
        <f>IF(AC805=1,S805/K805,"")</f>
        <v/>
      </c>
      <c r="Y805" s="58" t="str">
        <f>IF(W805="","",IF(W805&gt;=p_target,"Bon",IF(W805&gt;=p_alert,"À surveiller","Faible")))</f>
        <v/>
      </c>
      <c r="Z805" s="58" t="str">
        <f>IF(W805="","",IF(MIN(IF(T805="",1,T805),IF(U805="",1,U805),IF(V805="",1,V805))&gt;=1,"Aucune",IF(IF(T805="",1,T805)&lt;=MIN(IF(U805="",1,U805),IF(V805="",1,V805)),"Disponibilité",IF(IF(U805="",1,U805)&lt;=IF(V805="",1,V805),"Performance","Qualité"))))</f>
        <v/>
      </c>
      <c r="AA805" s="59" t="str">
        <f>IF(AC805=1,N(H805)*N(IFERROR(INDEX(art_cost,MATCH(E805,art_ref,0)),0)),"")</f>
        <v/>
      </c>
      <c r="AB805" s="58" t="str">
        <f>IF(COUNTA(A805:I805)=0,"",IF(N(A805)&lt;=0,"Date manquante ou invalide",IF(B805="","Équipe manquante",IF(ISNA(MATCH(B805,eq_code,0)),"Équipe inconnue",IF(INDEX(eq_check,MATCH(B805,eq_code,0))&lt;&gt;"OK","Équipe à corriger dans Paramètres",IF(C805="","Poste manquant",IF(ISNA(MATCH(C805,po_code,0)),"Poste inconnu",IF(AND(E805&lt;&gt;"",ISNA(MATCH(E805,art_ref,0))),"Article inconnu",IF(IF(E805="",FALSE,INDEX(art_check,MATCH(E805,art_ref,0))&lt;&gt;"OK"),"Article à corriger (feuille Articles)",IF(COUNTIFS(sj_date,A805,sj_eq,B805,sj_po,C805)&gt;1,"Ligne en double (même jour, équipe et poste)",IF(OR(NOT(ISNUMBER(K805)),N(K805)&lt;=0,N(K805)&gt;1440),"Temps d'ouverture invalide",IF(OR(AND(G805&lt;&gt;"",NOT(ISNUMBER(G805))),N(G805)&lt;0,N(G805)&lt;&gt;INT(N(G805)),AND(H805&lt;&gt;"",NOT(ISNUMBER(H805))),N(H805)&lt;0,N(H805)&lt;&gt;INT(N(H805)),AND(I805&lt;&gt;"",NOT(ISNUMBER(I805))),N(I805)&lt;0,N(I805)&lt;&gt;INT(N(I805))),"Quantité invalide",IF(Q805&lt;=0,"Cadence manquante (poste ou article)",IF(M805&lt;=0,"Arrêts planifiés supérieurs au temps d'ouverture",IF(O805&lt;0,"Arrêts supérieurs au temps requis",IF(AND(P805&gt;0,O805=0),"Pièces déclarées sans temps de marche",IF(AND(P805=0,O805&gt;0),"Aucune pièce déclarée",IF(P805*60/Q805&gt;O805+0.001,"Cadence dépassée : vérifiez la cadence","OK"))))))))))))))))))</f>
        <v/>
      </c>
      <c r="AC805">
        <f>IF(OR(AB805="OK",AB805="Aucune pièce déclarée",AB805="Cadence dépassée : vérifiez la cadence"),1,0)</f>
        <v>0.0</v>
      </c>
      <c r="AD805">
        <f>IF(AND(AC805=1,A805&gt;=p_from,A805&lt;=p_to),1,0)</f>
        <v>0.0</v>
      </c>
      <c r="AE805">
        <f>IF(AD805=1,IF(COUNTIFS($A$6:A805,A805,$AD$6:AD805,1)=1,1,0),0)</f>
        <v>0.0</v>
      </c>
      <c r="AF805" t="str">
        <f>IF(AE805=1,COUNTIFS(sj_first,1,sj_date,"&lt;"&amp;A805)+1,"")</f>
        <v/>
      </c>
      <c r="AG805" t="str">
        <f>IF(AND(AD805=1,N(W805)&lt;p_alert),ROUND(W805,4),"")</f>
        <v/>
      </c>
      <c r="AH805" t="str">
        <f>IF(AG805="","",COUNTIF(sj_akey,"&lt;"&amp;AG805)+COUNTIF($AG$6:AG805,AG805))</f>
        <v/>
      </c>
    </row>
    <row r="806">
      <c r="A806" s="51" t="n"/>
      <c r="B806" s="52" t="n"/>
      <c r="C806" s="52" t="n"/>
      <c r="D806" s="53" t="n"/>
      <c r="E806" s="53" t="n"/>
      <c r="F806" s="54" t="n"/>
      <c r="G806" s="54" t="n"/>
      <c r="H806" s="54" t="n"/>
      <c r="I806" s="54" t="n"/>
      <c r="J806" s="53" t="n"/>
      <c r="K806" s="55" t="str">
        <f>IF(COUNTA(A806:I806)=0,"",IF(F806="",IFERROR(INDEX(eq_dur,MATCH(B806,eq_code,0)),""),F806))</f>
        <v/>
      </c>
      <c r="L806" s="55" t="str">
        <f>IF(ISNUMBER(K806),N(IFERROR(INDEX(eq_pause,MATCH(B806,eq_code,0)),0))+SUMIFS(st_min,st_date,A806,st_eq,B806,st_po,C806,st_type,"Planifié"),"")</f>
        <v/>
      </c>
      <c r="M806" s="55" t="str">
        <f>IF(ISNUMBER(K806),K806-L806,"")</f>
        <v/>
      </c>
      <c r="N806" s="55" t="str">
        <f>IF(ISNUMBER(K806),SUMIFS(st_min,st_date,A806,st_eq,B806,st_po,C806,st_type,"Non planifié"),"")</f>
        <v/>
      </c>
      <c r="O806" s="55" t="str">
        <f>IF(ISNUMBER(K806),M806-N806,"")</f>
        <v/>
      </c>
      <c r="P806" s="55" t="str">
        <f>IF(COUNTA(A806:I806)=0,"",N(G806)+N(H806)+N(I806))</f>
        <v/>
      </c>
      <c r="Q806" s="56" t="str">
        <f>IF(COUNTA(A806:I806)=0,"",IF(N(IFERROR(INDEX(art_rate,MATCH(E806,art_ref,0)),0))&gt;0,N(IFERROR(INDEX(art_rate,MATCH(E806,art_ref,0)),0)),N(IFERROR(INDEX(po_rate,MATCH(C806,po_code,0)),0))))</f>
        <v/>
      </c>
      <c r="R806" s="55" t="str">
        <f>IF(AC806=1,P806*60/Q806,"")</f>
        <v/>
      </c>
      <c r="S806" s="55" t="str">
        <f>IF(AC806=1,N(G806)*60/Q806,"")</f>
        <v/>
      </c>
      <c r="T806" s="57" t="str">
        <f>IF(AC806=1,O806/M806,"")</f>
        <v/>
      </c>
      <c r="U806" s="57" t="str">
        <f>IF(AC806=1,IF(O806&gt;0,R806/O806,""),"")</f>
        <v/>
      </c>
      <c r="V806" s="57" t="str">
        <f>IF(AC806=1,IF(P806&gt;0,N(G806)/P806,""),"")</f>
        <v/>
      </c>
      <c r="W806" s="57" t="str">
        <f>IF(AC806=1,S806/M806,"")</f>
        <v/>
      </c>
      <c r="X806" s="57" t="str">
        <f>IF(AC806=1,S806/K806,"")</f>
        <v/>
      </c>
      <c r="Y806" s="58" t="str">
        <f>IF(W806="","",IF(W806&gt;=p_target,"Bon",IF(W806&gt;=p_alert,"À surveiller","Faible")))</f>
        <v/>
      </c>
      <c r="Z806" s="58" t="str">
        <f>IF(W806="","",IF(MIN(IF(T806="",1,T806),IF(U806="",1,U806),IF(V806="",1,V806))&gt;=1,"Aucune",IF(IF(T806="",1,T806)&lt;=MIN(IF(U806="",1,U806),IF(V806="",1,V806)),"Disponibilité",IF(IF(U806="",1,U806)&lt;=IF(V806="",1,V806),"Performance","Qualité"))))</f>
        <v/>
      </c>
      <c r="AA806" s="59" t="str">
        <f>IF(AC806=1,N(H806)*N(IFERROR(INDEX(art_cost,MATCH(E806,art_ref,0)),0)),"")</f>
        <v/>
      </c>
      <c r="AB806" s="58" t="str">
        <f>IF(COUNTA(A806:I806)=0,"",IF(N(A806)&lt;=0,"Date manquante ou invalide",IF(B806="","Équipe manquante",IF(ISNA(MATCH(B806,eq_code,0)),"Équipe inconnue",IF(INDEX(eq_check,MATCH(B806,eq_code,0))&lt;&gt;"OK","Équipe à corriger dans Paramètres",IF(C806="","Poste manquant",IF(ISNA(MATCH(C806,po_code,0)),"Poste inconnu",IF(AND(E806&lt;&gt;"",ISNA(MATCH(E806,art_ref,0))),"Article inconnu",IF(IF(E806="",FALSE,INDEX(art_check,MATCH(E806,art_ref,0))&lt;&gt;"OK"),"Article à corriger (feuille Articles)",IF(COUNTIFS(sj_date,A806,sj_eq,B806,sj_po,C806)&gt;1,"Ligne en double (même jour, équipe et poste)",IF(OR(NOT(ISNUMBER(K806)),N(K806)&lt;=0,N(K806)&gt;1440),"Temps d'ouverture invalide",IF(OR(AND(G806&lt;&gt;"",NOT(ISNUMBER(G806))),N(G806)&lt;0,N(G806)&lt;&gt;INT(N(G806)),AND(H806&lt;&gt;"",NOT(ISNUMBER(H806))),N(H806)&lt;0,N(H806)&lt;&gt;INT(N(H806)),AND(I806&lt;&gt;"",NOT(ISNUMBER(I806))),N(I806)&lt;0,N(I806)&lt;&gt;INT(N(I806))),"Quantité invalide",IF(Q806&lt;=0,"Cadence manquante (poste ou article)",IF(M806&lt;=0,"Arrêts planifiés supérieurs au temps d'ouverture",IF(O806&lt;0,"Arrêts supérieurs au temps requis",IF(AND(P806&gt;0,O806=0),"Pièces déclarées sans temps de marche",IF(AND(P806=0,O806&gt;0),"Aucune pièce déclarée",IF(P806*60/Q806&gt;O806+0.001,"Cadence dépassée : vérifiez la cadence","OK"))))))))))))))))))</f>
        <v/>
      </c>
      <c r="AC806">
        <f>IF(OR(AB806="OK",AB806="Aucune pièce déclarée",AB806="Cadence dépassée : vérifiez la cadence"),1,0)</f>
        <v>0.0</v>
      </c>
      <c r="AD806">
        <f>IF(AND(AC806=1,A806&gt;=p_from,A806&lt;=p_to),1,0)</f>
        <v>0.0</v>
      </c>
      <c r="AE806">
        <f>IF(AD806=1,IF(COUNTIFS($A$6:A806,A806,$AD$6:AD806,1)=1,1,0),0)</f>
        <v>0.0</v>
      </c>
      <c r="AF806" t="str">
        <f>IF(AE806=1,COUNTIFS(sj_first,1,sj_date,"&lt;"&amp;A806)+1,"")</f>
        <v/>
      </c>
      <c r="AG806" t="str">
        <f>IF(AND(AD806=1,N(W806)&lt;p_alert),ROUND(W806,4),"")</f>
        <v/>
      </c>
      <c r="AH806" t="str">
        <f>IF(AG806="","",COUNTIF(sj_akey,"&lt;"&amp;AG806)+COUNTIF($AG$6:AG806,AG806))</f>
        <v/>
      </c>
    </row>
    <row r="807">
      <c r="A807" s="51" t="n"/>
      <c r="B807" s="52" t="n"/>
      <c r="C807" s="52" t="n"/>
      <c r="D807" s="53" t="n"/>
      <c r="E807" s="53" t="n"/>
      <c r="F807" s="54" t="n"/>
      <c r="G807" s="54" t="n"/>
      <c r="H807" s="54" t="n"/>
      <c r="I807" s="54" t="n"/>
      <c r="J807" s="53" t="n"/>
      <c r="K807" s="55" t="str">
        <f>IF(COUNTA(A807:I807)=0,"",IF(F807="",IFERROR(INDEX(eq_dur,MATCH(B807,eq_code,0)),""),F807))</f>
        <v/>
      </c>
      <c r="L807" s="55" t="str">
        <f>IF(ISNUMBER(K807),N(IFERROR(INDEX(eq_pause,MATCH(B807,eq_code,0)),0))+SUMIFS(st_min,st_date,A807,st_eq,B807,st_po,C807,st_type,"Planifié"),"")</f>
        <v/>
      </c>
      <c r="M807" s="55" t="str">
        <f>IF(ISNUMBER(K807),K807-L807,"")</f>
        <v/>
      </c>
      <c r="N807" s="55" t="str">
        <f>IF(ISNUMBER(K807),SUMIFS(st_min,st_date,A807,st_eq,B807,st_po,C807,st_type,"Non planifié"),"")</f>
        <v/>
      </c>
      <c r="O807" s="55" t="str">
        <f>IF(ISNUMBER(K807),M807-N807,"")</f>
        <v/>
      </c>
      <c r="P807" s="55" t="str">
        <f>IF(COUNTA(A807:I807)=0,"",N(G807)+N(H807)+N(I807))</f>
        <v/>
      </c>
      <c r="Q807" s="56" t="str">
        <f>IF(COUNTA(A807:I807)=0,"",IF(N(IFERROR(INDEX(art_rate,MATCH(E807,art_ref,0)),0))&gt;0,N(IFERROR(INDEX(art_rate,MATCH(E807,art_ref,0)),0)),N(IFERROR(INDEX(po_rate,MATCH(C807,po_code,0)),0))))</f>
        <v/>
      </c>
      <c r="R807" s="55" t="str">
        <f>IF(AC807=1,P807*60/Q807,"")</f>
        <v/>
      </c>
      <c r="S807" s="55" t="str">
        <f>IF(AC807=1,N(G807)*60/Q807,"")</f>
        <v/>
      </c>
      <c r="T807" s="57" t="str">
        <f>IF(AC807=1,O807/M807,"")</f>
        <v/>
      </c>
      <c r="U807" s="57" t="str">
        <f>IF(AC807=1,IF(O807&gt;0,R807/O807,""),"")</f>
        <v/>
      </c>
      <c r="V807" s="57" t="str">
        <f>IF(AC807=1,IF(P807&gt;0,N(G807)/P807,""),"")</f>
        <v/>
      </c>
      <c r="W807" s="57" t="str">
        <f>IF(AC807=1,S807/M807,"")</f>
        <v/>
      </c>
      <c r="X807" s="57" t="str">
        <f>IF(AC807=1,S807/K807,"")</f>
        <v/>
      </c>
      <c r="Y807" s="58" t="str">
        <f>IF(W807="","",IF(W807&gt;=p_target,"Bon",IF(W807&gt;=p_alert,"À surveiller","Faible")))</f>
        <v/>
      </c>
      <c r="Z807" s="58" t="str">
        <f>IF(W807="","",IF(MIN(IF(T807="",1,T807),IF(U807="",1,U807),IF(V807="",1,V807))&gt;=1,"Aucune",IF(IF(T807="",1,T807)&lt;=MIN(IF(U807="",1,U807),IF(V807="",1,V807)),"Disponibilité",IF(IF(U807="",1,U807)&lt;=IF(V807="",1,V807),"Performance","Qualité"))))</f>
        <v/>
      </c>
      <c r="AA807" s="59" t="str">
        <f>IF(AC807=1,N(H807)*N(IFERROR(INDEX(art_cost,MATCH(E807,art_ref,0)),0)),"")</f>
        <v/>
      </c>
      <c r="AB807" s="58" t="str">
        <f>IF(COUNTA(A807:I807)=0,"",IF(N(A807)&lt;=0,"Date manquante ou invalide",IF(B807="","Équipe manquante",IF(ISNA(MATCH(B807,eq_code,0)),"Équipe inconnue",IF(INDEX(eq_check,MATCH(B807,eq_code,0))&lt;&gt;"OK","Équipe à corriger dans Paramètres",IF(C807="","Poste manquant",IF(ISNA(MATCH(C807,po_code,0)),"Poste inconnu",IF(AND(E807&lt;&gt;"",ISNA(MATCH(E807,art_ref,0))),"Article inconnu",IF(IF(E807="",FALSE,INDEX(art_check,MATCH(E807,art_ref,0))&lt;&gt;"OK"),"Article à corriger (feuille Articles)",IF(COUNTIFS(sj_date,A807,sj_eq,B807,sj_po,C807)&gt;1,"Ligne en double (même jour, équipe et poste)",IF(OR(NOT(ISNUMBER(K807)),N(K807)&lt;=0,N(K807)&gt;1440),"Temps d'ouverture invalide",IF(OR(AND(G807&lt;&gt;"",NOT(ISNUMBER(G807))),N(G807)&lt;0,N(G807)&lt;&gt;INT(N(G807)),AND(H807&lt;&gt;"",NOT(ISNUMBER(H807))),N(H807)&lt;0,N(H807)&lt;&gt;INT(N(H807)),AND(I807&lt;&gt;"",NOT(ISNUMBER(I807))),N(I807)&lt;0,N(I807)&lt;&gt;INT(N(I807))),"Quantité invalide",IF(Q807&lt;=0,"Cadence manquante (poste ou article)",IF(M807&lt;=0,"Arrêts planifiés supérieurs au temps d'ouverture",IF(O807&lt;0,"Arrêts supérieurs au temps requis",IF(AND(P807&gt;0,O807=0),"Pièces déclarées sans temps de marche",IF(AND(P807=0,O807&gt;0),"Aucune pièce déclarée",IF(P807*60/Q807&gt;O807+0.001,"Cadence dépassée : vérifiez la cadence","OK"))))))))))))))))))</f>
        <v/>
      </c>
      <c r="AC807">
        <f>IF(OR(AB807="OK",AB807="Aucune pièce déclarée",AB807="Cadence dépassée : vérifiez la cadence"),1,0)</f>
        <v>0.0</v>
      </c>
      <c r="AD807">
        <f>IF(AND(AC807=1,A807&gt;=p_from,A807&lt;=p_to),1,0)</f>
        <v>0.0</v>
      </c>
      <c r="AE807">
        <f>IF(AD807=1,IF(COUNTIFS($A$6:A807,A807,$AD$6:AD807,1)=1,1,0),0)</f>
        <v>0.0</v>
      </c>
      <c r="AF807" t="str">
        <f>IF(AE807=1,COUNTIFS(sj_first,1,sj_date,"&lt;"&amp;A807)+1,"")</f>
        <v/>
      </c>
      <c r="AG807" t="str">
        <f>IF(AND(AD807=1,N(W807)&lt;p_alert),ROUND(W807,4),"")</f>
        <v/>
      </c>
      <c r="AH807" t="str">
        <f>IF(AG807="","",COUNTIF(sj_akey,"&lt;"&amp;AG807)+COUNTIF($AG$6:AG807,AG807))</f>
        <v/>
      </c>
    </row>
    <row r="808">
      <c r="A808" s="51" t="n"/>
      <c r="B808" s="52" t="n"/>
      <c r="C808" s="52" t="n"/>
      <c r="D808" s="53" t="n"/>
      <c r="E808" s="53" t="n"/>
      <c r="F808" s="54" t="n"/>
      <c r="G808" s="54" t="n"/>
      <c r="H808" s="54" t="n"/>
      <c r="I808" s="54" t="n"/>
      <c r="J808" s="53" t="n"/>
      <c r="K808" s="55" t="str">
        <f>IF(COUNTA(A808:I808)=0,"",IF(F808="",IFERROR(INDEX(eq_dur,MATCH(B808,eq_code,0)),""),F808))</f>
        <v/>
      </c>
      <c r="L808" s="55" t="str">
        <f>IF(ISNUMBER(K808),N(IFERROR(INDEX(eq_pause,MATCH(B808,eq_code,0)),0))+SUMIFS(st_min,st_date,A808,st_eq,B808,st_po,C808,st_type,"Planifié"),"")</f>
        <v/>
      </c>
      <c r="M808" s="55" t="str">
        <f>IF(ISNUMBER(K808),K808-L808,"")</f>
        <v/>
      </c>
      <c r="N808" s="55" t="str">
        <f>IF(ISNUMBER(K808),SUMIFS(st_min,st_date,A808,st_eq,B808,st_po,C808,st_type,"Non planifié"),"")</f>
        <v/>
      </c>
      <c r="O808" s="55" t="str">
        <f>IF(ISNUMBER(K808),M808-N808,"")</f>
        <v/>
      </c>
      <c r="P808" s="55" t="str">
        <f>IF(COUNTA(A808:I808)=0,"",N(G808)+N(H808)+N(I808))</f>
        <v/>
      </c>
      <c r="Q808" s="56" t="str">
        <f>IF(COUNTA(A808:I808)=0,"",IF(N(IFERROR(INDEX(art_rate,MATCH(E808,art_ref,0)),0))&gt;0,N(IFERROR(INDEX(art_rate,MATCH(E808,art_ref,0)),0)),N(IFERROR(INDEX(po_rate,MATCH(C808,po_code,0)),0))))</f>
        <v/>
      </c>
      <c r="R808" s="55" t="str">
        <f>IF(AC808=1,P808*60/Q808,"")</f>
        <v/>
      </c>
      <c r="S808" s="55" t="str">
        <f>IF(AC808=1,N(G808)*60/Q808,"")</f>
        <v/>
      </c>
      <c r="T808" s="57" t="str">
        <f>IF(AC808=1,O808/M808,"")</f>
        <v/>
      </c>
      <c r="U808" s="57" t="str">
        <f>IF(AC808=1,IF(O808&gt;0,R808/O808,""),"")</f>
        <v/>
      </c>
      <c r="V808" s="57" t="str">
        <f>IF(AC808=1,IF(P808&gt;0,N(G808)/P808,""),"")</f>
        <v/>
      </c>
      <c r="W808" s="57" t="str">
        <f>IF(AC808=1,S808/M808,"")</f>
        <v/>
      </c>
      <c r="X808" s="57" t="str">
        <f>IF(AC808=1,S808/K808,"")</f>
        <v/>
      </c>
      <c r="Y808" s="58" t="str">
        <f>IF(W808="","",IF(W808&gt;=p_target,"Bon",IF(W808&gt;=p_alert,"À surveiller","Faible")))</f>
        <v/>
      </c>
      <c r="Z808" s="58" t="str">
        <f>IF(W808="","",IF(MIN(IF(T808="",1,T808),IF(U808="",1,U808),IF(V808="",1,V808))&gt;=1,"Aucune",IF(IF(T808="",1,T808)&lt;=MIN(IF(U808="",1,U808),IF(V808="",1,V808)),"Disponibilité",IF(IF(U808="",1,U808)&lt;=IF(V808="",1,V808),"Performance","Qualité"))))</f>
        <v/>
      </c>
      <c r="AA808" s="59" t="str">
        <f>IF(AC808=1,N(H808)*N(IFERROR(INDEX(art_cost,MATCH(E808,art_ref,0)),0)),"")</f>
        <v/>
      </c>
      <c r="AB808" s="58" t="str">
        <f>IF(COUNTA(A808:I808)=0,"",IF(N(A808)&lt;=0,"Date manquante ou invalide",IF(B808="","Équipe manquante",IF(ISNA(MATCH(B808,eq_code,0)),"Équipe inconnue",IF(INDEX(eq_check,MATCH(B808,eq_code,0))&lt;&gt;"OK","Équipe à corriger dans Paramètres",IF(C808="","Poste manquant",IF(ISNA(MATCH(C808,po_code,0)),"Poste inconnu",IF(AND(E808&lt;&gt;"",ISNA(MATCH(E808,art_ref,0))),"Article inconnu",IF(IF(E808="",FALSE,INDEX(art_check,MATCH(E808,art_ref,0))&lt;&gt;"OK"),"Article à corriger (feuille Articles)",IF(COUNTIFS(sj_date,A808,sj_eq,B808,sj_po,C808)&gt;1,"Ligne en double (même jour, équipe et poste)",IF(OR(NOT(ISNUMBER(K808)),N(K808)&lt;=0,N(K808)&gt;1440),"Temps d'ouverture invalide",IF(OR(AND(G808&lt;&gt;"",NOT(ISNUMBER(G808))),N(G808)&lt;0,N(G808)&lt;&gt;INT(N(G808)),AND(H808&lt;&gt;"",NOT(ISNUMBER(H808))),N(H808)&lt;0,N(H808)&lt;&gt;INT(N(H808)),AND(I808&lt;&gt;"",NOT(ISNUMBER(I808))),N(I808)&lt;0,N(I808)&lt;&gt;INT(N(I808))),"Quantité invalide",IF(Q808&lt;=0,"Cadence manquante (poste ou article)",IF(M808&lt;=0,"Arrêts planifiés supérieurs au temps d'ouverture",IF(O808&lt;0,"Arrêts supérieurs au temps requis",IF(AND(P808&gt;0,O808=0),"Pièces déclarées sans temps de marche",IF(AND(P808=0,O808&gt;0),"Aucune pièce déclarée",IF(P808*60/Q808&gt;O808+0.001,"Cadence dépassée : vérifiez la cadence","OK"))))))))))))))))))</f>
        <v/>
      </c>
      <c r="AC808">
        <f>IF(OR(AB808="OK",AB808="Aucune pièce déclarée",AB808="Cadence dépassée : vérifiez la cadence"),1,0)</f>
        <v>0.0</v>
      </c>
      <c r="AD808">
        <f>IF(AND(AC808=1,A808&gt;=p_from,A808&lt;=p_to),1,0)</f>
        <v>0.0</v>
      </c>
      <c r="AE808">
        <f>IF(AD808=1,IF(COUNTIFS($A$6:A808,A808,$AD$6:AD808,1)=1,1,0),0)</f>
        <v>0.0</v>
      </c>
      <c r="AF808" t="str">
        <f>IF(AE808=1,COUNTIFS(sj_first,1,sj_date,"&lt;"&amp;A808)+1,"")</f>
        <v/>
      </c>
      <c r="AG808" t="str">
        <f>IF(AND(AD808=1,N(W808)&lt;p_alert),ROUND(W808,4),"")</f>
        <v/>
      </c>
      <c r="AH808" t="str">
        <f>IF(AG808="","",COUNTIF(sj_akey,"&lt;"&amp;AG808)+COUNTIF($AG$6:AG808,AG808))</f>
        <v/>
      </c>
    </row>
    <row r="809">
      <c r="A809" s="51" t="n"/>
      <c r="B809" s="52" t="n"/>
      <c r="C809" s="52" t="n"/>
      <c r="D809" s="53" t="n"/>
      <c r="E809" s="53" t="n"/>
      <c r="F809" s="54" t="n"/>
      <c r="G809" s="54" t="n"/>
      <c r="H809" s="54" t="n"/>
      <c r="I809" s="54" t="n"/>
      <c r="J809" s="53" t="n"/>
      <c r="K809" s="55" t="str">
        <f>IF(COUNTA(A809:I809)=0,"",IF(F809="",IFERROR(INDEX(eq_dur,MATCH(B809,eq_code,0)),""),F809))</f>
        <v/>
      </c>
      <c r="L809" s="55" t="str">
        <f>IF(ISNUMBER(K809),N(IFERROR(INDEX(eq_pause,MATCH(B809,eq_code,0)),0))+SUMIFS(st_min,st_date,A809,st_eq,B809,st_po,C809,st_type,"Planifié"),"")</f>
        <v/>
      </c>
      <c r="M809" s="55" t="str">
        <f>IF(ISNUMBER(K809),K809-L809,"")</f>
        <v/>
      </c>
      <c r="N809" s="55" t="str">
        <f>IF(ISNUMBER(K809),SUMIFS(st_min,st_date,A809,st_eq,B809,st_po,C809,st_type,"Non planifié"),"")</f>
        <v/>
      </c>
      <c r="O809" s="55" t="str">
        <f>IF(ISNUMBER(K809),M809-N809,"")</f>
        <v/>
      </c>
      <c r="P809" s="55" t="str">
        <f>IF(COUNTA(A809:I809)=0,"",N(G809)+N(H809)+N(I809))</f>
        <v/>
      </c>
      <c r="Q809" s="56" t="str">
        <f>IF(COUNTA(A809:I809)=0,"",IF(N(IFERROR(INDEX(art_rate,MATCH(E809,art_ref,0)),0))&gt;0,N(IFERROR(INDEX(art_rate,MATCH(E809,art_ref,0)),0)),N(IFERROR(INDEX(po_rate,MATCH(C809,po_code,0)),0))))</f>
        <v/>
      </c>
      <c r="R809" s="55" t="str">
        <f>IF(AC809=1,P809*60/Q809,"")</f>
        <v/>
      </c>
      <c r="S809" s="55" t="str">
        <f>IF(AC809=1,N(G809)*60/Q809,"")</f>
        <v/>
      </c>
      <c r="T809" s="57" t="str">
        <f>IF(AC809=1,O809/M809,"")</f>
        <v/>
      </c>
      <c r="U809" s="57" t="str">
        <f>IF(AC809=1,IF(O809&gt;0,R809/O809,""),"")</f>
        <v/>
      </c>
      <c r="V809" s="57" t="str">
        <f>IF(AC809=1,IF(P809&gt;0,N(G809)/P809,""),"")</f>
        <v/>
      </c>
      <c r="W809" s="57" t="str">
        <f>IF(AC809=1,S809/M809,"")</f>
        <v/>
      </c>
      <c r="X809" s="57" t="str">
        <f>IF(AC809=1,S809/K809,"")</f>
        <v/>
      </c>
      <c r="Y809" s="58" t="str">
        <f>IF(W809="","",IF(W809&gt;=p_target,"Bon",IF(W809&gt;=p_alert,"À surveiller","Faible")))</f>
        <v/>
      </c>
      <c r="Z809" s="58" t="str">
        <f>IF(W809="","",IF(MIN(IF(T809="",1,T809),IF(U809="",1,U809),IF(V809="",1,V809))&gt;=1,"Aucune",IF(IF(T809="",1,T809)&lt;=MIN(IF(U809="",1,U809),IF(V809="",1,V809)),"Disponibilité",IF(IF(U809="",1,U809)&lt;=IF(V809="",1,V809),"Performance","Qualité"))))</f>
        <v/>
      </c>
      <c r="AA809" s="59" t="str">
        <f>IF(AC809=1,N(H809)*N(IFERROR(INDEX(art_cost,MATCH(E809,art_ref,0)),0)),"")</f>
        <v/>
      </c>
      <c r="AB809" s="58" t="str">
        <f>IF(COUNTA(A809:I809)=0,"",IF(N(A809)&lt;=0,"Date manquante ou invalide",IF(B809="","Équipe manquante",IF(ISNA(MATCH(B809,eq_code,0)),"Équipe inconnue",IF(INDEX(eq_check,MATCH(B809,eq_code,0))&lt;&gt;"OK","Équipe à corriger dans Paramètres",IF(C809="","Poste manquant",IF(ISNA(MATCH(C809,po_code,0)),"Poste inconnu",IF(AND(E809&lt;&gt;"",ISNA(MATCH(E809,art_ref,0))),"Article inconnu",IF(IF(E809="",FALSE,INDEX(art_check,MATCH(E809,art_ref,0))&lt;&gt;"OK"),"Article à corriger (feuille Articles)",IF(COUNTIFS(sj_date,A809,sj_eq,B809,sj_po,C809)&gt;1,"Ligne en double (même jour, équipe et poste)",IF(OR(NOT(ISNUMBER(K809)),N(K809)&lt;=0,N(K809)&gt;1440),"Temps d'ouverture invalide",IF(OR(AND(G809&lt;&gt;"",NOT(ISNUMBER(G809))),N(G809)&lt;0,N(G809)&lt;&gt;INT(N(G809)),AND(H809&lt;&gt;"",NOT(ISNUMBER(H809))),N(H809)&lt;0,N(H809)&lt;&gt;INT(N(H809)),AND(I809&lt;&gt;"",NOT(ISNUMBER(I809))),N(I809)&lt;0,N(I809)&lt;&gt;INT(N(I809))),"Quantité invalide",IF(Q809&lt;=0,"Cadence manquante (poste ou article)",IF(M809&lt;=0,"Arrêts planifiés supérieurs au temps d'ouverture",IF(O809&lt;0,"Arrêts supérieurs au temps requis",IF(AND(P809&gt;0,O809=0),"Pièces déclarées sans temps de marche",IF(AND(P809=0,O809&gt;0),"Aucune pièce déclarée",IF(P809*60/Q809&gt;O809+0.001,"Cadence dépassée : vérifiez la cadence","OK"))))))))))))))))))</f>
        <v/>
      </c>
      <c r="AC809">
        <f>IF(OR(AB809="OK",AB809="Aucune pièce déclarée",AB809="Cadence dépassée : vérifiez la cadence"),1,0)</f>
        <v>0.0</v>
      </c>
      <c r="AD809">
        <f>IF(AND(AC809=1,A809&gt;=p_from,A809&lt;=p_to),1,0)</f>
        <v>0.0</v>
      </c>
      <c r="AE809">
        <f>IF(AD809=1,IF(COUNTIFS($A$6:A809,A809,$AD$6:AD809,1)=1,1,0),0)</f>
        <v>0.0</v>
      </c>
      <c r="AF809" t="str">
        <f>IF(AE809=1,COUNTIFS(sj_first,1,sj_date,"&lt;"&amp;A809)+1,"")</f>
        <v/>
      </c>
      <c r="AG809" t="str">
        <f>IF(AND(AD809=1,N(W809)&lt;p_alert),ROUND(W809,4),"")</f>
        <v/>
      </c>
      <c r="AH809" t="str">
        <f>IF(AG809="","",COUNTIF(sj_akey,"&lt;"&amp;AG809)+COUNTIF($AG$6:AG809,AG809))</f>
        <v/>
      </c>
    </row>
    <row r="810">
      <c r="A810" s="51" t="n"/>
      <c r="B810" s="52" t="n"/>
      <c r="C810" s="52" t="n"/>
      <c r="D810" s="53" t="n"/>
      <c r="E810" s="53" t="n"/>
      <c r="F810" s="54" t="n"/>
      <c r="G810" s="54" t="n"/>
      <c r="H810" s="54" t="n"/>
      <c r="I810" s="54" t="n"/>
      <c r="J810" s="53" t="n"/>
      <c r="K810" s="55" t="str">
        <f>IF(COUNTA(A810:I810)=0,"",IF(F810="",IFERROR(INDEX(eq_dur,MATCH(B810,eq_code,0)),""),F810))</f>
        <v/>
      </c>
      <c r="L810" s="55" t="str">
        <f>IF(ISNUMBER(K810),N(IFERROR(INDEX(eq_pause,MATCH(B810,eq_code,0)),0))+SUMIFS(st_min,st_date,A810,st_eq,B810,st_po,C810,st_type,"Planifié"),"")</f>
        <v/>
      </c>
      <c r="M810" s="55" t="str">
        <f>IF(ISNUMBER(K810),K810-L810,"")</f>
        <v/>
      </c>
      <c r="N810" s="55" t="str">
        <f>IF(ISNUMBER(K810),SUMIFS(st_min,st_date,A810,st_eq,B810,st_po,C810,st_type,"Non planifié"),"")</f>
        <v/>
      </c>
      <c r="O810" s="55" t="str">
        <f>IF(ISNUMBER(K810),M810-N810,"")</f>
        <v/>
      </c>
      <c r="P810" s="55" t="str">
        <f>IF(COUNTA(A810:I810)=0,"",N(G810)+N(H810)+N(I810))</f>
        <v/>
      </c>
      <c r="Q810" s="56" t="str">
        <f>IF(COUNTA(A810:I810)=0,"",IF(N(IFERROR(INDEX(art_rate,MATCH(E810,art_ref,0)),0))&gt;0,N(IFERROR(INDEX(art_rate,MATCH(E810,art_ref,0)),0)),N(IFERROR(INDEX(po_rate,MATCH(C810,po_code,0)),0))))</f>
        <v/>
      </c>
      <c r="R810" s="55" t="str">
        <f>IF(AC810=1,P810*60/Q810,"")</f>
        <v/>
      </c>
      <c r="S810" s="55" t="str">
        <f>IF(AC810=1,N(G810)*60/Q810,"")</f>
        <v/>
      </c>
      <c r="T810" s="57" t="str">
        <f>IF(AC810=1,O810/M810,"")</f>
        <v/>
      </c>
      <c r="U810" s="57" t="str">
        <f>IF(AC810=1,IF(O810&gt;0,R810/O810,""),"")</f>
        <v/>
      </c>
      <c r="V810" s="57" t="str">
        <f>IF(AC810=1,IF(P810&gt;0,N(G810)/P810,""),"")</f>
        <v/>
      </c>
      <c r="W810" s="57" t="str">
        <f>IF(AC810=1,S810/M810,"")</f>
        <v/>
      </c>
      <c r="X810" s="57" t="str">
        <f>IF(AC810=1,S810/K810,"")</f>
        <v/>
      </c>
      <c r="Y810" s="58" t="str">
        <f>IF(W810="","",IF(W810&gt;=p_target,"Bon",IF(W810&gt;=p_alert,"À surveiller","Faible")))</f>
        <v/>
      </c>
      <c r="Z810" s="58" t="str">
        <f>IF(W810="","",IF(MIN(IF(T810="",1,T810),IF(U810="",1,U810),IF(V810="",1,V810))&gt;=1,"Aucune",IF(IF(T810="",1,T810)&lt;=MIN(IF(U810="",1,U810),IF(V810="",1,V810)),"Disponibilité",IF(IF(U810="",1,U810)&lt;=IF(V810="",1,V810),"Performance","Qualité"))))</f>
        <v/>
      </c>
      <c r="AA810" s="59" t="str">
        <f>IF(AC810=1,N(H810)*N(IFERROR(INDEX(art_cost,MATCH(E810,art_ref,0)),0)),"")</f>
        <v/>
      </c>
      <c r="AB810" s="58" t="str">
        <f>IF(COUNTA(A810:I810)=0,"",IF(N(A810)&lt;=0,"Date manquante ou invalide",IF(B810="","Équipe manquante",IF(ISNA(MATCH(B810,eq_code,0)),"Équipe inconnue",IF(INDEX(eq_check,MATCH(B810,eq_code,0))&lt;&gt;"OK","Équipe à corriger dans Paramètres",IF(C810="","Poste manquant",IF(ISNA(MATCH(C810,po_code,0)),"Poste inconnu",IF(AND(E810&lt;&gt;"",ISNA(MATCH(E810,art_ref,0))),"Article inconnu",IF(IF(E810="",FALSE,INDEX(art_check,MATCH(E810,art_ref,0))&lt;&gt;"OK"),"Article à corriger (feuille Articles)",IF(COUNTIFS(sj_date,A810,sj_eq,B810,sj_po,C810)&gt;1,"Ligne en double (même jour, équipe et poste)",IF(OR(NOT(ISNUMBER(K810)),N(K810)&lt;=0,N(K810)&gt;1440),"Temps d'ouverture invalide",IF(OR(AND(G810&lt;&gt;"",NOT(ISNUMBER(G810))),N(G810)&lt;0,N(G810)&lt;&gt;INT(N(G810)),AND(H810&lt;&gt;"",NOT(ISNUMBER(H810))),N(H810)&lt;0,N(H810)&lt;&gt;INT(N(H810)),AND(I810&lt;&gt;"",NOT(ISNUMBER(I810))),N(I810)&lt;0,N(I810)&lt;&gt;INT(N(I810))),"Quantité invalide",IF(Q810&lt;=0,"Cadence manquante (poste ou article)",IF(M810&lt;=0,"Arrêts planifiés supérieurs au temps d'ouverture",IF(O810&lt;0,"Arrêts supérieurs au temps requis",IF(AND(P810&gt;0,O810=0),"Pièces déclarées sans temps de marche",IF(AND(P810=0,O810&gt;0),"Aucune pièce déclarée",IF(P810*60/Q810&gt;O810+0.001,"Cadence dépassée : vérifiez la cadence","OK"))))))))))))))))))</f>
        <v/>
      </c>
      <c r="AC810">
        <f>IF(OR(AB810="OK",AB810="Aucune pièce déclarée",AB810="Cadence dépassée : vérifiez la cadence"),1,0)</f>
        <v>0.0</v>
      </c>
      <c r="AD810">
        <f>IF(AND(AC810=1,A810&gt;=p_from,A810&lt;=p_to),1,0)</f>
        <v>0.0</v>
      </c>
      <c r="AE810">
        <f>IF(AD810=1,IF(COUNTIFS($A$6:A810,A810,$AD$6:AD810,1)=1,1,0),0)</f>
        <v>0.0</v>
      </c>
      <c r="AF810" t="str">
        <f>IF(AE810=1,COUNTIFS(sj_first,1,sj_date,"&lt;"&amp;A810)+1,"")</f>
        <v/>
      </c>
      <c r="AG810" t="str">
        <f>IF(AND(AD810=1,N(W810)&lt;p_alert),ROUND(W810,4),"")</f>
        <v/>
      </c>
      <c r="AH810" t="str">
        <f>IF(AG810="","",COUNTIF(sj_akey,"&lt;"&amp;AG810)+COUNTIF($AG$6:AG810,AG810))</f>
        <v/>
      </c>
    </row>
    <row r="811">
      <c r="A811" s="51" t="n"/>
      <c r="B811" s="52" t="n"/>
      <c r="C811" s="52" t="n"/>
      <c r="D811" s="53" t="n"/>
      <c r="E811" s="53" t="n"/>
      <c r="F811" s="54" t="n"/>
      <c r="G811" s="54" t="n"/>
      <c r="H811" s="54" t="n"/>
      <c r="I811" s="54" t="n"/>
      <c r="J811" s="53" t="n"/>
      <c r="K811" s="55" t="str">
        <f>IF(COUNTA(A811:I811)=0,"",IF(F811="",IFERROR(INDEX(eq_dur,MATCH(B811,eq_code,0)),""),F811))</f>
        <v/>
      </c>
      <c r="L811" s="55" t="str">
        <f>IF(ISNUMBER(K811),N(IFERROR(INDEX(eq_pause,MATCH(B811,eq_code,0)),0))+SUMIFS(st_min,st_date,A811,st_eq,B811,st_po,C811,st_type,"Planifié"),"")</f>
        <v/>
      </c>
      <c r="M811" s="55" t="str">
        <f>IF(ISNUMBER(K811),K811-L811,"")</f>
        <v/>
      </c>
      <c r="N811" s="55" t="str">
        <f>IF(ISNUMBER(K811),SUMIFS(st_min,st_date,A811,st_eq,B811,st_po,C811,st_type,"Non planifié"),"")</f>
        <v/>
      </c>
      <c r="O811" s="55" t="str">
        <f>IF(ISNUMBER(K811),M811-N811,"")</f>
        <v/>
      </c>
      <c r="P811" s="55" t="str">
        <f>IF(COUNTA(A811:I811)=0,"",N(G811)+N(H811)+N(I811))</f>
        <v/>
      </c>
      <c r="Q811" s="56" t="str">
        <f>IF(COUNTA(A811:I811)=0,"",IF(N(IFERROR(INDEX(art_rate,MATCH(E811,art_ref,0)),0))&gt;0,N(IFERROR(INDEX(art_rate,MATCH(E811,art_ref,0)),0)),N(IFERROR(INDEX(po_rate,MATCH(C811,po_code,0)),0))))</f>
        <v/>
      </c>
      <c r="R811" s="55" t="str">
        <f>IF(AC811=1,P811*60/Q811,"")</f>
        <v/>
      </c>
      <c r="S811" s="55" t="str">
        <f>IF(AC811=1,N(G811)*60/Q811,"")</f>
        <v/>
      </c>
      <c r="T811" s="57" t="str">
        <f>IF(AC811=1,O811/M811,"")</f>
        <v/>
      </c>
      <c r="U811" s="57" t="str">
        <f>IF(AC811=1,IF(O811&gt;0,R811/O811,""),"")</f>
        <v/>
      </c>
      <c r="V811" s="57" t="str">
        <f>IF(AC811=1,IF(P811&gt;0,N(G811)/P811,""),"")</f>
        <v/>
      </c>
      <c r="W811" s="57" t="str">
        <f>IF(AC811=1,S811/M811,"")</f>
        <v/>
      </c>
      <c r="X811" s="57" t="str">
        <f>IF(AC811=1,S811/K811,"")</f>
        <v/>
      </c>
      <c r="Y811" s="58" t="str">
        <f>IF(W811="","",IF(W811&gt;=p_target,"Bon",IF(W811&gt;=p_alert,"À surveiller","Faible")))</f>
        <v/>
      </c>
      <c r="Z811" s="58" t="str">
        <f>IF(W811="","",IF(MIN(IF(T811="",1,T811),IF(U811="",1,U811),IF(V811="",1,V811))&gt;=1,"Aucune",IF(IF(T811="",1,T811)&lt;=MIN(IF(U811="",1,U811),IF(V811="",1,V811)),"Disponibilité",IF(IF(U811="",1,U811)&lt;=IF(V811="",1,V811),"Performance","Qualité"))))</f>
        <v/>
      </c>
      <c r="AA811" s="59" t="str">
        <f>IF(AC811=1,N(H811)*N(IFERROR(INDEX(art_cost,MATCH(E811,art_ref,0)),0)),"")</f>
        <v/>
      </c>
      <c r="AB811" s="58" t="str">
        <f>IF(COUNTA(A811:I811)=0,"",IF(N(A811)&lt;=0,"Date manquante ou invalide",IF(B811="","Équipe manquante",IF(ISNA(MATCH(B811,eq_code,0)),"Équipe inconnue",IF(INDEX(eq_check,MATCH(B811,eq_code,0))&lt;&gt;"OK","Équipe à corriger dans Paramètres",IF(C811="","Poste manquant",IF(ISNA(MATCH(C811,po_code,0)),"Poste inconnu",IF(AND(E811&lt;&gt;"",ISNA(MATCH(E811,art_ref,0))),"Article inconnu",IF(IF(E811="",FALSE,INDEX(art_check,MATCH(E811,art_ref,0))&lt;&gt;"OK"),"Article à corriger (feuille Articles)",IF(COUNTIFS(sj_date,A811,sj_eq,B811,sj_po,C811)&gt;1,"Ligne en double (même jour, équipe et poste)",IF(OR(NOT(ISNUMBER(K811)),N(K811)&lt;=0,N(K811)&gt;1440),"Temps d'ouverture invalide",IF(OR(AND(G811&lt;&gt;"",NOT(ISNUMBER(G811))),N(G811)&lt;0,N(G811)&lt;&gt;INT(N(G811)),AND(H811&lt;&gt;"",NOT(ISNUMBER(H811))),N(H811)&lt;0,N(H811)&lt;&gt;INT(N(H811)),AND(I811&lt;&gt;"",NOT(ISNUMBER(I811))),N(I811)&lt;0,N(I811)&lt;&gt;INT(N(I811))),"Quantité invalide",IF(Q811&lt;=0,"Cadence manquante (poste ou article)",IF(M811&lt;=0,"Arrêts planifiés supérieurs au temps d'ouverture",IF(O811&lt;0,"Arrêts supérieurs au temps requis",IF(AND(P811&gt;0,O811=0),"Pièces déclarées sans temps de marche",IF(AND(P811=0,O811&gt;0),"Aucune pièce déclarée",IF(P811*60/Q811&gt;O811+0.001,"Cadence dépassée : vérifiez la cadence","OK"))))))))))))))))))</f>
        <v/>
      </c>
      <c r="AC811">
        <f>IF(OR(AB811="OK",AB811="Aucune pièce déclarée",AB811="Cadence dépassée : vérifiez la cadence"),1,0)</f>
        <v>0.0</v>
      </c>
      <c r="AD811">
        <f>IF(AND(AC811=1,A811&gt;=p_from,A811&lt;=p_to),1,0)</f>
        <v>0.0</v>
      </c>
      <c r="AE811">
        <f>IF(AD811=1,IF(COUNTIFS($A$6:A811,A811,$AD$6:AD811,1)=1,1,0),0)</f>
        <v>0.0</v>
      </c>
      <c r="AF811" t="str">
        <f>IF(AE811=1,COUNTIFS(sj_first,1,sj_date,"&lt;"&amp;A811)+1,"")</f>
        <v/>
      </c>
      <c r="AG811" t="str">
        <f>IF(AND(AD811=1,N(W811)&lt;p_alert),ROUND(W811,4),"")</f>
        <v/>
      </c>
      <c r="AH811" t="str">
        <f>IF(AG811="","",COUNTIF(sj_akey,"&lt;"&amp;AG811)+COUNTIF($AG$6:AG811,AG811))</f>
        <v/>
      </c>
    </row>
    <row r="812">
      <c r="A812" s="51" t="n"/>
      <c r="B812" s="52" t="n"/>
      <c r="C812" s="52" t="n"/>
      <c r="D812" s="53" t="n"/>
      <c r="E812" s="53" t="n"/>
      <c r="F812" s="54" t="n"/>
      <c r="G812" s="54" t="n"/>
      <c r="H812" s="54" t="n"/>
      <c r="I812" s="54" t="n"/>
      <c r="J812" s="53" t="n"/>
      <c r="K812" s="55" t="str">
        <f>IF(COUNTA(A812:I812)=0,"",IF(F812="",IFERROR(INDEX(eq_dur,MATCH(B812,eq_code,0)),""),F812))</f>
        <v/>
      </c>
      <c r="L812" s="55" t="str">
        <f>IF(ISNUMBER(K812),N(IFERROR(INDEX(eq_pause,MATCH(B812,eq_code,0)),0))+SUMIFS(st_min,st_date,A812,st_eq,B812,st_po,C812,st_type,"Planifié"),"")</f>
        <v/>
      </c>
      <c r="M812" s="55" t="str">
        <f>IF(ISNUMBER(K812),K812-L812,"")</f>
        <v/>
      </c>
      <c r="N812" s="55" t="str">
        <f>IF(ISNUMBER(K812),SUMIFS(st_min,st_date,A812,st_eq,B812,st_po,C812,st_type,"Non planifié"),"")</f>
        <v/>
      </c>
      <c r="O812" s="55" t="str">
        <f>IF(ISNUMBER(K812),M812-N812,"")</f>
        <v/>
      </c>
      <c r="P812" s="55" t="str">
        <f>IF(COUNTA(A812:I812)=0,"",N(G812)+N(H812)+N(I812))</f>
        <v/>
      </c>
      <c r="Q812" s="56" t="str">
        <f>IF(COUNTA(A812:I812)=0,"",IF(N(IFERROR(INDEX(art_rate,MATCH(E812,art_ref,0)),0))&gt;0,N(IFERROR(INDEX(art_rate,MATCH(E812,art_ref,0)),0)),N(IFERROR(INDEX(po_rate,MATCH(C812,po_code,0)),0))))</f>
        <v/>
      </c>
      <c r="R812" s="55" t="str">
        <f>IF(AC812=1,P812*60/Q812,"")</f>
        <v/>
      </c>
      <c r="S812" s="55" t="str">
        <f>IF(AC812=1,N(G812)*60/Q812,"")</f>
        <v/>
      </c>
      <c r="T812" s="57" t="str">
        <f>IF(AC812=1,O812/M812,"")</f>
        <v/>
      </c>
      <c r="U812" s="57" t="str">
        <f>IF(AC812=1,IF(O812&gt;0,R812/O812,""),"")</f>
        <v/>
      </c>
      <c r="V812" s="57" t="str">
        <f>IF(AC812=1,IF(P812&gt;0,N(G812)/P812,""),"")</f>
        <v/>
      </c>
      <c r="W812" s="57" t="str">
        <f>IF(AC812=1,S812/M812,"")</f>
        <v/>
      </c>
      <c r="X812" s="57" t="str">
        <f>IF(AC812=1,S812/K812,"")</f>
        <v/>
      </c>
      <c r="Y812" s="58" t="str">
        <f>IF(W812="","",IF(W812&gt;=p_target,"Bon",IF(W812&gt;=p_alert,"À surveiller","Faible")))</f>
        <v/>
      </c>
      <c r="Z812" s="58" t="str">
        <f>IF(W812="","",IF(MIN(IF(T812="",1,T812),IF(U812="",1,U812),IF(V812="",1,V812))&gt;=1,"Aucune",IF(IF(T812="",1,T812)&lt;=MIN(IF(U812="",1,U812),IF(V812="",1,V812)),"Disponibilité",IF(IF(U812="",1,U812)&lt;=IF(V812="",1,V812),"Performance","Qualité"))))</f>
        <v/>
      </c>
      <c r="AA812" s="59" t="str">
        <f>IF(AC812=1,N(H812)*N(IFERROR(INDEX(art_cost,MATCH(E812,art_ref,0)),0)),"")</f>
        <v/>
      </c>
      <c r="AB812" s="58" t="str">
        <f>IF(COUNTA(A812:I812)=0,"",IF(N(A812)&lt;=0,"Date manquante ou invalide",IF(B812="","Équipe manquante",IF(ISNA(MATCH(B812,eq_code,0)),"Équipe inconnue",IF(INDEX(eq_check,MATCH(B812,eq_code,0))&lt;&gt;"OK","Équipe à corriger dans Paramètres",IF(C812="","Poste manquant",IF(ISNA(MATCH(C812,po_code,0)),"Poste inconnu",IF(AND(E812&lt;&gt;"",ISNA(MATCH(E812,art_ref,0))),"Article inconnu",IF(IF(E812="",FALSE,INDEX(art_check,MATCH(E812,art_ref,0))&lt;&gt;"OK"),"Article à corriger (feuille Articles)",IF(COUNTIFS(sj_date,A812,sj_eq,B812,sj_po,C812)&gt;1,"Ligne en double (même jour, équipe et poste)",IF(OR(NOT(ISNUMBER(K812)),N(K812)&lt;=0,N(K812)&gt;1440),"Temps d'ouverture invalide",IF(OR(AND(G812&lt;&gt;"",NOT(ISNUMBER(G812))),N(G812)&lt;0,N(G812)&lt;&gt;INT(N(G812)),AND(H812&lt;&gt;"",NOT(ISNUMBER(H812))),N(H812)&lt;0,N(H812)&lt;&gt;INT(N(H812)),AND(I812&lt;&gt;"",NOT(ISNUMBER(I812))),N(I812)&lt;0,N(I812)&lt;&gt;INT(N(I812))),"Quantité invalide",IF(Q812&lt;=0,"Cadence manquante (poste ou article)",IF(M812&lt;=0,"Arrêts planifiés supérieurs au temps d'ouverture",IF(O812&lt;0,"Arrêts supérieurs au temps requis",IF(AND(P812&gt;0,O812=0),"Pièces déclarées sans temps de marche",IF(AND(P812=0,O812&gt;0),"Aucune pièce déclarée",IF(P812*60/Q812&gt;O812+0.001,"Cadence dépassée : vérifiez la cadence","OK"))))))))))))))))))</f>
        <v/>
      </c>
      <c r="AC812">
        <f>IF(OR(AB812="OK",AB812="Aucune pièce déclarée",AB812="Cadence dépassée : vérifiez la cadence"),1,0)</f>
        <v>0.0</v>
      </c>
      <c r="AD812">
        <f>IF(AND(AC812=1,A812&gt;=p_from,A812&lt;=p_to),1,0)</f>
        <v>0.0</v>
      </c>
      <c r="AE812">
        <f>IF(AD812=1,IF(COUNTIFS($A$6:A812,A812,$AD$6:AD812,1)=1,1,0),0)</f>
        <v>0.0</v>
      </c>
      <c r="AF812" t="str">
        <f>IF(AE812=1,COUNTIFS(sj_first,1,sj_date,"&lt;"&amp;A812)+1,"")</f>
        <v/>
      </c>
      <c r="AG812" t="str">
        <f>IF(AND(AD812=1,N(W812)&lt;p_alert),ROUND(W812,4),"")</f>
        <v/>
      </c>
      <c r="AH812" t="str">
        <f>IF(AG812="","",COUNTIF(sj_akey,"&lt;"&amp;AG812)+COUNTIF($AG$6:AG812,AG812))</f>
        <v/>
      </c>
    </row>
    <row r="813">
      <c r="A813" s="51" t="n"/>
      <c r="B813" s="52" t="n"/>
      <c r="C813" s="52" t="n"/>
      <c r="D813" s="53" t="n"/>
      <c r="E813" s="53" t="n"/>
      <c r="F813" s="54" t="n"/>
      <c r="G813" s="54" t="n"/>
      <c r="H813" s="54" t="n"/>
      <c r="I813" s="54" t="n"/>
      <c r="J813" s="53" t="n"/>
      <c r="K813" s="55" t="str">
        <f>IF(COUNTA(A813:I813)=0,"",IF(F813="",IFERROR(INDEX(eq_dur,MATCH(B813,eq_code,0)),""),F813))</f>
        <v/>
      </c>
      <c r="L813" s="55" t="str">
        <f>IF(ISNUMBER(K813),N(IFERROR(INDEX(eq_pause,MATCH(B813,eq_code,0)),0))+SUMIFS(st_min,st_date,A813,st_eq,B813,st_po,C813,st_type,"Planifié"),"")</f>
        <v/>
      </c>
      <c r="M813" s="55" t="str">
        <f>IF(ISNUMBER(K813),K813-L813,"")</f>
        <v/>
      </c>
      <c r="N813" s="55" t="str">
        <f>IF(ISNUMBER(K813),SUMIFS(st_min,st_date,A813,st_eq,B813,st_po,C813,st_type,"Non planifié"),"")</f>
        <v/>
      </c>
      <c r="O813" s="55" t="str">
        <f>IF(ISNUMBER(K813),M813-N813,"")</f>
        <v/>
      </c>
      <c r="P813" s="55" t="str">
        <f>IF(COUNTA(A813:I813)=0,"",N(G813)+N(H813)+N(I813))</f>
        <v/>
      </c>
      <c r="Q813" s="56" t="str">
        <f>IF(COUNTA(A813:I813)=0,"",IF(N(IFERROR(INDEX(art_rate,MATCH(E813,art_ref,0)),0))&gt;0,N(IFERROR(INDEX(art_rate,MATCH(E813,art_ref,0)),0)),N(IFERROR(INDEX(po_rate,MATCH(C813,po_code,0)),0))))</f>
        <v/>
      </c>
      <c r="R813" s="55" t="str">
        <f>IF(AC813=1,P813*60/Q813,"")</f>
        <v/>
      </c>
      <c r="S813" s="55" t="str">
        <f>IF(AC813=1,N(G813)*60/Q813,"")</f>
        <v/>
      </c>
      <c r="T813" s="57" t="str">
        <f>IF(AC813=1,O813/M813,"")</f>
        <v/>
      </c>
      <c r="U813" s="57" t="str">
        <f>IF(AC813=1,IF(O813&gt;0,R813/O813,""),"")</f>
        <v/>
      </c>
      <c r="V813" s="57" t="str">
        <f>IF(AC813=1,IF(P813&gt;0,N(G813)/P813,""),"")</f>
        <v/>
      </c>
      <c r="W813" s="57" t="str">
        <f>IF(AC813=1,S813/M813,"")</f>
        <v/>
      </c>
      <c r="X813" s="57" t="str">
        <f>IF(AC813=1,S813/K813,"")</f>
        <v/>
      </c>
      <c r="Y813" s="58" t="str">
        <f>IF(W813="","",IF(W813&gt;=p_target,"Bon",IF(W813&gt;=p_alert,"À surveiller","Faible")))</f>
        <v/>
      </c>
      <c r="Z813" s="58" t="str">
        <f>IF(W813="","",IF(MIN(IF(T813="",1,T813),IF(U813="",1,U813),IF(V813="",1,V813))&gt;=1,"Aucune",IF(IF(T813="",1,T813)&lt;=MIN(IF(U813="",1,U813),IF(V813="",1,V813)),"Disponibilité",IF(IF(U813="",1,U813)&lt;=IF(V813="",1,V813),"Performance","Qualité"))))</f>
        <v/>
      </c>
      <c r="AA813" s="59" t="str">
        <f>IF(AC813=1,N(H813)*N(IFERROR(INDEX(art_cost,MATCH(E813,art_ref,0)),0)),"")</f>
        <v/>
      </c>
      <c r="AB813" s="58" t="str">
        <f>IF(COUNTA(A813:I813)=0,"",IF(N(A813)&lt;=0,"Date manquante ou invalide",IF(B813="","Équipe manquante",IF(ISNA(MATCH(B813,eq_code,0)),"Équipe inconnue",IF(INDEX(eq_check,MATCH(B813,eq_code,0))&lt;&gt;"OK","Équipe à corriger dans Paramètres",IF(C813="","Poste manquant",IF(ISNA(MATCH(C813,po_code,0)),"Poste inconnu",IF(AND(E813&lt;&gt;"",ISNA(MATCH(E813,art_ref,0))),"Article inconnu",IF(IF(E813="",FALSE,INDEX(art_check,MATCH(E813,art_ref,0))&lt;&gt;"OK"),"Article à corriger (feuille Articles)",IF(COUNTIFS(sj_date,A813,sj_eq,B813,sj_po,C813)&gt;1,"Ligne en double (même jour, équipe et poste)",IF(OR(NOT(ISNUMBER(K813)),N(K813)&lt;=0,N(K813)&gt;1440),"Temps d'ouverture invalide",IF(OR(AND(G813&lt;&gt;"",NOT(ISNUMBER(G813))),N(G813)&lt;0,N(G813)&lt;&gt;INT(N(G813)),AND(H813&lt;&gt;"",NOT(ISNUMBER(H813))),N(H813)&lt;0,N(H813)&lt;&gt;INT(N(H813)),AND(I813&lt;&gt;"",NOT(ISNUMBER(I813))),N(I813)&lt;0,N(I813)&lt;&gt;INT(N(I813))),"Quantité invalide",IF(Q813&lt;=0,"Cadence manquante (poste ou article)",IF(M813&lt;=0,"Arrêts planifiés supérieurs au temps d'ouverture",IF(O813&lt;0,"Arrêts supérieurs au temps requis",IF(AND(P813&gt;0,O813=0),"Pièces déclarées sans temps de marche",IF(AND(P813=0,O813&gt;0),"Aucune pièce déclarée",IF(P813*60/Q813&gt;O813+0.001,"Cadence dépassée : vérifiez la cadence","OK"))))))))))))))))))</f>
        <v/>
      </c>
      <c r="AC813">
        <f>IF(OR(AB813="OK",AB813="Aucune pièce déclarée",AB813="Cadence dépassée : vérifiez la cadence"),1,0)</f>
        <v>0.0</v>
      </c>
      <c r="AD813">
        <f>IF(AND(AC813=1,A813&gt;=p_from,A813&lt;=p_to),1,0)</f>
        <v>0.0</v>
      </c>
      <c r="AE813">
        <f>IF(AD813=1,IF(COUNTIFS($A$6:A813,A813,$AD$6:AD813,1)=1,1,0),0)</f>
        <v>0.0</v>
      </c>
      <c r="AF813" t="str">
        <f>IF(AE813=1,COUNTIFS(sj_first,1,sj_date,"&lt;"&amp;A813)+1,"")</f>
        <v/>
      </c>
      <c r="AG813" t="str">
        <f>IF(AND(AD813=1,N(W813)&lt;p_alert),ROUND(W813,4),"")</f>
        <v/>
      </c>
      <c r="AH813" t="str">
        <f>IF(AG813="","",COUNTIF(sj_akey,"&lt;"&amp;AG813)+COUNTIF($AG$6:AG813,AG813))</f>
        <v/>
      </c>
    </row>
    <row r="814">
      <c r="A814" s="51" t="n"/>
      <c r="B814" s="52" t="n"/>
      <c r="C814" s="52" t="n"/>
      <c r="D814" s="53" t="n"/>
      <c r="E814" s="53" t="n"/>
      <c r="F814" s="54" t="n"/>
      <c r="G814" s="54" t="n"/>
      <c r="H814" s="54" t="n"/>
      <c r="I814" s="54" t="n"/>
      <c r="J814" s="53" t="n"/>
      <c r="K814" s="55" t="str">
        <f>IF(COUNTA(A814:I814)=0,"",IF(F814="",IFERROR(INDEX(eq_dur,MATCH(B814,eq_code,0)),""),F814))</f>
        <v/>
      </c>
      <c r="L814" s="55" t="str">
        <f>IF(ISNUMBER(K814),N(IFERROR(INDEX(eq_pause,MATCH(B814,eq_code,0)),0))+SUMIFS(st_min,st_date,A814,st_eq,B814,st_po,C814,st_type,"Planifié"),"")</f>
        <v/>
      </c>
      <c r="M814" s="55" t="str">
        <f>IF(ISNUMBER(K814),K814-L814,"")</f>
        <v/>
      </c>
      <c r="N814" s="55" t="str">
        <f>IF(ISNUMBER(K814),SUMIFS(st_min,st_date,A814,st_eq,B814,st_po,C814,st_type,"Non planifié"),"")</f>
        <v/>
      </c>
      <c r="O814" s="55" t="str">
        <f>IF(ISNUMBER(K814),M814-N814,"")</f>
        <v/>
      </c>
      <c r="P814" s="55" t="str">
        <f>IF(COUNTA(A814:I814)=0,"",N(G814)+N(H814)+N(I814))</f>
        <v/>
      </c>
      <c r="Q814" s="56" t="str">
        <f>IF(COUNTA(A814:I814)=0,"",IF(N(IFERROR(INDEX(art_rate,MATCH(E814,art_ref,0)),0))&gt;0,N(IFERROR(INDEX(art_rate,MATCH(E814,art_ref,0)),0)),N(IFERROR(INDEX(po_rate,MATCH(C814,po_code,0)),0))))</f>
        <v/>
      </c>
      <c r="R814" s="55" t="str">
        <f>IF(AC814=1,P814*60/Q814,"")</f>
        <v/>
      </c>
      <c r="S814" s="55" t="str">
        <f>IF(AC814=1,N(G814)*60/Q814,"")</f>
        <v/>
      </c>
      <c r="T814" s="57" t="str">
        <f>IF(AC814=1,O814/M814,"")</f>
        <v/>
      </c>
      <c r="U814" s="57" t="str">
        <f>IF(AC814=1,IF(O814&gt;0,R814/O814,""),"")</f>
        <v/>
      </c>
      <c r="V814" s="57" t="str">
        <f>IF(AC814=1,IF(P814&gt;0,N(G814)/P814,""),"")</f>
        <v/>
      </c>
      <c r="W814" s="57" t="str">
        <f>IF(AC814=1,S814/M814,"")</f>
        <v/>
      </c>
      <c r="X814" s="57" t="str">
        <f>IF(AC814=1,S814/K814,"")</f>
        <v/>
      </c>
      <c r="Y814" s="58" t="str">
        <f>IF(W814="","",IF(W814&gt;=p_target,"Bon",IF(W814&gt;=p_alert,"À surveiller","Faible")))</f>
        <v/>
      </c>
      <c r="Z814" s="58" t="str">
        <f>IF(W814="","",IF(MIN(IF(T814="",1,T814),IF(U814="",1,U814),IF(V814="",1,V814))&gt;=1,"Aucune",IF(IF(T814="",1,T814)&lt;=MIN(IF(U814="",1,U814),IF(V814="",1,V814)),"Disponibilité",IF(IF(U814="",1,U814)&lt;=IF(V814="",1,V814),"Performance","Qualité"))))</f>
        <v/>
      </c>
      <c r="AA814" s="59" t="str">
        <f>IF(AC814=1,N(H814)*N(IFERROR(INDEX(art_cost,MATCH(E814,art_ref,0)),0)),"")</f>
        <v/>
      </c>
      <c r="AB814" s="58" t="str">
        <f>IF(COUNTA(A814:I814)=0,"",IF(N(A814)&lt;=0,"Date manquante ou invalide",IF(B814="","Équipe manquante",IF(ISNA(MATCH(B814,eq_code,0)),"Équipe inconnue",IF(INDEX(eq_check,MATCH(B814,eq_code,0))&lt;&gt;"OK","Équipe à corriger dans Paramètres",IF(C814="","Poste manquant",IF(ISNA(MATCH(C814,po_code,0)),"Poste inconnu",IF(AND(E814&lt;&gt;"",ISNA(MATCH(E814,art_ref,0))),"Article inconnu",IF(IF(E814="",FALSE,INDEX(art_check,MATCH(E814,art_ref,0))&lt;&gt;"OK"),"Article à corriger (feuille Articles)",IF(COUNTIFS(sj_date,A814,sj_eq,B814,sj_po,C814)&gt;1,"Ligne en double (même jour, équipe et poste)",IF(OR(NOT(ISNUMBER(K814)),N(K814)&lt;=0,N(K814)&gt;1440),"Temps d'ouverture invalide",IF(OR(AND(G814&lt;&gt;"",NOT(ISNUMBER(G814))),N(G814)&lt;0,N(G814)&lt;&gt;INT(N(G814)),AND(H814&lt;&gt;"",NOT(ISNUMBER(H814))),N(H814)&lt;0,N(H814)&lt;&gt;INT(N(H814)),AND(I814&lt;&gt;"",NOT(ISNUMBER(I814))),N(I814)&lt;0,N(I814)&lt;&gt;INT(N(I814))),"Quantité invalide",IF(Q814&lt;=0,"Cadence manquante (poste ou article)",IF(M814&lt;=0,"Arrêts planifiés supérieurs au temps d'ouverture",IF(O814&lt;0,"Arrêts supérieurs au temps requis",IF(AND(P814&gt;0,O814=0),"Pièces déclarées sans temps de marche",IF(AND(P814=0,O814&gt;0),"Aucune pièce déclarée",IF(P814*60/Q814&gt;O814+0.001,"Cadence dépassée : vérifiez la cadence","OK"))))))))))))))))))</f>
        <v/>
      </c>
      <c r="AC814">
        <f>IF(OR(AB814="OK",AB814="Aucune pièce déclarée",AB814="Cadence dépassée : vérifiez la cadence"),1,0)</f>
        <v>0.0</v>
      </c>
      <c r="AD814">
        <f>IF(AND(AC814=1,A814&gt;=p_from,A814&lt;=p_to),1,0)</f>
        <v>0.0</v>
      </c>
      <c r="AE814">
        <f>IF(AD814=1,IF(COUNTIFS($A$6:A814,A814,$AD$6:AD814,1)=1,1,0),0)</f>
        <v>0.0</v>
      </c>
      <c r="AF814" t="str">
        <f>IF(AE814=1,COUNTIFS(sj_first,1,sj_date,"&lt;"&amp;A814)+1,"")</f>
        <v/>
      </c>
      <c r="AG814" t="str">
        <f>IF(AND(AD814=1,N(W814)&lt;p_alert),ROUND(W814,4),"")</f>
        <v/>
      </c>
      <c r="AH814" t="str">
        <f>IF(AG814="","",COUNTIF(sj_akey,"&lt;"&amp;AG814)+COUNTIF($AG$6:AG814,AG814))</f>
        <v/>
      </c>
    </row>
    <row r="815">
      <c r="A815" s="51" t="n"/>
      <c r="B815" s="52" t="n"/>
      <c r="C815" s="52" t="n"/>
      <c r="D815" s="53" t="n"/>
      <c r="E815" s="53" t="n"/>
      <c r="F815" s="54" t="n"/>
      <c r="G815" s="54" t="n"/>
      <c r="H815" s="54" t="n"/>
      <c r="I815" s="54" t="n"/>
      <c r="J815" s="53" t="n"/>
      <c r="K815" s="55" t="str">
        <f>IF(COUNTA(A815:I815)=0,"",IF(F815="",IFERROR(INDEX(eq_dur,MATCH(B815,eq_code,0)),""),F815))</f>
        <v/>
      </c>
      <c r="L815" s="55" t="str">
        <f>IF(ISNUMBER(K815),N(IFERROR(INDEX(eq_pause,MATCH(B815,eq_code,0)),0))+SUMIFS(st_min,st_date,A815,st_eq,B815,st_po,C815,st_type,"Planifié"),"")</f>
        <v/>
      </c>
      <c r="M815" s="55" t="str">
        <f>IF(ISNUMBER(K815),K815-L815,"")</f>
        <v/>
      </c>
      <c r="N815" s="55" t="str">
        <f>IF(ISNUMBER(K815),SUMIFS(st_min,st_date,A815,st_eq,B815,st_po,C815,st_type,"Non planifié"),"")</f>
        <v/>
      </c>
      <c r="O815" s="55" t="str">
        <f>IF(ISNUMBER(K815),M815-N815,"")</f>
        <v/>
      </c>
      <c r="P815" s="55" t="str">
        <f>IF(COUNTA(A815:I815)=0,"",N(G815)+N(H815)+N(I815))</f>
        <v/>
      </c>
      <c r="Q815" s="56" t="str">
        <f>IF(COUNTA(A815:I815)=0,"",IF(N(IFERROR(INDEX(art_rate,MATCH(E815,art_ref,0)),0))&gt;0,N(IFERROR(INDEX(art_rate,MATCH(E815,art_ref,0)),0)),N(IFERROR(INDEX(po_rate,MATCH(C815,po_code,0)),0))))</f>
        <v/>
      </c>
      <c r="R815" s="55" t="str">
        <f>IF(AC815=1,P815*60/Q815,"")</f>
        <v/>
      </c>
      <c r="S815" s="55" t="str">
        <f>IF(AC815=1,N(G815)*60/Q815,"")</f>
        <v/>
      </c>
      <c r="T815" s="57" t="str">
        <f>IF(AC815=1,O815/M815,"")</f>
        <v/>
      </c>
      <c r="U815" s="57" t="str">
        <f>IF(AC815=1,IF(O815&gt;0,R815/O815,""),"")</f>
        <v/>
      </c>
      <c r="V815" s="57" t="str">
        <f>IF(AC815=1,IF(P815&gt;0,N(G815)/P815,""),"")</f>
        <v/>
      </c>
      <c r="W815" s="57" t="str">
        <f>IF(AC815=1,S815/M815,"")</f>
        <v/>
      </c>
      <c r="X815" s="57" t="str">
        <f>IF(AC815=1,S815/K815,"")</f>
        <v/>
      </c>
      <c r="Y815" s="58" t="str">
        <f>IF(W815="","",IF(W815&gt;=p_target,"Bon",IF(W815&gt;=p_alert,"À surveiller","Faible")))</f>
        <v/>
      </c>
      <c r="Z815" s="58" t="str">
        <f>IF(W815="","",IF(MIN(IF(T815="",1,T815),IF(U815="",1,U815),IF(V815="",1,V815))&gt;=1,"Aucune",IF(IF(T815="",1,T815)&lt;=MIN(IF(U815="",1,U815),IF(V815="",1,V815)),"Disponibilité",IF(IF(U815="",1,U815)&lt;=IF(V815="",1,V815),"Performance","Qualité"))))</f>
        <v/>
      </c>
      <c r="AA815" s="59" t="str">
        <f>IF(AC815=1,N(H815)*N(IFERROR(INDEX(art_cost,MATCH(E815,art_ref,0)),0)),"")</f>
        <v/>
      </c>
      <c r="AB815" s="58" t="str">
        <f>IF(COUNTA(A815:I815)=0,"",IF(N(A815)&lt;=0,"Date manquante ou invalide",IF(B815="","Équipe manquante",IF(ISNA(MATCH(B815,eq_code,0)),"Équipe inconnue",IF(INDEX(eq_check,MATCH(B815,eq_code,0))&lt;&gt;"OK","Équipe à corriger dans Paramètres",IF(C815="","Poste manquant",IF(ISNA(MATCH(C815,po_code,0)),"Poste inconnu",IF(AND(E815&lt;&gt;"",ISNA(MATCH(E815,art_ref,0))),"Article inconnu",IF(IF(E815="",FALSE,INDEX(art_check,MATCH(E815,art_ref,0))&lt;&gt;"OK"),"Article à corriger (feuille Articles)",IF(COUNTIFS(sj_date,A815,sj_eq,B815,sj_po,C815)&gt;1,"Ligne en double (même jour, équipe et poste)",IF(OR(NOT(ISNUMBER(K815)),N(K815)&lt;=0,N(K815)&gt;1440),"Temps d'ouverture invalide",IF(OR(AND(G815&lt;&gt;"",NOT(ISNUMBER(G815))),N(G815)&lt;0,N(G815)&lt;&gt;INT(N(G815)),AND(H815&lt;&gt;"",NOT(ISNUMBER(H815))),N(H815)&lt;0,N(H815)&lt;&gt;INT(N(H815)),AND(I815&lt;&gt;"",NOT(ISNUMBER(I815))),N(I815)&lt;0,N(I815)&lt;&gt;INT(N(I815))),"Quantité invalide",IF(Q815&lt;=0,"Cadence manquante (poste ou article)",IF(M815&lt;=0,"Arrêts planifiés supérieurs au temps d'ouverture",IF(O815&lt;0,"Arrêts supérieurs au temps requis",IF(AND(P815&gt;0,O815=0),"Pièces déclarées sans temps de marche",IF(AND(P815=0,O815&gt;0),"Aucune pièce déclarée",IF(P815*60/Q815&gt;O815+0.001,"Cadence dépassée : vérifiez la cadence","OK"))))))))))))))))))</f>
        <v/>
      </c>
      <c r="AC815">
        <f>IF(OR(AB815="OK",AB815="Aucune pièce déclarée",AB815="Cadence dépassée : vérifiez la cadence"),1,0)</f>
        <v>0.0</v>
      </c>
      <c r="AD815">
        <f>IF(AND(AC815=1,A815&gt;=p_from,A815&lt;=p_to),1,0)</f>
        <v>0.0</v>
      </c>
      <c r="AE815">
        <f>IF(AD815=1,IF(COUNTIFS($A$6:A815,A815,$AD$6:AD815,1)=1,1,0),0)</f>
        <v>0.0</v>
      </c>
      <c r="AF815" t="str">
        <f>IF(AE815=1,COUNTIFS(sj_first,1,sj_date,"&lt;"&amp;A815)+1,"")</f>
        <v/>
      </c>
      <c r="AG815" t="str">
        <f>IF(AND(AD815=1,N(W815)&lt;p_alert),ROUND(W815,4),"")</f>
        <v/>
      </c>
      <c r="AH815" t="str">
        <f>IF(AG815="","",COUNTIF(sj_akey,"&lt;"&amp;AG815)+COUNTIF($AG$6:AG815,AG815))</f>
        <v/>
      </c>
    </row>
    <row r="816">
      <c r="A816" s="51" t="n"/>
      <c r="B816" s="52" t="n"/>
      <c r="C816" s="52" t="n"/>
      <c r="D816" s="53" t="n"/>
      <c r="E816" s="53" t="n"/>
      <c r="F816" s="54" t="n"/>
      <c r="G816" s="54" t="n"/>
      <c r="H816" s="54" t="n"/>
      <c r="I816" s="54" t="n"/>
      <c r="J816" s="53" t="n"/>
      <c r="K816" s="55" t="str">
        <f>IF(COUNTA(A816:I816)=0,"",IF(F816="",IFERROR(INDEX(eq_dur,MATCH(B816,eq_code,0)),""),F816))</f>
        <v/>
      </c>
      <c r="L816" s="55" t="str">
        <f>IF(ISNUMBER(K816),N(IFERROR(INDEX(eq_pause,MATCH(B816,eq_code,0)),0))+SUMIFS(st_min,st_date,A816,st_eq,B816,st_po,C816,st_type,"Planifié"),"")</f>
        <v/>
      </c>
      <c r="M816" s="55" t="str">
        <f>IF(ISNUMBER(K816),K816-L816,"")</f>
        <v/>
      </c>
      <c r="N816" s="55" t="str">
        <f>IF(ISNUMBER(K816),SUMIFS(st_min,st_date,A816,st_eq,B816,st_po,C816,st_type,"Non planifié"),"")</f>
        <v/>
      </c>
      <c r="O816" s="55" t="str">
        <f>IF(ISNUMBER(K816),M816-N816,"")</f>
        <v/>
      </c>
      <c r="P816" s="55" t="str">
        <f>IF(COUNTA(A816:I816)=0,"",N(G816)+N(H816)+N(I816))</f>
        <v/>
      </c>
      <c r="Q816" s="56" t="str">
        <f>IF(COUNTA(A816:I816)=0,"",IF(N(IFERROR(INDEX(art_rate,MATCH(E816,art_ref,0)),0))&gt;0,N(IFERROR(INDEX(art_rate,MATCH(E816,art_ref,0)),0)),N(IFERROR(INDEX(po_rate,MATCH(C816,po_code,0)),0))))</f>
        <v/>
      </c>
      <c r="R816" s="55" t="str">
        <f>IF(AC816=1,P816*60/Q816,"")</f>
        <v/>
      </c>
      <c r="S816" s="55" t="str">
        <f>IF(AC816=1,N(G816)*60/Q816,"")</f>
        <v/>
      </c>
      <c r="T816" s="57" t="str">
        <f>IF(AC816=1,O816/M816,"")</f>
        <v/>
      </c>
      <c r="U816" s="57" t="str">
        <f>IF(AC816=1,IF(O816&gt;0,R816/O816,""),"")</f>
        <v/>
      </c>
      <c r="V816" s="57" t="str">
        <f>IF(AC816=1,IF(P816&gt;0,N(G816)/P816,""),"")</f>
        <v/>
      </c>
      <c r="W816" s="57" t="str">
        <f>IF(AC816=1,S816/M816,"")</f>
        <v/>
      </c>
      <c r="X816" s="57" t="str">
        <f>IF(AC816=1,S816/K816,"")</f>
        <v/>
      </c>
      <c r="Y816" s="58" t="str">
        <f>IF(W816="","",IF(W816&gt;=p_target,"Bon",IF(W816&gt;=p_alert,"À surveiller","Faible")))</f>
        <v/>
      </c>
      <c r="Z816" s="58" t="str">
        <f>IF(W816="","",IF(MIN(IF(T816="",1,T816),IF(U816="",1,U816),IF(V816="",1,V816))&gt;=1,"Aucune",IF(IF(T816="",1,T816)&lt;=MIN(IF(U816="",1,U816),IF(V816="",1,V816)),"Disponibilité",IF(IF(U816="",1,U816)&lt;=IF(V816="",1,V816),"Performance","Qualité"))))</f>
        <v/>
      </c>
      <c r="AA816" s="59" t="str">
        <f>IF(AC816=1,N(H816)*N(IFERROR(INDEX(art_cost,MATCH(E816,art_ref,0)),0)),"")</f>
        <v/>
      </c>
      <c r="AB816" s="58" t="str">
        <f>IF(COUNTA(A816:I816)=0,"",IF(N(A816)&lt;=0,"Date manquante ou invalide",IF(B816="","Équipe manquante",IF(ISNA(MATCH(B816,eq_code,0)),"Équipe inconnue",IF(INDEX(eq_check,MATCH(B816,eq_code,0))&lt;&gt;"OK","Équipe à corriger dans Paramètres",IF(C816="","Poste manquant",IF(ISNA(MATCH(C816,po_code,0)),"Poste inconnu",IF(AND(E816&lt;&gt;"",ISNA(MATCH(E816,art_ref,0))),"Article inconnu",IF(IF(E816="",FALSE,INDEX(art_check,MATCH(E816,art_ref,0))&lt;&gt;"OK"),"Article à corriger (feuille Articles)",IF(COUNTIFS(sj_date,A816,sj_eq,B816,sj_po,C816)&gt;1,"Ligne en double (même jour, équipe et poste)",IF(OR(NOT(ISNUMBER(K816)),N(K816)&lt;=0,N(K816)&gt;1440),"Temps d'ouverture invalide",IF(OR(AND(G816&lt;&gt;"",NOT(ISNUMBER(G816))),N(G816)&lt;0,N(G816)&lt;&gt;INT(N(G816)),AND(H816&lt;&gt;"",NOT(ISNUMBER(H816))),N(H816)&lt;0,N(H816)&lt;&gt;INT(N(H816)),AND(I816&lt;&gt;"",NOT(ISNUMBER(I816))),N(I816)&lt;0,N(I816)&lt;&gt;INT(N(I816))),"Quantité invalide",IF(Q816&lt;=0,"Cadence manquante (poste ou article)",IF(M816&lt;=0,"Arrêts planifiés supérieurs au temps d'ouverture",IF(O816&lt;0,"Arrêts supérieurs au temps requis",IF(AND(P816&gt;0,O816=0),"Pièces déclarées sans temps de marche",IF(AND(P816=0,O816&gt;0),"Aucune pièce déclarée",IF(P816*60/Q816&gt;O816+0.001,"Cadence dépassée : vérifiez la cadence","OK"))))))))))))))))))</f>
        <v/>
      </c>
      <c r="AC816">
        <f>IF(OR(AB816="OK",AB816="Aucune pièce déclarée",AB816="Cadence dépassée : vérifiez la cadence"),1,0)</f>
        <v>0.0</v>
      </c>
      <c r="AD816">
        <f>IF(AND(AC816=1,A816&gt;=p_from,A816&lt;=p_to),1,0)</f>
        <v>0.0</v>
      </c>
      <c r="AE816">
        <f>IF(AD816=1,IF(COUNTIFS($A$6:A816,A816,$AD$6:AD816,1)=1,1,0),0)</f>
        <v>0.0</v>
      </c>
      <c r="AF816" t="str">
        <f>IF(AE816=1,COUNTIFS(sj_first,1,sj_date,"&lt;"&amp;A816)+1,"")</f>
        <v/>
      </c>
      <c r="AG816" t="str">
        <f>IF(AND(AD816=1,N(W816)&lt;p_alert),ROUND(W816,4),"")</f>
        <v/>
      </c>
      <c r="AH816" t="str">
        <f>IF(AG816="","",COUNTIF(sj_akey,"&lt;"&amp;AG816)+COUNTIF($AG$6:AG816,AG816))</f>
        <v/>
      </c>
    </row>
    <row r="817">
      <c r="A817" s="51" t="n"/>
      <c r="B817" s="52" t="n"/>
      <c r="C817" s="52" t="n"/>
      <c r="D817" s="53" t="n"/>
      <c r="E817" s="53" t="n"/>
      <c r="F817" s="54" t="n"/>
      <c r="G817" s="54" t="n"/>
      <c r="H817" s="54" t="n"/>
      <c r="I817" s="54" t="n"/>
      <c r="J817" s="53" t="n"/>
      <c r="K817" s="55" t="str">
        <f>IF(COUNTA(A817:I817)=0,"",IF(F817="",IFERROR(INDEX(eq_dur,MATCH(B817,eq_code,0)),""),F817))</f>
        <v/>
      </c>
      <c r="L817" s="55" t="str">
        <f>IF(ISNUMBER(K817),N(IFERROR(INDEX(eq_pause,MATCH(B817,eq_code,0)),0))+SUMIFS(st_min,st_date,A817,st_eq,B817,st_po,C817,st_type,"Planifié"),"")</f>
        <v/>
      </c>
      <c r="M817" s="55" t="str">
        <f>IF(ISNUMBER(K817),K817-L817,"")</f>
        <v/>
      </c>
      <c r="N817" s="55" t="str">
        <f>IF(ISNUMBER(K817),SUMIFS(st_min,st_date,A817,st_eq,B817,st_po,C817,st_type,"Non planifié"),"")</f>
        <v/>
      </c>
      <c r="O817" s="55" t="str">
        <f>IF(ISNUMBER(K817),M817-N817,"")</f>
        <v/>
      </c>
      <c r="P817" s="55" t="str">
        <f>IF(COUNTA(A817:I817)=0,"",N(G817)+N(H817)+N(I817))</f>
        <v/>
      </c>
      <c r="Q817" s="56" t="str">
        <f>IF(COUNTA(A817:I817)=0,"",IF(N(IFERROR(INDEX(art_rate,MATCH(E817,art_ref,0)),0))&gt;0,N(IFERROR(INDEX(art_rate,MATCH(E817,art_ref,0)),0)),N(IFERROR(INDEX(po_rate,MATCH(C817,po_code,0)),0))))</f>
        <v/>
      </c>
      <c r="R817" s="55" t="str">
        <f>IF(AC817=1,P817*60/Q817,"")</f>
        <v/>
      </c>
      <c r="S817" s="55" t="str">
        <f>IF(AC817=1,N(G817)*60/Q817,"")</f>
        <v/>
      </c>
      <c r="T817" s="57" t="str">
        <f>IF(AC817=1,O817/M817,"")</f>
        <v/>
      </c>
      <c r="U817" s="57" t="str">
        <f>IF(AC817=1,IF(O817&gt;0,R817/O817,""),"")</f>
        <v/>
      </c>
      <c r="V817" s="57" t="str">
        <f>IF(AC817=1,IF(P817&gt;0,N(G817)/P817,""),"")</f>
        <v/>
      </c>
      <c r="W817" s="57" t="str">
        <f>IF(AC817=1,S817/M817,"")</f>
        <v/>
      </c>
      <c r="X817" s="57" t="str">
        <f>IF(AC817=1,S817/K817,"")</f>
        <v/>
      </c>
      <c r="Y817" s="58" t="str">
        <f>IF(W817="","",IF(W817&gt;=p_target,"Bon",IF(W817&gt;=p_alert,"À surveiller","Faible")))</f>
        <v/>
      </c>
      <c r="Z817" s="58" t="str">
        <f>IF(W817="","",IF(MIN(IF(T817="",1,T817),IF(U817="",1,U817),IF(V817="",1,V817))&gt;=1,"Aucune",IF(IF(T817="",1,T817)&lt;=MIN(IF(U817="",1,U817),IF(V817="",1,V817)),"Disponibilité",IF(IF(U817="",1,U817)&lt;=IF(V817="",1,V817),"Performance","Qualité"))))</f>
        <v/>
      </c>
      <c r="AA817" s="59" t="str">
        <f>IF(AC817=1,N(H817)*N(IFERROR(INDEX(art_cost,MATCH(E817,art_ref,0)),0)),"")</f>
        <v/>
      </c>
      <c r="AB817" s="58" t="str">
        <f>IF(COUNTA(A817:I817)=0,"",IF(N(A817)&lt;=0,"Date manquante ou invalide",IF(B817="","Équipe manquante",IF(ISNA(MATCH(B817,eq_code,0)),"Équipe inconnue",IF(INDEX(eq_check,MATCH(B817,eq_code,0))&lt;&gt;"OK","Équipe à corriger dans Paramètres",IF(C817="","Poste manquant",IF(ISNA(MATCH(C817,po_code,0)),"Poste inconnu",IF(AND(E817&lt;&gt;"",ISNA(MATCH(E817,art_ref,0))),"Article inconnu",IF(IF(E817="",FALSE,INDEX(art_check,MATCH(E817,art_ref,0))&lt;&gt;"OK"),"Article à corriger (feuille Articles)",IF(COUNTIFS(sj_date,A817,sj_eq,B817,sj_po,C817)&gt;1,"Ligne en double (même jour, équipe et poste)",IF(OR(NOT(ISNUMBER(K817)),N(K817)&lt;=0,N(K817)&gt;1440),"Temps d'ouverture invalide",IF(OR(AND(G817&lt;&gt;"",NOT(ISNUMBER(G817))),N(G817)&lt;0,N(G817)&lt;&gt;INT(N(G817)),AND(H817&lt;&gt;"",NOT(ISNUMBER(H817))),N(H817)&lt;0,N(H817)&lt;&gt;INT(N(H817)),AND(I817&lt;&gt;"",NOT(ISNUMBER(I817))),N(I817)&lt;0,N(I817)&lt;&gt;INT(N(I817))),"Quantité invalide",IF(Q817&lt;=0,"Cadence manquante (poste ou article)",IF(M817&lt;=0,"Arrêts planifiés supérieurs au temps d'ouverture",IF(O817&lt;0,"Arrêts supérieurs au temps requis",IF(AND(P817&gt;0,O817=0),"Pièces déclarées sans temps de marche",IF(AND(P817=0,O817&gt;0),"Aucune pièce déclarée",IF(P817*60/Q817&gt;O817+0.001,"Cadence dépassée : vérifiez la cadence","OK"))))))))))))))))))</f>
        <v/>
      </c>
      <c r="AC817">
        <f>IF(OR(AB817="OK",AB817="Aucune pièce déclarée",AB817="Cadence dépassée : vérifiez la cadence"),1,0)</f>
        <v>0.0</v>
      </c>
      <c r="AD817">
        <f>IF(AND(AC817=1,A817&gt;=p_from,A817&lt;=p_to),1,0)</f>
        <v>0.0</v>
      </c>
      <c r="AE817">
        <f>IF(AD817=1,IF(COUNTIFS($A$6:A817,A817,$AD$6:AD817,1)=1,1,0),0)</f>
        <v>0.0</v>
      </c>
      <c r="AF817" t="str">
        <f>IF(AE817=1,COUNTIFS(sj_first,1,sj_date,"&lt;"&amp;A817)+1,"")</f>
        <v/>
      </c>
      <c r="AG817" t="str">
        <f>IF(AND(AD817=1,N(W817)&lt;p_alert),ROUND(W817,4),"")</f>
        <v/>
      </c>
      <c r="AH817" t="str">
        <f>IF(AG817="","",COUNTIF(sj_akey,"&lt;"&amp;AG817)+COUNTIF($AG$6:AG817,AG817))</f>
        <v/>
      </c>
    </row>
    <row r="818">
      <c r="A818" s="51" t="n"/>
      <c r="B818" s="52" t="n"/>
      <c r="C818" s="52" t="n"/>
      <c r="D818" s="53" t="n"/>
      <c r="E818" s="53" t="n"/>
      <c r="F818" s="54" t="n"/>
      <c r="G818" s="54" t="n"/>
      <c r="H818" s="54" t="n"/>
      <c r="I818" s="54" t="n"/>
      <c r="J818" s="53" t="n"/>
      <c r="K818" s="55" t="str">
        <f>IF(COUNTA(A818:I818)=0,"",IF(F818="",IFERROR(INDEX(eq_dur,MATCH(B818,eq_code,0)),""),F818))</f>
        <v/>
      </c>
      <c r="L818" s="55" t="str">
        <f>IF(ISNUMBER(K818),N(IFERROR(INDEX(eq_pause,MATCH(B818,eq_code,0)),0))+SUMIFS(st_min,st_date,A818,st_eq,B818,st_po,C818,st_type,"Planifié"),"")</f>
        <v/>
      </c>
      <c r="M818" s="55" t="str">
        <f>IF(ISNUMBER(K818),K818-L818,"")</f>
        <v/>
      </c>
      <c r="N818" s="55" t="str">
        <f>IF(ISNUMBER(K818),SUMIFS(st_min,st_date,A818,st_eq,B818,st_po,C818,st_type,"Non planifié"),"")</f>
        <v/>
      </c>
      <c r="O818" s="55" t="str">
        <f>IF(ISNUMBER(K818),M818-N818,"")</f>
        <v/>
      </c>
      <c r="P818" s="55" t="str">
        <f>IF(COUNTA(A818:I818)=0,"",N(G818)+N(H818)+N(I818))</f>
        <v/>
      </c>
      <c r="Q818" s="56" t="str">
        <f>IF(COUNTA(A818:I818)=0,"",IF(N(IFERROR(INDEX(art_rate,MATCH(E818,art_ref,0)),0))&gt;0,N(IFERROR(INDEX(art_rate,MATCH(E818,art_ref,0)),0)),N(IFERROR(INDEX(po_rate,MATCH(C818,po_code,0)),0))))</f>
        <v/>
      </c>
      <c r="R818" s="55" t="str">
        <f>IF(AC818=1,P818*60/Q818,"")</f>
        <v/>
      </c>
      <c r="S818" s="55" t="str">
        <f>IF(AC818=1,N(G818)*60/Q818,"")</f>
        <v/>
      </c>
      <c r="T818" s="57" t="str">
        <f>IF(AC818=1,O818/M818,"")</f>
        <v/>
      </c>
      <c r="U818" s="57" t="str">
        <f>IF(AC818=1,IF(O818&gt;0,R818/O818,""),"")</f>
        <v/>
      </c>
      <c r="V818" s="57" t="str">
        <f>IF(AC818=1,IF(P818&gt;0,N(G818)/P818,""),"")</f>
        <v/>
      </c>
      <c r="W818" s="57" t="str">
        <f>IF(AC818=1,S818/M818,"")</f>
        <v/>
      </c>
      <c r="X818" s="57" t="str">
        <f>IF(AC818=1,S818/K818,"")</f>
        <v/>
      </c>
      <c r="Y818" s="58" t="str">
        <f>IF(W818="","",IF(W818&gt;=p_target,"Bon",IF(W818&gt;=p_alert,"À surveiller","Faible")))</f>
        <v/>
      </c>
      <c r="Z818" s="58" t="str">
        <f>IF(W818="","",IF(MIN(IF(T818="",1,T818),IF(U818="",1,U818),IF(V818="",1,V818))&gt;=1,"Aucune",IF(IF(T818="",1,T818)&lt;=MIN(IF(U818="",1,U818),IF(V818="",1,V818)),"Disponibilité",IF(IF(U818="",1,U818)&lt;=IF(V818="",1,V818),"Performance","Qualité"))))</f>
        <v/>
      </c>
      <c r="AA818" s="59" t="str">
        <f>IF(AC818=1,N(H818)*N(IFERROR(INDEX(art_cost,MATCH(E818,art_ref,0)),0)),"")</f>
        <v/>
      </c>
      <c r="AB818" s="58" t="str">
        <f>IF(COUNTA(A818:I818)=0,"",IF(N(A818)&lt;=0,"Date manquante ou invalide",IF(B818="","Équipe manquante",IF(ISNA(MATCH(B818,eq_code,0)),"Équipe inconnue",IF(INDEX(eq_check,MATCH(B818,eq_code,0))&lt;&gt;"OK","Équipe à corriger dans Paramètres",IF(C818="","Poste manquant",IF(ISNA(MATCH(C818,po_code,0)),"Poste inconnu",IF(AND(E818&lt;&gt;"",ISNA(MATCH(E818,art_ref,0))),"Article inconnu",IF(IF(E818="",FALSE,INDEX(art_check,MATCH(E818,art_ref,0))&lt;&gt;"OK"),"Article à corriger (feuille Articles)",IF(COUNTIFS(sj_date,A818,sj_eq,B818,sj_po,C818)&gt;1,"Ligne en double (même jour, équipe et poste)",IF(OR(NOT(ISNUMBER(K818)),N(K818)&lt;=0,N(K818)&gt;1440),"Temps d'ouverture invalide",IF(OR(AND(G818&lt;&gt;"",NOT(ISNUMBER(G818))),N(G818)&lt;0,N(G818)&lt;&gt;INT(N(G818)),AND(H818&lt;&gt;"",NOT(ISNUMBER(H818))),N(H818)&lt;0,N(H818)&lt;&gt;INT(N(H818)),AND(I818&lt;&gt;"",NOT(ISNUMBER(I818))),N(I818)&lt;0,N(I818)&lt;&gt;INT(N(I818))),"Quantité invalide",IF(Q818&lt;=0,"Cadence manquante (poste ou article)",IF(M818&lt;=0,"Arrêts planifiés supérieurs au temps d'ouverture",IF(O818&lt;0,"Arrêts supérieurs au temps requis",IF(AND(P818&gt;0,O818=0),"Pièces déclarées sans temps de marche",IF(AND(P818=0,O818&gt;0),"Aucune pièce déclarée",IF(P818*60/Q818&gt;O818+0.001,"Cadence dépassée : vérifiez la cadence","OK"))))))))))))))))))</f>
        <v/>
      </c>
      <c r="AC818">
        <f>IF(OR(AB818="OK",AB818="Aucune pièce déclarée",AB818="Cadence dépassée : vérifiez la cadence"),1,0)</f>
        <v>0.0</v>
      </c>
      <c r="AD818">
        <f>IF(AND(AC818=1,A818&gt;=p_from,A818&lt;=p_to),1,0)</f>
        <v>0.0</v>
      </c>
      <c r="AE818">
        <f>IF(AD818=1,IF(COUNTIFS($A$6:A818,A818,$AD$6:AD818,1)=1,1,0),0)</f>
        <v>0.0</v>
      </c>
      <c r="AF818" t="str">
        <f>IF(AE818=1,COUNTIFS(sj_first,1,sj_date,"&lt;"&amp;A818)+1,"")</f>
        <v/>
      </c>
      <c r="AG818" t="str">
        <f>IF(AND(AD818=1,N(W818)&lt;p_alert),ROUND(W818,4),"")</f>
        <v/>
      </c>
      <c r="AH818" t="str">
        <f>IF(AG818="","",COUNTIF(sj_akey,"&lt;"&amp;AG818)+COUNTIF($AG$6:AG818,AG818))</f>
        <v/>
      </c>
    </row>
    <row r="819">
      <c r="A819" s="51" t="n"/>
      <c r="B819" s="52" t="n"/>
      <c r="C819" s="52" t="n"/>
      <c r="D819" s="53" t="n"/>
      <c r="E819" s="53" t="n"/>
      <c r="F819" s="54" t="n"/>
      <c r="G819" s="54" t="n"/>
      <c r="H819" s="54" t="n"/>
      <c r="I819" s="54" t="n"/>
      <c r="J819" s="53" t="n"/>
      <c r="K819" s="55" t="str">
        <f>IF(COUNTA(A819:I819)=0,"",IF(F819="",IFERROR(INDEX(eq_dur,MATCH(B819,eq_code,0)),""),F819))</f>
        <v/>
      </c>
      <c r="L819" s="55" t="str">
        <f>IF(ISNUMBER(K819),N(IFERROR(INDEX(eq_pause,MATCH(B819,eq_code,0)),0))+SUMIFS(st_min,st_date,A819,st_eq,B819,st_po,C819,st_type,"Planifié"),"")</f>
        <v/>
      </c>
      <c r="M819" s="55" t="str">
        <f>IF(ISNUMBER(K819),K819-L819,"")</f>
        <v/>
      </c>
      <c r="N819" s="55" t="str">
        <f>IF(ISNUMBER(K819),SUMIFS(st_min,st_date,A819,st_eq,B819,st_po,C819,st_type,"Non planifié"),"")</f>
        <v/>
      </c>
      <c r="O819" s="55" t="str">
        <f>IF(ISNUMBER(K819),M819-N819,"")</f>
        <v/>
      </c>
      <c r="P819" s="55" t="str">
        <f>IF(COUNTA(A819:I819)=0,"",N(G819)+N(H819)+N(I819))</f>
        <v/>
      </c>
      <c r="Q819" s="56" t="str">
        <f>IF(COUNTA(A819:I819)=0,"",IF(N(IFERROR(INDEX(art_rate,MATCH(E819,art_ref,0)),0))&gt;0,N(IFERROR(INDEX(art_rate,MATCH(E819,art_ref,0)),0)),N(IFERROR(INDEX(po_rate,MATCH(C819,po_code,0)),0))))</f>
        <v/>
      </c>
      <c r="R819" s="55" t="str">
        <f>IF(AC819=1,P819*60/Q819,"")</f>
        <v/>
      </c>
      <c r="S819" s="55" t="str">
        <f>IF(AC819=1,N(G819)*60/Q819,"")</f>
        <v/>
      </c>
      <c r="T819" s="57" t="str">
        <f>IF(AC819=1,O819/M819,"")</f>
        <v/>
      </c>
      <c r="U819" s="57" t="str">
        <f>IF(AC819=1,IF(O819&gt;0,R819/O819,""),"")</f>
        <v/>
      </c>
      <c r="V819" s="57" t="str">
        <f>IF(AC819=1,IF(P819&gt;0,N(G819)/P819,""),"")</f>
        <v/>
      </c>
      <c r="W819" s="57" t="str">
        <f>IF(AC819=1,S819/M819,"")</f>
        <v/>
      </c>
      <c r="X819" s="57" t="str">
        <f>IF(AC819=1,S819/K819,"")</f>
        <v/>
      </c>
      <c r="Y819" s="58" t="str">
        <f>IF(W819="","",IF(W819&gt;=p_target,"Bon",IF(W819&gt;=p_alert,"À surveiller","Faible")))</f>
        <v/>
      </c>
      <c r="Z819" s="58" t="str">
        <f>IF(W819="","",IF(MIN(IF(T819="",1,T819),IF(U819="",1,U819),IF(V819="",1,V819))&gt;=1,"Aucune",IF(IF(T819="",1,T819)&lt;=MIN(IF(U819="",1,U819),IF(V819="",1,V819)),"Disponibilité",IF(IF(U819="",1,U819)&lt;=IF(V819="",1,V819),"Performance","Qualité"))))</f>
        <v/>
      </c>
      <c r="AA819" s="59" t="str">
        <f>IF(AC819=1,N(H819)*N(IFERROR(INDEX(art_cost,MATCH(E819,art_ref,0)),0)),"")</f>
        <v/>
      </c>
      <c r="AB819" s="58" t="str">
        <f>IF(COUNTA(A819:I819)=0,"",IF(N(A819)&lt;=0,"Date manquante ou invalide",IF(B819="","Équipe manquante",IF(ISNA(MATCH(B819,eq_code,0)),"Équipe inconnue",IF(INDEX(eq_check,MATCH(B819,eq_code,0))&lt;&gt;"OK","Équipe à corriger dans Paramètres",IF(C819="","Poste manquant",IF(ISNA(MATCH(C819,po_code,0)),"Poste inconnu",IF(AND(E819&lt;&gt;"",ISNA(MATCH(E819,art_ref,0))),"Article inconnu",IF(IF(E819="",FALSE,INDEX(art_check,MATCH(E819,art_ref,0))&lt;&gt;"OK"),"Article à corriger (feuille Articles)",IF(COUNTIFS(sj_date,A819,sj_eq,B819,sj_po,C819)&gt;1,"Ligne en double (même jour, équipe et poste)",IF(OR(NOT(ISNUMBER(K819)),N(K819)&lt;=0,N(K819)&gt;1440),"Temps d'ouverture invalide",IF(OR(AND(G819&lt;&gt;"",NOT(ISNUMBER(G819))),N(G819)&lt;0,N(G819)&lt;&gt;INT(N(G819)),AND(H819&lt;&gt;"",NOT(ISNUMBER(H819))),N(H819)&lt;0,N(H819)&lt;&gt;INT(N(H819)),AND(I819&lt;&gt;"",NOT(ISNUMBER(I819))),N(I819)&lt;0,N(I819)&lt;&gt;INT(N(I819))),"Quantité invalide",IF(Q819&lt;=0,"Cadence manquante (poste ou article)",IF(M819&lt;=0,"Arrêts planifiés supérieurs au temps d'ouverture",IF(O819&lt;0,"Arrêts supérieurs au temps requis",IF(AND(P819&gt;0,O819=0),"Pièces déclarées sans temps de marche",IF(AND(P819=0,O819&gt;0),"Aucune pièce déclarée",IF(P819*60/Q819&gt;O819+0.001,"Cadence dépassée : vérifiez la cadence","OK"))))))))))))))))))</f>
        <v/>
      </c>
      <c r="AC819">
        <f>IF(OR(AB819="OK",AB819="Aucune pièce déclarée",AB819="Cadence dépassée : vérifiez la cadence"),1,0)</f>
        <v>0.0</v>
      </c>
      <c r="AD819">
        <f>IF(AND(AC819=1,A819&gt;=p_from,A819&lt;=p_to),1,0)</f>
        <v>0.0</v>
      </c>
      <c r="AE819">
        <f>IF(AD819=1,IF(COUNTIFS($A$6:A819,A819,$AD$6:AD819,1)=1,1,0),0)</f>
        <v>0.0</v>
      </c>
      <c r="AF819" t="str">
        <f>IF(AE819=1,COUNTIFS(sj_first,1,sj_date,"&lt;"&amp;A819)+1,"")</f>
        <v/>
      </c>
      <c r="AG819" t="str">
        <f>IF(AND(AD819=1,N(W819)&lt;p_alert),ROUND(W819,4),"")</f>
        <v/>
      </c>
      <c r="AH819" t="str">
        <f>IF(AG819="","",COUNTIF(sj_akey,"&lt;"&amp;AG819)+COUNTIF($AG$6:AG819,AG819))</f>
        <v/>
      </c>
    </row>
    <row r="820">
      <c r="A820" s="51" t="n"/>
      <c r="B820" s="52" t="n"/>
      <c r="C820" s="52" t="n"/>
      <c r="D820" s="53" t="n"/>
      <c r="E820" s="53" t="n"/>
      <c r="F820" s="54" t="n"/>
      <c r="G820" s="54" t="n"/>
      <c r="H820" s="54" t="n"/>
      <c r="I820" s="54" t="n"/>
      <c r="J820" s="53" t="n"/>
      <c r="K820" s="55" t="str">
        <f>IF(COUNTA(A820:I820)=0,"",IF(F820="",IFERROR(INDEX(eq_dur,MATCH(B820,eq_code,0)),""),F820))</f>
        <v/>
      </c>
      <c r="L820" s="55" t="str">
        <f>IF(ISNUMBER(K820),N(IFERROR(INDEX(eq_pause,MATCH(B820,eq_code,0)),0))+SUMIFS(st_min,st_date,A820,st_eq,B820,st_po,C820,st_type,"Planifié"),"")</f>
        <v/>
      </c>
      <c r="M820" s="55" t="str">
        <f>IF(ISNUMBER(K820),K820-L820,"")</f>
        <v/>
      </c>
      <c r="N820" s="55" t="str">
        <f>IF(ISNUMBER(K820),SUMIFS(st_min,st_date,A820,st_eq,B820,st_po,C820,st_type,"Non planifié"),"")</f>
        <v/>
      </c>
      <c r="O820" s="55" t="str">
        <f>IF(ISNUMBER(K820),M820-N820,"")</f>
        <v/>
      </c>
      <c r="P820" s="55" t="str">
        <f>IF(COUNTA(A820:I820)=0,"",N(G820)+N(H820)+N(I820))</f>
        <v/>
      </c>
      <c r="Q820" s="56" t="str">
        <f>IF(COUNTA(A820:I820)=0,"",IF(N(IFERROR(INDEX(art_rate,MATCH(E820,art_ref,0)),0))&gt;0,N(IFERROR(INDEX(art_rate,MATCH(E820,art_ref,0)),0)),N(IFERROR(INDEX(po_rate,MATCH(C820,po_code,0)),0))))</f>
        <v/>
      </c>
      <c r="R820" s="55" t="str">
        <f>IF(AC820=1,P820*60/Q820,"")</f>
        <v/>
      </c>
      <c r="S820" s="55" t="str">
        <f>IF(AC820=1,N(G820)*60/Q820,"")</f>
        <v/>
      </c>
      <c r="T820" s="57" t="str">
        <f>IF(AC820=1,O820/M820,"")</f>
        <v/>
      </c>
      <c r="U820" s="57" t="str">
        <f>IF(AC820=1,IF(O820&gt;0,R820/O820,""),"")</f>
        <v/>
      </c>
      <c r="V820" s="57" t="str">
        <f>IF(AC820=1,IF(P820&gt;0,N(G820)/P820,""),"")</f>
        <v/>
      </c>
      <c r="W820" s="57" t="str">
        <f>IF(AC820=1,S820/M820,"")</f>
        <v/>
      </c>
      <c r="X820" s="57" t="str">
        <f>IF(AC820=1,S820/K820,"")</f>
        <v/>
      </c>
      <c r="Y820" s="58" t="str">
        <f>IF(W820="","",IF(W820&gt;=p_target,"Bon",IF(W820&gt;=p_alert,"À surveiller","Faible")))</f>
        <v/>
      </c>
      <c r="Z820" s="58" t="str">
        <f>IF(W820="","",IF(MIN(IF(T820="",1,T820),IF(U820="",1,U820),IF(V820="",1,V820))&gt;=1,"Aucune",IF(IF(T820="",1,T820)&lt;=MIN(IF(U820="",1,U820),IF(V820="",1,V820)),"Disponibilité",IF(IF(U820="",1,U820)&lt;=IF(V820="",1,V820),"Performance","Qualité"))))</f>
        <v/>
      </c>
      <c r="AA820" s="59" t="str">
        <f>IF(AC820=1,N(H820)*N(IFERROR(INDEX(art_cost,MATCH(E820,art_ref,0)),0)),"")</f>
        <v/>
      </c>
      <c r="AB820" s="58" t="str">
        <f>IF(COUNTA(A820:I820)=0,"",IF(N(A820)&lt;=0,"Date manquante ou invalide",IF(B820="","Équipe manquante",IF(ISNA(MATCH(B820,eq_code,0)),"Équipe inconnue",IF(INDEX(eq_check,MATCH(B820,eq_code,0))&lt;&gt;"OK","Équipe à corriger dans Paramètres",IF(C820="","Poste manquant",IF(ISNA(MATCH(C820,po_code,0)),"Poste inconnu",IF(AND(E820&lt;&gt;"",ISNA(MATCH(E820,art_ref,0))),"Article inconnu",IF(IF(E820="",FALSE,INDEX(art_check,MATCH(E820,art_ref,0))&lt;&gt;"OK"),"Article à corriger (feuille Articles)",IF(COUNTIFS(sj_date,A820,sj_eq,B820,sj_po,C820)&gt;1,"Ligne en double (même jour, équipe et poste)",IF(OR(NOT(ISNUMBER(K820)),N(K820)&lt;=0,N(K820)&gt;1440),"Temps d'ouverture invalide",IF(OR(AND(G820&lt;&gt;"",NOT(ISNUMBER(G820))),N(G820)&lt;0,N(G820)&lt;&gt;INT(N(G820)),AND(H820&lt;&gt;"",NOT(ISNUMBER(H820))),N(H820)&lt;0,N(H820)&lt;&gt;INT(N(H820)),AND(I820&lt;&gt;"",NOT(ISNUMBER(I820))),N(I820)&lt;0,N(I820)&lt;&gt;INT(N(I820))),"Quantité invalide",IF(Q820&lt;=0,"Cadence manquante (poste ou article)",IF(M820&lt;=0,"Arrêts planifiés supérieurs au temps d'ouverture",IF(O820&lt;0,"Arrêts supérieurs au temps requis",IF(AND(P820&gt;0,O820=0),"Pièces déclarées sans temps de marche",IF(AND(P820=0,O820&gt;0),"Aucune pièce déclarée",IF(P820*60/Q820&gt;O820+0.001,"Cadence dépassée : vérifiez la cadence","OK"))))))))))))))))))</f>
        <v/>
      </c>
      <c r="AC820">
        <f>IF(OR(AB820="OK",AB820="Aucune pièce déclarée",AB820="Cadence dépassée : vérifiez la cadence"),1,0)</f>
        <v>0.0</v>
      </c>
      <c r="AD820">
        <f>IF(AND(AC820=1,A820&gt;=p_from,A820&lt;=p_to),1,0)</f>
        <v>0.0</v>
      </c>
      <c r="AE820">
        <f>IF(AD820=1,IF(COUNTIFS($A$6:A820,A820,$AD$6:AD820,1)=1,1,0),0)</f>
        <v>0.0</v>
      </c>
      <c r="AF820" t="str">
        <f>IF(AE820=1,COUNTIFS(sj_first,1,sj_date,"&lt;"&amp;A820)+1,"")</f>
        <v/>
      </c>
      <c r="AG820" t="str">
        <f>IF(AND(AD820=1,N(W820)&lt;p_alert),ROUND(W820,4),"")</f>
        <v/>
      </c>
      <c r="AH820" t="str">
        <f>IF(AG820="","",COUNTIF(sj_akey,"&lt;"&amp;AG820)+COUNTIF($AG$6:AG820,AG820))</f>
        <v/>
      </c>
    </row>
    <row r="821">
      <c r="A821" s="51" t="n"/>
      <c r="B821" s="52" t="n"/>
      <c r="C821" s="52" t="n"/>
      <c r="D821" s="53" t="n"/>
      <c r="E821" s="53" t="n"/>
      <c r="F821" s="54" t="n"/>
      <c r="G821" s="54" t="n"/>
      <c r="H821" s="54" t="n"/>
      <c r="I821" s="54" t="n"/>
      <c r="J821" s="53" t="n"/>
      <c r="K821" s="55" t="str">
        <f>IF(COUNTA(A821:I821)=0,"",IF(F821="",IFERROR(INDEX(eq_dur,MATCH(B821,eq_code,0)),""),F821))</f>
        <v/>
      </c>
      <c r="L821" s="55" t="str">
        <f>IF(ISNUMBER(K821),N(IFERROR(INDEX(eq_pause,MATCH(B821,eq_code,0)),0))+SUMIFS(st_min,st_date,A821,st_eq,B821,st_po,C821,st_type,"Planifié"),"")</f>
        <v/>
      </c>
      <c r="M821" s="55" t="str">
        <f>IF(ISNUMBER(K821),K821-L821,"")</f>
        <v/>
      </c>
      <c r="N821" s="55" t="str">
        <f>IF(ISNUMBER(K821),SUMIFS(st_min,st_date,A821,st_eq,B821,st_po,C821,st_type,"Non planifié"),"")</f>
        <v/>
      </c>
      <c r="O821" s="55" t="str">
        <f>IF(ISNUMBER(K821),M821-N821,"")</f>
        <v/>
      </c>
      <c r="P821" s="55" t="str">
        <f>IF(COUNTA(A821:I821)=0,"",N(G821)+N(H821)+N(I821))</f>
        <v/>
      </c>
      <c r="Q821" s="56" t="str">
        <f>IF(COUNTA(A821:I821)=0,"",IF(N(IFERROR(INDEX(art_rate,MATCH(E821,art_ref,0)),0))&gt;0,N(IFERROR(INDEX(art_rate,MATCH(E821,art_ref,0)),0)),N(IFERROR(INDEX(po_rate,MATCH(C821,po_code,0)),0))))</f>
        <v/>
      </c>
      <c r="R821" s="55" t="str">
        <f>IF(AC821=1,P821*60/Q821,"")</f>
        <v/>
      </c>
      <c r="S821" s="55" t="str">
        <f>IF(AC821=1,N(G821)*60/Q821,"")</f>
        <v/>
      </c>
      <c r="T821" s="57" t="str">
        <f>IF(AC821=1,O821/M821,"")</f>
        <v/>
      </c>
      <c r="U821" s="57" t="str">
        <f>IF(AC821=1,IF(O821&gt;0,R821/O821,""),"")</f>
        <v/>
      </c>
      <c r="V821" s="57" t="str">
        <f>IF(AC821=1,IF(P821&gt;0,N(G821)/P821,""),"")</f>
        <v/>
      </c>
      <c r="W821" s="57" t="str">
        <f>IF(AC821=1,S821/M821,"")</f>
        <v/>
      </c>
      <c r="X821" s="57" t="str">
        <f>IF(AC821=1,S821/K821,"")</f>
        <v/>
      </c>
      <c r="Y821" s="58" t="str">
        <f>IF(W821="","",IF(W821&gt;=p_target,"Bon",IF(W821&gt;=p_alert,"À surveiller","Faible")))</f>
        <v/>
      </c>
      <c r="Z821" s="58" t="str">
        <f>IF(W821="","",IF(MIN(IF(T821="",1,T821),IF(U821="",1,U821),IF(V821="",1,V821))&gt;=1,"Aucune",IF(IF(T821="",1,T821)&lt;=MIN(IF(U821="",1,U821),IF(V821="",1,V821)),"Disponibilité",IF(IF(U821="",1,U821)&lt;=IF(V821="",1,V821),"Performance","Qualité"))))</f>
        <v/>
      </c>
      <c r="AA821" s="59" t="str">
        <f>IF(AC821=1,N(H821)*N(IFERROR(INDEX(art_cost,MATCH(E821,art_ref,0)),0)),"")</f>
        <v/>
      </c>
      <c r="AB821" s="58" t="str">
        <f>IF(COUNTA(A821:I821)=0,"",IF(N(A821)&lt;=0,"Date manquante ou invalide",IF(B821="","Équipe manquante",IF(ISNA(MATCH(B821,eq_code,0)),"Équipe inconnue",IF(INDEX(eq_check,MATCH(B821,eq_code,0))&lt;&gt;"OK","Équipe à corriger dans Paramètres",IF(C821="","Poste manquant",IF(ISNA(MATCH(C821,po_code,0)),"Poste inconnu",IF(AND(E821&lt;&gt;"",ISNA(MATCH(E821,art_ref,0))),"Article inconnu",IF(IF(E821="",FALSE,INDEX(art_check,MATCH(E821,art_ref,0))&lt;&gt;"OK"),"Article à corriger (feuille Articles)",IF(COUNTIFS(sj_date,A821,sj_eq,B821,sj_po,C821)&gt;1,"Ligne en double (même jour, équipe et poste)",IF(OR(NOT(ISNUMBER(K821)),N(K821)&lt;=0,N(K821)&gt;1440),"Temps d'ouverture invalide",IF(OR(AND(G821&lt;&gt;"",NOT(ISNUMBER(G821))),N(G821)&lt;0,N(G821)&lt;&gt;INT(N(G821)),AND(H821&lt;&gt;"",NOT(ISNUMBER(H821))),N(H821)&lt;0,N(H821)&lt;&gt;INT(N(H821)),AND(I821&lt;&gt;"",NOT(ISNUMBER(I821))),N(I821)&lt;0,N(I821)&lt;&gt;INT(N(I821))),"Quantité invalide",IF(Q821&lt;=0,"Cadence manquante (poste ou article)",IF(M821&lt;=0,"Arrêts planifiés supérieurs au temps d'ouverture",IF(O821&lt;0,"Arrêts supérieurs au temps requis",IF(AND(P821&gt;0,O821=0),"Pièces déclarées sans temps de marche",IF(AND(P821=0,O821&gt;0),"Aucune pièce déclarée",IF(P821*60/Q821&gt;O821+0.001,"Cadence dépassée : vérifiez la cadence","OK"))))))))))))))))))</f>
        <v/>
      </c>
      <c r="AC821">
        <f>IF(OR(AB821="OK",AB821="Aucune pièce déclarée",AB821="Cadence dépassée : vérifiez la cadence"),1,0)</f>
        <v>0.0</v>
      </c>
      <c r="AD821">
        <f>IF(AND(AC821=1,A821&gt;=p_from,A821&lt;=p_to),1,0)</f>
        <v>0.0</v>
      </c>
      <c r="AE821">
        <f>IF(AD821=1,IF(COUNTIFS($A$6:A821,A821,$AD$6:AD821,1)=1,1,0),0)</f>
        <v>0.0</v>
      </c>
      <c r="AF821" t="str">
        <f>IF(AE821=1,COUNTIFS(sj_first,1,sj_date,"&lt;"&amp;A821)+1,"")</f>
        <v/>
      </c>
      <c r="AG821" t="str">
        <f>IF(AND(AD821=1,N(W821)&lt;p_alert),ROUND(W821,4),"")</f>
        <v/>
      </c>
      <c r="AH821" t="str">
        <f>IF(AG821="","",COUNTIF(sj_akey,"&lt;"&amp;AG821)+COUNTIF($AG$6:AG821,AG821))</f>
        <v/>
      </c>
    </row>
    <row r="822">
      <c r="A822" s="51" t="n"/>
      <c r="B822" s="52" t="n"/>
      <c r="C822" s="52" t="n"/>
      <c r="D822" s="53" t="n"/>
      <c r="E822" s="53" t="n"/>
      <c r="F822" s="54" t="n"/>
      <c r="G822" s="54" t="n"/>
      <c r="H822" s="54" t="n"/>
      <c r="I822" s="54" t="n"/>
      <c r="J822" s="53" t="n"/>
      <c r="K822" s="55" t="str">
        <f>IF(COUNTA(A822:I822)=0,"",IF(F822="",IFERROR(INDEX(eq_dur,MATCH(B822,eq_code,0)),""),F822))</f>
        <v/>
      </c>
      <c r="L822" s="55" t="str">
        <f>IF(ISNUMBER(K822),N(IFERROR(INDEX(eq_pause,MATCH(B822,eq_code,0)),0))+SUMIFS(st_min,st_date,A822,st_eq,B822,st_po,C822,st_type,"Planifié"),"")</f>
        <v/>
      </c>
      <c r="M822" s="55" t="str">
        <f>IF(ISNUMBER(K822),K822-L822,"")</f>
        <v/>
      </c>
      <c r="N822" s="55" t="str">
        <f>IF(ISNUMBER(K822),SUMIFS(st_min,st_date,A822,st_eq,B822,st_po,C822,st_type,"Non planifié"),"")</f>
        <v/>
      </c>
      <c r="O822" s="55" t="str">
        <f>IF(ISNUMBER(K822),M822-N822,"")</f>
        <v/>
      </c>
      <c r="P822" s="55" t="str">
        <f>IF(COUNTA(A822:I822)=0,"",N(G822)+N(H822)+N(I822))</f>
        <v/>
      </c>
      <c r="Q822" s="56" t="str">
        <f>IF(COUNTA(A822:I822)=0,"",IF(N(IFERROR(INDEX(art_rate,MATCH(E822,art_ref,0)),0))&gt;0,N(IFERROR(INDEX(art_rate,MATCH(E822,art_ref,0)),0)),N(IFERROR(INDEX(po_rate,MATCH(C822,po_code,0)),0))))</f>
        <v/>
      </c>
      <c r="R822" s="55" t="str">
        <f>IF(AC822=1,P822*60/Q822,"")</f>
        <v/>
      </c>
      <c r="S822" s="55" t="str">
        <f>IF(AC822=1,N(G822)*60/Q822,"")</f>
        <v/>
      </c>
      <c r="T822" s="57" t="str">
        <f>IF(AC822=1,O822/M822,"")</f>
        <v/>
      </c>
      <c r="U822" s="57" t="str">
        <f>IF(AC822=1,IF(O822&gt;0,R822/O822,""),"")</f>
        <v/>
      </c>
      <c r="V822" s="57" t="str">
        <f>IF(AC822=1,IF(P822&gt;0,N(G822)/P822,""),"")</f>
        <v/>
      </c>
      <c r="W822" s="57" t="str">
        <f>IF(AC822=1,S822/M822,"")</f>
        <v/>
      </c>
      <c r="X822" s="57" t="str">
        <f>IF(AC822=1,S822/K822,"")</f>
        <v/>
      </c>
      <c r="Y822" s="58" t="str">
        <f>IF(W822="","",IF(W822&gt;=p_target,"Bon",IF(W822&gt;=p_alert,"À surveiller","Faible")))</f>
        <v/>
      </c>
      <c r="Z822" s="58" t="str">
        <f>IF(W822="","",IF(MIN(IF(T822="",1,T822),IF(U822="",1,U822),IF(V822="",1,V822))&gt;=1,"Aucune",IF(IF(T822="",1,T822)&lt;=MIN(IF(U822="",1,U822),IF(V822="",1,V822)),"Disponibilité",IF(IF(U822="",1,U822)&lt;=IF(V822="",1,V822),"Performance","Qualité"))))</f>
        <v/>
      </c>
      <c r="AA822" s="59" t="str">
        <f>IF(AC822=1,N(H822)*N(IFERROR(INDEX(art_cost,MATCH(E822,art_ref,0)),0)),"")</f>
        <v/>
      </c>
      <c r="AB822" s="58" t="str">
        <f>IF(COUNTA(A822:I822)=0,"",IF(N(A822)&lt;=0,"Date manquante ou invalide",IF(B822="","Équipe manquante",IF(ISNA(MATCH(B822,eq_code,0)),"Équipe inconnue",IF(INDEX(eq_check,MATCH(B822,eq_code,0))&lt;&gt;"OK","Équipe à corriger dans Paramètres",IF(C822="","Poste manquant",IF(ISNA(MATCH(C822,po_code,0)),"Poste inconnu",IF(AND(E822&lt;&gt;"",ISNA(MATCH(E822,art_ref,0))),"Article inconnu",IF(IF(E822="",FALSE,INDEX(art_check,MATCH(E822,art_ref,0))&lt;&gt;"OK"),"Article à corriger (feuille Articles)",IF(COUNTIFS(sj_date,A822,sj_eq,B822,sj_po,C822)&gt;1,"Ligne en double (même jour, équipe et poste)",IF(OR(NOT(ISNUMBER(K822)),N(K822)&lt;=0,N(K822)&gt;1440),"Temps d'ouverture invalide",IF(OR(AND(G822&lt;&gt;"",NOT(ISNUMBER(G822))),N(G822)&lt;0,N(G822)&lt;&gt;INT(N(G822)),AND(H822&lt;&gt;"",NOT(ISNUMBER(H822))),N(H822)&lt;0,N(H822)&lt;&gt;INT(N(H822)),AND(I822&lt;&gt;"",NOT(ISNUMBER(I822))),N(I822)&lt;0,N(I822)&lt;&gt;INT(N(I822))),"Quantité invalide",IF(Q822&lt;=0,"Cadence manquante (poste ou article)",IF(M822&lt;=0,"Arrêts planifiés supérieurs au temps d'ouverture",IF(O822&lt;0,"Arrêts supérieurs au temps requis",IF(AND(P822&gt;0,O822=0),"Pièces déclarées sans temps de marche",IF(AND(P822=0,O822&gt;0),"Aucune pièce déclarée",IF(P822*60/Q822&gt;O822+0.001,"Cadence dépassée : vérifiez la cadence","OK"))))))))))))))))))</f>
        <v/>
      </c>
      <c r="AC822">
        <f>IF(OR(AB822="OK",AB822="Aucune pièce déclarée",AB822="Cadence dépassée : vérifiez la cadence"),1,0)</f>
        <v>0.0</v>
      </c>
      <c r="AD822">
        <f>IF(AND(AC822=1,A822&gt;=p_from,A822&lt;=p_to),1,0)</f>
        <v>0.0</v>
      </c>
      <c r="AE822">
        <f>IF(AD822=1,IF(COUNTIFS($A$6:A822,A822,$AD$6:AD822,1)=1,1,0),0)</f>
        <v>0.0</v>
      </c>
      <c r="AF822" t="str">
        <f>IF(AE822=1,COUNTIFS(sj_first,1,sj_date,"&lt;"&amp;A822)+1,"")</f>
        <v/>
      </c>
      <c r="AG822" t="str">
        <f>IF(AND(AD822=1,N(W822)&lt;p_alert),ROUND(W822,4),"")</f>
        <v/>
      </c>
      <c r="AH822" t="str">
        <f>IF(AG822="","",COUNTIF(sj_akey,"&lt;"&amp;AG822)+COUNTIF($AG$6:AG822,AG822))</f>
        <v/>
      </c>
    </row>
    <row r="823">
      <c r="A823" s="51" t="n"/>
      <c r="B823" s="52" t="n"/>
      <c r="C823" s="52" t="n"/>
      <c r="D823" s="53" t="n"/>
      <c r="E823" s="53" t="n"/>
      <c r="F823" s="54" t="n"/>
      <c r="G823" s="54" t="n"/>
      <c r="H823" s="54" t="n"/>
      <c r="I823" s="54" t="n"/>
      <c r="J823" s="53" t="n"/>
      <c r="K823" s="55" t="str">
        <f>IF(COUNTA(A823:I823)=0,"",IF(F823="",IFERROR(INDEX(eq_dur,MATCH(B823,eq_code,0)),""),F823))</f>
        <v/>
      </c>
      <c r="L823" s="55" t="str">
        <f>IF(ISNUMBER(K823),N(IFERROR(INDEX(eq_pause,MATCH(B823,eq_code,0)),0))+SUMIFS(st_min,st_date,A823,st_eq,B823,st_po,C823,st_type,"Planifié"),"")</f>
        <v/>
      </c>
      <c r="M823" s="55" t="str">
        <f>IF(ISNUMBER(K823),K823-L823,"")</f>
        <v/>
      </c>
      <c r="N823" s="55" t="str">
        <f>IF(ISNUMBER(K823),SUMIFS(st_min,st_date,A823,st_eq,B823,st_po,C823,st_type,"Non planifié"),"")</f>
        <v/>
      </c>
      <c r="O823" s="55" t="str">
        <f>IF(ISNUMBER(K823),M823-N823,"")</f>
        <v/>
      </c>
      <c r="P823" s="55" t="str">
        <f>IF(COUNTA(A823:I823)=0,"",N(G823)+N(H823)+N(I823))</f>
        <v/>
      </c>
      <c r="Q823" s="56" t="str">
        <f>IF(COUNTA(A823:I823)=0,"",IF(N(IFERROR(INDEX(art_rate,MATCH(E823,art_ref,0)),0))&gt;0,N(IFERROR(INDEX(art_rate,MATCH(E823,art_ref,0)),0)),N(IFERROR(INDEX(po_rate,MATCH(C823,po_code,0)),0))))</f>
        <v/>
      </c>
      <c r="R823" s="55" t="str">
        <f>IF(AC823=1,P823*60/Q823,"")</f>
        <v/>
      </c>
      <c r="S823" s="55" t="str">
        <f>IF(AC823=1,N(G823)*60/Q823,"")</f>
        <v/>
      </c>
      <c r="T823" s="57" t="str">
        <f>IF(AC823=1,O823/M823,"")</f>
        <v/>
      </c>
      <c r="U823" s="57" t="str">
        <f>IF(AC823=1,IF(O823&gt;0,R823/O823,""),"")</f>
        <v/>
      </c>
      <c r="V823" s="57" t="str">
        <f>IF(AC823=1,IF(P823&gt;0,N(G823)/P823,""),"")</f>
        <v/>
      </c>
      <c r="W823" s="57" t="str">
        <f>IF(AC823=1,S823/M823,"")</f>
        <v/>
      </c>
      <c r="X823" s="57" t="str">
        <f>IF(AC823=1,S823/K823,"")</f>
        <v/>
      </c>
      <c r="Y823" s="58" t="str">
        <f>IF(W823="","",IF(W823&gt;=p_target,"Bon",IF(W823&gt;=p_alert,"À surveiller","Faible")))</f>
        <v/>
      </c>
      <c r="Z823" s="58" t="str">
        <f>IF(W823="","",IF(MIN(IF(T823="",1,T823),IF(U823="",1,U823),IF(V823="",1,V823))&gt;=1,"Aucune",IF(IF(T823="",1,T823)&lt;=MIN(IF(U823="",1,U823),IF(V823="",1,V823)),"Disponibilité",IF(IF(U823="",1,U823)&lt;=IF(V823="",1,V823),"Performance","Qualité"))))</f>
        <v/>
      </c>
      <c r="AA823" s="59" t="str">
        <f>IF(AC823=1,N(H823)*N(IFERROR(INDEX(art_cost,MATCH(E823,art_ref,0)),0)),"")</f>
        <v/>
      </c>
      <c r="AB823" s="58" t="str">
        <f>IF(COUNTA(A823:I823)=0,"",IF(N(A823)&lt;=0,"Date manquante ou invalide",IF(B823="","Équipe manquante",IF(ISNA(MATCH(B823,eq_code,0)),"Équipe inconnue",IF(INDEX(eq_check,MATCH(B823,eq_code,0))&lt;&gt;"OK","Équipe à corriger dans Paramètres",IF(C823="","Poste manquant",IF(ISNA(MATCH(C823,po_code,0)),"Poste inconnu",IF(AND(E823&lt;&gt;"",ISNA(MATCH(E823,art_ref,0))),"Article inconnu",IF(IF(E823="",FALSE,INDEX(art_check,MATCH(E823,art_ref,0))&lt;&gt;"OK"),"Article à corriger (feuille Articles)",IF(COUNTIFS(sj_date,A823,sj_eq,B823,sj_po,C823)&gt;1,"Ligne en double (même jour, équipe et poste)",IF(OR(NOT(ISNUMBER(K823)),N(K823)&lt;=0,N(K823)&gt;1440),"Temps d'ouverture invalide",IF(OR(AND(G823&lt;&gt;"",NOT(ISNUMBER(G823))),N(G823)&lt;0,N(G823)&lt;&gt;INT(N(G823)),AND(H823&lt;&gt;"",NOT(ISNUMBER(H823))),N(H823)&lt;0,N(H823)&lt;&gt;INT(N(H823)),AND(I823&lt;&gt;"",NOT(ISNUMBER(I823))),N(I823)&lt;0,N(I823)&lt;&gt;INT(N(I823))),"Quantité invalide",IF(Q823&lt;=0,"Cadence manquante (poste ou article)",IF(M823&lt;=0,"Arrêts planifiés supérieurs au temps d'ouverture",IF(O823&lt;0,"Arrêts supérieurs au temps requis",IF(AND(P823&gt;0,O823=0),"Pièces déclarées sans temps de marche",IF(AND(P823=0,O823&gt;0),"Aucune pièce déclarée",IF(P823*60/Q823&gt;O823+0.001,"Cadence dépassée : vérifiez la cadence","OK"))))))))))))))))))</f>
        <v/>
      </c>
      <c r="AC823">
        <f>IF(OR(AB823="OK",AB823="Aucune pièce déclarée",AB823="Cadence dépassée : vérifiez la cadence"),1,0)</f>
        <v>0.0</v>
      </c>
      <c r="AD823">
        <f>IF(AND(AC823=1,A823&gt;=p_from,A823&lt;=p_to),1,0)</f>
        <v>0.0</v>
      </c>
      <c r="AE823">
        <f>IF(AD823=1,IF(COUNTIFS($A$6:A823,A823,$AD$6:AD823,1)=1,1,0),0)</f>
        <v>0.0</v>
      </c>
      <c r="AF823" t="str">
        <f>IF(AE823=1,COUNTIFS(sj_first,1,sj_date,"&lt;"&amp;A823)+1,"")</f>
        <v/>
      </c>
      <c r="AG823" t="str">
        <f>IF(AND(AD823=1,N(W823)&lt;p_alert),ROUND(W823,4),"")</f>
        <v/>
      </c>
      <c r="AH823" t="str">
        <f>IF(AG823="","",COUNTIF(sj_akey,"&lt;"&amp;AG823)+COUNTIF($AG$6:AG823,AG823))</f>
        <v/>
      </c>
    </row>
    <row r="824">
      <c r="A824" s="51" t="n"/>
      <c r="B824" s="52" t="n"/>
      <c r="C824" s="52" t="n"/>
      <c r="D824" s="53" t="n"/>
      <c r="E824" s="53" t="n"/>
      <c r="F824" s="54" t="n"/>
      <c r="G824" s="54" t="n"/>
      <c r="H824" s="54" t="n"/>
      <c r="I824" s="54" t="n"/>
      <c r="J824" s="53" t="n"/>
      <c r="K824" s="55" t="str">
        <f>IF(COUNTA(A824:I824)=0,"",IF(F824="",IFERROR(INDEX(eq_dur,MATCH(B824,eq_code,0)),""),F824))</f>
        <v/>
      </c>
      <c r="L824" s="55" t="str">
        <f>IF(ISNUMBER(K824),N(IFERROR(INDEX(eq_pause,MATCH(B824,eq_code,0)),0))+SUMIFS(st_min,st_date,A824,st_eq,B824,st_po,C824,st_type,"Planifié"),"")</f>
        <v/>
      </c>
      <c r="M824" s="55" t="str">
        <f>IF(ISNUMBER(K824),K824-L824,"")</f>
        <v/>
      </c>
      <c r="N824" s="55" t="str">
        <f>IF(ISNUMBER(K824),SUMIFS(st_min,st_date,A824,st_eq,B824,st_po,C824,st_type,"Non planifié"),"")</f>
        <v/>
      </c>
      <c r="O824" s="55" t="str">
        <f>IF(ISNUMBER(K824),M824-N824,"")</f>
        <v/>
      </c>
      <c r="P824" s="55" t="str">
        <f>IF(COUNTA(A824:I824)=0,"",N(G824)+N(H824)+N(I824))</f>
        <v/>
      </c>
      <c r="Q824" s="56" t="str">
        <f>IF(COUNTA(A824:I824)=0,"",IF(N(IFERROR(INDEX(art_rate,MATCH(E824,art_ref,0)),0))&gt;0,N(IFERROR(INDEX(art_rate,MATCH(E824,art_ref,0)),0)),N(IFERROR(INDEX(po_rate,MATCH(C824,po_code,0)),0))))</f>
        <v/>
      </c>
      <c r="R824" s="55" t="str">
        <f>IF(AC824=1,P824*60/Q824,"")</f>
        <v/>
      </c>
      <c r="S824" s="55" t="str">
        <f>IF(AC824=1,N(G824)*60/Q824,"")</f>
        <v/>
      </c>
      <c r="T824" s="57" t="str">
        <f>IF(AC824=1,O824/M824,"")</f>
        <v/>
      </c>
      <c r="U824" s="57" t="str">
        <f>IF(AC824=1,IF(O824&gt;0,R824/O824,""),"")</f>
        <v/>
      </c>
      <c r="V824" s="57" t="str">
        <f>IF(AC824=1,IF(P824&gt;0,N(G824)/P824,""),"")</f>
        <v/>
      </c>
      <c r="W824" s="57" t="str">
        <f>IF(AC824=1,S824/M824,"")</f>
        <v/>
      </c>
      <c r="X824" s="57" t="str">
        <f>IF(AC824=1,S824/K824,"")</f>
        <v/>
      </c>
      <c r="Y824" s="58" t="str">
        <f>IF(W824="","",IF(W824&gt;=p_target,"Bon",IF(W824&gt;=p_alert,"À surveiller","Faible")))</f>
        <v/>
      </c>
      <c r="Z824" s="58" t="str">
        <f>IF(W824="","",IF(MIN(IF(T824="",1,T824),IF(U824="",1,U824),IF(V824="",1,V824))&gt;=1,"Aucune",IF(IF(T824="",1,T824)&lt;=MIN(IF(U824="",1,U824),IF(V824="",1,V824)),"Disponibilité",IF(IF(U824="",1,U824)&lt;=IF(V824="",1,V824),"Performance","Qualité"))))</f>
        <v/>
      </c>
      <c r="AA824" s="59" t="str">
        <f>IF(AC824=1,N(H824)*N(IFERROR(INDEX(art_cost,MATCH(E824,art_ref,0)),0)),"")</f>
        <v/>
      </c>
      <c r="AB824" s="58" t="str">
        <f>IF(COUNTA(A824:I824)=0,"",IF(N(A824)&lt;=0,"Date manquante ou invalide",IF(B824="","Équipe manquante",IF(ISNA(MATCH(B824,eq_code,0)),"Équipe inconnue",IF(INDEX(eq_check,MATCH(B824,eq_code,0))&lt;&gt;"OK","Équipe à corriger dans Paramètres",IF(C824="","Poste manquant",IF(ISNA(MATCH(C824,po_code,0)),"Poste inconnu",IF(AND(E824&lt;&gt;"",ISNA(MATCH(E824,art_ref,0))),"Article inconnu",IF(IF(E824="",FALSE,INDEX(art_check,MATCH(E824,art_ref,0))&lt;&gt;"OK"),"Article à corriger (feuille Articles)",IF(COUNTIFS(sj_date,A824,sj_eq,B824,sj_po,C824)&gt;1,"Ligne en double (même jour, équipe et poste)",IF(OR(NOT(ISNUMBER(K824)),N(K824)&lt;=0,N(K824)&gt;1440),"Temps d'ouverture invalide",IF(OR(AND(G824&lt;&gt;"",NOT(ISNUMBER(G824))),N(G824)&lt;0,N(G824)&lt;&gt;INT(N(G824)),AND(H824&lt;&gt;"",NOT(ISNUMBER(H824))),N(H824)&lt;0,N(H824)&lt;&gt;INT(N(H824)),AND(I824&lt;&gt;"",NOT(ISNUMBER(I824))),N(I824)&lt;0,N(I824)&lt;&gt;INT(N(I824))),"Quantité invalide",IF(Q824&lt;=0,"Cadence manquante (poste ou article)",IF(M824&lt;=0,"Arrêts planifiés supérieurs au temps d'ouverture",IF(O824&lt;0,"Arrêts supérieurs au temps requis",IF(AND(P824&gt;0,O824=0),"Pièces déclarées sans temps de marche",IF(AND(P824=0,O824&gt;0),"Aucune pièce déclarée",IF(P824*60/Q824&gt;O824+0.001,"Cadence dépassée : vérifiez la cadence","OK"))))))))))))))))))</f>
        <v/>
      </c>
      <c r="AC824">
        <f>IF(OR(AB824="OK",AB824="Aucune pièce déclarée",AB824="Cadence dépassée : vérifiez la cadence"),1,0)</f>
        <v>0.0</v>
      </c>
      <c r="AD824">
        <f>IF(AND(AC824=1,A824&gt;=p_from,A824&lt;=p_to),1,0)</f>
        <v>0.0</v>
      </c>
      <c r="AE824">
        <f>IF(AD824=1,IF(COUNTIFS($A$6:A824,A824,$AD$6:AD824,1)=1,1,0),0)</f>
        <v>0.0</v>
      </c>
      <c r="AF824" t="str">
        <f>IF(AE824=1,COUNTIFS(sj_first,1,sj_date,"&lt;"&amp;A824)+1,"")</f>
        <v/>
      </c>
      <c r="AG824" t="str">
        <f>IF(AND(AD824=1,N(W824)&lt;p_alert),ROUND(W824,4),"")</f>
        <v/>
      </c>
      <c r="AH824" t="str">
        <f>IF(AG824="","",COUNTIF(sj_akey,"&lt;"&amp;AG824)+COUNTIF($AG$6:AG824,AG824))</f>
        <v/>
      </c>
    </row>
    <row r="825">
      <c r="A825" s="51" t="n"/>
      <c r="B825" s="52" t="n"/>
      <c r="C825" s="52" t="n"/>
      <c r="D825" s="53" t="n"/>
      <c r="E825" s="53" t="n"/>
      <c r="F825" s="54" t="n"/>
      <c r="G825" s="54" t="n"/>
      <c r="H825" s="54" t="n"/>
      <c r="I825" s="54" t="n"/>
      <c r="J825" s="53" t="n"/>
      <c r="K825" s="55" t="str">
        <f>IF(COUNTA(A825:I825)=0,"",IF(F825="",IFERROR(INDEX(eq_dur,MATCH(B825,eq_code,0)),""),F825))</f>
        <v/>
      </c>
      <c r="L825" s="55" t="str">
        <f>IF(ISNUMBER(K825),N(IFERROR(INDEX(eq_pause,MATCH(B825,eq_code,0)),0))+SUMIFS(st_min,st_date,A825,st_eq,B825,st_po,C825,st_type,"Planifié"),"")</f>
        <v/>
      </c>
      <c r="M825" s="55" t="str">
        <f>IF(ISNUMBER(K825),K825-L825,"")</f>
        <v/>
      </c>
      <c r="N825" s="55" t="str">
        <f>IF(ISNUMBER(K825),SUMIFS(st_min,st_date,A825,st_eq,B825,st_po,C825,st_type,"Non planifié"),"")</f>
        <v/>
      </c>
      <c r="O825" s="55" t="str">
        <f>IF(ISNUMBER(K825),M825-N825,"")</f>
        <v/>
      </c>
      <c r="P825" s="55" t="str">
        <f>IF(COUNTA(A825:I825)=0,"",N(G825)+N(H825)+N(I825))</f>
        <v/>
      </c>
      <c r="Q825" s="56" t="str">
        <f>IF(COUNTA(A825:I825)=0,"",IF(N(IFERROR(INDEX(art_rate,MATCH(E825,art_ref,0)),0))&gt;0,N(IFERROR(INDEX(art_rate,MATCH(E825,art_ref,0)),0)),N(IFERROR(INDEX(po_rate,MATCH(C825,po_code,0)),0))))</f>
        <v/>
      </c>
      <c r="R825" s="55" t="str">
        <f>IF(AC825=1,P825*60/Q825,"")</f>
        <v/>
      </c>
      <c r="S825" s="55" t="str">
        <f>IF(AC825=1,N(G825)*60/Q825,"")</f>
        <v/>
      </c>
      <c r="T825" s="57" t="str">
        <f>IF(AC825=1,O825/M825,"")</f>
        <v/>
      </c>
      <c r="U825" s="57" t="str">
        <f>IF(AC825=1,IF(O825&gt;0,R825/O825,""),"")</f>
        <v/>
      </c>
      <c r="V825" s="57" t="str">
        <f>IF(AC825=1,IF(P825&gt;0,N(G825)/P825,""),"")</f>
        <v/>
      </c>
      <c r="W825" s="57" t="str">
        <f>IF(AC825=1,S825/M825,"")</f>
        <v/>
      </c>
      <c r="X825" s="57" t="str">
        <f>IF(AC825=1,S825/K825,"")</f>
        <v/>
      </c>
      <c r="Y825" s="58" t="str">
        <f>IF(W825="","",IF(W825&gt;=p_target,"Bon",IF(W825&gt;=p_alert,"À surveiller","Faible")))</f>
        <v/>
      </c>
      <c r="Z825" s="58" t="str">
        <f>IF(W825="","",IF(MIN(IF(T825="",1,T825),IF(U825="",1,U825),IF(V825="",1,V825))&gt;=1,"Aucune",IF(IF(T825="",1,T825)&lt;=MIN(IF(U825="",1,U825),IF(V825="",1,V825)),"Disponibilité",IF(IF(U825="",1,U825)&lt;=IF(V825="",1,V825),"Performance","Qualité"))))</f>
        <v/>
      </c>
      <c r="AA825" s="59" t="str">
        <f>IF(AC825=1,N(H825)*N(IFERROR(INDEX(art_cost,MATCH(E825,art_ref,0)),0)),"")</f>
        <v/>
      </c>
      <c r="AB825" s="58" t="str">
        <f>IF(COUNTA(A825:I825)=0,"",IF(N(A825)&lt;=0,"Date manquante ou invalide",IF(B825="","Équipe manquante",IF(ISNA(MATCH(B825,eq_code,0)),"Équipe inconnue",IF(INDEX(eq_check,MATCH(B825,eq_code,0))&lt;&gt;"OK","Équipe à corriger dans Paramètres",IF(C825="","Poste manquant",IF(ISNA(MATCH(C825,po_code,0)),"Poste inconnu",IF(AND(E825&lt;&gt;"",ISNA(MATCH(E825,art_ref,0))),"Article inconnu",IF(IF(E825="",FALSE,INDEX(art_check,MATCH(E825,art_ref,0))&lt;&gt;"OK"),"Article à corriger (feuille Articles)",IF(COUNTIFS(sj_date,A825,sj_eq,B825,sj_po,C825)&gt;1,"Ligne en double (même jour, équipe et poste)",IF(OR(NOT(ISNUMBER(K825)),N(K825)&lt;=0,N(K825)&gt;1440),"Temps d'ouverture invalide",IF(OR(AND(G825&lt;&gt;"",NOT(ISNUMBER(G825))),N(G825)&lt;0,N(G825)&lt;&gt;INT(N(G825)),AND(H825&lt;&gt;"",NOT(ISNUMBER(H825))),N(H825)&lt;0,N(H825)&lt;&gt;INT(N(H825)),AND(I825&lt;&gt;"",NOT(ISNUMBER(I825))),N(I825)&lt;0,N(I825)&lt;&gt;INT(N(I825))),"Quantité invalide",IF(Q825&lt;=0,"Cadence manquante (poste ou article)",IF(M825&lt;=0,"Arrêts planifiés supérieurs au temps d'ouverture",IF(O825&lt;0,"Arrêts supérieurs au temps requis",IF(AND(P825&gt;0,O825=0),"Pièces déclarées sans temps de marche",IF(AND(P825=0,O825&gt;0),"Aucune pièce déclarée",IF(P825*60/Q825&gt;O825+0.001,"Cadence dépassée : vérifiez la cadence","OK"))))))))))))))))))</f>
        <v/>
      </c>
      <c r="AC825">
        <f>IF(OR(AB825="OK",AB825="Aucune pièce déclarée",AB825="Cadence dépassée : vérifiez la cadence"),1,0)</f>
        <v>0.0</v>
      </c>
      <c r="AD825">
        <f>IF(AND(AC825=1,A825&gt;=p_from,A825&lt;=p_to),1,0)</f>
        <v>0.0</v>
      </c>
      <c r="AE825">
        <f>IF(AD825=1,IF(COUNTIFS($A$6:A825,A825,$AD$6:AD825,1)=1,1,0),0)</f>
        <v>0.0</v>
      </c>
      <c r="AF825" t="str">
        <f>IF(AE825=1,COUNTIFS(sj_first,1,sj_date,"&lt;"&amp;A825)+1,"")</f>
        <v/>
      </c>
      <c r="AG825" t="str">
        <f>IF(AND(AD825=1,N(W825)&lt;p_alert),ROUND(W825,4),"")</f>
        <v/>
      </c>
      <c r="AH825" t="str">
        <f>IF(AG825="","",COUNTIF(sj_akey,"&lt;"&amp;AG825)+COUNTIF($AG$6:AG825,AG825))</f>
        <v/>
      </c>
    </row>
    <row r="826">
      <c r="A826" s="51" t="n"/>
      <c r="B826" s="52" t="n"/>
      <c r="C826" s="52" t="n"/>
      <c r="D826" s="53" t="n"/>
      <c r="E826" s="53" t="n"/>
      <c r="F826" s="54" t="n"/>
      <c r="G826" s="54" t="n"/>
      <c r="H826" s="54" t="n"/>
      <c r="I826" s="54" t="n"/>
      <c r="J826" s="53" t="n"/>
      <c r="K826" s="55" t="str">
        <f>IF(COUNTA(A826:I826)=0,"",IF(F826="",IFERROR(INDEX(eq_dur,MATCH(B826,eq_code,0)),""),F826))</f>
        <v/>
      </c>
      <c r="L826" s="55" t="str">
        <f>IF(ISNUMBER(K826),N(IFERROR(INDEX(eq_pause,MATCH(B826,eq_code,0)),0))+SUMIFS(st_min,st_date,A826,st_eq,B826,st_po,C826,st_type,"Planifié"),"")</f>
        <v/>
      </c>
      <c r="M826" s="55" t="str">
        <f>IF(ISNUMBER(K826),K826-L826,"")</f>
        <v/>
      </c>
      <c r="N826" s="55" t="str">
        <f>IF(ISNUMBER(K826),SUMIFS(st_min,st_date,A826,st_eq,B826,st_po,C826,st_type,"Non planifié"),"")</f>
        <v/>
      </c>
      <c r="O826" s="55" t="str">
        <f>IF(ISNUMBER(K826),M826-N826,"")</f>
        <v/>
      </c>
      <c r="P826" s="55" t="str">
        <f>IF(COUNTA(A826:I826)=0,"",N(G826)+N(H826)+N(I826))</f>
        <v/>
      </c>
      <c r="Q826" s="56" t="str">
        <f>IF(COUNTA(A826:I826)=0,"",IF(N(IFERROR(INDEX(art_rate,MATCH(E826,art_ref,0)),0))&gt;0,N(IFERROR(INDEX(art_rate,MATCH(E826,art_ref,0)),0)),N(IFERROR(INDEX(po_rate,MATCH(C826,po_code,0)),0))))</f>
        <v/>
      </c>
      <c r="R826" s="55" t="str">
        <f>IF(AC826=1,P826*60/Q826,"")</f>
        <v/>
      </c>
      <c r="S826" s="55" t="str">
        <f>IF(AC826=1,N(G826)*60/Q826,"")</f>
        <v/>
      </c>
      <c r="T826" s="57" t="str">
        <f>IF(AC826=1,O826/M826,"")</f>
        <v/>
      </c>
      <c r="U826" s="57" t="str">
        <f>IF(AC826=1,IF(O826&gt;0,R826/O826,""),"")</f>
        <v/>
      </c>
      <c r="V826" s="57" t="str">
        <f>IF(AC826=1,IF(P826&gt;0,N(G826)/P826,""),"")</f>
        <v/>
      </c>
      <c r="W826" s="57" t="str">
        <f>IF(AC826=1,S826/M826,"")</f>
        <v/>
      </c>
      <c r="X826" s="57" t="str">
        <f>IF(AC826=1,S826/K826,"")</f>
        <v/>
      </c>
      <c r="Y826" s="58" t="str">
        <f>IF(W826="","",IF(W826&gt;=p_target,"Bon",IF(W826&gt;=p_alert,"À surveiller","Faible")))</f>
        <v/>
      </c>
      <c r="Z826" s="58" t="str">
        <f>IF(W826="","",IF(MIN(IF(T826="",1,T826),IF(U826="",1,U826),IF(V826="",1,V826))&gt;=1,"Aucune",IF(IF(T826="",1,T826)&lt;=MIN(IF(U826="",1,U826),IF(V826="",1,V826)),"Disponibilité",IF(IF(U826="",1,U826)&lt;=IF(V826="",1,V826),"Performance","Qualité"))))</f>
        <v/>
      </c>
      <c r="AA826" s="59" t="str">
        <f>IF(AC826=1,N(H826)*N(IFERROR(INDEX(art_cost,MATCH(E826,art_ref,0)),0)),"")</f>
        <v/>
      </c>
      <c r="AB826" s="58" t="str">
        <f>IF(COUNTA(A826:I826)=0,"",IF(N(A826)&lt;=0,"Date manquante ou invalide",IF(B826="","Équipe manquante",IF(ISNA(MATCH(B826,eq_code,0)),"Équipe inconnue",IF(INDEX(eq_check,MATCH(B826,eq_code,0))&lt;&gt;"OK","Équipe à corriger dans Paramètres",IF(C826="","Poste manquant",IF(ISNA(MATCH(C826,po_code,0)),"Poste inconnu",IF(AND(E826&lt;&gt;"",ISNA(MATCH(E826,art_ref,0))),"Article inconnu",IF(IF(E826="",FALSE,INDEX(art_check,MATCH(E826,art_ref,0))&lt;&gt;"OK"),"Article à corriger (feuille Articles)",IF(COUNTIFS(sj_date,A826,sj_eq,B826,sj_po,C826)&gt;1,"Ligne en double (même jour, équipe et poste)",IF(OR(NOT(ISNUMBER(K826)),N(K826)&lt;=0,N(K826)&gt;1440),"Temps d'ouverture invalide",IF(OR(AND(G826&lt;&gt;"",NOT(ISNUMBER(G826))),N(G826)&lt;0,N(G826)&lt;&gt;INT(N(G826)),AND(H826&lt;&gt;"",NOT(ISNUMBER(H826))),N(H826)&lt;0,N(H826)&lt;&gt;INT(N(H826)),AND(I826&lt;&gt;"",NOT(ISNUMBER(I826))),N(I826)&lt;0,N(I826)&lt;&gt;INT(N(I826))),"Quantité invalide",IF(Q826&lt;=0,"Cadence manquante (poste ou article)",IF(M826&lt;=0,"Arrêts planifiés supérieurs au temps d'ouverture",IF(O826&lt;0,"Arrêts supérieurs au temps requis",IF(AND(P826&gt;0,O826=0),"Pièces déclarées sans temps de marche",IF(AND(P826=0,O826&gt;0),"Aucune pièce déclarée",IF(P826*60/Q826&gt;O826+0.001,"Cadence dépassée : vérifiez la cadence","OK"))))))))))))))))))</f>
        <v/>
      </c>
      <c r="AC826">
        <f>IF(OR(AB826="OK",AB826="Aucune pièce déclarée",AB826="Cadence dépassée : vérifiez la cadence"),1,0)</f>
        <v>0.0</v>
      </c>
      <c r="AD826">
        <f>IF(AND(AC826=1,A826&gt;=p_from,A826&lt;=p_to),1,0)</f>
        <v>0.0</v>
      </c>
      <c r="AE826">
        <f>IF(AD826=1,IF(COUNTIFS($A$6:A826,A826,$AD$6:AD826,1)=1,1,0),0)</f>
        <v>0.0</v>
      </c>
      <c r="AF826" t="str">
        <f>IF(AE826=1,COUNTIFS(sj_first,1,sj_date,"&lt;"&amp;A826)+1,"")</f>
        <v/>
      </c>
      <c r="AG826" t="str">
        <f>IF(AND(AD826=1,N(W826)&lt;p_alert),ROUND(W826,4),"")</f>
        <v/>
      </c>
      <c r="AH826" t="str">
        <f>IF(AG826="","",COUNTIF(sj_akey,"&lt;"&amp;AG826)+COUNTIF($AG$6:AG826,AG826))</f>
        <v/>
      </c>
    </row>
    <row r="827">
      <c r="A827" s="51" t="n"/>
      <c r="B827" s="52" t="n"/>
      <c r="C827" s="52" t="n"/>
      <c r="D827" s="53" t="n"/>
      <c r="E827" s="53" t="n"/>
      <c r="F827" s="54" t="n"/>
      <c r="G827" s="54" t="n"/>
      <c r="H827" s="54" t="n"/>
      <c r="I827" s="54" t="n"/>
      <c r="J827" s="53" t="n"/>
      <c r="K827" s="55" t="str">
        <f>IF(COUNTA(A827:I827)=0,"",IF(F827="",IFERROR(INDEX(eq_dur,MATCH(B827,eq_code,0)),""),F827))</f>
        <v/>
      </c>
      <c r="L827" s="55" t="str">
        <f>IF(ISNUMBER(K827),N(IFERROR(INDEX(eq_pause,MATCH(B827,eq_code,0)),0))+SUMIFS(st_min,st_date,A827,st_eq,B827,st_po,C827,st_type,"Planifié"),"")</f>
        <v/>
      </c>
      <c r="M827" s="55" t="str">
        <f>IF(ISNUMBER(K827),K827-L827,"")</f>
        <v/>
      </c>
      <c r="N827" s="55" t="str">
        <f>IF(ISNUMBER(K827),SUMIFS(st_min,st_date,A827,st_eq,B827,st_po,C827,st_type,"Non planifié"),"")</f>
        <v/>
      </c>
      <c r="O827" s="55" t="str">
        <f>IF(ISNUMBER(K827),M827-N827,"")</f>
        <v/>
      </c>
      <c r="P827" s="55" t="str">
        <f>IF(COUNTA(A827:I827)=0,"",N(G827)+N(H827)+N(I827))</f>
        <v/>
      </c>
      <c r="Q827" s="56" t="str">
        <f>IF(COUNTA(A827:I827)=0,"",IF(N(IFERROR(INDEX(art_rate,MATCH(E827,art_ref,0)),0))&gt;0,N(IFERROR(INDEX(art_rate,MATCH(E827,art_ref,0)),0)),N(IFERROR(INDEX(po_rate,MATCH(C827,po_code,0)),0))))</f>
        <v/>
      </c>
      <c r="R827" s="55" t="str">
        <f>IF(AC827=1,P827*60/Q827,"")</f>
        <v/>
      </c>
      <c r="S827" s="55" t="str">
        <f>IF(AC827=1,N(G827)*60/Q827,"")</f>
        <v/>
      </c>
      <c r="T827" s="57" t="str">
        <f>IF(AC827=1,O827/M827,"")</f>
        <v/>
      </c>
      <c r="U827" s="57" t="str">
        <f>IF(AC827=1,IF(O827&gt;0,R827/O827,""),"")</f>
        <v/>
      </c>
      <c r="V827" s="57" t="str">
        <f>IF(AC827=1,IF(P827&gt;0,N(G827)/P827,""),"")</f>
        <v/>
      </c>
      <c r="W827" s="57" t="str">
        <f>IF(AC827=1,S827/M827,"")</f>
        <v/>
      </c>
      <c r="X827" s="57" t="str">
        <f>IF(AC827=1,S827/K827,"")</f>
        <v/>
      </c>
      <c r="Y827" s="58" t="str">
        <f>IF(W827="","",IF(W827&gt;=p_target,"Bon",IF(W827&gt;=p_alert,"À surveiller","Faible")))</f>
        <v/>
      </c>
      <c r="Z827" s="58" t="str">
        <f>IF(W827="","",IF(MIN(IF(T827="",1,T827),IF(U827="",1,U827),IF(V827="",1,V827))&gt;=1,"Aucune",IF(IF(T827="",1,T827)&lt;=MIN(IF(U827="",1,U827),IF(V827="",1,V827)),"Disponibilité",IF(IF(U827="",1,U827)&lt;=IF(V827="",1,V827),"Performance","Qualité"))))</f>
        <v/>
      </c>
      <c r="AA827" s="59" t="str">
        <f>IF(AC827=1,N(H827)*N(IFERROR(INDEX(art_cost,MATCH(E827,art_ref,0)),0)),"")</f>
        <v/>
      </c>
      <c r="AB827" s="58" t="str">
        <f>IF(COUNTA(A827:I827)=0,"",IF(N(A827)&lt;=0,"Date manquante ou invalide",IF(B827="","Équipe manquante",IF(ISNA(MATCH(B827,eq_code,0)),"Équipe inconnue",IF(INDEX(eq_check,MATCH(B827,eq_code,0))&lt;&gt;"OK","Équipe à corriger dans Paramètres",IF(C827="","Poste manquant",IF(ISNA(MATCH(C827,po_code,0)),"Poste inconnu",IF(AND(E827&lt;&gt;"",ISNA(MATCH(E827,art_ref,0))),"Article inconnu",IF(IF(E827="",FALSE,INDEX(art_check,MATCH(E827,art_ref,0))&lt;&gt;"OK"),"Article à corriger (feuille Articles)",IF(COUNTIFS(sj_date,A827,sj_eq,B827,sj_po,C827)&gt;1,"Ligne en double (même jour, équipe et poste)",IF(OR(NOT(ISNUMBER(K827)),N(K827)&lt;=0,N(K827)&gt;1440),"Temps d'ouverture invalide",IF(OR(AND(G827&lt;&gt;"",NOT(ISNUMBER(G827))),N(G827)&lt;0,N(G827)&lt;&gt;INT(N(G827)),AND(H827&lt;&gt;"",NOT(ISNUMBER(H827))),N(H827)&lt;0,N(H827)&lt;&gt;INT(N(H827)),AND(I827&lt;&gt;"",NOT(ISNUMBER(I827))),N(I827)&lt;0,N(I827)&lt;&gt;INT(N(I827))),"Quantité invalide",IF(Q827&lt;=0,"Cadence manquante (poste ou article)",IF(M827&lt;=0,"Arrêts planifiés supérieurs au temps d'ouverture",IF(O827&lt;0,"Arrêts supérieurs au temps requis",IF(AND(P827&gt;0,O827=0),"Pièces déclarées sans temps de marche",IF(AND(P827=0,O827&gt;0),"Aucune pièce déclarée",IF(P827*60/Q827&gt;O827+0.001,"Cadence dépassée : vérifiez la cadence","OK"))))))))))))))))))</f>
        <v/>
      </c>
      <c r="AC827">
        <f>IF(OR(AB827="OK",AB827="Aucune pièce déclarée",AB827="Cadence dépassée : vérifiez la cadence"),1,0)</f>
        <v>0.0</v>
      </c>
      <c r="AD827">
        <f>IF(AND(AC827=1,A827&gt;=p_from,A827&lt;=p_to),1,0)</f>
        <v>0.0</v>
      </c>
      <c r="AE827">
        <f>IF(AD827=1,IF(COUNTIFS($A$6:A827,A827,$AD$6:AD827,1)=1,1,0),0)</f>
        <v>0.0</v>
      </c>
      <c r="AF827" t="str">
        <f>IF(AE827=1,COUNTIFS(sj_first,1,sj_date,"&lt;"&amp;A827)+1,"")</f>
        <v/>
      </c>
      <c r="AG827" t="str">
        <f>IF(AND(AD827=1,N(W827)&lt;p_alert),ROUND(W827,4),"")</f>
        <v/>
      </c>
      <c r="AH827" t="str">
        <f>IF(AG827="","",COUNTIF(sj_akey,"&lt;"&amp;AG827)+COUNTIF($AG$6:AG827,AG827))</f>
        <v/>
      </c>
    </row>
    <row r="828">
      <c r="A828" s="51" t="n"/>
      <c r="B828" s="52" t="n"/>
      <c r="C828" s="52" t="n"/>
      <c r="D828" s="53" t="n"/>
      <c r="E828" s="53" t="n"/>
      <c r="F828" s="54" t="n"/>
      <c r="G828" s="54" t="n"/>
      <c r="H828" s="54" t="n"/>
      <c r="I828" s="54" t="n"/>
      <c r="J828" s="53" t="n"/>
      <c r="K828" s="55" t="str">
        <f>IF(COUNTA(A828:I828)=0,"",IF(F828="",IFERROR(INDEX(eq_dur,MATCH(B828,eq_code,0)),""),F828))</f>
        <v/>
      </c>
      <c r="L828" s="55" t="str">
        <f>IF(ISNUMBER(K828),N(IFERROR(INDEX(eq_pause,MATCH(B828,eq_code,0)),0))+SUMIFS(st_min,st_date,A828,st_eq,B828,st_po,C828,st_type,"Planifié"),"")</f>
        <v/>
      </c>
      <c r="M828" s="55" t="str">
        <f>IF(ISNUMBER(K828),K828-L828,"")</f>
        <v/>
      </c>
      <c r="N828" s="55" t="str">
        <f>IF(ISNUMBER(K828),SUMIFS(st_min,st_date,A828,st_eq,B828,st_po,C828,st_type,"Non planifié"),"")</f>
        <v/>
      </c>
      <c r="O828" s="55" t="str">
        <f>IF(ISNUMBER(K828),M828-N828,"")</f>
        <v/>
      </c>
      <c r="P828" s="55" t="str">
        <f>IF(COUNTA(A828:I828)=0,"",N(G828)+N(H828)+N(I828))</f>
        <v/>
      </c>
      <c r="Q828" s="56" t="str">
        <f>IF(COUNTA(A828:I828)=0,"",IF(N(IFERROR(INDEX(art_rate,MATCH(E828,art_ref,0)),0))&gt;0,N(IFERROR(INDEX(art_rate,MATCH(E828,art_ref,0)),0)),N(IFERROR(INDEX(po_rate,MATCH(C828,po_code,0)),0))))</f>
        <v/>
      </c>
      <c r="R828" s="55" t="str">
        <f>IF(AC828=1,P828*60/Q828,"")</f>
        <v/>
      </c>
      <c r="S828" s="55" t="str">
        <f>IF(AC828=1,N(G828)*60/Q828,"")</f>
        <v/>
      </c>
      <c r="T828" s="57" t="str">
        <f>IF(AC828=1,O828/M828,"")</f>
        <v/>
      </c>
      <c r="U828" s="57" t="str">
        <f>IF(AC828=1,IF(O828&gt;0,R828/O828,""),"")</f>
        <v/>
      </c>
      <c r="V828" s="57" t="str">
        <f>IF(AC828=1,IF(P828&gt;0,N(G828)/P828,""),"")</f>
        <v/>
      </c>
      <c r="W828" s="57" t="str">
        <f>IF(AC828=1,S828/M828,"")</f>
        <v/>
      </c>
      <c r="X828" s="57" t="str">
        <f>IF(AC828=1,S828/K828,"")</f>
        <v/>
      </c>
      <c r="Y828" s="58" t="str">
        <f>IF(W828="","",IF(W828&gt;=p_target,"Bon",IF(W828&gt;=p_alert,"À surveiller","Faible")))</f>
        <v/>
      </c>
      <c r="Z828" s="58" t="str">
        <f>IF(W828="","",IF(MIN(IF(T828="",1,T828),IF(U828="",1,U828),IF(V828="",1,V828))&gt;=1,"Aucune",IF(IF(T828="",1,T828)&lt;=MIN(IF(U828="",1,U828),IF(V828="",1,V828)),"Disponibilité",IF(IF(U828="",1,U828)&lt;=IF(V828="",1,V828),"Performance","Qualité"))))</f>
        <v/>
      </c>
      <c r="AA828" s="59" t="str">
        <f>IF(AC828=1,N(H828)*N(IFERROR(INDEX(art_cost,MATCH(E828,art_ref,0)),0)),"")</f>
        <v/>
      </c>
      <c r="AB828" s="58" t="str">
        <f>IF(COUNTA(A828:I828)=0,"",IF(N(A828)&lt;=0,"Date manquante ou invalide",IF(B828="","Équipe manquante",IF(ISNA(MATCH(B828,eq_code,0)),"Équipe inconnue",IF(INDEX(eq_check,MATCH(B828,eq_code,0))&lt;&gt;"OK","Équipe à corriger dans Paramètres",IF(C828="","Poste manquant",IF(ISNA(MATCH(C828,po_code,0)),"Poste inconnu",IF(AND(E828&lt;&gt;"",ISNA(MATCH(E828,art_ref,0))),"Article inconnu",IF(IF(E828="",FALSE,INDEX(art_check,MATCH(E828,art_ref,0))&lt;&gt;"OK"),"Article à corriger (feuille Articles)",IF(COUNTIFS(sj_date,A828,sj_eq,B828,sj_po,C828)&gt;1,"Ligne en double (même jour, équipe et poste)",IF(OR(NOT(ISNUMBER(K828)),N(K828)&lt;=0,N(K828)&gt;1440),"Temps d'ouverture invalide",IF(OR(AND(G828&lt;&gt;"",NOT(ISNUMBER(G828))),N(G828)&lt;0,N(G828)&lt;&gt;INT(N(G828)),AND(H828&lt;&gt;"",NOT(ISNUMBER(H828))),N(H828)&lt;0,N(H828)&lt;&gt;INT(N(H828)),AND(I828&lt;&gt;"",NOT(ISNUMBER(I828))),N(I828)&lt;0,N(I828)&lt;&gt;INT(N(I828))),"Quantité invalide",IF(Q828&lt;=0,"Cadence manquante (poste ou article)",IF(M828&lt;=0,"Arrêts planifiés supérieurs au temps d'ouverture",IF(O828&lt;0,"Arrêts supérieurs au temps requis",IF(AND(P828&gt;0,O828=0),"Pièces déclarées sans temps de marche",IF(AND(P828=0,O828&gt;0),"Aucune pièce déclarée",IF(P828*60/Q828&gt;O828+0.001,"Cadence dépassée : vérifiez la cadence","OK"))))))))))))))))))</f>
        <v/>
      </c>
      <c r="AC828">
        <f>IF(OR(AB828="OK",AB828="Aucune pièce déclarée",AB828="Cadence dépassée : vérifiez la cadence"),1,0)</f>
        <v>0.0</v>
      </c>
      <c r="AD828">
        <f>IF(AND(AC828=1,A828&gt;=p_from,A828&lt;=p_to),1,0)</f>
        <v>0.0</v>
      </c>
      <c r="AE828">
        <f>IF(AD828=1,IF(COUNTIFS($A$6:A828,A828,$AD$6:AD828,1)=1,1,0),0)</f>
        <v>0.0</v>
      </c>
      <c r="AF828" t="str">
        <f>IF(AE828=1,COUNTIFS(sj_first,1,sj_date,"&lt;"&amp;A828)+1,"")</f>
        <v/>
      </c>
      <c r="AG828" t="str">
        <f>IF(AND(AD828=1,N(W828)&lt;p_alert),ROUND(W828,4),"")</f>
        <v/>
      </c>
      <c r="AH828" t="str">
        <f>IF(AG828="","",COUNTIF(sj_akey,"&lt;"&amp;AG828)+COUNTIF($AG$6:AG828,AG828))</f>
        <v/>
      </c>
    </row>
    <row r="829">
      <c r="A829" s="51" t="n"/>
      <c r="B829" s="52" t="n"/>
      <c r="C829" s="52" t="n"/>
      <c r="D829" s="53" t="n"/>
      <c r="E829" s="53" t="n"/>
      <c r="F829" s="54" t="n"/>
      <c r="G829" s="54" t="n"/>
      <c r="H829" s="54" t="n"/>
      <c r="I829" s="54" t="n"/>
      <c r="J829" s="53" t="n"/>
      <c r="K829" s="55" t="str">
        <f>IF(COUNTA(A829:I829)=0,"",IF(F829="",IFERROR(INDEX(eq_dur,MATCH(B829,eq_code,0)),""),F829))</f>
        <v/>
      </c>
      <c r="L829" s="55" t="str">
        <f>IF(ISNUMBER(K829),N(IFERROR(INDEX(eq_pause,MATCH(B829,eq_code,0)),0))+SUMIFS(st_min,st_date,A829,st_eq,B829,st_po,C829,st_type,"Planifié"),"")</f>
        <v/>
      </c>
      <c r="M829" s="55" t="str">
        <f>IF(ISNUMBER(K829),K829-L829,"")</f>
        <v/>
      </c>
      <c r="N829" s="55" t="str">
        <f>IF(ISNUMBER(K829),SUMIFS(st_min,st_date,A829,st_eq,B829,st_po,C829,st_type,"Non planifié"),"")</f>
        <v/>
      </c>
      <c r="O829" s="55" t="str">
        <f>IF(ISNUMBER(K829),M829-N829,"")</f>
        <v/>
      </c>
      <c r="P829" s="55" t="str">
        <f>IF(COUNTA(A829:I829)=0,"",N(G829)+N(H829)+N(I829))</f>
        <v/>
      </c>
      <c r="Q829" s="56" t="str">
        <f>IF(COUNTA(A829:I829)=0,"",IF(N(IFERROR(INDEX(art_rate,MATCH(E829,art_ref,0)),0))&gt;0,N(IFERROR(INDEX(art_rate,MATCH(E829,art_ref,0)),0)),N(IFERROR(INDEX(po_rate,MATCH(C829,po_code,0)),0))))</f>
        <v/>
      </c>
      <c r="R829" s="55" t="str">
        <f>IF(AC829=1,P829*60/Q829,"")</f>
        <v/>
      </c>
      <c r="S829" s="55" t="str">
        <f>IF(AC829=1,N(G829)*60/Q829,"")</f>
        <v/>
      </c>
      <c r="T829" s="57" t="str">
        <f>IF(AC829=1,O829/M829,"")</f>
        <v/>
      </c>
      <c r="U829" s="57" t="str">
        <f>IF(AC829=1,IF(O829&gt;0,R829/O829,""),"")</f>
        <v/>
      </c>
      <c r="V829" s="57" t="str">
        <f>IF(AC829=1,IF(P829&gt;0,N(G829)/P829,""),"")</f>
        <v/>
      </c>
      <c r="W829" s="57" t="str">
        <f>IF(AC829=1,S829/M829,"")</f>
        <v/>
      </c>
      <c r="X829" s="57" t="str">
        <f>IF(AC829=1,S829/K829,"")</f>
        <v/>
      </c>
      <c r="Y829" s="58" t="str">
        <f>IF(W829="","",IF(W829&gt;=p_target,"Bon",IF(W829&gt;=p_alert,"À surveiller","Faible")))</f>
        <v/>
      </c>
      <c r="Z829" s="58" t="str">
        <f>IF(W829="","",IF(MIN(IF(T829="",1,T829),IF(U829="",1,U829),IF(V829="",1,V829))&gt;=1,"Aucune",IF(IF(T829="",1,T829)&lt;=MIN(IF(U829="",1,U829),IF(V829="",1,V829)),"Disponibilité",IF(IF(U829="",1,U829)&lt;=IF(V829="",1,V829),"Performance","Qualité"))))</f>
        <v/>
      </c>
      <c r="AA829" s="59" t="str">
        <f>IF(AC829=1,N(H829)*N(IFERROR(INDEX(art_cost,MATCH(E829,art_ref,0)),0)),"")</f>
        <v/>
      </c>
      <c r="AB829" s="58" t="str">
        <f>IF(COUNTA(A829:I829)=0,"",IF(N(A829)&lt;=0,"Date manquante ou invalide",IF(B829="","Équipe manquante",IF(ISNA(MATCH(B829,eq_code,0)),"Équipe inconnue",IF(INDEX(eq_check,MATCH(B829,eq_code,0))&lt;&gt;"OK","Équipe à corriger dans Paramètres",IF(C829="","Poste manquant",IF(ISNA(MATCH(C829,po_code,0)),"Poste inconnu",IF(AND(E829&lt;&gt;"",ISNA(MATCH(E829,art_ref,0))),"Article inconnu",IF(IF(E829="",FALSE,INDEX(art_check,MATCH(E829,art_ref,0))&lt;&gt;"OK"),"Article à corriger (feuille Articles)",IF(COUNTIFS(sj_date,A829,sj_eq,B829,sj_po,C829)&gt;1,"Ligne en double (même jour, équipe et poste)",IF(OR(NOT(ISNUMBER(K829)),N(K829)&lt;=0,N(K829)&gt;1440),"Temps d'ouverture invalide",IF(OR(AND(G829&lt;&gt;"",NOT(ISNUMBER(G829))),N(G829)&lt;0,N(G829)&lt;&gt;INT(N(G829)),AND(H829&lt;&gt;"",NOT(ISNUMBER(H829))),N(H829)&lt;0,N(H829)&lt;&gt;INT(N(H829)),AND(I829&lt;&gt;"",NOT(ISNUMBER(I829))),N(I829)&lt;0,N(I829)&lt;&gt;INT(N(I829))),"Quantité invalide",IF(Q829&lt;=0,"Cadence manquante (poste ou article)",IF(M829&lt;=0,"Arrêts planifiés supérieurs au temps d'ouverture",IF(O829&lt;0,"Arrêts supérieurs au temps requis",IF(AND(P829&gt;0,O829=0),"Pièces déclarées sans temps de marche",IF(AND(P829=0,O829&gt;0),"Aucune pièce déclarée",IF(P829*60/Q829&gt;O829+0.001,"Cadence dépassée : vérifiez la cadence","OK"))))))))))))))))))</f>
        <v/>
      </c>
      <c r="AC829">
        <f>IF(OR(AB829="OK",AB829="Aucune pièce déclarée",AB829="Cadence dépassée : vérifiez la cadence"),1,0)</f>
        <v>0.0</v>
      </c>
      <c r="AD829">
        <f>IF(AND(AC829=1,A829&gt;=p_from,A829&lt;=p_to),1,0)</f>
        <v>0.0</v>
      </c>
      <c r="AE829">
        <f>IF(AD829=1,IF(COUNTIFS($A$6:A829,A829,$AD$6:AD829,1)=1,1,0),0)</f>
        <v>0.0</v>
      </c>
      <c r="AF829" t="str">
        <f>IF(AE829=1,COUNTIFS(sj_first,1,sj_date,"&lt;"&amp;A829)+1,"")</f>
        <v/>
      </c>
      <c r="AG829" t="str">
        <f>IF(AND(AD829=1,N(W829)&lt;p_alert),ROUND(W829,4),"")</f>
        <v/>
      </c>
      <c r="AH829" t="str">
        <f>IF(AG829="","",COUNTIF(sj_akey,"&lt;"&amp;AG829)+COUNTIF($AG$6:AG829,AG829))</f>
        <v/>
      </c>
    </row>
    <row r="830">
      <c r="A830" s="51" t="n"/>
      <c r="B830" s="52" t="n"/>
      <c r="C830" s="52" t="n"/>
      <c r="D830" s="53" t="n"/>
      <c r="E830" s="53" t="n"/>
      <c r="F830" s="54" t="n"/>
      <c r="G830" s="54" t="n"/>
      <c r="H830" s="54" t="n"/>
      <c r="I830" s="54" t="n"/>
      <c r="J830" s="53" t="n"/>
      <c r="K830" s="55" t="str">
        <f>IF(COUNTA(A830:I830)=0,"",IF(F830="",IFERROR(INDEX(eq_dur,MATCH(B830,eq_code,0)),""),F830))</f>
        <v/>
      </c>
      <c r="L830" s="55" t="str">
        <f>IF(ISNUMBER(K830),N(IFERROR(INDEX(eq_pause,MATCH(B830,eq_code,0)),0))+SUMIFS(st_min,st_date,A830,st_eq,B830,st_po,C830,st_type,"Planifié"),"")</f>
        <v/>
      </c>
      <c r="M830" s="55" t="str">
        <f>IF(ISNUMBER(K830),K830-L830,"")</f>
        <v/>
      </c>
      <c r="N830" s="55" t="str">
        <f>IF(ISNUMBER(K830),SUMIFS(st_min,st_date,A830,st_eq,B830,st_po,C830,st_type,"Non planifié"),"")</f>
        <v/>
      </c>
      <c r="O830" s="55" t="str">
        <f>IF(ISNUMBER(K830),M830-N830,"")</f>
        <v/>
      </c>
      <c r="P830" s="55" t="str">
        <f>IF(COUNTA(A830:I830)=0,"",N(G830)+N(H830)+N(I830))</f>
        <v/>
      </c>
      <c r="Q830" s="56" t="str">
        <f>IF(COUNTA(A830:I830)=0,"",IF(N(IFERROR(INDEX(art_rate,MATCH(E830,art_ref,0)),0))&gt;0,N(IFERROR(INDEX(art_rate,MATCH(E830,art_ref,0)),0)),N(IFERROR(INDEX(po_rate,MATCH(C830,po_code,0)),0))))</f>
        <v/>
      </c>
      <c r="R830" s="55" t="str">
        <f>IF(AC830=1,P830*60/Q830,"")</f>
        <v/>
      </c>
      <c r="S830" s="55" t="str">
        <f>IF(AC830=1,N(G830)*60/Q830,"")</f>
        <v/>
      </c>
      <c r="T830" s="57" t="str">
        <f>IF(AC830=1,O830/M830,"")</f>
        <v/>
      </c>
      <c r="U830" s="57" t="str">
        <f>IF(AC830=1,IF(O830&gt;0,R830/O830,""),"")</f>
        <v/>
      </c>
      <c r="V830" s="57" t="str">
        <f>IF(AC830=1,IF(P830&gt;0,N(G830)/P830,""),"")</f>
        <v/>
      </c>
      <c r="W830" s="57" t="str">
        <f>IF(AC830=1,S830/M830,"")</f>
        <v/>
      </c>
      <c r="X830" s="57" t="str">
        <f>IF(AC830=1,S830/K830,"")</f>
        <v/>
      </c>
      <c r="Y830" s="58" t="str">
        <f>IF(W830="","",IF(W830&gt;=p_target,"Bon",IF(W830&gt;=p_alert,"À surveiller","Faible")))</f>
        <v/>
      </c>
      <c r="Z830" s="58" t="str">
        <f>IF(W830="","",IF(MIN(IF(T830="",1,T830),IF(U830="",1,U830),IF(V830="",1,V830))&gt;=1,"Aucune",IF(IF(T830="",1,T830)&lt;=MIN(IF(U830="",1,U830),IF(V830="",1,V830)),"Disponibilité",IF(IF(U830="",1,U830)&lt;=IF(V830="",1,V830),"Performance","Qualité"))))</f>
        <v/>
      </c>
      <c r="AA830" s="59" t="str">
        <f>IF(AC830=1,N(H830)*N(IFERROR(INDEX(art_cost,MATCH(E830,art_ref,0)),0)),"")</f>
        <v/>
      </c>
      <c r="AB830" s="58" t="str">
        <f>IF(COUNTA(A830:I830)=0,"",IF(N(A830)&lt;=0,"Date manquante ou invalide",IF(B830="","Équipe manquante",IF(ISNA(MATCH(B830,eq_code,0)),"Équipe inconnue",IF(INDEX(eq_check,MATCH(B830,eq_code,0))&lt;&gt;"OK","Équipe à corriger dans Paramètres",IF(C830="","Poste manquant",IF(ISNA(MATCH(C830,po_code,0)),"Poste inconnu",IF(AND(E830&lt;&gt;"",ISNA(MATCH(E830,art_ref,0))),"Article inconnu",IF(IF(E830="",FALSE,INDEX(art_check,MATCH(E830,art_ref,0))&lt;&gt;"OK"),"Article à corriger (feuille Articles)",IF(COUNTIFS(sj_date,A830,sj_eq,B830,sj_po,C830)&gt;1,"Ligne en double (même jour, équipe et poste)",IF(OR(NOT(ISNUMBER(K830)),N(K830)&lt;=0,N(K830)&gt;1440),"Temps d'ouverture invalide",IF(OR(AND(G830&lt;&gt;"",NOT(ISNUMBER(G830))),N(G830)&lt;0,N(G830)&lt;&gt;INT(N(G830)),AND(H830&lt;&gt;"",NOT(ISNUMBER(H830))),N(H830)&lt;0,N(H830)&lt;&gt;INT(N(H830)),AND(I830&lt;&gt;"",NOT(ISNUMBER(I830))),N(I830)&lt;0,N(I830)&lt;&gt;INT(N(I830))),"Quantité invalide",IF(Q830&lt;=0,"Cadence manquante (poste ou article)",IF(M830&lt;=0,"Arrêts planifiés supérieurs au temps d'ouverture",IF(O830&lt;0,"Arrêts supérieurs au temps requis",IF(AND(P830&gt;0,O830=0),"Pièces déclarées sans temps de marche",IF(AND(P830=0,O830&gt;0),"Aucune pièce déclarée",IF(P830*60/Q830&gt;O830+0.001,"Cadence dépassée : vérifiez la cadence","OK"))))))))))))))))))</f>
        <v/>
      </c>
      <c r="AC830">
        <f>IF(OR(AB830="OK",AB830="Aucune pièce déclarée",AB830="Cadence dépassée : vérifiez la cadence"),1,0)</f>
        <v>0.0</v>
      </c>
      <c r="AD830">
        <f>IF(AND(AC830=1,A830&gt;=p_from,A830&lt;=p_to),1,0)</f>
        <v>0.0</v>
      </c>
      <c r="AE830">
        <f>IF(AD830=1,IF(COUNTIFS($A$6:A830,A830,$AD$6:AD830,1)=1,1,0),0)</f>
        <v>0.0</v>
      </c>
      <c r="AF830" t="str">
        <f>IF(AE830=1,COUNTIFS(sj_first,1,sj_date,"&lt;"&amp;A830)+1,"")</f>
        <v/>
      </c>
      <c r="AG830" t="str">
        <f>IF(AND(AD830=1,N(W830)&lt;p_alert),ROUND(W830,4),"")</f>
        <v/>
      </c>
      <c r="AH830" t="str">
        <f>IF(AG830="","",COUNTIF(sj_akey,"&lt;"&amp;AG830)+COUNTIF($AG$6:AG830,AG830))</f>
        <v/>
      </c>
    </row>
    <row r="831">
      <c r="A831" s="51" t="n"/>
      <c r="B831" s="52" t="n"/>
      <c r="C831" s="52" t="n"/>
      <c r="D831" s="53" t="n"/>
      <c r="E831" s="53" t="n"/>
      <c r="F831" s="54" t="n"/>
      <c r="G831" s="54" t="n"/>
      <c r="H831" s="54" t="n"/>
      <c r="I831" s="54" t="n"/>
      <c r="J831" s="53" t="n"/>
      <c r="K831" s="55" t="str">
        <f>IF(COUNTA(A831:I831)=0,"",IF(F831="",IFERROR(INDEX(eq_dur,MATCH(B831,eq_code,0)),""),F831))</f>
        <v/>
      </c>
      <c r="L831" s="55" t="str">
        <f>IF(ISNUMBER(K831),N(IFERROR(INDEX(eq_pause,MATCH(B831,eq_code,0)),0))+SUMIFS(st_min,st_date,A831,st_eq,B831,st_po,C831,st_type,"Planifié"),"")</f>
        <v/>
      </c>
      <c r="M831" s="55" t="str">
        <f>IF(ISNUMBER(K831),K831-L831,"")</f>
        <v/>
      </c>
      <c r="N831" s="55" t="str">
        <f>IF(ISNUMBER(K831),SUMIFS(st_min,st_date,A831,st_eq,B831,st_po,C831,st_type,"Non planifié"),"")</f>
        <v/>
      </c>
      <c r="O831" s="55" t="str">
        <f>IF(ISNUMBER(K831),M831-N831,"")</f>
        <v/>
      </c>
      <c r="P831" s="55" t="str">
        <f>IF(COUNTA(A831:I831)=0,"",N(G831)+N(H831)+N(I831))</f>
        <v/>
      </c>
      <c r="Q831" s="56" t="str">
        <f>IF(COUNTA(A831:I831)=0,"",IF(N(IFERROR(INDEX(art_rate,MATCH(E831,art_ref,0)),0))&gt;0,N(IFERROR(INDEX(art_rate,MATCH(E831,art_ref,0)),0)),N(IFERROR(INDEX(po_rate,MATCH(C831,po_code,0)),0))))</f>
        <v/>
      </c>
      <c r="R831" s="55" t="str">
        <f>IF(AC831=1,P831*60/Q831,"")</f>
        <v/>
      </c>
      <c r="S831" s="55" t="str">
        <f>IF(AC831=1,N(G831)*60/Q831,"")</f>
        <v/>
      </c>
      <c r="T831" s="57" t="str">
        <f>IF(AC831=1,O831/M831,"")</f>
        <v/>
      </c>
      <c r="U831" s="57" t="str">
        <f>IF(AC831=1,IF(O831&gt;0,R831/O831,""),"")</f>
        <v/>
      </c>
      <c r="V831" s="57" t="str">
        <f>IF(AC831=1,IF(P831&gt;0,N(G831)/P831,""),"")</f>
        <v/>
      </c>
      <c r="W831" s="57" t="str">
        <f>IF(AC831=1,S831/M831,"")</f>
        <v/>
      </c>
      <c r="X831" s="57" t="str">
        <f>IF(AC831=1,S831/K831,"")</f>
        <v/>
      </c>
      <c r="Y831" s="58" t="str">
        <f>IF(W831="","",IF(W831&gt;=p_target,"Bon",IF(W831&gt;=p_alert,"À surveiller","Faible")))</f>
        <v/>
      </c>
      <c r="Z831" s="58" t="str">
        <f>IF(W831="","",IF(MIN(IF(T831="",1,T831),IF(U831="",1,U831),IF(V831="",1,V831))&gt;=1,"Aucune",IF(IF(T831="",1,T831)&lt;=MIN(IF(U831="",1,U831),IF(V831="",1,V831)),"Disponibilité",IF(IF(U831="",1,U831)&lt;=IF(V831="",1,V831),"Performance","Qualité"))))</f>
        <v/>
      </c>
      <c r="AA831" s="59" t="str">
        <f>IF(AC831=1,N(H831)*N(IFERROR(INDEX(art_cost,MATCH(E831,art_ref,0)),0)),"")</f>
        <v/>
      </c>
      <c r="AB831" s="58" t="str">
        <f>IF(COUNTA(A831:I831)=0,"",IF(N(A831)&lt;=0,"Date manquante ou invalide",IF(B831="","Équipe manquante",IF(ISNA(MATCH(B831,eq_code,0)),"Équipe inconnue",IF(INDEX(eq_check,MATCH(B831,eq_code,0))&lt;&gt;"OK","Équipe à corriger dans Paramètres",IF(C831="","Poste manquant",IF(ISNA(MATCH(C831,po_code,0)),"Poste inconnu",IF(AND(E831&lt;&gt;"",ISNA(MATCH(E831,art_ref,0))),"Article inconnu",IF(IF(E831="",FALSE,INDEX(art_check,MATCH(E831,art_ref,0))&lt;&gt;"OK"),"Article à corriger (feuille Articles)",IF(COUNTIFS(sj_date,A831,sj_eq,B831,sj_po,C831)&gt;1,"Ligne en double (même jour, équipe et poste)",IF(OR(NOT(ISNUMBER(K831)),N(K831)&lt;=0,N(K831)&gt;1440),"Temps d'ouverture invalide",IF(OR(AND(G831&lt;&gt;"",NOT(ISNUMBER(G831))),N(G831)&lt;0,N(G831)&lt;&gt;INT(N(G831)),AND(H831&lt;&gt;"",NOT(ISNUMBER(H831))),N(H831)&lt;0,N(H831)&lt;&gt;INT(N(H831)),AND(I831&lt;&gt;"",NOT(ISNUMBER(I831))),N(I831)&lt;0,N(I831)&lt;&gt;INT(N(I831))),"Quantité invalide",IF(Q831&lt;=0,"Cadence manquante (poste ou article)",IF(M831&lt;=0,"Arrêts planifiés supérieurs au temps d'ouverture",IF(O831&lt;0,"Arrêts supérieurs au temps requis",IF(AND(P831&gt;0,O831=0),"Pièces déclarées sans temps de marche",IF(AND(P831=0,O831&gt;0),"Aucune pièce déclarée",IF(P831*60/Q831&gt;O831+0.001,"Cadence dépassée : vérifiez la cadence","OK"))))))))))))))))))</f>
        <v/>
      </c>
      <c r="AC831">
        <f>IF(OR(AB831="OK",AB831="Aucune pièce déclarée",AB831="Cadence dépassée : vérifiez la cadence"),1,0)</f>
        <v>0.0</v>
      </c>
      <c r="AD831">
        <f>IF(AND(AC831=1,A831&gt;=p_from,A831&lt;=p_to),1,0)</f>
        <v>0.0</v>
      </c>
      <c r="AE831">
        <f>IF(AD831=1,IF(COUNTIFS($A$6:A831,A831,$AD$6:AD831,1)=1,1,0),0)</f>
        <v>0.0</v>
      </c>
      <c r="AF831" t="str">
        <f>IF(AE831=1,COUNTIFS(sj_first,1,sj_date,"&lt;"&amp;A831)+1,"")</f>
        <v/>
      </c>
      <c r="AG831" t="str">
        <f>IF(AND(AD831=1,N(W831)&lt;p_alert),ROUND(W831,4),"")</f>
        <v/>
      </c>
      <c r="AH831" t="str">
        <f>IF(AG831="","",COUNTIF(sj_akey,"&lt;"&amp;AG831)+COUNTIF($AG$6:AG831,AG831))</f>
        <v/>
      </c>
    </row>
    <row r="832">
      <c r="A832" s="51" t="n"/>
      <c r="B832" s="52" t="n"/>
      <c r="C832" s="52" t="n"/>
      <c r="D832" s="53" t="n"/>
      <c r="E832" s="53" t="n"/>
      <c r="F832" s="54" t="n"/>
      <c r="G832" s="54" t="n"/>
      <c r="H832" s="54" t="n"/>
      <c r="I832" s="54" t="n"/>
      <c r="J832" s="53" t="n"/>
      <c r="K832" s="55" t="str">
        <f>IF(COUNTA(A832:I832)=0,"",IF(F832="",IFERROR(INDEX(eq_dur,MATCH(B832,eq_code,0)),""),F832))</f>
        <v/>
      </c>
      <c r="L832" s="55" t="str">
        <f>IF(ISNUMBER(K832),N(IFERROR(INDEX(eq_pause,MATCH(B832,eq_code,0)),0))+SUMIFS(st_min,st_date,A832,st_eq,B832,st_po,C832,st_type,"Planifié"),"")</f>
        <v/>
      </c>
      <c r="M832" s="55" t="str">
        <f>IF(ISNUMBER(K832),K832-L832,"")</f>
        <v/>
      </c>
      <c r="N832" s="55" t="str">
        <f>IF(ISNUMBER(K832),SUMIFS(st_min,st_date,A832,st_eq,B832,st_po,C832,st_type,"Non planifié"),"")</f>
        <v/>
      </c>
      <c r="O832" s="55" t="str">
        <f>IF(ISNUMBER(K832),M832-N832,"")</f>
        <v/>
      </c>
      <c r="P832" s="55" t="str">
        <f>IF(COUNTA(A832:I832)=0,"",N(G832)+N(H832)+N(I832))</f>
        <v/>
      </c>
      <c r="Q832" s="56" t="str">
        <f>IF(COUNTA(A832:I832)=0,"",IF(N(IFERROR(INDEX(art_rate,MATCH(E832,art_ref,0)),0))&gt;0,N(IFERROR(INDEX(art_rate,MATCH(E832,art_ref,0)),0)),N(IFERROR(INDEX(po_rate,MATCH(C832,po_code,0)),0))))</f>
        <v/>
      </c>
      <c r="R832" s="55" t="str">
        <f>IF(AC832=1,P832*60/Q832,"")</f>
        <v/>
      </c>
      <c r="S832" s="55" t="str">
        <f>IF(AC832=1,N(G832)*60/Q832,"")</f>
        <v/>
      </c>
      <c r="T832" s="57" t="str">
        <f>IF(AC832=1,O832/M832,"")</f>
        <v/>
      </c>
      <c r="U832" s="57" t="str">
        <f>IF(AC832=1,IF(O832&gt;0,R832/O832,""),"")</f>
        <v/>
      </c>
      <c r="V832" s="57" t="str">
        <f>IF(AC832=1,IF(P832&gt;0,N(G832)/P832,""),"")</f>
        <v/>
      </c>
      <c r="W832" s="57" t="str">
        <f>IF(AC832=1,S832/M832,"")</f>
        <v/>
      </c>
      <c r="X832" s="57" t="str">
        <f>IF(AC832=1,S832/K832,"")</f>
        <v/>
      </c>
      <c r="Y832" s="58" t="str">
        <f>IF(W832="","",IF(W832&gt;=p_target,"Bon",IF(W832&gt;=p_alert,"À surveiller","Faible")))</f>
        <v/>
      </c>
      <c r="Z832" s="58" t="str">
        <f>IF(W832="","",IF(MIN(IF(T832="",1,T832),IF(U832="",1,U832),IF(V832="",1,V832))&gt;=1,"Aucune",IF(IF(T832="",1,T832)&lt;=MIN(IF(U832="",1,U832),IF(V832="",1,V832)),"Disponibilité",IF(IF(U832="",1,U832)&lt;=IF(V832="",1,V832),"Performance","Qualité"))))</f>
        <v/>
      </c>
      <c r="AA832" s="59" t="str">
        <f>IF(AC832=1,N(H832)*N(IFERROR(INDEX(art_cost,MATCH(E832,art_ref,0)),0)),"")</f>
        <v/>
      </c>
      <c r="AB832" s="58" t="str">
        <f>IF(COUNTA(A832:I832)=0,"",IF(N(A832)&lt;=0,"Date manquante ou invalide",IF(B832="","Équipe manquante",IF(ISNA(MATCH(B832,eq_code,0)),"Équipe inconnue",IF(INDEX(eq_check,MATCH(B832,eq_code,0))&lt;&gt;"OK","Équipe à corriger dans Paramètres",IF(C832="","Poste manquant",IF(ISNA(MATCH(C832,po_code,0)),"Poste inconnu",IF(AND(E832&lt;&gt;"",ISNA(MATCH(E832,art_ref,0))),"Article inconnu",IF(IF(E832="",FALSE,INDEX(art_check,MATCH(E832,art_ref,0))&lt;&gt;"OK"),"Article à corriger (feuille Articles)",IF(COUNTIFS(sj_date,A832,sj_eq,B832,sj_po,C832)&gt;1,"Ligne en double (même jour, équipe et poste)",IF(OR(NOT(ISNUMBER(K832)),N(K832)&lt;=0,N(K832)&gt;1440),"Temps d'ouverture invalide",IF(OR(AND(G832&lt;&gt;"",NOT(ISNUMBER(G832))),N(G832)&lt;0,N(G832)&lt;&gt;INT(N(G832)),AND(H832&lt;&gt;"",NOT(ISNUMBER(H832))),N(H832)&lt;0,N(H832)&lt;&gt;INT(N(H832)),AND(I832&lt;&gt;"",NOT(ISNUMBER(I832))),N(I832)&lt;0,N(I832)&lt;&gt;INT(N(I832))),"Quantité invalide",IF(Q832&lt;=0,"Cadence manquante (poste ou article)",IF(M832&lt;=0,"Arrêts planifiés supérieurs au temps d'ouverture",IF(O832&lt;0,"Arrêts supérieurs au temps requis",IF(AND(P832&gt;0,O832=0),"Pièces déclarées sans temps de marche",IF(AND(P832=0,O832&gt;0),"Aucune pièce déclarée",IF(P832*60/Q832&gt;O832+0.001,"Cadence dépassée : vérifiez la cadence","OK"))))))))))))))))))</f>
        <v/>
      </c>
      <c r="AC832">
        <f>IF(OR(AB832="OK",AB832="Aucune pièce déclarée",AB832="Cadence dépassée : vérifiez la cadence"),1,0)</f>
        <v>0.0</v>
      </c>
      <c r="AD832">
        <f>IF(AND(AC832=1,A832&gt;=p_from,A832&lt;=p_to),1,0)</f>
        <v>0.0</v>
      </c>
      <c r="AE832">
        <f>IF(AD832=1,IF(COUNTIFS($A$6:A832,A832,$AD$6:AD832,1)=1,1,0),0)</f>
        <v>0.0</v>
      </c>
      <c r="AF832" t="str">
        <f>IF(AE832=1,COUNTIFS(sj_first,1,sj_date,"&lt;"&amp;A832)+1,"")</f>
        <v/>
      </c>
      <c r="AG832" t="str">
        <f>IF(AND(AD832=1,N(W832)&lt;p_alert),ROUND(W832,4),"")</f>
        <v/>
      </c>
      <c r="AH832" t="str">
        <f>IF(AG832="","",COUNTIF(sj_akey,"&lt;"&amp;AG832)+COUNTIF($AG$6:AG832,AG832))</f>
        <v/>
      </c>
    </row>
    <row r="833">
      <c r="A833" s="51" t="n"/>
      <c r="B833" s="52" t="n"/>
      <c r="C833" s="52" t="n"/>
      <c r="D833" s="53" t="n"/>
      <c r="E833" s="53" t="n"/>
      <c r="F833" s="54" t="n"/>
      <c r="G833" s="54" t="n"/>
      <c r="H833" s="54" t="n"/>
      <c r="I833" s="54" t="n"/>
      <c r="J833" s="53" t="n"/>
      <c r="K833" s="55" t="str">
        <f>IF(COUNTA(A833:I833)=0,"",IF(F833="",IFERROR(INDEX(eq_dur,MATCH(B833,eq_code,0)),""),F833))</f>
        <v/>
      </c>
      <c r="L833" s="55" t="str">
        <f>IF(ISNUMBER(K833),N(IFERROR(INDEX(eq_pause,MATCH(B833,eq_code,0)),0))+SUMIFS(st_min,st_date,A833,st_eq,B833,st_po,C833,st_type,"Planifié"),"")</f>
        <v/>
      </c>
      <c r="M833" s="55" t="str">
        <f>IF(ISNUMBER(K833),K833-L833,"")</f>
        <v/>
      </c>
      <c r="N833" s="55" t="str">
        <f>IF(ISNUMBER(K833),SUMIFS(st_min,st_date,A833,st_eq,B833,st_po,C833,st_type,"Non planifié"),"")</f>
        <v/>
      </c>
      <c r="O833" s="55" t="str">
        <f>IF(ISNUMBER(K833),M833-N833,"")</f>
        <v/>
      </c>
      <c r="P833" s="55" t="str">
        <f>IF(COUNTA(A833:I833)=0,"",N(G833)+N(H833)+N(I833))</f>
        <v/>
      </c>
      <c r="Q833" s="56" t="str">
        <f>IF(COUNTA(A833:I833)=0,"",IF(N(IFERROR(INDEX(art_rate,MATCH(E833,art_ref,0)),0))&gt;0,N(IFERROR(INDEX(art_rate,MATCH(E833,art_ref,0)),0)),N(IFERROR(INDEX(po_rate,MATCH(C833,po_code,0)),0))))</f>
        <v/>
      </c>
      <c r="R833" s="55" t="str">
        <f>IF(AC833=1,P833*60/Q833,"")</f>
        <v/>
      </c>
      <c r="S833" s="55" t="str">
        <f>IF(AC833=1,N(G833)*60/Q833,"")</f>
        <v/>
      </c>
      <c r="T833" s="57" t="str">
        <f>IF(AC833=1,O833/M833,"")</f>
        <v/>
      </c>
      <c r="U833" s="57" t="str">
        <f>IF(AC833=1,IF(O833&gt;0,R833/O833,""),"")</f>
        <v/>
      </c>
      <c r="V833" s="57" t="str">
        <f>IF(AC833=1,IF(P833&gt;0,N(G833)/P833,""),"")</f>
        <v/>
      </c>
      <c r="W833" s="57" t="str">
        <f>IF(AC833=1,S833/M833,"")</f>
        <v/>
      </c>
      <c r="X833" s="57" t="str">
        <f>IF(AC833=1,S833/K833,"")</f>
        <v/>
      </c>
      <c r="Y833" s="58" t="str">
        <f>IF(W833="","",IF(W833&gt;=p_target,"Bon",IF(W833&gt;=p_alert,"À surveiller","Faible")))</f>
        <v/>
      </c>
      <c r="Z833" s="58" t="str">
        <f>IF(W833="","",IF(MIN(IF(T833="",1,T833),IF(U833="",1,U833),IF(V833="",1,V833))&gt;=1,"Aucune",IF(IF(T833="",1,T833)&lt;=MIN(IF(U833="",1,U833),IF(V833="",1,V833)),"Disponibilité",IF(IF(U833="",1,U833)&lt;=IF(V833="",1,V833),"Performance","Qualité"))))</f>
        <v/>
      </c>
      <c r="AA833" s="59" t="str">
        <f>IF(AC833=1,N(H833)*N(IFERROR(INDEX(art_cost,MATCH(E833,art_ref,0)),0)),"")</f>
        <v/>
      </c>
      <c r="AB833" s="58" t="str">
        <f>IF(COUNTA(A833:I833)=0,"",IF(N(A833)&lt;=0,"Date manquante ou invalide",IF(B833="","Équipe manquante",IF(ISNA(MATCH(B833,eq_code,0)),"Équipe inconnue",IF(INDEX(eq_check,MATCH(B833,eq_code,0))&lt;&gt;"OK","Équipe à corriger dans Paramètres",IF(C833="","Poste manquant",IF(ISNA(MATCH(C833,po_code,0)),"Poste inconnu",IF(AND(E833&lt;&gt;"",ISNA(MATCH(E833,art_ref,0))),"Article inconnu",IF(IF(E833="",FALSE,INDEX(art_check,MATCH(E833,art_ref,0))&lt;&gt;"OK"),"Article à corriger (feuille Articles)",IF(COUNTIFS(sj_date,A833,sj_eq,B833,sj_po,C833)&gt;1,"Ligne en double (même jour, équipe et poste)",IF(OR(NOT(ISNUMBER(K833)),N(K833)&lt;=0,N(K833)&gt;1440),"Temps d'ouverture invalide",IF(OR(AND(G833&lt;&gt;"",NOT(ISNUMBER(G833))),N(G833)&lt;0,N(G833)&lt;&gt;INT(N(G833)),AND(H833&lt;&gt;"",NOT(ISNUMBER(H833))),N(H833)&lt;0,N(H833)&lt;&gt;INT(N(H833)),AND(I833&lt;&gt;"",NOT(ISNUMBER(I833))),N(I833)&lt;0,N(I833)&lt;&gt;INT(N(I833))),"Quantité invalide",IF(Q833&lt;=0,"Cadence manquante (poste ou article)",IF(M833&lt;=0,"Arrêts planifiés supérieurs au temps d'ouverture",IF(O833&lt;0,"Arrêts supérieurs au temps requis",IF(AND(P833&gt;0,O833=0),"Pièces déclarées sans temps de marche",IF(AND(P833=0,O833&gt;0),"Aucune pièce déclarée",IF(P833*60/Q833&gt;O833+0.001,"Cadence dépassée : vérifiez la cadence","OK"))))))))))))))))))</f>
        <v/>
      </c>
      <c r="AC833">
        <f>IF(OR(AB833="OK",AB833="Aucune pièce déclarée",AB833="Cadence dépassée : vérifiez la cadence"),1,0)</f>
        <v>0.0</v>
      </c>
      <c r="AD833">
        <f>IF(AND(AC833=1,A833&gt;=p_from,A833&lt;=p_to),1,0)</f>
        <v>0.0</v>
      </c>
      <c r="AE833">
        <f>IF(AD833=1,IF(COUNTIFS($A$6:A833,A833,$AD$6:AD833,1)=1,1,0),0)</f>
        <v>0.0</v>
      </c>
      <c r="AF833" t="str">
        <f>IF(AE833=1,COUNTIFS(sj_first,1,sj_date,"&lt;"&amp;A833)+1,"")</f>
        <v/>
      </c>
      <c r="AG833" t="str">
        <f>IF(AND(AD833=1,N(W833)&lt;p_alert),ROUND(W833,4),"")</f>
        <v/>
      </c>
      <c r="AH833" t="str">
        <f>IF(AG833="","",COUNTIF(sj_akey,"&lt;"&amp;AG833)+COUNTIF($AG$6:AG833,AG833))</f>
        <v/>
      </c>
    </row>
    <row r="834">
      <c r="A834" s="51" t="n"/>
      <c r="B834" s="52" t="n"/>
      <c r="C834" s="52" t="n"/>
      <c r="D834" s="53" t="n"/>
      <c r="E834" s="53" t="n"/>
      <c r="F834" s="54" t="n"/>
      <c r="G834" s="54" t="n"/>
      <c r="H834" s="54" t="n"/>
      <c r="I834" s="54" t="n"/>
      <c r="J834" s="53" t="n"/>
      <c r="K834" s="55" t="str">
        <f>IF(COUNTA(A834:I834)=0,"",IF(F834="",IFERROR(INDEX(eq_dur,MATCH(B834,eq_code,0)),""),F834))</f>
        <v/>
      </c>
      <c r="L834" s="55" t="str">
        <f>IF(ISNUMBER(K834),N(IFERROR(INDEX(eq_pause,MATCH(B834,eq_code,0)),0))+SUMIFS(st_min,st_date,A834,st_eq,B834,st_po,C834,st_type,"Planifié"),"")</f>
        <v/>
      </c>
      <c r="M834" s="55" t="str">
        <f>IF(ISNUMBER(K834),K834-L834,"")</f>
        <v/>
      </c>
      <c r="N834" s="55" t="str">
        <f>IF(ISNUMBER(K834),SUMIFS(st_min,st_date,A834,st_eq,B834,st_po,C834,st_type,"Non planifié"),"")</f>
        <v/>
      </c>
      <c r="O834" s="55" t="str">
        <f>IF(ISNUMBER(K834),M834-N834,"")</f>
        <v/>
      </c>
      <c r="P834" s="55" t="str">
        <f>IF(COUNTA(A834:I834)=0,"",N(G834)+N(H834)+N(I834))</f>
        <v/>
      </c>
      <c r="Q834" s="56" t="str">
        <f>IF(COUNTA(A834:I834)=0,"",IF(N(IFERROR(INDEX(art_rate,MATCH(E834,art_ref,0)),0))&gt;0,N(IFERROR(INDEX(art_rate,MATCH(E834,art_ref,0)),0)),N(IFERROR(INDEX(po_rate,MATCH(C834,po_code,0)),0))))</f>
        <v/>
      </c>
      <c r="R834" s="55" t="str">
        <f>IF(AC834=1,P834*60/Q834,"")</f>
        <v/>
      </c>
      <c r="S834" s="55" t="str">
        <f>IF(AC834=1,N(G834)*60/Q834,"")</f>
        <v/>
      </c>
      <c r="T834" s="57" t="str">
        <f>IF(AC834=1,O834/M834,"")</f>
        <v/>
      </c>
      <c r="U834" s="57" t="str">
        <f>IF(AC834=1,IF(O834&gt;0,R834/O834,""),"")</f>
        <v/>
      </c>
      <c r="V834" s="57" t="str">
        <f>IF(AC834=1,IF(P834&gt;0,N(G834)/P834,""),"")</f>
        <v/>
      </c>
      <c r="W834" s="57" t="str">
        <f>IF(AC834=1,S834/M834,"")</f>
        <v/>
      </c>
      <c r="X834" s="57" t="str">
        <f>IF(AC834=1,S834/K834,"")</f>
        <v/>
      </c>
      <c r="Y834" s="58" t="str">
        <f>IF(W834="","",IF(W834&gt;=p_target,"Bon",IF(W834&gt;=p_alert,"À surveiller","Faible")))</f>
        <v/>
      </c>
      <c r="Z834" s="58" t="str">
        <f>IF(W834="","",IF(MIN(IF(T834="",1,T834),IF(U834="",1,U834),IF(V834="",1,V834))&gt;=1,"Aucune",IF(IF(T834="",1,T834)&lt;=MIN(IF(U834="",1,U834),IF(V834="",1,V834)),"Disponibilité",IF(IF(U834="",1,U834)&lt;=IF(V834="",1,V834),"Performance","Qualité"))))</f>
        <v/>
      </c>
      <c r="AA834" s="59" t="str">
        <f>IF(AC834=1,N(H834)*N(IFERROR(INDEX(art_cost,MATCH(E834,art_ref,0)),0)),"")</f>
        <v/>
      </c>
      <c r="AB834" s="58" t="str">
        <f>IF(COUNTA(A834:I834)=0,"",IF(N(A834)&lt;=0,"Date manquante ou invalide",IF(B834="","Équipe manquante",IF(ISNA(MATCH(B834,eq_code,0)),"Équipe inconnue",IF(INDEX(eq_check,MATCH(B834,eq_code,0))&lt;&gt;"OK","Équipe à corriger dans Paramètres",IF(C834="","Poste manquant",IF(ISNA(MATCH(C834,po_code,0)),"Poste inconnu",IF(AND(E834&lt;&gt;"",ISNA(MATCH(E834,art_ref,0))),"Article inconnu",IF(IF(E834="",FALSE,INDEX(art_check,MATCH(E834,art_ref,0))&lt;&gt;"OK"),"Article à corriger (feuille Articles)",IF(COUNTIFS(sj_date,A834,sj_eq,B834,sj_po,C834)&gt;1,"Ligne en double (même jour, équipe et poste)",IF(OR(NOT(ISNUMBER(K834)),N(K834)&lt;=0,N(K834)&gt;1440),"Temps d'ouverture invalide",IF(OR(AND(G834&lt;&gt;"",NOT(ISNUMBER(G834))),N(G834)&lt;0,N(G834)&lt;&gt;INT(N(G834)),AND(H834&lt;&gt;"",NOT(ISNUMBER(H834))),N(H834)&lt;0,N(H834)&lt;&gt;INT(N(H834)),AND(I834&lt;&gt;"",NOT(ISNUMBER(I834))),N(I834)&lt;0,N(I834)&lt;&gt;INT(N(I834))),"Quantité invalide",IF(Q834&lt;=0,"Cadence manquante (poste ou article)",IF(M834&lt;=0,"Arrêts planifiés supérieurs au temps d'ouverture",IF(O834&lt;0,"Arrêts supérieurs au temps requis",IF(AND(P834&gt;0,O834=0),"Pièces déclarées sans temps de marche",IF(AND(P834=0,O834&gt;0),"Aucune pièce déclarée",IF(P834*60/Q834&gt;O834+0.001,"Cadence dépassée : vérifiez la cadence","OK"))))))))))))))))))</f>
        <v/>
      </c>
      <c r="AC834">
        <f>IF(OR(AB834="OK",AB834="Aucune pièce déclarée",AB834="Cadence dépassée : vérifiez la cadence"),1,0)</f>
        <v>0.0</v>
      </c>
      <c r="AD834">
        <f>IF(AND(AC834=1,A834&gt;=p_from,A834&lt;=p_to),1,0)</f>
        <v>0.0</v>
      </c>
      <c r="AE834">
        <f>IF(AD834=1,IF(COUNTIFS($A$6:A834,A834,$AD$6:AD834,1)=1,1,0),0)</f>
        <v>0.0</v>
      </c>
      <c r="AF834" t="str">
        <f>IF(AE834=1,COUNTIFS(sj_first,1,sj_date,"&lt;"&amp;A834)+1,"")</f>
        <v/>
      </c>
      <c r="AG834" t="str">
        <f>IF(AND(AD834=1,N(W834)&lt;p_alert),ROUND(W834,4),"")</f>
        <v/>
      </c>
      <c r="AH834" t="str">
        <f>IF(AG834="","",COUNTIF(sj_akey,"&lt;"&amp;AG834)+COUNTIF($AG$6:AG834,AG834))</f>
        <v/>
      </c>
    </row>
    <row r="835">
      <c r="A835" s="51" t="n"/>
      <c r="B835" s="52" t="n"/>
      <c r="C835" s="52" t="n"/>
      <c r="D835" s="53" t="n"/>
      <c r="E835" s="53" t="n"/>
      <c r="F835" s="54" t="n"/>
      <c r="G835" s="54" t="n"/>
      <c r="H835" s="54" t="n"/>
      <c r="I835" s="54" t="n"/>
      <c r="J835" s="53" t="n"/>
      <c r="K835" s="55" t="str">
        <f>IF(COUNTA(A835:I835)=0,"",IF(F835="",IFERROR(INDEX(eq_dur,MATCH(B835,eq_code,0)),""),F835))</f>
        <v/>
      </c>
      <c r="L835" s="55" t="str">
        <f>IF(ISNUMBER(K835),N(IFERROR(INDEX(eq_pause,MATCH(B835,eq_code,0)),0))+SUMIFS(st_min,st_date,A835,st_eq,B835,st_po,C835,st_type,"Planifié"),"")</f>
        <v/>
      </c>
      <c r="M835" s="55" t="str">
        <f>IF(ISNUMBER(K835),K835-L835,"")</f>
        <v/>
      </c>
      <c r="N835" s="55" t="str">
        <f>IF(ISNUMBER(K835),SUMIFS(st_min,st_date,A835,st_eq,B835,st_po,C835,st_type,"Non planifié"),"")</f>
        <v/>
      </c>
      <c r="O835" s="55" t="str">
        <f>IF(ISNUMBER(K835),M835-N835,"")</f>
        <v/>
      </c>
      <c r="P835" s="55" t="str">
        <f>IF(COUNTA(A835:I835)=0,"",N(G835)+N(H835)+N(I835))</f>
        <v/>
      </c>
      <c r="Q835" s="56" t="str">
        <f>IF(COUNTA(A835:I835)=0,"",IF(N(IFERROR(INDEX(art_rate,MATCH(E835,art_ref,0)),0))&gt;0,N(IFERROR(INDEX(art_rate,MATCH(E835,art_ref,0)),0)),N(IFERROR(INDEX(po_rate,MATCH(C835,po_code,0)),0))))</f>
        <v/>
      </c>
      <c r="R835" s="55" t="str">
        <f>IF(AC835=1,P835*60/Q835,"")</f>
        <v/>
      </c>
      <c r="S835" s="55" t="str">
        <f>IF(AC835=1,N(G835)*60/Q835,"")</f>
        <v/>
      </c>
      <c r="T835" s="57" t="str">
        <f>IF(AC835=1,O835/M835,"")</f>
        <v/>
      </c>
      <c r="U835" s="57" t="str">
        <f>IF(AC835=1,IF(O835&gt;0,R835/O835,""),"")</f>
        <v/>
      </c>
      <c r="V835" s="57" t="str">
        <f>IF(AC835=1,IF(P835&gt;0,N(G835)/P835,""),"")</f>
        <v/>
      </c>
      <c r="W835" s="57" t="str">
        <f>IF(AC835=1,S835/M835,"")</f>
        <v/>
      </c>
      <c r="X835" s="57" t="str">
        <f>IF(AC835=1,S835/K835,"")</f>
        <v/>
      </c>
      <c r="Y835" s="58" t="str">
        <f>IF(W835="","",IF(W835&gt;=p_target,"Bon",IF(W835&gt;=p_alert,"À surveiller","Faible")))</f>
        <v/>
      </c>
      <c r="Z835" s="58" t="str">
        <f>IF(W835="","",IF(MIN(IF(T835="",1,T835),IF(U835="",1,U835),IF(V835="",1,V835))&gt;=1,"Aucune",IF(IF(T835="",1,T835)&lt;=MIN(IF(U835="",1,U835),IF(V835="",1,V835)),"Disponibilité",IF(IF(U835="",1,U835)&lt;=IF(V835="",1,V835),"Performance","Qualité"))))</f>
        <v/>
      </c>
      <c r="AA835" s="59" t="str">
        <f>IF(AC835=1,N(H835)*N(IFERROR(INDEX(art_cost,MATCH(E835,art_ref,0)),0)),"")</f>
        <v/>
      </c>
      <c r="AB835" s="58" t="str">
        <f>IF(COUNTA(A835:I835)=0,"",IF(N(A835)&lt;=0,"Date manquante ou invalide",IF(B835="","Équipe manquante",IF(ISNA(MATCH(B835,eq_code,0)),"Équipe inconnue",IF(INDEX(eq_check,MATCH(B835,eq_code,0))&lt;&gt;"OK","Équipe à corriger dans Paramètres",IF(C835="","Poste manquant",IF(ISNA(MATCH(C835,po_code,0)),"Poste inconnu",IF(AND(E835&lt;&gt;"",ISNA(MATCH(E835,art_ref,0))),"Article inconnu",IF(IF(E835="",FALSE,INDEX(art_check,MATCH(E835,art_ref,0))&lt;&gt;"OK"),"Article à corriger (feuille Articles)",IF(COUNTIFS(sj_date,A835,sj_eq,B835,sj_po,C835)&gt;1,"Ligne en double (même jour, équipe et poste)",IF(OR(NOT(ISNUMBER(K835)),N(K835)&lt;=0,N(K835)&gt;1440),"Temps d'ouverture invalide",IF(OR(AND(G835&lt;&gt;"",NOT(ISNUMBER(G835))),N(G835)&lt;0,N(G835)&lt;&gt;INT(N(G835)),AND(H835&lt;&gt;"",NOT(ISNUMBER(H835))),N(H835)&lt;0,N(H835)&lt;&gt;INT(N(H835)),AND(I835&lt;&gt;"",NOT(ISNUMBER(I835))),N(I835)&lt;0,N(I835)&lt;&gt;INT(N(I835))),"Quantité invalide",IF(Q835&lt;=0,"Cadence manquante (poste ou article)",IF(M835&lt;=0,"Arrêts planifiés supérieurs au temps d'ouverture",IF(O835&lt;0,"Arrêts supérieurs au temps requis",IF(AND(P835&gt;0,O835=0),"Pièces déclarées sans temps de marche",IF(AND(P835=0,O835&gt;0),"Aucune pièce déclarée",IF(P835*60/Q835&gt;O835+0.001,"Cadence dépassée : vérifiez la cadence","OK"))))))))))))))))))</f>
        <v/>
      </c>
      <c r="AC835">
        <f>IF(OR(AB835="OK",AB835="Aucune pièce déclarée",AB835="Cadence dépassée : vérifiez la cadence"),1,0)</f>
        <v>0.0</v>
      </c>
      <c r="AD835">
        <f>IF(AND(AC835=1,A835&gt;=p_from,A835&lt;=p_to),1,0)</f>
        <v>0.0</v>
      </c>
      <c r="AE835">
        <f>IF(AD835=1,IF(COUNTIFS($A$6:A835,A835,$AD$6:AD835,1)=1,1,0),0)</f>
        <v>0.0</v>
      </c>
      <c r="AF835" t="str">
        <f>IF(AE835=1,COUNTIFS(sj_first,1,sj_date,"&lt;"&amp;A835)+1,"")</f>
        <v/>
      </c>
      <c r="AG835" t="str">
        <f>IF(AND(AD835=1,N(W835)&lt;p_alert),ROUND(W835,4),"")</f>
        <v/>
      </c>
      <c r="AH835" t="str">
        <f>IF(AG835="","",COUNTIF(sj_akey,"&lt;"&amp;AG835)+COUNTIF($AG$6:AG835,AG835))</f>
        <v/>
      </c>
    </row>
    <row r="836">
      <c r="A836" s="51" t="n"/>
      <c r="B836" s="52" t="n"/>
      <c r="C836" s="52" t="n"/>
      <c r="D836" s="53" t="n"/>
      <c r="E836" s="53" t="n"/>
      <c r="F836" s="54" t="n"/>
      <c r="G836" s="54" t="n"/>
      <c r="H836" s="54" t="n"/>
      <c r="I836" s="54" t="n"/>
      <c r="J836" s="53" t="n"/>
      <c r="K836" s="55" t="str">
        <f>IF(COUNTA(A836:I836)=0,"",IF(F836="",IFERROR(INDEX(eq_dur,MATCH(B836,eq_code,0)),""),F836))</f>
        <v/>
      </c>
      <c r="L836" s="55" t="str">
        <f>IF(ISNUMBER(K836),N(IFERROR(INDEX(eq_pause,MATCH(B836,eq_code,0)),0))+SUMIFS(st_min,st_date,A836,st_eq,B836,st_po,C836,st_type,"Planifié"),"")</f>
        <v/>
      </c>
      <c r="M836" s="55" t="str">
        <f>IF(ISNUMBER(K836),K836-L836,"")</f>
        <v/>
      </c>
      <c r="N836" s="55" t="str">
        <f>IF(ISNUMBER(K836),SUMIFS(st_min,st_date,A836,st_eq,B836,st_po,C836,st_type,"Non planifié"),"")</f>
        <v/>
      </c>
      <c r="O836" s="55" t="str">
        <f>IF(ISNUMBER(K836),M836-N836,"")</f>
        <v/>
      </c>
      <c r="P836" s="55" t="str">
        <f>IF(COUNTA(A836:I836)=0,"",N(G836)+N(H836)+N(I836))</f>
        <v/>
      </c>
      <c r="Q836" s="56" t="str">
        <f>IF(COUNTA(A836:I836)=0,"",IF(N(IFERROR(INDEX(art_rate,MATCH(E836,art_ref,0)),0))&gt;0,N(IFERROR(INDEX(art_rate,MATCH(E836,art_ref,0)),0)),N(IFERROR(INDEX(po_rate,MATCH(C836,po_code,0)),0))))</f>
        <v/>
      </c>
      <c r="R836" s="55" t="str">
        <f>IF(AC836=1,P836*60/Q836,"")</f>
        <v/>
      </c>
      <c r="S836" s="55" t="str">
        <f>IF(AC836=1,N(G836)*60/Q836,"")</f>
        <v/>
      </c>
      <c r="T836" s="57" t="str">
        <f>IF(AC836=1,O836/M836,"")</f>
        <v/>
      </c>
      <c r="U836" s="57" t="str">
        <f>IF(AC836=1,IF(O836&gt;0,R836/O836,""),"")</f>
        <v/>
      </c>
      <c r="V836" s="57" t="str">
        <f>IF(AC836=1,IF(P836&gt;0,N(G836)/P836,""),"")</f>
        <v/>
      </c>
      <c r="W836" s="57" t="str">
        <f>IF(AC836=1,S836/M836,"")</f>
        <v/>
      </c>
      <c r="X836" s="57" t="str">
        <f>IF(AC836=1,S836/K836,"")</f>
        <v/>
      </c>
      <c r="Y836" s="58" t="str">
        <f>IF(W836="","",IF(W836&gt;=p_target,"Bon",IF(W836&gt;=p_alert,"À surveiller","Faible")))</f>
        <v/>
      </c>
      <c r="Z836" s="58" t="str">
        <f>IF(W836="","",IF(MIN(IF(T836="",1,T836),IF(U836="",1,U836),IF(V836="",1,V836))&gt;=1,"Aucune",IF(IF(T836="",1,T836)&lt;=MIN(IF(U836="",1,U836),IF(V836="",1,V836)),"Disponibilité",IF(IF(U836="",1,U836)&lt;=IF(V836="",1,V836),"Performance","Qualité"))))</f>
        <v/>
      </c>
      <c r="AA836" s="59" t="str">
        <f>IF(AC836=1,N(H836)*N(IFERROR(INDEX(art_cost,MATCH(E836,art_ref,0)),0)),"")</f>
        <v/>
      </c>
      <c r="AB836" s="58" t="str">
        <f>IF(COUNTA(A836:I836)=0,"",IF(N(A836)&lt;=0,"Date manquante ou invalide",IF(B836="","Équipe manquante",IF(ISNA(MATCH(B836,eq_code,0)),"Équipe inconnue",IF(INDEX(eq_check,MATCH(B836,eq_code,0))&lt;&gt;"OK","Équipe à corriger dans Paramètres",IF(C836="","Poste manquant",IF(ISNA(MATCH(C836,po_code,0)),"Poste inconnu",IF(AND(E836&lt;&gt;"",ISNA(MATCH(E836,art_ref,0))),"Article inconnu",IF(IF(E836="",FALSE,INDEX(art_check,MATCH(E836,art_ref,0))&lt;&gt;"OK"),"Article à corriger (feuille Articles)",IF(COUNTIFS(sj_date,A836,sj_eq,B836,sj_po,C836)&gt;1,"Ligne en double (même jour, équipe et poste)",IF(OR(NOT(ISNUMBER(K836)),N(K836)&lt;=0,N(K836)&gt;1440),"Temps d'ouverture invalide",IF(OR(AND(G836&lt;&gt;"",NOT(ISNUMBER(G836))),N(G836)&lt;0,N(G836)&lt;&gt;INT(N(G836)),AND(H836&lt;&gt;"",NOT(ISNUMBER(H836))),N(H836)&lt;0,N(H836)&lt;&gt;INT(N(H836)),AND(I836&lt;&gt;"",NOT(ISNUMBER(I836))),N(I836)&lt;0,N(I836)&lt;&gt;INT(N(I836))),"Quantité invalide",IF(Q836&lt;=0,"Cadence manquante (poste ou article)",IF(M836&lt;=0,"Arrêts planifiés supérieurs au temps d'ouverture",IF(O836&lt;0,"Arrêts supérieurs au temps requis",IF(AND(P836&gt;0,O836=0),"Pièces déclarées sans temps de marche",IF(AND(P836=0,O836&gt;0),"Aucune pièce déclarée",IF(P836*60/Q836&gt;O836+0.001,"Cadence dépassée : vérifiez la cadence","OK"))))))))))))))))))</f>
        <v/>
      </c>
      <c r="AC836">
        <f>IF(OR(AB836="OK",AB836="Aucune pièce déclarée",AB836="Cadence dépassée : vérifiez la cadence"),1,0)</f>
        <v>0.0</v>
      </c>
      <c r="AD836">
        <f>IF(AND(AC836=1,A836&gt;=p_from,A836&lt;=p_to),1,0)</f>
        <v>0.0</v>
      </c>
      <c r="AE836">
        <f>IF(AD836=1,IF(COUNTIFS($A$6:A836,A836,$AD$6:AD836,1)=1,1,0),0)</f>
        <v>0.0</v>
      </c>
      <c r="AF836" t="str">
        <f>IF(AE836=1,COUNTIFS(sj_first,1,sj_date,"&lt;"&amp;A836)+1,"")</f>
        <v/>
      </c>
      <c r="AG836" t="str">
        <f>IF(AND(AD836=1,N(W836)&lt;p_alert),ROUND(W836,4),"")</f>
        <v/>
      </c>
      <c r="AH836" t="str">
        <f>IF(AG836="","",COUNTIF(sj_akey,"&lt;"&amp;AG836)+COUNTIF($AG$6:AG836,AG836))</f>
        <v/>
      </c>
    </row>
    <row r="837">
      <c r="A837" s="51" t="n"/>
      <c r="B837" s="52" t="n"/>
      <c r="C837" s="52" t="n"/>
      <c r="D837" s="53" t="n"/>
      <c r="E837" s="53" t="n"/>
      <c r="F837" s="54" t="n"/>
      <c r="G837" s="54" t="n"/>
      <c r="H837" s="54" t="n"/>
      <c r="I837" s="54" t="n"/>
      <c r="J837" s="53" t="n"/>
      <c r="K837" s="55" t="str">
        <f>IF(COUNTA(A837:I837)=0,"",IF(F837="",IFERROR(INDEX(eq_dur,MATCH(B837,eq_code,0)),""),F837))</f>
        <v/>
      </c>
      <c r="L837" s="55" t="str">
        <f>IF(ISNUMBER(K837),N(IFERROR(INDEX(eq_pause,MATCH(B837,eq_code,0)),0))+SUMIFS(st_min,st_date,A837,st_eq,B837,st_po,C837,st_type,"Planifié"),"")</f>
        <v/>
      </c>
      <c r="M837" s="55" t="str">
        <f>IF(ISNUMBER(K837),K837-L837,"")</f>
        <v/>
      </c>
      <c r="N837" s="55" t="str">
        <f>IF(ISNUMBER(K837),SUMIFS(st_min,st_date,A837,st_eq,B837,st_po,C837,st_type,"Non planifié"),"")</f>
        <v/>
      </c>
      <c r="O837" s="55" t="str">
        <f>IF(ISNUMBER(K837),M837-N837,"")</f>
        <v/>
      </c>
      <c r="P837" s="55" t="str">
        <f>IF(COUNTA(A837:I837)=0,"",N(G837)+N(H837)+N(I837))</f>
        <v/>
      </c>
      <c r="Q837" s="56" t="str">
        <f>IF(COUNTA(A837:I837)=0,"",IF(N(IFERROR(INDEX(art_rate,MATCH(E837,art_ref,0)),0))&gt;0,N(IFERROR(INDEX(art_rate,MATCH(E837,art_ref,0)),0)),N(IFERROR(INDEX(po_rate,MATCH(C837,po_code,0)),0))))</f>
        <v/>
      </c>
      <c r="R837" s="55" t="str">
        <f>IF(AC837=1,P837*60/Q837,"")</f>
        <v/>
      </c>
      <c r="S837" s="55" t="str">
        <f>IF(AC837=1,N(G837)*60/Q837,"")</f>
        <v/>
      </c>
      <c r="T837" s="57" t="str">
        <f>IF(AC837=1,O837/M837,"")</f>
        <v/>
      </c>
      <c r="U837" s="57" t="str">
        <f>IF(AC837=1,IF(O837&gt;0,R837/O837,""),"")</f>
        <v/>
      </c>
      <c r="V837" s="57" t="str">
        <f>IF(AC837=1,IF(P837&gt;0,N(G837)/P837,""),"")</f>
        <v/>
      </c>
      <c r="W837" s="57" t="str">
        <f>IF(AC837=1,S837/M837,"")</f>
        <v/>
      </c>
      <c r="X837" s="57" t="str">
        <f>IF(AC837=1,S837/K837,"")</f>
        <v/>
      </c>
      <c r="Y837" s="58" t="str">
        <f>IF(W837="","",IF(W837&gt;=p_target,"Bon",IF(W837&gt;=p_alert,"À surveiller","Faible")))</f>
        <v/>
      </c>
      <c r="Z837" s="58" t="str">
        <f>IF(W837="","",IF(MIN(IF(T837="",1,T837),IF(U837="",1,U837),IF(V837="",1,V837))&gt;=1,"Aucune",IF(IF(T837="",1,T837)&lt;=MIN(IF(U837="",1,U837),IF(V837="",1,V837)),"Disponibilité",IF(IF(U837="",1,U837)&lt;=IF(V837="",1,V837),"Performance","Qualité"))))</f>
        <v/>
      </c>
      <c r="AA837" s="59" t="str">
        <f>IF(AC837=1,N(H837)*N(IFERROR(INDEX(art_cost,MATCH(E837,art_ref,0)),0)),"")</f>
        <v/>
      </c>
      <c r="AB837" s="58" t="str">
        <f>IF(COUNTA(A837:I837)=0,"",IF(N(A837)&lt;=0,"Date manquante ou invalide",IF(B837="","Équipe manquante",IF(ISNA(MATCH(B837,eq_code,0)),"Équipe inconnue",IF(INDEX(eq_check,MATCH(B837,eq_code,0))&lt;&gt;"OK","Équipe à corriger dans Paramètres",IF(C837="","Poste manquant",IF(ISNA(MATCH(C837,po_code,0)),"Poste inconnu",IF(AND(E837&lt;&gt;"",ISNA(MATCH(E837,art_ref,0))),"Article inconnu",IF(IF(E837="",FALSE,INDEX(art_check,MATCH(E837,art_ref,0))&lt;&gt;"OK"),"Article à corriger (feuille Articles)",IF(COUNTIFS(sj_date,A837,sj_eq,B837,sj_po,C837)&gt;1,"Ligne en double (même jour, équipe et poste)",IF(OR(NOT(ISNUMBER(K837)),N(K837)&lt;=0,N(K837)&gt;1440),"Temps d'ouverture invalide",IF(OR(AND(G837&lt;&gt;"",NOT(ISNUMBER(G837))),N(G837)&lt;0,N(G837)&lt;&gt;INT(N(G837)),AND(H837&lt;&gt;"",NOT(ISNUMBER(H837))),N(H837)&lt;0,N(H837)&lt;&gt;INT(N(H837)),AND(I837&lt;&gt;"",NOT(ISNUMBER(I837))),N(I837)&lt;0,N(I837)&lt;&gt;INT(N(I837))),"Quantité invalide",IF(Q837&lt;=0,"Cadence manquante (poste ou article)",IF(M837&lt;=0,"Arrêts planifiés supérieurs au temps d'ouverture",IF(O837&lt;0,"Arrêts supérieurs au temps requis",IF(AND(P837&gt;0,O837=0),"Pièces déclarées sans temps de marche",IF(AND(P837=0,O837&gt;0),"Aucune pièce déclarée",IF(P837*60/Q837&gt;O837+0.001,"Cadence dépassée : vérifiez la cadence","OK"))))))))))))))))))</f>
        <v/>
      </c>
      <c r="AC837">
        <f>IF(OR(AB837="OK",AB837="Aucune pièce déclarée",AB837="Cadence dépassée : vérifiez la cadence"),1,0)</f>
        <v>0.0</v>
      </c>
      <c r="AD837">
        <f>IF(AND(AC837=1,A837&gt;=p_from,A837&lt;=p_to),1,0)</f>
        <v>0.0</v>
      </c>
      <c r="AE837">
        <f>IF(AD837=1,IF(COUNTIFS($A$6:A837,A837,$AD$6:AD837,1)=1,1,0),0)</f>
        <v>0.0</v>
      </c>
      <c r="AF837" t="str">
        <f>IF(AE837=1,COUNTIFS(sj_first,1,sj_date,"&lt;"&amp;A837)+1,"")</f>
        <v/>
      </c>
      <c r="AG837" t="str">
        <f>IF(AND(AD837=1,N(W837)&lt;p_alert),ROUND(W837,4),"")</f>
        <v/>
      </c>
      <c r="AH837" t="str">
        <f>IF(AG837="","",COUNTIF(sj_akey,"&lt;"&amp;AG837)+COUNTIF($AG$6:AG837,AG837))</f>
        <v/>
      </c>
    </row>
    <row r="838">
      <c r="A838" s="51" t="n"/>
      <c r="B838" s="52" t="n"/>
      <c r="C838" s="52" t="n"/>
      <c r="D838" s="53" t="n"/>
      <c r="E838" s="53" t="n"/>
      <c r="F838" s="54" t="n"/>
      <c r="G838" s="54" t="n"/>
      <c r="H838" s="54" t="n"/>
      <c r="I838" s="54" t="n"/>
      <c r="J838" s="53" t="n"/>
      <c r="K838" s="55" t="str">
        <f>IF(COUNTA(A838:I838)=0,"",IF(F838="",IFERROR(INDEX(eq_dur,MATCH(B838,eq_code,0)),""),F838))</f>
        <v/>
      </c>
      <c r="L838" s="55" t="str">
        <f>IF(ISNUMBER(K838),N(IFERROR(INDEX(eq_pause,MATCH(B838,eq_code,0)),0))+SUMIFS(st_min,st_date,A838,st_eq,B838,st_po,C838,st_type,"Planifié"),"")</f>
        <v/>
      </c>
      <c r="M838" s="55" t="str">
        <f>IF(ISNUMBER(K838),K838-L838,"")</f>
        <v/>
      </c>
      <c r="N838" s="55" t="str">
        <f>IF(ISNUMBER(K838),SUMIFS(st_min,st_date,A838,st_eq,B838,st_po,C838,st_type,"Non planifié"),"")</f>
        <v/>
      </c>
      <c r="O838" s="55" t="str">
        <f>IF(ISNUMBER(K838),M838-N838,"")</f>
        <v/>
      </c>
      <c r="P838" s="55" t="str">
        <f>IF(COUNTA(A838:I838)=0,"",N(G838)+N(H838)+N(I838))</f>
        <v/>
      </c>
      <c r="Q838" s="56" t="str">
        <f>IF(COUNTA(A838:I838)=0,"",IF(N(IFERROR(INDEX(art_rate,MATCH(E838,art_ref,0)),0))&gt;0,N(IFERROR(INDEX(art_rate,MATCH(E838,art_ref,0)),0)),N(IFERROR(INDEX(po_rate,MATCH(C838,po_code,0)),0))))</f>
        <v/>
      </c>
      <c r="R838" s="55" t="str">
        <f>IF(AC838=1,P838*60/Q838,"")</f>
        <v/>
      </c>
      <c r="S838" s="55" t="str">
        <f>IF(AC838=1,N(G838)*60/Q838,"")</f>
        <v/>
      </c>
      <c r="T838" s="57" t="str">
        <f>IF(AC838=1,O838/M838,"")</f>
        <v/>
      </c>
      <c r="U838" s="57" t="str">
        <f>IF(AC838=1,IF(O838&gt;0,R838/O838,""),"")</f>
        <v/>
      </c>
      <c r="V838" s="57" t="str">
        <f>IF(AC838=1,IF(P838&gt;0,N(G838)/P838,""),"")</f>
        <v/>
      </c>
      <c r="W838" s="57" t="str">
        <f>IF(AC838=1,S838/M838,"")</f>
        <v/>
      </c>
      <c r="X838" s="57" t="str">
        <f>IF(AC838=1,S838/K838,"")</f>
        <v/>
      </c>
      <c r="Y838" s="58" t="str">
        <f>IF(W838="","",IF(W838&gt;=p_target,"Bon",IF(W838&gt;=p_alert,"À surveiller","Faible")))</f>
        <v/>
      </c>
      <c r="Z838" s="58" t="str">
        <f>IF(W838="","",IF(MIN(IF(T838="",1,T838),IF(U838="",1,U838),IF(V838="",1,V838))&gt;=1,"Aucune",IF(IF(T838="",1,T838)&lt;=MIN(IF(U838="",1,U838),IF(V838="",1,V838)),"Disponibilité",IF(IF(U838="",1,U838)&lt;=IF(V838="",1,V838),"Performance","Qualité"))))</f>
        <v/>
      </c>
      <c r="AA838" s="59" t="str">
        <f>IF(AC838=1,N(H838)*N(IFERROR(INDEX(art_cost,MATCH(E838,art_ref,0)),0)),"")</f>
        <v/>
      </c>
      <c r="AB838" s="58" t="str">
        <f>IF(COUNTA(A838:I838)=0,"",IF(N(A838)&lt;=0,"Date manquante ou invalide",IF(B838="","Équipe manquante",IF(ISNA(MATCH(B838,eq_code,0)),"Équipe inconnue",IF(INDEX(eq_check,MATCH(B838,eq_code,0))&lt;&gt;"OK","Équipe à corriger dans Paramètres",IF(C838="","Poste manquant",IF(ISNA(MATCH(C838,po_code,0)),"Poste inconnu",IF(AND(E838&lt;&gt;"",ISNA(MATCH(E838,art_ref,0))),"Article inconnu",IF(IF(E838="",FALSE,INDEX(art_check,MATCH(E838,art_ref,0))&lt;&gt;"OK"),"Article à corriger (feuille Articles)",IF(COUNTIFS(sj_date,A838,sj_eq,B838,sj_po,C838)&gt;1,"Ligne en double (même jour, équipe et poste)",IF(OR(NOT(ISNUMBER(K838)),N(K838)&lt;=0,N(K838)&gt;1440),"Temps d'ouverture invalide",IF(OR(AND(G838&lt;&gt;"",NOT(ISNUMBER(G838))),N(G838)&lt;0,N(G838)&lt;&gt;INT(N(G838)),AND(H838&lt;&gt;"",NOT(ISNUMBER(H838))),N(H838)&lt;0,N(H838)&lt;&gt;INT(N(H838)),AND(I838&lt;&gt;"",NOT(ISNUMBER(I838))),N(I838)&lt;0,N(I838)&lt;&gt;INT(N(I838))),"Quantité invalide",IF(Q838&lt;=0,"Cadence manquante (poste ou article)",IF(M838&lt;=0,"Arrêts planifiés supérieurs au temps d'ouverture",IF(O838&lt;0,"Arrêts supérieurs au temps requis",IF(AND(P838&gt;0,O838=0),"Pièces déclarées sans temps de marche",IF(AND(P838=0,O838&gt;0),"Aucune pièce déclarée",IF(P838*60/Q838&gt;O838+0.001,"Cadence dépassée : vérifiez la cadence","OK"))))))))))))))))))</f>
        <v/>
      </c>
      <c r="AC838">
        <f>IF(OR(AB838="OK",AB838="Aucune pièce déclarée",AB838="Cadence dépassée : vérifiez la cadence"),1,0)</f>
        <v>0.0</v>
      </c>
      <c r="AD838">
        <f>IF(AND(AC838=1,A838&gt;=p_from,A838&lt;=p_to),1,0)</f>
        <v>0.0</v>
      </c>
      <c r="AE838">
        <f>IF(AD838=1,IF(COUNTIFS($A$6:A838,A838,$AD$6:AD838,1)=1,1,0),0)</f>
        <v>0.0</v>
      </c>
      <c r="AF838" t="str">
        <f>IF(AE838=1,COUNTIFS(sj_first,1,sj_date,"&lt;"&amp;A838)+1,"")</f>
        <v/>
      </c>
      <c r="AG838" t="str">
        <f>IF(AND(AD838=1,N(W838)&lt;p_alert),ROUND(W838,4),"")</f>
        <v/>
      </c>
      <c r="AH838" t="str">
        <f>IF(AG838="","",COUNTIF(sj_akey,"&lt;"&amp;AG838)+COUNTIF($AG$6:AG838,AG838))</f>
        <v/>
      </c>
    </row>
    <row r="839">
      <c r="A839" s="51" t="n"/>
      <c r="B839" s="52" t="n"/>
      <c r="C839" s="52" t="n"/>
      <c r="D839" s="53" t="n"/>
      <c r="E839" s="53" t="n"/>
      <c r="F839" s="54" t="n"/>
      <c r="G839" s="54" t="n"/>
      <c r="H839" s="54" t="n"/>
      <c r="I839" s="54" t="n"/>
      <c r="J839" s="53" t="n"/>
      <c r="K839" s="55" t="str">
        <f>IF(COUNTA(A839:I839)=0,"",IF(F839="",IFERROR(INDEX(eq_dur,MATCH(B839,eq_code,0)),""),F839))</f>
        <v/>
      </c>
      <c r="L839" s="55" t="str">
        <f>IF(ISNUMBER(K839),N(IFERROR(INDEX(eq_pause,MATCH(B839,eq_code,0)),0))+SUMIFS(st_min,st_date,A839,st_eq,B839,st_po,C839,st_type,"Planifié"),"")</f>
        <v/>
      </c>
      <c r="M839" s="55" t="str">
        <f>IF(ISNUMBER(K839),K839-L839,"")</f>
        <v/>
      </c>
      <c r="N839" s="55" t="str">
        <f>IF(ISNUMBER(K839),SUMIFS(st_min,st_date,A839,st_eq,B839,st_po,C839,st_type,"Non planifié"),"")</f>
        <v/>
      </c>
      <c r="O839" s="55" t="str">
        <f>IF(ISNUMBER(K839),M839-N839,"")</f>
        <v/>
      </c>
      <c r="P839" s="55" t="str">
        <f>IF(COUNTA(A839:I839)=0,"",N(G839)+N(H839)+N(I839))</f>
        <v/>
      </c>
      <c r="Q839" s="56" t="str">
        <f>IF(COUNTA(A839:I839)=0,"",IF(N(IFERROR(INDEX(art_rate,MATCH(E839,art_ref,0)),0))&gt;0,N(IFERROR(INDEX(art_rate,MATCH(E839,art_ref,0)),0)),N(IFERROR(INDEX(po_rate,MATCH(C839,po_code,0)),0))))</f>
        <v/>
      </c>
      <c r="R839" s="55" t="str">
        <f>IF(AC839=1,P839*60/Q839,"")</f>
        <v/>
      </c>
      <c r="S839" s="55" t="str">
        <f>IF(AC839=1,N(G839)*60/Q839,"")</f>
        <v/>
      </c>
      <c r="T839" s="57" t="str">
        <f>IF(AC839=1,O839/M839,"")</f>
        <v/>
      </c>
      <c r="U839" s="57" t="str">
        <f>IF(AC839=1,IF(O839&gt;0,R839/O839,""),"")</f>
        <v/>
      </c>
      <c r="V839" s="57" t="str">
        <f>IF(AC839=1,IF(P839&gt;0,N(G839)/P839,""),"")</f>
        <v/>
      </c>
      <c r="W839" s="57" t="str">
        <f>IF(AC839=1,S839/M839,"")</f>
        <v/>
      </c>
      <c r="X839" s="57" t="str">
        <f>IF(AC839=1,S839/K839,"")</f>
        <v/>
      </c>
      <c r="Y839" s="58" t="str">
        <f>IF(W839="","",IF(W839&gt;=p_target,"Bon",IF(W839&gt;=p_alert,"À surveiller","Faible")))</f>
        <v/>
      </c>
      <c r="Z839" s="58" t="str">
        <f>IF(W839="","",IF(MIN(IF(T839="",1,T839),IF(U839="",1,U839),IF(V839="",1,V839))&gt;=1,"Aucune",IF(IF(T839="",1,T839)&lt;=MIN(IF(U839="",1,U839),IF(V839="",1,V839)),"Disponibilité",IF(IF(U839="",1,U839)&lt;=IF(V839="",1,V839),"Performance","Qualité"))))</f>
        <v/>
      </c>
      <c r="AA839" s="59" t="str">
        <f>IF(AC839=1,N(H839)*N(IFERROR(INDEX(art_cost,MATCH(E839,art_ref,0)),0)),"")</f>
        <v/>
      </c>
      <c r="AB839" s="58" t="str">
        <f>IF(COUNTA(A839:I839)=0,"",IF(N(A839)&lt;=0,"Date manquante ou invalide",IF(B839="","Équipe manquante",IF(ISNA(MATCH(B839,eq_code,0)),"Équipe inconnue",IF(INDEX(eq_check,MATCH(B839,eq_code,0))&lt;&gt;"OK","Équipe à corriger dans Paramètres",IF(C839="","Poste manquant",IF(ISNA(MATCH(C839,po_code,0)),"Poste inconnu",IF(AND(E839&lt;&gt;"",ISNA(MATCH(E839,art_ref,0))),"Article inconnu",IF(IF(E839="",FALSE,INDEX(art_check,MATCH(E839,art_ref,0))&lt;&gt;"OK"),"Article à corriger (feuille Articles)",IF(COUNTIFS(sj_date,A839,sj_eq,B839,sj_po,C839)&gt;1,"Ligne en double (même jour, équipe et poste)",IF(OR(NOT(ISNUMBER(K839)),N(K839)&lt;=0,N(K839)&gt;1440),"Temps d'ouverture invalide",IF(OR(AND(G839&lt;&gt;"",NOT(ISNUMBER(G839))),N(G839)&lt;0,N(G839)&lt;&gt;INT(N(G839)),AND(H839&lt;&gt;"",NOT(ISNUMBER(H839))),N(H839)&lt;0,N(H839)&lt;&gt;INT(N(H839)),AND(I839&lt;&gt;"",NOT(ISNUMBER(I839))),N(I839)&lt;0,N(I839)&lt;&gt;INT(N(I839))),"Quantité invalide",IF(Q839&lt;=0,"Cadence manquante (poste ou article)",IF(M839&lt;=0,"Arrêts planifiés supérieurs au temps d'ouverture",IF(O839&lt;0,"Arrêts supérieurs au temps requis",IF(AND(P839&gt;0,O839=0),"Pièces déclarées sans temps de marche",IF(AND(P839=0,O839&gt;0),"Aucune pièce déclarée",IF(P839*60/Q839&gt;O839+0.001,"Cadence dépassée : vérifiez la cadence","OK"))))))))))))))))))</f>
        <v/>
      </c>
      <c r="AC839">
        <f>IF(OR(AB839="OK",AB839="Aucune pièce déclarée",AB839="Cadence dépassée : vérifiez la cadence"),1,0)</f>
        <v>0.0</v>
      </c>
      <c r="AD839">
        <f>IF(AND(AC839=1,A839&gt;=p_from,A839&lt;=p_to),1,0)</f>
        <v>0.0</v>
      </c>
      <c r="AE839">
        <f>IF(AD839=1,IF(COUNTIFS($A$6:A839,A839,$AD$6:AD839,1)=1,1,0),0)</f>
        <v>0.0</v>
      </c>
      <c r="AF839" t="str">
        <f>IF(AE839=1,COUNTIFS(sj_first,1,sj_date,"&lt;"&amp;A839)+1,"")</f>
        <v/>
      </c>
      <c r="AG839" t="str">
        <f>IF(AND(AD839=1,N(W839)&lt;p_alert),ROUND(W839,4),"")</f>
        <v/>
      </c>
      <c r="AH839" t="str">
        <f>IF(AG839="","",COUNTIF(sj_akey,"&lt;"&amp;AG839)+COUNTIF($AG$6:AG839,AG839))</f>
        <v/>
      </c>
    </row>
    <row r="840">
      <c r="A840" s="51" t="n"/>
      <c r="B840" s="52" t="n"/>
      <c r="C840" s="52" t="n"/>
      <c r="D840" s="53" t="n"/>
      <c r="E840" s="53" t="n"/>
      <c r="F840" s="54" t="n"/>
      <c r="G840" s="54" t="n"/>
      <c r="H840" s="54" t="n"/>
      <c r="I840" s="54" t="n"/>
      <c r="J840" s="53" t="n"/>
      <c r="K840" s="55" t="str">
        <f>IF(COUNTA(A840:I840)=0,"",IF(F840="",IFERROR(INDEX(eq_dur,MATCH(B840,eq_code,0)),""),F840))</f>
        <v/>
      </c>
      <c r="L840" s="55" t="str">
        <f>IF(ISNUMBER(K840),N(IFERROR(INDEX(eq_pause,MATCH(B840,eq_code,0)),0))+SUMIFS(st_min,st_date,A840,st_eq,B840,st_po,C840,st_type,"Planifié"),"")</f>
        <v/>
      </c>
      <c r="M840" s="55" t="str">
        <f>IF(ISNUMBER(K840),K840-L840,"")</f>
        <v/>
      </c>
      <c r="N840" s="55" t="str">
        <f>IF(ISNUMBER(K840),SUMIFS(st_min,st_date,A840,st_eq,B840,st_po,C840,st_type,"Non planifié"),"")</f>
        <v/>
      </c>
      <c r="O840" s="55" t="str">
        <f>IF(ISNUMBER(K840),M840-N840,"")</f>
        <v/>
      </c>
      <c r="P840" s="55" t="str">
        <f>IF(COUNTA(A840:I840)=0,"",N(G840)+N(H840)+N(I840))</f>
        <v/>
      </c>
      <c r="Q840" s="56" t="str">
        <f>IF(COUNTA(A840:I840)=0,"",IF(N(IFERROR(INDEX(art_rate,MATCH(E840,art_ref,0)),0))&gt;0,N(IFERROR(INDEX(art_rate,MATCH(E840,art_ref,0)),0)),N(IFERROR(INDEX(po_rate,MATCH(C840,po_code,0)),0))))</f>
        <v/>
      </c>
      <c r="R840" s="55" t="str">
        <f>IF(AC840=1,P840*60/Q840,"")</f>
        <v/>
      </c>
      <c r="S840" s="55" t="str">
        <f>IF(AC840=1,N(G840)*60/Q840,"")</f>
        <v/>
      </c>
      <c r="T840" s="57" t="str">
        <f>IF(AC840=1,O840/M840,"")</f>
        <v/>
      </c>
      <c r="U840" s="57" t="str">
        <f>IF(AC840=1,IF(O840&gt;0,R840/O840,""),"")</f>
        <v/>
      </c>
      <c r="V840" s="57" t="str">
        <f>IF(AC840=1,IF(P840&gt;0,N(G840)/P840,""),"")</f>
        <v/>
      </c>
      <c r="W840" s="57" t="str">
        <f>IF(AC840=1,S840/M840,"")</f>
        <v/>
      </c>
      <c r="X840" s="57" t="str">
        <f>IF(AC840=1,S840/K840,"")</f>
        <v/>
      </c>
      <c r="Y840" s="58" t="str">
        <f>IF(W840="","",IF(W840&gt;=p_target,"Bon",IF(W840&gt;=p_alert,"À surveiller","Faible")))</f>
        <v/>
      </c>
      <c r="Z840" s="58" t="str">
        <f>IF(W840="","",IF(MIN(IF(T840="",1,T840),IF(U840="",1,U840),IF(V840="",1,V840))&gt;=1,"Aucune",IF(IF(T840="",1,T840)&lt;=MIN(IF(U840="",1,U840),IF(V840="",1,V840)),"Disponibilité",IF(IF(U840="",1,U840)&lt;=IF(V840="",1,V840),"Performance","Qualité"))))</f>
        <v/>
      </c>
      <c r="AA840" s="59" t="str">
        <f>IF(AC840=1,N(H840)*N(IFERROR(INDEX(art_cost,MATCH(E840,art_ref,0)),0)),"")</f>
        <v/>
      </c>
      <c r="AB840" s="58" t="str">
        <f>IF(COUNTA(A840:I840)=0,"",IF(N(A840)&lt;=0,"Date manquante ou invalide",IF(B840="","Équipe manquante",IF(ISNA(MATCH(B840,eq_code,0)),"Équipe inconnue",IF(INDEX(eq_check,MATCH(B840,eq_code,0))&lt;&gt;"OK","Équipe à corriger dans Paramètres",IF(C840="","Poste manquant",IF(ISNA(MATCH(C840,po_code,0)),"Poste inconnu",IF(AND(E840&lt;&gt;"",ISNA(MATCH(E840,art_ref,0))),"Article inconnu",IF(IF(E840="",FALSE,INDEX(art_check,MATCH(E840,art_ref,0))&lt;&gt;"OK"),"Article à corriger (feuille Articles)",IF(COUNTIFS(sj_date,A840,sj_eq,B840,sj_po,C840)&gt;1,"Ligne en double (même jour, équipe et poste)",IF(OR(NOT(ISNUMBER(K840)),N(K840)&lt;=0,N(K840)&gt;1440),"Temps d'ouverture invalide",IF(OR(AND(G840&lt;&gt;"",NOT(ISNUMBER(G840))),N(G840)&lt;0,N(G840)&lt;&gt;INT(N(G840)),AND(H840&lt;&gt;"",NOT(ISNUMBER(H840))),N(H840)&lt;0,N(H840)&lt;&gt;INT(N(H840)),AND(I840&lt;&gt;"",NOT(ISNUMBER(I840))),N(I840)&lt;0,N(I840)&lt;&gt;INT(N(I840))),"Quantité invalide",IF(Q840&lt;=0,"Cadence manquante (poste ou article)",IF(M840&lt;=0,"Arrêts planifiés supérieurs au temps d'ouverture",IF(O840&lt;0,"Arrêts supérieurs au temps requis",IF(AND(P840&gt;0,O840=0),"Pièces déclarées sans temps de marche",IF(AND(P840=0,O840&gt;0),"Aucune pièce déclarée",IF(P840*60/Q840&gt;O840+0.001,"Cadence dépassée : vérifiez la cadence","OK"))))))))))))))))))</f>
        <v/>
      </c>
      <c r="AC840">
        <f>IF(OR(AB840="OK",AB840="Aucune pièce déclarée",AB840="Cadence dépassée : vérifiez la cadence"),1,0)</f>
        <v>0.0</v>
      </c>
      <c r="AD840">
        <f>IF(AND(AC840=1,A840&gt;=p_from,A840&lt;=p_to),1,0)</f>
        <v>0.0</v>
      </c>
      <c r="AE840">
        <f>IF(AD840=1,IF(COUNTIFS($A$6:A840,A840,$AD$6:AD840,1)=1,1,0),0)</f>
        <v>0.0</v>
      </c>
      <c r="AF840" t="str">
        <f>IF(AE840=1,COUNTIFS(sj_first,1,sj_date,"&lt;"&amp;A840)+1,"")</f>
        <v/>
      </c>
      <c r="AG840" t="str">
        <f>IF(AND(AD840=1,N(W840)&lt;p_alert),ROUND(W840,4),"")</f>
        <v/>
      </c>
      <c r="AH840" t="str">
        <f>IF(AG840="","",COUNTIF(sj_akey,"&lt;"&amp;AG840)+COUNTIF($AG$6:AG840,AG840))</f>
        <v/>
      </c>
    </row>
    <row r="841">
      <c r="A841" s="51" t="n"/>
      <c r="B841" s="52" t="n"/>
      <c r="C841" s="52" t="n"/>
      <c r="D841" s="53" t="n"/>
      <c r="E841" s="53" t="n"/>
      <c r="F841" s="54" t="n"/>
      <c r="G841" s="54" t="n"/>
      <c r="H841" s="54" t="n"/>
      <c r="I841" s="54" t="n"/>
      <c r="J841" s="53" t="n"/>
      <c r="K841" s="55" t="str">
        <f>IF(COUNTA(A841:I841)=0,"",IF(F841="",IFERROR(INDEX(eq_dur,MATCH(B841,eq_code,0)),""),F841))</f>
        <v/>
      </c>
      <c r="L841" s="55" t="str">
        <f>IF(ISNUMBER(K841),N(IFERROR(INDEX(eq_pause,MATCH(B841,eq_code,0)),0))+SUMIFS(st_min,st_date,A841,st_eq,B841,st_po,C841,st_type,"Planifié"),"")</f>
        <v/>
      </c>
      <c r="M841" s="55" t="str">
        <f>IF(ISNUMBER(K841),K841-L841,"")</f>
        <v/>
      </c>
      <c r="N841" s="55" t="str">
        <f>IF(ISNUMBER(K841),SUMIFS(st_min,st_date,A841,st_eq,B841,st_po,C841,st_type,"Non planifié"),"")</f>
        <v/>
      </c>
      <c r="O841" s="55" t="str">
        <f>IF(ISNUMBER(K841),M841-N841,"")</f>
        <v/>
      </c>
      <c r="P841" s="55" t="str">
        <f>IF(COUNTA(A841:I841)=0,"",N(G841)+N(H841)+N(I841))</f>
        <v/>
      </c>
      <c r="Q841" s="56" t="str">
        <f>IF(COUNTA(A841:I841)=0,"",IF(N(IFERROR(INDEX(art_rate,MATCH(E841,art_ref,0)),0))&gt;0,N(IFERROR(INDEX(art_rate,MATCH(E841,art_ref,0)),0)),N(IFERROR(INDEX(po_rate,MATCH(C841,po_code,0)),0))))</f>
        <v/>
      </c>
      <c r="R841" s="55" t="str">
        <f>IF(AC841=1,P841*60/Q841,"")</f>
        <v/>
      </c>
      <c r="S841" s="55" t="str">
        <f>IF(AC841=1,N(G841)*60/Q841,"")</f>
        <v/>
      </c>
      <c r="T841" s="57" t="str">
        <f>IF(AC841=1,O841/M841,"")</f>
        <v/>
      </c>
      <c r="U841" s="57" t="str">
        <f>IF(AC841=1,IF(O841&gt;0,R841/O841,""),"")</f>
        <v/>
      </c>
      <c r="V841" s="57" t="str">
        <f>IF(AC841=1,IF(P841&gt;0,N(G841)/P841,""),"")</f>
        <v/>
      </c>
      <c r="W841" s="57" t="str">
        <f>IF(AC841=1,S841/M841,"")</f>
        <v/>
      </c>
      <c r="X841" s="57" t="str">
        <f>IF(AC841=1,S841/K841,"")</f>
        <v/>
      </c>
      <c r="Y841" s="58" t="str">
        <f>IF(W841="","",IF(W841&gt;=p_target,"Bon",IF(W841&gt;=p_alert,"À surveiller","Faible")))</f>
        <v/>
      </c>
      <c r="Z841" s="58" t="str">
        <f>IF(W841="","",IF(MIN(IF(T841="",1,T841),IF(U841="",1,U841),IF(V841="",1,V841))&gt;=1,"Aucune",IF(IF(T841="",1,T841)&lt;=MIN(IF(U841="",1,U841),IF(V841="",1,V841)),"Disponibilité",IF(IF(U841="",1,U841)&lt;=IF(V841="",1,V841),"Performance","Qualité"))))</f>
        <v/>
      </c>
      <c r="AA841" s="59" t="str">
        <f>IF(AC841=1,N(H841)*N(IFERROR(INDEX(art_cost,MATCH(E841,art_ref,0)),0)),"")</f>
        <v/>
      </c>
      <c r="AB841" s="58" t="str">
        <f>IF(COUNTA(A841:I841)=0,"",IF(N(A841)&lt;=0,"Date manquante ou invalide",IF(B841="","Équipe manquante",IF(ISNA(MATCH(B841,eq_code,0)),"Équipe inconnue",IF(INDEX(eq_check,MATCH(B841,eq_code,0))&lt;&gt;"OK","Équipe à corriger dans Paramètres",IF(C841="","Poste manquant",IF(ISNA(MATCH(C841,po_code,0)),"Poste inconnu",IF(AND(E841&lt;&gt;"",ISNA(MATCH(E841,art_ref,0))),"Article inconnu",IF(IF(E841="",FALSE,INDEX(art_check,MATCH(E841,art_ref,0))&lt;&gt;"OK"),"Article à corriger (feuille Articles)",IF(COUNTIFS(sj_date,A841,sj_eq,B841,sj_po,C841)&gt;1,"Ligne en double (même jour, équipe et poste)",IF(OR(NOT(ISNUMBER(K841)),N(K841)&lt;=0,N(K841)&gt;1440),"Temps d'ouverture invalide",IF(OR(AND(G841&lt;&gt;"",NOT(ISNUMBER(G841))),N(G841)&lt;0,N(G841)&lt;&gt;INT(N(G841)),AND(H841&lt;&gt;"",NOT(ISNUMBER(H841))),N(H841)&lt;0,N(H841)&lt;&gt;INT(N(H841)),AND(I841&lt;&gt;"",NOT(ISNUMBER(I841))),N(I841)&lt;0,N(I841)&lt;&gt;INT(N(I841))),"Quantité invalide",IF(Q841&lt;=0,"Cadence manquante (poste ou article)",IF(M841&lt;=0,"Arrêts planifiés supérieurs au temps d'ouverture",IF(O841&lt;0,"Arrêts supérieurs au temps requis",IF(AND(P841&gt;0,O841=0),"Pièces déclarées sans temps de marche",IF(AND(P841=0,O841&gt;0),"Aucune pièce déclarée",IF(P841*60/Q841&gt;O841+0.001,"Cadence dépassée : vérifiez la cadence","OK"))))))))))))))))))</f>
        <v/>
      </c>
      <c r="AC841">
        <f>IF(OR(AB841="OK",AB841="Aucune pièce déclarée",AB841="Cadence dépassée : vérifiez la cadence"),1,0)</f>
        <v>0.0</v>
      </c>
      <c r="AD841">
        <f>IF(AND(AC841=1,A841&gt;=p_from,A841&lt;=p_to),1,0)</f>
        <v>0.0</v>
      </c>
      <c r="AE841">
        <f>IF(AD841=1,IF(COUNTIFS($A$6:A841,A841,$AD$6:AD841,1)=1,1,0),0)</f>
        <v>0.0</v>
      </c>
      <c r="AF841" t="str">
        <f>IF(AE841=1,COUNTIFS(sj_first,1,sj_date,"&lt;"&amp;A841)+1,"")</f>
        <v/>
      </c>
      <c r="AG841" t="str">
        <f>IF(AND(AD841=1,N(W841)&lt;p_alert),ROUND(W841,4),"")</f>
        <v/>
      </c>
      <c r="AH841" t="str">
        <f>IF(AG841="","",COUNTIF(sj_akey,"&lt;"&amp;AG841)+COUNTIF($AG$6:AG841,AG841))</f>
        <v/>
      </c>
    </row>
    <row r="842">
      <c r="A842" s="51" t="n"/>
      <c r="B842" s="52" t="n"/>
      <c r="C842" s="52" t="n"/>
      <c r="D842" s="53" t="n"/>
      <c r="E842" s="53" t="n"/>
      <c r="F842" s="54" t="n"/>
      <c r="G842" s="54" t="n"/>
      <c r="H842" s="54" t="n"/>
      <c r="I842" s="54" t="n"/>
      <c r="J842" s="53" t="n"/>
      <c r="K842" s="55" t="str">
        <f>IF(COUNTA(A842:I842)=0,"",IF(F842="",IFERROR(INDEX(eq_dur,MATCH(B842,eq_code,0)),""),F842))</f>
        <v/>
      </c>
      <c r="L842" s="55" t="str">
        <f>IF(ISNUMBER(K842),N(IFERROR(INDEX(eq_pause,MATCH(B842,eq_code,0)),0))+SUMIFS(st_min,st_date,A842,st_eq,B842,st_po,C842,st_type,"Planifié"),"")</f>
        <v/>
      </c>
      <c r="M842" s="55" t="str">
        <f>IF(ISNUMBER(K842),K842-L842,"")</f>
        <v/>
      </c>
      <c r="N842" s="55" t="str">
        <f>IF(ISNUMBER(K842),SUMIFS(st_min,st_date,A842,st_eq,B842,st_po,C842,st_type,"Non planifié"),"")</f>
        <v/>
      </c>
      <c r="O842" s="55" t="str">
        <f>IF(ISNUMBER(K842),M842-N842,"")</f>
        <v/>
      </c>
      <c r="P842" s="55" t="str">
        <f>IF(COUNTA(A842:I842)=0,"",N(G842)+N(H842)+N(I842))</f>
        <v/>
      </c>
      <c r="Q842" s="56" t="str">
        <f>IF(COUNTA(A842:I842)=0,"",IF(N(IFERROR(INDEX(art_rate,MATCH(E842,art_ref,0)),0))&gt;0,N(IFERROR(INDEX(art_rate,MATCH(E842,art_ref,0)),0)),N(IFERROR(INDEX(po_rate,MATCH(C842,po_code,0)),0))))</f>
        <v/>
      </c>
      <c r="R842" s="55" t="str">
        <f>IF(AC842=1,P842*60/Q842,"")</f>
        <v/>
      </c>
      <c r="S842" s="55" t="str">
        <f>IF(AC842=1,N(G842)*60/Q842,"")</f>
        <v/>
      </c>
      <c r="T842" s="57" t="str">
        <f>IF(AC842=1,O842/M842,"")</f>
        <v/>
      </c>
      <c r="U842" s="57" t="str">
        <f>IF(AC842=1,IF(O842&gt;0,R842/O842,""),"")</f>
        <v/>
      </c>
      <c r="V842" s="57" t="str">
        <f>IF(AC842=1,IF(P842&gt;0,N(G842)/P842,""),"")</f>
        <v/>
      </c>
      <c r="W842" s="57" t="str">
        <f>IF(AC842=1,S842/M842,"")</f>
        <v/>
      </c>
      <c r="X842" s="57" t="str">
        <f>IF(AC842=1,S842/K842,"")</f>
        <v/>
      </c>
      <c r="Y842" s="58" t="str">
        <f>IF(W842="","",IF(W842&gt;=p_target,"Bon",IF(W842&gt;=p_alert,"À surveiller","Faible")))</f>
        <v/>
      </c>
      <c r="Z842" s="58" t="str">
        <f>IF(W842="","",IF(MIN(IF(T842="",1,T842),IF(U842="",1,U842),IF(V842="",1,V842))&gt;=1,"Aucune",IF(IF(T842="",1,T842)&lt;=MIN(IF(U842="",1,U842),IF(V842="",1,V842)),"Disponibilité",IF(IF(U842="",1,U842)&lt;=IF(V842="",1,V842),"Performance","Qualité"))))</f>
        <v/>
      </c>
      <c r="AA842" s="59" t="str">
        <f>IF(AC842=1,N(H842)*N(IFERROR(INDEX(art_cost,MATCH(E842,art_ref,0)),0)),"")</f>
        <v/>
      </c>
      <c r="AB842" s="58" t="str">
        <f>IF(COUNTA(A842:I842)=0,"",IF(N(A842)&lt;=0,"Date manquante ou invalide",IF(B842="","Équipe manquante",IF(ISNA(MATCH(B842,eq_code,0)),"Équipe inconnue",IF(INDEX(eq_check,MATCH(B842,eq_code,0))&lt;&gt;"OK","Équipe à corriger dans Paramètres",IF(C842="","Poste manquant",IF(ISNA(MATCH(C842,po_code,0)),"Poste inconnu",IF(AND(E842&lt;&gt;"",ISNA(MATCH(E842,art_ref,0))),"Article inconnu",IF(IF(E842="",FALSE,INDEX(art_check,MATCH(E842,art_ref,0))&lt;&gt;"OK"),"Article à corriger (feuille Articles)",IF(COUNTIFS(sj_date,A842,sj_eq,B842,sj_po,C842)&gt;1,"Ligne en double (même jour, équipe et poste)",IF(OR(NOT(ISNUMBER(K842)),N(K842)&lt;=0,N(K842)&gt;1440),"Temps d'ouverture invalide",IF(OR(AND(G842&lt;&gt;"",NOT(ISNUMBER(G842))),N(G842)&lt;0,N(G842)&lt;&gt;INT(N(G842)),AND(H842&lt;&gt;"",NOT(ISNUMBER(H842))),N(H842)&lt;0,N(H842)&lt;&gt;INT(N(H842)),AND(I842&lt;&gt;"",NOT(ISNUMBER(I842))),N(I842)&lt;0,N(I842)&lt;&gt;INT(N(I842))),"Quantité invalide",IF(Q842&lt;=0,"Cadence manquante (poste ou article)",IF(M842&lt;=0,"Arrêts planifiés supérieurs au temps d'ouverture",IF(O842&lt;0,"Arrêts supérieurs au temps requis",IF(AND(P842&gt;0,O842=0),"Pièces déclarées sans temps de marche",IF(AND(P842=0,O842&gt;0),"Aucune pièce déclarée",IF(P842*60/Q842&gt;O842+0.001,"Cadence dépassée : vérifiez la cadence","OK"))))))))))))))))))</f>
        <v/>
      </c>
      <c r="AC842">
        <f>IF(OR(AB842="OK",AB842="Aucune pièce déclarée",AB842="Cadence dépassée : vérifiez la cadence"),1,0)</f>
        <v>0.0</v>
      </c>
      <c r="AD842">
        <f>IF(AND(AC842=1,A842&gt;=p_from,A842&lt;=p_to),1,0)</f>
        <v>0.0</v>
      </c>
      <c r="AE842">
        <f>IF(AD842=1,IF(COUNTIFS($A$6:A842,A842,$AD$6:AD842,1)=1,1,0),0)</f>
        <v>0.0</v>
      </c>
      <c r="AF842" t="str">
        <f>IF(AE842=1,COUNTIFS(sj_first,1,sj_date,"&lt;"&amp;A842)+1,"")</f>
        <v/>
      </c>
      <c r="AG842" t="str">
        <f>IF(AND(AD842=1,N(W842)&lt;p_alert),ROUND(W842,4),"")</f>
        <v/>
      </c>
      <c r="AH842" t="str">
        <f>IF(AG842="","",COUNTIF(sj_akey,"&lt;"&amp;AG842)+COUNTIF($AG$6:AG842,AG842))</f>
        <v/>
      </c>
    </row>
    <row r="843">
      <c r="A843" s="51" t="n"/>
      <c r="B843" s="52" t="n"/>
      <c r="C843" s="52" t="n"/>
      <c r="D843" s="53" t="n"/>
      <c r="E843" s="53" t="n"/>
      <c r="F843" s="54" t="n"/>
      <c r="G843" s="54" t="n"/>
      <c r="H843" s="54" t="n"/>
      <c r="I843" s="54" t="n"/>
      <c r="J843" s="53" t="n"/>
      <c r="K843" s="55" t="str">
        <f>IF(COUNTA(A843:I843)=0,"",IF(F843="",IFERROR(INDEX(eq_dur,MATCH(B843,eq_code,0)),""),F843))</f>
        <v/>
      </c>
      <c r="L843" s="55" t="str">
        <f>IF(ISNUMBER(K843),N(IFERROR(INDEX(eq_pause,MATCH(B843,eq_code,0)),0))+SUMIFS(st_min,st_date,A843,st_eq,B843,st_po,C843,st_type,"Planifié"),"")</f>
        <v/>
      </c>
      <c r="M843" s="55" t="str">
        <f>IF(ISNUMBER(K843),K843-L843,"")</f>
        <v/>
      </c>
      <c r="N843" s="55" t="str">
        <f>IF(ISNUMBER(K843),SUMIFS(st_min,st_date,A843,st_eq,B843,st_po,C843,st_type,"Non planifié"),"")</f>
        <v/>
      </c>
      <c r="O843" s="55" t="str">
        <f>IF(ISNUMBER(K843),M843-N843,"")</f>
        <v/>
      </c>
      <c r="P843" s="55" t="str">
        <f>IF(COUNTA(A843:I843)=0,"",N(G843)+N(H843)+N(I843))</f>
        <v/>
      </c>
      <c r="Q843" s="56" t="str">
        <f>IF(COUNTA(A843:I843)=0,"",IF(N(IFERROR(INDEX(art_rate,MATCH(E843,art_ref,0)),0))&gt;0,N(IFERROR(INDEX(art_rate,MATCH(E843,art_ref,0)),0)),N(IFERROR(INDEX(po_rate,MATCH(C843,po_code,0)),0))))</f>
        <v/>
      </c>
      <c r="R843" s="55" t="str">
        <f>IF(AC843=1,P843*60/Q843,"")</f>
        <v/>
      </c>
      <c r="S843" s="55" t="str">
        <f>IF(AC843=1,N(G843)*60/Q843,"")</f>
        <v/>
      </c>
      <c r="T843" s="57" t="str">
        <f>IF(AC843=1,O843/M843,"")</f>
        <v/>
      </c>
      <c r="U843" s="57" t="str">
        <f>IF(AC843=1,IF(O843&gt;0,R843/O843,""),"")</f>
        <v/>
      </c>
      <c r="V843" s="57" t="str">
        <f>IF(AC843=1,IF(P843&gt;0,N(G843)/P843,""),"")</f>
        <v/>
      </c>
      <c r="W843" s="57" t="str">
        <f>IF(AC843=1,S843/M843,"")</f>
        <v/>
      </c>
      <c r="X843" s="57" t="str">
        <f>IF(AC843=1,S843/K843,"")</f>
        <v/>
      </c>
      <c r="Y843" s="58" t="str">
        <f>IF(W843="","",IF(W843&gt;=p_target,"Bon",IF(W843&gt;=p_alert,"À surveiller","Faible")))</f>
        <v/>
      </c>
      <c r="Z843" s="58" t="str">
        <f>IF(W843="","",IF(MIN(IF(T843="",1,T843),IF(U843="",1,U843),IF(V843="",1,V843))&gt;=1,"Aucune",IF(IF(T843="",1,T843)&lt;=MIN(IF(U843="",1,U843),IF(V843="",1,V843)),"Disponibilité",IF(IF(U843="",1,U843)&lt;=IF(V843="",1,V843),"Performance","Qualité"))))</f>
        <v/>
      </c>
      <c r="AA843" s="59" t="str">
        <f>IF(AC843=1,N(H843)*N(IFERROR(INDEX(art_cost,MATCH(E843,art_ref,0)),0)),"")</f>
        <v/>
      </c>
      <c r="AB843" s="58" t="str">
        <f>IF(COUNTA(A843:I843)=0,"",IF(N(A843)&lt;=0,"Date manquante ou invalide",IF(B843="","Équipe manquante",IF(ISNA(MATCH(B843,eq_code,0)),"Équipe inconnue",IF(INDEX(eq_check,MATCH(B843,eq_code,0))&lt;&gt;"OK","Équipe à corriger dans Paramètres",IF(C843="","Poste manquant",IF(ISNA(MATCH(C843,po_code,0)),"Poste inconnu",IF(AND(E843&lt;&gt;"",ISNA(MATCH(E843,art_ref,0))),"Article inconnu",IF(IF(E843="",FALSE,INDEX(art_check,MATCH(E843,art_ref,0))&lt;&gt;"OK"),"Article à corriger (feuille Articles)",IF(COUNTIFS(sj_date,A843,sj_eq,B843,sj_po,C843)&gt;1,"Ligne en double (même jour, équipe et poste)",IF(OR(NOT(ISNUMBER(K843)),N(K843)&lt;=0,N(K843)&gt;1440),"Temps d'ouverture invalide",IF(OR(AND(G843&lt;&gt;"",NOT(ISNUMBER(G843))),N(G843)&lt;0,N(G843)&lt;&gt;INT(N(G843)),AND(H843&lt;&gt;"",NOT(ISNUMBER(H843))),N(H843)&lt;0,N(H843)&lt;&gt;INT(N(H843)),AND(I843&lt;&gt;"",NOT(ISNUMBER(I843))),N(I843)&lt;0,N(I843)&lt;&gt;INT(N(I843))),"Quantité invalide",IF(Q843&lt;=0,"Cadence manquante (poste ou article)",IF(M843&lt;=0,"Arrêts planifiés supérieurs au temps d'ouverture",IF(O843&lt;0,"Arrêts supérieurs au temps requis",IF(AND(P843&gt;0,O843=0),"Pièces déclarées sans temps de marche",IF(AND(P843=0,O843&gt;0),"Aucune pièce déclarée",IF(P843*60/Q843&gt;O843+0.001,"Cadence dépassée : vérifiez la cadence","OK"))))))))))))))))))</f>
        <v/>
      </c>
      <c r="AC843">
        <f>IF(OR(AB843="OK",AB843="Aucune pièce déclarée",AB843="Cadence dépassée : vérifiez la cadence"),1,0)</f>
        <v>0.0</v>
      </c>
      <c r="AD843">
        <f>IF(AND(AC843=1,A843&gt;=p_from,A843&lt;=p_to),1,0)</f>
        <v>0.0</v>
      </c>
      <c r="AE843">
        <f>IF(AD843=1,IF(COUNTIFS($A$6:A843,A843,$AD$6:AD843,1)=1,1,0),0)</f>
        <v>0.0</v>
      </c>
      <c r="AF843" t="str">
        <f>IF(AE843=1,COUNTIFS(sj_first,1,sj_date,"&lt;"&amp;A843)+1,"")</f>
        <v/>
      </c>
      <c r="AG843" t="str">
        <f>IF(AND(AD843=1,N(W843)&lt;p_alert),ROUND(W843,4),"")</f>
        <v/>
      </c>
      <c r="AH843" t="str">
        <f>IF(AG843="","",COUNTIF(sj_akey,"&lt;"&amp;AG843)+COUNTIF($AG$6:AG843,AG843))</f>
        <v/>
      </c>
    </row>
    <row r="844">
      <c r="A844" s="51" t="n"/>
      <c r="B844" s="52" t="n"/>
      <c r="C844" s="52" t="n"/>
      <c r="D844" s="53" t="n"/>
      <c r="E844" s="53" t="n"/>
      <c r="F844" s="54" t="n"/>
      <c r="G844" s="54" t="n"/>
      <c r="H844" s="54" t="n"/>
      <c r="I844" s="54" t="n"/>
      <c r="J844" s="53" t="n"/>
      <c r="K844" s="55" t="str">
        <f>IF(COUNTA(A844:I844)=0,"",IF(F844="",IFERROR(INDEX(eq_dur,MATCH(B844,eq_code,0)),""),F844))</f>
        <v/>
      </c>
      <c r="L844" s="55" t="str">
        <f>IF(ISNUMBER(K844),N(IFERROR(INDEX(eq_pause,MATCH(B844,eq_code,0)),0))+SUMIFS(st_min,st_date,A844,st_eq,B844,st_po,C844,st_type,"Planifié"),"")</f>
        <v/>
      </c>
      <c r="M844" s="55" t="str">
        <f>IF(ISNUMBER(K844),K844-L844,"")</f>
        <v/>
      </c>
      <c r="N844" s="55" t="str">
        <f>IF(ISNUMBER(K844),SUMIFS(st_min,st_date,A844,st_eq,B844,st_po,C844,st_type,"Non planifié"),"")</f>
        <v/>
      </c>
      <c r="O844" s="55" t="str">
        <f>IF(ISNUMBER(K844),M844-N844,"")</f>
        <v/>
      </c>
      <c r="P844" s="55" t="str">
        <f>IF(COUNTA(A844:I844)=0,"",N(G844)+N(H844)+N(I844))</f>
        <v/>
      </c>
      <c r="Q844" s="56" t="str">
        <f>IF(COUNTA(A844:I844)=0,"",IF(N(IFERROR(INDEX(art_rate,MATCH(E844,art_ref,0)),0))&gt;0,N(IFERROR(INDEX(art_rate,MATCH(E844,art_ref,0)),0)),N(IFERROR(INDEX(po_rate,MATCH(C844,po_code,0)),0))))</f>
        <v/>
      </c>
      <c r="R844" s="55" t="str">
        <f>IF(AC844=1,P844*60/Q844,"")</f>
        <v/>
      </c>
      <c r="S844" s="55" t="str">
        <f>IF(AC844=1,N(G844)*60/Q844,"")</f>
        <v/>
      </c>
      <c r="T844" s="57" t="str">
        <f>IF(AC844=1,O844/M844,"")</f>
        <v/>
      </c>
      <c r="U844" s="57" t="str">
        <f>IF(AC844=1,IF(O844&gt;0,R844/O844,""),"")</f>
        <v/>
      </c>
      <c r="V844" s="57" t="str">
        <f>IF(AC844=1,IF(P844&gt;0,N(G844)/P844,""),"")</f>
        <v/>
      </c>
      <c r="W844" s="57" t="str">
        <f>IF(AC844=1,S844/M844,"")</f>
        <v/>
      </c>
      <c r="X844" s="57" t="str">
        <f>IF(AC844=1,S844/K844,"")</f>
        <v/>
      </c>
      <c r="Y844" s="58" t="str">
        <f>IF(W844="","",IF(W844&gt;=p_target,"Bon",IF(W844&gt;=p_alert,"À surveiller","Faible")))</f>
        <v/>
      </c>
      <c r="Z844" s="58" t="str">
        <f>IF(W844="","",IF(MIN(IF(T844="",1,T844),IF(U844="",1,U844),IF(V844="",1,V844))&gt;=1,"Aucune",IF(IF(T844="",1,T844)&lt;=MIN(IF(U844="",1,U844),IF(V844="",1,V844)),"Disponibilité",IF(IF(U844="",1,U844)&lt;=IF(V844="",1,V844),"Performance","Qualité"))))</f>
        <v/>
      </c>
      <c r="AA844" s="59" t="str">
        <f>IF(AC844=1,N(H844)*N(IFERROR(INDEX(art_cost,MATCH(E844,art_ref,0)),0)),"")</f>
        <v/>
      </c>
      <c r="AB844" s="58" t="str">
        <f>IF(COUNTA(A844:I844)=0,"",IF(N(A844)&lt;=0,"Date manquante ou invalide",IF(B844="","Équipe manquante",IF(ISNA(MATCH(B844,eq_code,0)),"Équipe inconnue",IF(INDEX(eq_check,MATCH(B844,eq_code,0))&lt;&gt;"OK","Équipe à corriger dans Paramètres",IF(C844="","Poste manquant",IF(ISNA(MATCH(C844,po_code,0)),"Poste inconnu",IF(AND(E844&lt;&gt;"",ISNA(MATCH(E844,art_ref,0))),"Article inconnu",IF(IF(E844="",FALSE,INDEX(art_check,MATCH(E844,art_ref,0))&lt;&gt;"OK"),"Article à corriger (feuille Articles)",IF(COUNTIFS(sj_date,A844,sj_eq,B844,sj_po,C844)&gt;1,"Ligne en double (même jour, équipe et poste)",IF(OR(NOT(ISNUMBER(K844)),N(K844)&lt;=0,N(K844)&gt;1440),"Temps d'ouverture invalide",IF(OR(AND(G844&lt;&gt;"",NOT(ISNUMBER(G844))),N(G844)&lt;0,N(G844)&lt;&gt;INT(N(G844)),AND(H844&lt;&gt;"",NOT(ISNUMBER(H844))),N(H844)&lt;0,N(H844)&lt;&gt;INT(N(H844)),AND(I844&lt;&gt;"",NOT(ISNUMBER(I844))),N(I844)&lt;0,N(I844)&lt;&gt;INT(N(I844))),"Quantité invalide",IF(Q844&lt;=0,"Cadence manquante (poste ou article)",IF(M844&lt;=0,"Arrêts planifiés supérieurs au temps d'ouverture",IF(O844&lt;0,"Arrêts supérieurs au temps requis",IF(AND(P844&gt;0,O844=0),"Pièces déclarées sans temps de marche",IF(AND(P844=0,O844&gt;0),"Aucune pièce déclarée",IF(P844*60/Q844&gt;O844+0.001,"Cadence dépassée : vérifiez la cadence","OK"))))))))))))))))))</f>
        <v/>
      </c>
      <c r="AC844">
        <f>IF(OR(AB844="OK",AB844="Aucune pièce déclarée",AB844="Cadence dépassée : vérifiez la cadence"),1,0)</f>
        <v>0.0</v>
      </c>
      <c r="AD844">
        <f>IF(AND(AC844=1,A844&gt;=p_from,A844&lt;=p_to),1,0)</f>
        <v>0.0</v>
      </c>
      <c r="AE844">
        <f>IF(AD844=1,IF(COUNTIFS($A$6:A844,A844,$AD$6:AD844,1)=1,1,0),0)</f>
        <v>0.0</v>
      </c>
      <c r="AF844" t="str">
        <f>IF(AE844=1,COUNTIFS(sj_first,1,sj_date,"&lt;"&amp;A844)+1,"")</f>
        <v/>
      </c>
      <c r="AG844" t="str">
        <f>IF(AND(AD844=1,N(W844)&lt;p_alert),ROUND(W844,4),"")</f>
        <v/>
      </c>
      <c r="AH844" t="str">
        <f>IF(AG844="","",COUNTIF(sj_akey,"&lt;"&amp;AG844)+COUNTIF($AG$6:AG844,AG844))</f>
        <v/>
      </c>
    </row>
    <row r="845">
      <c r="A845" s="51" t="n"/>
      <c r="B845" s="52" t="n"/>
      <c r="C845" s="52" t="n"/>
      <c r="D845" s="53" t="n"/>
      <c r="E845" s="53" t="n"/>
      <c r="F845" s="54" t="n"/>
      <c r="G845" s="54" t="n"/>
      <c r="H845" s="54" t="n"/>
      <c r="I845" s="54" t="n"/>
      <c r="J845" s="53" t="n"/>
      <c r="K845" s="55" t="str">
        <f>IF(COUNTA(A845:I845)=0,"",IF(F845="",IFERROR(INDEX(eq_dur,MATCH(B845,eq_code,0)),""),F845))</f>
        <v/>
      </c>
      <c r="L845" s="55" t="str">
        <f>IF(ISNUMBER(K845),N(IFERROR(INDEX(eq_pause,MATCH(B845,eq_code,0)),0))+SUMIFS(st_min,st_date,A845,st_eq,B845,st_po,C845,st_type,"Planifié"),"")</f>
        <v/>
      </c>
      <c r="M845" s="55" t="str">
        <f>IF(ISNUMBER(K845),K845-L845,"")</f>
        <v/>
      </c>
      <c r="N845" s="55" t="str">
        <f>IF(ISNUMBER(K845),SUMIFS(st_min,st_date,A845,st_eq,B845,st_po,C845,st_type,"Non planifié"),"")</f>
        <v/>
      </c>
      <c r="O845" s="55" t="str">
        <f>IF(ISNUMBER(K845),M845-N845,"")</f>
        <v/>
      </c>
      <c r="P845" s="55" t="str">
        <f>IF(COUNTA(A845:I845)=0,"",N(G845)+N(H845)+N(I845))</f>
        <v/>
      </c>
      <c r="Q845" s="56" t="str">
        <f>IF(COUNTA(A845:I845)=0,"",IF(N(IFERROR(INDEX(art_rate,MATCH(E845,art_ref,0)),0))&gt;0,N(IFERROR(INDEX(art_rate,MATCH(E845,art_ref,0)),0)),N(IFERROR(INDEX(po_rate,MATCH(C845,po_code,0)),0))))</f>
        <v/>
      </c>
      <c r="R845" s="55" t="str">
        <f>IF(AC845=1,P845*60/Q845,"")</f>
        <v/>
      </c>
      <c r="S845" s="55" t="str">
        <f>IF(AC845=1,N(G845)*60/Q845,"")</f>
        <v/>
      </c>
      <c r="T845" s="57" t="str">
        <f>IF(AC845=1,O845/M845,"")</f>
        <v/>
      </c>
      <c r="U845" s="57" t="str">
        <f>IF(AC845=1,IF(O845&gt;0,R845/O845,""),"")</f>
        <v/>
      </c>
      <c r="V845" s="57" t="str">
        <f>IF(AC845=1,IF(P845&gt;0,N(G845)/P845,""),"")</f>
        <v/>
      </c>
      <c r="W845" s="57" t="str">
        <f>IF(AC845=1,S845/M845,"")</f>
        <v/>
      </c>
      <c r="X845" s="57" t="str">
        <f>IF(AC845=1,S845/K845,"")</f>
        <v/>
      </c>
      <c r="Y845" s="58" t="str">
        <f>IF(W845="","",IF(W845&gt;=p_target,"Bon",IF(W845&gt;=p_alert,"À surveiller","Faible")))</f>
        <v/>
      </c>
      <c r="Z845" s="58" t="str">
        <f>IF(W845="","",IF(MIN(IF(T845="",1,T845),IF(U845="",1,U845),IF(V845="",1,V845))&gt;=1,"Aucune",IF(IF(T845="",1,T845)&lt;=MIN(IF(U845="",1,U845),IF(V845="",1,V845)),"Disponibilité",IF(IF(U845="",1,U845)&lt;=IF(V845="",1,V845),"Performance","Qualité"))))</f>
        <v/>
      </c>
      <c r="AA845" s="59" t="str">
        <f>IF(AC845=1,N(H845)*N(IFERROR(INDEX(art_cost,MATCH(E845,art_ref,0)),0)),"")</f>
        <v/>
      </c>
      <c r="AB845" s="58" t="str">
        <f>IF(COUNTA(A845:I845)=0,"",IF(N(A845)&lt;=0,"Date manquante ou invalide",IF(B845="","Équipe manquante",IF(ISNA(MATCH(B845,eq_code,0)),"Équipe inconnue",IF(INDEX(eq_check,MATCH(B845,eq_code,0))&lt;&gt;"OK","Équipe à corriger dans Paramètres",IF(C845="","Poste manquant",IF(ISNA(MATCH(C845,po_code,0)),"Poste inconnu",IF(AND(E845&lt;&gt;"",ISNA(MATCH(E845,art_ref,0))),"Article inconnu",IF(IF(E845="",FALSE,INDEX(art_check,MATCH(E845,art_ref,0))&lt;&gt;"OK"),"Article à corriger (feuille Articles)",IF(COUNTIFS(sj_date,A845,sj_eq,B845,sj_po,C845)&gt;1,"Ligne en double (même jour, équipe et poste)",IF(OR(NOT(ISNUMBER(K845)),N(K845)&lt;=0,N(K845)&gt;1440),"Temps d'ouverture invalide",IF(OR(AND(G845&lt;&gt;"",NOT(ISNUMBER(G845))),N(G845)&lt;0,N(G845)&lt;&gt;INT(N(G845)),AND(H845&lt;&gt;"",NOT(ISNUMBER(H845))),N(H845)&lt;0,N(H845)&lt;&gt;INT(N(H845)),AND(I845&lt;&gt;"",NOT(ISNUMBER(I845))),N(I845)&lt;0,N(I845)&lt;&gt;INT(N(I845))),"Quantité invalide",IF(Q845&lt;=0,"Cadence manquante (poste ou article)",IF(M845&lt;=0,"Arrêts planifiés supérieurs au temps d'ouverture",IF(O845&lt;0,"Arrêts supérieurs au temps requis",IF(AND(P845&gt;0,O845=0),"Pièces déclarées sans temps de marche",IF(AND(P845=0,O845&gt;0),"Aucune pièce déclarée",IF(P845*60/Q845&gt;O845+0.001,"Cadence dépassée : vérifiez la cadence","OK"))))))))))))))))))</f>
        <v/>
      </c>
      <c r="AC845">
        <f>IF(OR(AB845="OK",AB845="Aucune pièce déclarée",AB845="Cadence dépassée : vérifiez la cadence"),1,0)</f>
        <v>0.0</v>
      </c>
      <c r="AD845">
        <f>IF(AND(AC845=1,A845&gt;=p_from,A845&lt;=p_to),1,0)</f>
        <v>0.0</v>
      </c>
      <c r="AE845">
        <f>IF(AD845=1,IF(COUNTIFS($A$6:A845,A845,$AD$6:AD845,1)=1,1,0),0)</f>
        <v>0.0</v>
      </c>
      <c r="AF845" t="str">
        <f>IF(AE845=1,COUNTIFS(sj_first,1,sj_date,"&lt;"&amp;A845)+1,"")</f>
        <v/>
      </c>
      <c r="AG845" t="str">
        <f>IF(AND(AD845=1,N(W845)&lt;p_alert),ROUND(W845,4),"")</f>
        <v/>
      </c>
      <c r="AH845" t="str">
        <f>IF(AG845="","",COUNTIF(sj_akey,"&lt;"&amp;AG845)+COUNTIF($AG$6:AG845,AG845))</f>
        <v/>
      </c>
    </row>
    <row r="846">
      <c r="A846" s="51" t="n"/>
      <c r="B846" s="52" t="n"/>
      <c r="C846" s="52" t="n"/>
      <c r="D846" s="53" t="n"/>
      <c r="E846" s="53" t="n"/>
      <c r="F846" s="54" t="n"/>
      <c r="G846" s="54" t="n"/>
      <c r="H846" s="54" t="n"/>
      <c r="I846" s="54" t="n"/>
      <c r="J846" s="53" t="n"/>
      <c r="K846" s="55" t="str">
        <f>IF(COUNTA(A846:I846)=0,"",IF(F846="",IFERROR(INDEX(eq_dur,MATCH(B846,eq_code,0)),""),F846))</f>
        <v/>
      </c>
      <c r="L846" s="55" t="str">
        <f>IF(ISNUMBER(K846),N(IFERROR(INDEX(eq_pause,MATCH(B846,eq_code,0)),0))+SUMIFS(st_min,st_date,A846,st_eq,B846,st_po,C846,st_type,"Planifié"),"")</f>
        <v/>
      </c>
      <c r="M846" s="55" t="str">
        <f>IF(ISNUMBER(K846),K846-L846,"")</f>
        <v/>
      </c>
      <c r="N846" s="55" t="str">
        <f>IF(ISNUMBER(K846),SUMIFS(st_min,st_date,A846,st_eq,B846,st_po,C846,st_type,"Non planifié"),"")</f>
        <v/>
      </c>
      <c r="O846" s="55" t="str">
        <f>IF(ISNUMBER(K846),M846-N846,"")</f>
        <v/>
      </c>
      <c r="P846" s="55" t="str">
        <f>IF(COUNTA(A846:I846)=0,"",N(G846)+N(H846)+N(I846))</f>
        <v/>
      </c>
      <c r="Q846" s="56" t="str">
        <f>IF(COUNTA(A846:I846)=0,"",IF(N(IFERROR(INDEX(art_rate,MATCH(E846,art_ref,0)),0))&gt;0,N(IFERROR(INDEX(art_rate,MATCH(E846,art_ref,0)),0)),N(IFERROR(INDEX(po_rate,MATCH(C846,po_code,0)),0))))</f>
        <v/>
      </c>
      <c r="R846" s="55" t="str">
        <f>IF(AC846=1,P846*60/Q846,"")</f>
        <v/>
      </c>
      <c r="S846" s="55" t="str">
        <f>IF(AC846=1,N(G846)*60/Q846,"")</f>
        <v/>
      </c>
      <c r="T846" s="57" t="str">
        <f>IF(AC846=1,O846/M846,"")</f>
        <v/>
      </c>
      <c r="U846" s="57" t="str">
        <f>IF(AC846=1,IF(O846&gt;0,R846/O846,""),"")</f>
        <v/>
      </c>
      <c r="V846" s="57" t="str">
        <f>IF(AC846=1,IF(P846&gt;0,N(G846)/P846,""),"")</f>
        <v/>
      </c>
      <c r="W846" s="57" t="str">
        <f>IF(AC846=1,S846/M846,"")</f>
        <v/>
      </c>
      <c r="X846" s="57" t="str">
        <f>IF(AC846=1,S846/K846,"")</f>
        <v/>
      </c>
      <c r="Y846" s="58" t="str">
        <f>IF(W846="","",IF(W846&gt;=p_target,"Bon",IF(W846&gt;=p_alert,"À surveiller","Faible")))</f>
        <v/>
      </c>
      <c r="Z846" s="58" t="str">
        <f>IF(W846="","",IF(MIN(IF(T846="",1,T846),IF(U846="",1,U846),IF(V846="",1,V846))&gt;=1,"Aucune",IF(IF(T846="",1,T846)&lt;=MIN(IF(U846="",1,U846),IF(V846="",1,V846)),"Disponibilité",IF(IF(U846="",1,U846)&lt;=IF(V846="",1,V846),"Performance","Qualité"))))</f>
        <v/>
      </c>
      <c r="AA846" s="59" t="str">
        <f>IF(AC846=1,N(H846)*N(IFERROR(INDEX(art_cost,MATCH(E846,art_ref,0)),0)),"")</f>
        <v/>
      </c>
      <c r="AB846" s="58" t="str">
        <f>IF(COUNTA(A846:I846)=0,"",IF(N(A846)&lt;=0,"Date manquante ou invalide",IF(B846="","Équipe manquante",IF(ISNA(MATCH(B846,eq_code,0)),"Équipe inconnue",IF(INDEX(eq_check,MATCH(B846,eq_code,0))&lt;&gt;"OK","Équipe à corriger dans Paramètres",IF(C846="","Poste manquant",IF(ISNA(MATCH(C846,po_code,0)),"Poste inconnu",IF(AND(E846&lt;&gt;"",ISNA(MATCH(E846,art_ref,0))),"Article inconnu",IF(IF(E846="",FALSE,INDEX(art_check,MATCH(E846,art_ref,0))&lt;&gt;"OK"),"Article à corriger (feuille Articles)",IF(COUNTIFS(sj_date,A846,sj_eq,B846,sj_po,C846)&gt;1,"Ligne en double (même jour, équipe et poste)",IF(OR(NOT(ISNUMBER(K846)),N(K846)&lt;=0,N(K846)&gt;1440),"Temps d'ouverture invalide",IF(OR(AND(G846&lt;&gt;"",NOT(ISNUMBER(G846))),N(G846)&lt;0,N(G846)&lt;&gt;INT(N(G846)),AND(H846&lt;&gt;"",NOT(ISNUMBER(H846))),N(H846)&lt;0,N(H846)&lt;&gt;INT(N(H846)),AND(I846&lt;&gt;"",NOT(ISNUMBER(I846))),N(I846)&lt;0,N(I846)&lt;&gt;INT(N(I846))),"Quantité invalide",IF(Q846&lt;=0,"Cadence manquante (poste ou article)",IF(M846&lt;=0,"Arrêts planifiés supérieurs au temps d'ouverture",IF(O846&lt;0,"Arrêts supérieurs au temps requis",IF(AND(P846&gt;0,O846=0),"Pièces déclarées sans temps de marche",IF(AND(P846=0,O846&gt;0),"Aucune pièce déclarée",IF(P846*60/Q846&gt;O846+0.001,"Cadence dépassée : vérifiez la cadence","OK"))))))))))))))))))</f>
        <v/>
      </c>
      <c r="AC846">
        <f>IF(OR(AB846="OK",AB846="Aucune pièce déclarée",AB846="Cadence dépassée : vérifiez la cadence"),1,0)</f>
        <v>0.0</v>
      </c>
      <c r="AD846">
        <f>IF(AND(AC846=1,A846&gt;=p_from,A846&lt;=p_to),1,0)</f>
        <v>0.0</v>
      </c>
      <c r="AE846">
        <f>IF(AD846=1,IF(COUNTIFS($A$6:A846,A846,$AD$6:AD846,1)=1,1,0),0)</f>
        <v>0.0</v>
      </c>
      <c r="AF846" t="str">
        <f>IF(AE846=1,COUNTIFS(sj_first,1,sj_date,"&lt;"&amp;A846)+1,"")</f>
        <v/>
      </c>
      <c r="AG846" t="str">
        <f>IF(AND(AD846=1,N(W846)&lt;p_alert),ROUND(W846,4),"")</f>
        <v/>
      </c>
      <c r="AH846" t="str">
        <f>IF(AG846="","",COUNTIF(sj_akey,"&lt;"&amp;AG846)+COUNTIF($AG$6:AG846,AG846))</f>
        <v/>
      </c>
    </row>
    <row r="847">
      <c r="A847" s="51" t="n"/>
      <c r="B847" s="52" t="n"/>
      <c r="C847" s="52" t="n"/>
      <c r="D847" s="53" t="n"/>
      <c r="E847" s="53" t="n"/>
      <c r="F847" s="54" t="n"/>
      <c r="G847" s="54" t="n"/>
      <c r="H847" s="54" t="n"/>
      <c r="I847" s="54" t="n"/>
      <c r="J847" s="53" t="n"/>
      <c r="K847" s="55" t="str">
        <f>IF(COUNTA(A847:I847)=0,"",IF(F847="",IFERROR(INDEX(eq_dur,MATCH(B847,eq_code,0)),""),F847))</f>
        <v/>
      </c>
      <c r="L847" s="55" t="str">
        <f>IF(ISNUMBER(K847),N(IFERROR(INDEX(eq_pause,MATCH(B847,eq_code,0)),0))+SUMIFS(st_min,st_date,A847,st_eq,B847,st_po,C847,st_type,"Planifié"),"")</f>
        <v/>
      </c>
      <c r="M847" s="55" t="str">
        <f>IF(ISNUMBER(K847),K847-L847,"")</f>
        <v/>
      </c>
      <c r="N847" s="55" t="str">
        <f>IF(ISNUMBER(K847),SUMIFS(st_min,st_date,A847,st_eq,B847,st_po,C847,st_type,"Non planifié"),"")</f>
        <v/>
      </c>
      <c r="O847" s="55" t="str">
        <f>IF(ISNUMBER(K847),M847-N847,"")</f>
        <v/>
      </c>
      <c r="P847" s="55" t="str">
        <f>IF(COUNTA(A847:I847)=0,"",N(G847)+N(H847)+N(I847))</f>
        <v/>
      </c>
      <c r="Q847" s="56" t="str">
        <f>IF(COUNTA(A847:I847)=0,"",IF(N(IFERROR(INDEX(art_rate,MATCH(E847,art_ref,0)),0))&gt;0,N(IFERROR(INDEX(art_rate,MATCH(E847,art_ref,0)),0)),N(IFERROR(INDEX(po_rate,MATCH(C847,po_code,0)),0))))</f>
        <v/>
      </c>
      <c r="R847" s="55" t="str">
        <f>IF(AC847=1,P847*60/Q847,"")</f>
        <v/>
      </c>
      <c r="S847" s="55" t="str">
        <f>IF(AC847=1,N(G847)*60/Q847,"")</f>
        <v/>
      </c>
      <c r="T847" s="57" t="str">
        <f>IF(AC847=1,O847/M847,"")</f>
        <v/>
      </c>
      <c r="U847" s="57" t="str">
        <f>IF(AC847=1,IF(O847&gt;0,R847/O847,""),"")</f>
        <v/>
      </c>
      <c r="V847" s="57" t="str">
        <f>IF(AC847=1,IF(P847&gt;0,N(G847)/P847,""),"")</f>
        <v/>
      </c>
      <c r="W847" s="57" t="str">
        <f>IF(AC847=1,S847/M847,"")</f>
        <v/>
      </c>
      <c r="X847" s="57" t="str">
        <f>IF(AC847=1,S847/K847,"")</f>
        <v/>
      </c>
      <c r="Y847" s="58" t="str">
        <f>IF(W847="","",IF(W847&gt;=p_target,"Bon",IF(W847&gt;=p_alert,"À surveiller","Faible")))</f>
        <v/>
      </c>
      <c r="Z847" s="58" t="str">
        <f>IF(W847="","",IF(MIN(IF(T847="",1,T847),IF(U847="",1,U847),IF(V847="",1,V847))&gt;=1,"Aucune",IF(IF(T847="",1,T847)&lt;=MIN(IF(U847="",1,U847),IF(V847="",1,V847)),"Disponibilité",IF(IF(U847="",1,U847)&lt;=IF(V847="",1,V847),"Performance","Qualité"))))</f>
        <v/>
      </c>
      <c r="AA847" s="59" t="str">
        <f>IF(AC847=1,N(H847)*N(IFERROR(INDEX(art_cost,MATCH(E847,art_ref,0)),0)),"")</f>
        <v/>
      </c>
      <c r="AB847" s="58" t="str">
        <f>IF(COUNTA(A847:I847)=0,"",IF(N(A847)&lt;=0,"Date manquante ou invalide",IF(B847="","Équipe manquante",IF(ISNA(MATCH(B847,eq_code,0)),"Équipe inconnue",IF(INDEX(eq_check,MATCH(B847,eq_code,0))&lt;&gt;"OK","Équipe à corriger dans Paramètres",IF(C847="","Poste manquant",IF(ISNA(MATCH(C847,po_code,0)),"Poste inconnu",IF(AND(E847&lt;&gt;"",ISNA(MATCH(E847,art_ref,0))),"Article inconnu",IF(IF(E847="",FALSE,INDEX(art_check,MATCH(E847,art_ref,0))&lt;&gt;"OK"),"Article à corriger (feuille Articles)",IF(COUNTIFS(sj_date,A847,sj_eq,B847,sj_po,C847)&gt;1,"Ligne en double (même jour, équipe et poste)",IF(OR(NOT(ISNUMBER(K847)),N(K847)&lt;=0,N(K847)&gt;1440),"Temps d'ouverture invalide",IF(OR(AND(G847&lt;&gt;"",NOT(ISNUMBER(G847))),N(G847)&lt;0,N(G847)&lt;&gt;INT(N(G847)),AND(H847&lt;&gt;"",NOT(ISNUMBER(H847))),N(H847)&lt;0,N(H847)&lt;&gt;INT(N(H847)),AND(I847&lt;&gt;"",NOT(ISNUMBER(I847))),N(I847)&lt;0,N(I847)&lt;&gt;INT(N(I847))),"Quantité invalide",IF(Q847&lt;=0,"Cadence manquante (poste ou article)",IF(M847&lt;=0,"Arrêts planifiés supérieurs au temps d'ouverture",IF(O847&lt;0,"Arrêts supérieurs au temps requis",IF(AND(P847&gt;0,O847=0),"Pièces déclarées sans temps de marche",IF(AND(P847=0,O847&gt;0),"Aucune pièce déclarée",IF(P847*60/Q847&gt;O847+0.001,"Cadence dépassée : vérifiez la cadence","OK"))))))))))))))))))</f>
        <v/>
      </c>
      <c r="AC847">
        <f>IF(OR(AB847="OK",AB847="Aucune pièce déclarée",AB847="Cadence dépassée : vérifiez la cadence"),1,0)</f>
        <v>0.0</v>
      </c>
      <c r="AD847">
        <f>IF(AND(AC847=1,A847&gt;=p_from,A847&lt;=p_to),1,0)</f>
        <v>0.0</v>
      </c>
      <c r="AE847">
        <f>IF(AD847=1,IF(COUNTIFS($A$6:A847,A847,$AD$6:AD847,1)=1,1,0),0)</f>
        <v>0.0</v>
      </c>
      <c r="AF847" t="str">
        <f>IF(AE847=1,COUNTIFS(sj_first,1,sj_date,"&lt;"&amp;A847)+1,"")</f>
        <v/>
      </c>
      <c r="AG847" t="str">
        <f>IF(AND(AD847=1,N(W847)&lt;p_alert),ROUND(W847,4),"")</f>
        <v/>
      </c>
      <c r="AH847" t="str">
        <f>IF(AG847="","",COUNTIF(sj_akey,"&lt;"&amp;AG847)+COUNTIF($AG$6:AG847,AG847))</f>
        <v/>
      </c>
    </row>
    <row r="848">
      <c r="A848" s="51" t="n"/>
      <c r="B848" s="52" t="n"/>
      <c r="C848" s="52" t="n"/>
      <c r="D848" s="53" t="n"/>
      <c r="E848" s="53" t="n"/>
      <c r="F848" s="54" t="n"/>
      <c r="G848" s="54" t="n"/>
      <c r="H848" s="54" t="n"/>
      <c r="I848" s="54" t="n"/>
      <c r="J848" s="53" t="n"/>
      <c r="K848" s="55" t="str">
        <f>IF(COUNTA(A848:I848)=0,"",IF(F848="",IFERROR(INDEX(eq_dur,MATCH(B848,eq_code,0)),""),F848))</f>
        <v/>
      </c>
      <c r="L848" s="55" t="str">
        <f>IF(ISNUMBER(K848),N(IFERROR(INDEX(eq_pause,MATCH(B848,eq_code,0)),0))+SUMIFS(st_min,st_date,A848,st_eq,B848,st_po,C848,st_type,"Planifié"),"")</f>
        <v/>
      </c>
      <c r="M848" s="55" t="str">
        <f>IF(ISNUMBER(K848),K848-L848,"")</f>
        <v/>
      </c>
      <c r="N848" s="55" t="str">
        <f>IF(ISNUMBER(K848),SUMIFS(st_min,st_date,A848,st_eq,B848,st_po,C848,st_type,"Non planifié"),"")</f>
        <v/>
      </c>
      <c r="O848" s="55" t="str">
        <f>IF(ISNUMBER(K848),M848-N848,"")</f>
        <v/>
      </c>
      <c r="P848" s="55" t="str">
        <f>IF(COUNTA(A848:I848)=0,"",N(G848)+N(H848)+N(I848))</f>
        <v/>
      </c>
      <c r="Q848" s="56" t="str">
        <f>IF(COUNTA(A848:I848)=0,"",IF(N(IFERROR(INDEX(art_rate,MATCH(E848,art_ref,0)),0))&gt;0,N(IFERROR(INDEX(art_rate,MATCH(E848,art_ref,0)),0)),N(IFERROR(INDEX(po_rate,MATCH(C848,po_code,0)),0))))</f>
        <v/>
      </c>
      <c r="R848" s="55" t="str">
        <f>IF(AC848=1,P848*60/Q848,"")</f>
        <v/>
      </c>
      <c r="S848" s="55" t="str">
        <f>IF(AC848=1,N(G848)*60/Q848,"")</f>
        <v/>
      </c>
      <c r="T848" s="57" t="str">
        <f>IF(AC848=1,O848/M848,"")</f>
        <v/>
      </c>
      <c r="U848" s="57" t="str">
        <f>IF(AC848=1,IF(O848&gt;0,R848/O848,""),"")</f>
        <v/>
      </c>
      <c r="V848" s="57" t="str">
        <f>IF(AC848=1,IF(P848&gt;0,N(G848)/P848,""),"")</f>
        <v/>
      </c>
      <c r="W848" s="57" t="str">
        <f>IF(AC848=1,S848/M848,"")</f>
        <v/>
      </c>
      <c r="X848" s="57" t="str">
        <f>IF(AC848=1,S848/K848,"")</f>
        <v/>
      </c>
      <c r="Y848" s="58" t="str">
        <f>IF(W848="","",IF(W848&gt;=p_target,"Bon",IF(W848&gt;=p_alert,"À surveiller","Faible")))</f>
        <v/>
      </c>
      <c r="Z848" s="58" t="str">
        <f>IF(W848="","",IF(MIN(IF(T848="",1,T848),IF(U848="",1,U848),IF(V848="",1,V848))&gt;=1,"Aucune",IF(IF(T848="",1,T848)&lt;=MIN(IF(U848="",1,U848),IF(V848="",1,V848)),"Disponibilité",IF(IF(U848="",1,U848)&lt;=IF(V848="",1,V848),"Performance","Qualité"))))</f>
        <v/>
      </c>
      <c r="AA848" s="59" t="str">
        <f>IF(AC848=1,N(H848)*N(IFERROR(INDEX(art_cost,MATCH(E848,art_ref,0)),0)),"")</f>
        <v/>
      </c>
      <c r="AB848" s="58" t="str">
        <f>IF(COUNTA(A848:I848)=0,"",IF(N(A848)&lt;=0,"Date manquante ou invalide",IF(B848="","Équipe manquante",IF(ISNA(MATCH(B848,eq_code,0)),"Équipe inconnue",IF(INDEX(eq_check,MATCH(B848,eq_code,0))&lt;&gt;"OK","Équipe à corriger dans Paramètres",IF(C848="","Poste manquant",IF(ISNA(MATCH(C848,po_code,0)),"Poste inconnu",IF(AND(E848&lt;&gt;"",ISNA(MATCH(E848,art_ref,0))),"Article inconnu",IF(IF(E848="",FALSE,INDEX(art_check,MATCH(E848,art_ref,0))&lt;&gt;"OK"),"Article à corriger (feuille Articles)",IF(COUNTIFS(sj_date,A848,sj_eq,B848,sj_po,C848)&gt;1,"Ligne en double (même jour, équipe et poste)",IF(OR(NOT(ISNUMBER(K848)),N(K848)&lt;=0,N(K848)&gt;1440),"Temps d'ouverture invalide",IF(OR(AND(G848&lt;&gt;"",NOT(ISNUMBER(G848))),N(G848)&lt;0,N(G848)&lt;&gt;INT(N(G848)),AND(H848&lt;&gt;"",NOT(ISNUMBER(H848))),N(H848)&lt;0,N(H848)&lt;&gt;INT(N(H848)),AND(I848&lt;&gt;"",NOT(ISNUMBER(I848))),N(I848)&lt;0,N(I848)&lt;&gt;INT(N(I848))),"Quantité invalide",IF(Q848&lt;=0,"Cadence manquante (poste ou article)",IF(M848&lt;=0,"Arrêts planifiés supérieurs au temps d'ouverture",IF(O848&lt;0,"Arrêts supérieurs au temps requis",IF(AND(P848&gt;0,O848=0),"Pièces déclarées sans temps de marche",IF(AND(P848=0,O848&gt;0),"Aucune pièce déclarée",IF(P848*60/Q848&gt;O848+0.001,"Cadence dépassée : vérifiez la cadence","OK"))))))))))))))))))</f>
        <v/>
      </c>
      <c r="AC848">
        <f>IF(OR(AB848="OK",AB848="Aucune pièce déclarée",AB848="Cadence dépassée : vérifiez la cadence"),1,0)</f>
        <v>0.0</v>
      </c>
      <c r="AD848">
        <f>IF(AND(AC848=1,A848&gt;=p_from,A848&lt;=p_to),1,0)</f>
        <v>0.0</v>
      </c>
      <c r="AE848">
        <f>IF(AD848=1,IF(COUNTIFS($A$6:A848,A848,$AD$6:AD848,1)=1,1,0),0)</f>
        <v>0.0</v>
      </c>
      <c r="AF848" t="str">
        <f>IF(AE848=1,COUNTIFS(sj_first,1,sj_date,"&lt;"&amp;A848)+1,"")</f>
        <v/>
      </c>
      <c r="AG848" t="str">
        <f>IF(AND(AD848=1,N(W848)&lt;p_alert),ROUND(W848,4),"")</f>
        <v/>
      </c>
      <c r="AH848" t="str">
        <f>IF(AG848="","",COUNTIF(sj_akey,"&lt;"&amp;AG848)+COUNTIF($AG$6:AG848,AG848))</f>
        <v/>
      </c>
    </row>
    <row r="849">
      <c r="A849" s="51" t="n"/>
      <c r="B849" s="52" t="n"/>
      <c r="C849" s="52" t="n"/>
      <c r="D849" s="53" t="n"/>
      <c r="E849" s="53" t="n"/>
      <c r="F849" s="54" t="n"/>
      <c r="G849" s="54" t="n"/>
      <c r="H849" s="54" t="n"/>
      <c r="I849" s="54" t="n"/>
      <c r="J849" s="53" t="n"/>
      <c r="K849" s="55" t="str">
        <f>IF(COUNTA(A849:I849)=0,"",IF(F849="",IFERROR(INDEX(eq_dur,MATCH(B849,eq_code,0)),""),F849))</f>
        <v/>
      </c>
      <c r="L849" s="55" t="str">
        <f>IF(ISNUMBER(K849),N(IFERROR(INDEX(eq_pause,MATCH(B849,eq_code,0)),0))+SUMIFS(st_min,st_date,A849,st_eq,B849,st_po,C849,st_type,"Planifié"),"")</f>
        <v/>
      </c>
      <c r="M849" s="55" t="str">
        <f>IF(ISNUMBER(K849),K849-L849,"")</f>
        <v/>
      </c>
      <c r="N849" s="55" t="str">
        <f>IF(ISNUMBER(K849),SUMIFS(st_min,st_date,A849,st_eq,B849,st_po,C849,st_type,"Non planifié"),"")</f>
        <v/>
      </c>
      <c r="O849" s="55" t="str">
        <f>IF(ISNUMBER(K849),M849-N849,"")</f>
        <v/>
      </c>
      <c r="P849" s="55" t="str">
        <f>IF(COUNTA(A849:I849)=0,"",N(G849)+N(H849)+N(I849))</f>
        <v/>
      </c>
      <c r="Q849" s="56" t="str">
        <f>IF(COUNTA(A849:I849)=0,"",IF(N(IFERROR(INDEX(art_rate,MATCH(E849,art_ref,0)),0))&gt;0,N(IFERROR(INDEX(art_rate,MATCH(E849,art_ref,0)),0)),N(IFERROR(INDEX(po_rate,MATCH(C849,po_code,0)),0))))</f>
        <v/>
      </c>
      <c r="R849" s="55" t="str">
        <f>IF(AC849=1,P849*60/Q849,"")</f>
        <v/>
      </c>
      <c r="S849" s="55" t="str">
        <f>IF(AC849=1,N(G849)*60/Q849,"")</f>
        <v/>
      </c>
      <c r="T849" s="57" t="str">
        <f>IF(AC849=1,O849/M849,"")</f>
        <v/>
      </c>
      <c r="U849" s="57" t="str">
        <f>IF(AC849=1,IF(O849&gt;0,R849/O849,""),"")</f>
        <v/>
      </c>
      <c r="V849" s="57" t="str">
        <f>IF(AC849=1,IF(P849&gt;0,N(G849)/P849,""),"")</f>
        <v/>
      </c>
      <c r="W849" s="57" t="str">
        <f>IF(AC849=1,S849/M849,"")</f>
        <v/>
      </c>
      <c r="X849" s="57" t="str">
        <f>IF(AC849=1,S849/K849,"")</f>
        <v/>
      </c>
      <c r="Y849" s="58" t="str">
        <f>IF(W849="","",IF(W849&gt;=p_target,"Bon",IF(W849&gt;=p_alert,"À surveiller","Faible")))</f>
        <v/>
      </c>
      <c r="Z849" s="58" t="str">
        <f>IF(W849="","",IF(MIN(IF(T849="",1,T849),IF(U849="",1,U849),IF(V849="",1,V849))&gt;=1,"Aucune",IF(IF(T849="",1,T849)&lt;=MIN(IF(U849="",1,U849),IF(V849="",1,V849)),"Disponibilité",IF(IF(U849="",1,U849)&lt;=IF(V849="",1,V849),"Performance","Qualité"))))</f>
        <v/>
      </c>
      <c r="AA849" s="59" t="str">
        <f>IF(AC849=1,N(H849)*N(IFERROR(INDEX(art_cost,MATCH(E849,art_ref,0)),0)),"")</f>
        <v/>
      </c>
      <c r="AB849" s="58" t="str">
        <f>IF(COUNTA(A849:I849)=0,"",IF(N(A849)&lt;=0,"Date manquante ou invalide",IF(B849="","Équipe manquante",IF(ISNA(MATCH(B849,eq_code,0)),"Équipe inconnue",IF(INDEX(eq_check,MATCH(B849,eq_code,0))&lt;&gt;"OK","Équipe à corriger dans Paramètres",IF(C849="","Poste manquant",IF(ISNA(MATCH(C849,po_code,0)),"Poste inconnu",IF(AND(E849&lt;&gt;"",ISNA(MATCH(E849,art_ref,0))),"Article inconnu",IF(IF(E849="",FALSE,INDEX(art_check,MATCH(E849,art_ref,0))&lt;&gt;"OK"),"Article à corriger (feuille Articles)",IF(COUNTIFS(sj_date,A849,sj_eq,B849,sj_po,C849)&gt;1,"Ligne en double (même jour, équipe et poste)",IF(OR(NOT(ISNUMBER(K849)),N(K849)&lt;=0,N(K849)&gt;1440),"Temps d'ouverture invalide",IF(OR(AND(G849&lt;&gt;"",NOT(ISNUMBER(G849))),N(G849)&lt;0,N(G849)&lt;&gt;INT(N(G849)),AND(H849&lt;&gt;"",NOT(ISNUMBER(H849))),N(H849)&lt;0,N(H849)&lt;&gt;INT(N(H849)),AND(I849&lt;&gt;"",NOT(ISNUMBER(I849))),N(I849)&lt;0,N(I849)&lt;&gt;INT(N(I849))),"Quantité invalide",IF(Q849&lt;=0,"Cadence manquante (poste ou article)",IF(M849&lt;=0,"Arrêts planifiés supérieurs au temps d'ouverture",IF(O849&lt;0,"Arrêts supérieurs au temps requis",IF(AND(P849&gt;0,O849=0),"Pièces déclarées sans temps de marche",IF(AND(P849=0,O849&gt;0),"Aucune pièce déclarée",IF(P849*60/Q849&gt;O849+0.001,"Cadence dépassée : vérifiez la cadence","OK"))))))))))))))))))</f>
        <v/>
      </c>
      <c r="AC849">
        <f>IF(OR(AB849="OK",AB849="Aucune pièce déclarée",AB849="Cadence dépassée : vérifiez la cadence"),1,0)</f>
        <v>0.0</v>
      </c>
      <c r="AD849">
        <f>IF(AND(AC849=1,A849&gt;=p_from,A849&lt;=p_to),1,0)</f>
        <v>0.0</v>
      </c>
      <c r="AE849">
        <f>IF(AD849=1,IF(COUNTIFS($A$6:A849,A849,$AD$6:AD849,1)=1,1,0),0)</f>
        <v>0.0</v>
      </c>
      <c r="AF849" t="str">
        <f>IF(AE849=1,COUNTIFS(sj_first,1,sj_date,"&lt;"&amp;A849)+1,"")</f>
        <v/>
      </c>
      <c r="AG849" t="str">
        <f>IF(AND(AD849=1,N(W849)&lt;p_alert),ROUND(W849,4),"")</f>
        <v/>
      </c>
      <c r="AH849" t="str">
        <f>IF(AG849="","",COUNTIF(sj_akey,"&lt;"&amp;AG849)+COUNTIF($AG$6:AG849,AG849))</f>
        <v/>
      </c>
    </row>
    <row r="850">
      <c r="A850" s="51" t="n"/>
      <c r="B850" s="52" t="n"/>
      <c r="C850" s="52" t="n"/>
      <c r="D850" s="53" t="n"/>
      <c r="E850" s="53" t="n"/>
      <c r="F850" s="54" t="n"/>
      <c r="G850" s="54" t="n"/>
      <c r="H850" s="54" t="n"/>
      <c r="I850" s="54" t="n"/>
      <c r="J850" s="53" t="n"/>
      <c r="K850" s="55" t="str">
        <f>IF(COUNTA(A850:I850)=0,"",IF(F850="",IFERROR(INDEX(eq_dur,MATCH(B850,eq_code,0)),""),F850))</f>
        <v/>
      </c>
      <c r="L850" s="55" t="str">
        <f>IF(ISNUMBER(K850),N(IFERROR(INDEX(eq_pause,MATCH(B850,eq_code,0)),0))+SUMIFS(st_min,st_date,A850,st_eq,B850,st_po,C850,st_type,"Planifié"),"")</f>
        <v/>
      </c>
      <c r="M850" s="55" t="str">
        <f>IF(ISNUMBER(K850),K850-L850,"")</f>
        <v/>
      </c>
      <c r="N850" s="55" t="str">
        <f>IF(ISNUMBER(K850),SUMIFS(st_min,st_date,A850,st_eq,B850,st_po,C850,st_type,"Non planifié"),"")</f>
        <v/>
      </c>
      <c r="O850" s="55" t="str">
        <f>IF(ISNUMBER(K850),M850-N850,"")</f>
        <v/>
      </c>
      <c r="P850" s="55" t="str">
        <f>IF(COUNTA(A850:I850)=0,"",N(G850)+N(H850)+N(I850))</f>
        <v/>
      </c>
      <c r="Q850" s="56" t="str">
        <f>IF(COUNTA(A850:I850)=0,"",IF(N(IFERROR(INDEX(art_rate,MATCH(E850,art_ref,0)),0))&gt;0,N(IFERROR(INDEX(art_rate,MATCH(E850,art_ref,0)),0)),N(IFERROR(INDEX(po_rate,MATCH(C850,po_code,0)),0))))</f>
        <v/>
      </c>
      <c r="R850" s="55" t="str">
        <f>IF(AC850=1,P850*60/Q850,"")</f>
        <v/>
      </c>
      <c r="S850" s="55" t="str">
        <f>IF(AC850=1,N(G850)*60/Q850,"")</f>
        <v/>
      </c>
      <c r="T850" s="57" t="str">
        <f>IF(AC850=1,O850/M850,"")</f>
        <v/>
      </c>
      <c r="U850" s="57" t="str">
        <f>IF(AC850=1,IF(O850&gt;0,R850/O850,""),"")</f>
        <v/>
      </c>
      <c r="V850" s="57" t="str">
        <f>IF(AC850=1,IF(P850&gt;0,N(G850)/P850,""),"")</f>
        <v/>
      </c>
      <c r="W850" s="57" t="str">
        <f>IF(AC850=1,S850/M850,"")</f>
        <v/>
      </c>
      <c r="X850" s="57" t="str">
        <f>IF(AC850=1,S850/K850,"")</f>
        <v/>
      </c>
      <c r="Y850" s="58" t="str">
        <f>IF(W850="","",IF(W850&gt;=p_target,"Bon",IF(W850&gt;=p_alert,"À surveiller","Faible")))</f>
        <v/>
      </c>
      <c r="Z850" s="58" t="str">
        <f>IF(W850="","",IF(MIN(IF(T850="",1,T850),IF(U850="",1,U850),IF(V850="",1,V850))&gt;=1,"Aucune",IF(IF(T850="",1,T850)&lt;=MIN(IF(U850="",1,U850),IF(V850="",1,V850)),"Disponibilité",IF(IF(U850="",1,U850)&lt;=IF(V850="",1,V850),"Performance","Qualité"))))</f>
        <v/>
      </c>
      <c r="AA850" s="59" t="str">
        <f>IF(AC850=1,N(H850)*N(IFERROR(INDEX(art_cost,MATCH(E850,art_ref,0)),0)),"")</f>
        <v/>
      </c>
      <c r="AB850" s="58" t="str">
        <f>IF(COUNTA(A850:I850)=0,"",IF(N(A850)&lt;=0,"Date manquante ou invalide",IF(B850="","Équipe manquante",IF(ISNA(MATCH(B850,eq_code,0)),"Équipe inconnue",IF(INDEX(eq_check,MATCH(B850,eq_code,0))&lt;&gt;"OK","Équipe à corriger dans Paramètres",IF(C850="","Poste manquant",IF(ISNA(MATCH(C850,po_code,0)),"Poste inconnu",IF(AND(E850&lt;&gt;"",ISNA(MATCH(E850,art_ref,0))),"Article inconnu",IF(IF(E850="",FALSE,INDEX(art_check,MATCH(E850,art_ref,0))&lt;&gt;"OK"),"Article à corriger (feuille Articles)",IF(COUNTIFS(sj_date,A850,sj_eq,B850,sj_po,C850)&gt;1,"Ligne en double (même jour, équipe et poste)",IF(OR(NOT(ISNUMBER(K850)),N(K850)&lt;=0,N(K850)&gt;1440),"Temps d'ouverture invalide",IF(OR(AND(G850&lt;&gt;"",NOT(ISNUMBER(G850))),N(G850)&lt;0,N(G850)&lt;&gt;INT(N(G850)),AND(H850&lt;&gt;"",NOT(ISNUMBER(H850))),N(H850)&lt;0,N(H850)&lt;&gt;INT(N(H850)),AND(I850&lt;&gt;"",NOT(ISNUMBER(I850))),N(I850)&lt;0,N(I850)&lt;&gt;INT(N(I850))),"Quantité invalide",IF(Q850&lt;=0,"Cadence manquante (poste ou article)",IF(M850&lt;=0,"Arrêts planifiés supérieurs au temps d'ouverture",IF(O850&lt;0,"Arrêts supérieurs au temps requis",IF(AND(P850&gt;0,O850=0),"Pièces déclarées sans temps de marche",IF(AND(P850=0,O850&gt;0),"Aucune pièce déclarée",IF(P850*60/Q850&gt;O850+0.001,"Cadence dépassée : vérifiez la cadence","OK"))))))))))))))))))</f>
        <v/>
      </c>
      <c r="AC850">
        <f>IF(OR(AB850="OK",AB850="Aucune pièce déclarée",AB850="Cadence dépassée : vérifiez la cadence"),1,0)</f>
        <v>0.0</v>
      </c>
      <c r="AD850">
        <f>IF(AND(AC850=1,A850&gt;=p_from,A850&lt;=p_to),1,0)</f>
        <v>0.0</v>
      </c>
      <c r="AE850">
        <f>IF(AD850=1,IF(COUNTIFS($A$6:A850,A850,$AD$6:AD850,1)=1,1,0),0)</f>
        <v>0.0</v>
      </c>
      <c r="AF850" t="str">
        <f>IF(AE850=1,COUNTIFS(sj_first,1,sj_date,"&lt;"&amp;A850)+1,"")</f>
        <v/>
      </c>
      <c r="AG850" t="str">
        <f>IF(AND(AD850=1,N(W850)&lt;p_alert),ROUND(W850,4),"")</f>
        <v/>
      </c>
      <c r="AH850" t="str">
        <f>IF(AG850="","",COUNTIF(sj_akey,"&lt;"&amp;AG850)+COUNTIF($AG$6:AG850,AG850))</f>
        <v/>
      </c>
    </row>
    <row r="851">
      <c r="A851" s="51" t="n"/>
      <c r="B851" s="52" t="n"/>
      <c r="C851" s="52" t="n"/>
      <c r="D851" s="53" t="n"/>
      <c r="E851" s="53" t="n"/>
      <c r="F851" s="54" t="n"/>
      <c r="G851" s="54" t="n"/>
      <c r="H851" s="54" t="n"/>
      <c r="I851" s="54" t="n"/>
      <c r="J851" s="53" t="n"/>
      <c r="K851" s="55" t="str">
        <f>IF(COUNTA(A851:I851)=0,"",IF(F851="",IFERROR(INDEX(eq_dur,MATCH(B851,eq_code,0)),""),F851))</f>
        <v/>
      </c>
      <c r="L851" s="55" t="str">
        <f>IF(ISNUMBER(K851),N(IFERROR(INDEX(eq_pause,MATCH(B851,eq_code,0)),0))+SUMIFS(st_min,st_date,A851,st_eq,B851,st_po,C851,st_type,"Planifié"),"")</f>
        <v/>
      </c>
      <c r="M851" s="55" t="str">
        <f>IF(ISNUMBER(K851),K851-L851,"")</f>
        <v/>
      </c>
      <c r="N851" s="55" t="str">
        <f>IF(ISNUMBER(K851),SUMIFS(st_min,st_date,A851,st_eq,B851,st_po,C851,st_type,"Non planifié"),"")</f>
        <v/>
      </c>
      <c r="O851" s="55" t="str">
        <f>IF(ISNUMBER(K851),M851-N851,"")</f>
        <v/>
      </c>
      <c r="P851" s="55" t="str">
        <f>IF(COUNTA(A851:I851)=0,"",N(G851)+N(H851)+N(I851))</f>
        <v/>
      </c>
      <c r="Q851" s="56" t="str">
        <f>IF(COUNTA(A851:I851)=0,"",IF(N(IFERROR(INDEX(art_rate,MATCH(E851,art_ref,0)),0))&gt;0,N(IFERROR(INDEX(art_rate,MATCH(E851,art_ref,0)),0)),N(IFERROR(INDEX(po_rate,MATCH(C851,po_code,0)),0))))</f>
        <v/>
      </c>
      <c r="R851" s="55" t="str">
        <f>IF(AC851=1,P851*60/Q851,"")</f>
        <v/>
      </c>
      <c r="S851" s="55" t="str">
        <f>IF(AC851=1,N(G851)*60/Q851,"")</f>
        <v/>
      </c>
      <c r="T851" s="57" t="str">
        <f>IF(AC851=1,O851/M851,"")</f>
        <v/>
      </c>
      <c r="U851" s="57" t="str">
        <f>IF(AC851=1,IF(O851&gt;0,R851/O851,""),"")</f>
        <v/>
      </c>
      <c r="V851" s="57" t="str">
        <f>IF(AC851=1,IF(P851&gt;0,N(G851)/P851,""),"")</f>
        <v/>
      </c>
      <c r="W851" s="57" t="str">
        <f>IF(AC851=1,S851/M851,"")</f>
        <v/>
      </c>
      <c r="X851" s="57" t="str">
        <f>IF(AC851=1,S851/K851,"")</f>
        <v/>
      </c>
      <c r="Y851" s="58" t="str">
        <f>IF(W851="","",IF(W851&gt;=p_target,"Bon",IF(W851&gt;=p_alert,"À surveiller","Faible")))</f>
        <v/>
      </c>
      <c r="Z851" s="58" t="str">
        <f>IF(W851="","",IF(MIN(IF(T851="",1,T851),IF(U851="",1,U851),IF(V851="",1,V851))&gt;=1,"Aucune",IF(IF(T851="",1,T851)&lt;=MIN(IF(U851="",1,U851),IF(V851="",1,V851)),"Disponibilité",IF(IF(U851="",1,U851)&lt;=IF(V851="",1,V851),"Performance","Qualité"))))</f>
        <v/>
      </c>
      <c r="AA851" s="59" t="str">
        <f>IF(AC851=1,N(H851)*N(IFERROR(INDEX(art_cost,MATCH(E851,art_ref,0)),0)),"")</f>
        <v/>
      </c>
      <c r="AB851" s="58" t="str">
        <f>IF(COUNTA(A851:I851)=0,"",IF(N(A851)&lt;=0,"Date manquante ou invalide",IF(B851="","Équipe manquante",IF(ISNA(MATCH(B851,eq_code,0)),"Équipe inconnue",IF(INDEX(eq_check,MATCH(B851,eq_code,0))&lt;&gt;"OK","Équipe à corriger dans Paramètres",IF(C851="","Poste manquant",IF(ISNA(MATCH(C851,po_code,0)),"Poste inconnu",IF(AND(E851&lt;&gt;"",ISNA(MATCH(E851,art_ref,0))),"Article inconnu",IF(IF(E851="",FALSE,INDEX(art_check,MATCH(E851,art_ref,0))&lt;&gt;"OK"),"Article à corriger (feuille Articles)",IF(COUNTIFS(sj_date,A851,sj_eq,B851,sj_po,C851)&gt;1,"Ligne en double (même jour, équipe et poste)",IF(OR(NOT(ISNUMBER(K851)),N(K851)&lt;=0,N(K851)&gt;1440),"Temps d'ouverture invalide",IF(OR(AND(G851&lt;&gt;"",NOT(ISNUMBER(G851))),N(G851)&lt;0,N(G851)&lt;&gt;INT(N(G851)),AND(H851&lt;&gt;"",NOT(ISNUMBER(H851))),N(H851)&lt;0,N(H851)&lt;&gt;INT(N(H851)),AND(I851&lt;&gt;"",NOT(ISNUMBER(I851))),N(I851)&lt;0,N(I851)&lt;&gt;INT(N(I851))),"Quantité invalide",IF(Q851&lt;=0,"Cadence manquante (poste ou article)",IF(M851&lt;=0,"Arrêts planifiés supérieurs au temps d'ouverture",IF(O851&lt;0,"Arrêts supérieurs au temps requis",IF(AND(P851&gt;0,O851=0),"Pièces déclarées sans temps de marche",IF(AND(P851=0,O851&gt;0),"Aucune pièce déclarée",IF(P851*60/Q851&gt;O851+0.001,"Cadence dépassée : vérifiez la cadence","OK"))))))))))))))))))</f>
        <v/>
      </c>
      <c r="AC851">
        <f>IF(OR(AB851="OK",AB851="Aucune pièce déclarée",AB851="Cadence dépassée : vérifiez la cadence"),1,0)</f>
        <v>0.0</v>
      </c>
      <c r="AD851">
        <f>IF(AND(AC851=1,A851&gt;=p_from,A851&lt;=p_to),1,0)</f>
        <v>0.0</v>
      </c>
      <c r="AE851">
        <f>IF(AD851=1,IF(COUNTIFS($A$6:A851,A851,$AD$6:AD851,1)=1,1,0),0)</f>
        <v>0.0</v>
      </c>
      <c r="AF851" t="str">
        <f>IF(AE851=1,COUNTIFS(sj_first,1,sj_date,"&lt;"&amp;A851)+1,"")</f>
        <v/>
      </c>
      <c r="AG851" t="str">
        <f>IF(AND(AD851=1,N(W851)&lt;p_alert),ROUND(W851,4),"")</f>
        <v/>
      </c>
      <c r="AH851" t="str">
        <f>IF(AG851="","",COUNTIF(sj_akey,"&lt;"&amp;AG851)+COUNTIF($AG$6:AG851,AG851))</f>
        <v/>
      </c>
    </row>
    <row r="852">
      <c r="A852" s="51" t="n"/>
      <c r="B852" s="52" t="n"/>
      <c r="C852" s="52" t="n"/>
      <c r="D852" s="53" t="n"/>
      <c r="E852" s="53" t="n"/>
      <c r="F852" s="54" t="n"/>
      <c r="G852" s="54" t="n"/>
      <c r="H852" s="54" t="n"/>
      <c r="I852" s="54" t="n"/>
      <c r="J852" s="53" t="n"/>
      <c r="K852" s="55" t="str">
        <f>IF(COUNTA(A852:I852)=0,"",IF(F852="",IFERROR(INDEX(eq_dur,MATCH(B852,eq_code,0)),""),F852))</f>
        <v/>
      </c>
      <c r="L852" s="55" t="str">
        <f>IF(ISNUMBER(K852),N(IFERROR(INDEX(eq_pause,MATCH(B852,eq_code,0)),0))+SUMIFS(st_min,st_date,A852,st_eq,B852,st_po,C852,st_type,"Planifié"),"")</f>
        <v/>
      </c>
      <c r="M852" s="55" t="str">
        <f>IF(ISNUMBER(K852),K852-L852,"")</f>
        <v/>
      </c>
      <c r="N852" s="55" t="str">
        <f>IF(ISNUMBER(K852),SUMIFS(st_min,st_date,A852,st_eq,B852,st_po,C852,st_type,"Non planifié"),"")</f>
        <v/>
      </c>
      <c r="O852" s="55" t="str">
        <f>IF(ISNUMBER(K852),M852-N852,"")</f>
        <v/>
      </c>
      <c r="P852" s="55" t="str">
        <f>IF(COUNTA(A852:I852)=0,"",N(G852)+N(H852)+N(I852))</f>
        <v/>
      </c>
      <c r="Q852" s="56" t="str">
        <f>IF(COUNTA(A852:I852)=0,"",IF(N(IFERROR(INDEX(art_rate,MATCH(E852,art_ref,0)),0))&gt;0,N(IFERROR(INDEX(art_rate,MATCH(E852,art_ref,0)),0)),N(IFERROR(INDEX(po_rate,MATCH(C852,po_code,0)),0))))</f>
        <v/>
      </c>
      <c r="R852" s="55" t="str">
        <f>IF(AC852=1,P852*60/Q852,"")</f>
        <v/>
      </c>
      <c r="S852" s="55" t="str">
        <f>IF(AC852=1,N(G852)*60/Q852,"")</f>
        <v/>
      </c>
      <c r="T852" s="57" t="str">
        <f>IF(AC852=1,O852/M852,"")</f>
        <v/>
      </c>
      <c r="U852" s="57" t="str">
        <f>IF(AC852=1,IF(O852&gt;0,R852/O852,""),"")</f>
        <v/>
      </c>
      <c r="V852" s="57" t="str">
        <f>IF(AC852=1,IF(P852&gt;0,N(G852)/P852,""),"")</f>
        <v/>
      </c>
      <c r="W852" s="57" t="str">
        <f>IF(AC852=1,S852/M852,"")</f>
        <v/>
      </c>
      <c r="X852" s="57" t="str">
        <f>IF(AC852=1,S852/K852,"")</f>
        <v/>
      </c>
      <c r="Y852" s="58" t="str">
        <f>IF(W852="","",IF(W852&gt;=p_target,"Bon",IF(W852&gt;=p_alert,"À surveiller","Faible")))</f>
        <v/>
      </c>
      <c r="Z852" s="58" t="str">
        <f>IF(W852="","",IF(MIN(IF(T852="",1,T852),IF(U852="",1,U852),IF(V852="",1,V852))&gt;=1,"Aucune",IF(IF(T852="",1,T852)&lt;=MIN(IF(U852="",1,U852),IF(V852="",1,V852)),"Disponibilité",IF(IF(U852="",1,U852)&lt;=IF(V852="",1,V852),"Performance","Qualité"))))</f>
        <v/>
      </c>
      <c r="AA852" s="59" t="str">
        <f>IF(AC852=1,N(H852)*N(IFERROR(INDEX(art_cost,MATCH(E852,art_ref,0)),0)),"")</f>
        <v/>
      </c>
      <c r="AB852" s="58" t="str">
        <f>IF(COUNTA(A852:I852)=0,"",IF(N(A852)&lt;=0,"Date manquante ou invalide",IF(B852="","Équipe manquante",IF(ISNA(MATCH(B852,eq_code,0)),"Équipe inconnue",IF(INDEX(eq_check,MATCH(B852,eq_code,0))&lt;&gt;"OK","Équipe à corriger dans Paramètres",IF(C852="","Poste manquant",IF(ISNA(MATCH(C852,po_code,0)),"Poste inconnu",IF(AND(E852&lt;&gt;"",ISNA(MATCH(E852,art_ref,0))),"Article inconnu",IF(IF(E852="",FALSE,INDEX(art_check,MATCH(E852,art_ref,0))&lt;&gt;"OK"),"Article à corriger (feuille Articles)",IF(COUNTIFS(sj_date,A852,sj_eq,B852,sj_po,C852)&gt;1,"Ligne en double (même jour, équipe et poste)",IF(OR(NOT(ISNUMBER(K852)),N(K852)&lt;=0,N(K852)&gt;1440),"Temps d'ouverture invalide",IF(OR(AND(G852&lt;&gt;"",NOT(ISNUMBER(G852))),N(G852)&lt;0,N(G852)&lt;&gt;INT(N(G852)),AND(H852&lt;&gt;"",NOT(ISNUMBER(H852))),N(H852)&lt;0,N(H852)&lt;&gt;INT(N(H852)),AND(I852&lt;&gt;"",NOT(ISNUMBER(I852))),N(I852)&lt;0,N(I852)&lt;&gt;INT(N(I852))),"Quantité invalide",IF(Q852&lt;=0,"Cadence manquante (poste ou article)",IF(M852&lt;=0,"Arrêts planifiés supérieurs au temps d'ouverture",IF(O852&lt;0,"Arrêts supérieurs au temps requis",IF(AND(P852&gt;0,O852=0),"Pièces déclarées sans temps de marche",IF(AND(P852=0,O852&gt;0),"Aucune pièce déclarée",IF(P852*60/Q852&gt;O852+0.001,"Cadence dépassée : vérifiez la cadence","OK"))))))))))))))))))</f>
        <v/>
      </c>
      <c r="AC852">
        <f>IF(OR(AB852="OK",AB852="Aucune pièce déclarée",AB852="Cadence dépassée : vérifiez la cadence"),1,0)</f>
        <v>0.0</v>
      </c>
      <c r="AD852">
        <f>IF(AND(AC852=1,A852&gt;=p_from,A852&lt;=p_to),1,0)</f>
        <v>0.0</v>
      </c>
      <c r="AE852">
        <f>IF(AD852=1,IF(COUNTIFS($A$6:A852,A852,$AD$6:AD852,1)=1,1,0),0)</f>
        <v>0.0</v>
      </c>
      <c r="AF852" t="str">
        <f>IF(AE852=1,COUNTIFS(sj_first,1,sj_date,"&lt;"&amp;A852)+1,"")</f>
        <v/>
      </c>
      <c r="AG852" t="str">
        <f>IF(AND(AD852=1,N(W852)&lt;p_alert),ROUND(W852,4),"")</f>
        <v/>
      </c>
      <c r="AH852" t="str">
        <f>IF(AG852="","",COUNTIF(sj_akey,"&lt;"&amp;AG852)+COUNTIF($AG$6:AG852,AG852))</f>
        <v/>
      </c>
    </row>
    <row r="853">
      <c r="A853" s="51" t="n"/>
      <c r="B853" s="52" t="n"/>
      <c r="C853" s="52" t="n"/>
      <c r="D853" s="53" t="n"/>
      <c r="E853" s="53" t="n"/>
      <c r="F853" s="54" t="n"/>
      <c r="G853" s="54" t="n"/>
      <c r="H853" s="54" t="n"/>
      <c r="I853" s="54" t="n"/>
      <c r="J853" s="53" t="n"/>
      <c r="K853" s="55" t="str">
        <f>IF(COUNTA(A853:I853)=0,"",IF(F853="",IFERROR(INDEX(eq_dur,MATCH(B853,eq_code,0)),""),F853))</f>
        <v/>
      </c>
      <c r="L853" s="55" t="str">
        <f>IF(ISNUMBER(K853),N(IFERROR(INDEX(eq_pause,MATCH(B853,eq_code,0)),0))+SUMIFS(st_min,st_date,A853,st_eq,B853,st_po,C853,st_type,"Planifié"),"")</f>
        <v/>
      </c>
      <c r="M853" s="55" t="str">
        <f>IF(ISNUMBER(K853),K853-L853,"")</f>
        <v/>
      </c>
      <c r="N853" s="55" t="str">
        <f>IF(ISNUMBER(K853),SUMIFS(st_min,st_date,A853,st_eq,B853,st_po,C853,st_type,"Non planifié"),"")</f>
        <v/>
      </c>
      <c r="O853" s="55" t="str">
        <f>IF(ISNUMBER(K853),M853-N853,"")</f>
        <v/>
      </c>
      <c r="P853" s="55" t="str">
        <f>IF(COUNTA(A853:I853)=0,"",N(G853)+N(H853)+N(I853))</f>
        <v/>
      </c>
      <c r="Q853" s="56" t="str">
        <f>IF(COUNTA(A853:I853)=0,"",IF(N(IFERROR(INDEX(art_rate,MATCH(E853,art_ref,0)),0))&gt;0,N(IFERROR(INDEX(art_rate,MATCH(E853,art_ref,0)),0)),N(IFERROR(INDEX(po_rate,MATCH(C853,po_code,0)),0))))</f>
        <v/>
      </c>
      <c r="R853" s="55" t="str">
        <f>IF(AC853=1,P853*60/Q853,"")</f>
        <v/>
      </c>
      <c r="S853" s="55" t="str">
        <f>IF(AC853=1,N(G853)*60/Q853,"")</f>
        <v/>
      </c>
      <c r="T853" s="57" t="str">
        <f>IF(AC853=1,O853/M853,"")</f>
        <v/>
      </c>
      <c r="U853" s="57" t="str">
        <f>IF(AC853=1,IF(O853&gt;0,R853/O853,""),"")</f>
        <v/>
      </c>
      <c r="V853" s="57" t="str">
        <f>IF(AC853=1,IF(P853&gt;0,N(G853)/P853,""),"")</f>
        <v/>
      </c>
      <c r="W853" s="57" t="str">
        <f>IF(AC853=1,S853/M853,"")</f>
        <v/>
      </c>
      <c r="X853" s="57" t="str">
        <f>IF(AC853=1,S853/K853,"")</f>
        <v/>
      </c>
      <c r="Y853" s="58" t="str">
        <f>IF(W853="","",IF(W853&gt;=p_target,"Bon",IF(W853&gt;=p_alert,"À surveiller","Faible")))</f>
        <v/>
      </c>
      <c r="Z853" s="58" t="str">
        <f>IF(W853="","",IF(MIN(IF(T853="",1,T853),IF(U853="",1,U853),IF(V853="",1,V853))&gt;=1,"Aucune",IF(IF(T853="",1,T853)&lt;=MIN(IF(U853="",1,U853),IF(V853="",1,V853)),"Disponibilité",IF(IF(U853="",1,U853)&lt;=IF(V853="",1,V853),"Performance","Qualité"))))</f>
        <v/>
      </c>
      <c r="AA853" s="59" t="str">
        <f>IF(AC853=1,N(H853)*N(IFERROR(INDEX(art_cost,MATCH(E853,art_ref,0)),0)),"")</f>
        <v/>
      </c>
      <c r="AB853" s="58" t="str">
        <f>IF(COUNTA(A853:I853)=0,"",IF(N(A853)&lt;=0,"Date manquante ou invalide",IF(B853="","Équipe manquante",IF(ISNA(MATCH(B853,eq_code,0)),"Équipe inconnue",IF(INDEX(eq_check,MATCH(B853,eq_code,0))&lt;&gt;"OK","Équipe à corriger dans Paramètres",IF(C853="","Poste manquant",IF(ISNA(MATCH(C853,po_code,0)),"Poste inconnu",IF(AND(E853&lt;&gt;"",ISNA(MATCH(E853,art_ref,0))),"Article inconnu",IF(IF(E853="",FALSE,INDEX(art_check,MATCH(E853,art_ref,0))&lt;&gt;"OK"),"Article à corriger (feuille Articles)",IF(COUNTIFS(sj_date,A853,sj_eq,B853,sj_po,C853)&gt;1,"Ligne en double (même jour, équipe et poste)",IF(OR(NOT(ISNUMBER(K853)),N(K853)&lt;=0,N(K853)&gt;1440),"Temps d'ouverture invalide",IF(OR(AND(G853&lt;&gt;"",NOT(ISNUMBER(G853))),N(G853)&lt;0,N(G853)&lt;&gt;INT(N(G853)),AND(H853&lt;&gt;"",NOT(ISNUMBER(H853))),N(H853)&lt;0,N(H853)&lt;&gt;INT(N(H853)),AND(I853&lt;&gt;"",NOT(ISNUMBER(I853))),N(I853)&lt;0,N(I853)&lt;&gt;INT(N(I853))),"Quantité invalide",IF(Q853&lt;=0,"Cadence manquante (poste ou article)",IF(M853&lt;=0,"Arrêts planifiés supérieurs au temps d'ouverture",IF(O853&lt;0,"Arrêts supérieurs au temps requis",IF(AND(P853&gt;0,O853=0),"Pièces déclarées sans temps de marche",IF(AND(P853=0,O853&gt;0),"Aucune pièce déclarée",IF(P853*60/Q853&gt;O853+0.001,"Cadence dépassée : vérifiez la cadence","OK"))))))))))))))))))</f>
        <v/>
      </c>
      <c r="AC853">
        <f>IF(OR(AB853="OK",AB853="Aucune pièce déclarée",AB853="Cadence dépassée : vérifiez la cadence"),1,0)</f>
        <v>0.0</v>
      </c>
      <c r="AD853">
        <f>IF(AND(AC853=1,A853&gt;=p_from,A853&lt;=p_to),1,0)</f>
        <v>0.0</v>
      </c>
      <c r="AE853">
        <f>IF(AD853=1,IF(COUNTIFS($A$6:A853,A853,$AD$6:AD853,1)=1,1,0),0)</f>
        <v>0.0</v>
      </c>
      <c r="AF853" t="str">
        <f>IF(AE853=1,COUNTIFS(sj_first,1,sj_date,"&lt;"&amp;A853)+1,"")</f>
        <v/>
      </c>
      <c r="AG853" t="str">
        <f>IF(AND(AD853=1,N(W853)&lt;p_alert),ROUND(W853,4),"")</f>
        <v/>
      </c>
      <c r="AH853" t="str">
        <f>IF(AG853="","",COUNTIF(sj_akey,"&lt;"&amp;AG853)+COUNTIF($AG$6:AG853,AG853))</f>
        <v/>
      </c>
    </row>
    <row r="854">
      <c r="A854" s="51" t="n"/>
      <c r="B854" s="52" t="n"/>
      <c r="C854" s="52" t="n"/>
      <c r="D854" s="53" t="n"/>
      <c r="E854" s="53" t="n"/>
      <c r="F854" s="54" t="n"/>
      <c r="G854" s="54" t="n"/>
      <c r="H854" s="54" t="n"/>
      <c r="I854" s="54" t="n"/>
      <c r="J854" s="53" t="n"/>
      <c r="K854" s="55" t="str">
        <f>IF(COUNTA(A854:I854)=0,"",IF(F854="",IFERROR(INDEX(eq_dur,MATCH(B854,eq_code,0)),""),F854))</f>
        <v/>
      </c>
      <c r="L854" s="55" t="str">
        <f>IF(ISNUMBER(K854),N(IFERROR(INDEX(eq_pause,MATCH(B854,eq_code,0)),0))+SUMIFS(st_min,st_date,A854,st_eq,B854,st_po,C854,st_type,"Planifié"),"")</f>
        <v/>
      </c>
      <c r="M854" s="55" t="str">
        <f>IF(ISNUMBER(K854),K854-L854,"")</f>
        <v/>
      </c>
      <c r="N854" s="55" t="str">
        <f>IF(ISNUMBER(K854),SUMIFS(st_min,st_date,A854,st_eq,B854,st_po,C854,st_type,"Non planifié"),"")</f>
        <v/>
      </c>
      <c r="O854" s="55" t="str">
        <f>IF(ISNUMBER(K854),M854-N854,"")</f>
        <v/>
      </c>
      <c r="P854" s="55" t="str">
        <f>IF(COUNTA(A854:I854)=0,"",N(G854)+N(H854)+N(I854))</f>
        <v/>
      </c>
      <c r="Q854" s="56" t="str">
        <f>IF(COUNTA(A854:I854)=0,"",IF(N(IFERROR(INDEX(art_rate,MATCH(E854,art_ref,0)),0))&gt;0,N(IFERROR(INDEX(art_rate,MATCH(E854,art_ref,0)),0)),N(IFERROR(INDEX(po_rate,MATCH(C854,po_code,0)),0))))</f>
        <v/>
      </c>
      <c r="R854" s="55" t="str">
        <f>IF(AC854=1,P854*60/Q854,"")</f>
        <v/>
      </c>
      <c r="S854" s="55" t="str">
        <f>IF(AC854=1,N(G854)*60/Q854,"")</f>
        <v/>
      </c>
      <c r="T854" s="57" t="str">
        <f>IF(AC854=1,O854/M854,"")</f>
        <v/>
      </c>
      <c r="U854" s="57" t="str">
        <f>IF(AC854=1,IF(O854&gt;0,R854/O854,""),"")</f>
        <v/>
      </c>
      <c r="V854" s="57" t="str">
        <f>IF(AC854=1,IF(P854&gt;0,N(G854)/P854,""),"")</f>
        <v/>
      </c>
      <c r="W854" s="57" t="str">
        <f>IF(AC854=1,S854/M854,"")</f>
        <v/>
      </c>
      <c r="X854" s="57" t="str">
        <f>IF(AC854=1,S854/K854,"")</f>
        <v/>
      </c>
      <c r="Y854" s="58" t="str">
        <f>IF(W854="","",IF(W854&gt;=p_target,"Bon",IF(W854&gt;=p_alert,"À surveiller","Faible")))</f>
        <v/>
      </c>
      <c r="Z854" s="58" t="str">
        <f>IF(W854="","",IF(MIN(IF(T854="",1,T854),IF(U854="",1,U854),IF(V854="",1,V854))&gt;=1,"Aucune",IF(IF(T854="",1,T854)&lt;=MIN(IF(U854="",1,U854),IF(V854="",1,V854)),"Disponibilité",IF(IF(U854="",1,U854)&lt;=IF(V854="",1,V854),"Performance","Qualité"))))</f>
        <v/>
      </c>
      <c r="AA854" s="59" t="str">
        <f>IF(AC854=1,N(H854)*N(IFERROR(INDEX(art_cost,MATCH(E854,art_ref,0)),0)),"")</f>
        <v/>
      </c>
      <c r="AB854" s="58" t="str">
        <f>IF(COUNTA(A854:I854)=0,"",IF(N(A854)&lt;=0,"Date manquante ou invalide",IF(B854="","Équipe manquante",IF(ISNA(MATCH(B854,eq_code,0)),"Équipe inconnue",IF(INDEX(eq_check,MATCH(B854,eq_code,0))&lt;&gt;"OK","Équipe à corriger dans Paramètres",IF(C854="","Poste manquant",IF(ISNA(MATCH(C854,po_code,0)),"Poste inconnu",IF(AND(E854&lt;&gt;"",ISNA(MATCH(E854,art_ref,0))),"Article inconnu",IF(IF(E854="",FALSE,INDEX(art_check,MATCH(E854,art_ref,0))&lt;&gt;"OK"),"Article à corriger (feuille Articles)",IF(COUNTIFS(sj_date,A854,sj_eq,B854,sj_po,C854)&gt;1,"Ligne en double (même jour, équipe et poste)",IF(OR(NOT(ISNUMBER(K854)),N(K854)&lt;=0,N(K854)&gt;1440),"Temps d'ouverture invalide",IF(OR(AND(G854&lt;&gt;"",NOT(ISNUMBER(G854))),N(G854)&lt;0,N(G854)&lt;&gt;INT(N(G854)),AND(H854&lt;&gt;"",NOT(ISNUMBER(H854))),N(H854)&lt;0,N(H854)&lt;&gt;INT(N(H854)),AND(I854&lt;&gt;"",NOT(ISNUMBER(I854))),N(I854)&lt;0,N(I854)&lt;&gt;INT(N(I854))),"Quantité invalide",IF(Q854&lt;=0,"Cadence manquante (poste ou article)",IF(M854&lt;=0,"Arrêts planifiés supérieurs au temps d'ouverture",IF(O854&lt;0,"Arrêts supérieurs au temps requis",IF(AND(P854&gt;0,O854=0),"Pièces déclarées sans temps de marche",IF(AND(P854=0,O854&gt;0),"Aucune pièce déclarée",IF(P854*60/Q854&gt;O854+0.001,"Cadence dépassée : vérifiez la cadence","OK"))))))))))))))))))</f>
        <v/>
      </c>
      <c r="AC854">
        <f>IF(OR(AB854="OK",AB854="Aucune pièce déclarée",AB854="Cadence dépassée : vérifiez la cadence"),1,0)</f>
        <v>0.0</v>
      </c>
      <c r="AD854">
        <f>IF(AND(AC854=1,A854&gt;=p_from,A854&lt;=p_to),1,0)</f>
        <v>0.0</v>
      </c>
      <c r="AE854">
        <f>IF(AD854=1,IF(COUNTIFS($A$6:A854,A854,$AD$6:AD854,1)=1,1,0),0)</f>
        <v>0.0</v>
      </c>
      <c r="AF854" t="str">
        <f>IF(AE854=1,COUNTIFS(sj_first,1,sj_date,"&lt;"&amp;A854)+1,"")</f>
        <v/>
      </c>
      <c r="AG854" t="str">
        <f>IF(AND(AD854=1,N(W854)&lt;p_alert),ROUND(W854,4),"")</f>
        <v/>
      </c>
      <c r="AH854" t="str">
        <f>IF(AG854="","",COUNTIF(sj_akey,"&lt;"&amp;AG854)+COUNTIF($AG$6:AG854,AG854))</f>
        <v/>
      </c>
    </row>
    <row r="855">
      <c r="A855" s="51" t="n"/>
      <c r="B855" s="52" t="n"/>
      <c r="C855" s="52" t="n"/>
      <c r="D855" s="53" t="n"/>
      <c r="E855" s="53" t="n"/>
      <c r="F855" s="54" t="n"/>
      <c r="G855" s="54" t="n"/>
      <c r="H855" s="54" t="n"/>
      <c r="I855" s="54" t="n"/>
      <c r="J855" s="53" t="n"/>
      <c r="K855" s="55" t="str">
        <f>IF(COUNTA(A855:I855)=0,"",IF(F855="",IFERROR(INDEX(eq_dur,MATCH(B855,eq_code,0)),""),F855))</f>
        <v/>
      </c>
      <c r="L855" s="55" t="str">
        <f>IF(ISNUMBER(K855),N(IFERROR(INDEX(eq_pause,MATCH(B855,eq_code,0)),0))+SUMIFS(st_min,st_date,A855,st_eq,B855,st_po,C855,st_type,"Planifié"),"")</f>
        <v/>
      </c>
      <c r="M855" s="55" t="str">
        <f>IF(ISNUMBER(K855),K855-L855,"")</f>
        <v/>
      </c>
      <c r="N855" s="55" t="str">
        <f>IF(ISNUMBER(K855),SUMIFS(st_min,st_date,A855,st_eq,B855,st_po,C855,st_type,"Non planifié"),"")</f>
        <v/>
      </c>
      <c r="O855" s="55" t="str">
        <f>IF(ISNUMBER(K855),M855-N855,"")</f>
        <v/>
      </c>
      <c r="P855" s="55" t="str">
        <f>IF(COUNTA(A855:I855)=0,"",N(G855)+N(H855)+N(I855))</f>
        <v/>
      </c>
      <c r="Q855" s="56" t="str">
        <f>IF(COUNTA(A855:I855)=0,"",IF(N(IFERROR(INDEX(art_rate,MATCH(E855,art_ref,0)),0))&gt;0,N(IFERROR(INDEX(art_rate,MATCH(E855,art_ref,0)),0)),N(IFERROR(INDEX(po_rate,MATCH(C855,po_code,0)),0))))</f>
        <v/>
      </c>
      <c r="R855" s="55" t="str">
        <f>IF(AC855=1,P855*60/Q855,"")</f>
        <v/>
      </c>
      <c r="S855" s="55" t="str">
        <f>IF(AC855=1,N(G855)*60/Q855,"")</f>
        <v/>
      </c>
      <c r="T855" s="57" t="str">
        <f>IF(AC855=1,O855/M855,"")</f>
        <v/>
      </c>
      <c r="U855" s="57" t="str">
        <f>IF(AC855=1,IF(O855&gt;0,R855/O855,""),"")</f>
        <v/>
      </c>
      <c r="V855" s="57" t="str">
        <f>IF(AC855=1,IF(P855&gt;0,N(G855)/P855,""),"")</f>
        <v/>
      </c>
      <c r="W855" s="57" t="str">
        <f>IF(AC855=1,S855/M855,"")</f>
        <v/>
      </c>
      <c r="X855" s="57" t="str">
        <f>IF(AC855=1,S855/K855,"")</f>
        <v/>
      </c>
      <c r="Y855" s="58" t="str">
        <f>IF(W855="","",IF(W855&gt;=p_target,"Bon",IF(W855&gt;=p_alert,"À surveiller","Faible")))</f>
        <v/>
      </c>
      <c r="Z855" s="58" t="str">
        <f>IF(W855="","",IF(MIN(IF(T855="",1,T855),IF(U855="",1,U855),IF(V855="",1,V855))&gt;=1,"Aucune",IF(IF(T855="",1,T855)&lt;=MIN(IF(U855="",1,U855),IF(V855="",1,V855)),"Disponibilité",IF(IF(U855="",1,U855)&lt;=IF(V855="",1,V855),"Performance","Qualité"))))</f>
        <v/>
      </c>
      <c r="AA855" s="59" t="str">
        <f>IF(AC855=1,N(H855)*N(IFERROR(INDEX(art_cost,MATCH(E855,art_ref,0)),0)),"")</f>
        <v/>
      </c>
      <c r="AB855" s="58" t="str">
        <f>IF(COUNTA(A855:I855)=0,"",IF(N(A855)&lt;=0,"Date manquante ou invalide",IF(B855="","Équipe manquante",IF(ISNA(MATCH(B855,eq_code,0)),"Équipe inconnue",IF(INDEX(eq_check,MATCH(B855,eq_code,0))&lt;&gt;"OK","Équipe à corriger dans Paramètres",IF(C855="","Poste manquant",IF(ISNA(MATCH(C855,po_code,0)),"Poste inconnu",IF(AND(E855&lt;&gt;"",ISNA(MATCH(E855,art_ref,0))),"Article inconnu",IF(IF(E855="",FALSE,INDEX(art_check,MATCH(E855,art_ref,0))&lt;&gt;"OK"),"Article à corriger (feuille Articles)",IF(COUNTIFS(sj_date,A855,sj_eq,B855,sj_po,C855)&gt;1,"Ligne en double (même jour, équipe et poste)",IF(OR(NOT(ISNUMBER(K855)),N(K855)&lt;=0,N(K855)&gt;1440),"Temps d'ouverture invalide",IF(OR(AND(G855&lt;&gt;"",NOT(ISNUMBER(G855))),N(G855)&lt;0,N(G855)&lt;&gt;INT(N(G855)),AND(H855&lt;&gt;"",NOT(ISNUMBER(H855))),N(H855)&lt;0,N(H855)&lt;&gt;INT(N(H855)),AND(I855&lt;&gt;"",NOT(ISNUMBER(I855))),N(I855)&lt;0,N(I855)&lt;&gt;INT(N(I855))),"Quantité invalide",IF(Q855&lt;=0,"Cadence manquante (poste ou article)",IF(M855&lt;=0,"Arrêts planifiés supérieurs au temps d'ouverture",IF(O855&lt;0,"Arrêts supérieurs au temps requis",IF(AND(P855&gt;0,O855=0),"Pièces déclarées sans temps de marche",IF(AND(P855=0,O855&gt;0),"Aucune pièce déclarée",IF(P855*60/Q855&gt;O855+0.001,"Cadence dépassée : vérifiez la cadence","OK"))))))))))))))))))</f>
        <v/>
      </c>
      <c r="AC855">
        <f>IF(OR(AB855="OK",AB855="Aucune pièce déclarée",AB855="Cadence dépassée : vérifiez la cadence"),1,0)</f>
        <v>0.0</v>
      </c>
      <c r="AD855">
        <f>IF(AND(AC855=1,A855&gt;=p_from,A855&lt;=p_to),1,0)</f>
        <v>0.0</v>
      </c>
      <c r="AE855">
        <f>IF(AD855=1,IF(COUNTIFS($A$6:A855,A855,$AD$6:AD855,1)=1,1,0),0)</f>
        <v>0.0</v>
      </c>
      <c r="AF855" t="str">
        <f>IF(AE855=1,COUNTIFS(sj_first,1,sj_date,"&lt;"&amp;A855)+1,"")</f>
        <v/>
      </c>
      <c r="AG855" t="str">
        <f>IF(AND(AD855=1,N(W855)&lt;p_alert),ROUND(W855,4),"")</f>
        <v/>
      </c>
      <c r="AH855" t="str">
        <f>IF(AG855="","",COUNTIF(sj_akey,"&lt;"&amp;AG855)+COUNTIF($AG$6:AG855,AG855))</f>
        <v/>
      </c>
    </row>
    <row r="856">
      <c r="A856" s="51" t="n"/>
      <c r="B856" s="52" t="n"/>
      <c r="C856" s="52" t="n"/>
      <c r="D856" s="53" t="n"/>
      <c r="E856" s="53" t="n"/>
      <c r="F856" s="54" t="n"/>
      <c r="G856" s="54" t="n"/>
      <c r="H856" s="54" t="n"/>
      <c r="I856" s="54" t="n"/>
      <c r="J856" s="53" t="n"/>
      <c r="K856" s="55" t="str">
        <f>IF(COUNTA(A856:I856)=0,"",IF(F856="",IFERROR(INDEX(eq_dur,MATCH(B856,eq_code,0)),""),F856))</f>
        <v/>
      </c>
      <c r="L856" s="55" t="str">
        <f>IF(ISNUMBER(K856),N(IFERROR(INDEX(eq_pause,MATCH(B856,eq_code,0)),0))+SUMIFS(st_min,st_date,A856,st_eq,B856,st_po,C856,st_type,"Planifié"),"")</f>
        <v/>
      </c>
      <c r="M856" s="55" t="str">
        <f>IF(ISNUMBER(K856),K856-L856,"")</f>
        <v/>
      </c>
      <c r="N856" s="55" t="str">
        <f>IF(ISNUMBER(K856),SUMIFS(st_min,st_date,A856,st_eq,B856,st_po,C856,st_type,"Non planifié"),"")</f>
        <v/>
      </c>
      <c r="O856" s="55" t="str">
        <f>IF(ISNUMBER(K856),M856-N856,"")</f>
        <v/>
      </c>
      <c r="P856" s="55" t="str">
        <f>IF(COUNTA(A856:I856)=0,"",N(G856)+N(H856)+N(I856))</f>
        <v/>
      </c>
      <c r="Q856" s="56" t="str">
        <f>IF(COUNTA(A856:I856)=0,"",IF(N(IFERROR(INDEX(art_rate,MATCH(E856,art_ref,0)),0))&gt;0,N(IFERROR(INDEX(art_rate,MATCH(E856,art_ref,0)),0)),N(IFERROR(INDEX(po_rate,MATCH(C856,po_code,0)),0))))</f>
        <v/>
      </c>
      <c r="R856" s="55" t="str">
        <f>IF(AC856=1,P856*60/Q856,"")</f>
        <v/>
      </c>
      <c r="S856" s="55" t="str">
        <f>IF(AC856=1,N(G856)*60/Q856,"")</f>
        <v/>
      </c>
      <c r="T856" s="57" t="str">
        <f>IF(AC856=1,O856/M856,"")</f>
        <v/>
      </c>
      <c r="U856" s="57" t="str">
        <f>IF(AC856=1,IF(O856&gt;0,R856/O856,""),"")</f>
        <v/>
      </c>
      <c r="V856" s="57" t="str">
        <f>IF(AC856=1,IF(P856&gt;0,N(G856)/P856,""),"")</f>
        <v/>
      </c>
      <c r="W856" s="57" t="str">
        <f>IF(AC856=1,S856/M856,"")</f>
        <v/>
      </c>
      <c r="X856" s="57" t="str">
        <f>IF(AC856=1,S856/K856,"")</f>
        <v/>
      </c>
      <c r="Y856" s="58" t="str">
        <f>IF(W856="","",IF(W856&gt;=p_target,"Bon",IF(W856&gt;=p_alert,"À surveiller","Faible")))</f>
        <v/>
      </c>
      <c r="Z856" s="58" t="str">
        <f>IF(W856="","",IF(MIN(IF(T856="",1,T856),IF(U856="",1,U856),IF(V856="",1,V856))&gt;=1,"Aucune",IF(IF(T856="",1,T856)&lt;=MIN(IF(U856="",1,U856),IF(V856="",1,V856)),"Disponibilité",IF(IF(U856="",1,U856)&lt;=IF(V856="",1,V856),"Performance","Qualité"))))</f>
        <v/>
      </c>
      <c r="AA856" s="59" t="str">
        <f>IF(AC856=1,N(H856)*N(IFERROR(INDEX(art_cost,MATCH(E856,art_ref,0)),0)),"")</f>
        <v/>
      </c>
      <c r="AB856" s="58" t="str">
        <f>IF(COUNTA(A856:I856)=0,"",IF(N(A856)&lt;=0,"Date manquante ou invalide",IF(B856="","Équipe manquante",IF(ISNA(MATCH(B856,eq_code,0)),"Équipe inconnue",IF(INDEX(eq_check,MATCH(B856,eq_code,0))&lt;&gt;"OK","Équipe à corriger dans Paramètres",IF(C856="","Poste manquant",IF(ISNA(MATCH(C856,po_code,0)),"Poste inconnu",IF(AND(E856&lt;&gt;"",ISNA(MATCH(E856,art_ref,0))),"Article inconnu",IF(IF(E856="",FALSE,INDEX(art_check,MATCH(E856,art_ref,0))&lt;&gt;"OK"),"Article à corriger (feuille Articles)",IF(COUNTIFS(sj_date,A856,sj_eq,B856,sj_po,C856)&gt;1,"Ligne en double (même jour, équipe et poste)",IF(OR(NOT(ISNUMBER(K856)),N(K856)&lt;=0,N(K856)&gt;1440),"Temps d'ouverture invalide",IF(OR(AND(G856&lt;&gt;"",NOT(ISNUMBER(G856))),N(G856)&lt;0,N(G856)&lt;&gt;INT(N(G856)),AND(H856&lt;&gt;"",NOT(ISNUMBER(H856))),N(H856)&lt;0,N(H856)&lt;&gt;INT(N(H856)),AND(I856&lt;&gt;"",NOT(ISNUMBER(I856))),N(I856)&lt;0,N(I856)&lt;&gt;INT(N(I856))),"Quantité invalide",IF(Q856&lt;=0,"Cadence manquante (poste ou article)",IF(M856&lt;=0,"Arrêts planifiés supérieurs au temps d'ouverture",IF(O856&lt;0,"Arrêts supérieurs au temps requis",IF(AND(P856&gt;0,O856=0),"Pièces déclarées sans temps de marche",IF(AND(P856=0,O856&gt;0),"Aucune pièce déclarée",IF(P856*60/Q856&gt;O856+0.001,"Cadence dépassée : vérifiez la cadence","OK"))))))))))))))))))</f>
        <v/>
      </c>
      <c r="AC856">
        <f>IF(OR(AB856="OK",AB856="Aucune pièce déclarée",AB856="Cadence dépassée : vérifiez la cadence"),1,0)</f>
        <v>0.0</v>
      </c>
      <c r="AD856">
        <f>IF(AND(AC856=1,A856&gt;=p_from,A856&lt;=p_to),1,0)</f>
        <v>0.0</v>
      </c>
      <c r="AE856">
        <f>IF(AD856=1,IF(COUNTIFS($A$6:A856,A856,$AD$6:AD856,1)=1,1,0),0)</f>
        <v>0.0</v>
      </c>
      <c r="AF856" t="str">
        <f>IF(AE856=1,COUNTIFS(sj_first,1,sj_date,"&lt;"&amp;A856)+1,"")</f>
        <v/>
      </c>
      <c r="AG856" t="str">
        <f>IF(AND(AD856=1,N(W856)&lt;p_alert),ROUND(W856,4),"")</f>
        <v/>
      </c>
      <c r="AH856" t="str">
        <f>IF(AG856="","",COUNTIF(sj_akey,"&lt;"&amp;AG856)+COUNTIF($AG$6:AG856,AG856))</f>
        <v/>
      </c>
    </row>
    <row r="857">
      <c r="A857" s="51" t="n"/>
      <c r="B857" s="52" t="n"/>
      <c r="C857" s="52" t="n"/>
      <c r="D857" s="53" t="n"/>
      <c r="E857" s="53" t="n"/>
      <c r="F857" s="54" t="n"/>
      <c r="G857" s="54" t="n"/>
      <c r="H857" s="54" t="n"/>
      <c r="I857" s="54" t="n"/>
      <c r="J857" s="53" t="n"/>
      <c r="K857" s="55" t="str">
        <f>IF(COUNTA(A857:I857)=0,"",IF(F857="",IFERROR(INDEX(eq_dur,MATCH(B857,eq_code,0)),""),F857))</f>
        <v/>
      </c>
      <c r="L857" s="55" t="str">
        <f>IF(ISNUMBER(K857),N(IFERROR(INDEX(eq_pause,MATCH(B857,eq_code,0)),0))+SUMIFS(st_min,st_date,A857,st_eq,B857,st_po,C857,st_type,"Planifié"),"")</f>
        <v/>
      </c>
      <c r="M857" s="55" t="str">
        <f>IF(ISNUMBER(K857),K857-L857,"")</f>
        <v/>
      </c>
      <c r="N857" s="55" t="str">
        <f>IF(ISNUMBER(K857),SUMIFS(st_min,st_date,A857,st_eq,B857,st_po,C857,st_type,"Non planifié"),"")</f>
        <v/>
      </c>
      <c r="O857" s="55" t="str">
        <f>IF(ISNUMBER(K857),M857-N857,"")</f>
        <v/>
      </c>
      <c r="P857" s="55" t="str">
        <f>IF(COUNTA(A857:I857)=0,"",N(G857)+N(H857)+N(I857))</f>
        <v/>
      </c>
      <c r="Q857" s="56" t="str">
        <f>IF(COUNTA(A857:I857)=0,"",IF(N(IFERROR(INDEX(art_rate,MATCH(E857,art_ref,0)),0))&gt;0,N(IFERROR(INDEX(art_rate,MATCH(E857,art_ref,0)),0)),N(IFERROR(INDEX(po_rate,MATCH(C857,po_code,0)),0))))</f>
        <v/>
      </c>
      <c r="R857" s="55" t="str">
        <f>IF(AC857=1,P857*60/Q857,"")</f>
        <v/>
      </c>
      <c r="S857" s="55" t="str">
        <f>IF(AC857=1,N(G857)*60/Q857,"")</f>
        <v/>
      </c>
      <c r="T857" s="57" t="str">
        <f>IF(AC857=1,O857/M857,"")</f>
        <v/>
      </c>
      <c r="U857" s="57" t="str">
        <f>IF(AC857=1,IF(O857&gt;0,R857/O857,""),"")</f>
        <v/>
      </c>
      <c r="V857" s="57" t="str">
        <f>IF(AC857=1,IF(P857&gt;0,N(G857)/P857,""),"")</f>
        <v/>
      </c>
      <c r="W857" s="57" t="str">
        <f>IF(AC857=1,S857/M857,"")</f>
        <v/>
      </c>
      <c r="X857" s="57" t="str">
        <f>IF(AC857=1,S857/K857,"")</f>
        <v/>
      </c>
      <c r="Y857" s="58" t="str">
        <f>IF(W857="","",IF(W857&gt;=p_target,"Bon",IF(W857&gt;=p_alert,"À surveiller","Faible")))</f>
        <v/>
      </c>
      <c r="Z857" s="58" t="str">
        <f>IF(W857="","",IF(MIN(IF(T857="",1,T857),IF(U857="",1,U857),IF(V857="",1,V857))&gt;=1,"Aucune",IF(IF(T857="",1,T857)&lt;=MIN(IF(U857="",1,U857),IF(V857="",1,V857)),"Disponibilité",IF(IF(U857="",1,U857)&lt;=IF(V857="",1,V857),"Performance","Qualité"))))</f>
        <v/>
      </c>
      <c r="AA857" s="59" t="str">
        <f>IF(AC857=1,N(H857)*N(IFERROR(INDEX(art_cost,MATCH(E857,art_ref,0)),0)),"")</f>
        <v/>
      </c>
      <c r="AB857" s="58" t="str">
        <f>IF(COUNTA(A857:I857)=0,"",IF(N(A857)&lt;=0,"Date manquante ou invalide",IF(B857="","Équipe manquante",IF(ISNA(MATCH(B857,eq_code,0)),"Équipe inconnue",IF(INDEX(eq_check,MATCH(B857,eq_code,0))&lt;&gt;"OK","Équipe à corriger dans Paramètres",IF(C857="","Poste manquant",IF(ISNA(MATCH(C857,po_code,0)),"Poste inconnu",IF(AND(E857&lt;&gt;"",ISNA(MATCH(E857,art_ref,0))),"Article inconnu",IF(IF(E857="",FALSE,INDEX(art_check,MATCH(E857,art_ref,0))&lt;&gt;"OK"),"Article à corriger (feuille Articles)",IF(COUNTIFS(sj_date,A857,sj_eq,B857,sj_po,C857)&gt;1,"Ligne en double (même jour, équipe et poste)",IF(OR(NOT(ISNUMBER(K857)),N(K857)&lt;=0,N(K857)&gt;1440),"Temps d'ouverture invalide",IF(OR(AND(G857&lt;&gt;"",NOT(ISNUMBER(G857))),N(G857)&lt;0,N(G857)&lt;&gt;INT(N(G857)),AND(H857&lt;&gt;"",NOT(ISNUMBER(H857))),N(H857)&lt;0,N(H857)&lt;&gt;INT(N(H857)),AND(I857&lt;&gt;"",NOT(ISNUMBER(I857))),N(I857)&lt;0,N(I857)&lt;&gt;INT(N(I857))),"Quantité invalide",IF(Q857&lt;=0,"Cadence manquante (poste ou article)",IF(M857&lt;=0,"Arrêts planifiés supérieurs au temps d'ouverture",IF(O857&lt;0,"Arrêts supérieurs au temps requis",IF(AND(P857&gt;0,O857=0),"Pièces déclarées sans temps de marche",IF(AND(P857=0,O857&gt;0),"Aucune pièce déclarée",IF(P857*60/Q857&gt;O857+0.001,"Cadence dépassée : vérifiez la cadence","OK"))))))))))))))))))</f>
        <v/>
      </c>
      <c r="AC857">
        <f>IF(OR(AB857="OK",AB857="Aucune pièce déclarée",AB857="Cadence dépassée : vérifiez la cadence"),1,0)</f>
        <v>0.0</v>
      </c>
      <c r="AD857">
        <f>IF(AND(AC857=1,A857&gt;=p_from,A857&lt;=p_to),1,0)</f>
        <v>0.0</v>
      </c>
      <c r="AE857">
        <f>IF(AD857=1,IF(COUNTIFS($A$6:A857,A857,$AD$6:AD857,1)=1,1,0),0)</f>
        <v>0.0</v>
      </c>
      <c r="AF857" t="str">
        <f>IF(AE857=1,COUNTIFS(sj_first,1,sj_date,"&lt;"&amp;A857)+1,"")</f>
        <v/>
      </c>
      <c r="AG857" t="str">
        <f>IF(AND(AD857=1,N(W857)&lt;p_alert),ROUND(W857,4),"")</f>
        <v/>
      </c>
      <c r="AH857" t="str">
        <f>IF(AG857="","",COUNTIF(sj_akey,"&lt;"&amp;AG857)+COUNTIF($AG$6:AG857,AG857))</f>
        <v/>
      </c>
    </row>
    <row r="858">
      <c r="A858" s="51" t="n"/>
      <c r="B858" s="52" t="n"/>
      <c r="C858" s="52" t="n"/>
      <c r="D858" s="53" t="n"/>
      <c r="E858" s="53" t="n"/>
      <c r="F858" s="54" t="n"/>
      <c r="G858" s="54" t="n"/>
      <c r="H858" s="54" t="n"/>
      <c r="I858" s="54" t="n"/>
      <c r="J858" s="53" t="n"/>
      <c r="K858" s="55" t="str">
        <f>IF(COUNTA(A858:I858)=0,"",IF(F858="",IFERROR(INDEX(eq_dur,MATCH(B858,eq_code,0)),""),F858))</f>
        <v/>
      </c>
      <c r="L858" s="55" t="str">
        <f>IF(ISNUMBER(K858),N(IFERROR(INDEX(eq_pause,MATCH(B858,eq_code,0)),0))+SUMIFS(st_min,st_date,A858,st_eq,B858,st_po,C858,st_type,"Planifié"),"")</f>
        <v/>
      </c>
      <c r="M858" s="55" t="str">
        <f>IF(ISNUMBER(K858),K858-L858,"")</f>
        <v/>
      </c>
      <c r="N858" s="55" t="str">
        <f>IF(ISNUMBER(K858),SUMIFS(st_min,st_date,A858,st_eq,B858,st_po,C858,st_type,"Non planifié"),"")</f>
        <v/>
      </c>
      <c r="O858" s="55" t="str">
        <f>IF(ISNUMBER(K858),M858-N858,"")</f>
        <v/>
      </c>
      <c r="P858" s="55" t="str">
        <f>IF(COUNTA(A858:I858)=0,"",N(G858)+N(H858)+N(I858))</f>
        <v/>
      </c>
      <c r="Q858" s="56" t="str">
        <f>IF(COUNTA(A858:I858)=0,"",IF(N(IFERROR(INDEX(art_rate,MATCH(E858,art_ref,0)),0))&gt;0,N(IFERROR(INDEX(art_rate,MATCH(E858,art_ref,0)),0)),N(IFERROR(INDEX(po_rate,MATCH(C858,po_code,0)),0))))</f>
        <v/>
      </c>
      <c r="R858" s="55" t="str">
        <f>IF(AC858=1,P858*60/Q858,"")</f>
        <v/>
      </c>
      <c r="S858" s="55" t="str">
        <f>IF(AC858=1,N(G858)*60/Q858,"")</f>
        <v/>
      </c>
      <c r="T858" s="57" t="str">
        <f>IF(AC858=1,O858/M858,"")</f>
        <v/>
      </c>
      <c r="U858" s="57" t="str">
        <f>IF(AC858=1,IF(O858&gt;0,R858/O858,""),"")</f>
        <v/>
      </c>
      <c r="V858" s="57" t="str">
        <f>IF(AC858=1,IF(P858&gt;0,N(G858)/P858,""),"")</f>
        <v/>
      </c>
      <c r="W858" s="57" t="str">
        <f>IF(AC858=1,S858/M858,"")</f>
        <v/>
      </c>
      <c r="X858" s="57" t="str">
        <f>IF(AC858=1,S858/K858,"")</f>
        <v/>
      </c>
      <c r="Y858" s="58" t="str">
        <f>IF(W858="","",IF(W858&gt;=p_target,"Bon",IF(W858&gt;=p_alert,"À surveiller","Faible")))</f>
        <v/>
      </c>
      <c r="Z858" s="58" t="str">
        <f>IF(W858="","",IF(MIN(IF(T858="",1,T858),IF(U858="",1,U858),IF(V858="",1,V858))&gt;=1,"Aucune",IF(IF(T858="",1,T858)&lt;=MIN(IF(U858="",1,U858),IF(V858="",1,V858)),"Disponibilité",IF(IF(U858="",1,U858)&lt;=IF(V858="",1,V858),"Performance","Qualité"))))</f>
        <v/>
      </c>
      <c r="AA858" s="59" t="str">
        <f>IF(AC858=1,N(H858)*N(IFERROR(INDEX(art_cost,MATCH(E858,art_ref,0)),0)),"")</f>
        <v/>
      </c>
      <c r="AB858" s="58" t="str">
        <f>IF(COUNTA(A858:I858)=0,"",IF(N(A858)&lt;=0,"Date manquante ou invalide",IF(B858="","Équipe manquante",IF(ISNA(MATCH(B858,eq_code,0)),"Équipe inconnue",IF(INDEX(eq_check,MATCH(B858,eq_code,0))&lt;&gt;"OK","Équipe à corriger dans Paramètres",IF(C858="","Poste manquant",IF(ISNA(MATCH(C858,po_code,0)),"Poste inconnu",IF(AND(E858&lt;&gt;"",ISNA(MATCH(E858,art_ref,0))),"Article inconnu",IF(IF(E858="",FALSE,INDEX(art_check,MATCH(E858,art_ref,0))&lt;&gt;"OK"),"Article à corriger (feuille Articles)",IF(COUNTIFS(sj_date,A858,sj_eq,B858,sj_po,C858)&gt;1,"Ligne en double (même jour, équipe et poste)",IF(OR(NOT(ISNUMBER(K858)),N(K858)&lt;=0,N(K858)&gt;1440),"Temps d'ouverture invalide",IF(OR(AND(G858&lt;&gt;"",NOT(ISNUMBER(G858))),N(G858)&lt;0,N(G858)&lt;&gt;INT(N(G858)),AND(H858&lt;&gt;"",NOT(ISNUMBER(H858))),N(H858)&lt;0,N(H858)&lt;&gt;INT(N(H858)),AND(I858&lt;&gt;"",NOT(ISNUMBER(I858))),N(I858)&lt;0,N(I858)&lt;&gt;INT(N(I858))),"Quantité invalide",IF(Q858&lt;=0,"Cadence manquante (poste ou article)",IF(M858&lt;=0,"Arrêts planifiés supérieurs au temps d'ouverture",IF(O858&lt;0,"Arrêts supérieurs au temps requis",IF(AND(P858&gt;0,O858=0),"Pièces déclarées sans temps de marche",IF(AND(P858=0,O858&gt;0),"Aucune pièce déclarée",IF(P858*60/Q858&gt;O858+0.001,"Cadence dépassée : vérifiez la cadence","OK"))))))))))))))))))</f>
        <v/>
      </c>
      <c r="AC858">
        <f>IF(OR(AB858="OK",AB858="Aucune pièce déclarée",AB858="Cadence dépassée : vérifiez la cadence"),1,0)</f>
        <v>0.0</v>
      </c>
      <c r="AD858">
        <f>IF(AND(AC858=1,A858&gt;=p_from,A858&lt;=p_to),1,0)</f>
        <v>0.0</v>
      </c>
      <c r="AE858">
        <f>IF(AD858=1,IF(COUNTIFS($A$6:A858,A858,$AD$6:AD858,1)=1,1,0),0)</f>
        <v>0.0</v>
      </c>
      <c r="AF858" t="str">
        <f>IF(AE858=1,COUNTIFS(sj_first,1,sj_date,"&lt;"&amp;A858)+1,"")</f>
        <v/>
      </c>
      <c r="AG858" t="str">
        <f>IF(AND(AD858=1,N(W858)&lt;p_alert),ROUND(W858,4),"")</f>
        <v/>
      </c>
      <c r="AH858" t="str">
        <f>IF(AG858="","",COUNTIF(sj_akey,"&lt;"&amp;AG858)+COUNTIF($AG$6:AG858,AG858))</f>
        <v/>
      </c>
    </row>
    <row r="859">
      <c r="A859" s="51" t="n"/>
      <c r="B859" s="52" t="n"/>
      <c r="C859" s="52" t="n"/>
      <c r="D859" s="53" t="n"/>
      <c r="E859" s="53" t="n"/>
      <c r="F859" s="54" t="n"/>
      <c r="G859" s="54" t="n"/>
      <c r="H859" s="54" t="n"/>
      <c r="I859" s="54" t="n"/>
      <c r="J859" s="53" t="n"/>
      <c r="K859" s="55" t="str">
        <f>IF(COUNTA(A859:I859)=0,"",IF(F859="",IFERROR(INDEX(eq_dur,MATCH(B859,eq_code,0)),""),F859))</f>
        <v/>
      </c>
      <c r="L859" s="55" t="str">
        <f>IF(ISNUMBER(K859),N(IFERROR(INDEX(eq_pause,MATCH(B859,eq_code,0)),0))+SUMIFS(st_min,st_date,A859,st_eq,B859,st_po,C859,st_type,"Planifié"),"")</f>
        <v/>
      </c>
      <c r="M859" s="55" t="str">
        <f>IF(ISNUMBER(K859),K859-L859,"")</f>
        <v/>
      </c>
      <c r="N859" s="55" t="str">
        <f>IF(ISNUMBER(K859),SUMIFS(st_min,st_date,A859,st_eq,B859,st_po,C859,st_type,"Non planifié"),"")</f>
        <v/>
      </c>
      <c r="O859" s="55" t="str">
        <f>IF(ISNUMBER(K859),M859-N859,"")</f>
        <v/>
      </c>
      <c r="P859" s="55" t="str">
        <f>IF(COUNTA(A859:I859)=0,"",N(G859)+N(H859)+N(I859))</f>
        <v/>
      </c>
      <c r="Q859" s="56" t="str">
        <f>IF(COUNTA(A859:I859)=0,"",IF(N(IFERROR(INDEX(art_rate,MATCH(E859,art_ref,0)),0))&gt;0,N(IFERROR(INDEX(art_rate,MATCH(E859,art_ref,0)),0)),N(IFERROR(INDEX(po_rate,MATCH(C859,po_code,0)),0))))</f>
        <v/>
      </c>
      <c r="R859" s="55" t="str">
        <f>IF(AC859=1,P859*60/Q859,"")</f>
        <v/>
      </c>
      <c r="S859" s="55" t="str">
        <f>IF(AC859=1,N(G859)*60/Q859,"")</f>
        <v/>
      </c>
      <c r="T859" s="57" t="str">
        <f>IF(AC859=1,O859/M859,"")</f>
        <v/>
      </c>
      <c r="U859" s="57" t="str">
        <f>IF(AC859=1,IF(O859&gt;0,R859/O859,""),"")</f>
        <v/>
      </c>
      <c r="V859" s="57" t="str">
        <f>IF(AC859=1,IF(P859&gt;0,N(G859)/P859,""),"")</f>
        <v/>
      </c>
      <c r="W859" s="57" t="str">
        <f>IF(AC859=1,S859/M859,"")</f>
        <v/>
      </c>
      <c r="X859" s="57" t="str">
        <f>IF(AC859=1,S859/K859,"")</f>
        <v/>
      </c>
      <c r="Y859" s="58" t="str">
        <f>IF(W859="","",IF(W859&gt;=p_target,"Bon",IF(W859&gt;=p_alert,"À surveiller","Faible")))</f>
        <v/>
      </c>
      <c r="Z859" s="58" t="str">
        <f>IF(W859="","",IF(MIN(IF(T859="",1,T859),IF(U859="",1,U859),IF(V859="",1,V859))&gt;=1,"Aucune",IF(IF(T859="",1,T859)&lt;=MIN(IF(U859="",1,U859),IF(V859="",1,V859)),"Disponibilité",IF(IF(U859="",1,U859)&lt;=IF(V859="",1,V859),"Performance","Qualité"))))</f>
        <v/>
      </c>
      <c r="AA859" s="59" t="str">
        <f>IF(AC859=1,N(H859)*N(IFERROR(INDEX(art_cost,MATCH(E859,art_ref,0)),0)),"")</f>
        <v/>
      </c>
      <c r="AB859" s="58" t="str">
        <f>IF(COUNTA(A859:I859)=0,"",IF(N(A859)&lt;=0,"Date manquante ou invalide",IF(B859="","Équipe manquante",IF(ISNA(MATCH(B859,eq_code,0)),"Équipe inconnue",IF(INDEX(eq_check,MATCH(B859,eq_code,0))&lt;&gt;"OK","Équipe à corriger dans Paramètres",IF(C859="","Poste manquant",IF(ISNA(MATCH(C859,po_code,0)),"Poste inconnu",IF(AND(E859&lt;&gt;"",ISNA(MATCH(E859,art_ref,0))),"Article inconnu",IF(IF(E859="",FALSE,INDEX(art_check,MATCH(E859,art_ref,0))&lt;&gt;"OK"),"Article à corriger (feuille Articles)",IF(COUNTIFS(sj_date,A859,sj_eq,B859,sj_po,C859)&gt;1,"Ligne en double (même jour, équipe et poste)",IF(OR(NOT(ISNUMBER(K859)),N(K859)&lt;=0,N(K859)&gt;1440),"Temps d'ouverture invalide",IF(OR(AND(G859&lt;&gt;"",NOT(ISNUMBER(G859))),N(G859)&lt;0,N(G859)&lt;&gt;INT(N(G859)),AND(H859&lt;&gt;"",NOT(ISNUMBER(H859))),N(H859)&lt;0,N(H859)&lt;&gt;INT(N(H859)),AND(I859&lt;&gt;"",NOT(ISNUMBER(I859))),N(I859)&lt;0,N(I859)&lt;&gt;INT(N(I859))),"Quantité invalide",IF(Q859&lt;=0,"Cadence manquante (poste ou article)",IF(M859&lt;=0,"Arrêts planifiés supérieurs au temps d'ouverture",IF(O859&lt;0,"Arrêts supérieurs au temps requis",IF(AND(P859&gt;0,O859=0),"Pièces déclarées sans temps de marche",IF(AND(P859=0,O859&gt;0),"Aucune pièce déclarée",IF(P859*60/Q859&gt;O859+0.001,"Cadence dépassée : vérifiez la cadence","OK"))))))))))))))))))</f>
        <v/>
      </c>
      <c r="AC859">
        <f>IF(OR(AB859="OK",AB859="Aucune pièce déclarée",AB859="Cadence dépassée : vérifiez la cadence"),1,0)</f>
        <v>0.0</v>
      </c>
      <c r="AD859">
        <f>IF(AND(AC859=1,A859&gt;=p_from,A859&lt;=p_to),1,0)</f>
        <v>0.0</v>
      </c>
      <c r="AE859">
        <f>IF(AD859=1,IF(COUNTIFS($A$6:A859,A859,$AD$6:AD859,1)=1,1,0),0)</f>
        <v>0.0</v>
      </c>
      <c r="AF859" t="str">
        <f>IF(AE859=1,COUNTIFS(sj_first,1,sj_date,"&lt;"&amp;A859)+1,"")</f>
        <v/>
      </c>
      <c r="AG859" t="str">
        <f>IF(AND(AD859=1,N(W859)&lt;p_alert),ROUND(W859,4),"")</f>
        <v/>
      </c>
      <c r="AH859" t="str">
        <f>IF(AG859="","",COUNTIF(sj_akey,"&lt;"&amp;AG859)+COUNTIF($AG$6:AG859,AG859))</f>
        <v/>
      </c>
    </row>
    <row r="860">
      <c r="A860" s="51" t="n"/>
      <c r="B860" s="52" t="n"/>
      <c r="C860" s="52" t="n"/>
      <c r="D860" s="53" t="n"/>
      <c r="E860" s="53" t="n"/>
      <c r="F860" s="54" t="n"/>
      <c r="G860" s="54" t="n"/>
      <c r="H860" s="54" t="n"/>
      <c r="I860" s="54" t="n"/>
      <c r="J860" s="53" t="n"/>
      <c r="K860" s="55" t="str">
        <f>IF(COUNTA(A860:I860)=0,"",IF(F860="",IFERROR(INDEX(eq_dur,MATCH(B860,eq_code,0)),""),F860))</f>
        <v/>
      </c>
      <c r="L860" s="55" t="str">
        <f>IF(ISNUMBER(K860),N(IFERROR(INDEX(eq_pause,MATCH(B860,eq_code,0)),0))+SUMIFS(st_min,st_date,A860,st_eq,B860,st_po,C860,st_type,"Planifié"),"")</f>
        <v/>
      </c>
      <c r="M860" s="55" t="str">
        <f>IF(ISNUMBER(K860),K860-L860,"")</f>
        <v/>
      </c>
      <c r="N860" s="55" t="str">
        <f>IF(ISNUMBER(K860),SUMIFS(st_min,st_date,A860,st_eq,B860,st_po,C860,st_type,"Non planifié"),"")</f>
        <v/>
      </c>
      <c r="O860" s="55" t="str">
        <f>IF(ISNUMBER(K860),M860-N860,"")</f>
        <v/>
      </c>
      <c r="P860" s="55" t="str">
        <f>IF(COUNTA(A860:I860)=0,"",N(G860)+N(H860)+N(I860))</f>
        <v/>
      </c>
      <c r="Q860" s="56" t="str">
        <f>IF(COUNTA(A860:I860)=0,"",IF(N(IFERROR(INDEX(art_rate,MATCH(E860,art_ref,0)),0))&gt;0,N(IFERROR(INDEX(art_rate,MATCH(E860,art_ref,0)),0)),N(IFERROR(INDEX(po_rate,MATCH(C860,po_code,0)),0))))</f>
        <v/>
      </c>
      <c r="R860" s="55" t="str">
        <f>IF(AC860=1,P860*60/Q860,"")</f>
        <v/>
      </c>
      <c r="S860" s="55" t="str">
        <f>IF(AC860=1,N(G860)*60/Q860,"")</f>
        <v/>
      </c>
      <c r="T860" s="57" t="str">
        <f>IF(AC860=1,O860/M860,"")</f>
        <v/>
      </c>
      <c r="U860" s="57" t="str">
        <f>IF(AC860=1,IF(O860&gt;0,R860/O860,""),"")</f>
        <v/>
      </c>
      <c r="V860" s="57" t="str">
        <f>IF(AC860=1,IF(P860&gt;0,N(G860)/P860,""),"")</f>
        <v/>
      </c>
      <c r="W860" s="57" t="str">
        <f>IF(AC860=1,S860/M860,"")</f>
        <v/>
      </c>
      <c r="X860" s="57" t="str">
        <f>IF(AC860=1,S860/K860,"")</f>
        <v/>
      </c>
      <c r="Y860" s="58" t="str">
        <f>IF(W860="","",IF(W860&gt;=p_target,"Bon",IF(W860&gt;=p_alert,"À surveiller","Faible")))</f>
        <v/>
      </c>
      <c r="Z860" s="58" t="str">
        <f>IF(W860="","",IF(MIN(IF(T860="",1,T860),IF(U860="",1,U860),IF(V860="",1,V860))&gt;=1,"Aucune",IF(IF(T860="",1,T860)&lt;=MIN(IF(U860="",1,U860),IF(V860="",1,V860)),"Disponibilité",IF(IF(U860="",1,U860)&lt;=IF(V860="",1,V860),"Performance","Qualité"))))</f>
        <v/>
      </c>
      <c r="AA860" s="59" t="str">
        <f>IF(AC860=1,N(H860)*N(IFERROR(INDEX(art_cost,MATCH(E860,art_ref,0)),0)),"")</f>
        <v/>
      </c>
      <c r="AB860" s="58" t="str">
        <f>IF(COUNTA(A860:I860)=0,"",IF(N(A860)&lt;=0,"Date manquante ou invalide",IF(B860="","Équipe manquante",IF(ISNA(MATCH(B860,eq_code,0)),"Équipe inconnue",IF(INDEX(eq_check,MATCH(B860,eq_code,0))&lt;&gt;"OK","Équipe à corriger dans Paramètres",IF(C860="","Poste manquant",IF(ISNA(MATCH(C860,po_code,0)),"Poste inconnu",IF(AND(E860&lt;&gt;"",ISNA(MATCH(E860,art_ref,0))),"Article inconnu",IF(IF(E860="",FALSE,INDEX(art_check,MATCH(E860,art_ref,0))&lt;&gt;"OK"),"Article à corriger (feuille Articles)",IF(COUNTIFS(sj_date,A860,sj_eq,B860,sj_po,C860)&gt;1,"Ligne en double (même jour, équipe et poste)",IF(OR(NOT(ISNUMBER(K860)),N(K860)&lt;=0,N(K860)&gt;1440),"Temps d'ouverture invalide",IF(OR(AND(G860&lt;&gt;"",NOT(ISNUMBER(G860))),N(G860)&lt;0,N(G860)&lt;&gt;INT(N(G860)),AND(H860&lt;&gt;"",NOT(ISNUMBER(H860))),N(H860)&lt;0,N(H860)&lt;&gt;INT(N(H860)),AND(I860&lt;&gt;"",NOT(ISNUMBER(I860))),N(I860)&lt;0,N(I860)&lt;&gt;INT(N(I860))),"Quantité invalide",IF(Q860&lt;=0,"Cadence manquante (poste ou article)",IF(M860&lt;=0,"Arrêts planifiés supérieurs au temps d'ouverture",IF(O860&lt;0,"Arrêts supérieurs au temps requis",IF(AND(P860&gt;0,O860=0),"Pièces déclarées sans temps de marche",IF(AND(P860=0,O860&gt;0),"Aucune pièce déclarée",IF(P860*60/Q860&gt;O860+0.001,"Cadence dépassée : vérifiez la cadence","OK"))))))))))))))))))</f>
        <v/>
      </c>
      <c r="AC860">
        <f>IF(OR(AB860="OK",AB860="Aucune pièce déclarée",AB860="Cadence dépassée : vérifiez la cadence"),1,0)</f>
        <v>0.0</v>
      </c>
      <c r="AD860">
        <f>IF(AND(AC860=1,A860&gt;=p_from,A860&lt;=p_to),1,0)</f>
        <v>0.0</v>
      </c>
      <c r="AE860">
        <f>IF(AD860=1,IF(COUNTIFS($A$6:A860,A860,$AD$6:AD860,1)=1,1,0),0)</f>
        <v>0.0</v>
      </c>
      <c r="AF860" t="str">
        <f>IF(AE860=1,COUNTIFS(sj_first,1,sj_date,"&lt;"&amp;A860)+1,"")</f>
        <v/>
      </c>
      <c r="AG860" t="str">
        <f>IF(AND(AD860=1,N(W860)&lt;p_alert),ROUND(W860,4),"")</f>
        <v/>
      </c>
      <c r="AH860" t="str">
        <f>IF(AG860="","",COUNTIF(sj_akey,"&lt;"&amp;AG860)+COUNTIF($AG$6:AG860,AG860))</f>
        <v/>
      </c>
    </row>
    <row r="861">
      <c r="A861" s="51" t="n"/>
      <c r="B861" s="52" t="n"/>
      <c r="C861" s="52" t="n"/>
      <c r="D861" s="53" t="n"/>
      <c r="E861" s="53" t="n"/>
      <c r="F861" s="54" t="n"/>
      <c r="G861" s="54" t="n"/>
      <c r="H861" s="54" t="n"/>
      <c r="I861" s="54" t="n"/>
      <c r="J861" s="53" t="n"/>
      <c r="K861" s="55" t="str">
        <f>IF(COUNTA(A861:I861)=0,"",IF(F861="",IFERROR(INDEX(eq_dur,MATCH(B861,eq_code,0)),""),F861))</f>
        <v/>
      </c>
      <c r="L861" s="55" t="str">
        <f>IF(ISNUMBER(K861),N(IFERROR(INDEX(eq_pause,MATCH(B861,eq_code,0)),0))+SUMIFS(st_min,st_date,A861,st_eq,B861,st_po,C861,st_type,"Planifié"),"")</f>
        <v/>
      </c>
      <c r="M861" s="55" t="str">
        <f>IF(ISNUMBER(K861),K861-L861,"")</f>
        <v/>
      </c>
      <c r="N861" s="55" t="str">
        <f>IF(ISNUMBER(K861),SUMIFS(st_min,st_date,A861,st_eq,B861,st_po,C861,st_type,"Non planifié"),"")</f>
        <v/>
      </c>
      <c r="O861" s="55" t="str">
        <f>IF(ISNUMBER(K861),M861-N861,"")</f>
        <v/>
      </c>
      <c r="P861" s="55" t="str">
        <f>IF(COUNTA(A861:I861)=0,"",N(G861)+N(H861)+N(I861))</f>
        <v/>
      </c>
      <c r="Q861" s="56" t="str">
        <f>IF(COUNTA(A861:I861)=0,"",IF(N(IFERROR(INDEX(art_rate,MATCH(E861,art_ref,0)),0))&gt;0,N(IFERROR(INDEX(art_rate,MATCH(E861,art_ref,0)),0)),N(IFERROR(INDEX(po_rate,MATCH(C861,po_code,0)),0))))</f>
        <v/>
      </c>
      <c r="R861" s="55" t="str">
        <f>IF(AC861=1,P861*60/Q861,"")</f>
        <v/>
      </c>
      <c r="S861" s="55" t="str">
        <f>IF(AC861=1,N(G861)*60/Q861,"")</f>
        <v/>
      </c>
      <c r="T861" s="57" t="str">
        <f>IF(AC861=1,O861/M861,"")</f>
        <v/>
      </c>
      <c r="U861" s="57" t="str">
        <f>IF(AC861=1,IF(O861&gt;0,R861/O861,""),"")</f>
        <v/>
      </c>
      <c r="V861" s="57" t="str">
        <f>IF(AC861=1,IF(P861&gt;0,N(G861)/P861,""),"")</f>
        <v/>
      </c>
      <c r="W861" s="57" t="str">
        <f>IF(AC861=1,S861/M861,"")</f>
        <v/>
      </c>
      <c r="X861" s="57" t="str">
        <f>IF(AC861=1,S861/K861,"")</f>
        <v/>
      </c>
      <c r="Y861" s="58" t="str">
        <f>IF(W861="","",IF(W861&gt;=p_target,"Bon",IF(W861&gt;=p_alert,"À surveiller","Faible")))</f>
        <v/>
      </c>
      <c r="Z861" s="58" t="str">
        <f>IF(W861="","",IF(MIN(IF(T861="",1,T861),IF(U861="",1,U861),IF(V861="",1,V861))&gt;=1,"Aucune",IF(IF(T861="",1,T861)&lt;=MIN(IF(U861="",1,U861),IF(V861="",1,V861)),"Disponibilité",IF(IF(U861="",1,U861)&lt;=IF(V861="",1,V861),"Performance","Qualité"))))</f>
        <v/>
      </c>
      <c r="AA861" s="59" t="str">
        <f>IF(AC861=1,N(H861)*N(IFERROR(INDEX(art_cost,MATCH(E861,art_ref,0)),0)),"")</f>
        <v/>
      </c>
      <c r="AB861" s="58" t="str">
        <f>IF(COUNTA(A861:I861)=0,"",IF(N(A861)&lt;=0,"Date manquante ou invalide",IF(B861="","Équipe manquante",IF(ISNA(MATCH(B861,eq_code,0)),"Équipe inconnue",IF(INDEX(eq_check,MATCH(B861,eq_code,0))&lt;&gt;"OK","Équipe à corriger dans Paramètres",IF(C861="","Poste manquant",IF(ISNA(MATCH(C861,po_code,0)),"Poste inconnu",IF(AND(E861&lt;&gt;"",ISNA(MATCH(E861,art_ref,0))),"Article inconnu",IF(IF(E861="",FALSE,INDEX(art_check,MATCH(E861,art_ref,0))&lt;&gt;"OK"),"Article à corriger (feuille Articles)",IF(COUNTIFS(sj_date,A861,sj_eq,B861,sj_po,C861)&gt;1,"Ligne en double (même jour, équipe et poste)",IF(OR(NOT(ISNUMBER(K861)),N(K861)&lt;=0,N(K861)&gt;1440),"Temps d'ouverture invalide",IF(OR(AND(G861&lt;&gt;"",NOT(ISNUMBER(G861))),N(G861)&lt;0,N(G861)&lt;&gt;INT(N(G861)),AND(H861&lt;&gt;"",NOT(ISNUMBER(H861))),N(H861)&lt;0,N(H861)&lt;&gt;INT(N(H861)),AND(I861&lt;&gt;"",NOT(ISNUMBER(I861))),N(I861)&lt;0,N(I861)&lt;&gt;INT(N(I861))),"Quantité invalide",IF(Q861&lt;=0,"Cadence manquante (poste ou article)",IF(M861&lt;=0,"Arrêts planifiés supérieurs au temps d'ouverture",IF(O861&lt;0,"Arrêts supérieurs au temps requis",IF(AND(P861&gt;0,O861=0),"Pièces déclarées sans temps de marche",IF(AND(P861=0,O861&gt;0),"Aucune pièce déclarée",IF(P861*60/Q861&gt;O861+0.001,"Cadence dépassée : vérifiez la cadence","OK"))))))))))))))))))</f>
        <v/>
      </c>
      <c r="AC861">
        <f>IF(OR(AB861="OK",AB861="Aucune pièce déclarée",AB861="Cadence dépassée : vérifiez la cadence"),1,0)</f>
        <v>0.0</v>
      </c>
      <c r="AD861">
        <f>IF(AND(AC861=1,A861&gt;=p_from,A861&lt;=p_to),1,0)</f>
        <v>0.0</v>
      </c>
      <c r="AE861">
        <f>IF(AD861=1,IF(COUNTIFS($A$6:A861,A861,$AD$6:AD861,1)=1,1,0),0)</f>
        <v>0.0</v>
      </c>
      <c r="AF861" t="str">
        <f>IF(AE861=1,COUNTIFS(sj_first,1,sj_date,"&lt;"&amp;A861)+1,"")</f>
        <v/>
      </c>
      <c r="AG861" t="str">
        <f>IF(AND(AD861=1,N(W861)&lt;p_alert),ROUND(W861,4),"")</f>
        <v/>
      </c>
      <c r="AH861" t="str">
        <f>IF(AG861="","",COUNTIF(sj_akey,"&lt;"&amp;AG861)+COUNTIF($AG$6:AG861,AG861))</f>
        <v/>
      </c>
    </row>
    <row r="862">
      <c r="A862" s="51" t="n"/>
      <c r="B862" s="52" t="n"/>
      <c r="C862" s="52" t="n"/>
      <c r="D862" s="53" t="n"/>
      <c r="E862" s="53" t="n"/>
      <c r="F862" s="54" t="n"/>
      <c r="G862" s="54" t="n"/>
      <c r="H862" s="54" t="n"/>
      <c r="I862" s="54" t="n"/>
      <c r="J862" s="53" t="n"/>
      <c r="K862" s="55" t="str">
        <f>IF(COUNTA(A862:I862)=0,"",IF(F862="",IFERROR(INDEX(eq_dur,MATCH(B862,eq_code,0)),""),F862))</f>
        <v/>
      </c>
      <c r="L862" s="55" t="str">
        <f>IF(ISNUMBER(K862),N(IFERROR(INDEX(eq_pause,MATCH(B862,eq_code,0)),0))+SUMIFS(st_min,st_date,A862,st_eq,B862,st_po,C862,st_type,"Planifié"),"")</f>
        <v/>
      </c>
      <c r="M862" s="55" t="str">
        <f>IF(ISNUMBER(K862),K862-L862,"")</f>
        <v/>
      </c>
      <c r="N862" s="55" t="str">
        <f>IF(ISNUMBER(K862),SUMIFS(st_min,st_date,A862,st_eq,B862,st_po,C862,st_type,"Non planifié"),"")</f>
        <v/>
      </c>
      <c r="O862" s="55" t="str">
        <f>IF(ISNUMBER(K862),M862-N862,"")</f>
        <v/>
      </c>
      <c r="P862" s="55" t="str">
        <f>IF(COUNTA(A862:I862)=0,"",N(G862)+N(H862)+N(I862))</f>
        <v/>
      </c>
      <c r="Q862" s="56" t="str">
        <f>IF(COUNTA(A862:I862)=0,"",IF(N(IFERROR(INDEX(art_rate,MATCH(E862,art_ref,0)),0))&gt;0,N(IFERROR(INDEX(art_rate,MATCH(E862,art_ref,0)),0)),N(IFERROR(INDEX(po_rate,MATCH(C862,po_code,0)),0))))</f>
        <v/>
      </c>
      <c r="R862" s="55" t="str">
        <f>IF(AC862=1,P862*60/Q862,"")</f>
        <v/>
      </c>
      <c r="S862" s="55" t="str">
        <f>IF(AC862=1,N(G862)*60/Q862,"")</f>
        <v/>
      </c>
      <c r="T862" s="57" t="str">
        <f>IF(AC862=1,O862/M862,"")</f>
        <v/>
      </c>
      <c r="U862" s="57" t="str">
        <f>IF(AC862=1,IF(O862&gt;0,R862/O862,""),"")</f>
        <v/>
      </c>
      <c r="V862" s="57" t="str">
        <f>IF(AC862=1,IF(P862&gt;0,N(G862)/P862,""),"")</f>
        <v/>
      </c>
      <c r="W862" s="57" t="str">
        <f>IF(AC862=1,S862/M862,"")</f>
        <v/>
      </c>
      <c r="X862" s="57" t="str">
        <f>IF(AC862=1,S862/K862,"")</f>
        <v/>
      </c>
      <c r="Y862" s="58" t="str">
        <f>IF(W862="","",IF(W862&gt;=p_target,"Bon",IF(W862&gt;=p_alert,"À surveiller","Faible")))</f>
        <v/>
      </c>
      <c r="Z862" s="58" t="str">
        <f>IF(W862="","",IF(MIN(IF(T862="",1,T862),IF(U862="",1,U862),IF(V862="",1,V862))&gt;=1,"Aucune",IF(IF(T862="",1,T862)&lt;=MIN(IF(U862="",1,U862),IF(V862="",1,V862)),"Disponibilité",IF(IF(U862="",1,U862)&lt;=IF(V862="",1,V862),"Performance","Qualité"))))</f>
        <v/>
      </c>
      <c r="AA862" s="59" t="str">
        <f>IF(AC862=1,N(H862)*N(IFERROR(INDEX(art_cost,MATCH(E862,art_ref,0)),0)),"")</f>
        <v/>
      </c>
      <c r="AB862" s="58" t="str">
        <f>IF(COUNTA(A862:I862)=0,"",IF(N(A862)&lt;=0,"Date manquante ou invalide",IF(B862="","Équipe manquante",IF(ISNA(MATCH(B862,eq_code,0)),"Équipe inconnue",IF(INDEX(eq_check,MATCH(B862,eq_code,0))&lt;&gt;"OK","Équipe à corriger dans Paramètres",IF(C862="","Poste manquant",IF(ISNA(MATCH(C862,po_code,0)),"Poste inconnu",IF(AND(E862&lt;&gt;"",ISNA(MATCH(E862,art_ref,0))),"Article inconnu",IF(IF(E862="",FALSE,INDEX(art_check,MATCH(E862,art_ref,0))&lt;&gt;"OK"),"Article à corriger (feuille Articles)",IF(COUNTIFS(sj_date,A862,sj_eq,B862,sj_po,C862)&gt;1,"Ligne en double (même jour, équipe et poste)",IF(OR(NOT(ISNUMBER(K862)),N(K862)&lt;=0,N(K862)&gt;1440),"Temps d'ouverture invalide",IF(OR(AND(G862&lt;&gt;"",NOT(ISNUMBER(G862))),N(G862)&lt;0,N(G862)&lt;&gt;INT(N(G862)),AND(H862&lt;&gt;"",NOT(ISNUMBER(H862))),N(H862)&lt;0,N(H862)&lt;&gt;INT(N(H862)),AND(I862&lt;&gt;"",NOT(ISNUMBER(I862))),N(I862)&lt;0,N(I862)&lt;&gt;INT(N(I862))),"Quantité invalide",IF(Q862&lt;=0,"Cadence manquante (poste ou article)",IF(M862&lt;=0,"Arrêts planifiés supérieurs au temps d'ouverture",IF(O862&lt;0,"Arrêts supérieurs au temps requis",IF(AND(P862&gt;0,O862=0),"Pièces déclarées sans temps de marche",IF(AND(P862=0,O862&gt;0),"Aucune pièce déclarée",IF(P862*60/Q862&gt;O862+0.001,"Cadence dépassée : vérifiez la cadence","OK"))))))))))))))))))</f>
        <v/>
      </c>
      <c r="AC862">
        <f>IF(OR(AB862="OK",AB862="Aucune pièce déclarée",AB862="Cadence dépassée : vérifiez la cadence"),1,0)</f>
        <v>0.0</v>
      </c>
      <c r="AD862">
        <f>IF(AND(AC862=1,A862&gt;=p_from,A862&lt;=p_to),1,0)</f>
        <v>0.0</v>
      </c>
      <c r="AE862">
        <f>IF(AD862=1,IF(COUNTIFS($A$6:A862,A862,$AD$6:AD862,1)=1,1,0),0)</f>
        <v>0.0</v>
      </c>
      <c r="AF862" t="str">
        <f>IF(AE862=1,COUNTIFS(sj_first,1,sj_date,"&lt;"&amp;A862)+1,"")</f>
        <v/>
      </c>
      <c r="AG862" t="str">
        <f>IF(AND(AD862=1,N(W862)&lt;p_alert),ROUND(W862,4),"")</f>
        <v/>
      </c>
      <c r="AH862" t="str">
        <f>IF(AG862="","",COUNTIF(sj_akey,"&lt;"&amp;AG862)+COUNTIF($AG$6:AG862,AG862))</f>
        <v/>
      </c>
    </row>
    <row r="863">
      <c r="A863" s="51" t="n"/>
      <c r="B863" s="52" t="n"/>
      <c r="C863" s="52" t="n"/>
      <c r="D863" s="53" t="n"/>
      <c r="E863" s="53" t="n"/>
      <c r="F863" s="54" t="n"/>
      <c r="G863" s="54" t="n"/>
      <c r="H863" s="54" t="n"/>
      <c r="I863" s="54" t="n"/>
      <c r="J863" s="53" t="n"/>
      <c r="K863" s="55" t="str">
        <f>IF(COUNTA(A863:I863)=0,"",IF(F863="",IFERROR(INDEX(eq_dur,MATCH(B863,eq_code,0)),""),F863))</f>
        <v/>
      </c>
      <c r="L863" s="55" t="str">
        <f>IF(ISNUMBER(K863),N(IFERROR(INDEX(eq_pause,MATCH(B863,eq_code,0)),0))+SUMIFS(st_min,st_date,A863,st_eq,B863,st_po,C863,st_type,"Planifié"),"")</f>
        <v/>
      </c>
      <c r="M863" s="55" t="str">
        <f>IF(ISNUMBER(K863),K863-L863,"")</f>
        <v/>
      </c>
      <c r="N863" s="55" t="str">
        <f>IF(ISNUMBER(K863),SUMIFS(st_min,st_date,A863,st_eq,B863,st_po,C863,st_type,"Non planifié"),"")</f>
        <v/>
      </c>
      <c r="O863" s="55" t="str">
        <f>IF(ISNUMBER(K863),M863-N863,"")</f>
        <v/>
      </c>
      <c r="P863" s="55" t="str">
        <f>IF(COUNTA(A863:I863)=0,"",N(G863)+N(H863)+N(I863))</f>
        <v/>
      </c>
      <c r="Q863" s="56" t="str">
        <f>IF(COUNTA(A863:I863)=0,"",IF(N(IFERROR(INDEX(art_rate,MATCH(E863,art_ref,0)),0))&gt;0,N(IFERROR(INDEX(art_rate,MATCH(E863,art_ref,0)),0)),N(IFERROR(INDEX(po_rate,MATCH(C863,po_code,0)),0))))</f>
        <v/>
      </c>
      <c r="R863" s="55" t="str">
        <f>IF(AC863=1,P863*60/Q863,"")</f>
        <v/>
      </c>
      <c r="S863" s="55" t="str">
        <f>IF(AC863=1,N(G863)*60/Q863,"")</f>
        <v/>
      </c>
      <c r="T863" s="57" t="str">
        <f>IF(AC863=1,O863/M863,"")</f>
        <v/>
      </c>
      <c r="U863" s="57" t="str">
        <f>IF(AC863=1,IF(O863&gt;0,R863/O863,""),"")</f>
        <v/>
      </c>
      <c r="V863" s="57" t="str">
        <f>IF(AC863=1,IF(P863&gt;0,N(G863)/P863,""),"")</f>
        <v/>
      </c>
      <c r="W863" s="57" t="str">
        <f>IF(AC863=1,S863/M863,"")</f>
        <v/>
      </c>
      <c r="X863" s="57" t="str">
        <f>IF(AC863=1,S863/K863,"")</f>
        <v/>
      </c>
      <c r="Y863" s="58" t="str">
        <f>IF(W863="","",IF(W863&gt;=p_target,"Bon",IF(W863&gt;=p_alert,"À surveiller","Faible")))</f>
        <v/>
      </c>
      <c r="Z863" s="58" t="str">
        <f>IF(W863="","",IF(MIN(IF(T863="",1,T863),IF(U863="",1,U863),IF(V863="",1,V863))&gt;=1,"Aucune",IF(IF(T863="",1,T863)&lt;=MIN(IF(U863="",1,U863),IF(V863="",1,V863)),"Disponibilité",IF(IF(U863="",1,U863)&lt;=IF(V863="",1,V863),"Performance","Qualité"))))</f>
        <v/>
      </c>
      <c r="AA863" s="59" t="str">
        <f>IF(AC863=1,N(H863)*N(IFERROR(INDEX(art_cost,MATCH(E863,art_ref,0)),0)),"")</f>
        <v/>
      </c>
      <c r="AB863" s="58" t="str">
        <f>IF(COUNTA(A863:I863)=0,"",IF(N(A863)&lt;=0,"Date manquante ou invalide",IF(B863="","Équipe manquante",IF(ISNA(MATCH(B863,eq_code,0)),"Équipe inconnue",IF(INDEX(eq_check,MATCH(B863,eq_code,0))&lt;&gt;"OK","Équipe à corriger dans Paramètres",IF(C863="","Poste manquant",IF(ISNA(MATCH(C863,po_code,0)),"Poste inconnu",IF(AND(E863&lt;&gt;"",ISNA(MATCH(E863,art_ref,0))),"Article inconnu",IF(IF(E863="",FALSE,INDEX(art_check,MATCH(E863,art_ref,0))&lt;&gt;"OK"),"Article à corriger (feuille Articles)",IF(COUNTIFS(sj_date,A863,sj_eq,B863,sj_po,C863)&gt;1,"Ligne en double (même jour, équipe et poste)",IF(OR(NOT(ISNUMBER(K863)),N(K863)&lt;=0,N(K863)&gt;1440),"Temps d'ouverture invalide",IF(OR(AND(G863&lt;&gt;"",NOT(ISNUMBER(G863))),N(G863)&lt;0,N(G863)&lt;&gt;INT(N(G863)),AND(H863&lt;&gt;"",NOT(ISNUMBER(H863))),N(H863)&lt;0,N(H863)&lt;&gt;INT(N(H863)),AND(I863&lt;&gt;"",NOT(ISNUMBER(I863))),N(I863)&lt;0,N(I863)&lt;&gt;INT(N(I863))),"Quantité invalide",IF(Q863&lt;=0,"Cadence manquante (poste ou article)",IF(M863&lt;=0,"Arrêts planifiés supérieurs au temps d'ouverture",IF(O863&lt;0,"Arrêts supérieurs au temps requis",IF(AND(P863&gt;0,O863=0),"Pièces déclarées sans temps de marche",IF(AND(P863=0,O863&gt;0),"Aucune pièce déclarée",IF(P863*60/Q863&gt;O863+0.001,"Cadence dépassée : vérifiez la cadence","OK"))))))))))))))))))</f>
        <v/>
      </c>
      <c r="AC863">
        <f>IF(OR(AB863="OK",AB863="Aucune pièce déclarée",AB863="Cadence dépassée : vérifiez la cadence"),1,0)</f>
        <v>0.0</v>
      </c>
      <c r="AD863">
        <f>IF(AND(AC863=1,A863&gt;=p_from,A863&lt;=p_to),1,0)</f>
        <v>0.0</v>
      </c>
      <c r="AE863">
        <f>IF(AD863=1,IF(COUNTIFS($A$6:A863,A863,$AD$6:AD863,1)=1,1,0),0)</f>
        <v>0.0</v>
      </c>
      <c r="AF863" t="str">
        <f>IF(AE863=1,COUNTIFS(sj_first,1,sj_date,"&lt;"&amp;A863)+1,"")</f>
        <v/>
      </c>
      <c r="AG863" t="str">
        <f>IF(AND(AD863=1,N(W863)&lt;p_alert),ROUND(W863,4),"")</f>
        <v/>
      </c>
      <c r="AH863" t="str">
        <f>IF(AG863="","",COUNTIF(sj_akey,"&lt;"&amp;AG863)+COUNTIF($AG$6:AG863,AG863))</f>
        <v/>
      </c>
    </row>
    <row r="864">
      <c r="A864" s="51" t="n"/>
      <c r="B864" s="52" t="n"/>
      <c r="C864" s="52" t="n"/>
      <c r="D864" s="53" t="n"/>
      <c r="E864" s="53" t="n"/>
      <c r="F864" s="54" t="n"/>
      <c r="G864" s="54" t="n"/>
      <c r="H864" s="54" t="n"/>
      <c r="I864" s="54" t="n"/>
      <c r="J864" s="53" t="n"/>
      <c r="K864" s="55" t="str">
        <f>IF(COUNTA(A864:I864)=0,"",IF(F864="",IFERROR(INDEX(eq_dur,MATCH(B864,eq_code,0)),""),F864))</f>
        <v/>
      </c>
      <c r="L864" s="55" t="str">
        <f>IF(ISNUMBER(K864),N(IFERROR(INDEX(eq_pause,MATCH(B864,eq_code,0)),0))+SUMIFS(st_min,st_date,A864,st_eq,B864,st_po,C864,st_type,"Planifié"),"")</f>
        <v/>
      </c>
      <c r="M864" s="55" t="str">
        <f>IF(ISNUMBER(K864),K864-L864,"")</f>
        <v/>
      </c>
      <c r="N864" s="55" t="str">
        <f>IF(ISNUMBER(K864),SUMIFS(st_min,st_date,A864,st_eq,B864,st_po,C864,st_type,"Non planifié"),"")</f>
        <v/>
      </c>
      <c r="O864" s="55" t="str">
        <f>IF(ISNUMBER(K864),M864-N864,"")</f>
        <v/>
      </c>
      <c r="P864" s="55" t="str">
        <f>IF(COUNTA(A864:I864)=0,"",N(G864)+N(H864)+N(I864))</f>
        <v/>
      </c>
      <c r="Q864" s="56" t="str">
        <f>IF(COUNTA(A864:I864)=0,"",IF(N(IFERROR(INDEX(art_rate,MATCH(E864,art_ref,0)),0))&gt;0,N(IFERROR(INDEX(art_rate,MATCH(E864,art_ref,0)),0)),N(IFERROR(INDEX(po_rate,MATCH(C864,po_code,0)),0))))</f>
        <v/>
      </c>
      <c r="R864" s="55" t="str">
        <f>IF(AC864=1,P864*60/Q864,"")</f>
        <v/>
      </c>
      <c r="S864" s="55" t="str">
        <f>IF(AC864=1,N(G864)*60/Q864,"")</f>
        <v/>
      </c>
      <c r="T864" s="57" t="str">
        <f>IF(AC864=1,O864/M864,"")</f>
        <v/>
      </c>
      <c r="U864" s="57" t="str">
        <f>IF(AC864=1,IF(O864&gt;0,R864/O864,""),"")</f>
        <v/>
      </c>
      <c r="V864" s="57" t="str">
        <f>IF(AC864=1,IF(P864&gt;0,N(G864)/P864,""),"")</f>
        <v/>
      </c>
      <c r="W864" s="57" t="str">
        <f>IF(AC864=1,S864/M864,"")</f>
        <v/>
      </c>
      <c r="X864" s="57" t="str">
        <f>IF(AC864=1,S864/K864,"")</f>
        <v/>
      </c>
      <c r="Y864" s="58" t="str">
        <f>IF(W864="","",IF(W864&gt;=p_target,"Bon",IF(W864&gt;=p_alert,"À surveiller","Faible")))</f>
        <v/>
      </c>
      <c r="Z864" s="58" t="str">
        <f>IF(W864="","",IF(MIN(IF(T864="",1,T864),IF(U864="",1,U864),IF(V864="",1,V864))&gt;=1,"Aucune",IF(IF(T864="",1,T864)&lt;=MIN(IF(U864="",1,U864),IF(V864="",1,V864)),"Disponibilité",IF(IF(U864="",1,U864)&lt;=IF(V864="",1,V864),"Performance","Qualité"))))</f>
        <v/>
      </c>
      <c r="AA864" s="59" t="str">
        <f>IF(AC864=1,N(H864)*N(IFERROR(INDEX(art_cost,MATCH(E864,art_ref,0)),0)),"")</f>
        <v/>
      </c>
      <c r="AB864" s="58" t="str">
        <f>IF(COUNTA(A864:I864)=0,"",IF(N(A864)&lt;=0,"Date manquante ou invalide",IF(B864="","Équipe manquante",IF(ISNA(MATCH(B864,eq_code,0)),"Équipe inconnue",IF(INDEX(eq_check,MATCH(B864,eq_code,0))&lt;&gt;"OK","Équipe à corriger dans Paramètres",IF(C864="","Poste manquant",IF(ISNA(MATCH(C864,po_code,0)),"Poste inconnu",IF(AND(E864&lt;&gt;"",ISNA(MATCH(E864,art_ref,0))),"Article inconnu",IF(IF(E864="",FALSE,INDEX(art_check,MATCH(E864,art_ref,0))&lt;&gt;"OK"),"Article à corriger (feuille Articles)",IF(COUNTIFS(sj_date,A864,sj_eq,B864,sj_po,C864)&gt;1,"Ligne en double (même jour, équipe et poste)",IF(OR(NOT(ISNUMBER(K864)),N(K864)&lt;=0,N(K864)&gt;1440),"Temps d'ouverture invalide",IF(OR(AND(G864&lt;&gt;"",NOT(ISNUMBER(G864))),N(G864)&lt;0,N(G864)&lt;&gt;INT(N(G864)),AND(H864&lt;&gt;"",NOT(ISNUMBER(H864))),N(H864)&lt;0,N(H864)&lt;&gt;INT(N(H864)),AND(I864&lt;&gt;"",NOT(ISNUMBER(I864))),N(I864)&lt;0,N(I864)&lt;&gt;INT(N(I864))),"Quantité invalide",IF(Q864&lt;=0,"Cadence manquante (poste ou article)",IF(M864&lt;=0,"Arrêts planifiés supérieurs au temps d'ouverture",IF(O864&lt;0,"Arrêts supérieurs au temps requis",IF(AND(P864&gt;0,O864=0),"Pièces déclarées sans temps de marche",IF(AND(P864=0,O864&gt;0),"Aucune pièce déclarée",IF(P864*60/Q864&gt;O864+0.001,"Cadence dépassée : vérifiez la cadence","OK"))))))))))))))))))</f>
        <v/>
      </c>
      <c r="AC864">
        <f>IF(OR(AB864="OK",AB864="Aucune pièce déclarée",AB864="Cadence dépassée : vérifiez la cadence"),1,0)</f>
        <v>0.0</v>
      </c>
      <c r="AD864">
        <f>IF(AND(AC864=1,A864&gt;=p_from,A864&lt;=p_to),1,0)</f>
        <v>0.0</v>
      </c>
      <c r="AE864">
        <f>IF(AD864=1,IF(COUNTIFS($A$6:A864,A864,$AD$6:AD864,1)=1,1,0),0)</f>
        <v>0.0</v>
      </c>
      <c r="AF864" t="str">
        <f>IF(AE864=1,COUNTIFS(sj_first,1,sj_date,"&lt;"&amp;A864)+1,"")</f>
        <v/>
      </c>
      <c r="AG864" t="str">
        <f>IF(AND(AD864=1,N(W864)&lt;p_alert),ROUND(W864,4),"")</f>
        <v/>
      </c>
      <c r="AH864" t="str">
        <f>IF(AG864="","",COUNTIF(sj_akey,"&lt;"&amp;AG864)+COUNTIF($AG$6:AG864,AG864))</f>
        <v/>
      </c>
    </row>
    <row r="865">
      <c r="A865" s="51" t="n"/>
      <c r="B865" s="52" t="n"/>
      <c r="C865" s="52" t="n"/>
      <c r="D865" s="53" t="n"/>
      <c r="E865" s="53" t="n"/>
      <c r="F865" s="54" t="n"/>
      <c r="G865" s="54" t="n"/>
      <c r="H865" s="54" t="n"/>
      <c r="I865" s="54" t="n"/>
      <c r="J865" s="53" t="n"/>
      <c r="K865" s="55" t="str">
        <f>IF(COUNTA(A865:I865)=0,"",IF(F865="",IFERROR(INDEX(eq_dur,MATCH(B865,eq_code,0)),""),F865))</f>
        <v/>
      </c>
      <c r="L865" s="55" t="str">
        <f>IF(ISNUMBER(K865),N(IFERROR(INDEX(eq_pause,MATCH(B865,eq_code,0)),0))+SUMIFS(st_min,st_date,A865,st_eq,B865,st_po,C865,st_type,"Planifié"),"")</f>
        <v/>
      </c>
      <c r="M865" s="55" t="str">
        <f>IF(ISNUMBER(K865),K865-L865,"")</f>
        <v/>
      </c>
      <c r="N865" s="55" t="str">
        <f>IF(ISNUMBER(K865),SUMIFS(st_min,st_date,A865,st_eq,B865,st_po,C865,st_type,"Non planifié"),"")</f>
        <v/>
      </c>
      <c r="O865" s="55" t="str">
        <f>IF(ISNUMBER(K865),M865-N865,"")</f>
        <v/>
      </c>
      <c r="P865" s="55" t="str">
        <f>IF(COUNTA(A865:I865)=0,"",N(G865)+N(H865)+N(I865))</f>
        <v/>
      </c>
      <c r="Q865" s="56" t="str">
        <f>IF(COUNTA(A865:I865)=0,"",IF(N(IFERROR(INDEX(art_rate,MATCH(E865,art_ref,0)),0))&gt;0,N(IFERROR(INDEX(art_rate,MATCH(E865,art_ref,0)),0)),N(IFERROR(INDEX(po_rate,MATCH(C865,po_code,0)),0))))</f>
        <v/>
      </c>
      <c r="R865" s="55" t="str">
        <f>IF(AC865=1,P865*60/Q865,"")</f>
        <v/>
      </c>
      <c r="S865" s="55" t="str">
        <f>IF(AC865=1,N(G865)*60/Q865,"")</f>
        <v/>
      </c>
      <c r="T865" s="57" t="str">
        <f>IF(AC865=1,O865/M865,"")</f>
        <v/>
      </c>
      <c r="U865" s="57" t="str">
        <f>IF(AC865=1,IF(O865&gt;0,R865/O865,""),"")</f>
        <v/>
      </c>
      <c r="V865" s="57" t="str">
        <f>IF(AC865=1,IF(P865&gt;0,N(G865)/P865,""),"")</f>
        <v/>
      </c>
      <c r="W865" s="57" t="str">
        <f>IF(AC865=1,S865/M865,"")</f>
        <v/>
      </c>
      <c r="X865" s="57" t="str">
        <f>IF(AC865=1,S865/K865,"")</f>
        <v/>
      </c>
      <c r="Y865" s="58" t="str">
        <f>IF(W865="","",IF(W865&gt;=p_target,"Bon",IF(W865&gt;=p_alert,"À surveiller","Faible")))</f>
        <v/>
      </c>
      <c r="Z865" s="58" t="str">
        <f>IF(W865="","",IF(MIN(IF(T865="",1,T865),IF(U865="",1,U865),IF(V865="",1,V865))&gt;=1,"Aucune",IF(IF(T865="",1,T865)&lt;=MIN(IF(U865="",1,U865),IF(V865="",1,V865)),"Disponibilité",IF(IF(U865="",1,U865)&lt;=IF(V865="",1,V865),"Performance","Qualité"))))</f>
        <v/>
      </c>
      <c r="AA865" s="59" t="str">
        <f>IF(AC865=1,N(H865)*N(IFERROR(INDEX(art_cost,MATCH(E865,art_ref,0)),0)),"")</f>
        <v/>
      </c>
      <c r="AB865" s="58" t="str">
        <f>IF(COUNTA(A865:I865)=0,"",IF(N(A865)&lt;=0,"Date manquante ou invalide",IF(B865="","Équipe manquante",IF(ISNA(MATCH(B865,eq_code,0)),"Équipe inconnue",IF(INDEX(eq_check,MATCH(B865,eq_code,0))&lt;&gt;"OK","Équipe à corriger dans Paramètres",IF(C865="","Poste manquant",IF(ISNA(MATCH(C865,po_code,0)),"Poste inconnu",IF(AND(E865&lt;&gt;"",ISNA(MATCH(E865,art_ref,0))),"Article inconnu",IF(IF(E865="",FALSE,INDEX(art_check,MATCH(E865,art_ref,0))&lt;&gt;"OK"),"Article à corriger (feuille Articles)",IF(COUNTIFS(sj_date,A865,sj_eq,B865,sj_po,C865)&gt;1,"Ligne en double (même jour, équipe et poste)",IF(OR(NOT(ISNUMBER(K865)),N(K865)&lt;=0,N(K865)&gt;1440),"Temps d'ouverture invalide",IF(OR(AND(G865&lt;&gt;"",NOT(ISNUMBER(G865))),N(G865)&lt;0,N(G865)&lt;&gt;INT(N(G865)),AND(H865&lt;&gt;"",NOT(ISNUMBER(H865))),N(H865)&lt;0,N(H865)&lt;&gt;INT(N(H865)),AND(I865&lt;&gt;"",NOT(ISNUMBER(I865))),N(I865)&lt;0,N(I865)&lt;&gt;INT(N(I865))),"Quantité invalide",IF(Q865&lt;=0,"Cadence manquante (poste ou article)",IF(M865&lt;=0,"Arrêts planifiés supérieurs au temps d'ouverture",IF(O865&lt;0,"Arrêts supérieurs au temps requis",IF(AND(P865&gt;0,O865=0),"Pièces déclarées sans temps de marche",IF(AND(P865=0,O865&gt;0),"Aucune pièce déclarée",IF(P865*60/Q865&gt;O865+0.001,"Cadence dépassée : vérifiez la cadence","OK"))))))))))))))))))</f>
        <v/>
      </c>
      <c r="AC865">
        <f>IF(OR(AB865="OK",AB865="Aucune pièce déclarée",AB865="Cadence dépassée : vérifiez la cadence"),1,0)</f>
        <v>0.0</v>
      </c>
      <c r="AD865">
        <f>IF(AND(AC865=1,A865&gt;=p_from,A865&lt;=p_to),1,0)</f>
        <v>0.0</v>
      </c>
      <c r="AE865">
        <f>IF(AD865=1,IF(COUNTIFS($A$6:A865,A865,$AD$6:AD865,1)=1,1,0),0)</f>
        <v>0.0</v>
      </c>
      <c r="AF865" t="str">
        <f>IF(AE865=1,COUNTIFS(sj_first,1,sj_date,"&lt;"&amp;A865)+1,"")</f>
        <v/>
      </c>
      <c r="AG865" t="str">
        <f>IF(AND(AD865=1,N(W865)&lt;p_alert),ROUND(W865,4),"")</f>
        <v/>
      </c>
      <c r="AH865" t="str">
        <f>IF(AG865="","",COUNTIF(sj_akey,"&lt;"&amp;AG865)+COUNTIF($AG$6:AG865,AG865))</f>
        <v/>
      </c>
    </row>
    <row r="866">
      <c r="A866" s="51" t="n"/>
      <c r="B866" s="52" t="n"/>
      <c r="C866" s="52" t="n"/>
      <c r="D866" s="53" t="n"/>
      <c r="E866" s="53" t="n"/>
      <c r="F866" s="54" t="n"/>
      <c r="G866" s="54" t="n"/>
      <c r="H866" s="54" t="n"/>
      <c r="I866" s="54" t="n"/>
      <c r="J866" s="53" t="n"/>
      <c r="K866" s="55" t="str">
        <f>IF(COUNTA(A866:I866)=0,"",IF(F866="",IFERROR(INDEX(eq_dur,MATCH(B866,eq_code,0)),""),F866))</f>
        <v/>
      </c>
      <c r="L866" s="55" t="str">
        <f>IF(ISNUMBER(K866),N(IFERROR(INDEX(eq_pause,MATCH(B866,eq_code,0)),0))+SUMIFS(st_min,st_date,A866,st_eq,B866,st_po,C866,st_type,"Planifié"),"")</f>
        <v/>
      </c>
      <c r="M866" s="55" t="str">
        <f>IF(ISNUMBER(K866),K866-L866,"")</f>
        <v/>
      </c>
      <c r="N866" s="55" t="str">
        <f>IF(ISNUMBER(K866),SUMIFS(st_min,st_date,A866,st_eq,B866,st_po,C866,st_type,"Non planifié"),"")</f>
        <v/>
      </c>
      <c r="O866" s="55" t="str">
        <f>IF(ISNUMBER(K866),M866-N866,"")</f>
        <v/>
      </c>
      <c r="P866" s="55" t="str">
        <f>IF(COUNTA(A866:I866)=0,"",N(G866)+N(H866)+N(I866))</f>
        <v/>
      </c>
      <c r="Q866" s="56" t="str">
        <f>IF(COUNTA(A866:I866)=0,"",IF(N(IFERROR(INDEX(art_rate,MATCH(E866,art_ref,0)),0))&gt;0,N(IFERROR(INDEX(art_rate,MATCH(E866,art_ref,0)),0)),N(IFERROR(INDEX(po_rate,MATCH(C866,po_code,0)),0))))</f>
        <v/>
      </c>
      <c r="R866" s="55" t="str">
        <f>IF(AC866=1,P866*60/Q866,"")</f>
        <v/>
      </c>
      <c r="S866" s="55" t="str">
        <f>IF(AC866=1,N(G866)*60/Q866,"")</f>
        <v/>
      </c>
      <c r="T866" s="57" t="str">
        <f>IF(AC866=1,O866/M866,"")</f>
        <v/>
      </c>
      <c r="U866" s="57" t="str">
        <f>IF(AC866=1,IF(O866&gt;0,R866/O866,""),"")</f>
        <v/>
      </c>
      <c r="V866" s="57" t="str">
        <f>IF(AC866=1,IF(P866&gt;0,N(G866)/P866,""),"")</f>
        <v/>
      </c>
      <c r="W866" s="57" t="str">
        <f>IF(AC866=1,S866/M866,"")</f>
        <v/>
      </c>
      <c r="X866" s="57" t="str">
        <f>IF(AC866=1,S866/K866,"")</f>
        <v/>
      </c>
      <c r="Y866" s="58" t="str">
        <f>IF(W866="","",IF(W866&gt;=p_target,"Bon",IF(W866&gt;=p_alert,"À surveiller","Faible")))</f>
        <v/>
      </c>
      <c r="Z866" s="58" t="str">
        <f>IF(W866="","",IF(MIN(IF(T866="",1,T866),IF(U866="",1,U866),IF(V866="",1,V866))&gt;=1,"Aucune",IF(IF(T866="",1,T866)&lt;=MIN(IF(U866="",1,U866),IF(V866="",1,V866)),"Disponibilité",IF(IF(U866="",1,U866)&lt;=IF(V866="",1,V866),"Performance","Qualité"))))</f>
        <v/>
      </c>
      <c r="AA866" s="59" t="str">
        <f>IF(AC866=1,N(H866)*N(IFERROR(INDEX(art_cost,MATCH(E866,art_ref,0)),0)),"")</f>
        <v/>
      </c>
      <c r="AB866" s="58" t="str">
        <f>IF(COUNTA(A866:I866)=0,"",IF(N(A866)&lt;=0,"Date manquante ou invalide",IF(B866="","Équipe manquante",IF(ISNA(MATCH(B866,eq_code,0)),"Équipe inconnue",IF(INDEX(eq_check,MATCH(B866,eq_code,0))&lt;&gt;"OK","Équipe à corriger dans Paramètres",IF(C866="","Poste manquant",IF(ISNA(MATCH(C866,po_code,0)),"Poste inconnu",IF(AND(E866&lt;&gt;"",ISNA(MATCH(E866,art_ref,0))),"Article inconnu",IF(IF(E866="",FALSE,INDEX(art_check,MATCH(E866,art_ref,0))&lt;&gt;"OK"),"Article à corriger (feuille Articles)",IF(COUNTIFS(sj_date,A866,sj_eq,B866,sj_po,C866)&gt;1,"Ligne en double (même jour, équipe et poste)",IF(OR(NOT(ISNUMBER(K866)),N(K866)&lt;=0,N(K866)&gt;1440),"Temps d'ouverture invalide",IF(OR(AND(G866&lt;&gt;"",NOT(ISNUMBER(G866))),N(G866)&lt;0,N(G866)&lt;&gt;INT(N(G866)),AND(H866&lt;&gt;"",NOT(ISNUMBER(H866))),N(H866)&lt;0,N(H866)&lt;&gt;INT(N(H866)),AND(I866&lt;&gt;"",NOT(ISNUMBER(I866))),N(I866)&lt;0,N(I866)&lt;&gt;INT(N(I866))),"Quantité invalide",IF(Q866&lt;=0,"Cadence manquante (poste ou article)",IF(M866&lt;=0,"Arrêts planifiés supérieurs au temps d'ouverture",IF(O866&lt;0,"Arrêts supérieurs au temps requis",IF(AND(P866&gt;0,O866=0),"Pièces déclarées sans temps de marche",IF(AND(P866=0,O866&gt;0),"Aucune pièce déclarée",IF(P866*60/Q866&gt;O866+0.001,"Cadence dépassée : vérifiez la cadence","OK"))))))))))))))))))</f>
        <v/>
      </c>
      <c r="AC866">
        <f>IF(OR(AB866="OK",AB866="Aucune pièce déclarée",AB866="Cadence dépassée : vérifiez la cadence"),1,0)</f>
        <v>0.0</v>
      </c>
      <c r="AD866">
        <f>IF(AND(AC866=1,A866&gt;=p_from,A866&lt;=p_to),1,0)</f>
        <v>0.0</v>
      </c>
      <c r="AE866">
        <f>IF(AD866=1,IF(COUNTIFS($A$6:A866,A866,$AD$6:AD866,1)=1,1,0),0)</f>
        <v>0.0</v>
      </c>
      <c r="AF866" t="str">
        <f>IF(AE866=1,COUNTIFS(sj_first,1,sj_date,"&lt;"&amp;A866)+1,"")</f>
        <v/>
      </c>
      <c r="AG866" t="str">
        <f>IF(AND(AD866=1,N(W866)&lt;p_alert),ROUND(W866,4),"")</f>
        <v/>
      </c>
      <c r="AH866" t="str">
        <f>IF(AG866="","",COUNTIF(sj_akey,"&lt;"&amp;AG866)+COUNTIF($AG$6:AG866,AG866))</f>
        <v/>
      </c>
    </row>
    <row r="867">
      <c r="A867" s="51" t="n"/>
      <c r="B867" s="52" t="n"/>
      <c r="C867" s="52" t="n"/>
      <c r="D867" s="53" t="n"/>
      <c r="E867" s="53" t="n"/>
      <c r="F867" s="54" t="n"/>
      <c r="G867" s="54" t="n"/>
      <c r="H867" s="54" t="n"/>
      <c r="I867" s="54" t="n"/>
      <c r="J867" s="53" t="n"/>
      <c r="K867" s="55" t="str">
        <f>IF(COUNTA(A867:I867)=0,"",IF(F867="",IFERROR(INDEX(eq_dur,MATCH(B867,eq_code,0)),""),F867))</f>
        <v/>
      </c>
      <c r="L867" s="55" t="str">
        <f>IF(ISNUMBER(K867),N(IFERROR(INDEX(eq_pause,MATCH(B867,eq_code,0)),0))+SUMIFS(st_min,st_date,A867,st_eq,B867,st_po,C867,st_type,"Planifié"),"")</f>
        <v/>
      </c>
      <c r="M867" s="55" t="str">
        <f>IF(ISNUMBER(K867),K867-L867,"")</f>
        <v/>
      </c>
      <c r="N867" s="55" t="str">
        <f>IF(ISNUMBER(K867),SUMIFS(st_min,st_date,A867,st_eq,B867,st_po,C867,st_type,"Non planifié"),"")</f>
        <v/>
      </c>
      <c r="O867" s="55" t="str">
        <f>IF(ISNUMBER(K867),M867-N867,"")</f>
        <v/>
      </c>
      <c r="P867" s="55" t="str">
        <f>IF(COUNTA(A867:I867)=0,"",N(G867)+N(H867)+N(I867))</f>
        <v/>
      </c>
      <c r="Q867" s="56" t="str">
        <f>IF(COUNTA(A867:I867)=0,"",IF(N(IFERROR(INDEX(art_rate,MATCH(E867,art_ref,0)),0))&gt;0,N(IFERROR(INDEX(art_rate,MATCH(E867,art_ref,0)),0)),N(IFERROR(INDEX(po_rate,MATCH(C867,po_code,0)),0))))</f>
        <v/>
      </c>
      <c r="R867" s="55" t="str">
        <f>IF(AC867=1,P867*60/Q867,"")</f>
        <v/>
      </c>
      <c r="S867" s="55" t="str">
        <f>IF(AC867=1,N(G867)*60/Q867,"")</f>
        <v/>
      </c>
      <c r="T867" s="57" t="str">
        <f>IF(AC867=1,O867/M867,"")</f>
        <v/>
      </c>
      <c r="U867" s="57" t="str">
        <f>IF(AC867=1,IF(O867&gt;0,R867/O867,""),"")</f>
        <v/>
      </c>
      <c r="V867" s="57" t="str">
        <f>IF(AC867=1,IF(P867&gt;0,N(G867)/P867,""),"")</f>
        <v/>
      </c>
      <c r="W867" s="57" t="str">
        <f>IF(AC867=1,S867/M867,"")</f>
        <v/>
      </c>
      <c r="X867" s="57" t="str">
        <f>IF(AC867=1,S867/K867,"")</f>
        <v/>
      </c>
      <c r="Y867" s="58" t="str">
        <f>IF(W867="","",IF(W867&gt;=p_target,"Bon",IF(W867&gt;=p_alert,"À surveiller","Faible")))</f>
        <v/>
      </c>
      <c r="Z867" s="58" t="str">
        <f>IF(W867="","",IF(MIN(IF(T867="",1,T867),IF(U867="",1,U867),IF(V867="",1,V867))&gt;=1,"Aucune",IF(IF(T867="",1,T867)&lt;=MIN(IF(U867="",1,U867),IF(V867="",1,V867)),"Disponibilité",IF(IF(U867="",1,U867)&lt;=IF(V867="",1,V867),"Performance","Qualité"))))</f>
        <v/>
      </c>
      <c r="AA867" s="59" t="str">
        <f>IF(AC867=1,N(H867)*N(IFERROR(INDEX(art_cost,MATCH(E867,art_ref,0)),0)),"")</f>
        <v/>
      </c>
      <c r="AB867" s="58" t="str">
        <f>IF(COUNTA(A867:I867)=0,"",IF(N(A867)&lt;=0,"Date manquante ou invalide",IF(B867="","Équipe manquante",IF(ISNA(MATCH(B867,eq_code,0)),"Équipe inconnue",IF(INDEX(eq_check,MATCH(B867,eq_code,0))&lt;&gt;"OK","Équipe à corriger dans Paramètres",IF(C867="","Poste manquant",IF(ISNA(MATCH(C867,po_code,0)),"Poste inconnu",IF(AND(E867&lt;&gt;"",ISNA(MATCH(E867,art_ref,0))),"Article inconnu",IF(IF(E867="",FALSE,INDEX(art_check,MATCH(E867,art_ref,0))&lt;&gt;"OK"),"Article à corriger (feuille Articles)",IF(COUNTIFS(sj_date,A867,sj_eq,B867,sj_po,C867)&gt;1,"Ligne en double (même jour, équipe et poste)",IF(OR(NOT(ISNUMBER(K867)),N(K867)&lt;=0,N(K867)&gt;1440),"Temps d'ouverture invalide",IF(OR(AND(G867&lt;&gt;"",NOT(ISNUMBER(G867))),N(G867)&lt;0,N(G867)&lt;&gt;INT(N(G867)),AND(H867&lt;&gt;"",NOT(ISNUMBER(H867))),N(H867)&lt;0,N(H867)&lt;&gt;INT(N(H867)),AND(I867&lt;&gt;"",NOT(ISNUMBER(I867))),N(I867)&lt;0,N(I867)&lt;&gt;INT(N(I867))),"Quantité invalide",IF(Q867&lt;=0,"Cadence manquante (poste ou article)",IF(M867&lt;=0,"Arrêts planifiés supérieurs au temps d'ouverture",IF(O867&lt;0,"Arrêts supérieurs au temps requis",IF(AND(P867&gt;0,O867=0),"Pièces déclarées sans temps de marche",IF(AND(P867=0,O867&gt;0),"Aucune pièce déclarée",IF(P867*60/Q867&gt;O867+0.001,"Cadence dépassée : vérifiez la cadence","OK"))))))))))))))))))</f>
        <v/>
      </c>
      <c r="AC867">
        <f>IF(OR(AB867="OK",AB867="Aucune pièce déclarée",AB867="Cadence dépassée : vérifiez la cadence"),1,0)</f>
        <v>0.0</v>
      </c>
      <c r="AD867">
        <f>IF(AND(AC867=1,A867&gt;=p_from,A867&lt;=p_to),1,0)</f>
        <v>0.0</v>
      </c>
      <c r="AE867">
        <f>IF(AD867=1,IF(COUNTIFS($A$6:A867,A867,$AD$6:AD867,1)=1,1,0),0)</f>
        <v>0.0</v>
      </c>
      <c r="AF867" t="str">
        <f>IF(AE867=1,COUNTIFS(sj_first,1,sj_date,"&lt;"&amp;A867)+1,"")</f>
        <v/>
      </c>
      <c r="AG867" t="str">
        <f>IF(AND(AD867=1,N(W867)&lt;p_alert),ROUND(W867,4),"")</f>
        <v/>
      </c>
      <c r="AH867" t="str">
        <f>IF(AG867="","",COUNTIF(sj_akey,"&lt;"&amp;AG867)+COUNTIF($AG$6:AG867,AG867))</f>
        <v/>
      </c>
    </row>
    <row r="868">
      <c r="A868" s="51" t="n"/>
      <c r="B868" s="52" t="n"/>
      <c r="C868" s="52" t="n"/>
      <c r="D868" s="53" t="n"/>
      <c r="E868" s="53" t="n"/>
      <c r="F868" s="54" t="n"/>
      <c r="G868" s="54" t="n"/>
      <c r="H868" s="54" t="n"/>
      <c r="I868" s="54" t="n"/>
      <c r="J868" s="53" t="n"/>
      <c r="K868" s="55" t="str">
        <f>IF(COUNTA(A868:I868)=0,"",IF(F868="",IFERROR(INDEX(eq_dur,MATCH(B868,eq_code,0)),""),F868))</f>
        <v/>
      </c>
      <c r="L868" s="55" t="str">
        <f>IF(ISNUMBER(K868),N(IFERROR(INDEX(eq_pause,MATCH(B868,eq_code,0)),0))+SUMIFS(st_min,st_date,A868,st_eq,B868,st_po,C868,st_type,"Planifié"),"")</f>
        <v/>
      </c>
      <c r="M868" s="55" t="str">
        <f>IF(ISNUMBER(K868),K868-L868,"")</f>
        <v/>
      </c>
      <c r="N868" s="55" t="str">
        <f>IF(ISNUMBER(K868),SUMIFS(st_min,st_date,A868,st_eq,B868,st_po,C868,st_type,"Non planifié"),"")</f>
        <v/>
      </c>
      <c r="O868" s="55" t="str">
        <f>IF(ISNUMBER(K868),M868-N868,"")</f>
        <v/>
      </c>
      <c r="P868" s="55" t="str">
        <f>IF(COUNTA(A868:I868)=0,"",N(G868)+N(H868)+N(I868))</f>
        <v/>
      </c>
      <c r="Q868" s="56" t="str">
        <f>IF(COUNTA(A868:I868)=0,"",IF(N(IFERROR(INDEX(art_rate,MATCH(E868,art_ref,0)),0))&gt;0,N(IFERROR(INDEX(art_rate,MATCH(E868,art_ref,0)),0)),N(IFERROR(INDEX(po_rate,MATCH(C868,po_code,0)),0))))</f>
        <v/>
      </c>
      <c r="R868" s="55" t="str">
        <f>IF(AC868=1,P868*60/Q868,"")</f>
        <v/>
      </c>
      <c r="S868" s="55" t="str">
        <f>IF(AC868=1,N(G868)*60/Q868,"")</f>
        <v/>
      </c>
      <c r="T868" s="57" t="str">
        <f>IF(AC868=1,O868/M868,"")</f>
        <v/>
      </c>
      <c r="U868" s="57" t="str">
        <f>IF(AC868=1,IF(O868&gt;0,R868/O868,""),"")</f>
        <v/>
      </c>
      <c r="V868" s="57" t="str">
        <f>IF(AC868=1,IF(P868&gt;0,N(G868)/P868,""),"")</f>
        <v/>
      </c>
      <c r="W868" s="57" t="str">
        <f>IF(AC868=1,S868/M868,"")</f>
        <v/>
      </c>
      <c r="X868" s="57" t="str">
        <f>IF(AC868=1,S868/K868,"")</f>
        <v/>
      </c>
      <c r="Y868" s="58" t="str">
        <f>IF(W868="","",IF(W868&gt;=p_target,"Bon",IF(W868&gt;=p_alert,"À surveiller","Faible")))</f>
        <v/>
      </c>
      <c r="Z868" s="58" t="str">
        <f>IF(W868="","",IF(MIN(IF(T868="",1,T868),IF(U868="",1,U868),IF(V868="",1,V868))&gt;=1,"Aucune",IF(IF(T868="",1,T868)&lt;=MIN(IF(U868="",1,U868),IF(V868="",1,V868)),"Disponibilité",IF(IF(U868="",1,U868)&lt;=IF(V868="",1,V868),"Performance","Qualité"))))</f>
        <v/>
      </c>
      <c r="AA868" s="59" t="str">
        <f>IF(AC868=1,N(H868)*N(IFERROR(INDEX(art_cost,MATCH(E868,art_ref,0)),0)),"")</f>
        <v/>
      </c>
      <c r="AB868" s="58" t="str">
        <f>IF(COUNTA(A868:I868)=0,"",IF(N(A868)&lt;=0,"Date manquante ou invalide",IF(B868="","Équipe manquante",IF(ISNA(MATCH(B868,eq_code,0)),"Équipe inconnue",IF(INDEX(eq_check,MATCH(B868,eq_code,0))&lt;&gt;"OK","Équipe à corriger dans Paramètres",IF(C868="","Poste manquant",IF(ISNA(MATCH(C868,po_code,0)),"Poste inconnu",IF(AND(E868&lt;&gt;"",ISNA(MATCH(E868,art_ref,0))),"Article inconnu",IF(IF(E868="",FALSE,INDEX(art_check,MATCH(E868,art_ref,0))&lt;&gt;"OK"),"Article à corriger (feuille Articles)",IF(COUNTIFS(sj_date,A868,sj_eq,B868,sj_po,C868)&gt;1,"Ligne en double (même jour, équipe et poste)",IF(OR(NOT(ISNUMBER(K868)),N(K868)&lt;=0,N(K868)&gt;1440),"Temps d'ouverture invalide",IF(OR(AND(G868&lt;&gt;"",NOT(ISNUMBER(G868))),N(G868)&lt;0,N(G868)&lt;&gt;INT(N(G868)),AND(H868&lt;&gt;"",NOT(ISNUMBER(H868))),N(H868)&lt;0,N(H868)&lt;&gt;INT(N(H868)),AND(I868&lt;&gt;"",NOT(ISNUMBER(I868))),N(I868)&lt;0,N(I868)&lt;&gt;INT(N(I868))),"Quantité invalide",IF(Q868&lt;=0,"Cadence manquante (poste ou article)",IF(M868&lt;=0,"Arrêts planifiés supérieurs au temps d'ouverture",IF(O868&lt;0,"Arrêts supérieurs au temps requis",IF(AND(P868&gt;0,O868=0),"Pièces déclarées sans temps de marche",IF(AND(P868=0,O868&gt;0),"Aucune pièce déclarée",IF(P868*60/Q868&gt;O868+0.001,"Cadence dépassée : vérifiez la cadence","OK"))))))))))))))))))</f>
        <v/>
      </c>
      <c r="AC868">
        <f>IF(OR(AB868="OK",AB868="Aucune pièce déclarée",AB868="Cadence dépassée : vérifiez la cadence"),1,0)</f>
        <v>0.0</v>
      </c>
      <c r="AD868">
        <f>IF(AND(AC868=1,A868&gt;=p_from,A868&lt;=p_to),1,0)</f>
        <v>0.0</v>
      </c>
      <c r="AE868">
        <f>IF(AD868=1,IF(COUNTIFS($A$6:A868,A868,$AD$6:AD868,1)=1,1,0),0)</f>
        <v>0.0</v>
      </c>
      <c r="AF868" t="str">
        <f>IF(AE868=1,COUNTIFS(sj_first,1,sj_date,"&lt;"&amp;A868)+1,"")</f>
        <v/>
      </c>
      <c r="AG868" t="str">
        <f>IF(AND(AD868=1,N(W868)&lt;p_alert),ROUND(W868,4),"")</f>
        <v/>
      </c>
      <c r="AH868" t="str">
        <f>IF(AG868="","",COUNTIF(sj_akey,"&lt;"&amp;AG868)+COUNTIF($AG$6:AG868,AG868))</f>
        <v/>
      </c>
    </row>
    <row r="869">
      <c r="A869" s="51" t="n"/>
      <c r="B869" s="52" t="n"/>
      <c r="C869" s="52" t="n"/>
      <c r="D869" s="53" t="n"/>
      <c r="E869" s="53" t="n"/>
      <c r="F869" s="54" t="n"/>
      <c r="G869" s="54" t="n"/>
      <c r="H869" s="54" t="n"/>
      <c r="I869" s="54" t="n"/>
      <c r="J869" s="53" t="n"/>
      <c r="K869" s="55" t="str">
        <f>IF(COUNTA(A869:I869)=0,"",IF(F869="",IFERROR(INDEX(eq_dur,MATCH(B869,eq_code,0)),""),F869))</f>
        <v/>
      </c>
      <c r="L869" s="55" t="str">
        <f>IF(ISNUMBER(K869),N(IFERROR(INDEX(eq_pause,MATCH(B869,eq_code,0)),0))+SUMIFS(st_min,st_date,A869,st_eq,B869,st_po,C869,st_type,"Planifié"),"")</f>
        <v/>
      </c>
      <c r="M869" s="55" t="str">
        <f>IF(ISNUMBER(K869),K869-L869,"")</f>
        <v/>
      </c>
      <c r="N869" s="55" t="str">
        <f>IF(ISNUMBER(K869),SUMIFS(st_min,st_date,A869,st_eq,B869,st_po,C869,st_type,"Non planifié"),"")</f>
        <v/>
      </c>
      <c r="O869" s="55" t="str">
        <f>IF(ISNUMBER(K869),M869-N869,"")</f>
        <v/>
      </c>
      <c r="P869" s="55" t="str">
        <f>IF(COUNTA(A869:I869)=0,"",N(G869)+N(H869)+N(I869))</f>
        <v/>
      </c>
      <c r="Q869" s="56" t="str">
        <f>IF(COUNTA(A869:I869)=0,"",IF(N(IFERROR(INDEX(art_rate,MATCH(E869,art_ref,0)),0))&gt;0,N(IFERROR(INDEX(art_rate,MATCH(E869,art_ref,0)),0)),N(IFERROR(INDEX(po_rate,MATCH(C869,po_code,0)),0))))</f>
        <v/>
      </c>
      <c r="R869" s="55" t="str">
        <f>IF(AC869=1,P869*60/Q869,"")</f>
        <v/>
      </c>
      <c r="S869" s="55" t="str">
        <f>IF(AC869=1,N(G869)*60/Q869,"")</f>
        <v/>
      </c>
      <c r="T869" s="57" t="str">
        <f>IF(AC869=1,O869/M869,"")</f>
        <v/>
      </c>
      <c r="U869" s="57" t="str">
        <f>IF(AC869=1,IF(O869&gt;0,R869/O869,""),"")</f>
        <v/>
      </c>
      <c r="V869" s="57" t="str">
        <f>IF(AC869=1,IF(P869&gt;0,N(G869)/P869,""),"")</f>
        <v/>
      </c>
      <c r="W869" s="57" t="str">
        <f>IF(AC869=1,S869/M869,"")</f>
        <v/>
      </c>
      <c r="X869" s="57" t="str">
        <f>IF(AC869=1,S869/K869,"")</f>
        <v/>
      </c>
      <c r="Y869" s="58" t="str">
        <f>IF(W869="","",IF(W869&gt;=p_target,"Bon",IF(W869&gt;=p_alert,"À surveiller","Faible")))</f>
        <v/>
      </c>
      <c r="Z869" s="58" t="str">
        <f>IF(W869="","",IF(MIN(IF(T869="",1,T869),IF(U869="",1,U869),IF(V869="",1,V869))&gt;=1,"Aucune",IF(IF(T869="",1,T869)&lt;=MIN(IF(U869="",1,U869),IF(V869="",1,V869)),"Disponibilité",IF(IF(U869="",1,U869)&lt;=IF(V869="",1,V869),"Performance","Qualité"))))</f>
        <v/>
      </c>
      <c r="AA869" s="59" t="str">
        <f>IF(AC869=1,N(H869)*N(IFERROR(INDEX(art_cost,MATCH(E869,art_ref,0)),0)),"")</f>
        <v/>
      </c>
      <c r="AB869" s="58" t="str">
        <f>IF(COUNTA(A869:I869)=0,"",IF(N(A869)&lt;=0,"Date manquante ou invalide",IF(B869="","Équipe manquante",IF(ISNA(MATCH(B869,eq_code,0)),"Équipe inconnue",IF(INDEX(eq_check,MATCH(B869,eq_code,0))&lt;&gt;"OK","Équipe à corriger dans Paramètres",IF(C869="","Poste manquant",IF(ISNA(MATCH(C869,po_code,0)),"Poste inconnu",IF(AND(E869&lt;&gt;"",ISNA(MATCH(E869,art_ref,0))),"Article inconnu",IF(IF(E869="",FALSE,INDEX(art_check,MATCH(E869,art_ref,0))&lt;&gt;"OK"),"Article à corriger (feuille Articles)",IF(COUNTIFS(sj_date,A869,sj_eq,B869,sj_po,C869)&gt;1,"Ligne en double (même jour, équipe et poste)",IF(OR(NOT(ISNUMBER(K869)),N(K869)&lt;=0,N(K869)&gt;1440),"Temps d'ouverture invalide",IF(OR(AND(G869&lt;&gt;"",NOT(ISNUMBER(G869))),N(G869)&lt;0,N(G869)&lt;&gt;INT(N(G869)),AND(H869&lt;&gt;"",NOT(ISNUMBER(H869))),N(H869)&lt;0,N(H869)&lt;&gt;INT(N(H869)),AND(I869&lt;&gt;"",NOT(ISNUMBER(I869))),N(I869)&lt;0,N(I869)&lt;&gt;INT(N(I869))),"Quantité invalide",IF(Q869&lt;=0,"Cadence manquante (poste ou article)",IF(M869&lt;=0,"Arrêts planifiés supérieurs au temps d'ouverture",IF(O869&lt;0,"Arrêts supérieurs au temps requis",IF(AND(P869&gt;0,O869=0),"Pièces déclarées sans temps de marche",IF(AND(P869=0,O869&gt;0),"Aucune pièce déclarée",IF(P869*60/Q869&gt;O869+0.001,"Cadence dépassée : vérifiez la cadence","OK"))))))))))))))))))</f>
        <v/>
      </c>
      <c r="AC869">
        <f>IF(OR(AB869="OK",AB869="Aucune pièce déclarée",AB869="Cadence dépassée : vérifiez la cadence"),1,0)</f>
        <v>0.0</v>
      </c>
      <c r="AD869">
        <f>IF(AND(AC869=1,A869&gt;=p_from,A869&lt;=p_to),1,0)</f>
        <v>0.0</v>
      </c>
      <c r="AE869">
        <f>IF(AD869=1,IF(COUNTIFS($A$6:A869,A869,$AD$6:AD869,1)=1,1,0),0)</f>
        <v>0.0</v>
      </c>
      <c r="AF869" t="str">
        <f>IF(AE869=1,COUNTIFS(sj_first,1,sj_date,"&lt;"&amp;A869)+1,"")</f>
        <v/>
      </c>
      <c r="AG869" t="str">
        <f>IF(AND(AD869=1,N(W869)&lt;p_alert),ROUND(W869,4),"")</f>
        <v/>
      </c>
      <c r="AH869" t="str">
        <f>IF(AG869="","",COUNTIF(sj_akey,"&lt;"&amp;AG869)+COUNTIF($AG$6:AG869,AG869))</f>
        <v/>
      </c>
    </row>
    <row r="870">
      <c r="A870" s="51" t="n"/>
      <c r="B870" s="52" t="n"/>
      <c r="C870" s="52" t="n"/>
      <c r="D870" s="53" t="n"/>
      <c r="E870" s="53" t="n"/>
      <c r="F870" s="54" t="n"/>
      <c r="G870" s="54" t="n"/>
      <c r="H870" s="54" t="n"/>
      <c r="I870" s="54" t="n"/>
      <c r="J870" s="53" t="n"/>
      <c r="K870" s="55" t="str">
        <f>IF(COUNTA(A870:I870)=0,"",IF(F870="",IFERROR(INDEX(eq_dur,MATCH(B870,eq_code,0)),""),F870))</f>
        <v/>
      </c>
      <c r="L870" s="55" t="str">
        <f>IF(ISNUMBER(K870),N(IFERROR(INDEX(eq_pause,MATCH(B870,eq_code,0)),0))+SUMIFS(st_min,st_date,A870,st_eq,B870,st_po,C870,st_type,"Planifié"),"")</f>
        <v/>
      </c>
      <c r="M870" s="55" t="str">
        <f>IF(ISNUMBER(K870),K870-L870,"")</f>
        <v/>
      </c>
      <c r="N870" s="55" t="str">
        <f>IF(ISNUMBER(K870),SUMIFS(st_min,st_date,A870,st_eq,B870,st_po,C870,st_type,"Non planifié"),"")</f>
        <v/>
      </c>
      <c r="O870" s="55" t="str">
        <f>IF(ISNUMBER(K870),M870-N870,"")</f>
        <v/>
      </c>
      <c r="P870" s="55" t="str">
        <f>IF(COUNTA(A870:I870)=0,"",N(G870)+N(H870)+N(I870))</f>
        <v/>
      </c>
      <c r="Q870" s="56" t="str">
        <f>IF(COUNTA(A870:I870)=0,"",IF(N(IFERROR(INDEX(art_rate,MATCH(E870,art_ref,0)),0))&gt;0,N(IFERROR(INDEX(art_rate,MATCH(E870,art_ref,0)),0)),N(IFERROR(INDEX(po_rate,MATCH(C870,po_code,0)),0))))</f>
        <v/>
      </c>
      <c r="R870" s="55" t="str">
        <f>IF(AC870=1,P870*60/Q870,"")</f>
        <v/>
      </c>
      <c r="S870" s="55" t="str">
        <f>IF(AC870=1,N(G870)*60/Q870,"")</f>
        <v/>
      </c>
      <c r="T870" s="57" t="str">
        <f>IF(AC870=1,O870/M870,"")</f>
        <v/>
      </c>
      <c r="U870" s="57" t="str">
        <f>IF(AC870=1,IF(O870&gt;0,R870/O870,""),"")</f>
        <v/>
      </c>
      <c r="V870" s="57" t="str">
        <f>IF(AC870=1,IF(P870&gt;0,N(G870)/P870,""),"")</f>
        <v/>
      </c>
      <c r="W870" s="57" t="str">
        <f>IF(AC870=1,S870/M870,"")</f>
        <v/>
      </c>
      <c r="X870" s="57" t="str">
        <f>IF(AC870=1,S870/K870,"")</f>
        <v/>
      </c>
      <c r="Y870" s="58" t="str">
        <f>IF(W870="","",IF(W870&gt;=p_target,"Bon",IF(W870&gt;=p_alert,"À surveiller","Faible")))</f>
        <v/>
      </c>
      <c r="Z870" s="58" t="str">
        <f>IF(W870="","",IF(MIN(IF(T870="",1,T870),IF(U870="",1,U870),IF(V870="",1,V870))&gt;=1,"Aucune",IF(IF(T870="",1,T870)&lt;=MIN(IF(U870="",1,U870),IF(V870="",1,V870)),"Disponibilité",IF(IF(U870="",1,U870)&lt;=IF(V870="",1,V870),"Performance","Qualité"))))</f>
        <v/>
      </c>
      <c r="AA870" s="59" t="str">
        <f>IF(AC870=1,N(H870)*N(IFERROR(INDEX(art_cost,MATCH(E870,art_ref,0)),0)),"")</f>
        <v/>
      </c>
      <c r="AB870" s="58" t="str">
        <f>IF(COUNTA(A870:I870)=0,"",IF(N(A870)&lt;=0,"Date manquante ou invalide",IF(B870="","Équipe manquante",IF(ISNA(MATCH(B870,eq_code,0)),"Équipe inconnue",IF(INDEX(eq_check,MATCH(B870,eq_code,0))&lt;&gt;"OK","Équipe à corriger dans Paramètres",IF(C870="","Poste manquant",IF(ISNA(MATCH(C870,po_code,0)),"Poste inconnu",IF(AND(E870&lt;&gt;"",ISNA(MATCH(E870,art_ref,0))),"Article inconnu",IF(IF(E870="",FALSE,INDEX(art_check,MATCH(E870,art_ref,0))&lt;&gt;"OK"),"Article à corriger (feuille Articles)",IF(COUNTIFS(sj_date,A870,sj_eq,B870,sj_po,C870)&gt;1,"Ligne en double (même jour, équipe et poste)",IF(OR(NOT(ISNUMBER(K870)),N(K870)&lt;=0,N(K870)&gt;1440),"Temps d'ouverture invalide",IF(OR(AND(G870&lt;&gt;"",NOT(ISNUMBER(G870))),N(G870)&lt;0,N(G870)&lt;&gt;INT(N(G870)),AND(H870&lt;&gt;"",NOT(ISNUMBER(H870))),N(H870)&lt;0,N(H870)&lt;&gt;INT(N(H870)),AND(I870&lt;&gt;"",NOT(ISNUMBER(I870))),N(I870)&lt;0,N(I870)&lt;&gt;INT(N(I870))),"Quantité invalide",IF(Q870&lt;=0,"Cadence manquante (poste ou article)",IF(M870&lt;=0,"Arrêts planifiés supérieurs au temps d'ouverture",IF(O870&lt;0,"Arrêts supérieurs au temps requis",IF(AND(P870&gt;0,O870=0),"Pièces déclarées sans temps de marche",IF(AND(P870=0,O870&gt;0),"Aucune pièce déclarée",IF(P870*60/Q870&gt;O870+0.001,"Cadence dépassée : vérifiez la cadence","OK"))))))))))))))))))</f>
        <v/>
      </c>
      <c r="AC870">
        <f>IF(OR(AB870="OK",AB870="Aucune pièce déclarée",AB870="Cadence dépassée : vérifiez la cadence"),1,0)</f>
        <v>0.0</v>
      </c>
      <c r="AD870">
        <f>IF(AND(AC870=1,A870&gt;=p_from,A870&lt;=p_to),1,0)</f>
        <v>0.0</v>
      </c>
      <c r="AE870">
        <f>IF(AD870=1,IF(COUNTIFS($A$6:A870,A870,$AD$6:AD870,1)=1,1,0),0)</f>
        <v>0.0</v>
      </c>
      <c r="AF870" t="str">
        <f>IF(AE870=1,COUNTIFS(sj_first,1,sj_date,"&lt;"&amp;A870)+1,"")</f>
        <v/>
      </c>
      <c r="AG870" t="str">
        <f>IF(AND(AD870=1,N(W870)&lt;p_alert),ROUND(W870,4),"")</f>
        <v/>
      </c>
      <c r="AH870" t="str">
        <f>IF(AG870="","",COUNTIF(sj_akey,"&lt;"&amp;AG870)+COUNTIF($AG$6:AG870,AG870))</f>
        <v/>
      </c>
    </row>
    <row r="871">
      <c r="A871" s="51" t="n"/>
      <c r="B871" s="52" t="n"/>
      <c r="C871" s="52" t="n"/>
      <c r="D871" s="53" t="n"/>
      <c r="E871" s="53" t="n"/>
      <c r="F871" s="54" t="n"/>
      <c r="G871" s="54" t="n"/>
      <c r="H871" s="54" t="n"/>
      <c r="I871" s="54" t="n"/>
      <c r="J871" s="53" t="n"/>
      <c r="K871" s="55" t="str">
        <f>IF(COUNTA(A871:I871)=0,"",IF(F871="",IFERROR(INDEX(eq_dur,MATCH(B871,eq_code,0)),""),F871))</f>
        <v/>
      </c>
      <c r="L871" s="55" t="str">
        <f>IF(ISNUMBER(K871),N(IFERROR(INDEX(eq_pause,MATCH(B871,eq_code,0)),0))+SUMIFS(st_min,st_date,A871,st_eq,B871,st_po,C871,st_type,"Planifié"),"")</f>
        <v/>
      </c>
      <c r="M871" s="55" t="str">
        <f>IF(ISNUMBER(K871),K871-L871,"")</f>
        <v/>
      </c>
      <c r="N871" s="55" t="str">
        <f>IF(ISNUMBER(K871),SUMIFS(st_min,st_date,A871,st_eq,B871,st_po,C871,st_type,"Non planifié"),"")</f>
        <v/>
      </c>
      <c r="O871" s="55" t="str">
        <f>IF(ISNUMBER(K871),M871-N871,"")</f>
        <v/>
      </c>
      <c r="P871" s="55" t="str">
        <f>IF(COUNTA(A871:I871)=0,"",N(G871)+N(H871)+N(I871))</f>
        <v/>
      </c>
      <c r="Q871" s="56" t="str">
        <f>IF(COUNTA(A871:I871)=0,"",IF(N(IFERROR(INDEX(art_rate,MATCH(E871,art_ref,0)),0))&gt;0,N(IFERROR(INDEX(art_rate,MATCH(E871,art_ref,0)),0)),N(IFERROR(INDEX(po_rate,MATCH(C871,po_code,0)),0))))</f>
        <v/>
      </c>
      <c r="R871" s="55" t="str">
        <f>IF(AC871=1,P871*60/Q871,"")</f>
        <v/>
      </c>
      <c r="S871" s="55" t="str">
        <f>IF(AC871=1,N(G871)*60/Q871,"")</f>
        <v/>
      </c>
      <c r="T871" s="57" t="str">
        <f>IF(AC871=1,O871/M871,"")</f>
        <v/>
      </c>
      <c r="U871" s="57" t="str">
        <f>IF(AC871=1,IF(O871&gt;0,R871/O871,""),"")</f>
        <v/>
      </c>
      <c r="V871" s="57" t="str">
        <f>IF(AC871=1,IF(P871&gt;0,N(G871)/P871,""),"")</f>
        <v/>
      </c>
      <c r="W871" s="57" t="str">
        <f>IF(AC871=1,S871/M871,"")</f>
        <v/>
      </c>
      <c r="X871" s="57" t="str">
        <f>IF(AC871=1,S871/K871,"")</f>
        <v/>
      </c>
      <c r="Y871" s="58" t="str">
        <f>IF(W871="","",IF(W871&gt;=p_target,"Bon",IF(W871&gt;=p_alert,"À surveiller","Faible")))</f>
        <v/>
      </c>
      <c r="Z871" s="58" t="str">
        <f>IF(W871="","",IF(MIN(IF(T871="",1,T871),IF(U871="",1,U871),IF(V871="",1,V871))&gt;=1,"Aucune",IF(IF(T871="",1,T871)&lt;=MIN(IF(U871="",1,U871),IF(V871="",1,V871)),"Disponibilité",IF(IF(U871="",1,U871)&lt;=IF(V871="",1,V871),"Performance","Qualité"))))</f>
        <v/>
      </c>
      <c r="AA871" s="59" t="str">
        <f>IF(AC871=1,N(H871)*N(IFERROR(INDEX(art_cost,MATCH(E871,art_ref,0)),0)),"")</f>
        <v/>
      </c>
      <c r="AB871" s="58" t="str">
        <f>IF(COUNTA(A871:I871)=0,"",IF(N(A871)&lt;=0,"Date manquante ou invalide",IF(B871="","Équipe manquante",IF(ISNA(MATCH(B871,eq_code,0)),"Équipe inconnue",IF(INDEX(eq_check,MATCH(B871,eq_code,0))&lt;&gt;"OK","Équipe à corriger dans Paramètres",IF(C871="","Poste manquant",IF(ISNA(MATCH(C871,po_code,0)),"Poste inconnu",IF(AND(E871&lt;&gt;"",ISNA(MATCH(E871,art_ref,0))),"Article inconnu",IF(IF(E871="",FALSE,INDEX(art_check,MATCH(E871,art_ref,0))&lt;&gt;"OK"),"Article à corriger (feuille Articles)",IF(COUNTIFS(sj_date,A871,sj_eq,B871,sj_po,C871)&gt;1,"Ligne en double (même jour, équipe et poste)",IF(OR(NOT(ISNUMBER(K871)),N(K871)&lt;=0,N(K871)&gt;1440),"Temps d'ouverture invalide",IF(OR(AND(G871&lt;&gt;"",NOT(ISNUMBER(G871))),N(G871)&lt;0,N(G871)&lt;&gt;INT(N(G871)),AND(H871&lt;&gt;"",NOT(ISNUMBER(H871))),N(H871)&lt;0,N(H871)&lt;&gt;INT(N(H871)),AND(I871&lt;&gt;"",NOT(ISNUMBER(I871))),N(I871)&lt;0,N(I871)&lt;&gt;INT(N(I871))),"Quantité invalide",IF(Q871&lt;=0,"Cadence manquante (poste ou article)",IF(M871&lt;=0,"Arrêts planifiés supérieurs au temps d'ouverture",IF(O871&lt;0,"Arrêts supérieurs au temps requis",IF(AND(P871&gt;0,O871=0),"Pièces déclarées sans temps de marche",IF(AND(P871=0,O871&gt;0),"Aucune pièce déclarée",IF(P871*60/Q871&gt;O871+0.001,"Cadence dépassée : vérifiez la cadence","OK"))))))))))))))))))</f>
        <v/>
      </c>
      <c r="AC871">
        <f>IF(OR(AB871="OK",AB871="Aucune pièce déclarée",AB871="Cadence dépassée : vérifiez la cadence"),1,0)</f>
        <v>0.0</v>
      </c>
      <c r="AD871">
        <f>IF(AND(AC871=1,A871&gt;=p_from,A871&lt;=p_to),1,0)</f>
        <v>0.0</v>
      </c>
      <c r="AE871">
        <f>IF(AD871=1,IF(COUNTIFS($A$6:A871,A871,$AD$6:AD871,1)=1,1,0),0)</f>
        <v>0.0</v>
      </c>
      <c r="AF871" t="str">
        <f>IF(AE871=1,COUNTIFS(sj_first,1,sj_date,"&lt;"&amp;A871)+1,"")</f>
        <v/>
      </c>
      <c r="AG871" t="str">
        <f>IF(AND(AD871=1,N(W871)&lt;p_alert),ROUND(W871,4),"")</f>
        <v/>
      </c>
      <c r="AH871" t="str">
        <f>IF(AG871="","",COUNTIF(sj_akey,"&lt;"&amp;AG871)+COUNTIF($AG$6:AG871,AG871))</f>
        <v/>
      </c>
    </row>
    <row r="872">
      <c r="A872" s="51" t="n"/>
      <c r="B872" s="52" t="n"/>
      <c r="C872" s="52" t="n"/>
      <c r="D872" s="53" t="n"/>
      <c r="E872" s="53" t="n"/>
      <c r="F872" s="54" t="n"/>
      <c r="G872" s="54" t="n"/>
      <c r="H872" s="54" t="n"/>
      <c r="I872" s="54" t="n"/>
      <c r="J872" s="53" t="n"/>
      <c r="K872" s="55" t="str">
        <f>IF(COUNTA(A872:I872)=0,"",IF(F872="",IFERROR(INDEX(eq_dur,MATCH(B872,eq_code,0)),""),F872))</f>
        <v/>
      </c>
      <c r="L872" s="55" t="str">
        <f>IF(ISNUMBER(K872),N(IFERROR(INDEX(eq_pause,MATCH(B872,eq_code,0)),0))+SUMIFS(st_min,st_date,A872,st_eq,B872,st_po,C872,st_type,"Planifié"),"")</f>
        <v/>
      </c>
      <c r="M872" s="55" t="str">
        <f>IF(ISNUMBER(K872),K872-L872,"")</f>
        <v/>
      </c>
      <c r="N872" s="55" t="str">
        <f>IF(ISNUMBER(K872),SUMIFS(st_min,st_date,A872,st_eq,B872,st_po,C872,st_type,"Non planifié"),"")</f>
        <v/>
      </c>
      <c r="O872" s="55" t="str">
        <f>IF(ISNUMBER(K872),M872-N872,"")</f>
        <v/>
      </c>
      <c r="P872" s="55" t="str">
        <f>IF(COUNTA(A872:I872)=0,"",N(G872)+N(H872)+N(I872))</f>
        <v/>
      </c>
      <c r="Q872" s="56" t="str">
        <f>IF(COUNTA(A872:I872)=0,"",IF(N(IFERROR(INDEX(art_rate,MATCH(E872,art_ref,0)),0))&gt;0,N(IFERROR(INDEX(art_rate,MATCH(E872,art_ref,0)),0)),N(IFERROR(INDEX(po_rate,MATCH(C872,po_code,0)),0))))</f>
        <v/>
      </c>
      <c r="R872" s="55" t="str">
        <f>IF(AC872=1,P872*60/Q872,"")</f>
        <v/>
      </c>
      <c r="S872" s="55" t="str">
        <f>IF(AC872=1,N(G872)*60/Q872,"")</f>
        <v/>
      </c>
      <c r="T872" s="57" t="str">
        <f>IF(AC872=1,O872/M872,"")</f>
        <v/>
      </c>
      <c r="U872" s="57" t="str">
        <f>IF(AC872=1,IF(O872&gt;0,R872/O872,""),"")</f>
        <v/>
      </c>
      <c r="V872" s="57" t="str">
        <f>IF(AC872=1,IF(P872&gt;0,N(G872)/P872,""),"")</f>
        <v/>
      </c>
      <c r="W872" s="57" t="str">
        <f>IF(AC872=1,S872/M872,"")</f>
        <v/>
      </c>
      <c r="X872" s="57" t="str">
        <f>IF(AC872=1,S872/K872,"")</f>
        <v/>
      </c>
      <c r="Y872" s="58" t="str">
        <f>IF(W872="","",IF(W872&gt;=p_target,"Bon",IF(W872&gt;=p_alert,"À surveiller","Faible")))</f>
        <v/>
      </c>
      <c r="Z872" s="58" t="str">
        <f>IF(W872="","",IF(MIN(IF(T872="",1,T872),IF(U872="",1,U872),IF(V872="",1,V872))&gt;=1,"Aucune",IF(IF(T872="",1,T872)&lt;=MIN(IF(U872="",1,U872),IF(V872="",1,V872)),"Disponibilité",IF(IF(U872="",1,U872)&lt;=IF(V872="",1,V872),"Performance","Qualité"))))</f>
        <v/>
      </c>
      <c r="AA872" s="59" t="str">
        <f>IF(AC872=1,N(H872)*N(IFERROR(INDEX(art_cost,MATCH(E872,art_ref,0)),0)),"")</f>
        <v/>
      </c>
      <c r="AB872" s="58" t="str">
        <f>IF(COUNTA(A872:I872)=0,"",IF(N(A872)&lt;=0,"Date manquante ou invalide",IF(B872="","Équipe manquante",IF(ISNA(MATCH(B872,eq_code,0)),"Équipe inconnue",IF(INDEX(eq_check,MATCH(B872,eq_code,0))&lt;&gt;"OK","Équipe à corriger dans Paramètres",IF(C872="","Poste manquant",IF(ISNA(MATCH(C872,po_code,0)),"Poste inconnu",IF(AND(E872&lt;&gt;"",ISNA(MATCH(E872,art_ref,0))),"Article inconnu",IF(IF(E872="",FALSE,INDEX(art_check,MATCH(E872,art_ref,0))&lt;&gt;"OK"),"Article à corriger (feuille Articles)",IF(COUNTIFS(sj_date,A872,sj_eq,B872,sj_po,C872)&gt;1,"Ligne en double (même jour, équipe et poste)",IF(OR(NOT(ISNUMBER(K872)),N(K872)&lt;=0,N(K872)&gt;1440),"Temps d'ouverture invalide",IF(OR(AND(G872&lt;&gt;"",NOT(ISNUMBER(G872))),N(G872)&lt;0,N(G872)&lt;&gt;INT(N(G872)),AND(H872&lt;&gt;"",NOT(ISNUMBER(H872))),N(H872)&lt;0,N(H872)&lt;&gt;INT(N(H872)),AND(I872&lt;&gt;"",NOT(ISNUMBER(I872))),N(I872)&lt;0,N(I872)&lt;&gt;INT(N(I872))),"Quantité invalide",IF(Q872&lt;=0,"Cadence manquante (poste ou article)",IF(M872&lt;=0,"Arrêts planifiés supérieurs au temps d'ouverture",IF(O872&lt;0,"Arrêts supérieurs au temps requis",IF(AND(P872&gt;0,O872=0),"Pièces déclarées sans temps de marche",IF(AND(P872=0,O872&gt;0),"Aucune pièce déclarée",IF(P872*60/Q872&gt;O872+0.001,"Cadence dépassée : vérifiez la cadence","OK"))))))))))))))))))</f>
        <v/>
      </c>
      <c r="AC872">
        <f>IF(OR(AB872="OK",AB872="Aucune pièce déclarée",AB872="Cadence dépassée : vérifiez la cadence"),1,0)</f>
        <v>0.0</v>
      </c>
      <c r="AD872">
        <f>IF(AND(AC872=1,A872&gt;=p_from,A872&lt;=p_to),1,0)</f>
        <v>0.0</v>
      </c>
      <c r="AE872">
        <f>IF(AD872=1,IF(COUNTIFS($A$6:A872,A872,$AD$6:AD872,1)=1,1,0),0)</f>
        <v>0.0</v>
      </c>
      <c r="AF872" t="str">
        <f>IF(AE872=1,COUNTIFS(sj_first,1,sj_date,"&lt;"&amp;A872)+1,"")</f>
        <v/>
      </c>
      <c r="AG872" t="str">
        <f>IF(AND(AD872=1,N(W872)&lt;p_alert),ROUND(W872,4),"")</f>
        <v/>
      </c>
      <c r="AH872" t="str">
        <f>IF(AG872="","",COUNTIF(sj_akey,"&lt;"&amp;AG872)+COUNTIF($AG$6:AG872,AG872))</f>
        <v/>
      </c>
    </row>
    <row r="873">
      <c r="A873" s="51" t="n"/>
      <c r="B873" s="52" t="n"/>
      <c r="C873" s="52" t="n"/>
      <c r="D873" s="53" t="n"/>
      <c r="E873" s="53" t="n"/>
      <c r="F873" s="54" t="n"/>
      <c r="G873" s="54" t="n"/>
      <c r="H873" s="54" t="n"/>
      <c r="I873" s="54" t="n"/>
      <c r="J873" s="53" t="n"/>
      <c r="K873" s="55" t="str">
        <f>IF(COUNTA(A873:I873)=0,"",IF(F873="",IFERROR(INDEX(eq_dur,MATCH(B873,eq_code,0)),""),F873))</f>
        <v/>
      </c>
      <c r="L873" s="55" t="str">
        <f>IF(ISNUMBER(K873),N(IFERROR(INDEX(eq_pause,MATCH(B873,eq_code,0)),0))+SUMIFS(st_min,st_date,A873,st_eq,B873,st_po,C873,st_type,"Planifié"),"")</f>
        <v/>
      </c>
      <c r="M873" s="55" t="str">
        <f>IF(ISNUMBER(K873),K873-L873,"")</f>
        <v/>
      </c>
      <c r="N873" s="55" t="str">
        <f>IF(ISNUMBER(K873),SUMIFS(st_min,st_date,A873,st_eq,B873,st_po,C873,st_type,"Non planifié"),"")</f>
        <v/>
      </c>
      <c r="O873" s="55" t="str">
        <f>IF(ISNUMBER(K873),M873-N873,"")</f>
        <v/>
      </c>
      <c r="P873" s="55" t="str">
        <f>IF(COUNTA(A873:I873)=0,"",N(G873)+N(H873)+N(I873))</f>
        <v/>
      </c>
      <c r="Q873" s="56" t="str">
        <f>IF(COUNTA(A873:I873)=0,"",IF(N(IFERROR(INDEX(art_rate,MATCH(E873,art_ref,0)),0))&gt;0,N(IFERROR(INDEX(art_rate,MATCH(E873,art_ref,0)),0)),N(IFERROR(INDEX(po_rate,MATCH(C873,po_code,0)),0))))</f>
        <v/>
      </c>
      <c r="R873" s="55" t="str">
        <f>IF(AC873=1,P873*60/Q873,"")</f>
        <v/>
      </c>
      <c r="S873" s="55" t="str">
        <f>IF(AC873=1,N(G873)*60/Q873,"")</f>
        <v/>
      </c>
      <c r="T873" s="57" t="str">
        <f>IF(AC873=1,O873/M873,"")</f>
        <v/>
      </c>
      <c r="U873" s="57" t="str">
        <f>IF(AC873=1,IF(O873&gt;0,R873/O873,""),"")</f>
        <v/>
      </c>
      <c r="V873" s="57" t="str">
        <f>IF(AC873=1,IF(P873&gt;0,N(G873)/P873,""),"")</f>
        <v/>
      </c>
      <c r="W873" s="57" t="str">
        <f>IF(AC873=1,S873/M873,"")</f>
        <v/>
      </c>
      <c r="X873" s="57" t="str">
        <f>IF(AC873=1,S873/K873,"")</f>
        <v/>
      </c>
      <c r="Y873" s="58" t="str">
        <f>IF(W873="","",IF(W873&gt;=p_target,"Bon",IF(W873&gt;=p_alert,"À surveiller","Faible")))</f>
        <v/>
      </c>
      <c r="Z873" s="58" t="str">
        <f>IF(W873="","",IF(MIN(IF(T873="",1,T873),IF(U873="",1,U873),IF(V873="",1,V873))&gt;=1,"Aucune",IF(IF(T873="",1,T873)&lt;=MIN(IF(U873="",1,U873),IF(V873="",1,V873)),"Disponibilité",IF(IF(U873="",1,U873)&lt;=IF(V873="",1,V873),"Performance","Qualité"))))</f>
        <v/>
      </c>
      <c r="AA873" s="59" t="str">
        <f>IF(AC873=1,N(H873)*N(IFERROR(INDEX(art_cost,MATCH(E873,art_ref,0)),0)),"")</f>
        <v/>
      </c>
      <c r="AB873" s="58" t="str">
        <f>IF(COUNTA(A873:I873)=0,"",IF(N(A873)&lt;=0,"Date manquante ou invalide",IF(B873="","Équipe manquante",IF(ISNA(MATCH(B873,eq_code,0)),"Équipe inconnue",IF(INDEX(eq_check,MATCH(B873,eq_code,0))&lt;&gt;"OK","Équipe à corriger dans Paramètres",IF(C873="","Poste manquant",IF(ISNA(MATCH(C873,po_code,0)),"Poste inconnu",IF(AND(E873&lt;&gt;"",ISNA(MATCH(E873,art_ref,0))),"Article inconnu",IF(IF(E873="",FALSE,INDEX(art_check,MATCH(E873,art_ref,0))&lt;&gt;"OK"),"Article à corriger (feuille Articles)",IF(COUNTIFS(sj_date,A873,sj_eq,B873,sj_po,C873)&gt;1,"Ligne en double (même jour, équipe et poste)",IF(OR(NOT(ISNUMBER(K873)),N(K873)&lt;=0,N(K873)&gt;1440),"Temps d'ouverture invalide",IF(OR(AND(G873&lt;&gt;"",NOT(ISNUMBER(G873))),N(G873)&lt;0,N(G873)&lt;&gt;INT(N(G873)),AND(H873&lt;&gt;"",NOT(ISNUMBER(H873))),N(H873)&lt;0,N(H873)&lt;&gt;INT(N(H873)),AND(I873&lt;&gt;"",NOT(ISNUMBER(I873))),N(I873)&lt;0,N(I873)&lt;&gt;INT(N(I873))),"Quantité invalide",IF(Q873&lt;=0,"Cadence manquante (poste ou article)",IF(M873&lt;=0,"Arrêts planifiés supérieurs au temps d'ouverture",IF(O873&lt;0,"Arrêts supérieurs au temps requis",IF(AND(P873&gt;0,O873=0),"Pièces déclarées sans temps de marche",IF(AND(P873=0,O873&gt;0),"Aucune pièce déclarée",IF(P873*60/Q873&gt;O873+0.001,"Cadence dépassée : vérifiez la cadence","OK"))))))))))))))))))</f>
        <v/>
      </c>
      <c r="AC873">
        <f>IF(OR(AB873="OK",AB873="Aucune pièce déclarée",AB873="Cadence dépassée : vérifiez la cadence"),1,0)</f>
        <v>0.0</v>
      </c>
      <c r="AD873">
        <f>IF(AND(AC873=1,A873&gt;=p_from,A873&lt;=p_to),1,0)</f>
        <v>0.0</v>
      </c>
      <c r="AE873">
        <f>IF(AD873=1,IF(COUNTIFS($A$6:A873,A873,$AD$6:AD873,1)=1,1,0),0)</f>
        <v>0.0</v>
      </c>
      <c r="AF873" t="str">
        <f>IF(AE873=1,COUNTIFS(sj_first,1,sj_date,"&lt;"&amp;A873)+1,"")</f>
        <v/>
      </c>
      <c r="AG873" t="str">
        <f>IF(AND(AD873=1,N(W873)&lt;p_alert),ROUND(W873,4),"")</f>
        <v/>
      </c>
      <c r="AH873" t="str">
        <f>IF(AG873="","",COUNTIF(sj_akey,"&lt;"&amp;AG873)+COUNTIF($AG$6:AG873,AG873))</f>
        <v/>
      </c>
    </row>
    <row r="874">
      <c r="A874" s="51" t="n"/>
      <c r="B874" s="52" t="n"/>
      <c r="C874" s="52" t="n"/>
      <c r="D874" s="53" t="n"/>
      <c r="E874" s="53" t="n"/>
      <c r="F874" s="54" t="n"/>
      <c r="G874" s="54" t="n"/>
      <c r="H874" s="54" t="n"/>
      <c r="I874" s="54" t="n"/>
      <c r="J874" s="53" t="n"/>
      <c r="K874" s="55" t="str">
        <f>IF(COUNTA(A874:I874)=0,"",IF(F874="",IFERROR(INDEX(eq_dur,MATCH(B874,eq_code,0)),""),F874))</f>
        <v/>
      </c>
      <c r="L874" s="55" t="str">
        <f>IF(ISNUMBER(K874),N(IFERROR(INDEX(eq_pause,MATCH(B874,eq_code,0)),0))+SUMIFS(st_min,st_date,A874,st_eq,B874,st_po,C874,st_type,"Planifié"),"")</f>
        <v/>
      </c>
      <c r="M874" s="55" t="str">
        <f>IF(ISNUMBER(K874),K874-L874,"")</f>
        <v/>
      </c>
      <c r="N874" s="55" t="str">
        <f>IF(ISNUMBER(K874),SUMIFS(st_min,st_date,A874,st_eq,B874,st_po,C874,st_type,"Non planifié"),"")</f>
        <v/>
      </c>
      <c r="O874" s="55" t="str">
        <f>IF(ISNUMBER(K874),M874-N874,"")</f>
        <v/>
      </c>
      <c r="P874" s="55" t="str">
        <f>IF(COUNTA(A874:I874)=0,"",N(G874)+N(H874)+N(I874))</f>
        <v/>
      </c>
      <c r="Q874" s="56" t="str">
        <f>IF(COUNTA(A874:I874)=0,"",IF(N(IFERROR(INDEX(art_rate,MATCH(E874,art_ref,0)),0))&gt;0,N(IFERROR(INDEX(art_rate,MATCH(E874,art_ref,0)),0)),N(IFERROR(INDEX(po_rate,MATCH(C874,po_code,0)),0))))</f>
        <v/>
      </c>
      <c r="R874" s="55" t="str">
        <f>IF(AC874=1,P874*60/Q874,"")</f>
        <v/>
      </c>
      <c r="S874" s="55" t="str">
        <f>IF(AC874=1,N(G874)*60/Q874,"")</f>
        <v/>
      </c>
      <c r="T874" s="57" t="str">
        <f>IF(AC874=1,O874/M874,"")</f>
        <v/>
      </c>
      <c r="U874" s="57" t="str">
        <f>IF(AC874=1,IF(O874&gt;0,R874/O874,""),"")</f>
        <v/>
      </c>
      <c r="V874" s="57" t="str">
        <f>IF(AC874=1,IF(P874&gt;0,N(G874)/P874,""),"")</f>
        <v/>
      </c>
      <c r="W874" s="57" t="str">
        <f>IF(AC874=1,S874/M874,"")</f>
        <v/>
      </c>
      <c r="X874" s="57" t="str">
        <f>IF(AC874=1,S874/K874,"")</f>
        <v/>
      </c>
      <c r="Y874" s="58" t="str">
        <f>IF(W874="","",IF(W874&gt;=p_target,"Bon",IF(W874&gt;=p_alert,"À surveiller","Faible")))</f>
        <v/>
      </c>
      <c r="Z874" s="58" t="str">
        <f>IF(W874="","",IF(MIN(IF(T874="",1,T874),IF(U874="",1,U874),IF(V874="",1,V874))&gt;=1,"Aucune",IF(IF(T874="",1,T874)&lt;=MIN(IF(U874="",1,U874),IF(V874="",1,V874)),"Disponibilité",IF(IF(U874="",1,U874)&lt;=IF(V874="",1,V874),"Performance","Qualité"))))</f>
        <v/>
      </c>
      <c r="AA874" s="59" t="str">
        <f>IF(AC874=1,N(H874)*N(IFERROR(INDEX(art_cost,MATCH(E874,art_ref,0)),0)),"")</f>
        <v/>
      </c>
      <c r="AB874" s="58" t="str">
        <f>IF(COUNTA(A874:I874)=0,"",IF(N(A874)&lt;=0,"Date manquante ou invalide",IF(B874="","Équipe manquante",IF(ISNA(MATCH(B874,eq_code,0)),"Équipe inconnue",IF(INDEX(eq_check,MATCH(B874,eq_code,0))&lt;&gt;"OK","Équipe à corriger dans Paramètres",IF(C874="","Poste manquant",IF(ISNA(MATCH(C874,po_code,0)),"Poste inconnu",IF(AND(E874&lt;&gt;"",ISNA(MATCH(E874,art_ref,0))),"Article inconnu",IF(IF(E874="",FALSE,INDEX(art_check,MATCH(E874,art_ref,0))&lt;&gt;"OK"),"Article à corriger (feuille Articles)",IF(COUNTIFS(sj_date,A874,sj_eq,B874,sj_po,C874)&gt;1,"Ligne en double (même jour, équipe et poste)",IF(OR(NOT(ISNUMBER(K874)),N(K874)&lt;=0,N(K874)&gt;1440),"Temps d'ouverture invalide",IF(OR(AND(G874&lt;&gt;"",NOT(ISNUMBER(G874))),N(G874)&lt;0,N(G874)&lt;&gt;INT(N(G874)),AND(H874&lt;&gt;"",NOT(ISNUMBER(H874))),N(H874)&lt;0,N(H874)&lt;&gt;INT(N(H874)),AND(I874&lt;&gt;"",NOT(ISNUMBER(I874))),N(I874)&lt;0,N(I874)&lt;&gt;INT(N(I874))),"Quantité invalide",IF(Q874&lt;=0,"Cadence manquante (poste ou article)",IF(M874&lt;=0,"Arrêts planifiés supérieurs au temps d'ouverture",IF(O874&lt;0,"Arrêts supérieurs au temps requis",IF(AND(P874&gt;0,O874=0),"Pièces déclarées sans temps de marche",IF(AND(P874=0,O874&gt;0),"Aucune pièce déclarée",IF(P874*60/Q874&gt;O874+0.001,"Cadence dépassée : vérifiez la cadence","OK"))))))))))))))))))</f>
        <v/>
      </c>
      <c r="AC874">
        <f>IF(OR(AB874="OK",AB874="Aucune pièce déclarée",AB874="Cadence dépassée : vérifiez la cadence"),1,0)</f>
        <v>0.0</v>
      </c>
      <c r="AD874">
        <f>IF(AND(AC874=1,A874&gt;=p_from,A874&lt;=p_to),1,0)</f>
        <v>0.0</v>
      </c>
      <c r="AE874">
        <f>IF(AD874=1,IF(COUNTIFS($A$6:A874,A874,$AD$6:AD874,1)=1,1,0),0)</f>
        <v>0.0</v>
      </c>
      <c r="AF874" t="str">
        <f>IF(AE874=1,COUNTIFS(sj_first,1,sj_date,"&lt;"&amp;A874)+1,"")</f>
        <v/>
      </c>
      <c r="AG874" t="str">
        <f>IF(AND(AD874=1,N(W874)&lt;p_alert),ROUND(W874,4),"")</f>
        <v/>
      </c>
      <c r="AH874" t="str">
        <f>IF(AG874="","",COUNTIF(sj_akey,"&lt;"&amp;AG874)+COUNTIF($AG$6:AG874,AG874))</f>
        <v/>
      </c>
    </row>
    <row r="875">
      <c r="A875" s="51" t="n"/>
      <c r="B875" s="52" t="n"/>
      <c r="C875" s="52" t="n"/>
      <c r="D875" s="53" t="n"/>
      <c r="E875" s="53" t="n"/>
      <c r="F875" s="54" t="n"/>
      <c r="G875" s="54" t="n"/>
      <c r="H875" s="54" t="n"/>
      <c r="I875" s="54" t="n"/>
      <c r="J875" s="53" t="n"/>
      <c r="K875" s="55" t="str">
        <f>IF(COUNTA(A875:I875)=0,"",IF(F875="",IFERROR(INDEX(eq_dur,MATCH(B875,eq_code,0)),""),F875))</f>
        <v/>
      </c>
      <c r="L875" s="55" t="str">
        <f>IF(ISNUMBER(K875),N(IFERROR(INDEX(eq_pause,MATCH(B875,eq_code,0)),0))+SUMIFS(st_min,st_date,A875,st_eq,B875,st_po,C875,st_type,"Planifié"),"")</f>
        <v/>
      </c>
      <c r="M875" s="55" t="str">
        <f>IF(ISNUMBER(K875),K875-L875,"")</f>
        <v/>
      </c>
      <c r="N875" s="55" t="str">
        <f>IF(ISNUMBER(K875),SUMIFS(st_min,st_date,A875,st_eq,B875,st_po,C875,st_type,"Non planifié"),"")</f>
        <v/>
      </c>
      <c r="O875" s="55" t="str">
        <f>IF(ISNUMBER(K875),M875-N875,"")</f>
        <v/>
      </c>
      <c r="P875" s="55" t="str">
        <f>IF(COUNTA(A875:I875)=0,"",N(G875)+N(H875)+N(I875))</f>
        <v/>
      </c>
      <c r="Q875" s="56" t="str">
        <f>IF(COUNTA(A875:I875)=0,"",IF(N(IFERROR(INDEX(art_rate,MATCH(E875,art_ref,0)),0))&gt;0,N(IFERROR(INDEX(art_rate,MATCH(E875,art_ref,0)),0)),N(IFERROR(INDEX(po_rate,MATCH(C875,po_code,0)),0))))</f>
        <v/>
      </c>
      <c r="R875" s="55" t="str">
        <f>IF(AC875=1,P875*60/Q875,"")</f>
        <v/>
      </c>
      <c r="S875" s="55" t="str">
        <f>IF(AC875=1,N(G875)*60/Q875,"")</f>
        <v/>
      </c>
      <c r="T875" s="57" t="str">
        <f>IF(AC875=1,O875/M875,"")</f>
        <v/>
      </c>
      <c r="U875" s="57" t="str">
        <f>IF(AC875=1,IF(O875&gt;0,R875/O875,""),"")</f>
        <v/>
      </c>
      <c r="V875" s="57" t="str">
        <f>IF(AC875=1,IF(P875&gt;0,N(G875)/P875,""),"")</f>
        <v/>
      </c>
      <c r="W875" s="57" t="str">
        <f>IF(AC875=1,S875/M875,"")</f>
        <v/>
      </c>
      <c r="X875" s="57" t="str">
        <f>IF(AC875=1,S875/K875,"")</f>
        <v/>
      </c>
      <c r="Y875" s="58" t="str">
        <f>IF(W875="","",IF(W875&gt;=p_target,"Bon",IF(W875&gt;=p_alert,"À surveiller","Faible")))</f>
        <v/>
      </c>
      <c r="Z875" s="58" t="str">
        <f>IF(W875="","",IF(MIN(IF(T875="",1,T875),IF(U875="",1,U875),IF(V875="",1,V875))&gt;=1,"Aucune",IF(IF(T875="",1,T875)&lt;=MIN(IF(U875="",1,U875),IF(V875="",1,V875)),"Disponibilité",IF(IF(U875="",1,U875)&lt;=IF(V875="",1,V875),"Performance","Qualité"))))</f>
        <v/>
      </c>
      <c r="AA875" s="59" t="str">
        <f>IF(AC875=1,N(H875)*N(IFERROR(INDEX(art_cost,MATCH(E875,art_ref,0)),0)),"")</f>
        <v/>
      </c>
      <c r="AB875" s="58" t="str">
        <f>IF(COUNTA(A875:I875)=0,"",IF(N(A875)&lt;=0,"Date manquante ou invalide",IF(B875="","Équipe manquante",IF(ISNA(MATCH(B875,eq_code,0)),"Équipe inconnue",IF(INDEX(eq_check,MATCH(B875,eq_code,0))&lt;&gt;"OK","Équipe à corriger dans Paramètres",IF(C875="","Poste manquant",IF(ISNA(MATCH(C875,po_code,0)),"Poste inconnu",IF(AND(E875&lt;&gt;"",ISNA(MATCH(E875,art_ref,0))),"Article inconnu",IF(IF(E875="",FALSE,INDEX(art_check,MATCH(E875,art_ref,0))&lt;&gt;"OK"),"Article à corriger (feuille Articles)",IF(COUNTIFS(sj_date,A875,sj_eq,B875,sj_po,C875)&gt;1,"Ligne en double (même jour, équipe et poste)",IF(OR(NOT(ISNUMBER(K875)),N(K875)&lt;=0,N(K875)&gt;1440),"Temps d'ouverture invalide",IF(OR(AND(G875&lt;&gt;"",NOT(ISNUMBER(G875))),N(G875)&lt;0,N(G875)&lt;&gt;INT(N(G875)),AND(H875&lt;&gt;"",NOT(ISNUMBER(H875))),N(H875)&lt;0,N(H875)&lt;&gt;INT(N(H875)),AND(I875&lt;&gt;"",NOT(ISNUMBER(I875))),N(I875)&lt;0,N(I875)&lt;&gt;INT(N(I875))),"Quantité invalide",IF(Q875&lt;=0,"Cadence manquante (poste ou article)",IF(M875&lt;=0,"Arrêts planifiés supérieurs au temps d'ouverture",IF(O875&lt;0,"Arrêts supérieurs au temps requis",IF(AND(P875&gt;0,O875=0),"Pièces déclarées sans temps de marche",IF(AND(P875=0,O875&gt;0),"Aucune pièce déclarée",IF(P875*60/Q875&gt;O875+0.001,"Cadence dépassée : vérifiez la cadence","OK"))))))))))))))))))</f>
        <v/>
      </c>
      <c r="AC875">
        <f>IF(OR(AB875="OK",AB875="Aucune pièce déclarée",AB875="Cadence dépassée : vérifiez la cadence"),1,0)</f>
        <v>0.0</v>
      </c>
      <c r="AD875">
        <f>IF(AND(AC875=1,A875&gt;=p_from,A875&lt;=p_to),1,0)</f>
        <v>0.0</v>
      </c>
      <c r="AE875">
        <f>IF(AD875=1,IF(COUNTIFS($A$6:A875,A875,$AD$6:AD875,1)=1,1,0),0)</f>
        <v>0.0</v>
      </c>
      <c r="AF875" t="str">
        <f>IF(AE875=1,COUNTIFS(sj_first,1,sj_date,"&lt;"&amp;A875)+1,"")</f>
        <v/>
      </c>
      <c r="AG875" t="str">
        <f>IF(AND(AD875=1,N(W875)&lt;p_alert),ROUND(W875,4),"")</f>
        <v/>
      </c>
      <c r="AH875" t="str">
        <f>IF(AG875="","",COUNTIF(sj_akey,"&lt;"&amp;AG875)+COUNTIF($AG$6:AG875,AG875))</f>
        <v/>
      </c>
    </row>
    <row r="876">
      <c r="A876" s="51" t="n"/>
      <c r="B876" s="52" t="n"/>
      <c r="C876" s="52" t="n"/>
      <c r="D876" s="53" t="n"/>
      <c r="E876" s="53" t="n"/>
      <c r="F876" s="54" t="n"/>
      <c r="G876" s="54" t="n"/>
      <c r="H876" s="54" t="n"/>
      <c r="I876" s="54" t="n"/>
      <c r="J876" s="53" t="n"/>
      <c r="K876" s="55" t="str">
        <f>IF(COUNTA(A876:I876)=0,"",IF(F876="",IFERROR(INDEX(eq_dur,MATCH(B876,eq_code,0)),""),F876))</f>
        <v/>
      </c>
      <c r="L876" s="55" t="str">
        <f>IF(ISNUMBER(K876),N(IFERROR(INDEX(eq_pause,MATCH(B876,eq_code,0)),0))+SUMIFS(st_min,st_date,A876,st_eq,B876,st_po,C876,st_type,"Planifié"),"")</f>
        <v/>
      </c>
      <c r="M876" s="55" t="str">
        <f>IF(ISNUMBER(K876),K876-L876,"")</f>
        <v/>
      </c>
      <c r="N876" s="55" t="str">
        <f>IF(ISNUMBER(K876),SUMIFS(st_min,st_date,A876,st_eq,B876,st_po,C876,st_type,"Non planifié"),"")</f>
        <v/>
      </c>
      <c r="O876" s="55" t="str">
        <f>IF(ISNUMBER(K876),M876-N876,"")</f>
        <v/>
      </c>
      <c r="P876" s="55" t="str">
        <f>IF(COUNTA(A876:I876)=0,"",N(G876)+N(H876)+N(I876))</f>
        <v/>
      </c>
      <c r="Q876" s="56" t="str">
        <f>IF(COUNTA(A876:I876)=0,"",IF(N(IFERROR(INDEX(art_rate,MATCH(E876,art_ref,0)),0))&gt;0,N(IFERROR(INDEX(art_rate,MATCH(E876,art_ref,0)),0)),N(IFERROR(INDEX(po_rate,MATCH(C876,po_code,0)),0))))</f>
        <v/>
      </c>
      <c r="R876" s="55" t="str">
        <f>IF(AC876=1,P876*60/Q876,"")</f>
        <v/>
      </c>
      <c r="S876" s="55" t="str">
        <f>IF(AC876=1,N(G876)*60/Q876,"")</f>
        <v/>
      </c>
      <c r="T876" s="57" t="str">
        <f>IF(AC876=1,O876/M876,"")</f>
        <v/>
      </c>
      <c r="U876" s="57" t="str">
        <f>IF(AC876=1,IF(O876&gt;0,R876/O876,""),"")</f>
        <v/>
      </c>
      <c r="V876" s="57" t="str">
        <f>IF(AC876=1,IF(P876&gt;0,N(G876)/P876,""),"")</f>
        <v/>
      </c>
      <c r="W876" s="57" t="str">
        <f>IF(AC876=1,S876/M876,"")</f>
        <v/>
      </c>
      <c r="X876" s="57" t="str">
        <f>IF(AC876=1,S876/K876,"")</f>
        <v/>
      </c>
      <c r="Y876" s="58" t="str">
        <f>IF(W876="","",IF(W876&gt;=p_target,"Bon",IF(W876&gt;=p_alert,"À surveiller","Faible")))</f>
        <v/>
      </c>
      <c r="Z876" s="58" t="str">
        <f>IF(W876="","",IF(MIN(IF(T876="",1,T876),IF(U876="",1,U876),IF(V876="",1,V876))&gt;=1,"Aucune",IF(IF(T876="",1,T876)&lt;=MIN(IF(U876="",1,U876),IF(V876="",1,V876)),"Disponibilité",IF(IF(U876="",1,U876)&lt;=IF(V876="",1,V876),"Performance","Qualité"))))</f>
        <v/>
      </c>
      <c r="AA876" s="59" t="str">
        <f>IF(AC876=1,N(H876)*N(IFERROR(INDEX(art_cost,MATCH(E876,art_ref,0)),0)),"")</f>
        <v/>
      </c>
      <c r="AB876" s="58" t="str">
        <f>IF(COUNTA(A876:I876)=0,"",IF(N(A876)&lt;=0,"Date manquante ou invalide",IF(B876="","Équipe manquante",IF(ISNA(MATCH(B876,eq_code,0)),"Équipe inconnue",IF(INDEX(eq_check,MATCH(B876,eq_code,0))&lt;&gt;"OK","Équipe à corriger dans Paramètres",IF(C876="","Poste manquant",IF(ISNA(MATCH(C876,po_code,0)),"Poste inconnu",IF(AND(E876&lt;&gt;"",ISNA(MATCH(E876,art_ref,0))),"Article inconnu",IF(IF(E876="",FALSE,INDEX(art_check,MATCH(E876,art_ref,0))&lt;&gt;"OK"),"Article à corriger (feuille Articles)",IF(COUNTIFS(sj_date,A876,sj_eq,B876,sj_po,C876)&gt;1,"Ligne en double (même jour, équipe et poste)",IF(OR(NOT(ISNUMBER(K876)),N(K876)&lt;=0,N(K876)&gt;1440),"Temps d'ouverture invalide",IF(OR(AND(G876&lt;&gt;"",NOT(ISNUMBER(G876))),N(G876)&lt;0,N(G876)&lt;&gt;INT(N(G876)),AND(H876&lt;&gt;"",NOT(ISNUMBER(H876))),N(H876)&lt;0,N(H876)&lt;&gt;INT(N(H876)),AND(I876&lt;&gt;"",NOT(ISNUMBER(I876))),N(I876)&lt;0,N(I876)&lt;&gt;INT(N(I876))),"Quantité invalide",IF(Q876&lt;=0,"Cadence manquante (poste ou article)",IF(M876&lt;=0,"Arrêts planifiés supérieurs au temps d'ouverture",IF(O876&lt;0,"Arrêts supérieurs au temps requis",IF(AND(P876&gt;0,O876=0),"Pièces déclarées sans temps de marche",IF(AND(P876=0,O876&gt;0),"Aucune pièce déclarée",IF(P876*60/Q876&gt;O876+0.001,"Cadence dépassée : vérifiez la cadence","OK"))))))))))))))))))</f>
        <v/>
      </c>
      <c r="AC876">
        <f>IF(OR(AB876="OK",AB876="Aucune pièce déclarée",AB876="Cadence dépassée : vérifiez la cadence"),1,0)</f>
        <v>0.0</v>
      </c>
      <c r="AD876">
        <f>IF(AND(AC876=1,A876&gt;=p_from,A876&lt;=p_to),1,0)</f>
        <v>0.0</v>
      </c>
      <c r="AE876">
        <f>IF(AD876=1,IF(COUNTIFS($A$6:A876,A876,$AD$6:AD876,1)=1,1,0),0)</f>
        <v>0.0</v>
      </c>
      <c r="AF876" t="str">
        <f>IF(AE876=1,COUNTIFS(sj_first,1,sj_date,"&lt;"&amp;A876)+1,"")</f>
        <v/>
      </c>
      <c r="AG876" t="str">
        <f>IF(AND(AD876=1,N(W876)&lt;p_alert),ROUND(W876,4),"")</f>
        <v/>
      </c>
      <c r="AH876" t="str">
        <f>IF(AG876="","",COUNTIF(sj_akey,"&lt;"&amp;AG876)+COUNTIF($AG$6:AG876,AG876))</f>
        <v/>
      </c>
    </row>
    <row r="877">
      <c r="A877" s="51" t="n"/>
      <c r="B877" s="52" t="n"/>
      <c r="C877" s="52" t="n"/>
      <c r="D877" s="53" t="n"/>
      <c r="E877" s="53" t="n"/>
      <c r="F877" s="54" t="n"/>
      <c r="G877" s="54" t="n"/>
      <c r="H877" s="54" t="n"/>
      <c r="I877" s="54" t="n"/>
      <c r="J877" s="53" t="n"/>
      <c r="K877" s="55" t="str">
        <f>IF(COUNTA(A877:I877)=0,"",IF(F877="",IFERROR(INDEX(eq_dur,MATCH(B877,eq_code,0)),""),F877))</f>
        <v/>
      </c>
      <c r="L877" s="55" t="str">
        <f>IF(ISNUMBER(K877),N(IFERROR(INDEX(eq_pause,MATCH(B877,eq_code,0)),0))+SUMIFS(st_min,st_date,A877,st_eq,B877,st_po,C877,st_type,"Planifié"),"")</f>
        <v/>
      </c>
      <c r="M877" s="55" t="str">
        <f>IF(ISNUMBER(K877),K877-L877,"")</f>
        <v/>
      </c>
      <c r="N877" s="55" t="str">
        <f>IF(ISNUMBER(K877),SUMIFS(st_min,st_date,A877,st_eq,B877,st_po,C877,st_type,"Non planifié"),"")</f>
        <v/>
      </c>
      <c r="O877" s="55" t="str">
        <f>IF(ISNUMBER(K877),M877-N877,"")</f>
        <v/>
      </c>
      <c r="P877" s="55" t="str">
        <f>IF(COUNTA(A877:I877)=0,"",N(G877)+N(H877)+N(I877))</f>
        <v/>
      </c>
      <c r="Q877" s="56" t="str">
        <f>IF(COUNTA(A877:I877)=0,"",IF(N(IFERROR(INDEX(art_rate,MATCH(E877,art_ref,0)),0))&gt;0,N(IFERROR(INDEX(art_rate,MATCH(E877,art_ref,0)),0)),N(IFERROR(INDEX(po_rate,MATCH(C877,po_code,0)),0))))</f>
        <v/>
      </c>
      <c r="R877" s="55" t="str">
        <f>IF(AC877=1,P877*60/Q877,"")</f>
        <v/>
      </c>
      <c r="S877" s="55" t="str">
        <f>IF(AC877=1,N(G877)*60/Q877,"")</f>
        <v/>
      </c>
      <c r="T877" s="57" t="str">
        <f>IF(AC877=1,O877/M877,"")</f>
        <v/>
      </c>
      <c r="U877" s="57" t="str">
        <f>IF(AC877=1,IF(O877&gt;0,R877/O877,""),"")</f>
        <v/>
      </c>
      <c r="V877" s="57" t="str">
        <f>IF(AC877=1,IF(P877&gt;0,N(G877)/P877,""),"")</f>
        <v/>
      </c>
      <c r="W877" s="57" t="str">
        <f>IF(AC877=1,S877/M877,"")</f>
        <v/>
      </c>
      <c r="X877" s="57" t="str">
        <f>IF(AC877=1,S877/K877,"")</f>
        <v/>
      </c>
      <c r="Y877" s="58" t="str">
        <f>IF(W877="","",IF(W877&gt;=p_target,"Bon",IF(W877&gt;=p_alert,"À surveiller","Faible")))</f>
        <v/>
      </c>
      <c r="Z877" s="58" t="str">
        <f>IF(W877="","",IF(MIN(IF(T877="",1,T877),IF(U877="",1,U877),IF(V877="",1,V877))&gt;=1,"Aucune",IF(IF(T877="",1,T877)&lt;=MIN(IF(U877="",1,U877),IF(V877="",1,V877)),"Disponibilité",IF(IF(U877="",1,U877)&lt;=IF(V877="",1,V877),"Performance","Qualité"))))</f>
        <v/>
      </c>
      <c r="AA877" s="59" t="str">
        <f>IF(AC877=1,N(H877)*N(IFERROR(INDEX(art_cost,MATCH(E877,art_ref,0)),0)),"")</f>
        <v/>
      </c>
      <c r="AB877" s="58" t="str">
        <f>IF(COUNTA(A877:I877)=0,"",IF(N(A877)&lt;=0,"Date manquante ou invalide",IF(B877="","Équipe manquante",IF(ISNA(MATCH(B877,eq_code,0)),"Équipe inconnue",IF(INDEX(eq_check,MATCH(B877,eq_code,0))&lt;&gt;"OK","Équipe à corriger dans Paramètres",IF(C877="","Poste manquant",IF(ISNA(MATCH(C877,po_code,0)),"Poste inconnu",IF(AND(E877&lt;&gt;"",ISNA(MATCH(E877,art_ref,0))),"Article inconnu",IF(IF(E877="",FALSE,INDEX(art_check,MATCH(E877,art_ref,0))&lt;&gt;"OK"),"Article à corriger (feuille Articles)",IF(COUNTIFS(sj_date,A877,sj_eq,B877,sj_po,C877)&gt;1,"Ligne en double (même jour, équipe et poste)",IF(OR(NOT(ISNUMBER(K877)),N(K877)&lt;=0,N(K877)&gt;1440),"Temps d'ouverture invalide",IF(OR(AND(G877&lt;&gt;"",NOT(ISNUMBER(G877))),N(G877)&lt;0,N(G877)&lt;&gt;INT(N(G877)),AND(H877&lt;&gt;"",NOT(ISNUMBER(H877))),N(H877)&lt;0,N(H877)&lt;&gt;INT(N(H877)),AND(I877&lt;&gt;"",NOT(ISNUMBER(I877))),N(I877)&lt;0,N(I877)&lt;&gt;INT(N(I877))),"Quantité invalide",IF(Q877&lt;=0,"Cadence manquante (poste ou article)",IF(M877&lt;=0,"Arrêts planifiés supérieurs au temps d'ouverture",IF(O877&lt;0,"Arrêts supérieurs au temps requis",IF(AND(P877&gt;0,O877=0),"Pièces déclarées sans temps de marche",IF(AND(P877=0,O877&gt;0),"Aucune pièce déclarée",IF(P877*60/Q877&gt;O877+0.001,"Cadence dépassée : vérifiez la cadence","OK"))))))))))))))))))</f>
        <v/>
      </c>
      <c r="AC877">
        <f>IF(OR(AB877="OK",AB877="Aucune pièce déclarée",AB877="Cadence dépassée : vérifiez la cadence"),1,0)</f>
        <v>0.0</v>
      </c>
      <c r="AD877">
        <f>IF(AND(AC877=1,A877&gt;=p_from,A877&lt;=p_to),1,0)</f>
        <v>0.0</v>
      </c>
      <c r="AE877">
        <f>IF(AD877=1,IF(COUNTIFS($A$6:A877,A877,$AD$6:AD877,1)=1,1,0),0)</f>
        <v>0.0</v>
      </c>
      <c r="AF877" t="str">
        <f>IF(AE877=1,COUNTIFS(sj_first,1,sj_date,"&lt;"&amp;A877)+1,"")</f>
        <v/>
      </c>
      <c r="AG877" t="str">
        <f>IF(AND(AD877=1,N(W877)&lt;p_alert),ROUND(W877,4),"")</f>
        <v/>
      </c>
      <c r="AH877" t="str">
        <f>IF(AG877="","",COUNTIF(sj_akey,"&lt;"&amp;AG877)+COUNTIF($AG$6:AG877,AG877))</f>
        <v/>
      </c>
    </row>
    <row r="878">
      <c r="A878" s="51" t="n"/>
      <c r="B878" s="52" t="n"/>
      <c r="C878" s="52" t="n"/>
      <c r="D878" s="53" t="n"/>
      <c r="E878" s="53" t="n"/>
      <c r="F878" s="54" t="n"/>
      <c r="G878" s="54" t="n"/>
      <c r="H878" s="54" t="n"/>
      <c r="I878" s="54" t="n"/>
      <c r="J878" s="53" t="n"/>
      <c r="K878" s="55" t="str">
        <f>IF(COUNTA(A878:I878)=0,"",IF(F878="",IFERROR(INDEX(eq_dur,MATCH(B878,eq_code,0)),""),F878))</f>
        <v/>
      </c>
      <c r="L878" s="55" t="str">
        <f>IF(ISNUMBER(K878),N(IFERROR(INDEX(eq_pause,MATCH(B878,eq_code,0)),0))+SUMIFS(st_min,st_date,A878,st_eq,B878,st_po,C878,st_type,"Planifié"),"")</f>
        <v/>
      </c>
      <c r="M878" s="55" t="str">
        <f>IF(ISNUMBER(K878),K878-L878,"")</f>
        <v/>
      </c>
      <c r="N878" s="55" t="str">
        <f>IF(ISNUMBER(K878),SUMIFS(st_min,st_date,A878,st_eq,B878,st_po,C878,st_type,"Non planifié"),"")</f>
        <v/>
      </c>
      <c r="O878" s="55" t="str">
        <f>IF(ISNUMBER(K878),M878-N878,"")</f>
        <v/>
      </c>
      <c r="P878" s="55" t="str">
        <f>IF(COUNTA(A878:I878)=0,"",N(G878)+N(H878)+N(I878))</f>
        <v/>
      </c>
      <c r="Q878" s="56" t="str">
        <f>IF(COUNTA(A878:I878)=0,"",IF(N(IFERROR(INDEX(art_rate,MATCH(E878,art_ref,0)),0))&gt;0,N(IFERROR(INDEX(art_rate,MATCH(E878,art_ref,0)),0)),N(IFERROR(INDEX(po_rate,MATCH(C878,po_code,0)),0))))</f>
        <v/>
      </c>
      <c r="R878" s="55" t="str">
        <f>IF(AC878=1,P878*60/Q878,"")</f>
        <v/>
      </c>
      <c r="S878" s="55" t="str">
        <f>IF(AC878=1,N(G878)*60/Q878,"")</f>
        <v/>
      </c>
      <c r="T878" s="57" t="str">
        <f>IF(AC878=1,O878/M878,"")</f>
        <v/>
      </c>
      <c r="U878" s="57" t="str">
        <f>IF(AC878=1,IF(O878&gt;0,R878/O878,""),"")</f>
        <v/>
      </c>
      <c r="V878" s="57" t="str">
        <f>IF(AC878=1,IF(P878&gt;0,N(G878)/P878,""),"")</f>
        <v/>
      </c>
      <c r="W878" s="57" t="str">
        <f>IF(AC878=1,S878/M878,"")</f>
        <v/>
      </c>
      <c r="X878" s="57" t="str">
        <f>IF(AC878=1,S878/K878,"")</f>
        <v/>
      </c>
      <c r="Y878" s="58" t="str">
        <f>IF(W878="","",IF(W878&gt;=p_target,"Bon",IF(W878&gt;=p_alert,"À surveiller","Faible")))</f>
        <v/>
      </c>
      <c r="Z878" s="58" t="str">
        <f>IF(W878="","",IF(MIN(IF(T878="",1,T878),IF(U878="",1,U878),IF(V878="",1,V878))&gt;=1,"Aucune",IF(IF(T878="",1,T878)&lt;=MIN(IF(U878="",1,U878),IF(V878="",1,V878)),"Disponibilité",IF(IF(U878="",1,U878)&lt;=IF(V878="",1,V878),"Performance","Qualité"))))</f>
        <v/>
      </c>
      <c r="AA878" s="59" t="str">
        <f>IF(AC878=1,N(H878)*N(IFERROR(INDEX(art_cost,MATCH(E878,art_ref,0)),0)),"")</f>
        <v/>
      </c>
      <c r="AB878" s="58" t="str">
        <f>IF(COUNTA(A878:I878)=0,"",IF(N(A878)&lt;=0,"Date manquante ou invalide",IF(B878="","Équipe manquante",IF(ISNA(MATCH(B878,eq_code,0)),"Équipe inconnue",IF(INDEX(eq_check,MATCH(B878,eq_code,0))&lt;&gt;"OK","Équipe à corriger dans Paramètres",IF(C878="","Poste manquant",IF(ISNA(MATCH(C878,po_code,0)),"Poste inconnu",IF(AND(E878&lt;&gt;"",ISNA(MATCH(E878,art_ref,0))),"Article inconnu",IF(IF(E878="",FALSE,INDEX(art_check,MATCH(E878,art_ref,0))&lt;&gt;"OK"),"Article à corriger (feuille Articles)",IF(COUNTIFS(sj_date,A878,sj_eq,B878,sj_po,C878)&gt;1,"Ligne en double (même jour, équipe et poste)",IF(OR(NOT(ISNUMBER(K878)),N(K878)&lt;=0,N(K878)&gt;1440),"Temps d'ouverture invalide",IF(OR(AND(G878&lt;&gt;"",NOT(ISNUMBER(G878))),N(G878)&lt;0,N(G878)&lt;&gt;INT(N(G878)),AND(H878&lt;&gt;"",NOT(ISNUMBER(H878))),N(H878)&lt;0,N(H878)&lt;&gt;INT(N(H878)),AND(I878&lt;&gt;"",NOT(ISNUMBER(I878))),N(I878)&lt;0,N(I878)&lt;&gt;INT(N(I878))),"Quantité invalide",IF(Q878&lt;=0,"Cadence manquante (poste ou article)",IF(M878&lt;=0,"Arrêts planifiés supérieurs au temps d'ouverture",IF(O878&lt;0,"Arrêts supérieurs au temps requis",IF(AND(P878&gt;0,O878=0),"Pièces déclarées sans temps de marche",IF(AND(P878=0,O878&gt;0),"Aucune pièce déclarée",IF(P878*60/Q878&gt;O878+0.001,"Cadence dépassée : vérifiez la cadence","OK"))))))))))))))))))</f>
        <v/>
      </c>
      <c r="AC878">
        <f>IF(OR(AB878="OK",AB878="Aucune pièce déclarée",AB878="Cadence dépassée : vérifiez la cadence"),1,0)</f>
        <v>0.0</v>
      </c>
      <c r="AD878">
        <f>IF(AND(AC878=1,A878&gt;=p_from,A878&lt;=p_to),1,0)</f>
        <v>0.0</v>
      </c>
      <c r="AE878">
        <f>IF(AD878=1,IF(COUNTIFS($A$6:A878,A878,$AD$6:AD878,1)=1,1,0),0)</f>
        <v>0.0</v>
      </c>
      <c r="AF878" t="str">
        <f>IF(AE878=1,COUNTIFS(sj_first,1,sj_date,"&lt;"&amp;A878)+1,"")</f>
        <v/>
      </c>
      <c r="AG878" t="str">
        <f>IF(AND(AD878=1,N(W878)&lt;p_alert),ROUND(W878,4),"")</f>
        <v/>
      </c>
      <c r="AH878" t="str">
        <f>IF(AG878="","",COUNTIF(sj_akey,"&lt;"&amp;AG878)+COUNTIF($AG$6:AG878,AG878))</f>
        <v/>
      </c>
    </row>
    <row r="879">
      <c r="A879" s="51" t="n"/>
      <c r="B879" s="52" t="n"/>
      <c r="C879" s="52" t="n"/>
      <c r="D879" s="53" t="n"/>
      <c r="E879" s="53" t="n"/>
      <c r="F879" s="54" t="n"/>
      <c r="G879" s="54" t="n"/>
      <c r="H879" s="54" t="n"/>
      <c r="I879" s="54" t="n"/>
      <c r="J879" s="53" t="n"/>
      <c r="K879" s="55" t="str">
        <f>IF(COUNTA(A879:I879)=0,"",IF(F879="",IFERROR(INDEX(eq_dur,MATCH(B879,eq_code,0)),""),F879))</f>
        <v/>
      </c>
      <c r="L879" s="55" t="str">
        <f>IF(ISNUMBER(K879),N(IFERROR(INDEX(eq_pause,MATCH(B879,eq_code,0)),0))+SUMIFS(st_min,st_date,A879,st_eq,B879,st_po,C879,st_type,"Planifié"),"")</f>
        <v/>
      </c>
      <c r="M879" s="55" t="str">
        <f>IF(ISNUMBER(K879),K879-L879,"")</f>
        <v/>
      </c>
      <c r="N879" s="55" t="str">
        <f>IF(ISNUMBER(K879),SUMIFS(st_min,st_date,A879,st_eq,B879,st_po,C879,st_type,"Non planifié"),"")</f>
        <v/>
      </c>
      <c r="O879" s="55" t="str">
        <f>IF(ISNUMBER(K879),M879-N879,"")</f>
        <v/>
      </c>
      <c r="P879" s="55" t="str">
        <f>IF(COUNTA(A879:I879)=0,"",N(G879)+N(H879)+N(I879))</f>
        <v/>
      </c>
      <c r="Q879" s="56" t="str">
        <f>IF(COUNTA(A879:I879)=0,"",IF(N(IFERROR(INDEX(art_rate,MATCH(E879,art_ref,0)),0))&gt;0,N(IFERROR(INDEX(art_rate,MATCH(E879,art_ref,0)),0)),N(IFERROR(INDEX(po_rate,MATCH(C879,po_code,0)),0))))</f>
        <v/>
      </c>
      <c r="R879" s="55" t="str">
        <f>IF(AC879=1,P879*60/Q879,"")</f>
        <v/>
      </c>
      <c r="S879" s="55" t="str">
        <f>IF(AC879=1,N(G879)*60/Q879,"")</f>
        <v/>
      </c>
      <c r="T879" s="57" t="str">
        <f>IF(AC879=1,O879/M879,"")</f>
        <v/>
      </c>
      <c r="U879" s="57" t="str">
        <f>IF(AC879=1,IF(O879&gt;0,R879/O879,""),"")</f>
        <v/>
      </c>
      <c r="V879" s="57" t="str">
        <f>IF(AC879=1,IF(P879&gt;0,N(G879)/P879,""),"")</f>
        <v/>
      </c>
      <c r="W879" s="57" t="str">
        <f>IF(AC879=1,S879/M879,"")</f>
        <v/>
      </c>
      <c r="X879" s="57" t="str">
        <f>IF(AC879=1,S879/K879,"")</f>
        <v/>
      </c>
      <c r="Y879" s="58" t="str">
        <f>IF(W879="","",IF(W879&gt;=p_target,"Bon",IF(W879&gt;=p_alert,"À surveiller","Faible")))</f>
        <v/>
      </c>
      <c r="Z879" s="58" t="str">
        <f>IF(W879="","",IF(MIN(IF(T879="",1,T879),IF(U879="",1,U879),IF(V879="",1,V879))&gt;=1,"Aucune",IF(IF(T879="",1,T879)&lt;=MIN(IF(U879="",1,U879),IF(V879="",1,V879)),"Disponibilité",IF(IF(U879="",1,U879)&lt;=IF(V879="",1,V879),"Performance","Qualité"))))</f>
        <v/>
      </c>
      <c r="AA879" s="59" t="str">
        <f>IF(AC879=1,N(H879)*N(IFERROR(INDEX(art_cost,MATCH(E879,art_ref,0)),0)),"")</f>
        <v/>
      </c>
      <c r="AB879" s="58" t="str">
        <f>IF(COUNTA(A879:I879)=0,"",IF(N(A879)&lt;=0,"Date manquante ou invalide",IF(B879="","Équipe manquante",IF(ISNA(MATCH(B879,eq_code,0)),"Équipe inconnue",IF(INDEX(eq_check,MATCH(B879,eq_code,0))&lt;&gt;"OK","Équipe à corriger dans Paramètres",IF(C879="","Poste manquant",IF(ISNA(MATCH(C879,po_code,0)),"Poste inconnu",IF(AND(E879&lt;&gt;"",ISNA(MATCH(E879,art_ref,0))),"Article inconnu",IF(IF(E879="",FALSE,INDEX(art_check,MATCH(E879,art_ref,0))&lt;&gt;"OK"),"Article à corriger (feuille Articles)",IF(COUNTIFS(sj_date,A879,sj_eq,B879,sj_po,C879)&gt;1,"Ligne en double (même jour, équipe et poste)",IF(OR(NOT(ISNUMBER(K879)),N(K879)&lt;=0,N(K879)&gt;1440),"Temps d'ouverture invalide",IF(OR(AND(G879&lt;&gt;"",NOT(ISNUMBER(G879))),N(G879)&lt;0,N(G879)&lt;&gt;INT(N(G879)),AND(H879&lt;&gt;"",NOT(ISNUMBER(H879))),N(H879)&lt;0,N(H879)&lt;&gt;INT(N(H879)),AND(I879&lt;&gt;"",NOT(ISNUMBER(I879))),N(I879)&lt;0,N(I879)&lt;&gt;INT(N(I879))),"Quantité invalide",IF(Q879&lt;=0,"Cadence manquante (poste ou article)",IF(M879&lt;=0,"Arrêts planifiés supérieurs au temps d'ouverture",IF(O879&lt;0,"Arrêts supérieurs au temps requis",IF(AND(P879&gt;0,O879=0),"Pièces déclarées sans temps de marche",IF(AND(P879=0,O879&gt;0),"Aucune pièce déclarée",IF(P879*60/Q879&gt;O879+0.001,"Cadence dépassée : vérifiez la cadence","OK"))))))))))))))))))</f>
        <v/>
      </c>
      <c r="AC879">
        <f>IF(OR(AB879="OK",AB879="Aucune pièce déclarée",AB879="Cadence dépassée : vérifiez la cadence"),1,0)</f>
        <v>0.0</v>
      </c>
      <c r="AD879">
        <f>IF(AND(AC879=1,A879&gt;=p_from,A879&lt;=p_to),1,0)</f>
        <v>0.0</v>
      </c>
      <c r="AE879">
        <f>IF(AD879=1,IF(COUNTIFS($A$6:A879,A879,$AD$6:AD879,1)=1,1,0),0)</f>
        <v>0.0</v>
      </c>
      <c r="AF879" t="str">
        <f>IF(AE879=1,COUNTIFS(sj_first,1,sj_date,"&lt;"&amp;A879)+1,"")</f>
        <v/>
      </c>
      <c r="AG879" t="str">
        <f>IF(AND(AD879=1,N(W879)&lt;p_alert),ROUND(W879,4),"")</f>
        <v/>
      </c>
      <c r="AH879" t="str">
        <f>IF(AG879="","",COUNTIF(sj_akey,"&lt;"&amp;AG879)+COUNTIF($AG$6:AG879,AG879))</f>
        <v/>
      </c>
    </row>
    <row r="880">
      <c r="A880" s="51" t="n"/>
      <c r="B880" s="52" t="n"/>
      <c r="C880" s="52" t="n"/>
      <c r="D880" s="53" t="n"/>
      <c r="E880" s="53" t="n"/>
      <c r="F880" s="54" t="n"/>
      <c r="G880" s="54" t="n"/>
      <c r="H880" s="54" t="n"/>
      <c r="I880" s="54" t="n"/>
      <c r="J880" s="53" t="n"/>
      <c r="K880" s="55" t="str">
        <f>IF(COUNTA(A880:I880)=0,"",IF(F880="",IFERROR(INDEX(eq_dur,MATCH(B880,eq_code,0)),""),F880))</f>
        <v/>
      </c>
      <c r="L880" s="55" t="str">
        <f>IF(ISNUMBER(K880),N(IFERROR(INDEX(eq_pause,MATCH(B880,eq_code,0)),0))+SUMIFS(st_min,st_date,A880,st_eq,B880,st_po,C880,st_type,"Planifié"),"")</f>
        <v/>
      </c>
      <c r="M880" s="55" t="str">
        <f>IF(ISNUMBER(K880),K880-L880,"")</f>
        <v/>
      </c>
      <c r="N880" s="55" t="str">
        <f>IF(ISNUMBER(K880),SUMIFS(st_min,st_date,A880,st_eq,B880,st_po,C880,st_type,"Non planifié"),"")</f>
        <v/>
      </c>
      <c r="O880" s="55" t="str">
        <f>IF(ISNUMBER(K880),M880-N880,"")</f>
        <v/>
      </c>
      <c r="P880" s="55" t="str">
        <f>IF(COUNTA(A880:I880)=0,"",N(G880)+N(H880)+N(I880))</f>
        <v/>
      </c>
      <c r="Q880" s="56" t="str">
        <f>IF(COUNTA(A880:I880)=0,"",IF(N(IFERROR(INDEX(art_rate,MATCH(E880,art_ref,0)),0))&gt;0,N(IFERROR(INDEX(art_rate,MATCH(E880,art_ref,0)),0)),N(IFERROR(INDEX(po_rate,MATCH(C880,po_code,0)),0))))</f>
        <v/>
      </c>
      <c r="R880" s="55" t="str">
        <f>IF(AC880=1,P880*60/Q880,"")</f>
        <v/>
      </c>
      <c r="S880" s="55" t="str">
        <f>IF(AC880=1,N(G880)*60/Q880,"")</f>
        <v/>
      </c>
      <c r="T880" s="57" t="str">
        <f>IF(AC880=1,O880/M880,"")</f>
        <v/>
      </c>
      <c r="U880" s="57" t="str">
        <f>IF(AC880=1,IF(O880&gt;0,R880/O880,""),"")</f>
        <v/>
      </c>
      <c r="V880" s="57" t="str">
        <f>IF(AC880=1,IF(P880&gt;0,N(G880)/P880,""),"")</f>
        <v/>
      </c>
      <c r="W880" s="57" t="str">
        <f>IF(AC880=1,S880/M880,"")</f>
        <v/>
      </c>
      <c r="X880" s="57" t="str">
        <f>IF(AC880=1,S880/K880,"")</f>
        <v/>
      </c>
      <c r="Y880" s="58" t="str">
        <f>IF(W880="","",IF(W880&gt;=p_target,"Bon",IF(W880&gt;=p_alert,"À surveiller","Faible")))</f>
        <v/>
      </c>
      <c r="Z880" s="58" t="str">
        <f>IF(W880="","",IF(MIN(IF(T880="",1,T880),IF(U880="",1,U880),IF(V880="",1,V880))&gt;=1,"Aucune",IF(IF(T880="",1,T880)&lt;=MIN(IF(U880="",1,U880),IF(V880="",1,V880)),"Disponibilité",IF(IF(U880="",1,U880)&lt;=IF(V880="",1,V880),"Performance","Qualité"))))</f>
        <v/>
      </c>
      <c r="AA880" s="59" t="str">
        <f>IF(AC880=1,N(H880)*N(IFERROR(INDEX(art_cost,MATCH(E880,art_ref,0)),0)),"")</f>
        <v/>
      </c>
      <c r="AB880" s="58" t="str">
        <f>IF(COUNTA(A880:I880)=0,"",IF(N(A880)&lt;=0,"Date manquante ou invalide",IF(B880="","Équipe manquante",IF(ISNA(MATCH(B880,eq_code,0)),"Équipe inconnue",IF(INDEX(eq_check,MATCH(B880,eq_code,0))&lt;&gt;"OK","Équipe à corriger dans Paramètres",IF(C880="","Poste manquant",IF(ISNA(MATCH(C880,po_code,0)),"Poste inconnu",IF(AND(E880&lt;&gt;"",ISNA(MATCH(E880,art_ref,0))),"Article inconnu",IF(IF(E880="",FALSE,INDEX(art_check,MATCH(E880,art_ref,0))&lt;&gt;"OK"),"Article à corriger (feuille Articles)",IF(COUNTIFS(sj_date,A880,sj_eq,B880,sj_po,C880)&gt;1,"Ligne en double (même jour, équipe et poste)",IF(OR(NOT(ISNUMBER(K880)),N(K880)&lt;=0,N(K880)&gt;1440),"Temps d'ouverture invalide",IF(OR(AND(G880&lt;&gt;"",NOT(ISNUMBER(G880))),N(G880)&lt;0,N(G880)&lt;&gt;INT(N(G880)),AND(H880&lt;&gt;"",NOT(ISNUMBER(H880))),N(H880)&lt;0,N(H880)&lt;&gt;INT(N(H880)),AND(I880&lt;&gt;"",NOT(ISNUMBER(I880))),N(I880)&lt;0,N(I880)&lt;&gt;INT(N(I880))),"Quantité invalide",IF(Q880&lt;=0,"Cadence manquante (poste ou article)",IF(M880&lt;=0,"Arrêts planifiés supérieurs au temps d'ouverture",IF(O880&lt;0,"Arrêts supérieurs au temps requis",IF(AND(P880&gt;0,O880=0),"Pièces déclarées sans temps de marche",IF(AND(P880=0,O880&gt;0),"Aucune pièce déclarée",IF(P880*60/Q880&gt;O880+0.001,"Cadence dépassée : vérifiez la cadence","OK"))))))))))))))))))</f>
        <v/>
      </c>
      <c r="AC880">
        <f>IF(OR(AB880="OK",AB880="Aucune pièce déclarée",AB880="Cadence dépassée : vérifiez la cadence"),1,0)</f>
        <v>0.0</v>
      </c>
      <c r="AD880">
        <f>IF(AND(AC880=1,A880&gt;=p_from,A880&lt;=p_to),1,0)</f>
        <v>0.0</v>
      </c>
      <c r="AE880">
        <f>IF(AD880=1,IF(COUNTIFS($A$6:A880,A880,$AD$6:AD880,1)=1,1,0),0)</f>
        <v>0.0</v>
      </c>
      <c r="AF880" t="str">
        <f>IF(AE880=1,COUNTIFS(sj_first,1,sj_date,"&lt;"&amp;A880)+1,"")</f>
        <v/>
      </c>
      <c r="AG880" t="str">
        <f>IF(AND(AD880=1,N(W880)&lt;p_alert),ROUND(W880,4),"")</f>
        <v/>
      </c>
      <c r="AH880" t="str">
        <f>IF(AG880="","",COUNTIF(sj_akey,"&lt;"&amp;AG880)+COUNTIF($AG$6:AG880,AG880))</f>
        <v/>
      </c>
    </row>
    <row r="881">
      <c r="A881" s="51" t="n"/>
      <c r="B881" s="52" t="n"/>
      <c r="C881" s="52" t="n"/>
      <c r="D881" s="53" t="n"/>
      <c r="E881" s="53" t="n"/>
      <c r="F881" s="54" t="n"/>
      <c r="G881" s="54" t="n"/>
      <c r="H881" s="54" t="n"/>
      <c r="I881" s="54" t="n"/>
      <c r="J881" s="53" t="n"/>
      <c r="K881" s="55" t="str">
        <f>IF(COUNTA(A881:I881)=0,"",IF(F881="",IFERROR(INDEX(eq_dur,MATCH(B881,eq_code,0)),""),F881))</f>
        <v/>
      </c>
      <c r="L881" s="55" t="str">
        <f>IF(ISNUMBER(K881),N(IFERROR(INDEX(eq_pause,MATCH(B881,eq_code,0)),0))+SUMIFS(st_min,st_date,A881,st_eq,B881,st_po,C881,st_type,"Planifié"),"")</f>
        <v/>
      </c>
      <c r="M881" s="55" t="str">
        <f>IF(ISNUMBER(K881),K881-L881,"")</f>
        <v/>
      </c>
      <c r="N881" s="55" t="str">
        <f>IF(ISNUMBER(K881),SUMIFS(st_min,st_date,A881,st_eq,B881,st_po,C881,st_type,"Non planifié"),"")</f>
        <v/>
      </c>
      <c r="O881" s="55" t="str">
        <f>IF(ISNUMBER(K881),M881-N881,"")</f>
        <v/>
      </c>
      <c r="P881" s="55" t="str">
        <f>IF(COUNTA(A881:I881)=0,"",N(G881)+N(H881)+N(I881))</f>
        <v/>
      </c>
      <c r="Q881" s="56" t="str">
        <f>IF(COUNTA(A881:I881)=0,"",IF(N(IFERROR(INDEX(art_rate,MATCH(E881,art_ref,0)),0))&gt;0,N(IFERROR(INDEX(art_rate,MATCH(E881,art_ref,0)),0)),N(IFERROR(INDEX(po_rate,MATCH(C881,po_code,0)),0))))</f>
        <v/>
      </c>
      <c r="R881" s="55" t="str">
        <f>IF(AC881=1,P881*60/Q881,"")</f>
        <v/>
      </c>
      <c r="S881" s="55" t="str">
        <f>IF(AC881=1,N(G881)*60/Q881,"")</f>
        <v/>
      </c>
      <c r="T881" s="57" t="str">
        <f>IF(AC881=1,O881/M881,"")</f>
        <v/>
      </c>
      <c r="U881" s="57" t="str">
        <f>IF(AC881=1,IF(O881&gt;0,R881/O881,""),"")</f>
        <v/>
      </c>
      <c r="V881" s="57" t="str">
        <f>IF(AC881=1,IF(P881&gt;0,N(G881)/P881,""),"")</f>
        <v/>
      </c>
      <c r="W881" s="57" t="str">
        <f>IF(AC881=1,S881/M881,"")</f>
        <v/>
      </c>
      <c r="X881" s="57" t="str">
        <f>IF(AC881=1,S881/K881,"")</f>
        <v/>
      </c>
      <c r="Y881" s="58" t="str">
        <f>IF(W881="","",IF(W881&gt;=p_target,"Bon",IF(W881&gt;=p_alert,"À surveiller","Faible")))</f>
        <v/>
      </c>
      <c r="Z881" s="58" t="str">
        <f>IF(W881="","",IF(MIN(IF(T881="",1,T881),IF(U881="",1,U881),IF(V881="",1,V881))&gt;=1,"Aucune",IF(IF(T881="",1,T881)&lt;=MIN(IF(U881="",1,U881),IF(V881="",1,V881)),"Disponibilité",IF(IF(U881="",1,U881)&lt;=IF(V881="",1,V881),"Performance","Qualité"))))</f>
        <v/>
      </c>
      <c r="AA881" s="59" t="str">
        <f>IF(AC881=1,N(H881)*N(IFERROR(INDEX(art_cost,MATCH(E881,art_ref,0)),0)),"")</f>
        <v/>
      </c>
      <c r="AB881" s="58" t="str">
        <f>IF(COUNTA(A881:I881)=0,"",IF(N(A881)&lt;=0,"Date manquante ou invalide",IF(B881="","Équipe manquante",IF(ISNA(MATCH(B881,eq_code,0)),"Équipe inconnue",IF(INDEX(eq_check,MATCH(B881,eq_code,0))&lt;&gt;"OK","Équipe à corriger dans Paramètres",IF(C881="","Poste manquant",IF(ISNA(MATCH(C881,po_code,0)),"Poste inconnu",IF(AND(E881&lt;&gt;"",ISNA(MATCH(E881,art_ref,0))),"Article inconnu",IF(IF(E881="",FALSE,INDEX(art_check,MATCH(E881,art_ref,0))&lt;&gt;"OK"),"Article à corriger (feuille Articles)",IF(COUNTIFS(sj_date,A881,sj_eq,B881,sj_po,C881)&gt;1,"Ligne en double (même jour, équipe et poste)",IF(OR(NOT(ISNUMBER(K881)),N(K881)&lt;=0,N(K881)&gt;1440),"Temps d'ouverture invalide",IF(OR(AND(G881&lt;&gt;"",NOT(ISNUMBER(G881))),N(G881)&lt;0,N(G881)&lt;&gt;INT(N(G881)),AND(H881&lt;&gt;"",NOT(ISNUMBER(H881))),N(H881)&lt;0,N(H881)&lt;&gt;INT(N(H881)),AND(I881&lt;&gt;"",NOT(ISNUMBER(I881))),N(I881)&lt;0,N(I881)&lt;&gt;INT(N(I881))),"Quantité invalide",IF(Q881&lt;=0,"Cadence manquante (poste ou article)",IF(M881&lt;=0,"Arrêts planifiés supérieurs au temps d'ouverture",IF(O881&lt;0,"Arrêts supérieurs au temps requis",IF(AND(P881&gt;0,O881=0),"Pièces déclarées sans temps de marche",IF(AND(P881=0,O881&gt;0),"Aucune pièce déclarée",IF(P881*60/Q881&gt;O881+0.001,"Cadence dépassée : vérifiez la cadence","OK"))))))))))))))))))</f>
        <v/>
      </c>
      <c r="AC881">
        <f>IF(OR(AB881="OK",AB881="Aucune pièce déclarée",AB881="Cadence dépassée : vérifiez la cadence"),1,0)</f>
        <v>0.0</v>
      </c>
      <c r="AD881">
        <f>IF(AND(AC881=1,A881&gt;=p_from,A881&lt;=p_to),1,0)</f>
        <v>0.0</v>
      </c>
      <c r="AE881">
        <f>IF(AD881=1,IF(COUNTIFS($A$6:A881,A881,$AD$6:AD881,1)=1,1,0),0)</f>
        <v>0.0</v>
      </c>
      <c r="AF881" t="str">
        <f>IF(AE881=1,COUNTIFS(sj_first,1,sj_date,"&lt;"&amp;A881)+1,"")</f>
        <v/>
      </c>
      <c r="AG881" t="str">
        <f>IF(AND(AD881=1,N(W881)&lt;p_alert),ROUND(W881,4),"")</f>
        <v/>
      </c>
      <c r="AH881" t="str">
        <f>IF(AG881="","",COUNTIF(sj_akey,"&lt;"&amp;AG881)+COUNTIF($AG$6:AG881,AG881))</f>
        <v/>
      </c>
    </row>
    <row r="882">
      <c r="A882" s="51" t="n"/>
      <c r="B882" s="52" t="n"/>
      <c r="C882" s="52" t="n"/>
      <c r="D882" s="53" t="n"/>
      <c r="E882" s="53" t="n"/>
      <c r="F882" s="54" t="n"/>
      <c r="G882" s="54" t="n"/>
      <c r="H882" s="54" t="n"/>
      <c r="I882" s="54" t="n"/>
      <c r="J882" s="53" t="n"/>
      <c r="K882" s="55" t="str">
        <f>IF(COUNTA(A882:I882)=0,"",IF(F882="",IFERROR(INDEX(eq_dur,MATCH(B882,eq_code,0)),""),F882))</f>
        <v/>
      </c>
      <c r="L882" s="55" t="str">
        <f>IF(ISNUMBER(K882),N(IFERROR(INDEX(eq_pause,MATCH(B882,eq_code,0)),0))+SUMIFS(st_min,st_date,A882,st_eq,B882,st_po,C882,st_type,"Planifié"),"")</f>
        <v/>
      </c>
      <c r="M882" s="55" t="str">
        <f>IF(ISNUMBER(K882),K882-L882,"")</f>
        <v/>
      </c>
      <c r="N882" s="55" t="str">
        <f>IF(ISNUMBER(K882),SUMIFS(st_min,st_date,A882,st_eq,B882,st_po,C882,st_type,"Non planifié"),"")</f>
        <v/>
      </c>
      <c r="O882" s="55" t="str">
        <f>IF(ISNUMBER(K882),M882-N882,"")</f>
        <v/>
      </c>
      <c r="P882" s="55" t="str">
        <f>IF(COUNTA(A882:I882)=0,"",N(G882)+N(H882)+N(I882))</f>
        <v/>
      </c>
      <c r="Q882" s="56" t="str">
        <f>IF(COUNTA(A882:I882)=0,"",IF(N(IFERROR(INDEX(art_rate,MATCH(E882,art_ref,0)),0))&gt;0,N(IFERROR(INDEX(art_rate,MATCH(E882,art_ref,0)),0)),N(IFERROR(INDEX(po_rate,MATCH(C882,po_code,0)),0))))</f>
        <v/>
      </c>
      <c r="R882" s="55" t="str">
        <f>IF(AC882=1,P882*60/Q882,"")</f>
        <v/>
      </c>
      <c r="S882" s="55" t="str">
        <f>IF(AC882=1,N(G882)*60/Q882,"")</f>
        <v/>
      </c>
      <c r="T882" s="57" t="str">
        <f>IF(AC882=1,O882/M882,"")</f>
        <v/>
      </c>
      <c r="U882" s="57" t="str">
        <f>IF(AC882=1,IF(O882&gt;0,R882/O882,""),"")</f>
        <v/>
      </c>
      <c r="V882" s="57" t="str">
        <f>IF(AC882=1,IF(P882&gt;0,N(G882)/P882,""),"")</f>
        <v/>
      </c>
      <c r="W882" s="57" t="str">
        <f>IF(AC882=1,S882/M882,"")</f>
        <v/>
      </c>
      <c r="X882" s="57" t="str">
        <f>IF(AC882=1,S882/K882,"")</f>
        <v/>
      </c>
      <c r="Y882" s="58" t="str">
        <f>IF(W882="","",IF(W882&gt;=p_target,"Bon",IF(W882&gt;=p_alert,"À surveiller","Faible")))</f>
        <v/>
      </c>
      <c r="Z882" s="58" t="str">
        <f>IF(W882="","",IF(MIN(IF(T882="",1,T882),IF(U882="",1,U882),IF(V882="",1,V882))&gt;=1,"Aucune",IF(IF(T882="",1,T882)&lt;=MIN(IF(U882="",1,U882),IF(V882="",1,V882)),"Disponibilité",IF(IF(U882="",1,U882)&lt;=IF(V882="",1,V882),"Performance","Qualité"))))</f>
        <v/>
      </c>
      <c r="AA882" s="59" t="str">
        <f>IF(AC882=1,N(H882)*N(IFERROR(INDEX(art_cost,MATCH(E882,art_ref,0)),0)),"")</f>
        <v/>
      </c>
      <c r="AB882" s="58" t="str">
        <f>IF(COUNTA(A882:I882)=0,"",IF(N(A882)&lt;=0,"Date manquante ou invalide",IF(B882="","Équipe manquante",IF(ISNA(MATCH(B882,eq_code,0)),"Équipe inconnue",IF(INDEX(eq_check,MATCH(B882,eq_code,0))&lt;&gt;"OK","Équipe à corriger dans Paramètres",IF(C882="","Poste manquant",IF(ISNA(MATCH(C882,po_code,0)),"Poste inconnu",IF(AND(E882&lt;&gt;"",ISNA(MATCH(E882,art_ref,0))),"Article inconnu",IF(IF(E882="",FALSE,INDEX(art_check,MATCH(E882,art_ref,0))&lt;&gt;"OK"),"Article à corriger (feuille Articles)",IF(COUNTIFS(sj_date,A882,sj_eq,B882,sj_po,C882)&gt;1,"Ligne en double (même jour, équipe et poste)",IF(OR(NOT(ISNUMBER(K882)),N(K882)&lt;=0,N(K882)&gt;1440),"Temps d'ouverture invalide",IF(OR(AND(G882&lt;&gt;"",NOT(ISNUMBER(G882))),N(G882)&lt;0,N(G882)&lt;&gt;INT(N(G882)),AND(H882&lt;&gt;"",NOT(ISNUMBER(H882))),N(H882)&lt;0,N(H882)&lt;&gt;INT(N(H882)),AND(I882&lt;&gt;"",NOT(ISNUMBER(I882))),N(I882)&lt;0,N(I882)&lt;&gt;INT(N(I882))),"Quantité invalide",IF(Q882&lt;=0,"Cadence manquante (poste ou article)",IF(M882&lt;=0,"Arrêts planifiés supérieurs au temps d'ouverture",IF(O882&lt;0,"Arrêts supérieurs au temps requis",IF(AND(P882&gt;0,O882=0),"Pièces déclarées sans temps de marche",IF(AND(P882=0,O882&gt;0),"Aucune pièce déclarée",IF(P882*60/Q882&gt;O882+0.001,"Cadence dépassée : vérifiez la cadence","OK"))))))))))))))))))</f>
        <v/>
      </c>
      <c r="AC882">
        <f>IF(OR(AB882="OK",AB882="Aucune pièce déclarée",AB882="Cadence dépassée : vérifiez la cadence"),1,0)</f>
        <v>0.0</v>
      </c>
      <c r="AD882">
        <f>IF(AND(AC882=1,A882&gt;=p_from,A882&lt;=p_to),1,0)</f>
        <v>0.0</v>
      </c>
      <c r="AE882">
        <f>IF(AD882=1,IF(COUNTIFS($A$6:A882,A882,$AD$6:AD882,1)=1,1,0),0)</f>
        <v>0.0</v>
      </c>
      <c r="AF882" t="str">
        <f>IF(AE882=1,COUNTIFS(sj_first,1,sj_date,"&lt;"&amp;A882)+1,"")</f>
        <v/>
      </c>
      <c r="AG882" t="str">
        <f>IF(AND(AD882=1,N(W882)&lt;p_alert),ROUND(W882,4),"")</f>
        <v/>
      </c>
      <c r="AH882" t="str">
        <f>IF(AG882="","",COUNTIF(sj_akey,"&lt;"&amp;AG882)+COUNTIF($AG$6:AG882,AG882))</f>
        <v/>
      </c>
    </row>
    <row r="883">
      <c r="A883" s="51" t="n"/>
      <c r="B883" s="52" t="n"/>
      <c r="C883" s="52" t="n"/>
      <c r="D883" s="53" t="n"/>
      <c r="E883" s="53" t="n"/>
      <c r="F883" s="54" t="n"/>
      <c r="G883" s="54" t="n"/>
      <c r="H883" s="54" t="n"/>
      <c r="I883" s="54" t="n"/>
      <c r="J883" s="53" t="n"/>
      <c r="K883" s="55" t="str">
        <f>IF(COUNTA(A883:I883)=0,"",IF(F883="",IFERROR(INDEX(eq_dur,MATCH(B883,eq_code,0)),""),F883))</f>
        <v/>
      </c>
      <c r="L883" s="55" t="str">
        <f>IF(ISNUMBER(K883),N(IFERROR(INDEX(eq_pause,MATCH(B883,eq_code,0)),0))+SUMIFS(st_min,st_date,A883,st_eq,B883,st_po,C883,st_type,"Planifié"),"")</f>
        <v/>
      </c>
      <c r="M883" s="55" t="str">
        <f>IF(ISNUMBER(K883),K883-L883,"")</f>
        <v/>
      </c>
      <c r="N883" s="55" t="str">
        <f>IF(ISNUMBER(K883),SUMIFS(st_min,st_date,A883,st_eq,B883,st_po,C883,st_type,"Non planifié"),"")</f>
        <v/>
      </c>
      <c r="O883" s="55" t="str">
        <f>IF(ISNUMBER(K883),M883-N883,"")</f>
        <v/>
      </c>
      <c r="P883" s="55" t="str">
        <f>IF(COUNTA(A883:I883)=0,"",N(G883)+N(H883)+N(I883))</f>
        <v/>
      </c>
      <c r="Q883" s="56" t="str">
        <f>IF(COUNTA(A883:I883)=0,"",IF(N(IFERROR(INDEX(art_rate,MATCH(E883,art_ref,0)),0))&gt;0,N(IFERROR(INDEX(art_rate,MATCH(E883,art_ref,0)),0)),N(IFERROR(INDEX(po_rate,MATCH(C883,po_code,0)),0))))</f>
        <v/>
      </c>
      <c r="R883" s="55" t="str">
        <f>IF(AC883=1,P883*60/Q883,"")</f>
        <v/>
      </c>
      <c r="S883" s="55" t="str">
        <f>IF(AC883=1,N(G883)*60/Q883,"")</f>
        <v/>
      </c>
      <c r="T883" s="57" t="str">
        <f>IF(AC883=1,O883/M883,"")</f>
        <v/>
      </c>
      <c r="U883" s="57" t="str">
        <f>IF(AC883=1,IF(O883&gt;0,R883/O883,""),"")</f>
        <v/>
      </c>
      <c r="V883" s="57" t="str">
        <f>IF(AC883=1,IF(P883&gt;0,N(G883)/P883,""),"")</f>
        <v/>
      </c>
      <c r="W883" s="57" t="str">
        <f>IF(AC883=1,S883/M883,"")</f>
        <v/>
      </c>
      <c r="X883" s="57" t="str">
        <f>IF(AC883=1,S883/K883,"")</f>
        <v/>
      </c>
      <c r="Y883" s="58" t="str">
        <f>IF(W883="","",IF(W883&gt;=p_target,"Bon",IF(W883&gt;=p_alert,"À surveiller","Faible")))</f>
        <v/>
      </c>
      <c r="Z883" s="58" t="str">
        <f>IF(W883="","",IF(MIN(IF(T883="",1,T883),IF(U883="",1,U883),IF(V883="",1,V883))&gt;=1,"Aucune",IF(IF(T883="",1,T883)&lt;=MIN(IF(U883="",1,U883),IF(V883="",1,V883)),"Disponibilité",IF(IF(U883="",1,U883)&lt;=IF(V883="",1,V883),"Performance","Qualité"))))</f>
        <v/>
      </c>
      <c r="AA883" s="59" t="str">
        <f>IF(AC883=1,N(H883)*N(IFERROR(INDEX(art_cost,MATCH(E883,art_ref,0)),0)),"")</f>
        <v/>
      </c>
      <c r="AB883" s="58" t="str">
        <f>IF(COUNTA(A883:I883)=0,"",IF(N(A883)&lt;=0,"Date manquante ou invalide",IF(B883="","Équipe manquante",IF(ISNA(MATCH(B883,eq_code,0)),"Équipe inconnue",IF(INDEX(eq_check,MATCH(B883,eq_code,0))&lt;&gt;"OK","Équipe à corriger dans Paramètres",IF(C883="","Poste manquant",IF(ISNA(MATCH(C883,po_code,0)),"Poste inconnu",IF(AND(E883&lt;&gt;"",ISNA(MATCH(E883,art_ref,0))),"Article inconnu",IF(IF(E883="",FALSE,INDEX(art_check,MATCH(E883,art_ref,0))&lt;&gt;"OK"),"Article à corriger (feuille Articles)",IF(COUNTIFS(sj_date,A883,sj_eq,B883,sj_po,C883)&gt;1,"Ligne en double (même jour, équipe et poste)",IF(OR(NOT(ISNUMBER(K883)),N(K883)&lt;=0,N(K883)&gt;1440),"Temps d'ouverture invalide",IF(OR(AND(G883&lt;&gt;"",NOT(ISNUMBER(G883))),N(G883)&lt;0,N(G883)&lt;&gt;INT(N(G883)),AND(H883&lt;&gt;"",NOT(ISNUMBER(H883))),N(H883)&lt;0,N(H883)&lt;&gt;INT(N(H883)),AND(I883&lt;&gt;"",NOT(ISNUMBER(I883))),N(I883)&lt;0,N(I883)&lt;&gt;INT(N(I883))),"Quantité invalide",IF(Q883&lt;=0,"Cadence manquante (poste ou article)",IF(M883&lt;=0,"Arrêts planifiés supérieurs au temps d'ouverture",IF(O883&lt;0,"Arrêts supérieurs au temps requis",IF(AND(P883&gt;0,O883=0),"Pièces déclarées sans temps de marche",IF(AND(P883=0,O883&gt;0),"Aucune pièce déclarée",IF(P883*60/Q883&gt;O883+0.001,"Cadence dépassée : vérifiez la cadence","OK"))))))))))))))))))</f>
        <v/>
      </c>
      <c r="AC883">
        <f>IF(OR(AB883="OK",AB883="Aucune pièce déclarée",AB883="Cadence dépassée : vérifiez la cadence"),1,0)</f>
        <v>0.0</v>
      </c>
      <c r="AD883">
        <f>IF(AND(AC883=1,A883&gt;=p_from,A883&lt;=p_to),1,0)</f>
        <v>0.0</v>
      </c>
      <c r="AE883">
        <f>IF(AD883=1,IF(COUNTIFS($A$6:A883,A883,$AD$6:AD883,1)=1,1,0),0)</f>
        <v>0.0</v>
      </c>
      <c r="AF883" t="str">
        <f>IF(AE883=1,COUNTIFS(sj_first,1,sj_date,"&lt;"&amp;A883)+1,"")</f>
        <v/>
      </c>
      <c r="AG883" t="str">
        <f>IF(AND(AD883=1,N(W883)&lt;p_alert),ROUND(W883,4),"")</f>
        <v/>
      </c>
      <c r="AH883" t="str">
        <f>IF(AG883="","",COUNTIF(sj_akey,"&lt;"&amp;AG883)+COUNTIF($AG$6:AG883,AG883))</f>
        <v/>
      </c>
    </row>
    <row r="884">
      <c r="A884" s="51" t="n"/>
      <c r="B884" s="52" t="n"/>
      <c r="C884" s="52" t="n"/>
      <c r="D884" s="53" t="n"/>
      <c r="E884" s="53" t="n"/>
      <c r="F884" s="54" t="n"/>
      <c r="G884" s="54" t="n"/>
      <c r="H884" s="54" t="n"/>
      <c r="I884" s="54" t="n"/>
      <c r="J884" s="53" t="n"/>
      <c r="K884" s="55" t="str">
        <f>IF(COUNTA(A884:I884)=0,"",IF(F884="",IFERROR(INDEX(eq_dur,MATCH(B884,eq_code,0)),""),F884))</f>
        <v/>
      </c>
      <c r="L884" s="55" t="str">
        <f>IF(ISNUMBER(K884),N(IFERROR(INDEX(eq_pause,MATCH(B884,eq_code,0)),0))+SUMIFS(st_min,st_date,A884,st_eq,B884,st_po,C884,st_type,"Planifié"),"")</f>
        <v/>
      </c>
      <c r="M884" s="55" t="str">
        <f>IF(ISNUMBER(K884),K884-L884,"")</f>
        <v/>
      </c>
      <c r="N884" s="55" t="str">
        <f>IF(ISNUMBER(K884),SUMIFS(st_min,st_date,A884,st_eq,B884,st_po,C884,st_type,"Non planifié"),"")</f>
        <v/>
      </c>
      <c r="O884" s="55" t="str">
        <f>IF(ISNUMBER(K884),M884-N884,"")</f>
        <v/>
      </c>
      <c r="P884" s="55" t="str">
        <f>IF(COUNTA(A884:I884)=0,"",N(G884)+N(H884)+N(I884))</f>
        <v/>
      </c>
      <c r="Q884" s="56" t="str">
        <f>IF(COUNTA(A884:I884)=0,"",IF(N(IFERROR(INDEX(art_rate,MATCH(E884,art_ref,0)),0))&gt;0,N(IFERROR(INDEX(art_rate,MATCH(E884,art_ref,0)),0)),N(IFERROR(INDEX(po_rate,MATCH(C884,po_code,0)),0))))</f>
        <v/>
      </c>
      <c r="R884" s="55" t="str">
        <f>IF(AC884=1,P884*60/Q884,"")</f>
        <v/>
      </c>
      <c r="S884" s="55" t="str">
        <f>IF(AC884=1,N(G884)*60/Q884,"")</f>
        <v/>
      </c>
      <c r="T884" s="57" t="str">
        <f>IF(AC884=1,O884/M884,"")</f>
        <v/>
      </c>
      <c r="U884" s="57" t="str">
        <f>IF(AC884=1,IF(O884&gt;0,R884/O884,""),"")</f>
        <v/>
      </c>
      <c r="V884" s="57" t="str">
        <f>IF(AC884=1,IF(P884&gt;0,N(G884)/P884,""),"")</f>
        <v/>
      </c>
      <c r="W884" s="57" t="str">
        <f>IF(AC884=1,S884/M884,"")</f>
        <v/>
      </c>
      <c r="X884" s="57" t="str">
        <f>IF(AC884=1,S884/K884,"")</f>
        <v/>
      </c>
      <c r="Y884" s="58" t="str">
        <f>IF(W884="","",IF(W884&gt;=p_target,"Bon",IF(W884&gt;=p_alert,"À surveiller","Faible")))</f>
        <v/>
      </c>
      <c r="Z884" s="58" t="str">
        <f>IF(W884="","",IF(MIN(IF(T884="",1,T884),IF(U884="",1,U884),IF(V884="",1,V884))&gt;=1,"Aucune",IF(IF(T884="",1,T884)&lt;=MIN(IF(U884="",1,U884),IF(V884="",1,V884)),"Disponibilité",IF(IF(U884="",1,U884)&lt;=IF(V884="",1,V884),"Performance","Qualité"))))</f>
        <v/>
      </c>
      <c r="AA884" s="59" t="str">
        <f>IF(AC884=1,N(H884)*N(IFERROR(INDEX(art_cost,MATCH(E884,art_ref,0)),0)),"")</f>
        <v/>
      </c>
      <c r="AB884" s="58" t="str">
        <f>IF(COUNTA(A884:I884)=0,"",IF(N(A884)&lt;=0,"Date manquante ou invalide",IF(B884="","Équipe manquante",IF(ISNA(MATCH(B884,eq_code,0)),"Équipe inconnue",IF(INDEX(eq_check,MATCH(B884,eq_code,0))&lt;&gt;"OK","Équipe à corriger dans Paramètres",IF(C884="","Poste manquant",IF(ISNA(MATCH(C884,po_code,0)),"Poste inconnu",IF(AND(E884&lt;&gt;"",ISNA(MATCH(E884,art_ref,0))),"Article inconnu",IF(IF(E884="",FALSE,INDEX(art_check,MATCH(E884,art_ref,0))&lt;&gt;"OK"),"Article à corriger (feuille Articles)",IF(COUNTIFS(sj_date,A884,sj_eq,B884,sj_po,C884)&gt;1,"Ligne en double (même jour, équipe et poste)",IF(OR(NOT(ISNUMBER(K884)),N(K884)&lt;=0,N(K884)&gt;1440),"Temps d'ouverture invalide",IF(OR(AND(G884&lt;&gt;"",NOT(ISNUMBER(G884))),N(G884)&lt;0,N(G884)&lt;&gt;INT(N(G884)),AND(H884&lt;&gt;"",NOT(ISNUMBER(H884))),N(H884)&lt;0,N(H884)&lt;&gt;INT(N(H884)),AND(I884&lt;&gt;"",NOT(ISNUMBER(I884))),N(I884)&lt;0,N(I884)&lt;&gt;INT(N(I884))),"Quantité invalide",IF(Q884&lt;=0,"Cadence manquante (poste ou article)",IF(M884&lt;=0,"Arrêts planifiés supérieurs au temps d'ouverture",IF(O884&lt;0,"Arrêts supérieurs au temps requis",IF(AND(P884&gt;0,O884=0),"Pièces déclarées sans temps de marche",IF(AND(P884=0,O884&gt;0),"Aucune pièce déclarée",IF(P884*60/Q884&gt;O884+0.001,"Cadence dépassée : vérifiez la cadence","OK"))))))))))))))))))</f>
        <v/>
      </c>
      <c r="AC884">
        <f>IF(OR(AB884="OK",AB884="Aucune pièce déclarée",AB884="Cadence dépassée : vérifiez la cadence"),1,0)</f>
        <v>0.0</v>
      </c>
      <c r="AD884">
        <f>IF(AND(AC884=1,A884&gt;=p_from,A884&lt;=p_to),1,0)</f>
        <v>0.0</v>
      </c>
      <c r="AE884">
        <f>IF(AD884=1,IF(COUNTIFS($A$6:A884,A884,$AD$6:AD884,1)=1,1,0),0)</f>
        <v>0.0</v>
      </c>
      <c r="AF884" t="str">
        <f>IF(AE884=1,COUNTIFS(sj_first,1,sj_date,"&lt;"&amp;A884)+1,"")</f>
        <v/>
      </c>
      <c r="AG884" t="str">
        <f>IF(AND(AD884=1,N(W884)&lt;p_alert),ROUND(W884,4),"")</f>
        <v/>
      </c>
      <c r="AH884" t="str">
        <f>IF(AG884="","",COUNTIF(sj_akey,"&lt;"&amp;AG884)+COUNTIF($AG$6:AG884,AG884))</f>
        <v/>
      </c>
    </row>
    <row r="885">
      <c r="A885" s="51" t="n"/>
      <c r="B885" s="52" t="n"/>
      <c r="C885" s="52" t="n"/>
      <c r="D885" s="53" t="n"/>
      <c r="E885" s="53" t="n"/>
      <c r="F885" s="54" t="n"/>
      <c r="G885" s="54" t="n"/>
      <c r="H885" s="54" t="n"/>
      <c r="I885" s="54" t="n"/>
      <c r="J885" s="53" t="n"/>
      <c r="K885" s="55" t="str">
        <f>IF(COUNTA(A885:I885)=0,"",IF(F885="",IFERROR(INDEX(eq_dur,MATCH(B885,eq_code,0)),""),F885))</f>
        <v/>
      </c>
      <c r="L885" s="55" t="str">
        <f>IF(ISNUMBER(K885),N(IFERROR(INDEX(eq_pause,MATCH(B885,eq_code,0)),0))+SUMIFS(st_min,st_date,A885,st_eq,B885,st_po,C885,st_type,"Planifié"),"")</f>
        <v/>
      </c>
      <c r="M885" s="55" t="str">
        <f>IF(ISNUMBER(K885),K885-L885,"")</f>
        <v/>
      </c>
      <c r="N885" s="55" t="str">
        <f>IF(ISNUMBER(K885),SUMIFS(st_min,st_date,A885,st_eq,B885,st_po,C885,st_type,"Non planifié"),"")</f>
        <v/>
      </c>
      <c r="O885" s="55" t="str">
        <f>IF(ISNUMBER(K885),M885-N885,"")</f>
        <v/>
      </c>
      <c r="P885" s="55" t="str">
        <f>IF(COUNTA(A885:I885)=0,"",N(G885)+N(H885)+N(I885))</f>
        <v/>
      </c>
      <c r="Q885" s="56" t="str">
        <f>IF(COUNTA(A885:I885)=0,"",IF(N(IFERROR(INDEX(art_rate,MATCH(E885,art_ref,0)),0))&gt;0,N(IFERROR(INDEX(art_rate,MATCH(E885,art_ref,0)),0)),N(IFERROR(INDEX(po_rate,MATCH(C885,po_code,0)),0))))</f>
        <v/>
      </c>
      <c r="R885" s="55" t="str">
        <f>IF(AC885=1,P885*60/Q885,"")</f>
        <v/>
      </c>
      <c r="S885" s="55" t="str">
        <f>IF(AC885=1,N(G885)*60/Q885,"")</f>
        <v/>
      </c>
      <c r="T885" s="57" t="str">
        <f>IF(AC885=1,O885/M885,"")</f>
        <v/>
      </c>
      <c r="U885" s="57" t="str">
        <f>IF(AC885=1,IF(O885&gt;0,R885/O885,""),"")</f>
        <v/>
      </c>
      <c r="V885" s="57" t="str">
        <f>IF(AC885=1,IF(P885&gt;0,N(G885)/P885,""),"")</f>
        <v/>
      </c>
      <c r="W885" s="57" t="str">
        <f>IF(AC885=1,S885/M885,"")</f>
        <v/>
      </c>
      <c r="X885" s="57" t="str">
        <f>IF(AC885=1,S885/K885,"")</f>
        <v/>
      </c>
      <c r="Y885" s="58" t="str">
        <f>IF(W885="","",IF(W885&gt;=p_target,"Bon",IF(W885&gt;=p_alert,"À surveiller","Faible")))</f>
        <v/>
      </c>
      <c r="Z885" s="58" t="str">
        <f>IF(W885="","",IF(MIN(IF(T885="",1,T885),IF(U885="",1,U885),IF(V885="",1,V885))&gt;=1,"Aucune",IF(IF(T885="",1,T885)&lt;=MIN(IF(U885="",1,U885),IF(V885="",1,V885)),"Disponibilité",IF(IF(U885="",1,U885)&lt;=IF(V885="",1,V885),"Performance","Qualité"))))</f>
        <v/>
      </c>
      <c r="AA885" s="59" t="str">
        <f>IF(AC885=1,N(H885)*N(IFERROR(INDEX(art_cost,MATCH(E885,art_ref,0)),0)),"")</f>
        <v/>
      </c>
      <c r="AB885" s="58" t="str">
        <f>IF(COUNTA(A885:I885)=0,"",IF(N(A885)&lt;=0,"Date manquante ou invalide",IF(B885="","Équipe manquante",IF(ISNA(MATCH(B885,eq_code,0)),"Équipe inconnue",IF(INDEX(eq_check,MATCH(B885,eq_code,0))&lt;&gt;"OK","Équipe à corriger dans Paramètres",IF(C885="","Poste manquant",IF(ISNA(MATCH(C885,po_code,0)),"Poste inconnu",IF(AND(E885&lt;&gt;"",ISNA(MATCH(E885,art_ref,0))),"Article inconnu",IF(IF(E885="",FALSE,INDEX(art_check,MATCH(E885,art_ref,0))&lt;&gt;"OK"),"Article à corriger (feuille Articles)",IF(COUNTIFS(sj_date,A885,sj_eq,B885,sj_po,C885)&gt;1,"Ligne en double (même jour, équipe et poste)",IF(OR(NOT(ISNUMBER(K885)),N(K885)&lt;=0,N(K885)&gt;1440),"Temps d'ouverture invalide",IF(OR(AND(G885&lt;&gt;"",NOT(ISNUMBER(G885))),N(G885)&lt;0,N(G885)&lt;&gt;INT(N(G885)),AND(H885&lt;&gt;"",NOT(ISNUMBER(H885))),N(H885)&lt;0,N(H885)&lt;&gt;INT(N(H885)),AND(I885&lt;&gt;"",NOT(ISNUMBER(I885))),N(I885)&lt;0,N(I885)&lt;&gt;INT(N(I885))),"Quantité invalide",IF(Q885&lt;=0,"Cadence manquante (poste ou article)",IF(M885&lt;=0,"Arrêts planifiés supérieurs au temps d'ouverture",IF(O885&lt;0,"Arrêts supérieurs au temps requis",IF(AND(P885&gt;0,O885=0),"Pièces déclarées sans temps de marche",IF(AND(P885=0,O885&gt;0),"Aucune pièce déclarée",IF(P885*60/Q885&gt;O885+0.001,"Cadence dépassée : vérifiez la cadence","OK"))))))))))))))))))</f>
        <v/>
      </c>
      <c r="AC885">
        <f>IF(OR(AB885="OK",AB885="Aucune pièce déclarée",AB885="Cadence dépassée : vérifiez la cadence"),1,0)</f>
        <v>0.0</v>
      </c>
      <c r="AD885">
        <f>IF(AND(AC885=1,A885&gt;=p_from,A885&lt;=p_to),1,0)</f>
        <v>0.0</v>
      </c>
      <c r="AE885">
        <f>IF(AD885=1,IF(COUNTIFS($A$6:A885,A885,$AD$6:AD885,1)=1,1,0),0)</f>
        <v>0.0</v>
      </c>
      <c r="AF885" t="str">
        <f>IF(AE885=1,COUNTIFS(sj_first,1,sj_date,"&lt;"&amp;A885)+1,"")</f>
        <v/>
      </c>
      <c r="AG885" t="str">
        <f>IF(AND(AD885=1,N(W885)&lt;p_alert),ROUND(W885,4),"")</f>
        <v/>
      </c>
      <c r="AH885" t="str">
        <f>IF(AG885="","",COUNTIF(sj_akey,"&lt;"&amp;AG885)+COUNTIF($AG$6:AG885,AG885))</f>
        <v/>
      </c>
    </row>
    <row r="886">
      <c r="A886" s="51" t="n"/>
      <c r="B886" s="52" t="n"/>
      <c r="C886" s="52" t="n"/>
      <c r="D886" s="53" t="n"/>
      <c r="E886" s="53" t="n"/>
      <c r="F886" s="54" t="n"/>
      <c r="G886" s="54" t="n"/>
      <c r="H886" s="54" t="n"/>
      <c r="I886" s="54" t="n"/>
      <c r="J886" s="53" t="n"/>
      <c r="K886" s="55" t="str">
        <f>IF(COUNTA(A886:I886)=0,"",IF(F886="",IFERROR(INDEX(eq_dur,MATCH(B886,eq_code,0)),""),F886))</f>
        <v/>
      </c>
      <c r="L886" s="55" t="str">
        <f>IF(ISNUMBER(K886),N(IFERROR(INDEX(eq_pause,MATCH(B886,eq_code,0)),0))+SUMIFS(st_min,st_date,A886,st_eq,B886,st_po,C886,st_type,"Planifié"),"")</f>
        <v/>
      </c>
      <c r="M886" s="55" t="str">
        <f>IF(ISNUMBER(K886),K886-L886,"")</f>
        <v/>
      </c>
      <c r="N886" s="55" t="str">
        <f>IF(ISNUMBER(K886),SUMIFS(st_min,st_date,A886,st_eq,B886,st_po,C886,st_type,"Non planifié"),"")</f>
        <v/>
      </c>
      <c r="O886" s="55" t="str">
        <f>IF(ISNUMBER(K886),M886-N886,"")</f>
        <v/>
      </c>
      <c r="P886" s="55" t="str">
        <f>IF(COUNTA(A886:I886)=0,"",N(G886)+N(H886)+N(I886))</f>
        <v/>
      </c>
      <c r="Q886" s="56" t="str">
        <f>IF(COUNTA(A886:I886)=0,"",IF(N(IFERROR(INDEX(art_rate,MATCH(E886,art_ref,0)),0))&gt;0,N(IFERROR(INDEX(art_rate,MATCH(E886,art_ref,0)),0)),N(IFERROR(INDEX(po_rate,MATCH(C886,po_code,0)),0))))</f>
        <v/>
      </c>
      <c r="R886" s="55" t="str">
        <f>IF(AC886=1,P886*60/Q886,"")</f>
        <v/>
      </c>
      <c r="S886" s="55" t="str">
        <f>IF(AC886=1,N(G886)*60/Q886,"")</f>
        <v/>
      </c>
      <c r="T886" s="57" t="str">
        <f>IF(AC886=1,O886/M886,"")</f>
        <v/>
      </c>
      <c r="U886" s="57" t="str">
        <f>IF(AC886=1,IF(O886&gt;0,R886/O886,""),"")</f>
        <v/>
      </c>
      <c r="V886" s="57" t="str">
        <f>IF(AC886=1,IF(P886&gt;0,N(G886)/P886,""),"")</f>
        <v/>
      </c>
      <c r="W886" s="57" t="str">
        <f>IF(AC886=1,S886/M886,"")</f>
        <v/>
      </c>
      <c r="X886" s="57" t="str">
        <f>IF(AC886=1,S886/K886,"")</f>
        <v/>
      </c>
      <c r="Y886" s="58" t="str">
        <f>IF(W886="","",IF(W886&gt;=p_target,"Bon",IF(W886&gt;=p_alert,"À surveiller","Faible")))</f>
        <v/>
      </c>
      <c r="Z886" s="58" t="str">
        <f>IF(W886="","",IF(MIN(IF(T886="",1,T886),IF(U886="",1,U886),IF(V886="",1,V886))&gt;=1,"Aucune",IF(IF(T886="",1,T886)&lt;=MIN(IF(U886="",1,U886),IF(V886="",1,V886)),"Disponibilité",IF(IF(U886="",1,U886)&lt;=IF(V886="",1,V886),"Performance","Qualité"))))</f>
        <v/>
      </c>
      <c r="AA886" s="59" t="str">
        <f>IF(AC886=1,N(H886)*N(IFERROR(INDEX(art_cost,MATCH(E886,art_ref,0)),0)),"")</f>
        <v/>
      </c>
      <c r="AB886" s="58" t="str">
        <f>IF(COUNTA(A886:I886)=0,"",IF(N(A886)&lt;=0,"Date manquante ou invalide",IF(B886="","Équipe manquante",IF(ISNA(MATCH(B886,eq_code,0)),"Équipe inconnue",IF(INDEX(eq_check,MATCH(B886,eq_code,0))&lt;&gt;"OK","Équipe à corriger dans Paramètres",IF(C886="","Poste manquant",IF(ISNA(MATCH(C886,po_code,0)),"Poste inconnu",IF(AND(E886&lt;&gt;"",ISNA(MATCH(E886,art_ref,0))),"Article inconnu",IF(IF(E886="",FALSE,INDEX(art_check,MATCH(E886,art_ref,0))&lt;&gt;"OK"),"Article à corriger (feuille Articles)",IF(COUNTIFS(sj_date,A886,sj_eq,B886,sj_po,C886)&gt;1,"Ligne en double (même jour, équipe et poste)",IF(OR(NOT(ISNUMBER(K886)),N(K886)&lt;=0,N(K886)&gt;1440),"Temps d'ouverture invalide",IF(OR(AND(G886&lt;&gt;"",NOT(ISNUMBER(G886))),N(G886)&lt;0,N(G886)&lt;&gt;INT(N(G886)),AND(H886&lt;&gt;"",NOT(ISNUMBER(H886))),N(H886)&lt;0,N(H886)&lt;&gt;INT(N(H886)),AND(I886&lt;&gt;"",NOT(ISNUMBER(I886))),N(I886)&lt;0,N(I886)&lt;&gt;INT(N(I886))),"Quantité invalide",IF(Q886&lt;=0,"Cadence manquante (poste ou article)",IF(M886&lt;=0,"Arrêts planifiés supérieurs au temps d'ouverture",IF(O886&lt;0,"Arrêts supérieurs au temps requis",IF(AND(P886&gt;0,O886=0),"Pièces déclarées sans temps de marche",IF(AND(P886=0,O886&gt;0),"Aucune pièce déclarée",IF(P886*60/Q886&gt;O886+0.001,"Cadence dépassée : vérifiez la cadence","OK"))))))))))))))))))</f>
        <v/>
      </c>
      <c r="AC886">
        <f>IF(OR(AB886="OK",AB886="Aucune pièce déclarée",AB886="Cadence dépassée : vérifiez la cadence"),1,0)</f>
        <v>0.0</v>
      </c>
      <c r="AD886">
        <f>IF(AND(AC886=1,A886&gt;=p_from,A886&lt;=p_to),1,0)</f>
        <v>0.0</v>
      </c>
      <c r="AE886">
        <f>IF(AD886=1,IF(COUNTIFS($A$6:A886,A886,$AD$6:AD886,1)=1,1,0),0)</f>
        <v>0.0</v>
      </c>
      <c r="AF886" t="str">
        <f>IF(AE886=1,COUNTIFS(sj_first,1,sj_date,"&lt;"&amp;A886)+1,"")</f>
        <v/>
      </c>
      <c r="AG886" t="str">
        <f>IF(AND(AD886=1,N(W886)&lt;p_alert),ROUND(W886,4),"")</f>
        <v/>
      </c>
      <c r="AH886" t="str">
        <f>IF(AG886="","",COUNTIF(sj_akey,"&lt;"&amp;AG886)+COUNTIF($AG$6:AG886,AG886))</f>
        <v/>
      </c>
    </row>
    <row r="887">
      <c r="A887" s="51" t="n"/>
      <c r="B887" s="52" t="n"/>
      <c r="C887" s="52" t="n"/>
      <c r="D887" s="53" t="n"/>
      <c r="E887" s="53" t="n"/>
      <c r="F887" s="54" t="n"/>
      <c r="G887" s="54" t="n"/>
      <c r="H887" s="54" t="n"/>
      <c r="I887" s="54" t="n"/>
      <c r="J887" s="53" t="n"/>
      <c r="K887" s="55" t="str">
        <f>IF(COUNTA(A887:I887)=0,"",IF(F887="",IFERROR(INDEX(eq_dur,MATCH(B887,eq_code,0)),""),F887))</f>
        <v/>
      </c>
      <c r="L887" s="55" t="str">
        <f>IF(ISNUMBER(K887),N(IFERROR(INDEX(eq_pause,MATCH(B887,eq_code,0)),0))+SUMIFS(st_min,st_date,A887,st_eq,B887,st_po,C887,st_type,"Planifié"),"")</f>
        <v/>
      </c>
      <c r="M887" s="55" t="str">
        <f>IF(ISNUMBER(K887),K887-L887,"")</f>
        <v/>
      </c>
      <c r="N887" s="55" t="str">
        <f>IF(ISNUMBER(K887),SUMIFS(st_min,st_date,A887,st_eq,B887,st_po,C887,st_type,"Non planifié"),"")</f>
        <v/>
      </c>
      <c r="O887" s="55" t="str">
        <f>IF(ISNUMBER(K887),M887-N887,"")</f>
        <v/>
      </c>
      <c r="P887" s="55" t="str">
        <f>IF(COUNTA(A887:I887)=0,"",N(G887)+N(H887)+N(I887))</f>
        <v/>
      </c>
      <c r="Q887" s="56" t="str">
        <f>IF(COUNTA(A887:I887)=0,"",IF(N(IFERROR(INDEX(art_rate,MATCH(E887,art_ref,0)),0))&gt;0,N(IFERROR(INDEX(art_rate,MATCH(E887,art_ref,0)),0)),N(IFERROR(INDEX(po_rate,MATCH(C887,po_code,0)),0))))</f>
        <v/>
      </c>
      <c r="R887" s="55" t="str">
        <f>IF(AC887=1,P887*60/Q887,"")</f>
        <v/>
      </c>
      <c r="S887" s="55" t="str">
        <f>IF(AC887=1,N(G887)*60/Q887,"")</f>
        <v/>
      </c>
      <c r="T887" s="57" t="str">
        <f>IF(AC887=1,O887/M887,"")</f>
        <v/>
      </c>
      <c r="U887" s="57" t="str">
        <f>IF(AC887=1,IF(O887&gt;0,R887/O887,""),"")</f>
        <v/>
      </c>
      <c r="V887" s="57" t="str">
        <f>IF(AC887=1,IF(P887&gt;0,N(G887)/P887,""),"")</f>
        <v/>
      </c>
      <c r="W887" s="57" t="str">
        <f>IF(AC887=1,S887/M887,"")</f>
        <v/>
      </c>
      <c r="X887" s="57" t="str">
        <f>IF(AC887=1,S887/K887,"")</f>
        <v/>
      </c>
      <c r="Y887" s="58" t="str">
        <f>IF(W887="","",IF(W887&gt;=p_target,"Bon",IF(W887&gt;=p_alert,"À surveiller","Faible")))</f>
        <v/>
      </c>
      <c r="Z887" s="58" t="str">
        <f>IF(W887="","",IF(MIN(IF(T887="",1,T887),IF(U887="",1,U887),IF(V887="",1,V887))&gt;=1,"Aucune",IF(IF(T887="",1,T887)&lt;=MIN(IF(U887="",1,U887),IF(V887="",1,V887)),"Disponibilité",IF(IF(U887="",1,U887)&lt;=IF(V887="",1,V887),"Performance","Qualité"))))</f>
        <v/>
      </c>
      <c r="AA887" s="59" t="str">
        <f>IF(AC887=1,N(H887)*N(IFERROR(INDEX(art_cost,MATCH(E887,art_ref,0)),0)),"")</f>
        <v/>
      </c>
      <c r="AB887" s="58" t="str">
        <f>IF(COUNTA(A887:I887)=0,"",IF(N(A887)&lt;=0,"Date manquante ou invalide",IF(B887="","Équipe manquante",IF(ISNA(MATCH(B887,eq_code,0)),"Équipe inconnue",IF(INDEX(eq_check,MATCH(B887,eq_code,0))&lt;&gt;"OK","Équipe à corriger dans Paramètres",IF(C887="","Poste manquant",IF(ISNA(MATCH(C887,po_code,0)),"Poste inconnu",IF(AND(E887&lt;&gt;"",ISNA(MATCH(E887,art_ref,0))),"Article inconnu",IF(IF(E887="",FALSE,INDEX(art_check,MATCH(E887,art_ref,0))&lt;&gt;"OK"),"Article à corriger (feuille Articles)",IF(COUNTIFS(sj_date,A887,sj_eq,B887,sj_po,C887)&gt;1,"Ligne en double (même jour, équipe et poste)",IF(OR(NOT(ISNUMBER(K887)),N(K887)&lt;=0,N(K887)&gt;1440),"Temps d'ouverture invalide",IF(OR(AND(G887&lt;&gt;"",NOT(ISNUMBER(G887))),N(G887)&lt;0,N(G887)&lt;&gt;INT(N(G887)),AND(H887&lt;&gt;"",NOT(ISNUMBER(H887))),N(H887)&lt;0,N(H887)&lt;&gt;INT(N(H887)),AND(I887&lt;&gt;"",NOT(ISNUMBER(I887))),N(I887)&lt;0,N(I887)&lt;&gt;INT(N(I887))),"Quantité invalide",IF(Q887&lt;=0,"Cadence manquante (poste ou article)",IF(M887&lt;=0,"Arrêts planifiés supérieurs au temps d'ouverture",IF(O887&lt;0,"Arrêts supérieurs au temps requis",IF(AND(P887&gt;0,O887=0),"Pièces déclarées sans temps de marche",IF(AND(P887=0,O887&gt;0),"Aucune pièce déclarée",IF(P887*60/Q887&gt;O887+0.001,"Cadence dépassée : vérifiez la cadence","OK"))))))))))))))))))</f>
        <v/>
      </c>
      <c r="AC887">
        <f>IF(OR(AB887="OK",AB887="Aucune pièce déclarée",AB887="Cadence dépassée : vérifiez la cadence"),1,0)</f>
        <v>0.0</v>
      </c>
      <c r="AD887">
        <f>IF(AND(AC887=1,A887&gt;=p_from,A887&lt;=p_to),1,0)</f>
        <v>0.0</v>
      </c>
      <c r="AE887">
        <f>IF(AD887=1,IF(COUNTIFS($A$6:A887,A887,$AD$6:AD887,1)=1,1,0),0)</f>
        <v>0.0</v>
      </c>
      <c r="AF887" t="str">
        <f>IF(AE887=1,COUNTIFS(sj_first,1,sj_date,"&lt;"&amp;A887)+1,"")</f>
        <v/>
      </c>
      <c r="AG887" t="str">
        <f>IF(AND(AD887=1,N(W887)&lt;p_alert),ROUND(W887,4),"")</f>
        <v/>
      </c>
      <c r="AH887" t="str">
        <f>IF(AG887="","",COUNTIF(sj_akey,"&lt;"&amp;AG887)+COUNTIF($AG$6:AG887,AG887))</f>
        <v/>
      </c>
    </row>
    <row r="888">
      <c r="A888" s="51" t="n"/>
      <c r="B888" s="52" t="n"/>
      <c r="C888" s="52" t="n"/>
      <c r="D888" s="53" t="n"/>
      <c r="E888" s="53" t="n"/>
      <c r="F888" s="54" t="n"/>
      <c r="G888" s="54" t="n"/>
      <c r="H888" s="54" t="n"/>
      <c r="I888" s="54" t="n"/>
      <c r="J888" s="53" t="n"/>
      <c r="K888" s="55" t="str">
        <f>IF(COUNTA(A888:I888)=0,"",IF(F888="",IFERROR(INDEX(eq_dur,MATCH(B888,eq_code,0)),""),F888))</f>
        <v/>
      </c>
      <c r="L888" s="55" t="str">
        <f>IF(ISNUMBER(K888),N(IFERROR(INDEX(eq_pause,MATCH(B888,eq_code,0)),0))+SUMIFS(st_min,st_date,A888,st_eq,B888,st_po,C888,st_type,"Planifié"),"")</f>
        <v/>
      </c>
      <c r="M888" s="55" t="str">
        <f>IF(ISNUMBER(K888),K888-L888,"")</f>
        <v/>
      </c>
      <c r="N888" s="55" t="str">
        <f>IF(ISNUMBER(K888),SUMIFS(st_min,st_date,A888,st_eq,B888,st_po,C888,st_type,"Non planifié"),"")</f>
        <v/>
      </c>
      <c r="O888" s="55" t="str">
        <f>IF(ISNUMBER(K888),M888-N888,"")</f>
        <v/>
      </c>
      <c r="P888" s="55" t="str">
        <f>IF(COUNTA(A888:I888)=0,"",N(G888)+N(H888)+N(I888))</f>
        <v/>
      </c>
      <c r="Q888" s="56" t="str">
        <f>IF(COUNTA(A888:I888)=0,"",IF(N(IFERROR(INDEX(art_rate,MATCH(E888,art_ref,0)),0))&gt;0,N(IFERROR(INDEX(art_rate,MATCH(E888,art_ref,0)),0)),N(IFERROR(INDEX(po_rate,MATCH(C888,po_code,0)),0))))</f>
        <v/>
      </c>
      <c r="R888" s="55" t="str">
        <f>IF(AC888=1,P888*60/Q888,"")</f>
        <v/>
      </c>
      <c r="S888" s="55" t="str">
        <f>IF(AC888=1,N(G888)*60/Q888,"")</f>
        <v/>
      </c>
      <c r="T888" s="57" t="str">
        <f>IF(AC888=1,O888/M888,"")</f>
        <v/>
      </c>
      <c r="U888" s="57" t="str">
        <f>IF(AC888=1,IF(O888&gt;0,R888/O888,""),"")</f>
        <v/>
      </c>
      <c r="V888" s="57" t="str">
        <f>IF(AC888=1,IF(P888&gt;0,N(G888)/P888,""),"")</f>
        <v/>
      </c>
      <c r="W888" s="57" t="str">
        <f>IF(AC888=1,S888/M888,"")</f>
        <v/>
      </c>
      <c r="X888" s="57" t="str">
        <f>IF(AC888=1,S888/K888,"")</f>
        <v/>
      </c>
      <c r="Y888" s="58" t="str">
        <f>IF(W888="","",IF(W888&gt;=p_target,"Bon",IF(W888&gt;=p_alert,"À surveiller","Faible")))</f>
        <v/>
      </c>
      <c r="Z888" s="58" t="str">
        <f>IF(W888="","",IF(MIN(IF(T888="",1,T888),IF(U888="",1,U888),IF(V888="",1,V888))&gt;=1,"Aucune",IF(IF(T888="",1,T888)&lt;=MIN(IF(U888="",1,U888),IF(V888="",1,V888)),"Disponibilité",IF(IF(U888="",1,U888)&lt;=IF(V888="",1,V888),"Performance","Qualité"))))</f>
        <v/>
      </c>
      <c r="AA888" s="59" t="str">
        <f>IF(AC888=1,N(H888)*N(IFERROR(INDEX(art_cost,MATCH(E888,art_ref,0)),0)),"")</f>
        <v/>
      </c>
      <c r="AB888" s="58" t="str">
        <f>IF(COUNTA(A888:I888)=0,"",IF(N(A888)&lt;=0,"Date manquante ou invalide",IF(B888="","Équipe manquante",IF(ISNA(MATCH(B888,eq_code,0)),"Équipe inconnue",IF(INDEX(eq_check,MATCH(B888,eq_code,0))&lt;&gt;"OK","Équipe à corriger dans Paramètres",IF(C888="","Poste manquant",IF(ISNA(MATCH(C888,po_code,0)),"Poste inconnu",IF(AND(E888&lt;&gt;"",ISNA(MATCH(E888,art_ref,0))),"Article inconnu",IF(IF(E888="",FALSE,INDEX(art_check,MATCH(E888,art_ref,0))&lt;&gt;"OK"),"Article à corriger (feuille Articles)",IF(COUNTIFS(sj_date,A888,sj_eq,B888,sj_po,C888)&gt;1,"Ligne en double (même jour, équipe et poste)",IF(OR(NOT(ISNUMBER(K888)),N(K888)&lt;=0,N(K888)&gt;1440),"Temps d'ouverture invalide",IF(OR(AND(G888&lt;&gt;"",NOT(ISNUMBER(G888))),N(G888)&lt;0,N(G888)&lt;&gt;INT(N(G888)),AND(H888&lt;&gt;"",NOT(ISNUMBER(H888))),N(H888)&lt;0,N(H888)&lt;&gt;INT(N(H888)),AND(I888&lt;&gt;"",NOT(ISNUMBER(I888))),N(I888)&lt;0,N(I888)&lt;&gt;INT(N(I888))),"Quantité invalide",IF(Q888&lt;=0,"Cadence manquante (poste ou article)",IF(M888&lt;=0,"Arrêts planifiés supérieurs au temps d'ouverture",IF(O888&lt;0,"Arrêts supérieurs au temps requis",IF(AND(P888&gt;0,O888=0),"Pièces déclarées sans temps de marche",IF(AND(P888=0,O888&gt;0),"Aucune pièce déclarée",IF(P888*60/Q888&gt;O888+0.001,"Cadence dépassée : vérifiez la cadence","OK"))))))))))))))))))</f>
        <v/>
      </c>
      <c r="AC888">
        <f>IF(OR(AB888="OK",AB888="Aucune pièce déclarée",AB888="Cadence dépassée : vérifiez la cadence"),1,0)</f>
        <v>0.0</v>
      </c>
      <c r="AD888">
        <f>IF(AND(AC888=1,A888&gt;=p_from,A888&lt;=p_to),1,0)</f>
        <v>0.0</v>
      </c>
      <c r="AE888">
        <f>IF(AD888=1,IF(COUNTIFS($A$6:A888,A888,$AD$6:AD888,1)=1,1,0),0)</f>
        <v>0.0</v>
      </c>
      <c r="AF888" t="str">
        <f>IF(AE888=1,COUNTIFS(sj_first,1,sj_date,"&lt;"&amp;A888)+1,"")</f>
        <v/>
      </c>
      <c r="AG888" t="str">
        <f>IF(AND(AD888=1,N(W888)&lt;p_alert),ROUND(W888,4),"")</f>
        <v/>
      </c>
      <c r="AH888" t="str">
        <f>IF(AG888="","",COUNTIF(sj_akey,"&lt;"&amp;AG888)+COUNTIF($AG$6:AG888,AG888))</f>
        <v/>
      </c>
    </row>
    <row r="889">
      <c r="A889" s="51" t="n"/>
      <c r="B889" s="52" t="n"/>
      <c r="C889" s="52" t="n"/>
      <c r="D889" s="53" t="n"/>
      <c r="E889" s="53" t="n"/>
      <c r="F889" s="54" t="n"/>
      <c r="G889" s="54" t="n"/>
      <c r="H889" s="54" t="n"/>
      <c r="I889" s="54" t="n"/>
      <c r="J889" s="53" t="n"/>
      <c r="K889" s="55" t="str">
        <f>IF(COUNTA(A889:I889)=0,"",IF(F889="",IFERROR(INDEX(eq_dur,MATCH(B889,eq_code,0)),""),F889))</f>
        <v/>
      </c>
      <c r="L889" s="55" t="str">
        <f>IF(ISNUMBER(K889),N(IFERROR(INDEX(eq_pause,MATCH(B889,eq_code,0)),0))+SUMIFS(st_min,st_date,A889,st_eq,B889,st_po,C889,st_type,"Planifié"),"")</f>
        <v/>
      </c>
      <c r="M889" s="55" t="str">
        <f>IF(ISNUMBER(K889),K889-L889,"")</f>
        <v/>
      </c>
      <c r="N889" s="55" t="str">
        <f>IF(ISNUMBER(K889),SUMIFS(st_min,st_date,A889,st_eq,B889,st_po,C889,st_type,"Non planifié"),"")</f>
        <v/>
      </c>
      <c r="O889" s="55" t="str">
        <f>IF(ISNUMBER(K889),M889-N889,"")</f>
        <v/>
      </c>
      <c r="P889" s="55" t="str">
        <f>IF(COUNTA(A889:I889)=0,"",N(G889)+N(H889)+N(I889))</f>
        <v/>
      </c>
      <c r="Q889" s="56" t="str">
        <f>IF(COUNTA(A889:I889)=0,"",IF(N(IFERROR(INDEX(art_rate,MATCH(E889,art_ref,0)),0))&gt;0,N(IFERROR(INDEX(art_rate,MATCH(E889,art_ref,0)),0)),N(IFERROR(INDEX(po_rate,MATCH(C889,po_code,0)),0))))</f>
        <v/>
      </c>
      <c r="R889" s="55" t="str">
        <f>IF(AC889=1,P889*60/Q889,"")</f>
        <v/>
      </c>
      <c r="S889" s="55" t="str">
        <f>IF(AC889=1,N(G889)*60/Q889,"")</f>
        <v/>
      </c>
      <c r="T889" s="57" t="str">
        <f>IF(AC889=1,O889/M889,"")</f>
        <v/>
      </c>
      <c r="U889" s="57" t="str">
        <f>IF(AC889=1,IF(O889&gt;0,R889/O889,""),"")</f>
        <v/>
      </c>
      <c r="V889" s="57" t="str">
        <f>IF(AC889=1,IF(P889&gt;0,N(G889)/P889,""),"")</f>
        <v/>
      </c>
      <c r="W889" s="57" t="str">
        <f>IF(AC889=1,S889/M889,"")</f>
        <v/>
      </c>
      <c r="X889" s="57" t="str">
        <f>IF(AC889=1,S889/K889,"")</f>
        <v/>
      </c>
      <c r="Y889" s="58" t="str">
        <f>IF(W889="","",IF(W889&gt;=p_target,"Bon",IF(W889&gt;=p_alert,"À surveiller","Faible")))</f>
        <v/>
      </c>
      <c r="Z889" s="58" t="str">
        <f>IF(W889="","",IF(MIN(IF(T889="",1,T889),IF(U889="",1,U889),IF(V889="",1,V889))&gt;=1,"Aucune",IF(IF(T889="",1,T889)&lt;=MIN(IF(U889="",1,U889),IF(V889="",1,V889)),"Disponibilité",IF(IF(U889="",1,U889)&lt;=IF(V889="",1,V889),"Performance","Qualité"))))</f>
        <v/>
      </c>
      <c r="AA889" s="59" t="str">
        <f>IF(AC889=1,N(H889)*N(IFERROR(INDEX(art_cost,MATCH(E889,art_ref,0)),0)),"")</f>
        <v/>
      </c>
      <c r="AB889" s="58" t="str">
        <f>IF(COUNTA(A889:I889)=0,"",IF(N(A889)&lt;=0,"Date manquante ou invalide",IF(B889="","Équipe manquante",IF(ISNA(MATCH(B889,eq_code,0)),"Équipe inconnue",IF(INDEX(eq_check,MATCH(B889,eq_code,0))&lt;&gt;"OK","Équipe à corriger dans Paramètres",IF(C889="","Poste manquant",IF(ISNA(MATCH(C889,po_code,0)),"Poste inconnu",IF(AND(E889&lt;&gt;"",ISNA(MATCH(E889,art_ref,0))),"Article inconnu",IF(IF(E889="",FALSE,INDEX(art_check,MATCH(E889,art_ref,0))&lt;&gt;"OK"),"Article à corriger (feuille Articles)",IF(COUNTIFS(sj_date,A889,sj_eq,B889,sj_po,C889)&gt;1,"Ligne en double (même jour, équipe et poste)",IF(OR(NOT(ISNUMBER(K889)),N(K889)&lt;=0,N(K889)&gt;1440),"Temps d'ouverture invalide",IF(OR(AND(G889&lt;&gt;"",NOT(ISNUMBER(G889))),N(G889)&lt;0,N(G889)&lt;&gt;INT(N(G889)),AND(H889&lt;&gt;"",NOT(ISNUMBER(H889))),N(H889)&lt;0,N(H889)&lt;&gt;INT(N(H889)),AND(I889&lt;&gt;"",NOT(ISNUMBER(I889))),N(I889)&lt;0,N(I889)&lt;&gt;INT(N(I889))),"Quantité invalide",IF(Q889&lt;=0,"Cadence manquante (poste ou article)",IF(M889&lt;=0,"Arrêts planifiés supérieurs au temps d'ouverture",IF(O889&lt;0,"Arrêts supérieurs au temps requis",IF(AND(P889&gt;0,O889=0),"Pièces déclarées sans temps de marche",IF(AND(P889=0,O889&gt;0),"Aucune pièce déclarée",IF(P889*60/Q889&gt;O889+0.001,"Cadence dépassée : vérifiez la cadence","OK"))))))))))))))))))</f>
        <v/>
      </c>
      <c r="AC889">
        <f>IF(OR(AB889="OK",AB889="Aucune pièce déclarée",AB889="Cadence dépassée : vérifiez la cadence"),1,0)</f>
        <v>0.0</v>
      </c>
      <c r="AD889">
        <f>IF(AND(AC889=1,A889&gt;=p_from,A889&lt;=p_to),1,0)</f>
        <v>0.0</v>
      </c>
      <c r="AE889">
        <f>IF(AD889=1,IF(COUNTIFS($A$6:A889,A889,$AD$6:AD889,1)=1,1,0),0)</f>
        <v>0.0</v>
      </c>
      <c r="AF889" t="str">
        <f>IF(AE889=1,COUNTIFS(sj_first,1,sj_date,"&lt;"&amp;A889)+1,"")</f>
        <v/>
      </c>
      <c r="AG889" t="str">
        <f>IF(AND(AD889=1,N(W889)&lt;p_alert),ROUND(W889,4),"")</f>
        <v/>
      </c>
      <c r="AH889" t="str">
        <f>IF(AG889="","",COUNTIF(sj_akey,"&lt;"&amp;AG889)+COUNTIF($AG$6:AG889,AG889))</f>
        <v/>
      </c>
    </row>
    <row r="890">
      <c r="A890" s="51" t="n"/>
      <c r="B890" s="52" t="n"/>
      <c r="C890" s="52" t="n"/>
      <c r="D890" s="53" t="n"/>
      <c r="E890" s="53" t="n"/>
      <c r="F890" s="54" t="n"/>
      <c r="G890" s="54" t="n"/>
      <c r="H890" s="54" t="n"/>
      <c r="I890" s="54" t="n"/>
      <c r="J890" s="53" t="n"/>
      <c r="K890" s="55" t="str">
        <f>IF(COUNTA(A890:I890)=0,"",IF(F890="",IFERROR(INDEX(eq_dur,MATCH(B890,eq_code,0)),""),F890))</f>
        <v/>
      </c>
      <c r="L890" s="55" t="str">
        <f>IF(ISNUMBER(K890),N(IFERROR(INDEX(eq_pause,MATCH(B890,eq_code,0)),0))+SUMIFS(st_min,st_date,A890,st_eq,B890,st_po,C890,st_type,"Planifié"),"")</f>
        <v/>
      </c>
      <c r="M890" s="55" t="str">
        <f>IF(ISNUMBER(K890),K890-L890,"")</f>
        <v/>
      </c>
      <c r="N890" s="55" t="str">
        <f>IF(ISNUMBER(K890),SUMIFS(st_min,st_date,A890,st_eq,B890,st_po,C890,st_type,"Non planifié"),"")</f>
        <v/>
      </c>
      <c r="O890" s="55" t="str">
        <f>IF(ISNUMBER(K890),M890-N890,"")</f>
        <v/>
      </c>
      <c r="P890" s="55" t="str">
        <f>IF(COUNTA(A890:I890)=0,"",N(G890)+N(H890)+N(I890))</f>
        <v/>
      </c>
      <c r="Q890" s="56" t="str">
        <f>IF(COUNTA(A890:I890)=0,"",IF(N(IFERROR(INDEX(art_rate,MATCH(E890,art_ref,0)),0))&gt;0,N(IFERROR(INDEX(art_rate,MATCH(E890,art_ref,0)),0)),N(IFERROR(INDEX(po_rate,MATCH(C890,po_code,0)),0))))</f>
        <v/>
      </c>
      <c r="R890" s="55" t="str">
        <f>IF(AC890=1,P890*60/Q890,"")</f>
        <v/>
      </c>
      <c r="S890" s="55" t="str">
        <f>IF(AC890=1,N(G890)*60/Q890,"")</f>
        <v/>
      </c>
      <c r="T890" s="57" t="str">
        <f>IF(AC890=1,O890/M890,"")</f>
        <v/>
      </c>
      <c r="U890" s="57" t="str">
        <f>IF(AC890=1,IF(O890&gt;0,R890/O890,""),"")</f>
        <v/>
      </c>
      <c r="V890" s="57" t="str">
        <f>IF(AC890=1,IF(P890&gt;0,N(G890)/P890,""),"")</f>
        <v/>
      </c>
      <c r="W890" s="57" t="str">
        <f>IF(AC890=1,S890/M890,"")</f>
        <v/>
      </c>
      <c r="X890" s="57" t="str">
        <f>IF(AC890=1,S890/K890,"")</f>
        <v/>
      </c>
      <c r="Y890" s="58" t="str">
        <f>IF(W890="","",IF(W890&gt;=p_target,"Bon",IF(W890&gt;=p_alert,"À surveiller","Faible")))</f>
        <v/>
      </c>
      <c r="Z890" s="58" t="str">
        <f>IF(W890="","",IF(MIN(IF(T890="",1,T890),IF(U890="",1,U890),IF(V890="",1,V890))&gt;=1,"Aucune",IF(IF(T890="",1,T890)&lt;=MIN(IF(U890="",1,U890),IF(V890="",1,V890)),"Disponibilité",IF(IF(U890="",1,U890)&lt;=IF(V890="",1,V890),"Performance","Qualité"))))</f>
        <v/>
      </c>
      <c r="AA890" s="59" t="str">
        <f>IF(AC890=1,N(H890)*N(IFERROR(INDEX(art_cost,MATCH(E890,art_ref,0)),0)),"")</f>
        <v/>
      </c>
      <c r="AB890" s="58" t="str">
        <f>IF(COUNTA(A890:I890)=0,"",IF(N(A890)&lt;=0,"Date manquante ou invalide",IF(B890="","Équipe manquante",IF(ISNA(MATCH(B890,eq_code,0)),"Équipe inconnue",IF(INDEX(eq_check,MATCH(B890,eq_code,0))&lt;&gt;"OK","Équipe à corriger dans Paramètres",IF(C890="","Poste manquant",IF(ISNA(MATCH(C890,po_code,0)),"Poste inconnu",IF(AND(E890&lt;&gt;"",ISNA(MATCH(E890,art_ref,0))),"Article inconnu",IF(IF(E890="",FALSE,INDEX(art_check,MATCH(E890,art_ref,0))&lt;&gt;"OK"),"Article à corriger (feuille Articles)",IF(COUNTIFS(sj_date,A890,sj_eq,B890,sj_po,C890)&gt;1,"Ligne en double (même jour, équipe et poste)",IF(OR(NOT(ISNUMBER(K890)),N(K890)&lt;=0,N(K890)&gt;1440),"Temps d'ouverture invalide",IF(OR(AND(G890&lt;&gt;"",NOT(ISNUMBER(G890))),N(G890)&lt;0,N(G890)&lt;&gt;INT(N(G890)),AND(H890&lt;&gt;"",NOT(ISNUMBER(H890))),N(H890)&lt;0,N(H890)&lt;&gt;INT(N(H890)),AND(I890&lt;&gt;"",NOT(ISNUMBER(I890))),N(I890)&lt;0,N(I890)&lt;&gt;INT(N(I890))),"Quantité invalide",IF(Q890&lt;=0,"Cadence manquante (poste ou article)",IF(M890&lt;=0,"Arrêts planifiés supérieurs au temps d'ouverture",IF(O890&lt;0,"Arrêts supérieurs au temps requis",IF(AND(P890&gt;0,O890=0),"Pièces déclarées sans temps de marche",IF(AND(P890=0,O890&gt;0),"Aucune pièce déclarée",IF(P890*60/Q890&gt;O890+0.001,"Cadence dépassée : vérifiez la cadence","OK"))))))))))))))))))</f>
        <v/>
      </c>
      <c r="AC890">
        <f>IF(OR(AB890="OK",AB890="Aucune pièce déclarée",AB890="Cadence dépassée : vérifiez la cadence"),1,0)</f>
        <v>0.0</v>
      </c>
      <c r="AD890">
        <f>IF(AND(AC890=1,A890&gt;=p_from,A890&lt;=p_to),1,0)</f>
        <v>0.0</v>
      </c>
      <c r="AE890">
        <f>IF(AD890=1,IF(COUNTIFS($A$6:A890,A890,$AD$6:AD890,1)=1,1,0),0)</f>
        <v>0.0</v>
      </c>
      <c r="AF890" t="str">
        <f>IF(AE890=1,COUNTIFS(sj_first,1,sj_date,"&lt;"&amp;A890)+1,"")</f>
        <v/>
      </c>
      <c r="AG890" t="str">
        <f>IF(AND(AD890=1,N(W890)&lt;p_alert),ROUND(W890,4),"")</f>
        <v/>
      </c>
      <c r="AH890" t="str">
        <f>IF(AG890="","",COUNTIF(sj_akey,"&lt;"&amp;AG890)+COUNTIF($AG$6:AG890,AG890))</f>
        <v/>
      </c>
    </row>
    <row r="891">
      <c r="A891" s="51" t="n"/>
      <c r="B891" s="52" t="n"/>
      <c r="C891" s="52" t="n"/>
      <c r="D891" s="53" t="n"/>
      <c r="E891" s="53" t="n"/>
      <c r="F891" s="54" t="n"/>
      <c r="G891" s="54" t="n"/>
      <c r="H891" s="54" t="n"/>
      <c r="I891" s="54" t="n"/>
      <c r="J891" s="53" t="n"/>
      <c r="K891" s="55" t="str">
        <f>IF(COUNTA(A891:I891)=0,"",IF(F891="",IFERROR(INDEX(eq_dur,MATCH(B891,eq_code,0)),""),F891))</f>
        <v/>
      </c>
      <c r="L891" s="55" t="str">
        <f>IF(ISNUMBER(K891),N(IFERROR(INDEX(eq_pause,MATCH(B891,eq_code,0)),0))+SUMIFS(st_min,st_date,A891,st_eq,B891,st_po,C891,st_type,"Planifié"),"")</f>
        <v/>
      </c>
      <c r="M891" s="55" t="str">
        <f>IF(ISNUMBER(K891),K891-L891,"")</f>
        <v/>
      </c>
      <c r="N891" s="55" t="str">
        <f>IF(ISNUMBER(K891),SUMIFS(st_min,st_date,A891,st_eq,B891,st_po,C891,st_type,"Non planifié"),"")</f>
        <v/>
      </c>
      <c r="O891" s="55" t="str">
        <f>IF(ISNUMBER(K891),M891-N891,"")</f>
        <v/>
      </c>
      <c r="P891" s="55" t="str">
        <f>IF(COUNTA(A891:I891)=0,"",N(G891)+N(H891)+N(I891))</f>
        <v/>
      </c>
      <c r="Q891" s="56" t="str">
        <f>IF(COUNTA(A891:I891)=0,"",IF(N(IFERROR(INDEX(art_rate,MATCH(E891,art_ref,0)),0))&gt;0,N(IFERROR(INDEX(art_rate,MATCH(E891,art_ref,0)),0)),N(IFERROR(INDEX(po_rate,MATCH(C891,po_code,0)),0))))</f>
        <v/>
      </c>
      <c r="R891" s="55" t="str">
        <f>IF(AC891=1,P891*60/Q891,"")</f>
        <v/>
      </c>
      <c r="S891" s="55" t="str">
        <f>IF(AC891=1,N(G891)*60/Q891,"")</f>
        <v/>
      </c>
      <c r="T891" s="57" t="str">
        <f>IF(AC891=1,O891/M891,"")</f>
        <v/>
      </c>
      <c r="U891" s="57" t="str">
        <f>IF(AC891=1,IF(O891&gt;0,R891/O891,""),"")</f>
        <v/>
      </c>
      <c r="V891" s="57" t="str">
        <f>IF(AC891=1,IF(P891&gt;0,N(G891)/P891,""),"")</f>
        <v/>
      </c>
      <c r="W891" s="57" t="str">
        <f>IF(AC891=1,S891/M891,"")</f>
        <v/>
      </c>
      <c r="X891" s="57" t="str">
        <f>IF(AC891=1,S891/K891,"")</f>
        <v/>
      </c>
      <c r="Y891" s="58" t="str">
        <f>IF(W891="","",IF(W891&gt;=p_target,"Bon",IF(W891&gt;=p_alert,"À surveiller","Faible")))</f>
        <v/>
      </c>
      <c r="Z891" s="58" t="str">
        <f>IF(W891="","",IF(MIN(IF(T891="",1,T891),IF(U891="",1,U891),IF(V891="",1,V891))&gt;=1,"Aucune",IF(IF(T891="",1,T891)&lt;=MIN(IF(U891="",1,U891),IF(V891="",1,V891)),"Disponibilité",IF(IF(U891="",1,U891)&lt;=IF(V891="",1,V891),"Performance","Qualité"))))</f>
        <v/>
      </c>
      <c r="AA891" s="59" t="str">
        <f>IF(AC891=1,N(H891)*N(IFERROR(INDEX(art_cost,MATCH(E891,art_ref,0)),0)),"")</f>
        <v/>
      </c>
      <c r="AB891" s="58" t="str">
        <f>IF(COUNTA(A891:I891)=0,"",IF(N(A891)&lt;=0,"Date manquante ou invalide",IF(B891="","Équipe manquante",IF(ISNA(MATCH(B891,eq_code,0)),"Équipe inconnue",IF(INDEX(eq_check,MATCH(B891,eq_code,0))&lt;&gt;"OK","Équipe à corriger dans Paramètres",IF(C891="","Poste manquant",IF(ISNA(MATCH(C891,po_code,0)),"Poste inconnu",IF(AND(E891&lt;&gt;"",ISNA(MATCH(E891,art_ref,0))),"Article inconnu",IF(IF(E891="",FALSE,INDEX(art_check,MATCH(E891,art_ref,0))&lt;&gt;"OK"),"Article à corriger (feuille Articles)",IF(COUNTIFS(sj_date,A891,sj_eq,B891,sj_po,C891)&gt;1,"Ligne en double (même jour, équipe et poste)",IF(OR(NOT(ISNUMBER(K891)),N(K891)&lt;=0,N(K891)&gt;1440),"Temps d'ouverture invalide",IF(OR(AND(G891&lt;&gt;"",NOT(ISNUMBER(G891))),N(G891)&lt;0,N(G891)&lt;&gt;INT(N(G891)),AND(H891&lt;&gt;"",NOT(ISNUMBER(H891))),N(H891)&lt;0,N(H891)&lt;&gt;INT(N(H891)),AND(I891&lt;&gt;"",NOT(ISNUMBER(I891))),N(I891)&lt;0,N(I891)&lt;&gt;INT(N(I891))),"Quantité invalide",IF(Q891&lt;=0,"Cadence manquante (poste ou article)",IF(M891&lt;=0,"Arrêts planifiés supérieurs au temps d'ouverture",IF(O891&lt;0,"Arrêts supérieurs au temps requis",IF(AND(P891&gt;0,O891=0),"Pièces déclarées sans temps de marche",IF(AND(P891=0,O891&gt;0),"Aucune pièce déclarée",IF(P891*60/Q891&gt;O891+0.001,"Cadence dépassée : vérifiez la cadence","OK"))))))))))))))))))</f>
        <v/>
      </c>
      <c r="AC891">
        <f>IF(OR(AB891="OK",AB891="Aucune pièce déclarée",AB891="Cadence dépassée : vérifiez la cadence"),1,0)</f>
        <v>0.0</v>
      </c>
      <c r="AD891">
        <f>IF(AND(AC891=1,A891&gt;=p_from,A891&lt;=p_to),1,0)</f>
        <v>0.0</v>
      </c>
      <c r="AE891">
        <f>IF(AD891=1,IF(COUNTIFS($A$6:A891,A891,$AD$6:AD891,1)=1,1,0),0)</f>
        <v>0.0</v>
      </c>
      <c r="AF891" t="str">
        <f>IF(AE891=1,COUNTIFS(sj_first,1,sj_date,"&lt;"&amp;A891)+1,"")</f>
        <v/>
      </c>
      <c r="AG891" t="str">
        <f>IF(AND(AD891=1,N(W891)&lt;p_alert),ROUND(W891,4),"")</f>
        <v/>
      </c>
      <c r="AH891" t="str">
        <f>IF(AG891="","",COUNTIF(sj_akey,"&lt;"&amp;AG891)+COUNTIF($AG$6:AG891,AG891))</f>
        <v/>
      </c>
    </row>
    <row r="892">
      <c r="A892" s="51" t="n"/>
      <c r="B892" s="52" t="n"/>
      <c r="C892" s="52" t="n"/>
      <c r="D892" s="53" t="n"/>
      <c r="E892" s="53" t="n"/>
      <c r="F892" s="54" t="n"/>
      <c r="G892" s="54" t="n"/>
      <c r="H892" s="54" t="n"/>
      <c r="I892" s="54" t="n"/>
      <c r="J892" s="53" t="n"/>
      <c r="K892" s="55" t="str">
        <f>IF(COUNTA(A892:I892)=0,"",IF(F892="",IFERROR(INDEX(eq_dur,MATCH(B892,eq_code,0)),""),F892))</f>
        <v/>
      </c>
      <c r="L892" s="55" t="str">
        <f>IF(ISNUMBER(K892),N(IFERROR(INDEX(eq_pause,MATCH(B892,eq_code,0)),0))+SUMIFS(st_min,st_date,A892,st_eq,B892,st_po,C892,st_type,"Planifié"),"")</f>
        <v/>
      </c>
      <c r="M892" s="55" t="str">
        <f>IF(ISNUMBER(K892),K892-L892,"")</f>
        <v/>
      </c>
      <c r="N892" s="55" t="str">
        <f>IF(ISNUMBER(K892),SUMIFS(st_min,st_date,A892,st_eq,B892,st_po,C892,st_type,"Non planifié"),"")</f>
        <v/>
      </c>
      <c r="O892" s="55" t="str">
        <f>IF(ISNUMBER(K892),M892-N892,"")</f>
        <v/>
      </c>
      <c r="P892" s="55" t="str">
        <f>IF(COUNTA(A892:I892)=0,"",N(G892)+N(H892)+N(I892))</f>
        <v/>
      </c>
      <c r="Q892" s="56" t="str">
        <f>IF(COUNTA(A892:I892)=0,"",IF(N(IFERROR(INDEX(art_rate,MATCH(E892,art_ref,0)),0))&gt;0,N(IFERROR(INDEX(art_rate,MATCH(E892,art_ref,0)),0)),N(IFERROR(INDEX(po_rate,MATCH(C892,po_code,0)),0))))</f>
        <v/>
      </c>
      <c r="R892" s="55" t="str">
        <f>IF(AC892=1,P892*60/Q892,"")</f>
        <v/>
      </c>
      <c r="S892" s="55" t="str">
        <f>IF(AC892=1,N(G892)*60/Q892,"")</f>
        <v/>
      </c>
      <c r="T892" s="57" t="str">
        <f>IF(AC892=1,O892/M892,"")</f>
        <v/>
      </c>
      <c r="U892" s="57" t="str">
        <f>IF(AC892=1,IF(O892&gt;0,R892/O892,""),"")</f>
        <v/>
      </c>
      <c r="V892" s="57" t="str">
        <f>IF(AC892=1,IF(P892&gt;0,N(G892)/P892,""),"")</f>
        <v/>
      </c>
      <c r="W892" s="57" t="str">
        <f>IF(AC892=1,S892/M892,"")</f>
        <v/>
      </c>
      <c r="X892" s="57" t="str">
        <f>IF(AC892=1,S892/K892,"")</f>
        <v/>
      </c>
      <c r="Y892" s="58" t="str">
        <f>IF(W892="","",IF(W892&gt;=p_target,"Bon",IF(W892&gt;=p_alert,"À surveiller","Faible")))</f>
        <v/>
      </c>
      <c r="Z892" s="58" t="str">
        <f>IF(W892="","",IF(MIN(IF(T892="",1,T892),IF(U892="",1,U892),IF(V892="",1,V892))&gt;=1,"Aucune",IF(IF(T892="",1,T892)&lt;=MIN(IF(U892="",1,U892),IF(V892="",1,V892)),"Disponibilité",IF(IF(U892="",1,U892)&lt;=IF(V892="",1,V892),"Performance","Qualité"))))</f>
        <v/>
      </c>
      <c r="AA892" s="59" t="str">
        <f>IF(AC892=1,N(H892)*N(IFERROR(INDEX(art_cost,MATCH(E892,art_ref,0)),0)),"")</f>
        <v/>
      </c>
      <c r="AB892" s="58" t="str">
        <f>IF(COUNTA(A892:I892)=0,"",IF(N(A892)&lt;=0,"Date manquante ou invalide",IF(B892="","Équipe manquante",IF(ISNA(MATCH(B892,eq_code,0)),"Équipe inconnue",IF(INDEX(eq_check,MATCH(B892,eq_code,0))&lt;&gt;"OK","Équipe à corriger dans Paramètres",IF(C892="","Poste manquant",IF(ISNA(MATCH(C892,po_code,0)),"Poste inconnu",IF(AND(E892&lt;&gt;"",ISNA(MATCH(E892,art_ref,0))),"Article inconnu",IF(IF(E892="",FALSE,INDEX(art_check,MATCH(E892,art_ref,0))&lt;&gt;"OK"),"Article à corriger (feuille Articles)",IF(COUNTIFS(sj_date,A892,sj_eq,B892,sj_po,C892)&gt;1,"Ligne en double (même jour, équipe et poste)",IF(OR(NOT(ISNUMBER(K892)),N(K892)&lt;=0,N(K892)&gt;1440),"Temps d'ouverture invalide",IF(OR(AND(G892&lt;&gt;"",NOT(ISNUMBER(G892))),N(G892)&lt;0,N(G892)&lt;&gt;INT(N(G892)),AND(H892&lt;&gt;"",NOT(ISNUMBER(H892))),N(H892)&lt;0,N(H892)&lt;&gt;INT(N(H892)),AND(I892&lt;&gt;"",NOT(ISNUMBER(I892))),N(I892)&lt;0,N(I892)&lt;&gt;INT(N(I892))),"Quantité invalide",IF(Q892&lt;=0,"Cadence manquante (poste ou article)",IF(M892&lt;=0,"Arrêts planifiés supérieurs au temps d'ouverture",IF(O892&lt;0,"Arrêts supérieurs au temps requis",IF(AND(P892&gt;0,O892=0),"Pièces déclarées sans temps de marche",IF(AND(P892=0,O892&gt;0),"Aucune pièce déclarée",IF(P892*60/Q892&gt;O892+0.001,"Cadence dépassée : vérifiez la cadence","OK"))))))))))))))))))</f>
        <v/>
      </c>
      <c r="AC892">
        <f>IF(OR(AB892="OK",AB892="Aucune pièce déclarée",AB892="Cadence dépassée : vérifiez la cadence"),1,0)</f>
        <v>0.0</v>
      </c>
      <c r="AD892">
        <f>IF(AND(AC892=1,A892&gt;=p_from,A892&lt;=p_to),1,0)</f>
        <v>0.0</v>
      </c>
      <c r="AE892">
        <f>IF(AD892=1,IF(COUNTIFS($A$6:A892,A892,$AD$6:AD892,1)=1,1,0),0)</f>
        <v>0.0</v>
      </c>
      <c r="AF892" t="str">
        <f>IF(AE892=1,COUNTIFS(sj_first,1,sj_date,"&lt;"&amp;A892)+1,"")</f>
        <v/>
      </c>
      <c r="AG892" t="str">
        <f>IF(AND(AD892=1,N(W892)&lt;p_alert),ROUND(W892,4),"")</f>
        <v/>
      </c>
      <c r="AH892" t="str">
        <f>IF(AG892="","",COUNTIF(sj_akey,"&lt;"&amp;AG892)+COUNTIF($AG$6:AG892,AG892))</f>
        <v/>
      </c>
    </row>
    <row r="893">
      <c r="A893" s="51" t="n"/>
      <c r="B893" s="52" t="n"/>
      <c r="C893" s="52" t="n"/>
      <c r="D893" s="53" t="n"/>
      <c r="E893" s="53" t="n"/>
      <c r="F893" s="54" t="n"/>
      <c r="G893" s="54" t="n"/>
      <c r="H893" s="54" t="n"/>
      <c r="I893" s="54" t="n"/>
      <c r="J893" s="53" t="n"/>
      <c r="K893" s="55" t="str">
        <f>IF(COUNTA(A893:I893)=0,"",IF(F893="",IFERROR(INDEX(eq_dur,MATCH(B893,eq_code,0)),""),F893))</f>
        <v/>
      </c>
      <c r="L893" s="55" t="str">
        <f>IF(ISNUMBER(K893),N(IFERROR(INDEX(eq_pause,MATCH(B893,eq_code,0)),0))+SUMIFS(st_min,st_date,A893,st_eq,B893,st_po,C893,st_type,"Planifié"),"")</f>
        <v/>
      </c>
      <c r="M893" s="55" t="str">
        <f>IF(ISNUMBER(K893),K893-L893,"")</f>
        <v/>
      </c>
      <c r="N893" s="55" t="str">
        <f>IF(ISNUMBER(K893),SUMIFS(st_min,st_date,A893,st_eq,B893,st_po,C893,st_type,"Non planifié"),"")</f>
        <v/>
      </c>
      <c r="O893" s="55" t="str">
        <f>IF(ISNUMBER(K893),M893-N893,"")</f>
        <v/>
      </c>
      <c r="P893" s="55" t="str">
        <f>IF(COUNTA(A893:I893)=0,"",N(G893)+N(H893)+N(I893))</f>
        <v/>
      </c>
      <c r="Q893" s="56" t="str">
        <f>IF(COUNTA(A893:I893)=0,"",IF(N(IFERROR(INDEX(art_rate,MATCH(E893,art_ref,0)),0))&gt;0,N(IFERROR(INDEX(art_rate,MATCH(E893,art_ref,0)),0)),N(IFERROR(INDEX(po_rate,MATCH(C893,po_code,0)),0))))</f>
        <v/>
      </c>
      <c r="R893" s="55" t="str">
        <f>IF(AC893=1,P893*60/Q893,"")</f>
        <v/>
      </c>
      <c r="S893" s="55" t="str">
        <f>IF(AC893=1,N(G893)*60/Q893,"")</f>
        <v/>
      </c>
      <c r="T893" s="57" t="str">
        <f>IF(AC893=1,O893/M893,"")</f>
        <v/>
      </c>
      <c r="U893" s="57" t="str">
        <f>IF(AC893=1,IF(O893&gt;0,R893/O893,""),"")</f>
        <v/>
      </c>
      <c r="V893" s="57" t="str">
        <f>IF(AC893=1,IF(P893&gt;0,N(G893)/P893,""),"")</f>
        <v/>
      </c>
      <c r="W893" s="57" t="str">
        <f>IF(AC893=1,S893/M893,"")</f>
        <v/>
      </c>
      <c r="X893" s="57" t="str">
        <f>IF(AC893=1,S893/K893,"")</f>
        <v/>
      </c>
      <c r="Y893" s="58" t="str">
        <f>IF(W893="","",IF(W893&gt;=p_target,"Bon",IF(W893&gt;=p_alert,"À surveiller","Faible")))</f>
        <v/>
      </c>
      <c r="Z893" s="58" t="str">
        <f>IF(W893="","",IF(MIN(IF(T893="",1,T893),IF(U893="",1,U893),IF(V893="",1,V893))&gt;=1,"Aucune",IF(IF(T893="",1,T893)&lt;=MIN(IF(U893="",1,U893),IF(V893="",1,V893)),"Disponibilité",IF(IF(U893="",1,U893)&lt;=IF(V893="",1,V893),"Performance","Qualité"))))</f>
        <v/>
      </c>
      <c r="AA893" s="59" t="str">
        <f>IF(AC893=1,N(H893)*N(IFERROR(INDEX(art_cost,MATCH(E893,art_ref,0)),0)),"")</f>
        <v/>
      </c>
      <c r="AB893" s="58" t="str">
        <f>IF(COUNTA(A893:I893)=0,"",IF(N(A893)&lt;=0,"Date manquante ou invalide",IF(B893="","Équipe manquante",IF(ISNA(MATCH(B893,eq_code,0)),"Équipe inconnue",IF(INDEX(eq_check,MATCH(B893,eq_code,0))&lt;&gt;"OK","Équipe à corriger dans Paramètres",IF(C893="","Poste manquant",IF(ISNA(MATCH(C893,po_code,0)),"Poste inconnu",IF(AND(E893&lt;&gt;"",ISNA(MATCH(E893,art_ref,0))),"Article inconnu",IF(IF(E893="",FALSE,INDEX(art_check,MATCH(E893,art_ref,0))&lt;&gt;"OK"),"Article à corriger (feuille Articles)",IF(COUNTIFS(sj_date,A893,sj_eq,B893,sj_po,C893)&gt;1,"Ligne en double (même jour, équipe et poste)",IF(OR(NOT(ISNUMBER(K893)),N(K893)&lt;=0,N(K893)&gt;1440),"Temps d'ouverture invalide",IF(OR(AND(G893&lt;&gt;"",NOT(ISNUMBER(G893))),N(G893)&lt;0,N(G893)&lt;&gt;INT(N(G893)),AND(H893&lt;&gt;"",NOT(ISNUMBER(H893))),N(H893)&lt;0,N(H893)&lt;&gt;INT(N(H893)),AND(I893&lt;&gt;"",NOT(ISNUMBER(I893))),N(I893)&lt;0,N(I893)&lt;&gt;INT(N(I893))),"Quantité invalide",IF(Q893&lt;=0,"Cadence manquante (poste ou article)",IF(M893&lt;=0,"Arrêts planifiés supérieurs au temps d'ouverture",IF(O893&lt;0,"Arrêts supérieurs au temps requis",IF(AND(P893&gt;0,O893=0),"Pièces déclarées sans temps de marche",IF(AND(P893=0,O893&gt;0),"Aucune pièce déclarée",IF(P893*60/Q893&gt;O893+0.001,"Cadence dépassée : vérifiez la cadence","OK"))))))))))))))))))</f>
        <v/>
      </c>
      <c r="AC893">
        <f>IF(OR(AB893="OK",AB893="Aucune pièce déclarée",AB893="Cadence dépassée : vérifiez la cadence"),1,0)</f>
        <v>0.0</v>
      </c>
      <c r="AD893">
        <f>IF(AND(AC893=1,A893&gt;=p_from,A893&lt;=p_to),1,0)</f>
        <v>0.0</v>
      </c>
      <c r="AE893">
        <f>IF(AD893=1,IF(COUNTIFS($A$6:A893,A893,$AD$6:AD893,1)=1,1,0),0)</f>
        <v>0.0</v>
      </c>
      <c r="AF893" t="str">
        <f>IF(AE893=1,COUNTIFS(sj_first,1,sj_date,"&lt;"&amp;A893)+1,"")</f>
        <v/>
      </c>
      <c r="AG893" t="str">
        <f>IF(AND(AD893=1,N(W893)&lt;p_alert),ROUND(W893,4),"")</f>
        <v/>
      </c>
      <c r="AH893" t="str">
        <f>IF(AG893="","",COUNTIF(sj_akey,"&lt;"&amp;AG893)+COUNTIF($AG$6:AG893,AG893))</f>
        <v/>
      </c>
    </row>
    <row r="894">
      <c r="A894" s="51" t="n"/>
      <c r="B894" s="52" t="n"/>
      <c r="C894" s="52" t="n"/>
      <c r="D894" s="53" t="n"/>
      <c r="E894" s="53" t="n"/>
      <c r="F894" s="54" t="n"/>
      <c r="G894" s="54" t="n"/>
      <c r="H894" s="54" t="n"/>
      <c r="I894" s="54" t="n"/>
      <c r="J894" s="53" t="n"/>
      <c r="K894" s="55" t="str">
        <f>IF(COUNTA(A894:I894)=0,"",IF(F894="",IFERROR(INDEX(eq_dur,MATCH(B894,eq_code,0)),""),F894))</f>
        <v/>
      </c>
      <c r="L894" s="55" t="str">
        <f>IF(ISNUMBER(K894),N(IFERROR(INDEX(eq_pause,MATCH(B894,eq_code,0)),0))+SUMIFS(st_min,st_date,A894,st_eq,B894,st_po,C894,st_type,"Planifié"),"")</f>
        <v/>
      </c>
      <c r="M894" s="55" t="str">
        <f>IF(ISNUMBER(K894),K894-L894,"")</f>
        <v/>
      </c>
      <c r="N894" s="55" t="str">
        <f>IF(ISNUMBER(K894),SUMIFS(st_min,st_date,A894,st_eq,B894,st_po,C894,st_type,"Non planifié"),"")</f>
        <v/>
      </c>
      <c r="O894" s="55" t="str">
        <f>IF(ISNUMBER(K894),M894-N894,"")</f>
        <v/>
      </c>
      <c r="P894" s="55" t="str">
        <f>IF(COUNTA(A894:I894)=0,"",N(G894)+N(H894)+N(I894))</f>
        <v/>
      </c>
      <c r="Q894" s="56" t="str">
        <f>IF(COUNTA(A894:I894)=0,"",IF(N(IFERROR(INDEX(art_rate,MATCH(E894,art_ref,0)),0))&gt;0,N(IFERROR(INDEX(art_rate,MATCH(E894,art_ref,0)),0)),N(IFERROR(INDEX(po_rate,MATCH(C894,po_code,0)),0))))</f>
        <v/>
      </c>
      <c r="R894" s="55" t="str">
        <f>IF(AC894=1,P894*60/Q894,"")</f>
        <v/>
      </c>
      <c r="S894" s="55" t="str">
        <f>IF(AC894=1,N(G894)*60/Q894,"")</f>
        <v/>
      </c>
      <c r="T894" s="57" t="str">
        <f>IF(AC894=1,O894/M894,"")</f>
        <v/>
      </c>
      <c r="U894" s="57" t="str">
        <f>IF(AC894=1,IF(O894&gt;0,R894/O894,""),"")</f>
        <v/>
      </c>
      <c r="V894" s="57" t="str">
        <f>IF(AC894=1,IF(P894&gt;0,N(G894)/P894,""),"")</f>
        <v/>
      </c>
      <c r="W894" s="57" t="str">
        <f>IF(AC894=1,S894/M894,"")</f>
        <v/>
      </c>
      <c r="X894" s="57" t="str">
        <f>IF(AC894=1,S894/K894,"")</f>
        <v/>
      </c>
      <c r="Y894" s="58" t="str">
        <f>IF(W894="","",IF(W894&gt;=p_target,"Bon",IF(W894&gt;=p_alert,"À surveiller","Faible")))</f>
        <v/>
      </c>
      <c r="Z894" s="58" t="str">
        <f>IF(W894="","",IF(MIN(IF(T894="",1,T894),IF(U894="",1,U894),IF(V894="",1,V894))&gt;=1,"Aucune",IF(IF(T894="",1,T894)&lt;=MIN(IF(U894="",1,U894),IF(V894="",1,V894)),"Disponibilité",IF(IF(U894="",1,U894)&lt;=IF(V894="",1,V894),"Performance","Qualité"))))</f>
        <v/>
      </c>
      <c r="AA894" s="59" t="str">
        <f>IF(AC894=1,N(H894)*N(IFERROR(INDEX(art_cost,MATCH(E894,art_ref,0)),0)),"")</f>
        <v/>
      </c>
      <c r="AB894" s="58" t="str">
        <f>IF(COUNTA(A894:I894)=0,"",IF(N(A894)&lt;=0,"Date manquante ou invalide",IF(B894="","Équipe manquante",IF(ISNA(MATCH(B894,eq_code,0)),"Équipe inconnue",IF(INDEX(eq_check,MATCH(B894,eq_code,0))&lt;&gt;"OK","Équipe à corriger dans Paramètres",IF(C894="","Poste manquant",IF(ISNA(MATCH(C894,po_code,0)),"Poste inconnu",IF(AND(E894&lt;&gt;"",ISNA(MATCH(E894,art_ref,0))),"Article inconnu",IF(IF(E894="",FALSE,INDEX(art_check,MATCH(E894,art_ref,0))&lt;&gt;"OK"),"Article à corriger (feuille Articles)",IF(COUNTIFS(sj_date,A894,sj_eq,B894,sj_po,C894)&gt;1,"Ligne en double (même jour, équipe et poste)",IF(OR(NOT(ISNUMBER(K894)),N(K894)&lt;=0,N(K894)&gt;1440),"Temps d'ouverture invalide",IF(OR(AND(G894&lt;&gt;"",NOT(ISNUMBER(G894))),N(G894)&lt;0,N(G894)&lt;&gt;INT(N(G894)),AND(H894&lt;&gt;"",NOT(ISNUMBER(H894))),N(H894)&lt;0,N(H894)&lt;&gt;INT(N(H894)),AND(I894&lt;&gt;"",NOT(ISNUMBER(I894))),N(I894)&lt;0,N(I894)&lt;&gt;INT(N(I894))),"Quantité invalide",IF(Q894&lt;=0,"Cadence manquante (poste ou article)",IF(M894&lt;=0,"Arrêts planifiés supérieurs au temps d'ouverture",IF(O894&lt;0,"Arrêts supérieurs au temps requis",IF(AND(P894&gt;0,O894=0),"Pièces déclarées sans temps de marche",IF(AND(P894=0,O894&gt;0),"Aucune pièce déclarée",IF(P894*60/Q894&gt;O894+0.001,"Cadence dépassée : vérifiez la cadence","OK"))))))))))))))))))</f>
        <v/>
      </c>
      <c r="AC894">
        <f>IF(OR(AB894="OK",AB894="Aucune pièce déclarée",AB894="Cadence dépassée : vérifiez la cadence"),1,0)</f>
        <v>0.0</v>
      </c>
      <c r="AD894">
        <f>IF(AND(AC894=1,A894&gt;=p_from,A894&lt;=p_to),1,0)</f>
        <v>0.0</v>
      </c>
      <c r="AE894">
        <f>IF(AD894=1,IF(COUNTIFS($A$6:A894,A894,$AD$6:AD894,1)=1,1,0),0)</f>
        <v>0.0</v>
      </c>
      <c r="AF894" t="str">
        <f>IF(AE894=1,COUNTIFS(sj_first,1,sj_date,"&lt;"&amp;A894)+1,"")</f>
        <v/>
      </c>
      <c r="AG894" t="str">
        <f>IF(AND(AD894=1,N(W894)&lt;p_alert),ROUND(W894,4),"")</f>
        <v/>
      </c>
      <c r="AH894" t="str">
        <f>IF(AG894="","",COUNTIF(sj_akey,"&lt;"&amp;AG894)+COUNTIF($AG$6:AG894,AG894))</f>
        <v/>
      </c>
    </row>
    <row r="895">
      <c r="A895" s="51" t="n"/>
      <c r="B895" s="52" t="n"/>
      <c r="C895" s="52" t="n"/>
      <c r="D895" s="53" t="n"/>
      <c r="E895" s="53" t="n"/>
      <c r="F895" s="54" t="n"/>
      <c r="G895" s="54" t="n"/>
      <c r="H895" s="54" t="n"/>
      <c r="I895" s="54" t="n"/>
      <c r="J895" s="53" t="n"/>
      <c r="K895" s="55" t="str">
        <f>IF(COUNTA(A895:I895)=0,"",IF(F895="",IFERROR(INDEX(eq_dur,MATCH(B895,eq_code,0)),""),F895))</f>
        <v/>
      </c>
      <c r="L895" s="55" t="str">
        <f>IF(ISNUMBER(K895),N(IFERROR(INDEX(eq_pause,MATCH(B895,eq_code,0)),0))+SUMIFS(st_min,st_date,A895,st_eq,B895,st_po,C895,st_type,"Planifié"),"")</f>
        <v/>
      </c>
      <c r="M895" s="55" t="str">
        <f>IF(ISNUMBER(K895),K895-L895,"")</f>
        <v/>
      </c>
      <c r="N895" s="55" t="str">
        <f>IF(ISNUMBER(K895),SUMIFS(st_min,st_date,A895,st_eq,B895,st_po,C895,st_type,"Non planifié"),"")</f>
        <v/>
      </c>
      <c r="O895" s="55" t="str">
        <f>IF(ISNUMBER(K895),M895-N895,"")</f>
        <v/>
      </c>
      <c r="P895" s="55" t="str">
        <f>IF(COUNTA(A895:I895)=0,"",N(G895)+N(H895)+N(I895))</f>
        <v/>
      </c>
      <c r="Q895" s="56" t="str">
        <f>IF(COUNTA(A895:I895)=0,"",IF(N(IFERROR(INDEX(art_rate,MATCH(E895,art_ref,0)),0))&gt;0,N(IFERROR(INDEX(art_rate,MATCH(E895,art_ref,0)),0)),N(IFERROR(INDEX(po_rate,MATCH(C895,po_code,0)),0))))</f>
        <v/>
      </c>
      <c r="R895" s="55" t="str">
        <f>IF(AC895=1,P895*60/Q895,"")</f>
        <v/>
      </c>
      <c r="S895" s="55" t="str">
        <f>IF(AC895=1,N(G895)*60/Q895,"")</f>
        <v/>
      </c>
      <c r="T895" s="57" t="str">
        <f>IF(AC895=1,O895/M895,"")</f>
        <v/>
      </c>
      <c r="U895" s="57" t="str">
        <f>IF(AC895=1,IF(O895&gt;0,R895/O895,""),"")</f>
        <v/>
      </c>
      <c r="V895" s="57" t="str">
        <f>IF(AC895=1,IF(P895&gt;0,N(G895)/P895,""),"")</f>
        <v/>
      </c>
      <c r="W895" s="57" t="str">
        <f>IF(AC895=1,S895/M895,"")</f>
        <v/>
      </c>
      <c r="X895" s="57" t="str">
        <f>IF(AC895=1,S895/K895,"")</f>
        <v/>
      </c>
      <c r="Y895" s="58" t="str">
        <f>IF(W895="","",IF(W895&gt;=p_target,"Bon",IF(W895&gt;=p_alert,"À surveiller","Faible")))</f>
        <v/>
      </c>
      <c r="Z895" s="58" t="str">
        <f>IF(W895="","",IF(MIN(IF(T895="",1,T895),IF(U895="",1,U895),IF(V895="",1,V895))&gt;=1,"Aucune",IF(IF(T895="",1,T895)&lt;=MIN(IF(U895="",1,U895),IF(V895="",1,V895)),"Disponibilité",IF(IF(U895="",1,U895)&lt;=IF(V895="",1,V895),"Performance","Qualité"))))</f>
        <v/>
      </c>
      <c r="AA895" s="59" t="str">
        <f>IF(AC895=1,N(H895)*N(IFERROR(INDEX(art_cost,MATCH(E895,art_ref,0)),0)),"")</f>
        <v/>
      </c>
      <c r="AB895" s="58" t="str">
        <f>IF(COUNTA(A895:I895)=0,"",IF(N(A895)&lt;=0,"Date manquante ou invalide",IF(B895="","Équipe manquante",IF(ISNA(MATCH(B895,eq_code,0)),"Équipe inconnue",IF(INDEX(eq_check,MATCH(B895,eq_code,0))&lt;&gt;"OK","Équipe à corriger dans Paramètres",IF(C895="","Poste manquant",IF(ISNA(MATCH(C895,po_code,0)),"Poste inconnu",IF(AND(E895&lt;&gt;"",ISNA(MATCH(E895,art_ref,0))),"Article inconnu",IF(IF(E895="",FALSE,INDEX(art_check,MATCH(E895,art_ref,0))&lt;&gt;"OK"),"Article à corriger (feuille Articles)",IF(COUNTIFS(sj_date,A895,sj_eq,B895,sj_po,C895)&gt;1,"Ligne en double (même jour, équipe et poste)",IF(OR(NOT(ISNUMBER(K895)),N(K895)&lt;=0,N(K895)&gt;1440),"Temps d'ouverture invalide",IF(OR(AND(G895&lt;&gt;"",NOT(ISNUMBER(G895))),N(G895)&lt;0,N(G895)&lt;&gt;INT(N(G895)),AND(H895&lt;&gt;"",NOT(ISNUMBER(H895))),N(H895)&lt;0,N(H895)&lt;&gt;INT(N(H895)),AND(I895&lt;&gt;"",NOT(ISNUMBER(I895))),N(I895)&lt;0,N(I895)&lt;&gt;INT(N(I895))),"Quantité invalide",IF(Q895&lt;=0,"Cadence manquante (poste ou article)",IF(M895&lt;=0,"Arrêts planifiés supérieurs au temps d'ouverture",IF(O895&lt;0,"Arrêts supérieurs au temps requis",IF(AND(P895&gt;0,O895=0),"Pièces déclarées sans temps de marche",IF(AND(P895=0,O895&gt;0),"Aucune pièce déclarée",IF(P895*60/Q895&gt;O895+0.001,"Cadence dépassée : vérifiez la cadence","OK"))))))))))))))))))</f>
        <v/>
      </c>
      <c r="AC895">
        <f>IF(OR(AB895="OK",AB895="Aucune pièce déclarée",AB895="Cadence dépassée : vérifiez la cadence"),1,0)</f>
        <v>0.0</v>
      </c>
      <c r="AD895">
        <f>IF(AND(AC895=1,A895&gt;=p_from,A895&lt;=p_to),1,0)</f>
        <v>0.0</v>
      </c>
      <c r="AE895">
        <f>IF(AD895=1,IF(COUNTIFS($A$6:A895,A895,$AD$6:AD895,1)=1,1,0),0)</f>
        <v>0.0</v>
      </c>
      <c r="AF895" t="str">
        <f>IF(AE895=1,COUNTIFS(sj_first,1,sj_date,"&lt;"&amp;A895)+1,"")</f>
        <v/>
      </c>
      <c r="AG895" t="str">
        <f>IF(AND(AD895=1,N(W895)&lt;p_alert),ROUND(W895,4),"")</f>
        <v/>
      </c>
      <c r="AH895" t="str">
        <f>IF(AG895="","",COUNTIF(sj_akey,"&lt;"&amp;AG895)+COUNTIF($AG$6:AG895,AG895))</f>
        <v/>
      </c>
    </row>
    <row r="896">
      <c r="A896" s="51" t="n"/>
      <c r="B896" s="52" t="n"/>
      <c r="C896" s="52" t="n"/>
      <c r="D896" s="53" t="n"/>
      <c r="E896" s="53" t="n"/>
      <c r="F896" s="54" t="n"/>
      <c r="G896" s="54" t="n"/>
      <c r="H896" s="54" t="n"/>
      <c r="I896" s="54" t="n"/>
      <c r="J896" s="53" t="n"/>
      <c r="K896" s="55" t="str">
        <f>IF(COUNTA(A896:I896)=0,"",IF(F896="",IFERROR(INDEX(eq_dur,MATCH(B896,eq_code,0)),""),F896))</f>
        <v/>
      </c>
      <c r="L896" s="55" t="str">
        <f>IF(ISNUMBER(K896),N(IFERROR(INDEX(eq_pause,MATCH(B896,eq_code,0)),0))+SUMIFS(st_min,st_date,A896,st_eq,B896,st_po,C896,st_type,"Planifié"),"")</f>
        <v/>
      </c>
      <c r="M896" s="55" t="str">
        <f>IF(ISNUMBER(K896),K896-L896,"")</f>
        <v/>
      </c>
      <c r="N896" s="55" t="str">
        <f>IF(ISNUMBER(K896),SUMIFS(st_min,st_date,A896,st_eq,B896,st_po,C896,st_type,"Non planifié"),"")</f>
        <v/>
      </c>
      <c r="O896" s="55" t="str">
        <f>IF(ISNUMBER(K896),M896-N896,"")</f>
        <v/>
      </c>
      <c r="P896" s="55" t="str">
        <f>IF(COUNTA(A896:I896)=0,"",N(G896)+N(H896)+N(I896))</f>
        <v/>
      </c>
      <c r="Q896" s="56" t="str">
        <f>IF(COUNTA(A896:I896)=0,"",IF(N(IFERROR(INDEX(art_rate,MATCH(E896,art_ref,0)),0))&gt;0,N(IFERROR(INDEX(art_rate,MATCH(E896,art_ref,0)),0)),N(IFERROR(INDEX(po_rate,MATCH(C896,po_code,0)),0))))</f>
        <v/>
      </c>
      <c r="R896" s="55" t="str">
        <f>IF(AC896=1,P896*60/Q896,"")</f>
        <v/>
      </c>
      <c r="S896" s="55" t="str">
        <f>IF(AC896=1,N(G896)*60/Q896,"")</f>
        <v/>
      </c>
      <c r="T896" s="57" t="str">
        <f>IF(AC896=1,O896/M896,"")</f>
        <v/>
      </c>
      <c r="U896" s="57" t="str">
        <f>IF(AC896=1,IF(O896&gt;0,R896/O896,""),"")</f>
        <v/>
      </c>
      <c r="V896" s="57" t="str">
        <f>IF(AC896=1,IF(P896&gt;0,N(G896)/P896,""),"")</f>
        <v/>
      </c>
      <c r="W896" s="57" t="str">
        <f>IF(AC896=1,S896/M896,"")</f>
        <v/>
      </c>
      <c r="X896" s="57" t="str">
        <f>IF(AC896=1,S896/K896,"")</f>
        <v/>
      </c>
      <c r="Y896" s="58" t="str">
        <f>IF(W896="","",IF(W896&gt;=p_target,"Bon",IF(W896&gt;=p_alert,"À surveiller","Faible")))</f>
        <v/>
      </c>
      <c r="Z896" s="58" t="str">
        <f>IF(W896="","",IF(MIN(IF(T896="",1,T896),IF(U896="",1,U896),IF(V896="",1,V896))&gt;=1,"Aucune",IF(IF(T896="",1,T896)&lt;=MIN(IF(U896="",1,U896),IF(V896="",1,V896)),"Disponibilité",IF(IF(U896="",1,U896)&lt;=IF(V896="",1,V896),"Performance","Qualité"))))</f>
        <v/>
      </c>
      <c r="AA896" s="59" t="str">
        <f>IF(AC896=1,N(H896)*N(IFERROR(INDEX(art_cost,MATCH(E896,art_ref,0)),0)),"")</f>
        <v/>
      </c>
      <c r="AB896" s="58" t="str">
        <f>IF(COUNTA(A896:I896)=0,"",IF(N(A896)&lt;=0,"Date manquante ou invalide",IF(B896="","Équipe manquante",IF(ISNA(MATCH(B896,eq_code,0)),"Équipe inconnue",IF(INDEX(eq_check,MATCH(B896,eq_code,0))&lt;&gt;"OK","Équipe à corriger dans Paramètres",IF(C896="","Poste manquant",IF(ISNA(MATCH(C896,po_code,0)),"Poste inconnu",IF(AND(E896&lt;&gt;"",ISNA(MATCH(E896,art_ref,0))),"Article inconnu",IF(IF(E896="",FALSE,INDEX(art_check,MATCH(E896,art_ref,0))&lt;&gt;"OK"),"Article à corriger (feuille Articles)",IF(COUNTIFS(sj_date,A896,sj_eq,B896,sj_po,C896)&gt;1,"Ligne en double (même jour, équipe et poste)",IF(OR(NOT(ISNUMBER(K896)),N(K896)&lt;=0,N(K896)&gt;1440),"Temps d'ouverture invalide",IF(OR(AND(G896&lt;&gt;"",NOT(ISNUMBER(G896))),N(G896)&lt;0,N(G896)&lt;&gt;INT(N(G896)),AND(H896&lt;&gt;"",NOT(ISNUMBER(H896))),N(H896)&lt;0,N(H896)&lt;&gt;INT(N(H896)),AND(I896&lt;&gt;"",NOT(ISNUMBER(I896))),N(I896)&lt;0,N(I896)&lt;&gt;INT(N(I896))),"Quantité invalide",IF(Q896&lt;=0,"Cadence manquante (poste ou article)",IF(M896&lt;=0,"Arrêts planifiés supérieurs au temps d'ouverture",IF(O896&lt;0,"Arrêts supérieurs au temps requis",IF(AND(P896&gt;0,O896=0),"Pièces déclarées sans temps de marche",IF(AND(P896=0,O896&gt;0),"Aucune pièce déclarée",IF(P896*60/Q896&gt;O896+0.001,"Cadence dépassée : vérifiez la cadence","OK"))))))))))))))))))</f>
        <v/>
      </c>
      <c r="AC896">
        <f>IF(OR(AB896="OK",AB896="Aucune pièce déclarée",AB896="Cadence dépassée : vérifiez la cadence"),1,0)</f>
        <v>0.0</v>
      </c>
      <c r="AD896">
        <f>IF(AND(AC896=1,A896&gt;=p_from,A896&lt;=p_to),1,0)</f>
        <v>0.0</v>
      </c>
      <c r="AE896">
        <f>IF(AD896=1,IF(COUNTIFS($A$6:A896,A896,$AD$6:AD896,1)=1,1,0),0)</f>
        <v>0.0</v>
      </c>
      <c r="AF896" t="str">
        <f>IF(AE896=1,COUNTIFS(sj_first,1,sj_date,"&lt;"&amp;A896)+1,"")</f>
        <v/>
      </c>
      <c r="AG896" t="str">
        <f>IF(AND(AD896=1,N(W896)&lt;p_alert),ROUND(W896,4),"")</f>
        <v/>
      </c>
      <c r="AH896" t="str">
        <f>IF(AG896="","",COUNTIF(sj_akey,"&lt;"&amp;AG896)+COUNTIF($AG$6:AG896,AG896))</f>
        <v/>
      </c>
    </row>
    <row r="897">
      <c r="A897" s="51" t="n"/>
      <c r="B897" s="52" t="n"/>
      <c r="C897" s="52" t="n"/>
      <c r="D897" s="53" t="n"/>
      <c r="E897" s="53" t="n"/>
      <c r="F897" s="54" t="n"/>
      <c r="G897" s="54" t="n"/>
      <c r="H897" s="54" t="n"/>
      <c r="I897" s="54" t="n"/>
      <c r="J897" s="53" t="n"/>
      <c r="K897" s="55" t="str">
        <f>IF(COUNTA(A897:I897)=0,"",IF(F897="",IFERROR(INDEX(eq_dur,MATCH(B897,eq_code,0)),""),F897))</f>
        <v/>
      </c>
      <c r="L897" s="55" t="str">
        <f>IF(ISNUMBER(K897),N(IFERROR(INDEX(eq_pause,MATCH(B897,eq_code,0)),0))+SUMIFS(st_min,st_date,A897,st_eq,B897,st_po,C897,st_type,"Planifié"),"")</f>
        <v/>
      </c>
      <c r="M897" s="55" t="str">
        <f>IF(ISNUMBER(K897),K897-L897,"")</f>
        <v/>
      </c>
      <c r="N897" s="55" t="str">
        <f>IF(ISNUMBER(K897),SUMIFS(st_min,st_date,A897,st_eq,B897,st_po,C897,st_type,"Non planifié"),"")</f>
        <v/>
      </c>
      <c r="O897" s="55" t="str">
        <f>IF(ISNUMBER(K897),M897-N897,"")</f>
        <v/>
      </c>
      <c r="P897" s="55" t="str">
        <f>IF(COUNTA(A897:I897)=0,"",N(G897)+N(H897)+N(I897))</f>
        <v/>
      </c>
      <c r="Q897" s="56" t="str">
        <f>IF(COUNTA(A897:I897)=0,"",IF(N(IFERROR(INDEX(art_rate,MATCH(E897,art_ref,0)),0))&gt;0,N(IFERROR(INDEX(art_rate,MATCH(E897,art_ref,0)),0)),N(IFERROR(INDEX(po_rate,MATCH(C897,po_code,0)),0))))</f>
        <v/>
      </c>
      <c r="R897" s="55" t="str">
        <f>IF(AC897=1,P897*60/Q897,"")</f>
        <v/>
      </c>
      <c r="S897" s="55" t="str">
        <f>IF(AC897=1,N(G897)*60/Q897,"")</f>
        <v/>
      </c>
      <c r="T897" s="57" t="str">
        <f>IF(AC897=1,O897/M897,"")</f>
        <v/>
      </c>
      <c r="U897" s="57" t="str">
        <f>IF(AC897=1,IF(O897&gt;0,R897/O897,""),"")</f>
        <v/>
      </c>
      <c r="V897" s="57" t="str">
        <f>IF(AC897=1,IF(P897&gt;0,N(G897)/P897,""),"")</f>
        <v/>
      </c>
      <c r="W897" s="57" t="str">
        <f>IF(AC897=1,S897/M897,"")</f>
        <v/>
      </c>
      <c r="X897" s="57" t="str">
        <f>IF(AC897=1,S897/K897,"")</f>
        <v/>
      </c>
      <c r="Y897" s="58" t="str">
        <f>IF(W897="","",IF(W897&gt;=p_target,"Bon",IF(W897&gt;=p_alert,"À surveiller","Faible")))</f>
        <v/>
      </c>
      <c r="Z897" s="58" t="str">
        <f>IF(W897="","",IF(MIN(IF(T897="",1,T897),IF(U897="",1,U897),IF(V897="",1,V897))&gt;=1,"Aucune",IF(IF(T897="",1,T897)&lt;=MIN(IF(U897="",1,U897),IF(V897="",1,V897)),"Disponibilité",IF(IF(U897="",1,U897)&lt;=IF(V897="",1,V897),"Performance","Qualité"))))</f>
        <v/>
      </c>
      <c r="AA897" s="59" t="str">
        <f>IF(AC897=1,N(H897)*N(IFERROR(INDEX(art_cost,MATCH(E897,art_ref,0)),0)),"")</f>
        <v/>
      </c>
      <c r="AB897" s="58" t="str">
        <f>IF(COUNTA(A897:I897)=0,"",IF(N(A897)&lt;=0,"Date manquante ou invalide",IF(B897="","Équipe manquante",IF(ISNA(MATCH(B897,eq_code,0)),"Équipe inconnue",IF(INDEX(eq_check,MATCH(B897,eq_code,0))&lt;&gt;"OK","Équipe à corriger dans Paramètres",IF(C897="","Poste manquant",IF(ISNA(MATCH(C897,po_code,0)),"Poste inconnu",IF(AND(E897&lt;&gt;"",ISNA(MATCH(E897,art_ref,0))),"Article inconnu",IF(IF(E897="",FALSE,INDEX(art_check,MATCH(E897,art_ref,0))&lt;&gt;"OK"),"Article à corriger (feuille Articles)",IF(COUNTIFS(sj_date,A897,sj_eq,B897,sj_po,C897)&gt;1,"Ligne en double (même jour, équipe et poste)",IF(OR(NOT(ISNUMBER(K897)),N(K897)&lt;=0,N(K897)&gt;1440),"Temps d'ouverture invalide",IF(OR(AND(G897&lt;&gt;"",NOT(ISNUMBER(G897))),N(G897)&lt;0,N(G897)&lt;&gt;INT(N(G897)),AND(H897&lt;&gt;"",NOT(ISNUMBER(H897))),N(H897)&lt;0,N(H897)&lt;&gt;INT(N(H897)),AND(I897&lt;&gt;"",NOT(ISNUMBER(I897))),N(I897)&lt;0,N(I897)&lt;&gt;INT(N(I897))),"Quantité invalide",IF(Q897&lt;=0,"Cadence manquante (poste ou article)",IF(M897&lt;=0,"Arrêts planifiés supérieurs au temps d'ouverture",IF(O897&lt;0,"Arrêts supérieurs au temps requis",IF(AND(P897&gt;0,O897=0),"Pièces déclarées sans temps de marche",IF(AND(P897=0,O897&gt;0),"Aucune pièce déclarée",IF(P897*60/Q897&gt;O897+0.001,"Cadence dépassée : vérifiez la cadence","OK"))))))))))))))))))</f>
        <v/>
      </c>
      <c r="AC897">
        <f>IF(OR(AB897="OK",AB897="Aucune pièce déclarée",AB897="Cadence dépassée : vérifiez la cadence"),1,0)</f>
        <v>0.0</v>
      </c>
      <c r="AD897">
        <f>IF(AND(AC897=1,A897&gt;=p_from,A897&lt;=p_to),1,0)</f>
        <v>0.0</v>
      </c>
      <c r="AE897">
        <f>IF(AD897=1,IF(COUNTIFS($A$6:A897,A897,$AD$6:AD897,1)=1,1,0),0)</f>
        <v>0.0</v>
      </c>
      <c r="AF897" t="str">
        <f>IF(AE897=1,COUNTIFS(sj_first,1,sj_date,"&lt;"&amp;A897)+1,"")</f>
        <v/>
      </c>
      <c r="AG897" t="str">
        <f>IF(AND(AD897=1,N(W897)&lt;p_alert),ROUND(W897,4),"")</f>
        <v/>
      </c>
      <c r="AH897" t="str">
        <f>IF(AG897="","",COUNTIF(sj_akey,"&lt;"&amp;AG897)+COUNTIF($AG$6:AG897,AG897))</f>
        <v/>
      </c>
    </row>
    <row r="898">
      <c r="A898" s="51" t="n"/>
      <c r="B898" s="52" t="n"/>
      <c r="C898" s="52" t="n"/>
      <c r="D898" s="53" t="n"/>
      <c r="E898" s="53" t="n"/>
      <c r="F898" s="54" t="n"/>
      <c r="G898" s="54" t="n"/>
      <c r="H898" s="54" t="n"/>
      <c r="I898" s="54" t="n"/>
      <c r="J898" s="53" t="n"/>
      <c r="K898" s="55" t="str">
        <f>IF(COUNTA(A898:I898)=0,"",IF(F898="",IFERROR(INDEX(eq_dur,MATCH(B898,eq_code,0)),""),F898))</f>
        <v/>
      </c>
      <c r="L898" s="55" t="str">
        <f>IF(ISNUMBER(K898),N(IFERROR(INDEX(eq_pause,MATCH(B898,eq_code,0)),0))+SUMIFS(st_min,st_date,A898,st_eq,B898,st_po,C898,st_type,"Planifié"),"")</f>
        <v/>
      </c>
      <c r="M898" s="55" t="str">
        <f>IF(ISNUMBER(K898),K898-L898,"")</f>
        <v/>
      </c>
      <c r="N898" s="55" t="str">
        <f>IF(ISNUMBER(K898),SUMIFS(st_min,st_date,A898,st_eq,B898,st_po,C898,st_type,"Non planifié"),"")</f>
        <v/>
      </c>
      <c r="O898" s="55" t="str">
        <f>IF(ISNUMBER(K898),M898-N898,"")</f>
        <v/>
      </c>
      <c r="P898" s="55" t="str">
        <f>IF(COUNTA(A898:I898)=0,"",N(G898)+N(H898)+N(I898))</f>
        <v/>
      </c>
      <c r="Q898" s="56" t="str">
        <f>IF(COUNTA(A898:I898)=0,"",IF(N(IFERROR(INDEX(art_rate,MATCH(E898,art_ref,0)),0))&gt;0,N(IFERROR(INDEX(art_rate,MATCH(E898,art_ref,0)),0)),N(IFERROR(INDEX(po_rate,MATCH(C898,po_code,0)),0))))</f>
        <v/>
      </c>
      <c r="R898" s="55" t="str">
        <f>IF(AC898=1,P898*60/Q898,"")</f>
        <v/>
      </c>
      <c r="S898" s="55" t="str">
        <f>IF(AC898=1,N(G898)*60/Q898,"")</f>
        <v/>
      </c>
      <c r="T898" s="57" t="str">
        <f>IF(AC898=1,O898/M898,"")</f>
        <v/>
      </c>
      <c r="U898" s="57" t="str">
        <f>IF(AC898=1,IF(O898&gt;0,R898/O898,""),"")</f>
        <v/>
      </c>
      <c r="V898" s="57" t="str">
        <f>IF(AC898=1,IF(P898&gt;0,N(G898)/P898,""),"")</f>
        <v/>
      </c>
      <c r="W898" s="57" t="str">
        <f>IF(AC898=1,S898/M898,"")</f>
        <v/>
      </c>
      <c r="X898" s="57" t="str">
        <f>IF(AC898=1,S898/K898,"")</f>
        <v/>
      </c>
      <c r="Y898" s="58" t="str">
        <f>IF(W898="","",IF(W898&gt;=p_target,"Bon",IF(W898&gt;=p_alert,"À surveiller","Faible")))</f>
        <v/>
      </c>
      <c r="Z898" s="58" t="str">
        <f>IF(W898="","",IF(MIN(IF(T898="",1,T898),IF(U898="",1,U898),IF(V898="",1,V898))&gt;=1,"Aucune",IF(IF(T898="",1,T898)&lt;=MIN(IF(U898="",1,U898),IF(V898="",1,V898)),"Disponibilité",IF(IF(U898="",1,U898)&lt;=IF(V898="",1,V898),"Performance","Qualité"))))</f>
        <v/>
      </c>
      <c r="AA898" s="59" t="str">
        <f>IF(AC898=1,N(H898)*N(IFERROR(INDEX(art_cost,MATCH(E898,art_ref,0)),0)),"")</f>
        <v/>
      </c>
      <c r="AB898" s="58" t="str">
        <f>IF(COUNTA(A898:I898)=0,"",IF(N(A898)&lt;=0,"Date manquante ou invalide",IF(B898="","Équipe manquante",IF(ISNA(MATCH(B898,eq_code,0)),"Équipe inconnue",IF(INDEX(eq_check,MATCH(B898,eq_code,0))&lt;&gt;"OK","Équipe à corriger dans Paramètres",IF(C898="","Poste manquant",IF(ISNA(MATCH(C898,po_code,0)),"Poste inconnu",IF(AND(E898&lt;&gt;"",ISNA(MATCH(E898,art_ref,0))),"Article inconnu",IF(IF(E898="",FALSE,INDEX(art_check,MATCH(E898,art_ref,0))&lt;&gt;"OK"),"Article à corriger (feuille Articles)",IF(COUNTIFS(sj_date,A898,sj_eq,B898,sj_po,C898)&gt;1,"Ligne en double (même jour, équipe et poste)",IF(OR(NOT(ISNUMBER(K898)),N(K898)&lt;=0,N(K898)&gt;1440),"Temps d'ouverture invalide",IF(OR(AND(G898&lt;&gt;"",NOT(ISNUMBER(G898))),N(G898)&lt;0,N(G898)&lt;&gt;INT(N(G898)),AND(H898&lt;&gt;"",NOT(ISNUMBER(H898))),N(H898)&lt;0,N(H898)&lt;&gt;INT(N(H898)),AND(I898&lt;&gt;"",NOT(ISNUMBER(I898))),N(I898)&lt;0,N(I898)&lt;&gt;INT(N(I898))),"Quantité invalide",IF(Q898&lt;=0,"Cadence manquante (poste ou article)",IF(M898&lt;=0,"Arrêts planifiés supérieurs au temps d'ouverture",IF(O898&lt;0,"Arrêts supérieurs au temps requis",IF(AND(P898&gt;0,O898=0),"Pièces déclarées sans temps de marche",IF(AND(P898=0,O898&gt;0),"Aucune pièce déclarée",IF(P898*60/Q898&gt;O898+0.001,"Cadence dépassée : vérifiez la cadence","OK"))))))))))))))))))</f>
        <v/>
      </c>
      <c r="AC898">
        <f>IF(OR(AB898="OK",AB898="Aucune pièce déclarée",AB898="Cadence dépassée : vérifiez la cadence"),1,0)</f>
        <v>0.0</v>
      </c>
      <c r="AD898">
        <f>IF(AND(AC898=1,A898&gt;=p_from,A898&lt;=p_to),1,0)</f>
        <v>0.0</v>
      </c>
      <c r="AE898">
        <f>IF(AD898=1,IF(COUNTIFS($A$6:A898,A898,$AD$6:AD898,1)=1,1,0),0)</f>
        <v>0.0</v>
      </c>
      <c r="AF898" t="str">
        <f>IF(AE898=1,COUNTIFS(sj_first,1,sj_date,"&lt;"&amp;A898)+1,"")</f>
        <v/>
      </c>
      <c r="AG898" t="str">
        <f>IF(AND(AD898=1,N(W898)&lt;p_alert),ROUND(W898,4),"")</f>
        <v/>
      </c>
      <c r="AH898" t="str">
        <f>IF(AG898="","",COUNTIF(sj_akey,"&lt;"&amp;AG898)+COUNTIF($AG$6:AG898,AG898))</f>
        <v/>
      </c>
    </row>
    <row r="899">
      <c r="A899" s="51" t="n"/>
      <c r="B899" s="52" t="n"/>
      <c r="C899" s="52" t="n"/>
      <c r="D899" s="53" t="n"/>
      <c r="E899" s="53" t="n"/>
      <c r="F899" s="54" t="n"/>
      <c r="G899" s="54" t="n"/>
      <c r="H899" s="54" t="n"/>
      <c r="I899" s="54" t="n"/>
      <c r="J899" s="53" t="n"/>
      <c r="K899" s="55" t="str">
        <f>IF(COUNTA(A899:I899)=0,"",IF(F899="",IFERROR(INDEX(eq_dur,MATCH(B899,eq_code,0)),""),F899))</f>
        <v/>
      </c>
      <c r="L899" s="55" t="str">
        <f>IF(ISNUMBER(K899),N(IFERROR(INDEX(eq_pause,MATCH(B899,eq_code,0)),0))+SUMIFS(st_min,st_date,A899,st_eq,B899,st_po,C899,st_type,"Planifié"),"")</f>
        <v/>
      </c>
      <c r="M899" s="55" t="str">
        <f>IF(ISNUMBER(K899),K899-L899,"")</f>
        <v/>
      </c>
      <c r="N899" s="55" t="str">
        <f>IF(ISNUMBER(K899),SUMIFS(st_min,st_date,A899,st_eq,B899,st_po,C899,st_type,"Non planifié"),"")</f>
        <v/>
      </c>
      <c r="O899" s="55" t="str">
        <f>IF(ISNUMBER(K899),M899-N899,"")</f>
        <v/>
      </c>
      <c r="P899" s="55" t="str">
        <f>IF(COUNTA(A899:I899)=0,"",N(G899)+N(H899)+N(I899))</f>
        <v/>
      </c>
      <c r="Q899" s="56" t="str">
        <f>IF(COUNTA(A899:I899)=0,"",IF(N(IFERROR(INDEX(art_rate,MATCH(E899,art_ref,0)),0))&gt;0,N(IFERROR(INDEX(art_rate,MATCH(E899,art_ref,0)),0)),N(IFERROR(INDEX(po_rate,MATCH(C899,po_code,0)),0))))</f>
        <v/>
      </c>
      <c r="R899" s="55" t="str">
        <f>IF(AC899=1,P899*60/Q899,"")</f>
        <v/>
      </c>
      <c r="S899" s="55" t="str">
        <f>IF(AC899=1,N(G899)*60/Q899,"")</f>
        <v/>
      </c>
      <c r="T899" s="57" t="str">
        <f>IF(AC899=1,O899/M899,"")</f>
        <v/>
      </c>
      <c r="U899" s="57" t="str">
        <f>IF(AC899=1,IF(O899&gt;0,R899/O899,""),"")</f>
        <v/>
      </c>
      <c r="V899" s="57" t="str">
        <f>IF(AC899=1,IF(P899&gt;0,N(G899)/P899,""),"")</f>
        <v/>
      </c>
      <c r="W899" s="57" t="str">
        <f>IF(AC899=1,S899/M899,"")</f>
        <v/>
      </c>
      <c r="X899" s="57" t="str">
        <f>IF(AC899=1,S899/K899,"")</f>
        <v/>
      </c>
      <c r="Y899" s="58" t="str">
        <f>IF(W899="","",IF(W899&gt;=p_target,"Bon",IF(W899&gt;=p_alert,"À surveiller","Faible")))</f>
        <v/>
      </c>
      <c r="Z899" s="58" t="str">
        <f>IF(W899="","",IF(MIN(IF(T899="",1,T899),IF(U899="",1,U899),IF(V899="",1,V899))&gt;=1,"Aucune",IF(IF(T899="",1,T899)&lt;=MIN(IF(U899="",1,U899),IF(V899="",1,V899)),"Disponibilité",IF(IF(U899="",1,U899)&lt;=IF(V899="",1,V899),"Performance","Qualité"))))</f>
        <v/>
      </c>
      <c r="AA899" s="59" t="str">
        <f>IF(AC899=1,N(H899)*N(IFERROR(INDEX(art_cost,MATCH(E899,art_ref,0)),0)),"")</f>
        <v/>
      </c>
      <c r="AB899" s="58" t="str">
        <f>IF(COUNTA(A899:I899)=0,"",IF(N(A899)&lt;=0,"Date manquante ou invalide",IF(B899="","Équipe manquante",IF(ISNA(MATCH(B899,eq_code,0)),"Équipe inconnue",IF(INDEX(eq_check,MATCH(B899,eq_code,0))&lt;&gt;"OK","Équipe à corriger dans Paramètres",IF(C899="","Poste manquant",IF(ISNA(MATCH(C899,po_code,0)),"Poste inconnu",IF(AND(E899&lt;&gt;"",ISNA(MATCH(E899,art_ref,0))),"Article inconnu",IF(IF(E899="",FALSE,INDEX(art_check,MATCH(E899,art_ref,0))&lt;&gt;"OK"),"Article à corriger (feuille Articles)",IF(COUNTIFS(sj_date,A899,sj_eq,B899,sj_po,C899)&gt;1,"Ligne en double (même jour, équipe et poste)",IF(OR(NOT(ISNUMBER(K899)),N(K899)&lt;=0,N(K899)&gt;1440),"Temps d'ouverture invalide",IF(OR(AND(G899&lt;&gt;"",NOT(ISNUMBER(G899))),N(G899)&lt;0,N(G899)&lt;&gt;INT(N(G899)),AND(H899&lt;&gt;"",NOT(ISNUMBER(H899))),N(H899)&lt;0,N(H899)&lt;&gt;INT(N(H899)),AND(I899&lt;&gt;"",NOT(ISNUMBER(I899))),N(I899)&lt;0,N(I899)&lt;&gt;INT(N(I899))),"Quantité invalide",IF(Q899&lt;=0,"Cadence manquante (poste ou article)",IF(M899&lt;=0,"Arrêts planifiés supérieurs au temps d'ouverture",IF(O899&lt;0,"Arrêts supérieurs au temps requis",IF(AND(P899&gt;0,O899=0),"Pièces déclarées sans temps de marche",IF(AND(P899=0,O899&gt;0),"Aucune pièce déclarée",IF(P899*60/Q899&gt;O899+0.001,"Cadence dépassée : vérifiez la cadence","OK"))))))))))))))))))</f>
        <v/>
      </c>
      <c r="AC899">
        <f>IF(OR(AB899="OK",AB899="Aucune pièce déclarée",AB899="Cadence dépassée : vérifiez la cadence"),1,0)</f>
        <v>0.0</v>
      </c>
      <c r="AD899">
        <f>IF(AND(AC899=1,A899&gt;=p_from,A899&lt;=p_to),1,0)</f>
        <v>0.0</v>
      </c>
      <c r="AE899">
        <f>IF(AD899=1,IF(COUNTIFS($A$6:A899,A899,$AD$6:AD899,1)=1,1,0),0)</f>
        <v>0.0</v>
      </c>
      <c r="AF899" t="str">
        <f>IF(AE899=1,COUNTIFS(sj_first,1,sj_date,"&lt;"&amp;A899)+1,"")</f>
        <v/>
      </c>
      <c r="AG899" t="str">
        <f>IF(AND(AD899=1,N(W899)&lt;p_alert),ROUND(W899,4),"")</f>
        <v/>
      </c>
      <c r="AH899" t="str">
        <f>IF(AG899="","",COUNTIF(sj_akey,"&lt;"&amp;AG899)+COUNTIF($AG$6:AG899,AG899))</f>
        <v/>
      </c>
    </row>
    <row r="900">
      <c r="A900" s="51" t="n"/>
      <c r="B900" s="52" t="n"/>
      <c r="C900" s="52" t="n"/>
      <c r="D900" s="53" t="n"/>
      <c r="E900" s="53" t="n"/>
      <c r="F900" s="54" t="n"/>
      <c r="G900" s="54" t="n"/>
      <c r="H900" s="54" t="n"/>
      <c r="I900" s="54" t="n"/>
      <c r="J900" s="53" t="n"/>
      <c r="K900" s="55" t="str">
        <f>IF(COUNTA(A900:I900)=0,"",IF(F900="",IFERROR(INDEX(eq_dur,MATCH(B900,eq_code,0)),""),F900))</f>
        <v/>
      </c>
      <c r="L900" s="55" t="str">
        <f>IF(ISNUMBER(K900),N(IFERROR(INDEX(eq_pause,MATCH(B900,eq_code,0)),0))+SUMIFS(st_min,st_date,A900,st_eq,B900,st_po,C900,st_type,"Planifié"),"")</f>
        <v/>
      </c>
      <c r="M900" s="55" t="str">
        <f>IF(ISNUMBER(K900),K900-L900,"")</f>
        <v/>
      </c>
      <c r="N900" s="55" t="str">
        <f>IF(ISNUMBER(K900),SUMIFS(st_min,st_date,A900,st_eq,B900,st_po,C900,st_type,"Non planifié"),"")</f>
        <v/>
      </c>
      <c r="O900" s="55" t="str">
        <f>IF(ISNUMBER(K900),M900-N900,"")</f>
        <v/>
      </c>
      <c r="P900" s="55" t="str">
        <f>IF(COUNTA(A900:I900)=0,"",N(G900)+N(H900)+N(I900))</f>
        <v/>
      </c>
      <c r="Q900" s="56" t="str">
        <f>IF(COUNTA(A900:I900)=0,"",IF(N(IFERROR(INDEX(art_rate,MATCH(E900,art_ref,0)),0))&gt;0,N(IFERROR(INDEX(art_rate,MATCH(E900,art_ref,0)),0)),N(IFERROR(INDEX(po_rate,MATCH(C900,po_code,0)),0))))</f>
        <v/>
      </c>
      <c r="R900" s="55" t="str">
        <f>IF(AC900=1,P900*60/Q900,"")</f>
        <v/>
      </c>
      <c r="S900" s="55" t="str">
        <f>IF(AC900=1,N(G900)*60/Q900,"")</f>
        <v/>
      </c>
      <c r="T900" s="57" t="str">
        <f>IF(AC900=1,O900/M900,"")</f>
        <v/>
      </c>
      <c r="U900" s="57" t="str">
        <f>IF(AC900=1,IF(O900&gt;0,R900/O900,""),"")</f>
        <v/>
      </c>
      <c r="V900" s="57" t="str">
        <f>IF(AC900=1,IF(P900&gt;0,N(G900)/P900,""),"")</f>
        <v/>
      </c>
      <c r="W900" s="57" t="str">
        <f>IF(AC900=1,S900/M900,"")</f>
        <v/>
      </c>
      <c r="X900" s="57" t="str">
        <f>IF(AC900=1,S900/K900,"")</f>
        <v/>
      </c>
      <c r="Y900" s="58" t="str">
        <f>IF(W900="","",IF(W900&gt;=p_target,"Bon",IF(W900&gt;=p_alert,"À surveiller","Faible")))</f>
        <v/>
      </c>
      <c r="Z900" s="58" t="str">
        <f>IF(W900="","",IF(MIN(IF(T900="",1,T900),IF(U900="",1,U900),IF(V900="",1,V900))&gt;=1,"Aucune",IF(IF(T900="",1,T900)&lt;=MIN(IF(U900="",1,U900),IF(V900="",1,V900)),"Disponibilité",IF(IF(U900="",1,U900)&lt;=IF(V900="",1,V900),"Performance","Qualité"))))</f>
        <v/>
      </c>
      <c r="AA900" s="59" t="str">
        <f>IF(AC900=1,N(H900)*N(IFERROR(INDEX(art_cost,MATCH(E900,art_ref,0)),0)),"")</f>
        <v/>
      </c>
      <c r="AB900" s="58" t="str">
        <f>IF(COUNTA(A900:I900)=0,"",IF(N(A900)&lt;=0,"Date manquante ou invalide",IF(B900="","Équipe manquante",IF(ISNA(MATCH(B900,eq_code,0)),"Équipe inconnue",IF(INDEX(eq_check,MATCH(B900,eq_code,0))&lt;&gt;"OK","Équipe à corriger dans Paramètres",IF(C900="","Poste manquant",IF(ISNA(MATCH(C900,po_code,0)),"Poste inconnu",IF(AND(E900&lt;&gt;"",ISNA(MATCH(E900,art_ref,0))),"Article inconnu",IF(IF(E900="",FALSE,INDEX(art_check,MATCH(E900,art_ref,0))&lt;&gt;"OK"),"Article à corriger (feuille Articles)",IF(COUNTIFS(sj_date,A900,sj_eq,B900,sj_po,C900)&gt;1,"Ligne en double (même jour, équipe et poste)",IF(OR(NOT(ISNUMBER(K900)),N(K900)&lt;=0,N(K900)&gt;1440),"Temps d'ouverture invalide",IF(OR(AND(G900&lt;&gt;"",NOT(ISNUMBER(G900))),N(G900)&lt;0,N(G900)&lt;&gt;INT(N(G900)),AND(H900&lt;&gt;"",NOT(ISNUMBER(H900))),N(H900)&lt;0,N(H900)&lt;&gt;INT(N(H900)),AND(I900&lt;&gt;"",NOT(ISNUMBER(I900))),N(I900)&lt;0,N(I900)&lt;&gt;INT(N(I900))),"Quantité invalide",IF(Q900&lt;=0,"Cadence manquante (poste ou article)",IF(M900&lt;=0,"Arrêts planifiés supérieurs au temps d'ouverture",IF(O900&lt;0,"Arrêts supérieurs au temps requis",IF(AND(P900&gt;0,O900=0),"Pièces déclarées sans temps de marche",IF(AND(P900=0,O900&gt;0),"Aucune pièce déclarée",IF(P900*60/Q900&gt;O900+0.001,"Cadence dépassée : vérifiez la cadence","OK"))))))))))))))))))</f>
        <v/>
      </c>
      <c r="AC900">
        <f>IF(OR(AB900="OK",AB900="Aucune pièce déclarée",AB900="Cadence dépassée : vérifiez la cadence"),1,0)</f>
        <v>0.0</v>
      </c>
      <c r="AD900">
        <f>IF(AND(AC900=1,A900&gt;=p_from,A900&lt;=p_to),1,0)</f>
        <v>0.0</v>
      </c>
      <c r="AE900">
        <f>IF(AD900=1,IF(COUNTIFS($A$6:A900,A900,$AD$6:AD900,1)=1,1,0),0)</f>
        <v>0.0</v>
      </c>
      <c r="AF900" t="str">
        <f>IF(AE900=1,COUNTIFS(sj_first,1,sj_date,"&lt;"&amp;A900)+1,"")</f>
        <v/>
      </c>
      <c r="AG900" t="str">
        <f>IF(AND(AD900=1,N(W900)&lt;p_alert),ROUND(W900,4),"")</f>
        <v/>
      </c>
      <c r="AH900" t="str">
        <f>IF(AG900="","",COUNTIF(sj_akey,"&lt;"&amp;AG900)+COUNTIF($AG$6:AG900,AG900))</f>
        <v/>
      </c>
    </row>
    <row r="901">
      <c r="A901" s="51" t="n"/>
      <c r="B901" s="52" t="n"/>
      <c r="C901" s="52" t="n"/>
      <c r="D901" s="53" t="n"/>
      <c r="E901" s="53" t="n"/>
      <c r="F901" s="54" t="n"/>
      <c r="G901" s="54" t="n"/>
      <c r="H901" s="54" t="n"/>
      <c r="I901" s="54" t="n"/>
      <c r="J901" s="53" t="n"/>
      <c r="K901" s="55" t="str">
        <f>IF(COUNTA(A901:I901)=0,"",IF(F901="",IFERROR(INDEX(eq_dur,MATCH(B901,eq_code,0)),""),F901))</f>
        <v/>
      </c>
      <c r="L901" s="55" t="str">
        <f>IF(ISNUMBER(K901),N(IFERROR(INDEX(eq_pause,MATCH(B901,eq_code,0)),0))+SUMIFS(st_min,st_date,A901,st_eq,B901,st_po,C901,st_type,"Planifié"),"")</f>
        <v/>
      </c>
      <c r="M901" s="55" t="str">
        <f>IF(ISNUMBER(K901),K901-L901,"")</f>
        <v/>
      </c>
      <c r="N901" s="55" t="str">
        <f>IF(ISNUMBER(K901),SUMIFS(st_min,st_date,A901,st_eq,B901,st_po,C901,st_type,"Non planifié"),"")</f>
        <v/>
      </c>
      <c r="O901" s="55" t="str">
        <f>IF(ISNUMBER(K901),M901-N901,"")</f>
        <v/>
      </c>
      <c r="P901" s="55" t="str">
        <f>IF(COUNTA(A901:I901)=0,"",N(G901)+N(H901)+N(I901))</f>
        <v/>
      </c>
      <c r="Q901" s="56" t="str">
        <f>IF(COUNTA(A901:I901)=0,"",IF(N(IFERROR(INDEX(art_rate,MATCH(E901,art_ref,0)),0))&gt;0,N(IFERROR(INDEX(art_rate,MATCH(E901,art_ref,0)),0)),N(IFERROR(INDEX(po_rate,MATCH(C901,po_code,0)),0))))</f>
        <v/>
      </c>
      <c r="R901" s="55" t="str">
        <f>IF(AC901=1,P901*60/Q901,"")</f>
        <v/>
      </c>
      <c r="S901" s="55" t="str">
        <f>IF(AC901=1,N(G901)*60/Q901,"")</f>
        <v/>
      </c>
      <c r="T901" s="57" t="str">
        <f>IF(AC901=1,O901/M901,"")</f>
        <v/>
      </c>
      <c r="U901" s="57" t="str">
        <f>IF(AC901=1,IF(O901&gt;0,R901/O901,""),"")</f>
        <v/>
      </c>
      <c r="V901" s="57" t="str">
        <f>IF(AC901=1,IF(P901&gt;0,N(G901)/P901,""),"")</f>
        <v/>
      </c>
      <c r="W901" s="57" t="str">
        <f>IF(AC901=1,S901/M901,"")</f>
        <v/>
      </c>
      <c r="X901" s="57" t="str">
        <f>IF(AC901=1,S901/K901,"")</f>
        <v/>
      </c>
      <c r="Y901" s="58" t="str">
        <f>IF(W901="","",IF(W901&gt;=p_target,"Bon",IF(W901&gt;=p_alert,"À surveiller","Faible")))</f>
        <v/>
      </c>
      <c r="Z901" s="58" t="str">
        <f>IF(W901="","",IF(MIN(IF(T901="",1,T901),IF(U901="",1,U901),IF(V901="",1,V901))&gt;=1,"Aucune",IF(IF(T901="",1,T901)&lt;=MIN(IF(U901="",1,U901),IF(V901="",1,V901)),"Disponibilité",IF(IF(U901="",1,U901)&lt;=IF(V901="",1,V901),"Performance","Qualité"))))</f>
        <v/>
      </c>
      <c r="AA901" s="59" t="str">
        <f>IF(AC901=1,N(H901)*N(IFERROR(INDEX(art_cost,MATCH(E901,art_ref,0)),0)),"")</f>
        <v/>
      </c>
      <c r="AB901" s="58" t="str">
        <f>IF(COUNTA(A901:I901)=0,"",IF(N(A901)&lt;=0,"Date manquante ou invalide",IF(B901="","Équipe manquante",IF(ISNA(MATCH(B901,eq_code,0)),"Équipe inconnue",IF(INDEX(eq_check,MATCH(B901,eq_code,0))&lt;&gt;"OK","Équipe à corriger dans Paramètres",IF(C901="","Poste manquant",IF(ISNA(MATCH(C901,po_code,0)),"Poste inconnu",IF(AND(E901&lt;&gt;"",ISNA(MATCH(E901,art_ref,0))),"Article inconnu",IF(IF(E901="",FALSE,INDEX(art_check,MATCH(E901,art_ref,0))&lt;&gt;"OK"),"Article à corriger (feuille Articles)",IF(COUNTIFS(sj_date,A901,sj_eq,B901,sj_po,C901)&gt;1,"Ligne en double (même jour, équipe et poste)",IF(OR(NOT(ISNUMBER(K901)),N(K901)&lt;=0,N(K901)&gt;1440),"Temps d'ouverture invalide",IF(OR(AND(G901&lt;&gt;"",NOT(ISNUMBER(G901))),N(G901)&lt;0,N(G901)&lt;&gt;INT(N(G901)),AND(H901&lt;&gt;"",NOT(ISNUMBER(H901))),N(H901)&lt;0,N(H901)&lt;&gt;INT(N(H901)),AND(I901&lt;&gt;"",NOT(ISNUMBER(I901))),N(I901)&lt;0,N(I901)&lt;&gt;INT(N(I901))),"Quantité invalide",IF(Q901&lt;=0,"Cadence manquante (poste ou article)",IF(M901&lt;=0,"Arrêts planifiés supérieurs au temps d'ouverture",IF(O901&lt;0,"Arrêts supérieurs au temps requis",IF(AND(P901&gt;0,O901=0),"Pièces déclarées sans temps de marche",IF(AND(P901=0,O901&gt;0),"Aucune pièce déclarée",IF(P901*60/Q901&gt;O901+0.001,"Cadence dépassée : vérifiez la cadence","OK"))))))))))))))))))</f>
        <v/>
      </c>
      <c r="AC901">
        <f>IF(OR(AB901="OK",AB901="Aucune pièce déclarée",AB901="Cadence dépassée : vérifiez la cadence"),1,0)</f>
        <v>0.0</v>
      </c>
      <c r="AD901">
        <f>IF(AND(AC901=1,A901&gt;=p_from,A901&lt;=p_to),1,0)</f>
        <v>0.0</v>
      </c>
      <c r="AE901">
        <f>IF(AD901=1,IF(COUNTIFS($A$6:A901,A901,$AD$6:AD901,1)=1,1,0),0)</f>
        <v>0.0</v>
      </c>
      <c r="AF901" t="str">
        <f>IF(AE901=1,COUNTIFS(sj_first,1,sj_date,"&lt;"&amp;A901)+1,"")</f>
        <v/>
      </c>
      <c r="AG901" t="str">
        <f>IF(AND(AD901=1,N(W901)&lt;p_alert),ROUND(W901,4),"")</f>
        <v/>
      </c>
      <c r="AH901" t="str">
        <f>IF(AG901="","",COUNTIF(sj_akey,"&lt;"&amp;AG901)+COUNTIF($AG$6:AG901,AG901))</f>
        <v/>
      </c>
    </row>
    <row r="902">
      <c r="A902" s="51" t="n"/>
      <c r="B902" s="52" t="n"/>
      <c r="C902" s="52" t="n"/>
      <c r="D902" s="53" t="n"/>
      <c r="E902" s="53" t="n"/>
      <c r="F902" s="54" t="n"/>
      <c r="G902" s="54" t="n"/>
      <c r="H902" s="54" t="n"/>
      <c r="I902" s="54" t="n"/>
      <c r="J902" s="53" t="n"/>
      <c r="K902" s="55" t="str">
        <f>IF(COUNTA(A902:I902)=0,"",IF(F902="",IFERROR(INDEX(eq_dur,MATCH(B902,eq_code,0)),""),F902))</f>
        <v/>
      </c>
      <c r="L902" s="55" t="str">
        <f>IF(ISNUMBER(K902),N(IFERROR(INDEX(eq_pause,MATCH(B902,eq_code,0)),0))+SUMIFS(st_min,st_date,A902,st_eq,B902,st_po,C902,st_type,"Planifié"),"")</f>
        <v/>
      </c>
      <c r="M902" s="55" t="str">
        <f>IF(ISNUMBER(K902),K902-L902,"")</f>
        <v/>
      </c>
      <c r="N902" s="55" t="str">
        <f>IF(ISNUMBER(K902),SUMIFS(st_min,st_date,A902,st_eq,B902,st_po,C902,st_type,"Non planifié"),"")</f>
        <v/>
      </c>
      <c r="O902" s="55" t="str">
        <f>IF(ISNUMBER(K902),M902-N902,"")</f>
        <v/>
      </c>
      <c r="P902" s="55" t="str">
        <f>IF(COUNTA(A902:I902)=0,"",N(G902)+N(H902)+N(I902))</f>
        <v/>
      </c>
      <c r="Q902" s="56" t="str">
        <f>IF(COUNTA(A902:I902)=0,"",IF(N(IFERROR(INDEX(art_rate,MATCH(E902,art_ref,0)),0))&gt;0,N(IFERROR(INDEX(art_rate,MATCH(E902,art_ref,0)),0)),N(IFERROR(INDEX(po_rate,MATCH(C902,po_code,0)),0))))</f>
        <v/>
      </c>
      <c r="R902" s="55" t="str">
        <f>IF(AC902=1,P902*60/Q902,"")</f>
        <v/>
      </c>
      <c r="S902" s="55" t="str">
        <f>IF(AC902=1,N(G902)*60/Q902,"")</f>
        <v/>
      </c>
      <c r="T902" s="57" t="str">
        <f>IF(AC902=1,O902/M902,"")</f>
        <v/>
      </c>
      <c r="U902" s="57" t="str">
        <f>IF(AC902=1,IF(O902&gt;0,R902/O902,""),"")</f>
        <v/>
      </c>
      <c r="V902" s="57" t="str">
        <f>IF(AC902=1,IF(P902&gt;0,N(G902)/P902,""),"")</f>
        <v/>
      </c>
      <c r="W902" s="57" t="str">
        <f>IF(AC902=1,S902/M902,"")</f>
        <v/>
      </c>
      <c r="X902" s="57" t="str">
        <f>IF(AC902=1,S902/K902,"")</f>
        <v/>
      </c>
      <c r="Y902" s="58" t="str">
        <f>IF(W902="","",IF(W902&gt;=p_target,"Bon",IF(W902&gt;=p_alert,"À surveiller","Faible")))</f>
        <v/>
      </c>
      <c r="Z902" s="58" t="str">
        <f>IF(W902="","",IF(MIN(IF(T902="",1,T902),IF(U902="",1,U902),IF(V902="",1,V902))&gt;=1,"Aucune",IF(IF(T902="",1,T902)&lt;=MIN(IF(U902="",1,U902),IF(V902="",1,V902)),"Disponibilité",IF(IF(U902="",1,U902)&lt;=IF(V902="",1,V902),"Performance","Qualité"))))</f>
        <v/>
      </c>
      <c r="AA902" s="59" t="str">
        <f>IF(AC902=1,N(H902)*N(IFERROR(INDEX(art_cost,MATCH(E902,art_ref,0)),0)),"")</f>
        <v/>
      </c>
      <c r="AB902" s="58" t="str">
        <f>IF(COUNTA(A902:I902)=0,"",IF(N(A902)&lt;=0,"Date manquante ou invalide",IF(B902="","Équipe manquante",IF(ISNA(MATCH(B902,eq_code,0)),"Équipe inconnue",IF(INDEX(eq_check,MATCH(B902,eq_code,0))&lt;&gt;"OK","Équipe à corriger dans Paramètres",IF(C902="","Poste manquant",IF(ISNA(MATCH(C902,po_code,0)),"Poste inconnu",IF(AND(E902&lt;&gt;"",ISNA(MATCH(E902,art_ref,0))),"Article inconnu",IF(IF(E902="",FALSE,INDEX(art_check,MATCH(E902,art_ref,0))&lt;&gt;"OK"),"Article à corriger (feuille Articles)",IF(COUNTIFS(sj_date,A902,sj_eq,B902,sj_po,C902)&gt;1,"Ligne en double (même jour, équipe et poste)",IF(OR(NOT(ISNUMBER(K902)),N(K902)&lt;=0,N(K902)&gt;1440),"Temps d'ouverture invalide",IF(OR(AND(G902&lt;&gt;"",NOT(ISNUMBER(G902))),N(G902)&lt;0,N(G902)&lt;&gt;INT(N(G902)),AND(H902&lt;&gt;"",NOT(ISNUMBER(H902))),N(H902)&lt;0,N(H902)&lt;&gt;INT(N(H902)),AND(I902&lt;&gt;"",NOT(ISNUMBER(I902))),N(I902)&lt;0,N(I902)&lt;&gt;INT(N(I902))),"Quantité invalide",IF(Q902&lt;=0,"Cadence manquante (poste ou article)",IF(M902&lt;=0,"Arrêts planifiés supérieurs au temps d'ouverture",IF(O902&lt;0,"Arrêts supérieurs au temps requis",IF(AND(P902&gt;0,O902=0),"Pièces déclarées sans temps de marche",IF(AND(P902=0,O902&gt;0),"Aucune pièce déclarée",IF(P902*60/Q902&gt;O902+0.001,"Cadence dépassée : vérifiez la cadence","OK"))))))))))))))))))</f>
        <v/>
      </c>
      <c r="AC902">
        <f>IF(OR(AB902="OK",AB902="Aucune pièce déclarée",AB902="Cadence dépassée : vérifiez la cadence"),1,0)</f>
        <v>0.0</v>
      </c>
      <c r="AD902">
        <f>IF(AND(AC902=1,A902&gt;=p_from,A902&lt;=p_to),1,0)</f>
        <v>0.0</v>
      </c>
      <c r="AE902">
        <f>IF(AD902=1,IF(COUNTIFS($A$6:A902,A902,$AD$6:AD902,1)=1,1,0),0)</f>
        <v>0.0</v>
      </c>
      <c r="AF902" t="str">
        <f>IF(AE902=1,COUNTIFS(sj_first,1,sj_date,"&lt;"&amp;A902)+1,"")</f>
        <v/>
      </c>
      <c r="AG902" t="str">
        <f>IF(AND(AD902=1,N(W902)&lt;p_alert),ROUND(W902,4),"")</f>
        <v/>
      </c>
      <c r="AH902" t="str">
        <f>IF(AG902="","",COUNTIF(sj_akey,"&lt;"&amp;AG902)+COUNTIF($AG$6:AG902,AG902))</f>
        <v/>
      </c>
    </row>
    <row r="903">
      <c r="A903" s="51" t="n"/>
      <c r="B903" s="52" t="n"/>
      <c r="C903" s="52" t="n"/>
      <c r="D903" s="53" t="n"/>
      <c r="E903" s="53" t="n"/>
      <c r="F903" s="54" t="n"/>
      <c r="G903" s="54" t="n"/>
      <c r="H903" s="54" t="n"/>
      <c r="I903" s="54" t="n"/>
      <c r="J903" s="53" t="n"/>
      <c r="K903" s="55" t="str">
        <f>IF(COUNTA(A903:I903)=0,"",IF(F903="",IFERROR(INDEX(eq_dur,MATCH(B903,eq_code,0)),""),F903))</f>
        <v/>
      </c>
      <c r="L903" s="55" t="str">
        <f>IF(ISNUMBER(K903),N(IFERROR(INDEX(eq_pause,MATCH(B903,eq_code,0)),0))+SUMIFS(st_min,st_date,A903,st_eq,B903,st_po,C903,st_type,"Planifié"),"")</f>
        <v/>
      </c>
      <c r="M903" s="55" t="str">
        <f>IF(ISNUMBER(K903),K903-L903,"")</f>
        <v/>
      </c>
      <c r="N903" s="55" t="str">
        <f>IF(ISNUMBER(K903),SUMIFS(st_min,st_date,A903,st_eq,B903,st_po,C903,st_type,"Non planifié"),"")</f>
        <v/>
      </c>
      <c r="O903" s="55" t="str">
        <f>IF(ISNUMBER(K903),M903-N903,"")</f>
        <v/>
      </c>
      <c r="P903" s="55" t="str">
        <f>IF(COUNTA(A903:I903)=0,"",N(G903)+N(H903)+N(I903))</f>
        <v/>
      </c>
      <c r="Q903" s="56" t="str">
        <f>IF(COUNTA(A903:I903)=0,"",IF(N(IFERROR(INDEX(art_rate,MATCH(E903,art_ref,0)),0))&gt;0,N(IFERROR(INDEX(art_rate,MATCH(E903,art_ref,0)),0)),N(IFERROR(INDEX(po_rate,MATCH(C903,po_code,0)),0))))</f>
        <v/>
      </c>
      <c r="R903" s="55" t="str">
        <f>IF(AC903=1,P903*60/Q903,"")</f>
        <v/>
      </c>
      <c r="S903" s="55" t="str">
        <f>IF(AC903=1,N(G903)*60/Q903,"")</f>
        <v/>
      </c>
      <c r="T903" s="57" t="str">
        <f>IF(AC903=1,O903/M903,"")</f>
        <v/>
      </c>
      <c r="U903" s="57" t="str">
        <f>IF(AC903=1,IF(O903&gt;0,R903/O903,""),"")</f>
        <v/>
      </c>
      <c r="V903" s="57" t="str">
        <f>IF(AC903=1,IF(P903&gt;0,N(G903)/P903,""),"")</f>
        <v/>
      </c>
      <c r="W903" s="57" t="str">
        <f>IF(AC903=1,S903/M903,"")</f>
        <v/>
      </c>
      <c r="X903" s="57" t="str">
        <f>IF(AC903=1,S903/K903,"")</f>
        <v/>
      </c>
      <c r="Y903" s="58" t="str">
        <f>IF(W903="","",IF(W903&gt;=p_target,"Bon",IF(W903&gt;=p_alert,"À surveiller","Faible")))</f>
        <v/>
      </c>
      <c r="Z903" s="58" t="str">
        <f>IF(W903="","",IF(MIN(IF(T903="",1,T903),IF(U903="",1,U903),IF(V903="",1,V903))&gt;=1,"Aucune",IF(IF(T903="",1,T903)&lt;=MIN(IF(U903="",1,U903),IF(V903="",1,V903)),"Disponibilité",IF(IF(U903="",1,U903)&lt;=IF(V903="",1,V903),"Performance","Qualité"))))</f>
        <v/>
      </c>
      <c r="AA903" s="59" t="str">
        <f>IF(AC903=1,N(H903)*N(IFERROR(INDEX(art_cost,MATCH(E903,art_ref,0)),0)),"")</f>
        <v/>
      </c>
      <c r="AB903" s="58" t="str">
        <f>IF(COUNTA(A903:I903)=0,"",IF(N(A903)&lt;=0,"Date manquante ou invalide",IF(B903="","Équipe manquante",IF(ISNA(MATCH(B903,eq_code,0)),"Équipe inconnue",IF(INDEX(eq_check,MATCH(B903,eq_code,0))&lt;&gt;"OK","Équipe à corriger dans Paramètres",IF(C903="","Poste manquant",IF(ISNA(MATCH(C903,po_code,0)),"Poste inconnu",IF(AND(E903&lt;&gt;"",ISNA(MATCH(E903,art_ref,0))),"Article inconnu",IF(IF(E903="",FALSE,INDEX(art_check,MATCH(E903,art_ref,0))&lt;&gt;"OK"),"Article à corriger (feuille Articles)",IF(COUNTIFS(sj_date,A903,sj_eq,B903,sj_po,C903)&gt;1,"Ligne en double (même jour, équipe et poste)",IF(OR(NOT(ISNUMBER(K903)),N(K903)&lt;=0,N(K903)&gt;1440),"Temps d'ouverture invalide",IF(OR(AND(G903&lt;&gt;"",NOT(ISNUMBER(G903))),N(G903)&lt;0,N(G903)&lt;&gt;INT(N(G903)),AND(H903&lt;&gt;"",NOT(ISNUMBER(H903))),N(H903)&lt;0,N(H903)&lt;&gt;INT(N(H903)),AND(I903&lt;&gt;"",NOT(ISNUMBER(I903))),N(I903)&lt;0,N(I903)&lt;&gt;INT(N(I903))),"Quantité invalide",IF(Q903&lt;=0,"Cadence manquante (poste ou article)",IF(M903&lt;=0,"Arrêts planifiés supérieurs au temps d'ouverture",IF(O903&lt;0,"Arrêts supérieurs au temps requis",IF(AND(P903&gt;0,O903=0),"Pièces déclarées sans temps de marche",IF(AND(P903=0,O903&gt;0),"Aucune pièce déclarée",IF(P903*60/Q903&gt;O903+0.001,"Cadence dépassée : vérifiez la cadence","OK"))))))))))))))))))</f>
        <v/>
      </c>
      <c r="AC903">
        <f>IF(OR(AB903="OK",AB903="Aucune pièce déclarée",AB903="Cadence dépassée : vérifiez la cadence"),1,0)</f>
        <v>0.0</v>
      </c>
      <c r="AD903">
        <f>IF(AND(AC903=1,A903&gt;=p_from,A903&lt;=p_to),1,0)</f>
        <v>0.0</v>
      </c>
      <c r="AE903">
        <f>IF(AD903=1,IF(COUNTIFS($A$6:A903,A903,$AD$6:AD903,1)=1,1,0),0)</f>
        <v>0.0</v>
      </c>
      <c r="AF903" t="str">
        <f>IF(AE903=1,COUNTIFS(sj_first,1,sj_date,"&lt;"&amp;A903)+1,"")</f>
        <v/>
      </c>
      <c r="AG903" t="str">
        <f>IF(AND(AD903=1,N(W903)&lt;p_alert),ROUND(W903,4),"")</f>
        <v/>
      </c>
      <c r="AH903" t="str">
        <f>IF(AG903="","",COUNTIF(sj_akey,"&lt;"&amp;AG903)+COUNTIF($AG$6:AG903,AG903))</f>
        <v/>
      </c>
    </row>
    <row r="904">
      <c r="A904" s="51" t="n"/>
      <c r="B904" s="52" t="n"/>
      <c r="C904" s="52" t="n"/>
      <c r="D904" s="53" t="n"/>
      <c r="E904" s="53" t="n"/>
      <c r="F904" s="54" t="n"/>
      <c r="G904" s="54" t="n"/>
      <c r="H904" s="54" t="n"/>
      <c r="I904" s="54" t="n"/>
      <c r="J904" s="53" t="n"/>
      <c r="K904" s="55" t="str">
        <f>IF(COUNTA(A904:I904)=0,"",IF(F904="",IFERROR(INDEX(eq_dur,MATCH(B904,eq_code,0)),""),F904))</f>
        <v/>
      </c>
      <c r="L904" s="55" t="str">
        <f>IF(ISNUMBER(K904),N(IFERROR(INDEX(eq_pause,MATCH(B904,eq_code,0)),0))+SUMIFS(st_min,st_date,A904,st_eq,B904,st_po,C904,st_type,"Planifié"),"")</f>
        <v/>
      </c>
      <c r="M904" s="55" t="str">
        <f>IF(ISNUMBER(K904),K904-L904,"")</f>
        <v/>
      </c>
      <c r="N904" s="55" t="str">
        <f>IF(ISNUMBER(K904),SUMIFS(st_min,st_date,A904,st_eq,B904,st_po,C904,st_type,"Non planifié"),"")</f>
        <v/>
      </c>
      <c r="O904" s="55" t="str">
        <f>IF(ISNUMBER(K904),M904-N904,"")</f>
        <v/>
      </c>
      <c r="P904" s="55" t="str">
        <f>IF(COUNTA(A904:I904)=0,"",N(G904)+N(H904)+N(I904))</f>
        <v/>
      </c>
      <c r="Q904" s="56" t="str">
        <f>IF(COUNTA(A904:I904)=0,"",IF(N(IFERROR(INDEX(art_rate,MATCH(E904,art_ref,0)),0))&gt;0,N(IFERROR(INDEX(art_rate,MATCH(E904,art_ref,0)),0)),N(IFERROR(INDEX(po_rate,MATCH(C904,po_code,0)),0))))</f>
        <v/>
      </c>
      <c r="R904" s="55" t="str">
        <f>IF(AC904=1,P904*60/Q904,"")</f>
        <v/>
      </c>
      <c r="S904" s="55" t="str">
        <f>IF(AC904=1,N(G904)*60/Q904,"")</f>
        <v/>
      </c>
      <c r="T904" s="57" t="str">
        <f>IF(AC904=1,O904/M904,"")</f>
        <v/>
      </c>
      <c r="U904" s="57" t="str">
        <f>IF(AC904=1,IF(O904&gt;0,R904/O904,""),"")</f>
        <v/>
      </c>
      <c r="V904" s="57" t="str">
        <f>IF(AC904=1,IF(P904&gt;0,N(G904)/P904,""),"")</f>
        <v/>
      </c>
      <c r="W904" s="57" t="str">
        <f>IF(AC904=1,S904/M904,"")</f>
        <v/>
      </c>
      <c r="X904" s="57" t="str">
        <f>IF(AC904=1,S904/K904,"")</f>
        <v/>
      </c>
      <c r="Y904" s="58" t="str">
        <f>IF(W904="","",IF(W904&gt;=p_target,"Bon",IF(W904&gt;=p_alert,"À surveiller","Faible")))</f>
        <v/>
      </c>
      <c r="Z904" s="58" t="str">
        <f>IF(W904="","",IF(MIN(IF(T904="",1,T904),IF(U904="",1,U904),IF(V904="",1,V904))&gt;=1,"Aucune",IF(IF(T904="",1,T904)&lt;=MIN(IF(U904="",1,U904),IF(V904="",1,V904)),"Disponibilité",IF(IF(U904="",1,U904)&lt;=IF(V904="",1,V904),"Performance","Qualité"))))</f>
        <v/>
      </c>
      <c r="AA904" s="59" t="str">
        <f>IF(AC904=1,N(H904)*N(IFERROR(INDEX(art_cost,MATCH(E904,art_ref,0)),0)),"")</f>
        <v/>
      </c>
      <c r="AB904" s="58" t="str">
        <f>IF(COUNTA(A904:I904)=0,"",IF(N(A904)&lt;=0,"Date manquante ou invalide",IF(B904="","Équipe manquante",IF(ISNA(MATCH(B904,eq_code,0)),"Équipe inconnue",IF(INDEX(eq_check,MATCH(B904,eq_code,0))&lt;&gt;"OK","Équipe à corriger dans Paramètres",IF(C904="","Poste manquant",IF(ISNA(MATCH(C904,po_code,0)),"Poste inconnu",IF(AND(E904&lt;&gt;"",ISNA(MATCH(E904,art_ref,0))),"Article inconnu",IF(IF(E904="",FALSE,INDEX(art_check,MATCH(E904,art_ref,0))&lt;&gt;"OK"),"Article à corriger (feuille Articles)",IF(COUNTIFS(sj_date,A904,sj_eq,B904,sj_po,C904)&gt;1,"Ligne en double (même jour, équipe et poste)",IF(OR(NOT(ISNUMBER(K904)),N(K904)&lt;=0,N(K904)&gt;1440),"Temps d'ouverture invalide",IF(OR(AND(G904&lt;&gt;"",NOT(ISNUMBER(G904))),N(G904)&lt;0,N(G904)&lt;&gt;INT(N(G904)),AND(H904&lt;&gt;"",NOT(ISNUMBER(H904))),N(H904)&lt;0,N(H904)&lt;&gt;INT(N(H904)),AND(I904&lt;&gt;"",NOT(ISNUMBER(I904))),N(I904)&lt;0,N(I904)&lt;&gt;INT(N(I904))),"Quantité invalide",IF(Q904&lt;=0,"Cadence manquante (poste ou article)",IF(M904&lt;=0,"Arrêts planifiés supérieurs au temps d'ouverture",IF(O904&lt;0,"Arrêts supérieurs au temps requis",IF(AND(P904&gt;0,O904=0),"Pièces déclarées sans temps de marche",IF(AND(P904=0,O904&gt;0),"Aucune pièce déclarée",IF(P904*60/Q904&gt;O904+0.001,"Cadence dépassée : vérifiez la cadence","OK"))))))))))))))))))</f>
        <v/>
      </c>
      <c r="AC904">
        <f>IF(OR(AB904="OK",AB904="Aucune pièce déclarée",AB904="Cadence dépassée : vérifiez la cadence"),1,0)</f>
        <v>0.0</v>
      </c>
      <c r="AD904">
        <f>IF(AND(AC904=1,A904&gt;=p_from,A904&lt;=p_to),1,0)</f>
        <v>0.0</v>
      </c>
      <c r="AE904">
        <f>IF(AD904=1,IF(COUNTIFS($A$6:A904,A904,$AD$6:AD904,1)=1,1,0),0)</f>
        <v>0.0</v>
      </c>
      <c r="AF904" t="str">
        <f>IF(AE904=1,COUNTIFS(sj_first,1,sj_date,"&lt;"&amp;A904)+1,"")</f>
        <v/>
      </c>
      <c r="AG904" t="str">
        <f>IF(AND(AD904=1,N(W904)&lt;p_alert),ROUND(W904,4),"")</f>
        <v/>
      </c>
      <c r="AH904" t="str">
        <f>IF(AG904="","",COUNTIF(sj_akey,"&lt;"&amp;AG904)+COUNTIF($AG$6:AG904,AG904))</f>
        <v/>
      </c>
    </row>
    <row r="905">
      <c r="A905" s="51" t="n"/>
      <c r="B905" s="52" t="n"/>
      <c r="C905" s="52" t="n"/>
      <c r="D905" s="53" t="n"/>
      <c r="E905" s="53" t="n"/>
      <c r="F905" s="54" t="n"/>
      <c r="G905" s="54" t="n"/>
      <c r="H905" s="54" t="n"/>
      <c r="I905" s="54" t="n"/>
      <c r="J905" s="53" t="n"/>
      <c r="K905" s="55" t="str">
        <f>IF(COUNTA(A905:I905)=0,"",IF(F905="",IFERROR(INDEX(eq_dur,MATCH(B905,eq_code,0)),""),F905))</f>
        <v/>
      </c>
      <c r="L905" s="55" t="str">
        <f>IF(ISNUMBER(K905),N(IFERROR(INDEX(eq_pause,MATCH(B905,eq_code,0)),0))+SUMIFS(st_min,st_date,A905,st_eq,B905,st_po,C905,st_type,"Planifié"),"")</f>
        <v/>
      </c>
      <c r="M905" s="55" t="str">
        <f>IF(ISNUMBER(K905),K905-L905,"")</f>
        <v/>
      </c>
      <c r="N905" s="55" t="str">
        <f>IF(ISNUMBER(K905),SUMIFS(st_min,st_date,A905,st_eq,B905,st_po,C905,st_type,"Non planifié"),"")</f>
        <v/>
      </c>
      <c r="O905" s="55" t="str">
        <f>IF(ISNUMBER(K905),M905-N905,"")</f>
        <v/>
      </c>
      <c r="P905" s="55" t="str">
        <f>IF(COUNTA(A905:I905)=0,"",N(G905)+N(H905)+N(I905))</f>
        <v/>
      </c>
      <c r="Q905" s="56" t="str">
        <f>IF(COUNTA(A905:I905)=0,"",IF(N(IFERROR(INDEX(art_rate,MATCH(E905,art_ref,0)),0))&gt;0,N(IFERROR(INDEX(art_rate,MATCH(E905,art_ref,0)),0)),N(IFERROR(INDEX(po_rate,MATCH(C905,po_code,0)),0))))</f>
        <v/>
      </c>
      <c r="R905" s="55" t="str">
        <f>IF(AC905=1,P905*60/Q905,"")</f>
        <v/>
      </c>
      <c r="S905" s="55" t="str">
        <f>IF(AC905=1,N(G905)*60/Q905,"")</f>
        <v/>
      </c>
      <c r="T905" s="57" t="str">
        <f>IF(AC905=1,O905/M905,"")</f>
        <v/>
      </c>
      <c r="U905" s="57" t="str">
        <f>IF(AC905=1,IF(O905&gt;0,R905/O905,""),"")</f>
        <v/>
      </c>
      <c r="V905" s="57" t="str">
        <f>IF(AC905=1,IF(P905&gt;0,N(G905)/P905,""),"")</f>
        <v/>
      </c>
      <c r="W905" s="57" t="str">
        <f>IF(AC905=1,S905/M905,"")</f>
        <v/>
      </c>
      <c r="X905" s="57" t="str">
        <f>IF(AC905=1,S905/K905,"")</f>
        <v/>
      </c>
      <c r="Y905" s="58" t="str">
        <f>IF(W905="","",IF(W905&gt;=p_target,"Bon",IF(W905&gt;=p_alert,"À surveiller","Faible")))</f>
        <v/>
      </c>
      <c r="Z905" s="58" t="str">
        <f>IF(W905="","",IF(MIN(IF(T905="",1,T905),IF(U905="",1,U905),IF(V905="",1,V905))&gt;=1,"Aucune",IF(IF(T905="",1,T905)&lt;=MIN(IF(U905="",1,U905),IF(V905="",1,V905)),"Disponibilité",IF(IF(U905="",1,U905)&lt;=IF(V905="",1,V905),"Performance","Qualité"))))</f>
        <v/>
      </c>
      <c r="AA905" s="59" t="str">
        <f>IF(AC905=1,N(H905)*N(IFERROR(INDEX(art_cost,MATCH(E905,art_ref,0)),0)),"")</f>
        <v/>
      </c>
      <c r="AB905" s="58" t="str">
        <f>IF(COUNTA(A905:I905)=0,"",IF(N(A905)&lt;=0,"Date manquante ou invalide",IF(B905="","Équipe manquante",IF(ISNA(MATCH(B905,eq_code,0)),"Équipe inconnue",IF(INDEX(eq_check,MATCH(B905,eq_code,0))&lt;&gt;"OK","Équipe à corriger dans Paramètres",IF(C905="","Poste manquant",IF(ISNA(MATCH(C905,po_code,0)),"Poste inconnu",IF(AND(E905&lt;&gt;"",ISNA(MATCH(E905,art_ref,0))),"Article inconnu",IF(IF(E905="",FALSE,INDEX(art_check,MATCH(E905,art_ref,0))&lt;&gt;"OK"),"Article à corriger (feuille Articles)",IF(COUNTIFS(sj_date,A905,sj_eq,B905,sj_po,C905)&gt;1,"Ligne en double (même jour, équipe et poste)",IF(OR(NOT(ISNUMBER(K905)),N(K905)&lt;=0,N(K905)&gt;1440),"Temps d'ouverture invalide",IF(OR(AND(G905&lt;&gt;"",NOT(ISNUMBER(G905))),N(G905)&lt;0,N(G905)&lt;&gt;INT(N(G905)),AND(H905&lt;&gt;"",NOT(ISNUMBER(H905))),N(H905)&lt;0,N(H905)&lt;&gt;INT(N(H905)),AND(I905&lt;&gt;"",NOT(ISNUMBER(I905))),N(I905)&lt;0,N(I905)&lt;&gt;INT(N(I905))),"Quantité invalide",IF(Q905&lt;=0,"Cadence manquante (poste ou article)",IF(M905&lt;=0,"Arrêts planifiés supérieurs au temps d'ouverture",IF(O905&lt;0,"Arrêts supérieurs au temps requis",IF(AND(P905&gt;0,O905=0),"Pièces déclarées sans temps de marche",IF(AND(P905=0,O905&gt;0),"Aucune pièce déclarée",IF(P905*60/Q905&gt;O905+0.001,"Cadence dépassée : vérifiez la cadence","OK"))))))))))))))))))</f>
        <v/>
      </c>
      <c r="AC905">
        <f>IF(OR(AB905="OK",AB905="Aucune pièce déclarée",AB905="Cadence dépassée : vérifiez la cadence"),1,0)</f>
        <v>0.0</v>
      </c>
      <c r="AD905">
        <f>IF(AND(AC905=1,A905&gt;=p_from,A905&lt;=p_to),1,0)</f>
        <v>0.0</v>
      </c>
      <c r="AE905">
        <f>IF(AD905=1,IF(COUNTIFS($A$6:A905,A905,$AD$6:AD905,1)=1,1,0),0)</f>
        <v>0.0</v>
      </c>
      <c r="AF905" t="str">
        <f>IF(AE905=1,COUNTIFS(sj_first,1,sj_date,"&lt;"&amp;A905)+1,"")</f>
        <v/>
      </c>
      <c r="AG905" t="str">
        <f>IF(AND(AD905=1,N(W905)&lt;p_alert),ROUND(W905,4),"")</f>
        <v/>
      </c>
      <c r="AH905" t="str">
        <f>IF(AG905="","",COUNTIF(sj_akey,"&lt;"&amp;AG905)+COUNTIF($AG$6:AG905,AG905))</f>
        <v/>
      </c>
    </row>
    <row r="906">
      <c r="A906" s="51" t="n"/>
      <c r="B906" s="52" t="n"/>
      <c r="C906" s="52" t="n"/>
      <c r="D906" s="53" t="n"/>
      <c r="E906" s="53" t="n"/>
      <c r="F906" s="54" t="n"/>
      <c r="G906" s="54" t="n"/>
      <c r="H906" s="54" t="n"/>
      <c r="I906" s="54" t="n"/>
      <c r="J906" s="53" t="n"/>
      <c r="K906" s="55" t="str">
        <f>IF(COUNTA(A906:I906)=0,"",IF(F906="",IFERROR(INDEX(eq_dur,MATCH(B906,eq_code,0)),""),F906))</f>
        <v/>
      </c>
      <c r="L906" s="55" t="str">
        <f>IF(ISNUMBER(K906),N(IFERROR(INDEX(eq_pause,MATCH(B906,eq_code,0)),0))+SUMIFS(st_min,st_date,A906,st_eq,B906,st_po,C906,st_type,"Planifié"),"")</f>
        <v/>
      </c>
      <c r="M906" s="55" t="str">
        <f>IF(ISNUMBER(K906),K906-L906,"")</f>
        <v/>
      </c>
      <c r="N906" s="55" t="str">
        <f>IF(ISNUMBER(K906),SUMIFS(st_min,st_date,A906,st_eq,B906,st_po,C906,st_type,"Non planifié"),"")</f>
        <v/>
      </c>
      <c r="O906" s="55" t="str">
        <f>IF(ISNUMBER(K906),M906-N906,"")</f>
        <v/>
      </c>
      <c r="P906" s="55" t="str">
        <f>IF(COUNTA(A906:I906)=0,"",N(G906)+N(H906)+N(I906))</f>
        <v/>
      </c>
      <c r="Q906" s="56" t="str">
        <f>IF(COUNTA(A906:I906)=0,"",IF(N(IFERROR(INDEX(art_rate,MATCH(E906,art_ref,0)),0))&gt;0,N(IFERROR(INDEX(art_rate,MATCH(E906,art_ref,0)),0)),N(IFERROR(INDEX(po_rate,MATCH(C906,po_code,0)),0))))</f>
        <v/>
      </c>
      <c r="R906" s="55" t="str">
        <f>IF(AC906=1,P906*60/Q906,"")</f>
        <v/>
      </c>
      <c r="S906" s="55" t="str">
        <f>IF(AC906=1,N(G906)*60/Q906,"")</f>
        <v/>
      </c>
      <c r="T906" s="57" t="str">
        <f>IF(AC906=1,O906/M906,"")</f>
        <v/>
      </c>
      <c r="U906" s="57" t="str">
        <f>IF(AC906=1,IF(O906&gt;0,R906/O906,""),"")</f>
        <v/>
      </c>
      <c r="V906" s="57" t="str">
        <f>IF(AC906=1,IF(P906&gt;0,N(G906)/P906,""),"")</f>
        <v/>
      </c>
      <c r="W906" s="57" t="str">
        <f>IF(AC906=1,S906/M906,"")</f>
        <v/>
      </c>
      <c r="X906" s="57" t="str">
        <f>IF(AC906=1,S906/K906,"")</f>
        <v/>
      </c>
      <c r="Y906" s="58" t="str">
        <f>IF(W906="","",IF(W906&gt;=p_target,"Bon",IF(W906&gt;=p_alert,"À surveiller","Faible")))</f>
        <v/>
      </c>
      <c r="Z906" s="58" t="str">
        <f>IF(W906="","",IF(MIN(IF(T906="",1,T906),IF(U906="",1,U906),IF(V906="",1,V906))&gt;=1,"Aucune",IF(IF(T906="",1,T906)&lt;=MIN(IF(U906="",1,U906),IF(V906="",1,V906)),"Disponibilité",IF(IF(U906="",1,U906)&lt;=IF(V906="",1,V906),"Performance","Qualité"))))</f>
        <v/>
      </c>
      <c r="AA906" s="59" t="str">
        <f>IF(AC906=1,N(H906)*N(IFERROR(INDEX(art_cost,MATCH(E906,art_ref,0)),0)),"")</f>
        <v/>
      </c>
      <c r="AB906" s="58" t="str">
        <f>IF(COUNTA(A906:I906)=0,"",IF(N(A906)&lt;=0,"Date manquante ou invalide",IF(B906="","Équipe manquante",IF(ISNA(MATCH(B906,eq_code,0)),"Équipe inconnue",IF(INDEX(eq_check,MATCH(B906,eq_code,0))&lt;&gt;"OK","Équipe à corriger dans Paramètres",IF(C906="","Poste manquant",IF(ISNA(MATCH(C906,po_code,0)),"Poste inconnu",IF(AND(E906&lt;&gt;"",ISNA(MATCH(E906,art_ref,0))),"Article inconnu",IF(IF(E906="",FALSE,INDEX(art_check,MATCH(E906,art_ref,0))&lt;&gt;"OK"),"Article à corriger (feuille Articles)",IF(COUNTIFS(sj_date,A906,sj_eq,B906,sj_po,C906)&gt;1,"Ligne en double (même jour, équipe et poste)",IF(OR(NOT(ISNUMBER(K906)),N(K906)&lt;=0,N(K906)&gt;1440),"Temps d'ouverture invalide",IF(OR(AND(G906&lt;&gt;"",NOT(ISNUMBER(G906))),N(G906)&lt;0,N(G906)&lt;&gt;INT(N(G906)),AND(H906&lt;&gt;"",NOT(ISNUMBER(H906))),N(H906)&lt;0,N(H906)&lt;&gt;INT(N(H906)),AND(I906&lt;&gt;"",NOT(ISNUMBER(I906))),N(I906)&lt;0,N(I906)&lt;&gt;INT(N(I906))),"Quantité invalide",IF(Q906&lt;=0,"Cadence manquante (poste ou article)",IF(M906&lt;=0,"Arrêts planifiés supérieurs au temps d'ouverture",IF(O906&lt;0,"Arrêts supérieurs au temps requis",IF(AND(P906&gt;0,O906=0),"Pièces déclarées sans temps de marche",IF(AND(P906=0,O906&gt;0),"Aucune pièce déclarée",IF(P906*60/Q906&gt;O906+0.001,"Cadence dépassée : vérifiez la cadence","OK"))))))))))))))))))</f>
        <v/>
      </c>
      <c r="AC906">
        <f>IF(OR(AB906="OK",AB906="Aucune pièce déclarée",AB906="Cadence dépassée : vérifiez la cadence"),1,0)</f>
        <v>0.0</v>
      </c>
      <c r="AD906">
        <f>IF(AND(AC906=1,A906&gt;=p_from,A906&lt;=p_to),1,0)</f>
        <v>0.0</v>
      </c>
      <c r="AE906">
        <f>IF(AD906=1,IF(COUNTIFS($A$6:A906,A906,$AD$6:AD906,1)=1,1,0),0)</f>
        <v>0.0</v>
      </c>
      <c r="AF906" t="str">
        <f>IF(AE906=1,COUNTIFS(sj_first,1,sj_date,"&lt;"&amp;A906)+1,"")</f>
        <v/>
      </c>
      <c r="AG906" t="str">
        <f>IF(AND(AD906=1,N(W906)&lt;p_alert),ROUND(W906,4),"")</f>
        <v/>
      </c>
      <c r="AH906" t="str">
        <f>IF(AG906="","",COUNTIF(sj_akey,"&lt;"&amp;AG906)+COUNTIF($AG$6:AG906,AG906))</f>
        <v/>
      </c>
    </row>
    <row r="907">
      <c r="A907" s="51" t="n"/>
      <c r="B907" s="52" t="n"/>
      <c r="C907" s="52" t="n"/>
      <c r="D907" s="53" t="n"/>
      <c r="E907" s="53" t="n"/>
      <c r="F907" s="54" t="n"/>
      <c r="G907" s="54" t="n"/>
      <c r="H907" s="54" t="n"/>
      <c r="I907" s="54" t="n"/>
      <c r="J907" s="53" t="n"/>
      <c r="K907" s="55" t="str">
        <f>IF(COUNTA(A907:I907)=0,"",IF(F907="",IFERROR(INDEX(eq_dur,MATCH(B907,eq_code,0)),""),F907))</f>
        <v/>
      </c>
      <c r="L907" s="55" t="str">
        <f>IF(ISNUMBER(K907),N(IFERROR(INDEX(eq_pause,MATCH(B907,eq_code,0)),0))+SUMIFS(st_min,st_date,A907,st_eq,B907,st_po,C907,st_type,"Planifié"),"")</f>
        <v/>
      </c>
      <c r="M907" s="55" t="str">
        <f>IF(ISNUMBER(K907),K907-L907,"")</f>
        <v/>
      </c>
      <c r="N907" s="55" t="str">
        <f>IF(ISNUMBER(K907),SUMIFS(st_min,st_date,A907,st_eq,B907,st_po,C907,st_type,"Non planifié"),"")</f>
        <v/>
      </c>
      <c r="O907" s="55" t="str">
        <f>IF(ISNUMBER(K907),M907-N907,"")</f>
        <v/>
      </c>
      <c r="P907" s="55" t="str">
        <f>IF(COUNTA(A907:I907)=0,"",N(G907)+N(H907)+N(I907))</f>
        <v/>
      </c>
      <c r="Q907" s="56" t="str">
        <f>IF(COUNTA(A907:I907)=0,"",IF(N(IFERROR(INDEX(art_rate,MATCH(E907,art_ref,0)),0))&gt;0,N(IFERROR(INDEX(art_rate,MATCH(E907,art_ref,0)),0)),N(IFERROR(INDEX(po_rate,MATCH(C907,po_code,0)),0))))</f>
        <v/>
      </c>
      <c r="R907" s="55" t="str">
        <f>IF(AC907=1,P907*60/Q907,"")</f>
        <v/>
      </c>
      <c r="S907" s="55" t="str">
        <f>IF(AC907=1,N(G907)*60/Q907,"")</f>
        <v/>
      </c>
      <c r="T907" s="57" t="str">
        <f>IF(AC907=1,O907/M907,"")</f>
        <v/>
      </c>
      <c r="U907" s="57" t="str">
        <f>IF(AC907=1,IF(O907&gt;0,R907/O907,""),"")</f>
        <v/>
      </c>
      <c r="V907" s="57" t="str">
        <f>IF(AC907=1,IF(P907&gt;0,N(G907)/P907,""),"")</f>
        <v/>
      </c>
      <c r="W907" s="57" t="str">
        <f>IF(AC907=1,S907/M907,"")</f>
        <v/>
      </c>
      <c r="X907" s="57" t="str">
        <f>IF(AC907=1,S907/K907,"")</f>
        <v/>
      </c>
      <c r="Y907" s="58" t="str">
        <f>IF(W907="","",IF(W907&gt;=p_target,"Bon",IF(W907&gt;=p_alert,"À surveiller","Faible")))</f>
        <v/>
      </c>
      <c r="Z907" s="58" t="str">
        <f>IF(W907="","",IF(MIN(IF(T907="",1,T907),IF(U907="",1,U907),IF(V907="",1,V907))&gt;=1,"Aucune",IF(IF(T907="",1,T907)&lt;=MIN(IF(U907="",1,U907),IF(V907="",1,V907)),"Disponibilité",IF(IF(U907="",1,U907)&lt;=IF(V907="",1,V907),"Performance","Qualité"))))</f>
        <v/>
      </c>
      <c r="AA907" s="59" t="str">
        <f>IF(AC907=1,N(H907)*N(IFERROR(INDEX(art_cost,MATCH(E907,art_ref,0)),0)),"")</f>
        <v/>
      </c>
      <c r="AB907" s="58" t="str">
        <f>IF(COUNTA(A907:I907)=0,"",IF(N(A907)&lt;=0,"Date manquante ou invalide",IF(B907="","Équipe manquante",IF(ISNA(MATCH(B907,eq_code,0)),"Équipe inconnue",IF(INDEX(eq_check,MATCH(B907,eq_code,0))&lt;&gt;"OK","Équipe à corriger dans Paramètres",IF(C907="","Poste manquant",IF(ISNA(MATCH(C907,po_code,0)),"Poste inconnu",IF(AND(E907&lt;&gt;"",ISNA(MATCH(E907,art_ref,0))),"Article inconnu",IF(IF(E907="",FALSE,INDEX(art_check,MATCH(E907,art_ref,0))&lt;&gt;"OK"),"Article à corriger (feuille Articles)",IF(COUNTIFS(sj_date,A907,sj_eq,B907,sj_po,C907)&gt;1,"Ligne en double (même jour, équipe et poste)",IF(OR(NOT(ISNUMBER(K907)),N(K907)&lt;=0,N(K907)&gt;1440),"Temps d'ouverture invalide",IF(OR(AND(G907&lt;&gt;"",NOT(ISNUMBER(G907))),N(G907)&lt;0,N(G907)&lt;&gt;INT(N(G907)),AND(H907&lt;&gt;"",NOT(ISNUMBER(H907))),N(H907)&lt;0,N(H907)&lt;&gt;INT(N(H907)),AND(I907&lt;&gt;"",NOT(ISNUMBER(I907))),N(I907)&lt;0,N(I907)&lt;&gt;INT(N(I907))),"Quantité invalide",IF(Q907&lt;=0,"Cadence manquante (poste ou article)",IF(M907&lt;=0,"Arrêts planifiés supérieurs au temps d'ouverture",IF(O907&lt;0,"Arrêts supérieurs au temps requis",IF(AND(P907&gt;0,O907=0),"Pièces déclarées sans temps de marche",IF(AND(P907=0,O907&gt;0),"Aucune pièce déclarée",IF(P907*60/Q907&gt;O907+0.001,"Cadence dépassée : vérifiez la cadence","OK"))))))))))))))))))</f>
        <v/>
      </c>
      <c r="AC907">
        <f>IF(OR(AB907="OK",AB907="Aucune pièce déclarée",AB907="Cadence dépassée : vérifiez la cadence"),1,0)</f>
        <v>0.0</v>
      </c>
      <c r="AD907">
        <f>IF(AND(AC907=1,A907&gt;=p_from,A907&lt;=p_to),1,0)</f>
        <v>0.0</v>
      </c>
      <c r="AE907">
        <f>IF(AD907=1,IF(COUNTIFS($A$6:A907,A907,$AD$6:AD907,1)=1,1,0),0)</f>
        <v>0.0</v>
      </c>
      <c r="AF907" t="str">
        <f>IF(AE907=1,COUNTIFS(sj_first,1,sj_date,"&lt;"&amp;A907)+1,"")</f>
        <v/>
      </c>
      <c r="AG907" t="str">
        <f>IF(AND(AD907=1,N(W907)&lt;p_alert),ROUND(W907,4),"")</f>
        <v/>
      </c>
      <c r="AH907" t="str">
        <f>IF(AG907="","",COUNTIF(sj_akey,"&lt;"&amp;AG907)+COUNTIF($AG$6:AG907,AG907))</f>
        <v/>
      </c>
    </row>
    <row r="908">
      <c r="A908" s="51" t="n"/>
      <c r="B908" s="52" t="n"/>
      <c r="C908" s="52" t="n"/>
      <c r="D908" s="53" t="n"/>
      <c r="E908" s="53" t="n"/>
      <c r="F908" s="54" t="n"/>
      <c r="G908" s="54" t="n"/>
      <c r="H908" s="54" t="n"/>
      <c r="I908" s="54" t="n"/>
      <c r="J908" s="53" t="n"/>
      <c r="K908" s="55" t="str">
        <f>IF(COUNTA(A908:I908)=0,"",IF(F908="",IFERROR(INDEX(eq_dur,MATCH(B908,eq_code,0)),""),F908))</f>
        <v/>
      </c>
      <c r="L908" s="55" t="str">
        <f>IF(ISNUMBER(K908),N(IFERROR(INDEX(eq_pause,MATCH(B908,eq_code,0)),0))+SUMIFS(st_min,st_date,A908,st_eq,B908,st_po,C908,st_type,"Planifié"),"")</f>
        <v/>
      </c>
      <c r="M908" s="55" t="str">
        <f>IF(ISNUMBER(K908),K908-L908,"")</f>
        <v/>
      </c>
      <c r="N908" s="55" t="str">
        <f>IF(ISNUMBER(K908),SUMIFS(st_min,st_date,A908,st_eq,B908,st_po,C908,st_type,"Non planifié"),"")</f>
        <v/>
      </c>
      <c r="O908" s="55" t="str">
        <f>IF(ISNUMBER(K908),M908-N908,"")</f>
        <v/>
      </c>
      <c r="P908" s="55" t="str">
        <f>IF(COUNTA(A908:I908)=0,"",N(G908)+N(H908)+N(I908))</f>
        <v/>
      </c>
      <c r="Q908" s="56" t="str">
        <f>IF(COUNTA(A908:I908)=0,"",IF(N(IFERROR(INDEX(art_rate,MATCH(E908,art_ref,0)),0))&gt;0,N(IFERROR(INDEX(art_rate,MATCH(E908,art_ref,0)),0)),N(IFERROR(INDEX(po_rate,MATCH(C908,po_code,0)),0))))</f>
        <v/>
      </c>
      <c r="R908" s="55" t="str">
        <f>IF(AC908=1,P908*60/Q908,"")</f>
        <v/>
      </c>
      <c r="S908" s="55" t="str">
        <f>IF(AC908=1,N(G908)*60/Q908,"")</f>
        <v/>
      </c>
      <c r="T908" s="57" t="str">
        <f>IF(AC908=1,O908/M908,"")</f>
        <v/>
      </c>
      <c r="U908" s="57" t="str">
        <f>IF(AC908=1,IF(O908&gt;0,R908/O908,""),"")</f>
        <v/>
      </c>
      <c r="V908" s="57" t="str">
        <f>IF(AC908=1,IF(P908&gt;0,N(G908)/P908,""),"")</f>
        <v/>
      </c>
      <c r="W908" s="57" t="str">
        <f>IF(AC908=1,S908/M908,"")</f>
        <v/>
      </c>
      <c r="X908" s="57" t="str">
        <f>IF(AC908=1,S908/K908,"")</f>
        <v/>
      </c>
      <c r="Y908" s="58" t="str">
        <f>IF(W908="","",IF(W908&gt;=p_target,"Bon",IF(W908&gt;=p_alert,"À surveiller","Faible")))</f>
        <v/>
      </c>
      <c r="Z908" s="58" t="str">
        <f>IF(W908="","",IF(MIN(IF(T908="",1,T908),IF(U908="",1,U908),IF(V908="",1,V908))&gt;=1,"Aucune",IF(IF(T908="",1,T908)&lt;=MIN(IF(U908="",1,U908),IF(V908="",1,V908)),"Disponibilité",IF(IF(U908="",1,U908)&lt;=IF(V908="",1,V908),"Performance","Qualité"))))</f>
        <v/>
      </c>
      <c r="AA908" s="59" t="str">
        <f>IF(AC908=1,N(H908)*N(IFERROR(INDEX(art_cost,MATCH(E908,art_ref,0)),0)),"")</f>
        <v/>
      </c>
      <c r="AB908" s="58" t="str">
        <f>IF(COUNTA(A908:I908)=0,"",IF(N(A908)&lt;=0,"Date manquante ou invalide",IF(B908="","Équipe manquante",IF(ISNA(MATCH(B908,eq_code,0)),"Équipe inconnue",IF(INDEX(eq_check,MATCH(B908,eq_code,0))&lt;&gt;"OK","Équipe à corriger dans Paramètres",IF(C908="","Poste manquant",IF(ISNA(MATCH(C908,po_code,0)),"Poste inconnu",IF(AND(E908&lt;&gt;"",ISNA(MATCH(E908,art_ref,0))),"Article inconnu",IF(IF(E908="",FALSE,INDEX(art_check,MATCH(E908,art_ref,0))&lt;&gt;"OK"),"Article à corriger (feuille Articles)",IF(COUNTIFS(sj_date,A908,sj_eq,B908,sj_po,C908)&gt;1,"Ligne en double (même jour, équipe et poste)",IF(OR(NOT(ISNUMBER(K908)),N(K908)&lt;=0,N(K908)&gt;1440),"Temps d'ouverture invalide",IF(OR(AND(G908&lt;&gt;"",NOT(ISNUMBER(G908))),N(G908)&lt;0,N(G908)&lt;&gt;INT(N(G908)),AND(H908&lt;&gt;"",NOT(ISNUMBER(H908))),N(H908)&lt;0,N(H908)&lt;&gt;INT(N(H908)),AND(I908&lt;&gt;"",NOT(ISNUMBER(I908))),N(I908)&lt;0,N(I908)&lt;&gt;INT(N(I908))),"Quantité invalide",IF(Q908&lt;=0,"Cadence manquante (poste ou article)",IF(M908&lt;=0,"Arrêts planifiés supérieurs au temps d'ouverture",IF(O908&lt;0,"Arrêts supérieurs au temps requis",IF(AND(P908&gt;0,O908=0),"Pièces déclarées sans temps de marche",IF(AND(P908=0,O908&gt;0),"Aucune pièce déclarée",IF(P908*60/Q908&gt;O908+0.001,"Cadence dépassée : vérifiez la cadence","OK"))))))))))))))))))</f>
        <v/>
      </c>
      <c r="AC908">
        <f>IF(OR(AB908="OK",AB908="Aucune pièce déclarée",AB908="Cadence dépassée : vérifiez la cadence"),1,0)</f>
        <v>0.0</v>
      </c>
      <c r="AD908">
        <f>IF(AND(AC908=1,A908&gt;=p_from,A908&lt;=p_to),1,0)</f>
        <v>0.0</v>
      </c>
      <c r="AE908">
        <f>IF(AD908=1,IF(COUNTIFS($A$6:A908,A908,$AD$6:AD908,1)=1,1,0),0)</f>
        <v>0.0</v>
      </c>
      <c r="AF908" t="str">
        <f>IF(AE908=1,COUNTIFS(sj_first,1,sj_date,"&lt;"&amp;A908)+1,"")</f>
        <v/>
      </c>
      <c r="AG908" t="str">
        <f>IF(AND(AD908=1,N(W908)&lt;p_alert),ROUND(W908,4),"")</f>
        <v/>
      </c>
      <c r="AH908" t="str">
        <f>IF(AG908="","",COUNTIF(sj_akey,"&lt;"&amp;AG908)+COUNTIF($AG$6:AG908,AG908))</f>
        <v/>
      </c>
    </row>
    <row r="909">
      <c r="A909" s="51" t="n"/>
      <c r="B909" s="52" t="n"/>
      <c r="C909" s="52" t="n"/>
      <c r="D909" s="53" t="n"/>
      <c r="E909" s="53" t="n"/>
      <c r="F909" s="54" t="n"/>
      <c r="G909" s="54" t="n"/>
      <c r="H909" s="54" t="n"/>
      <c r="I909" s="54" t="n"/>
      <c r="J909" s="53" t="n"/>
      <c r="K909" s="55" t="str">
        <f>IF(COUNTA(A909:I909)=0,"",IF(F909="",IFERROR(INDEX(eq_dur,MATCH(B909,eq_code,0)),""),F909))</f>
        <v/>
      </c>
      <c r="L909" s="55" t="str">
        <f>IF(ISNUMBER(K909),N(IFERROR(INDEX(eq_pause,MATCH(B909,eq_code,0)),0))+SUMIFS(st_min,st_date,A909,st_eq,B909,st_po,C909,st_type,"Planifié"),"")</f>
        <v/>
      </c>
      <c r="M909" s="55" t="str">
        <f>IF(ISNUMBER(K909),K909-L909,"")</f>
        <v/>
      </c>
      <c r="N909" s="55" t="str">
        <f>IF(ISNUMBER(K909),SUMIFS(st_min,st_date,A909,st_eq,B909,st_po,C909,st_type,"Non planifié"),"")</f>
        <v/>
      </c>
      <c r="O909" s="55" t="str">
        <f>IF(ISNUMBER(K909),M909-N909,"")</f>
        <v/>
      </c>
      <c r="P909" s="55" t="str">
        <f>IF(COUNTA(A909:I909)=0,"",N(G909)+N(H909)+N(I909))</f>
        <v/>
      </c>
      <c r="Q909" s="56" t="str">
        <f>IF(COUNTA(A909:I909)=0,"",IF(N(IFERROR(INDEX(art_rate,MATCH(E909,art_ref,0)),0))&gt;0,N(IFERROR(INDEX(art_rate,MATCH(E909,art_ref,0)),0)),N(IFERROR(INDEX(po_rate,MATCH(C909,po_code,0)),0))))</f>
        <v/>
      </c>
      <c r="R909" s="55" t="str">
        <f>IF(AC909=1,P909*60/Q909,"")</f>
        <v/>
      </c>
      <c r="S909" s="55" t="str">
        <f>IF(AC909=1,N(G909)*60/Q909,"")</f>
        <v/>
      </c>
      <c r="T909" s="57" t="str">
        <f>IF(AC909=1,O909/M909,"")</f>
        <v/>
      </c>
      <c r="U909" s="57" t="str">
        <f>IF(AC909=1,IF(O909&gt;0,R909/O909,""),"")</f>
        <v/>
      </c>
      <c r="V909" s="57" t="str">
        <f>IF(AC909=1,IF(P909&gt;0,N(G909)/P909,""),"")</f>
        <v/>
      </c>
      <c r="W909" s="57" t="str">
        <f>IF(AC909=1,S909/M909,"")</f>
        <v/>
      </c>
      <c r="X909" s="57" t="str">
        <f>IF(AC909=1,S909/K909,"")</f>
        <v/>
      </c>
      <c r="Y909" s="58" t="str">
        <f>IF(W909="","",IF(W909&gt;=p_target,"Bon",IF(W909&gt;=p_alert,"À surveiller","Faible")))</f>
        <v/>
      </c>
      <c r="Z909" s="58" t="str">
        <f>IF(W909="","",IF(MIN(IF(T909="",1,T909),IF(U909="",1,U909),IF(V909="",1,V909))&gt;=1,"Aucune",IF(IF(T909="",1,T909)&lt;=MIN(IF(U909="",1,U909),IF(V909="",1,V909)),"Disponibilité",IF(IF(U909="",1,U909)&lt;=IF(V909="",1,V909),"Performance","Qualité"))))</f>
        <v/>
      </c>
      <c r="AA909" s="59" t="str">
        <f>IF(AC909=1,N(H909)*N(IFERROR(INDEX(art_cost,MATCH(E909,art_ref,0)),0)),"")</f>
        <v/>
      </c>
      <c r="AB909" s="58" t="str">
        <f>IF(COUNTA(A909:I909)=0,"",IF(N(A909)&lt;=0,"Date manquante ou invalide",IF(B909="","Équipe manquante",IF(ISNA(MATCH(B909,eq_code,0)),"Équipe inconnue",IF(INDEX(eq_check,MATCH(B909,eq_code,0))&lt;&gt;"OK","Équipe à corriger dans Paramètres",IF(C909="","Poste manquant",IF(ISNA(MATCH(C909,po_code,0)),"Poste inconnu",IF(AND(E909&lt;&gt;"",ISNA(MATCH(E909,art_ref,0))),"Article inconnu",IF(IF(E909="",FALSE,INDEX(art_check,MATCH(E909,art_ref,0))&lt;&gt;"OK"),"Article à corriger (feuille Articles)",IF(COUNTIFS(sj_date,A909,sj_eq,B909,sj_po,C909)&gt;1,"Ligne en double (même jour, équipe et poste)",IF(OR(NOT(ISNUMBER(K909)),N(K909)&lt;=0,N(K909)&gt;1440),"Temps d'ouverture invalide",IF(OR(AND(G909&lt;&gt;"",NOT(ISNUMBER(G909))),N(G909)&lt;0,N(G909)&lt;&gt;INT(N(G909)),AND(H909&lt;&gt;"",NOT(ISNUMBER(H909))),N(H909)&lt;0,N(H909)&lt;&gt;INT(N(H909)),AND(I909&lt;&gt;"",NOT(ISNUMBER(I909))),N(I909)&lt;0,N(I909)&lt;&gt;INT(N(I909))),"Quantité invalide",IF(Q909&lt;=0,"Cadence manquante (poste ou article)",IF(M909&lt;=0,"Arrêts planifiés supérieurs au temps d'ouverture",IF(O909&lt;0,"Arrêts supérieurs au temps requis",IF(AND(P909&gt;0,O909=0),"Pièces déclarées sans temps de marche",IF(AND(P909=0,O909&gt;0),"Aucune pièce déclarée",IF(P909*60/Q909&gt;O909+0.001,"Cadence dépassée : vérifiez la cadence","OK"))))))))))))))))))</f>
        <v/>
      </c>
      <c r="AC909">
        <f>IF(OR(AB909="OK",AB909="Aucune pièce déclarée",AB909="Cadence dépassée : vérifiez la cadence"),1,0)</f>
        <v>0.0</v>
      </c>
      <c r="AD909">
        <f>IF(AND(AC909=1,A909&gt;=p_from,A909&lt;=p_to),1,0)</f>
        <v>0.0</v>
      </c>
      <c r="AE909">
        <f>IF(AD909=1,IF(COUNTIFS($A$6:A909,A909,$AD$6:AD909,1)=1,1,0),0)</f>
        <v>0.0</v>
      </c>
      <c r="AF909" t="str">
        <f>IF(AE909=1,COUNTIFS(sj_first,1,sj_date,"&lt;"&amp;A909)+1,"")</f>
        <v/>
      </c>
      <c r="AG909" t="str">
        <f>IF(AND(AD909=1,N(W909)&lt;p_alert),ROUND(W909,4),"")</f>
        <v/>
      </c>
      <c r="AH909" t="str">
        <f>IF(AG909="","",COUNTIF(sj_akey,"&lt;"&amp;AG909)+COUNTIF($AG$6:AG909,AG909))</f>
        <v/>
      </c>
    </row>
    <row r="910">
      <c r="A910" s="51" t="n"/>
      <c r="B910" s="52" t="n"/>
      <c r="C910" s="52" t="n"/>
      <c r="D910" s="53" t="n"/>
      <c r="E910" s="53" t="n"/>
      <c r="F910" s="54" t="n"/>
      <c r="G910" s="54" t="n"/>
      <c r="H910" s="54" t="n"/>
      <c r="I910" s="54" t="n"/>
      <c r="J910" s="53" t="n"/>
      <c r="K910" s="55" t="str">
        <f>IF(COUNTA(A910:I910)=0,"",IF(F910="",IFERROR(INDEX(eq_dur,MATCH(B910,eq_code,0)),""),F910))</f>
        <v/>
      </c>
      <c r="L910" s="55" t="str">
        <f>IF(ISNUMBER(K910),N(IFERROR(INDEX(eq_pause,MATCH(B910,eq_code,0)),0))+SUMIFS(st_min,st_date,A910,st_eq,B910,st_po,C910,st_type,"Planifié"),"")</f>
        <v/>
      </c>
      <c r="M910" s="55" t="str">
        <f>IF(ISNUMBER(K910),K910-L910,"")</f>
        <v/>
      </c>
      <c r="N910" s="55" t="str">
        <f>IF(ISNUMBER(K910),SUMIFS(st_min,st_date,A910,st_eq,B910,st_po,C910,st_type,"Non planifié"),"")</f>
        <v/>
      </c>
      <c r="O910" s="55" t="str">
        <f>IF(ISNUMBER(K910),M910-N910,"")</f>
        <v/>
      </c>
      <c r="P910" s="55" t="str">
        <f>IF(COUNTA(A910:I910)=0,"",N(G910)+N(H910)+N(I910))</f>
        <v/>
      </c>
      <c r="Q910" s="56" t="str">
        <f>IF(COUNTA(A910:I910)=0,"",IF(N(IFERROR(INDEX(art_rate,MATCH(E910,art_ref,0)),0))&gt;0,N(IFERROR(INDEX(art_rate,MATCH(E910,art_ref,0)),0)),N(IFERROR(INDEX(po_rate,MATCH(C910,po_code,0)),0))))</f>
        <v/>
      </c>
      <c r="R910" s="55" t="str">
        <f>IF(AC910=1,P910*60/Q910,"")</f>
        <v/>
      </c>
      <c r="S910" s="55" t="str">
        <f>IF(AC910=1,N(G910)*60/Q910,"")</f>
        <v/>
      </c>
      <c r="T910" s="57" t="str">
        <f>IF(AC910=1,O910/M910,"")</f>
        <v/>
      </c>
      <c r="U910" s="57" t="str">
        <f>IF(AC910=1,IF(O910&gt;0,R910/O910,""),"")</f>
        <v/>
      </c>
      <c r="V910" s="57" t="str">
        <f>IF(AC910=1,IF(P910&gt;0,N(G910)/P910,""),"")</f>
        <v/>
      </c>
      <c r="W910" s="57" t="str">
        <f>IF(AC910=1,S910/M910,"")</f>
        <v/>
      </c>
      <c r="X910" s="57" t="str">
        <f>IF(AC910=1,S910/K910,"")</f>
        <v/>
      </c>
      <c r="Y910" s="58" t="str">
        <f>IF(W910="","",IF(W910&gt;=p_target,"Bon",IF(W910&gt;=p_alert,"À surveiller","Faible")))</f>
        <v/>
      </c>
      <c r="Z910" s="58" t="str">
        <f>IF(W910="","",IF(MIN(IF(T910="",1,T910),IF(U910="",1,U910),IF(V910="",1,V910))&gt;=1,"Aucune",IF(IF(T910="",1,T910)&lt;=MIN(IF(U910="",1,U910),IF(V910="",1,V910)),"Disponibilité",IF(IF(U910="",1,U910)&lt;=IF(V910="",1,V910),"Performance","Qualité"))))</f>
        <v/>
      </c>
      <c r="AA910" s="59" t="str">
        <f>IF(AC910=1,N(H910)*N(IFERROR(INDEX(art_cost,MATCH(E910,art_ref,0)),0)),"")</f>
        <v/>
      </c>
      <c r="AB910" s="58" t="str">
        <f>IF(COUNTA(A910:I910)=0,"",IF(N(A910)&lt;=0,"Date manquante ou invalide",IF(B910="","Équipe manquante",IF(ISNA(MATCH(B910,eq_code,0)),"Équipe inconnue",IF(INDEX(eq_check,MATCH(B910,eq_code,0))&lt;&gt;"OK","Équipe à corriger dans Paramètres",IF(C910="","Poste manquant",IF(ISNA(MATCH(C910,po_code,0)),"Poste inconnu",IF(AND(E910&lt;&gt;"",ISNA(MATCH(E910,art_ref,0))),"Article inconnu",IF(IF(E910="",FALSE,INDEX(art_check,MATCH(E910,art_ref,0))&lt;&gt;"OK"),"Article à corriger (feuille Articles)",IF(COUNTIFS(sj_date,A910,sj_eq,B910,sj_po,C910)&gt;1,"Ligne en double (même jour, équipe et poste)",IF(OR(NOT(ISNUMBER(K910)),N(K910)&lt;=0,N(K910)&gt;1440),"Temps d'ouverture invalide",IF(OR(AND(G910&lt;&gt;"",NOT(ISNUMBER(G910))),N(G910)&lt;0,N(G910)&lt;&gt;INT(N(G910)),AND(H910&lt;&gt;"",NOT(ISNUMBER(H910))),N(H910)&lt;0,N(H910)&lt;&gt;INT(N(H910)),AND(I910&lt;&gt;"",NOT(ISNUMBER(I910))),N(I910)&lt;0,N(I910)&lt;&gt;INT(N(I910))),"Quantité invalide",IF(Q910&lt;=0,"Cadence manquante (poste ou article)",IF(M910&lt;=0,"Arrêts planifiés supérieurs au temps d'ouverture",IF(O910&lt;0,"Arrêts supérieurs au temps requis",IF(AND(P910&gt;0,O910=0),"Pièces déclarées sans temps de marche",IF(AND(P910=0,O910&gt;0),"Aucune pièce déclarée",IF(P910*60/Q910&gt;O910+0.001,"Cadence dépassée : vérifiez la cadence","OK"))))))))))))))))))</f>
        <v/>
      </c>
      <c r="AC910">
        <f>IF(OR(AB910="OK",AB910="Aucune pièce déclarée",AB910="Cadence dépassée : vérifiez la cadence"),1,0)</f>
        <v>0.0</v>
      </c>
      <c r="AD910">
        <f>IF(AND(AC910=1,A910&gt;=p_from,A910&lt;=p_to),1,0)</f>
        <v>0.0</v>
      </c>
      <c r="AE910">
        <f>IF(AD910=1,IF(COUNTIFS($A$6:A910,A910,$AD$6:AD910,1)=1,1,0),0)</f>
        <v>0.0</v>
      </c>
      <c r="AF910" t="str">
        <f>IF(AE910=1,COUNTIFS(sj_first,1,sj_date,"&lt;"&amp;A910)+1,"")</f>
        <v/>
      </c>
      <c r="AG910" t="str">
        <f>IF(AND(AD910=1,N(W910)&lt;p_alert),ROUND(W910,4),"")</f>
        <v/>
      </c>
      <c r="AH910" t="str">
        <f>IF(AG910="","",COUNTIF(sj_akey,"&lt;"&amp;AG910)+COUNTIF($AG$6:AG910,AG910))</f>
        <v/>
      </c>
    </row>
    <row r="911">
      <c r="A911" s="51" t="n"/>
      <c r="B911" s="52" t="n"/>
      <c r="C911" s="52" t="n"/>
      <c r="D911" s="53" t="n"/>
      <c r="E911" s="53" t="n"/>
      <c r="F911" s="54" t="n"/>
      <c r="G911" s="54" t="n"/>
      <c r="H911" s="54" t="n"/>
      <c r="I911" s="54" t="n"/>
      <c r="J911" s="53" t="n"/>
      <c r="K911" s="55" t="str">
        <f>IF(COUNTA(A911:I911)=0,"",IF(F911="",IFERROR(INDEX(eq_dur,MATCH(B911,eq_code,0)),""),F911))</f>
        <v/>
      </c>
      <c r="L911" s="55" t="str">
        <f>IF(ISNUMBER(K911),N(IFERROR(INDEX(eq_pause,MATCH(B911,eq_code,0)),0))+SUMIFS(st_min,st_date,A911,st_eq,B911,st_po,C911,st_type,"Planifié"),"")</f>
        <v/>
      </c>
      <c r="M911" s="55" t="str">
        <f>IF(ISNUMBER(K911),K911-L911,"")</f>
        <v/>
      </c>
      <c r="N911" s="55" t="str">
        <f>IF(ISNUMBER(K911),SUMIFS(st_min,st_date,A911,st_eq,B911,st_po,C911,st_type,"Non planifié"),"")</f>
        <v/>
      </c>
      <c r="O911" s="55" t="str">
        <f>IF(ISNUMBER(K911),M911-N911,"")</f>
        <v/>
      </c>
      <c r="P911" s="55" t="str">
        <f>IF(COUNTA(A911:I911)=0,"",N(G911)+N(H911)+N(I911))</f>
        <v/>
      </c>
      <c r="Q911" s="56" t="str">
        <f>IF(COUNTA(A911:I911)=0,"",IF(N(IFERROR(INDEX(art_rate,MATCH(E911,art_ref,0)),0))&gt;0,N(IFERROR(INDEX(art_rate,MATCH(E911,art_ref,0)),0)),N(IFERROR(INDEX(po_rate,MATCH(C911,po_code,0)),0))))</f>
        <v/>
      </c>
      <c r="R911" s="55" t="str">
        <f>IF(AC911=1,P911*60/Q911,"")</f>
        <v/>
      </c>
      <c r="S911" s="55" t="str">
        <f>IF(AC911=1,N(G911)*60/Q911,"")</f>
        <v/>
      </c>
      <c r="T911" s="57" t="str">
        <f>IF(AC911=1,O911/M911,"")</f>
        <v/>
      </c>
      <c r="U911" s="57" t="str">
        <f>IF(AC911=1,IF(O911&gt;0,R911/O911,""),"")</f>
        <v/>
      </c>
      <c r="V911" s="57" t="str">
        <f>IF(AC911=1,IF(P911&gt;0,N(G911)/P911,""),"")</f>
        <v/>
      </c>
      <c r="W911" s="57" t="str">
        <f>IF(AC911=1,S911/M911,"")</f>
        <v/>
      </c>
      <c r="X911" s="57" t="str">
        <f>IF(AC911=1,S911/K911,"")</f>
        <v/>
      </c>
      <c r="Y911" s="58" t="str">
        <f>IF(W911="","",IF(W911&gt;=p_target,"Bon",IF(W911&gt;=p_alert,"À surveiller","Faible")))</f>
        <v/>
      </c>
      <c r="Z911" s="58" t="str">
        <f>IF(W911="","",IF(MIN(IF(T911="",1,T911),IF(U911="",1,U911),IF(V911="",1,V911))&gt;=1,"Aucune",IF(IF(T911="",1,T911)&lt;=MIN(IF(U911="",1,U911),IF(V911="",1,V911)),"Disponibilité",IF(IF(U911="",1,U911)&lt;=IF(V911="",1,V911),"Performance","Qualité"))))</f>
        <v/>
      </c>
      <c r="AA911" s="59" t="str">
        <f>IF(AC911=1,N(H911)*N(IFERROR(INDEX(art_cost,MATCH(E911,art_ref,0)),0)),"")</f>
        <v/>
      </c>
      <c r="AB911" s="58" t="str">
        <f>IF(COUNTA(A911:I911)=0,"",IF(N(A911)&lt;=0,"Date manquante ou invalide",IF(B911="","Équipe manquante",IF(ISNA(MATCH(B911,eq_code,0)),"Équipe inconnue",IF(INDEX(eq_check,MATCH(B911,eq_code,0))&lt;&gt;"OK","Équipe à corriger dans Paramètres",IF(C911="","Poste manquant",IF(ISNA(MATCH(C911,po_code,0)),"Poste inconnu",IF(AND(E911&lt;&gt;"",ISNA(MATCH(E911,art_ref,0))),"Article inconnu",IF(IF(E911="",FALSE,INDEX(art_check,MATCH(E911,art_ref,0))&lt;&gt;"OK"),"Article à corriger (feuille Articles)",IF(COUNTIFS(sj_date,A911,sj_eq,B911,sj_po,C911)&gt;1,"Ligne en double (même jour, équipe et poste)",IF(OR(NOT(ISNUMBER(K911)),N(K911)&lt;=0,N(K911)&gt;1440),"Temps d'ouverture invalide",IF(OR(AND(G911&lt;&gt;"",NOT(ISNUMBER(G911))),N(G911)&lt;0,N(G911)&lt;&gt;INT(N(G911)),AND(H911&lt;&gt;"",NOT(ISNUMBER(H911))),N(H911)&lt;0,N(H911)&lt;&gt;INT(N(H911)),AND(I911&lt;&gt;"",NOT(ISNUMBER(I911))),N(I911)&lt;0,N(I911)&lt;&gt;INT(N(I911))),"Quantité invalide",IF(Q911&lt;=0,"Cadence manquante (poste ou article)",IF(M911&lt;=0,"Arrêts planifiés supérieurs au temps d'ouverture",IF(O911&lt;0,"Arrêts supérieurs au temps requis",IF(AND(P911&gt;0,O911=0),"Pièces déclarées sans temps de marche",IF(AND(P911=0,O911&gt;0),"Aucune pièce déclarée",IF(P911*60/Q911&gt;O911+0.001,"Cadence dépassée : vérifiez la cadence","OK"))))))))))))))))))</f>
        <v/>
      </c>
      <c r="AC911">
        <f>IF(OR(AB911="OK",AB911="Aucune pièce déclarée",AB911="Cadence dépassée : vérifiez la cadence"),1,0)</f>
        <v>0.0</v>
      </c>
      <c r="AD911">
        <f>IF(AND(AC911=1,A911&gt;=p_from,A911&lt;=p_to),1,0)</f>
        <v>0.0</v>
      </c>
      <c r="AE911">
        <f>IF(AD911=1,IF(COUNTIFS($A$6:A911,A911,$AD$6:AD911,1)=1,1,0),0)</f>
        <v>0.0</v>
      </c>
      <c r="AF911" t="str">
        <f>IF(AE911=1,COUNTIFS(sj_first,1,sj_date,"&lt;"&amp;A911)+1,"")</f>
        <v/>
      </c>
      <c r="AG911" t="str">
        <f>IF(AND(AD911=1,N(W911)&lt;p_alert),ROUND(W911,4),"")</f>
        <v/>
      </c>
      <c r="AH911" t="str">
        <f>IF(AG911="","",COUNTIF(sj_akey,"&lt;"&amp;AG911)+COUNTIF($AG$6:AG911,AG911))</f>
        <v/>
      </c>
    </row>
    <row r="912">
      <c r="A912" s="51" t="n"/>
      <c r="B912" s="52" t="n"/>
      <c r="C912" s="52" t="n"/>
      <c r="D912" s="53" t="n"/>
      <c r="E912" s="53" t="n"/>
      <c r="F912" s="54" t="n"/>
      <c r="G912" s="54" t="n"/>
      <c r="H912" s="54" t="n"/>
      <c r="I912" s="54" t="n"/>
      <c r="J912" s="53" t="n"/>
      <c r="K912" s="55" t="str">
        <f>IF(COUNTA(A912:I912)=0,"",IF(F912="",IFERROR(INDEX(eq_dur,MATCH(B912,eq_code,0)),""),F912))</f>
        <v/>
      </c>
      <c r="L912" s="55" t="str">
        <f>IF(ISNUMBER(K912),N(IFERROR(INDEX(eq_pause,MATCH(B912,eq_code,0)),0))+SUMIFS(st_min,st_date,A912,st_eq,B912,st_po,C912,st_type,"Planifié"),"")</f>
        <v/>
      </c>
      <c r="M912" s="55" t="str">
        <f>IF(ISNUMBER(K912),K912-L912,"")</f>
        <v/>
      </c>
      <c r="N912" s="55" t="str">
        <f>IF(ISNUMBER(K912),SUMIFS(st_min,st_date,A912,st_eq,B912,st_po,C912,st_type,"Non planifié"),"")</f>
        <v/>
      </c>
      <c r="O912" s="55" t="str">
        <f>IF(ISNUMBER(K912),M912-N912,"")</f>
        <v/>
      </c>
      <c r="P912" s="55" t="str">
        <f>IF(COUNTA(A912:I912)=0,"",N(G912)+N(H912)+N(I912))</f>
        <v/>
      </c>
      <c r="Q912" s="56" t="str">
        <f>IF(COUNTA(A912:I912)=0,"",IF(N(IFERROR(INDEX(art_rate,MATCH(E912,art_ref,0)),0))&gt;0,N(IFERROR(INDEX(art_rate,MATCH(E912,art_ref,0)),0)),N(IFERROR(INDEX(po_rate,MATCH(C912,po_code,0)),0))))</f>
        <v/>
      </c>
      <c r="R912" s="55" t="str">
        <f>IF(AC912=1,P912*60/Q912,"")</f>
        <v/>
      </c>
      <c r="S912" s="55" t="str">
        <f>IF(AC912=1,N(G912)*60/Q912,"")</f>
        <v/>
      </c>
      <c r="T912" s="57" t="str">
        <f>IF(AC912=1,O912/M912,"")</f>
        <v/>
      </c>
      <c r="U912" s="57" t="str">
        <f>IF(AC912=1,IF(O912&gt;0,R912/O912,""),"")</f>
        <v/>
      </c>
      <c r="V912" s="57" t="str">
        <f>IF(AC912=1,IF(P912&gt;0,N(G912)/P912,""),"")</f>
        <v/>
      </c>
      <c r="W912" s="57" t="str">
        <f>IF(AC912=1,S912/M912,"")</f>
        <v/>
      </c>
      <c r="X912" s="57" t="str">
        <f>IF(AC912=1,S912/K912,"")</f>
        <v/>
      </c>
      <c r="Y912" s="58" t="str">
        <f>IF(W912="","",IF(W912&gt;=p_target,"Bon",IF(W912&gt;=p_alert,"À surveiller","Faible")))</f>
        <v/>
      </c>
      <c r="Z912" s="58" t="str">
        <f>IF(W912="","",IF(MIN(IF(T912="",1,T912),IF(U912="",1,U912),IF(V912="",1,V912))&gt;=1,"Aucune",IF(IF(T912="",1,T912)&lt;=MIN(IF(U912="",1,U912),IF(V912="",1,V912)),"Disponibilité",IF(IF(U912="",1,U912)&lt;=IF(V912="",1,V912),"Performance","Qualité"))))</f>
        <v/>
      </c>
      <c r="AA912" s="59" t="str">
        <f>IF(AC912=1,N(H912)*N(IFERROR(INDEX(art_cost,MATCH(E912,art_ref,0)),0)),"")</f>
        <v/>
      </c>
      <c r="AB912" s="58" t="str">
        <f>IF(COUNTA(A912:I912)=0,"",IF(N(A912)&lt;=0,"Date manquante ou invalide",IF(B912="","Équipe manquante",IF(ISNA(MATCH(B912,eq_code,0)),"Équipe inconnue",IF(INDEX(eq_check,MATCH(B912,eq_code,0))&lt;&gt;"OK","Équipe à corriger dans Paramètres",IF(C912="","Poste manquant",IF(ISNA(MATCH(C912,po_code,0)),"Poste inconnu",IF(AND(E912&lt;&gt;"",ISNA(MATCH(E912,art_ref,0))),"Article inconnu",IF(IF(E912="",FALSE,INDEX(art_check,MATCH(E912,art_ref,0))&lt;&gt;"OK"),"Article à corriger (feuille Articles)",IF(COUNTIFS(sj_date,A912,sj_eq,B912,sj_po,C912)&gt;1,"Ligne en double (même jour, équipe et poste)",IF(OR(NOT(ISNUMBER(K912)),N(K912)&lt;=0,N(K912)&gt;1440),"Temps d'ouverture invalide",IF(OR(AND(G912&lt;&gt;"",NOT(ISNUMBER(G912))),N(G912)&lt;0,N(G912)&lt;&gt;INT(N(G912)),AND(H912&lt;&gt;"",NOT(ISNUMBER(H912))),N(H912)&lt;0,N(H912)&lt;&gt;INT(N(H912)),AND(I912&lt;&gt;"",NOT(ISNUMBER(I912))),N(I912)&lt;0,N(I912)&lt;&gt;INT(N(I912))),"Quantité invalide",IF(Q912&lt;=0,"Cadence manquante (poste ou article)",IF(M912&lt;=0,"Arrêts planifiés supérieurs au temps d'ouverture",IF(O912&lt;0,"Arrêts supérieurs au temps requis",IF(AND(P912&gt;0,O912=0),"Pièces déclarées sans temps de marche",IF(AND(P912=0,O912&gt;0),"Aucune pièce déclarée",IF(P912*60/Q912&gt;O912+0.001,"Cadence dépassée : vérifiez la cadence","OK"))))))))))))))))))</f>
        <v/>
      </c>
      <c r="AC912">
        <f>IF(OR(AB912="OK",AB912="Aucune pièce déclarée",AB912="Cadence dépassée : vérifiez la cadence"),1,0)</f>
        <v>0.0</v>
      </c>
      <c r="AD912">
        <f>IF(AND(AC912=1,A912&gt;=p_from,A912&lt;=p_to),1,0)</f>
        <v>0.0</v>
      </c>
      <c r="AE912">
        <f>IF(AD912=1,IF(COUNTIFS($A$6:A912,A912,$AD$6:AD912,1)=1,1,0),0)</f>
        <v>0.0</v>
      </c>
      <c r="AF912" t="str">
        <f>IF(AE912=1,COUNTIFS(sj_first,1,sj_date,"&lt;"&amp;A912)+1,"")</f>
        <v/>
      </c>
      <c r="AG912" t="str">
        <f>IF(AND(AD912=1,N(W912)&lt;p_alert),ROUND(W912,4),"")</f>
        <v/>
      </c>
      <c r="AH912" t="str">
        <f>IF(AG912="","",COUNTIF(sj_akey,"&lt;"&amp;AG912)+COUNTIF($AG$6:AG912,AG912))</f>
        <v/>
      </c>
    </row>
    <row r="913">
      <c r="A913" s="51" t="n"/>
      <c r="B913" s="52" t="n"/>
      <c r="C913" s="52" t="n"/>
      <c r="D913" s="53" t="n"/>
      <c r="E913" s="53" t="n"/>
      <c r="F913" s="54" t="n"/>
      <c r="G913" s="54" t="n"/>
      <c r="H913" s="54" t="n"/>
      <c r="I913" s="54" t="n"/>
      <c r="J913" s="53" t="n"/>
      <c r="K913" s="55" t="str">
        <f>IF(COUNTA(A913:I913)=0,"",IF(F913="",IFERROR(INDEX(eq_dur,MATCH(B913,eq_code,0)),""),F913))</f>
        <v/>
      </c>
      <c r="L913" s="55" t="str">
        <f>IF(ISNUMBER(K913),N(IFERROR(INDEX(eq_pause,MATCH(B913,eq_code,0)),0))+SUMIFS(st_min,st_date,A913,st_eq,B913,st_po,C913,st_type,"Planifié"),"")</f>
        <v/>
      </c>
      <c r="M913" s="55" t="str">
        <f>IF(ISNUMBER(K913),K913-L913,"")</f>
        <v/>
      </c>
      <c r="N913" s="55" t="str">
        <f>IF(ISNUMBER(K913),SUMIFS(st_min,st_date,A913,st_eq,B913,st_po,C913,st_type,"Non planifié"),"")</f>
        <v/>
      </c>
      <c r="O913" s="55" t="str">
        <f>IF(ISNUMBER(K913),M913-N913,"")</f>
        <v/>
      </c>
      <c r="P913" s="55" t="str">
        <f>IF(COUNTA(A913:I913)=0,"",N(G913)+N(H913)+N(I913))</f>
        <v/>
      </c>
      <c r="Q913" s="56" t="str">
        <f>IF(COUNTA(A913:I913)=0,"",IF(N(IFERROR(INDEX(art_rate,MATCH(E913,art_ref,0)),0))&gt;0,N(IFERROR(INDEX(art_rate,MATCH(E913,art_ref,0)),0)),N(IFERROR(INDEX(po_rate,MATCH(C913,po_code,0)),0))))</f>
        <v/>
      </c>
      <c r="R913" s="55" t="str">
        <f>IF(AC913=1,P913*60/Q913,"")</f>
        <v/>
      </c>
      <c r="S913" s="55" t="str">
        <f>IF(AC913=1,N(G913)*60/Q913,"")</f>
        <v/>
      </c>
      <c r="T913" s="57" t="str">
        <f>IF(AC913=1,O913/M913,"")</f>
        <v/>
      </c>
      <c r="U913" s="57" t="str">
        <f>IF(AC913=1,IF(O913&gt;0,R913/O913,""),"")</f>
        <v/>
      </c>
      <c r="V913" s="57" t="str">
        <f>IF(AC913=1,IF(P913&gt;0,N(G913)/P913,""),"")</f>
        <v/>
      </c>
      <c r="W913" s="57" t="str">
        <f>IF(AC913=1,S913/M913,"")</f>
        <v/>
      </c>
      <c r="X913" s="57" t="str">
        <f>IF(AC913=1,S913/K913,"")</f>
        <v/>
      </c>
      <c r="Y913" s="58" t="str">
        <f>IF(W913="","",IF(W913&gt;=p_target,"Bon",IF(W913&gt;=p_alert,"À surveiller","Faible")))</f>
        <v/>
      </c>
      <c r="Z913" s="58" t="str">
        <f>IF(W913="","",IF(MIN(IF(T913="",1,T913),IF(U913="",1,U913),IF(V913="",1,V913))&gt;=1,"Aucune",IF(IF(T913="",1,T913)&lt;=MIN(IF(U913="",1,U913),IF(V913="",1,V913)),"Disponibilité",IF(IF(U913="",1,U913)&lt;=IF(V913="",1,V913),"Performance","Qualité"))))</f>
        <v/>
      </c>
      <c r="AA913" s="59" t="str">
        <f>IF(AC913=1,N(H913)*N(IFERROR(INDEX(art_cost,MATCH(E913,art_ref,0)),0)),"")</f>
        <v/>
      </c>
      <c r="AB913" s="58" t="str">
        <f>IF(COUNTA(A913:I913)=0,"",IF(N(A913)&lt;=0,"Date manquante ou invalide",IF(B913="","Équipe manquante",IF(ISNA(MATCH(B913,eq_code,0)),"Équipe inconnue",IF(INDEX(eq_check,MATCH(B913,eq_code,0))&lt;&gt;"OK","Équipe à corriger dans Paramètres",IF(C913="","Poste manquant",IF(ISNA(MATCH(C913,po_code,0)),"Poste inconnu",IF(AND(E913&lt;&gt;"",ISNA(MATCH(E913,art_ref,0))),"Article inconnu",IF(IF(E913="",FALSE,INDEX(art_check,MATCH(E913,art_ref,0))&lt;&gt;"OK"),"Article à corriger (feuille Articles)",IF(COUNTIFS(sj_date,A913,sj_eq,B913,sj_po,C913)&gt;1,"Ligne en double (même jour, équipe et poste)",IF(OR(NOT(ISNUMBER(K913)),N(K913)&lt;=0,N(K913)&gt;1440),"Temps d'ouverture invalide",IF(OR(AND(G913&lt;&gt;"",NOT(ISNUMBER(G913))),N(G913)&lt;0,N(G913)&lt;&gt;INT(N(G913)),AND(H913&lt;&gt;"",NOT(ISNUMBER(H913))),N(H913)&lt;0,N(H913)&lt;&gt;INT(N(H913)),AND(I913&lt;&gt;"",NOT(ISNUMBER(I913))),N(I913)&lt;0,N(I913)&lt;&gt;INT(N(I913))),"Quantité invalide",IF(Q913&lt;=0,"Cadence manquante (poste ou article)",IF(M913&lt;=0,"Arrêts planifiés supérieurs au temps d'ouverture",IF(O913&lt;0,"Arrêts supérieurs au temps requis",IF(AND(P913&gt;0,O913=0),"Pièces déclarées sans temps de marche",IF(AND(P913=0,O913&gt;0),"Aucune pièce déclarée",IF(P913*60/Q913&gt;O913+0.001,"Cadence dépassée : vérifiez la cadence","OK"))))))))))))))))))</f>
        <v/>
      </c>
      <c r="AC913">
        <f>IF(OR(AB913="OK",AB913="Aucune pièce déclarée",AB913="Cadence dépassée : vérifiez la cadence"),1,0)</f>
        <v>0.0</v>
      </c>
      <c r="AD913">
        <f>IF(AND(AC913=1,A913&gt;=p_from,A913&lt;=p_to),1,0)</f>
        <v>0.0</v>
      </c>
      <c r="AE913">
        <f>IF(AD913=1,IF(COUNTIFS($A$6:A913,A913,$AD$6:AD913,1)=1,1,0),0)</f>
        <v>0.0</v>
      </c>
      <c r="AF913" t="str">
        <f>IF(AE913=1,COUNTIFS(sj_first,1,sj_date,"&lt;"&amp;A913)+1,"")</f>
        <v/>
      </c>
      <c r="AG913" t="str">
        <f>IF(AND(AD913=1,N(W913)&lt;p_alert),ROUND(W913,4),"")</f>
        <v/>
      </c>
      <c r="AH913" t="str">
        <f>IF(AG913="","",COUNTIF(sj_akey,"&lt;"&amp;AG913)+COUNTIF($AG$6:AG913,AG913))</f>
        <v/>
      </c>
    </row>
    <row r="914">
      <c r="A914" s="51" t="n"/>
      <c r="B914" s="52" t="n"/>
      <c r="C914" s="52" t="n"/>
      <c r="D914" s="53" t="n"/>
      <c r="E914" s="53" t="n"/>
      <c r="F914" s="54" t="n"/>
      <c r="G914" s="54" t="n"/>
      <c r="H914" s="54" t="n"/>
      <c r="I914" s="54" t="n"/>
      <c r="J914" s="53" t="n"/>
      <c r="K914" s="55" t="str">
        <f>IF(COUNTA(A914:I914)=0,"",IF(F914="",IFERROR(INDEX(eq_dur,MATCH(B914,eq_code,0)),""),F914))</f>
        <v/>
      </c>
      <c r="L914" s="55" t="str">
        <f>IF(ISNUMBER(K914),N(IFERROR(INDEX(eq_pause,MATCH(B914,eq_code,0)),0))+SUMIFS(st_min,st_date,A914,st_eq,B914,st_po,C914,st_type,"Planifié"),"")</f>
        <v/>
      </c>
      <c r="M914" s="55" t="str">
        <f>IF(ISNUMBER(K914),K914-L914,"")</f>
        <v/>
      </c>
      <c r="N914" s="55" t="str">
        <f>IF(ISNUMBER(K914),SUMIFS(st_min,st_date,A914,st_eq,B914,st_po,C914,st_type,"Non planifié"),"")</f>
        <v/>
      </c>
      <c r="O914" s="55" t="str">
        <f>IF(ISNUMBER(K914),M914-N914,"")</f>
        <v/>
      </c>
      <c r="P914" s="55" t="str">
        <f>IF(COUNTA(A914:I914)=0,"",N(G914)+N(H914)+N(I914))</f>
        <v/>
      </c>
      <c r="Q914" s="56" t="str">
        <f>IF(COUNTA(A914:I914)=0,"",IF(N(IFERROR(INDEX(art_rate,MATCH(E914,art_ref,0)),0))&gt;0,N(IFERROR(INDEX(art_rate,MATCH(E914,art_ref,0)),0)),N(IFERROR(INDEX(po_rate,MATCH(C914,po_code,0)),0))))</f>
        <v/>
      </c>
      <c r="R914" s="55" t="str">
        <f>IF(AC914=1,P914*60/Q914,"")</f>
        <v/>
      </c>
      <c r="S914" s="55" t="str">
        <f>IF(AC914=1,N(G914)*60/Q914,"")</f>
        <v/>
      </c>
      <c r="T914" s="57" t="str">
        <f>IF(AC914=1,O914/M914,"")</f>
        <v/>
      </c>
      <c r="U914" s="57" t="str">
        <f>IF(AC914=1,IF(O914&gt;0,R914/O914,""),"")</f>
        <v/>
      </c>
      <c r="V914" s="57" t="str">
        <f>IF(AC914=1,IF(P914&gt;0,N(G914)/P914,""),"")</f>
        <v/>
      </c>
      <c r="W914" s="57" t="str">
        <f>IF(AC914=1,S914/M914,"")</f>
        <v/>
      </c>
      <c r="X914" s="57" t="str">
        <f>IF(AC914=1,S914/K914,"")</f>
        <v/>
      </c>
      <c r="Y914" s="58" t="str">
        <f>IF(W914="","",IF(W914&gt;=p_target,"Bon",IF(W914&gt;=p_alert,"À surveiller","Faible")))</f>
        <v/>
      </c>
      <c r="Z914" s="58" t="str">
        <f>IF(W914="","",IF(MIN(IF(T914="",1,T914),IF(U914="",1,U914),IF(V914="",1,V914))&gt;=1,"Aucune",IF(IF(T914="",1,T914)&lt;=MIN(IF(U914="",1,U914),IF(V914="",1,V914)),"Disponibilité",IF(IF(U914="",1,U914)&lt;=IF(V914="",1,V914),"Performance","Qualité"))))</f>
        <v/>
      </c>
      <c r="AA914" s="59" t="str">
        <f>IF(AC914=1,N(H914)*N(IFERROR(INDEX(art_cost,MATCH(E914,art_ref,0)),0)),"")</f>
        <v/>
      </c>
      <c r="AB914" s="58" t="str">
        <f>IF(COUNTA(A914:I914)=0,"",IF(N(A914)&lt;=0,"Date manquante ou invalide",IF(B914="","Équipe manquante",IF(ISNA(MATCH(B914,eq_code,0)),"Équipe inconnue",IF(INDEX(eq_check,MATCH(B914,eq_code,0))&lt;&gt;"OK","Équipe à corriger dans Paramètres",IF(C914="","Poste manquant",IF(ISNA(MATCH(C914,po_code,0)),"Poste inconnu",IF(AND(E914&lt;&gt;"",ISNA(MATCH(E914,art_ref,0))),"Article inconnu",IF(IF(E914="",FALSE,INDEX(art_check,MATCH(E914,art_ref,0))&lt;&gt;"OK"),"Article à corriger (feuille Articles)",IF(COUNTIFS(sj_date,A914,sj_eq,B914,sj_po,C914)&gt;1,"Ligne en double (même jour, équipe et poste)",IF(OR(NOT(ISNUMBER(K914)),N(K914)&lt;=0,N(K914)&gt;1440),"Temps d'ouverture invalide",IF(OR(AND(G914&lt;&gt;"",NOT(ISNUMBER(G914))),N(G914)&lt;0,N(G914)&lt;&gt;INT(N(G914)),AND(H914&lt;&gt;"",NOT(ISNUMBER(H914))),N(H914)&lt;0,N(H914)&lt;&gt;INT(N(H914)),AND(I914&lt;&gt;"",NOT(ISNUMBER(I914))),N(I914)&lt;0,N(I914)&lt;&gt;INT(N(I914))),"Quantité invalide",IF(Q914&lt;=0,"Cadence manquante (poste ou article)",IF(M914&lt;=0,"Arrêts planifiés supérieurs au temps d'ouverture",IF(O914&lt;0,"Arrêts supérieurs au temps requis",IF(AND(P914&gt;0,O914=0),"Pièces déclarées sans temps de marche",IF(AND(P914=0,O914&gt;0),"Aucune pièce déclarée",IF(P914*60/Q914&gt;O914+0.001,"Cadence dépassée : vérifiez la cadence","OK"))))))))))))))))))</f>
        <v/>
      </c>
      <c r="AC914">
        <f>IF(OR(AB914="OK",AB914="Aucune pièce déclarée",AB914="Cadence dépassée : vérifiez la cadence"),1,0)</f>
        <v>0.0</v>
      </c>
      <c r="AD914">
        <f>IF(AND(AC914=1,A914&gt;=p_from,A914&lt;=p_to),1,0)</f>
        <v>0.0</v>
      </c>
      <c r="AE914">
        <f>IF(AD914=1,IF(COUNTIFS($A$6:A914,A914,$AD$6:AD914,1)=1,1,0),0)</f>
        <v>0.0</v>
      </c>
      <c r="AF914" t="str">
        <f>IF(AE914=1,COUNTIFS(sj_first,1,sj_date,"&lt;"&amp;A914)+1,"")</f>
        <v/>
      </c>
      <c r="AG914" t="str">
        <f>IF(AND(AD914=1,N(W914)&lt;p_alert),ROUND(W914,4),"")</f>
        <v/>
      </c>
      <c r="AH914" t="str">
        <f>IF(AG914="","",COUNTIF(sj_akey,"&lt;"&amp;AG914)+COUNTIF($AG$6:AG914,AG914))</f>
        <v/>
      </c>
    </row>
    <row r="915">
      <c r="A915" s="51" t="n"/>
      <c r="B915" s="52" t="n"/>
      <c r="C915" s="52" t="n"/>
      <c r="D915" s="53" t="n"/>
      <c r="E915" s="53" t="n"/>
      <c r="F915" s="54" t="n"/>
      <c r="G915" s="54" t="n"/>
      <c r="H915" s="54" t="n"/>
      <c r="I915" s="54" t="n"/>
      <c r="J915" s="53" t="n"/>
      <c r="K915" s="55" t="str">
        <f>IF(COUNTA(A915:I915)=0,"",IF(F915="",IFERROR(INDEX(eq_dur,MATCH(B915,eq_code,0)),""),F915))</f>
        <v/>
      </c>
      <c r="L915" s="55" t="str">
        <f>IF(ISNUMBER(K915),N(IFERROR(INDEX(eq_pause,MATCH(B915,eq_code,0)),0))+SUMIFS(st_min,st_date,A915,st_eq,B915,st_po,C915,st_type,"Planifié"),"")</f>
        <v/>
      </c>
      <c r="M915" s="55" t="str">
        <f>IF(ISNUMBER(K915),K915-L915,"")</f>
        <v/>
      </c>
      <c r="N915" s="55" t="str">
        <f>IF(ISNUMBER(K915),SUMIFS(st_min,st_date,A915,st_eq,B915,st_po,C915,st_type,"Non planifié"),"")</f>
        <v/>
      </c>
      <c r="O915" s="55" t="str">
        <f>IF(ISNUMBER(K915),M915-N915,"")</f>
        <v/>
      </c>
      <c r="P915" s="55" t="str">
        <f>IF(COUNTA(A915:I915)=0,"",N(G915)+N(H915)+N(I915))</f>
        <v/>
      </c>
      <c r="Q915" s="56" t="str">
        <f>IF(COUNTA(A915:I915)=0,"",IF(N(IFERROR(INDEX(art_rate,MATCH(E915,art_ref,0)),0))&gt;0,N(IFERROR(INDEX(art_rate,MATCH(E915,art_ref,0)),0)),N(IFERROR(INDEX(po_rate,MATCH(C915,po_code,0)),0))))</f>
        <v/>
      </c>
      <c r="R915" s="55" t="str">
        <f>IF(AC915=1,P915*60/Q915,"")</f>
        <v/>
      </c>
      <c r="S915" s="55" t="str">
        <f>IF(AC915=1,N(G915)*60/Q915,"")</f>
        <v/>
      </c>
      <c r="T915" s="57" t="str">
        <f>IF(AC915=1,O915/M915,"")</f>
        <v/>
      </c>
      <c r="U915" s="57" t="str">
        <f>IF(AC915=1,IF(O915&gt;0,R915/O915,""),"")</f>
        <v/>
      </c>
      <c r="V915" s="57" t="str">
        <f>IF(AC915=1,IF(P915&gt;0,N(G915)/P915,""),"")</f>
        <v/>
      </c>
      <c r="W915" s="57" t="str">
        <f>IF(AC915=1,S915/M915,"")</f>
        <v/>
      </c>
      <c r="X915" s="57" t="str">
        <f>IF(AC915=1,S915/K915,"")</f>
        <v/>
      </c>
      <c r="Y915" s="58" t="str">
        <f>IF(W915="","",IF(W915&gt;=p_target,"Bon",IF(W915&gt;=p_alert,"À surveiller","Faible")))</f>
        <v/>
      </c>
      <c r="Z915" s="58" t="str">
        <f>IF(W915="","",IF(MIN(IF(T915="",1,T915),IF(U915="",1,U915),IF(V915="",1,V915))&gt;=1,"Aucune",IF(IF(T915="",1,T915)&lt;=MIN(IF(U915="",1,U915),IF(V915="",1,V915)),"Disponibilité",IF(IF(U915="",1,U915)&lt;=IF(V915="",1,V915),"Performance","Qualité"))))</f>
        <v/>
      </c>
      <c r="AA915" s="59" t="str">
        <f>IF(AC915=1,N(H915)*N(IFERROR(INDEX(art_cost,MATCH(E915,art_ref,0)),0)),"")</f>
        <v/>
      </c>
      <c r="AB915" s="58" t="str">
        <f>IF(COUNTA(A915:I915)=0,"",IF(N(A915)&lt;=0,"Date manquante ou invalide",IF(B915="","Équipe manquante",IF(ISNA(MATCH(B915,eq_code,0)),"Équipe inconnue",IF(INDEX(eq_check,MATCH(B915,eq_code,0))&lt;&gt;"OK","Équipe à corriger dans Paramètres",IF(C915="","Poste manquant",IF(ISNA(MATCH(C915,po_code,0)),"Poste inconnu",IF(AND(E915&lt;&gt;"",ISNA(MATCH(E915,art_ref,0))),"Article inconnu",IF(IF(E915="",FALSE,INDEX(art_check,MATCH(E915,art_ref,0))&lt;&gt;"OK"),"Article à corriger (feuille Articles)",IF(COUNTIFS(sj_date,A915,sj_eq,B915,sj_po,C915)&gt;1,"Ligne en double (même jour, équipe et poste)",IF(OR(NOT(ISNUMBER(K915)),N(K915)&lt;=0,N(K915)&gt;1440),"Temps d'ouverture invalide",IF(OR(AND(G915&lt;&gt;"",NOT(ISNUMBER(G915))),N(G915)&lt;0,N(G915)&lt;&gt;INT(N(G915)),AND(H915&lt;&gt;"",NOT(ISNUMBER(H915))),N(H915)&lt;0,N(H915)&lt;&gt;INT(N(H915)),AND(I915&lt;&gt;"",NOT(ISNUMBER(I915))),N(I915)&lt;0,N(I915)&lt;&gt;INT(N(I915))),"Quantité invalide",IF(Q915&lt;=0,"Cadence manquante (poste ou article)",IF(M915&lt;=0,"Arrêts planifiés supérieurs au temps d'ouverture",IF(O915&lt;0,"Arrêts supérieurs au temps requis",IF(AND(P915&gt;0,O915=0),"Pièces déclarées sans temps de marche",IF(AND(P915=0,O915&gt;0),"Aucune pièce déclarée",IF(P915*60/Q915&gt;O915+0.001,"Cadence dépassée : vérifiez la cadence","OK"))))))))))))))))))</f>
        <v/>
      </c>
      <c r="AC915">
        <f>IF(OR(AB915="OK",AB915="Aucune pièce déclarée",AB915="Cadence dépassée : vérifiez la cadence"),1,0)</f>
        <v>0.0</v>
      </c>
      <c r="AD915">
        <f>IF(AND(AC915=1,A915&gt;=p_from,A915&lt;=p_to),1,0)</f>
        <v>0.0</v>
      </c>
      <c r="AE915">
        <f>IF(AD915=1,IF(COUNTIFS($A$6:A915,A915,$AD$6:AD915,1)=1,1,0),0)</f>
        <v>0.0</v>
      </c>
      <c r="AF915" t="str">
        <f>IF(AE915=1,COUNTIFS(sj_first,1,sj_date,"&lt;"&amp;A915)+1,"")</f>
        <v/>
      </c>
      <c r="AG915" t="str">
        <f>IF(AND(AD915=1,N(W915)&lt;p_alert),ROUND(W915,4),"")</f>
        <v/>
      </c>
      <c r="AH915" t="str">
        <f>IF(AG915="","",COUNTIF(sj_akey,"&lt;"&amp;AG915)+COUNTIF($AG$6:AG915,AG915))</f>
        <v/>
      </c>
    </row>
    <row r="916">
      <c r="A916" s="51" t="n"/>
      <c r="B916" s="52" t="n"/>
      <c r="C916" s="52" t="n"/>
      <c r="D916" s="53" t="n"/>
      <c r="E916" s="53" t="n"/>
      <c r="F916" s="54" t="n"/>
      <c r="G916" s="54" t="n"/>
      <c r="H916" s="54" t="n"/>
      <c r="I916" s="54" t="n"/>
      <c r="J916" s="53" t="n"/>
      <c r="K916" s="55" t="str">
        <f>IF(COUNTA(A916:I916)=0,"",IF(F916="",IFERROR(INDEX(eq_dur,MATCH(B916,eq_code,0)),""),F916))</f>
        <v/>
      </c>
      <c r="L916" s="55" t="str">
        <f>IF(ISNUMBER(K916),N(IFERROR(INDEX(eq_pause,MATCH(B916,eq_code,0)),0))+SUMIFS(st_min,st_date,A916,st_eq,B916,st_po,C916,st_type,"Planifié"),"")</f>
        <v/>
      </c>
      <c r="M916" s="55" t="str">
        <f>IF(ISNUMBER(K916),K916-L916,"")</f>
        <v/>
      </c>
      <c r="N916" s="55" t="str">
        <f>IF(ISNUMBER(K916),SUMIFS(st_min,st_date,A916,st_eq,B916,st_po,C916,st_type,"Non planifié"),"")</f>
        <v/>
      </c>
      <c r="O916" s="55" t="str">
        <f>IF(ISNUMBER(K916),M916-N916,"")</f>
        <v/>
      </c>
      <c r="P916" s="55" t="str">
        <f>IF(COUNTA(A916:I916)=0,"",N(G916)+N(H916)+N(I916))</f>
        <v/>
      </c>
      <c r="Q916" s="56" t="str">
        <f>IF(COUNTA(A916:I916)=0,"",IF(N(IFERROR(INDEX(art_rate,MATCH(E916,art_ref,0)),0))&gt;0,N(IFERROR(INDEX(art_rate,MATCH(E916,art_ref,0)),0)),N(IFERROR(INDEX(po_rate,MATCH(C916,po_code,0)),0))))</f>
        <v/>
      </c>
      <c r="R916" s="55" t="str">
        <f>IF(AC916=1,P916*60/Q916,"")</f>
        <v/>
      </c>
      <c r="S916" s="55" t="str">
        <f>IF(AC916=1,N(G916)*60/Q916,"")</f>
        <v/>
      </c>
      <c r="T916" s="57" t="str">
        <f>IF(AC916=1,O916/M916,"")</f>
        <v/>
      </c>
      <c r="U916" s="57" t="str">
        <f>IF(AC916=1,IF(O916&gt;0,R916/O916,""),"")</f>
        <v/>
      </c>
      <c r="V916" s="57" t="str">
        <f>IF(AC916=1,IF(P916&gt;0,N(G916)/P916,""),"")</f>
        <v/>
      </c>
      <c r="W916" s="57" t="str">
        <f>IF(AC916=1,S916/M916,"")</f>
        <v/>
      </c>
      <c r="X916" s="57" t="str">
        <f>IF(AC916=1,S916/K916,"")</f>
        <v/>
      </c>
      <c r="Y916" s="58" t="str">
        <f>IF(W916="","",IF(W916&gt;=p_target,"Bon",IF(W916&gt;=p_alert,"À surveiller","Faible")))</f>
        <v/>
      </c>
      <c r="Z916" s="58" t="str">
        <f>IF(W916="","",IF(MIN(IF(T916="",1,T916),IF(U916="",1,U916),IF(V916="",1,V916))&gt;=1,"Aucune",IF(IF(T916="",1,T916)&lt;=MIN(IF(U916="",1,U916),IF(V916="",1,V916)),"Disponibilité",IF(IF(U916="",1,U916)&lt;=IF(V916="",1,V916),"Performance","Qualité"))))</f>
        <v/>
      </c>
      <c r="AA916" s="59" t="str">
        <f>IF(AC916=1,N(H916)*N(IFERROR(INDEX(art_cost,MATCH(E916,art_ref,0)),0)),"")</f>
        <v/>
      </c>
      <c r="AB916" s="58" t="str">
        <f>IF(COUNTA(A916:I916)=0,"",IF(N(A916)&lt;=0,"Date manquante ou invalide",IF(B916="","Équipe manquante",IF(ISNA(MATCH(B916,eq_code,0)),"Équipe inconnue",IF(INDEX(eq_check,MATCH(B916,eq_code,0))&lt;&gt;"OK","Équipe à corriger dans Paramètres",IF(C916="","Poste manquant",IF(ISNA(MATCH(C916,po_code,0)),"Poste inconnu",IF(AND(E916&lt;&gt;"",ISNA(MATCH(E916,art_ref,0))),"Article inconnu",IF(IF(E916="",FALSE,INDEX(art_check,MATCH(E916,art_ref,0))&lt;&gt;"OK"),"Article à corriger (feuille Articles)",IF(COUNTIFS(sj_date,A916,sj_eq,B916,sj_po,C916)&gt;1,"Ligne en double (même jour, équipe et poste)",IF(OR(NOT(ISNUMBER(K916)),N(K916)&lt;=0,N(K916)&gt;1440),"Temps d'ouverture invalide",IF(OR(AND(G916&lt;&gt;"",NOT(ISNUMBER(G916))),N(G916)&lt;0,N(G916)&lt;&gt;INT(N(G916)),AND(H916&lt;&gt;"",NOT(ISNUMBER(H916))),N(H916)&lt;0,N(H916)&lt;&gt;INT(N(H916)),AND(I916&lt;&gt;"",NOT(ISNUMBER(I916))),N(I916)&lt;0,N(I916)&lt;&gt;INT(N(I916))),"Quantité invalide",IF(Q916&lt;=0,"Cadence manquante (poste ou article)",IF(M916&lt;=0,"Arrêts planifiés supérieurs au temps d'ouverture",IF(O916&lt;0,"Arrêts supérieurs au temps requis",IF(AND(P916&gt;0,O916=0),"Pièces déclarées sans temps de marche",IF(AND(P916=0,O916&gt;0),"Aucune pièce déclarée",IF(P916*60/Q916&gt;O916+0.001,"Cadence dépassée : vérifiez la cadence","OK"))))))))))))))))))</f>
        <v/>
      </c>
      <c r="AC916">
        <f>IF(OR(AB916="OK",AB916="Aucune pièce déclarée",AB916="Cadence dépassée : vérifiez la cadence"),1,0)</f>
        <v>0.0</v>
      </c>
      <c r="AD916">
        <f>IF(AND(AC916=1,A916&gt;=p_from,A916&lt;=p_to),1,0)</f>
        <v>0.0</v>
      </c>
      <c r="AE916">
        <f>IF(AD916=1,IF(COUNTIFS($A$6:A916,A916,$AD$6:AD916,1)=1,1,0),0)</f>
        <v>0.0</v>
      </c>
      <c r="AF916" t="str">
        <f>IF(AE916=1,COUNTIFS(sj_first,1,sj_date,"&lt;"&amp;A916)+1,"")</f>
        <v/>
      </c>
      <c r="AG916" t="str">
        <f>IF(AND(AD916=1,N(W916)&lt;p_alert),ROUND(W916,4),"")</f>
        <v/>
      </c>
      <c r="AH916" t="str">
        <f>IF(AG916="","",COUNTIF(sj_akey,"&lt;"&amp;AG916)+COUNTIF($AG$6:AG916,AG916))</f>
        <v/>
      </c>
    </row>
    <row r="917">
      <c r="A917" s="51" t="n"/>
      <c r="B917" s="52" t="n"/>
      <c r="C917" s="52" t="n"/>
      <c r="D917" s="53" t="n"/>
      <c r="E917" s="53" t="n"/>
      <c r="F917" s="54" t="n"/>
      <c r="G917" s="54" t="n"/>
      <c r="H917" s="54" t="n"/>
      <c r="I917" s="54" t="n"/>
      <c r="J917" s="53" t="n"/>
      <c r="K917" s="55" t="str">
        <f>IF(COUNTA(A917:I917)=0,"",IF(F917="",IFERROR(INDEX(eq_dur,MATCH(B917,eq_code,0)),""),F917))</f>
        <v/>
      </c>
      <c r="L917" s="55" t="str">
        <f>IF(ISNUMBER(K917),N(IFERROR(INDEX(eq_pause,MATCH(B917,eq_code,0)),0))+SUMIFS(st_min,st_date,A917,st_eq,B917,st_po,C917,st_type,"Planifié"),"")</f>
        <v/>
      </c>
      <c r="M917" s="55" t="str">
        <f>IF(ISNUMBER(K917),K917-L917,"")</f>
        <v/>
      </c>
      <c r="N917" s="55" t="str">
        <f>IF(ISNUMBER(K917),SUMIFS(st_min,st_date,A917,st_eq,B917,st_po,C917,st_type,"Non planifié"),"")</f>
        <v/>
      </c>
      <c r="O917" s="55" t="str">
        <f>IF(ISNUMBER(K917),M917-N917,"")</f>
        <v/>
      </c>
      <c r="P917" s="55" t="str">
        <f>IF(COUNTA(A917:I917)=0,"",N(G917)+N(H917)+N(I917))</f>
        <v/>
      </c>
      <c r="Q917" s="56" t="str">
        <f>IF(COUNTA(A917:I917)=0,"",IF(N(IFERROR(INDEX(art_rate,MATCH(E917,art_ref,0)),0))&gt;0,N(IFERROR(INDEX(art_rate,MATCH(E917,art_ref,0)),0)),N(IFERROR(INDEX(po_rate,MATCH(C917,po_code,0)),0))))</f>
        <v/>
      </c>
      <c r="R917" s="55" t="str">
        <f>IF(AC917=1,P917*60/Q917,"")</f>
        <v/>
      </c>
      <c r="S917" s="55" t="str">
        <f>IF(AC917=1,N(G917)*60/Q917,"")</f>
        <v/>
      </c>
      <c r="T917" s="57" t="str">
        <f>IF(AC917=1,O917/M917,"")</f>
        <v/>
      </c>
      <c r="U917" s="57" t="str">
        <f>IF(AC917=1,IF(O917&gt;0,R917/O917,""),"")</f>
        <v/>
      </c>
      <c r="V917" s="57" t="str">
        <f>IF(AC917=1,IF(P917&gt;0,N(G917)/P917,""),"")</f>
        <v/>
      </c>
      <c r="W917" s="57" t="str">
        <f>IF(AC917=1,S917/M917,"")</f>
        <v/>
      </c>
      <c r="X917" s="57" t="str">
        <f>IF(AC917=1,S917/K917,"")</f>
        <v/>
      </c>
      <c r="Y917" s="58" t="str">
        <f>IF(W917="","",IF(W917&gt;=p_target,"Bon",IF(W917&gt;=p_alert,"À surveiller","Faible")))</f>
        <v/>
      </c>
      <c r="Z917" s="58" t="str">
        <f>IF(W917="","",IF(MIN(IF(T917="",1,T917),IF(U917="",1,U917),IF(V917="",1,V917))&gt;=1,"Aucune",IF(IF(T917="",1,T917)&lt;=MIN(IF(U917="",1,U917),IF(V917="",1,V917)),"Disponibilité",IF(IF(U917="",1,U917)&lt;=IF(V917="",1,V917),"Performance","Qualité"))))</f>
        <v/>
      </c>
      <c r="AA917" s="59" t="str">
        <f>IF(AC917=1,N(H917)*N(IFERROR(INDEX(art_cost,MATCH(E917,art_ref,0)),0)),"")</f>
        <v/>
      </c>
      <c r="AB917" s="58" t="str">
        <f>IF(COUNTA(A917:I917)=0,"",IF(N(A917)&lt;=0,"Date manquante ou invalide",IF(B917="","Équipe manquante",IF(ISNA(MATCH(B917,eq_code,0)),"Équipe inconnue",IF(INDEX(eq_check,MATCH(B917,eq_code,0))&lt;&gt;"OK","Équipe à corriger dans Paramètres",IF(C917="","Poste manquant",IF(ISNA(MATCH(C917,po_code,0)),"Poste inconnu",IF(AND(E917&lt;&gt;"",ISNA(MATCH(E917,art_ref,0))),"Article inconnu",IF(IF(E917="",FALSE,INDEX(art_check,MATCH(E917,art_ref,0))&lt;&gt;"OK"),"Article à corriger (feuille Articles)",IF(COUNTIFS(sj_date,A917,sj_eq,B917,sj_po,C917)&gt;1,"Ligne en double (même jour, équipe et poste)",IF(OR(NOT(ISNUMBER(K917)),N(K917)&lt;=0,N(K917)&gt;1440),"Temps d'ouverture invalide",IF(OR(AND(G917&lt;&gt;"",NOT(ISNUMBER(G917))),N(G917)&lt;0,N(G917)&lt;&gt;INT(N(G917)),AND(H917&lt;&gt;"",NOT(ISNUMBER(H917))),N(H917)&lt;0,N(H917)&lt;&gt;INT(N(H917)),AND(I917&lt;&gt;"",NOT(ISNUMBER(I917))),N(I917)&lt;0,N(I917)&lt;&gt;INT(N(I917))),"Quantité invalide",IF(Q917&lt;=0,"Cadence manquante (poste ou article)",IF(M917&lt;=0,"Arrêts planifiés supérieurs au temps d'ouverture",IF(O917&lt;0,"Arrêts supérieurs au temps requis",IF(AND(P917&gt;0,O917=0),"Pièces déclarées sans temps de marche",IF(AND(P917=0,O917&gt;0),"Aucune pièce déclarée",IF(P917*60/Q917&gt;O917+0.001,"Cadence dépassée : vérifiez la cadence","OK"))))))))))))))))))</f>
        <v/>
      </c>
      <c r="AC917">
        <f>IF(OR(AB917="OK",AB917="Aucune pièce déclarée",AB917="Cadence dépassée : vérifiez la cadence"),1,0)</f>
        <v>0.0</v>
      </c>
      <c r="AD917">
        <f>IF(AND(AC917=1,A917&gt;=p_from,A917&lt;=p_to),1,0)</f>
        <v>0.0</v>
      </c>
      <c r="AE917">
        <f>IF(AD917=1,IF(COUNTIFS($A$6:A917,A917,$AD$6:AD917,1)=1,1,0),0)</f>
        <v>0.0</v>
      </c>
      <c r="AF917" t="str">
        <f>IF(AE917=1,COUNTIFS(sj_first,1,sj_date,"&lt;"&amp;A917)+1,"")</f>
        <v/>
      </c>
      <c r="AG917" t="str">
        <f>IF(AND(AD917=1,N(W917)&lt;p_alert),ROUND(W917,4),"")</f>
        <v/>
      </c>
      <c r="AH917" t="str">
        <f>IF(AG917="","",COUNTIF(sj_akey,"&lt;"&amp;AG917)+COUNTIF($AG$6:AG917,AG917))</f>
        <v/>
      </c>
    </row>
    <row r="918">
      <c r="A918" s="51" t="n"/>
      <c r="B918" s="52" t="n"/>
      <c r="C918" s="52" t="n"/>
      <c r="D918" s="53" t="n"/>
      <c r="E918" s="53" t="n"/>
      <c r="F918" s="54" t="n"/>
      <c r="G918" s="54" t="n"/>
      <c r="H918" s="54" t="n"/>
      <c r="I918" s="54" t="n"/>
      <c r="J918" s="53" t="n"/>
      <c r="K918" s="55" t="str">
        <f>IF(COUNTA(A918:I918)=0,"",IF(F918="",IFERROR(INDEX(eq_dur,MATCH(B918,eq_code,0)),""),F918))</f>
        <v/>
      </c>
      <c r="L918" s="55" t="str">
        <f>IF(ISNUMBER(K918),N(IFERROR(INDEX(eq_pause,MATCH(B918,eq_code,0)),0))+SUMIFS(st_min,st_date,A918,st_eq,B918,st_po,C918,st_type,"Planifié"),"")</f>
        <v/>
      </c>
      <c r="M918" s="55" t="str">
        <f>IF(ISNUMBER(K918),K918-L918,"")</f>
        <v/>
      </c>
      <c r="N918" s="55" t="str">
        <f>IF(ISNUMBER(K918),SUMIFS(st_min,st_date,A918,st_eq,B918,st_po,C918,st_type,"Non planifié"),"")</f>
        <v/>
      </c>
      <c r="O918" s="55" t="str">
        <f>IF(ISNUMBER(K918),M918-N918,"")</f>
        <v/>
      </c>
      <c r="P918" s="55" t="str">
        <f>IF(COUNTA(A918:I918)=0,"",N(G918)+N(H918)+N(I918))</f>
        <v/>
      </c>
      <c r="Q918" s="56" t="str">
        <f>IF(COUNTA(A918:I918)=0,"",IF(N(IFERROR(INDEX(art_rate,MATCH(E918,art_ref,0)),0))&gt;0,N(IFERROR(INDEX(art_rate,MATCH(E918,art_ref,0)),0)),N(IFERROR(INDEX(po_rate,MATCH(C918,po_code,0)),0))))</f>
        <v/>
      </c>
      <c r="R918" s="55" t="str">
        <f>IF(AC918=1,P918*60/Q918,"")</f>
        <v/>
      </c>
      <c r="S918" s="55" t="str">
        <f>IF(AC918=1,N(G918)*60/Q918,"")</f>
        <v/>
      </c>
      <c r="T918" s="57" t="str">
        <f>IF(AC918=1,O918/M918,"")</f>
        <v/>
      </c>
      <c r="U918" s="57" t="str">
        <f>IF(AC918=1,IF(O918&gt;0,R918/O918,""),"")</f>
        <v/>
      </c>
      <c r="V918" s="57" t="str">
        <f>IF(AC918=1,IF(P918&gt;0,N(G918)/P918,""),"")</f>
        <v/>
      </c>
      <c r="W918" s="57" t="str">
        <f>IF(AC918=1,S918/M918,"")</f>
        <v/>
      </c>
      <c r="X918" s="57" t="str">
        <f>IF(AC918=1,S918/K918,"")</f>
        <v/>
      </c>
      <c r="Y918" s="58" t="str">
        <f>IF(W918="","",IF(W918&gt;=p_target,"Bon",IF(W918&gt;=p_alert,"À surveiller","Faible")))</f>
        <v/>
      </c>
      <c r="Z918" s="58" t="str">
        <f>IF(W918="","",IF(MIN(IF(T918="",1,T918),IF(U918="",1,U918),IF(V918="",1,V918))&gt;=1,"Aucune",IF(IF(T918="",1,T918)&lt;=MIN(IF(U918="",1,U918),IF(V918="",1,V918)),"Disponibilité",IF(IF(U918="",1,U918)&lt;=IF(V918="",1,V918),"Performance","Qualité"))))</f>
        <v/>
      </c>
      <c r="AA918" s="59" t="str">
        <f>IF(AC918=1,N(H918)*N(IFERROR(INDEX(art_cost,MATCH(E918,art_ref,0)),0)),"")</f>
        <v/>
      </c>
      <c r="AB918" s="58" t="str">
        <f>IF(COUNTA(A918:I918)=0,"",IF(N(A918)&lt;=0,"Date manquante ou invalide",IF(B918="","Équipe manquante",IF(ISNA(MATCH(B918,eq_code,0)),"Équipe inconnue",IF(INDEX(eq_check,MATCH(B918,eq_code,0))&lt;&gt;"OK","Équipe à corriger dans Paramètres",IF(C918="","Poste manquant",IF(ISNA(MATCH(C918,po_code,0)),"Poste inconnu",IF(AND(E918&lt;&gt;"",ISNA(MATCH(E918,art_ref,0))),"Article inconnu",IF(IF(E918="",FALSE,INDEX(art_check,MATCH(E918,art_ref,0))&lt;&gt;"OK"),"Article à corriger (feuille Articles)",IF(COUNTIFS(sj_date,A918,sj_eq,B918,sj_po,C918)&gt;1,"Ligne en double (même jour, équipe et poste)",IF(OR(NOT(ISNUMBER(K918)),N(K918)&lt;=0,N(K918)&gt;1440),"Temps d'ouverture invalide",IF(OR(AND(G918&lt;&gt;"",NOT(ISNUMBER(G918))),N(G918)&lt;0,N(G918)&lt;&gt;INT(N(G918)),AND(H918&lt;&gt;"",NOT(ISNUMBER(H918))),N(H918)&lt;0,N(H918)&lt;&gt;INT(N(H918)),AND(I918&lt;&gt;"",NOT(ISNUMBER(I918))),N(I918)&lt;0,N(I918)&lt;&gt;INT(N(I918))),"Quantité invalide",IF(Q918&lt;=0,"Cadence manquante (poste ou article)",IF(M918&lt;=0,"Arrêts planifiés supérieurs au temps d'ouverture",IF(O918&lt;0,"Arrêts supérieurs au temps requis",IF(AND(P918&gt;0,O918=0),"Pièces déclarées sans temps de marche",IF(AND(P918=0,O918&gt;0),"Aucune pièce déclarée",IF(P918*60/Q918&gt;O918+0.001,"Cadence dépassée : vérifiez la cadence","OK"))))))))))))))))))</f>
        <v/>
      </c>
      <c r="AC918">
        <f>IF(OR(AB918="OK",AB918="Aucune pièce déclarée",AB918="Cadence dépassée : vérifiez la cadence"),1,0)</f>
        <v>0.0</v>
      </c>
      <c r="AD918">
        <f>IF(AND(AC918=1,A918&gt;=p_from,A918&lt;=p_to),1,0)</f>
        <v>0.0</v>
      </c>
      <c r="AE918">
        <f>IF(AD918=1,IF(COUNTIFS($A$6:A918,A918,$AD$6:AD918,1)=1,1,0),0)</f>
        <v>0.0</v>
      </c>
      <c r="AF918" t="str">
        <f>IF(AE918=1,COUNTIFS(sj_first,1,sj_date,"&lt;"&amp;A918)+1,"")</f>
        <v/>
      </c>
      <c r="AG918" t="str">
        <f>IF(AND(AD918=1,N(W918)&lt;p_alert),ROUND(W918,4),"")</f>
        <v/>
      </c>
      <c r="AH918" t="str">
        <f>IF(AG918="","",COUNTIF(sj_akey,"&lt;"&amp;AG918)+COUNTIF($AG$6:AG918,AG918))</f>
        <v/>
      </c>
    </row>
    <row r="919">
      <c r="A919" s="51" t="n"/>
      <c r="B919" s="52" t="n"/>
      <c r="C919" s="52" t="n"/>
      <c r="D919" s="53" t="n"/>
      <c r="E919" s="53" t="n"/>
      <c r="F919" s="54" t="n"/>
      <c r="G919" s="54" t="n"/>
      <c r="H919" s="54" t="n"/>
      <c r="I919" s="54" t="n"/>
      <c r="J919" s="53" t="n"/>
      <c r="K919" s="55" t="str">
        <f>IF(COUNTA(A919:I919)=0,"",IF(F919="",IFERROR(INDEX(eq_dur,MATCH(B919,eq_code,0)),""),F919))</f>
        <v/>
      </c>
      <c r="L919" s="55" t="str">
        <f>IF(ISNUMBER(K919),N(IFERROR(INDEX(eq_pause,MATCH(B919,eq_code,0)),0))+SUMIFS(st_min,st_date,A919,st_eq,B919,st_po,C919,st_type,"Planifié"),"")</f>
        <v/>
      </c>
      <c r="M919" s="55" t="str">
        <f>IF(ISNUMBER(K919),K919-L919,"")</f>
        <v/>
      </c>
      <c r="N919" s="55" t="str">
        <f>IF(ISNUMBER(K919),SUMIFS(st_min,st_date,A919,st_eq,B919,st_po,C919,st_type,"Non planifié"),"")</f>
        <v/>
      </c>
      <c r="O919" s="55" t="str">
        <f>IF(ISNUMBER(K919),M919-N919,"")</f>
        <v/>
      </c>
      <c r="P919" s="55" t="str">
        <f>IF(COUNTA(A919:I919)=0,"",N(G919)+N(H919)+N(I919))</f>
        <v/>
      </c>
      <c r="Q919" s="56" t="str">
        <f>IF(COUNTA(A919:I919)=0,"",IF(N(IFERROR(INDEX(art_rate,MATCH(E919,art_ref,0)),0))&gt;0,N(IFERROR(INDEX(art_rate,MATCH(E919,art_ref,0)),0)),N(IFERROR(INDEX(po_rate,MATCH(C919,po_code,0)),0))))</f>
        <v/>
      </c>
      <c r="R919" s="55" t="str">
        <f>IF(AC919=1,P919*60/Q919,"")</f>
        <v/>
      </c>
      <c r="S919" s="55" t="str">
        <f>IF(AC919=1,N(G919)*60/Q919,"")</f>
        <v/>
      </c>
      <c r="T919" s="57" t="str">
        <f>IF(AC919=1,O919/M919,"")</f>
        <v/>
      </c>
      <c r="U919" s="57" t="str">
        <f>IF(AC919=1,IF(O919&gt;0,R919/O919,""),"")</f>
        <v/>
      </c>
      <c r="V919" s="57" t="str">
        <f>IF(AC919=1,IF(P919&gt;0,N(G919)/P919,""),"")</f>
        <v/>
      </c>
      <c r="W919" s="57" t="str">
        <f>IF(AC919=1,S919/M919,"")</f>
        <v/>
      </c>
      <c r="X919" s="57" t="str">
        <f>IF(AC919=1,S919/K919,"")</f>
        <v/>
      </c>
      <c r="Y919" s="58" t="str">
        <f>IF(W919="","",IF(W919&gt;=p_target,"Bon",IF(W919&gt;=p_alert,"À surveiller","Faible")))</f>
        <v/>
      </c>
      <c r="Z919" s="58" t="str">
        <f>IF(W919="","",IF(MIN(IF(T919="",1,T919),IF(U919="",1,U919),IF(V919="",1,V919))&gt;=1,"Aucune",IF(IF(T919="",1,T919)&lt;=MIN(IF(U919="",1,U919),IF(V919="",1,V919)),"Disponibilité",IF(IF(U919="",1,U919)&lt;=IF(V919="",1,V919),"Performance","Qualité"))))</f>
        <v/>
      </c>
      <c r="AA919" s="59" t="str">
        <f>IF(AC919=1,N(H919)*N(IFERROR(INDEX(art_cost,MATCH(E919,art_ref,0)),0)),"")</f>
        <v/>
      </c>
      <c r="AB919" s="58" t="str">
        <f>IF(COUNTA(A919:I919)=0,"",IF(N(A919)&lt;=0,"Date manquante ou invalide",IF(B919="","Équipe manquante",IF(ISNA(MATCH(B919,eq_code,0)),"Équipe inconnue",IF(INDEX(eq_check,MATCH(B919,eq_code,0))&lt;&gt;"OK","Équipe à corriger dans Paramètres",IF(C919="","Poste manquant",IF(ISNA(MATCH(C919,po_code,0)),"Poste inconnu",IF(AND(E919&lt;&gt;"",ISNA(MATCH(E919,art_ref,0))),"Article inconnu",IF(IF(E919="",FALSE,INDEX(art_check,MATCH(E919,art_ref,0))&lt;&gt;"OK"),"Article à corriger (feuille Articles)",IF(COUNTIFS(sj_date,A919,sj_eq,B919,sj_po,C919)&gt;1,"Ligne en double (même jour, équipe et poste)",IF(OR(NOT(ISNUMBER(K919)),N(K919)&lt;=0,N(K919)&gt;1440),"Temps d'ouverture invalide",IF(OR(AND(G919&lt;&gt;"",NOT(ISNUMBER(G919))),N(G919)&lt;0,N(G919)&lt;&gt;INT(N(G919)),AND(H919&lt;&gt;"",NOT(ISNUMBER(H919))),N(H919)&lt;0,N(H919)&lt;&gt;INT(N(H919)),AND(I919&lt;&gt;"",NOT(ISNUMBER(I919))),N(I919)&lt;0,N(I919)&lt;&gt;INT(N(I919))),"Quantité invalide",IF(Q919&lt;=0,"Cadence manquante (poste ou article)",IF(M919&lt;=0,"Arrêts planifiés supérieurs au temps d'ouverture",IF(O919&lt;0,"Arrêts supérieurs au temps requis",IF(AND(P919&gt;0,O919=0),"Pièces déclarées sans temps de marche",IF(AND(P919=0,O919&gt;0),"Aucune pièce déclarée",IF(P919*60/Q919&gt;O919+0.001,"Cadence dépassée : vérifiez la cadence","OK"))))))))))))))))))</f>
        <v/>
      </c>
      <c r="AC919">
        <f>IF(OR(AB919="OK",AB919="Aucune pièce déclarée",AB919="Cadence dépassée : vérifiez la cadence"),1,0)</f>
        <v>0.0</v>
      </c>
      <c r="AD919">
        <f>IF(AND(AC919=1,A919&gt;=p_from,A919&lt;=p_to),1,0)</f>
        <v>0.0</v>
      </c>
      <c r="AE919">
        <f>IF(AD919=1,IF(COUNTIFS($A$6:A919,A919,$AD$6:AD919,1)=1,1,0),0)</f>
        <v>0.0</v>
      </c>
      <c r="AF919" t="str">
        <f>IF(AE919=1,COUNTIFS(sj_first,1,sj_date,"&lt;"&amp;A919)+1,"")</f>
        <v/>
      </c>
      <c r="AG919" t="str">
        <f>IF(AND(AD919=1,N(W919)&lt;p_alert),ROUND(W919,4),"")</f>
        <v/>
      </c>
      <c r="AH919" t="str">
        <f>IF(AG919="","",COUNTIF(sj_akey,"&lt;"&amp;AG919)+COUNTIF($AG$6:AG919,AG919))</f>
        <v/>
      </c>
    </row>
    <row r="920">
      <c r="A920" s="51" t="n"/>
      <c r="B920" s="52" t="n"/>
      <c r="C920" s="52" t="n"/>
      <c r="D920" s="53" t="n"/>
      <c r="E920" s="53" t="n"/>
      <c r="F920" s="54" t="n"/>
      <c r="G920" s="54" t="n"/>
      <c r="H920" s="54" t="n"/>
      <c r="I920" s="54" t="n"/>
      <c r="J920" s="53" t="n"/>
      <c r="K920" s="55" t="str">
        <f>IF(COUNTA(A920:I920)=0,"",IF(F920="",IFERROR(INDEX(eq_dur,MATCH(B920,eq_code,0)),""),F920))</f>
        <v/>
      </c>
      <c r="L920" s="55" t="str">
        <f>IF(ISNUMBER(K920),N(IFERROR(INDEX(eq_pause,MATCH(B920,eq_code,0)),0))+SUMIFS(st_min,st_date,A920,st_eq,B920,st_po,C920,st_type,"Planifié"),"")</f>
        <v/>
      </c>
      <c r="M920" s="55" t="str">
        <f>IF(ISNUMBER(K920),K920-L920,"")</f>
        <v/>
      </c>
      <c r="N920" s="55" t="str">
        <f>IF(ISNUMBER(K920),SUMIFS(st_min,st_date,A920,st_eq,B920,st_po,C920,st_type,"Non planifié"),"")</f>
        <v/>
      </c>
      <c r="O920" s="55" t="str">
        <f>IF(ISNUMBER(K920),M920-N920,"")</f>
        <v/>
      </c>
      <c r="P920" s="55" t="str">
        <f>IF(COUNTA(A920:I920)=0,"",N(G920)+N(H920)+N(I920))</f>
        <v/>
      </c>
      <c r="Q920" s="56" t="str">
        <f>IF(COUNTA(A920:I920)=0,"",IF(N(IFERROR(INDEX(art_rate,MATCH(E920,art_ref,0)),0))&gt;0,N(IFERROR(INDEX(art_rate,MATCH(E920,art_ref,0)),0)),N(IFERROR(INDEX(po_rate,MATCH(C920,po_code,0)),0))))</f>
        <v/>
      </c>
      <c r="R920" s="55" t="str">
        <f>IF(AC920=1,P920*60/Q920,"")</f>
        <v/>
      </c>
      <c r="S920" s="55" t="str">
        <f>IF(AC920=1,N(G920)*60/Q920,"")</f>
        <v/>
      </c>
      <c r="T920" s="57" t="str">
        <f>IF(AC920=1,O920/M920,"")</f>
        <v/>
      </c>
      <c r="U920" s="57" t="str">
        <f>IF(AC920=1,IF(O920&gt;0,R920/O920,""),"")</f>
        <v/>
      </c>
      <c r="V920" s="57" t="str">
        <f>IF(AC920=1,IF(P920&gt;0,N(G920)/P920,""),"")</f>
        <v/>
      </c>
      <c r="W920" s="57" t="str">
        <f>IF(AC920=1,S920/M920,"")</f>
        <v/>
      </c>
      <c r="X920" s="57" t="str">
        <f>IF(AC920=1,S920/K920,"")</f>
        <v/>
      </c>
      <c r="Y920" s="58" t="str">
        <f>IF(W920="","",IF(W920&gt;=p_target,"Bon",IF(W920&gt;=p_alert,"À surveiller","Faible")))</f>
        <v/>
      </c>
      <c r="Z920" s="58" t="str">
        <f>IF(W920="","",IF(MIN(IF(T920="",1,T920),IF(U920="",1,U920),IF(V920="",1,V920))&gt;=1,"Aucune",IF(IF(T920="",1,T920)&lt;=MIN(IF(U920="",1,U920),IF(V920="",1,V920)),"Disponibilité",IF(IF(U920="",1,U920)&lt;=IF(V920="",1,V920),"Performance","Qualité"))))</f>
        <v/>
      </c>
      <c r="AA920" s="59" t="str">
        <f>IF(AC920=1,N(H920)*N(IFERROR(INDEX(art_cost,MATCH(E920,art_ref,0)),0)),"")</f>
        <v/>
      </c>
      <c r="AB920" s="58" t="str">
        <f>IF(COUNTA(A920:I920)=0,"",IF(N(A920)&lt;=0,"Date manquante ou invalide",IF(B920="","Équipe manquante",IF(ISNA(MATCH(B920,eq_code,0)),"Équipe inconnue",IF(INDEX(eq_check,MATCH(B920,eq_code,0))&lt;&gt;"OK","Équipe à corriger dans Paramètres",IF(C920="","Poste manquant",IF(ISNA(MATCH(C920,po_code,0)),"Poste inconnu",IF(AND(E920&lt;&gt;"",ISNA(MATCH(E920,art_ref,0))),"Article inconnu",IF(IF(E920="",FALSE,INDEX(art_check,MATCH(E920,art_ref,0))&lt;&gt;"OK"),"Article à corriger (feuille Articles)",IF(COUNTIFS(sj_date,A920,sj_eq,B920,sj_po,C920)&gt;1,"Ligne en double (même jour, équipe et poste)",IF(OR(NOT(ISNUMBER(K920)),N(K920)&lt;=0,N(K920)&gt;1440),"Temps d'ouverture invalide",IF(OR(AND(G920&lt;&gt;"",NOT(ISNUMBER(G920))),N(G920)&lt;0,N(G920)&lt;&gt;INT(N(G920)),AND(H920&lt;&gt;"",NOT(ISNUMBER(H920))),N(H920)&lt;0,N(H920)&lt;&gt;INT(N(H920)),AND(I920&lt;&gt;"",NOT(ISNUMBER(I920))),N(I920)&lt;0,N(I920)&lt;&gt;INT(N(I920))),"Quantité invalide",IF(Q920&lt;=0,"Cadence manquante (poste ou article)",IF(M920&lt;=0,"Arrêts planifiés supérieurs au temps d'ouverture",IF(O920&lt;0,"Arrêts supérieurs au temps requis",IF(AND(P920&gt;0,O920=0),"Pièces déclarées sans temps de marche",IF(AND(P920=0,O920&gt;0),"Aucune pièce déclarée",IF(P920*60/Q920&gt;O920+0.001,"Cadence dépassée : vérifiez la cadence","OK"))))))))))))))))))</f>
        <v/>
      </c>
      <c r="AC920">
        <f>IF(OR(AB920="OK",AB920="Aucune pièce déclarée",AB920="Cadence dépassée : vérifiez la cadence"),1,0)</f>
        <v>0.0</v>
      </c>
      <c r="AD920">
        <f>IF(AND(AC920=1,A920&gt;=p_from,A920&lt;=p_to),1,0)</f>
        <v>0.0</v>
      </c>
      <c r="AE920">
        <f>IF(AD920=1,IF(COUNTIFS($A$6:A920,A920,$AD$6:AD920,1)=1,1,0),0)</f>
        <v>0.0</v>
      </c>
      <c r="AF920" t="str">
        <f>IF(AE920=1,COUNTIFS(sj_first,1,sj_date,"&lt;"&amp;A920)+1,"")</f>
        <v/>
      </c>
      <c r="AG920" t="str">
        <f>IF(AND(AD920=1,N(W920)&lt;p_alert),ROUND(W920,4),"")</f>
        <v/>
      </c>
      <c r="AH920" t="str">
        <f>IF(AG920="","",COUNTIF(sj_akey,"&lt;"&amp;AG920)+COUNTIF($AG$6:AG920,AG920))</f>
        <v/>
      </c>
    </row>
    <row r="921">
      <c r="A921" s="51" t="n"/>
      <c r="B921" s="52" t="n"/>
      <c r="C921" s="52" t="n"/>
      <c r="D921" s="53" t="n"/>
      <c r="E921" s="53" t="n"/>
      <c r="F921" s="54" t="n"/>
      <c r="G921" s="54" t="n"/>
      <c r="H921" s="54" t="n"/>
      <c r="I921" s="54" t="n"/>
      <c r="J921" s="53" t="n"/>
      <c r="K921" s="55" t="str">
        <f>IF(COUNTA(A921:I921)=0,"",IF(F921="",IFERROR(INDEX(eq_dur,MATCH(B921,eq_code,0)),""),F921))</f>
        <v/>
      </c>
      <c r="L921" s="55" t="str">
        <f>IF(ISNUMBER(K921),N(IFERROR(INDEX(eq_pause,MATCH(B921,eq_code,0)),0))+SUMIFS(st_min,st_date,A921,st_eq,B921,st_po,C921,st_type,"Planifié"),"")</f>
        <v/>
      </c>
      <c r="M921" s="55" t="str">
        <f>IF(ISNUMBER(K921),K921-L921,"")</f>
        <v/>
      </c>
      <c r="N921" s="55" t="str">
        <f>IF(ISNUMBER(K921),SUMIFS(st_min,st_date,A921,st_eq,B921,st_po,C921,st_type,"Non planifié"),"")</f>
        <v/>
      </c>
      <c r="O921" s="55" t="str">
        <f>IF(ISNUMBER(K921),M921-N921,"")</f>
        <v/>
      </c>
      <c r="P921" s="55" t="str">
        <f>IF(COUNTA(A921:I921)=0,"",N(G921)+N(H921)+N(I921))</f>
        <v/>
      </c>
      <c r="Q921" s="56" t="str">
        <f>IF(COUNTA(A921:I921)=0,"",IF(N(IFERROR(INDEX(art_rate,MATCH(E921,art_ref,0)),0))&gt;0,N(IFERROR(INDEX(art_rate,MATCH(E921,art_ref,0)),0)),N(IFERROR(INDEX(po_rate,MATCH(C921,po_code,0)),0))))</f>
        <v/>
      </c>
      <c r="R921" s="55" t="str">
        <f>IF(AC921=1,P921*60/Q921,"")</f>
        <v/>
      </c>
      <c r="S921" s="55" t="str">
        <f>IF(AC921=1,N(G921)*60/Q921,"")</f>
        <v/>
      </c>
      <c r="T921" s="57" t="str">
        <f>IF(AC921=1,O921/M921,"")</f>
        <v/>
      </c>
      <c r="U921" s="57" t="str">
        <f>IF(AC921=1,IF(O921&gt;0,R921/O921,""),"")</f>
        <v/>
      </c>
      <c r="V921" s="57" t="str">
        <f>IF(AC921=1,IF(P921&gt;0,N(G921)/P921,""),"")</f>
        <v/>
      </c>
      <c r="W921" s="57" t="str">
        <f>IF(AC921=1,S921/M921,"")</f>
        <v/>
      </c>
      <c r="X921" s="57" t="str">
        <f>IF(AC921=1,S921/K921,"")</f>
        <v/>
      </c>
      <c r="Y921" s="58" t="str">
        <f>IF(W921="","",IF(W921&gt;=p_target,"Bon",IF(W921&gt;=p_alert,"À surveiller","Faible")))</f>
        <v/>
      </c>
      <c r="Z921" s="58" t="str">
        <f>IF(W921="","",IF(MIN(IF(T921="",1,T921),IF(U921="",1,U921),IF(V921="",1,V921))&gt;=1,"Aucune",IF(IF(T921="",1,T921)&lt;=MIN(IF(U921="",1,U921),IF(V921="",1,V921)),"Disponibilité",IF(IF(U921="",1,U921)&lt;=IF(V921="",1,V921),"Performance","Qualité"))))</f>
        <v/>
      </c>
      <c r="AA921" s="59" t="str">
        <f>IF(AC921=1,N(H921)*N(IFERROR(INDEX(art_cost,MATCH(E921,art_ref,0)),0)),"")</f>
        <v/>
      </c>
      <c r="AB921" s="58" t="str">
        <f>IF(COUNTA(A921:I921)=0,"",IF(N(A921)&lt;=0,"Date manquante ou invalide",IF(B921="","Équipe manquante",IF(ISNA(MATCH(B921,eq_code,0)),"Équipe inconnue",IF(INDEX(eq_check,MATCH(B921,eq_code,0))&lt;&gt;"OK","Équipe à corriger dans Paramètres",IF(C921="","Poste manquant",IF(ISNA(MATCH(C921,po_code,0)),"Poste inconnu",IF(AND(E921&lt;&gt;"",ISNA(MATCH(E921,art_ref,0))),"Article inconnu",IF(IF(E921="",FALSE,INDEX(art_check,MATCH(E921,art_ref,0))&lt;&gt;"OK"),"Article à corriger (feuille Articles)",IF(COUNTIFS(sj_date,A921,sj_eq,B921,sj_po,C921)&gt;1,"Ligne en double (même jour, équipe et poste)",IF(OR(NOT(ISNUMBER(K921)),N(K921)&lt;=0,N(K921)&gt;1440),"Temps d'ouverture invalide",IF(OR(AND(G921&lt;&gt;"",NOT(ISNUMBER(G921))),N(G921)&lt;0,N(G921)&lt;&gt;INT(N(G921)),AND(H921&lt;&gt;"",NOT(ISNUMBER(H921))),N(H921)&lt;0,N(H921)&lt;&gt;INT(N(H921)),AND(I921&lt;&gt;"",NOT(ISNUMBER(I921))),N(I921)&lt;0,N(I921)&lt;&gt;INT(N(I921))),"Quantité invalide",IF(Q921&lt;=0,"Cadence manquante (poste ou article)",IF(M921&lt;=0,"Arrêts planifiés supérieurs au temps d'ouverture",IF(O921&lt;0,"Arrêts supérieurs au temps requis",IF(AND(P921&gt;0,O921=0),"Pièces déclarées sans temps de marche",IF(AND(P921=0,O921&gt;0),"Aucune pièce déclarée",IF(P921*60/Q921&gt;O921+0.001,"Cadence dépassée : vérifiez la cadence","OK"))))))))))))))))))</f>
        <v/>
      </c>
      <c r="AC921">
        <f>IF(OR(AB921="OK",AB921="Aucune pièce déclarée",AB921="Cadence dépassée : vérifiez la cadence"),1,0)</f>
        <v>0.0</v>
      </c>
      <c r="AD921">
        <f>IF(AND(AC921=1,A921&gt;=p_from,A921&lt;=p_to),1,0)</f>
        <v>0.0</v>
      </c>
      <c r="AE921">
        <f>IF(AD921=1,IF(COUNTIFS($A$6:A921,A921,$AD$6:AD921,1)=1,1,0),0)</f>
        <v>0.0</v>
      </c>
      <c r="AF921" t="str">
        <f>IF(AE921=1,COUNTIFS(sj_first,1,sj_date,"&lt;"&amp;A921)+1,"")</f>
        <v/>
      </c>
      <c r="AG921" t="str">
        <f>IF(AND(AD921=1,N(W921)&lt;p_alert),ROUND(W921,4),"")</f>
        <v/>
      </c>
      <c r="AH921" t="str">
        <f>IF(AG921="","",COUNTIF(sj_akey,"&lt;"&amp;AG921)+COUNTIF($AG$6:AG921,AG921))</f>
        <v/>
      </c>
    </row>
    <row r="922">
      <c r="A922" s="51" t="n"/>
      <c r="B922" s="52" t="n"/>
      <c r="C922" s="52" t="n"/>
      <c r="D922" s="53" t="n"/>
      <c r="E922" s="53" t="n"/>
      <c r="F922" s="54" t="n"/>
      <c r="G922" s="54" t="n"/>
      <c r="H922" s="54" t="n"/>
      <c r="I922" s="54" t="n"/>
      <c r="J922" s="53" t="n"/>
      <c r="K922" s="55" t="str">
        <f>IF(COUNTA(A922:I922)=0,"",IF(F922="",IFERROR(INDEX(eq_dur,MATCH(B922,eq_code,0)),""),F922))</f>
        <v/>
      </c>
      <c r="L922" s="55" t="str">
        <f>IF(ISNUMBER(K922),N(IFERROR(INDEX(eq_pause,MATCH(B922,eq_code,0)),0))+SUMIFS(st_min,st_date,A922,st_eq,B922,st_po,C922,st_type,"Planifié"),"")</f>
        <v/>
      </c>
      <c r="M922" s="55" t="str">
        <f>IF(ISNUMBER(K922),K922-L922,"")</f>
        <v/>
      </c>
      <c r="N922" s="55" t="str">
        <f>IF(ISNUMBER(K922),SUMIFS(st_min,st_date,A922,st_eq,B922,st_po,C922,st_type,"Non planifié"),"")</f>
        <v/>
      </c>
      <c r="O922" s="55" t="str">
        <f>IF(ISNUMBER(K922),M922-N922,"")</f>
        <v/>
      </c>
      <c r="P922" s="55" t="str">
        <f>IF(COUNTA(A922:I922)=0,"",N(G922)+N(H922)+N(I922))</f>
        <v/>
      </c>
      <c r="Q922" s="56" t="str">
        <f>IF(COUNTA(A922:I922)=0,"",IF(N(IFERROR(INDEX(art_rate,MATCH(E922,art_ref,0)),0))&gt;0,N(IFERROR(INDEX(art_rate,MATCH(E922,art_ref,0)),0)),N(IFERROR(INDEX(po_rate,MATCH(C922,po_code,0)),0))))</f>
        <v/>
      </c>
      <c r="R922" s="55" t="str">
        <f>IF(AC922=1,P922*60/Q922,"")</f>
        <v/>
      </c>
      <c r="S922" s="55" t="str">
        <f>IF(AC922=1,N(G922)*60/Q922,"")</f>
        <v/>
      </c>
      <c r="T922" s="57" t="str">
        <f>IF(AC922=1,O922/M922,"")</f>
        <v/>
      </c>
      <c r="U922" s="57" t="str">
        <f>IF(AC922=1,IF(O922&gt;0,R922/O922,""),"")</f>
        <v/>
      </c>
      <c r="V922" s="57" t="str">
        <f>IF(AC922=1,IF(P922&gt;0,N(G922)/P922,""),"")</f>
        <v/>
      </c>
      <c r="W922" s="57" t="str">
        <f>IF(AC922=1,S922/M922,"")</f>
        <v/>
      </c>
      <c r="X922" s="57" t="str">
        <f>IF(AC922=1,S922/K922,"")</f>
        <v/>
      </c>
      <c r="Y922" s="58" t="str">
        <f>IF(W922="","",IF(W922&gt;=p_target,"Bon",IF(W922&gt;=p_alert,"À surveiller","Faible")))</f>
        <v/>
      </c>
      <c r="Z922" s="58" t="str">
        <f>IF(W922="","",IF(MIN(IF(T922="",1,T922),IF(U922="",1,U922),IF(V922="",1,V922))&gt;=1,"Aucune",IF(IF(T922="",1,T922)&lt;=MIN(IF(U922="",1,U922),IF(V922="",1,V922)),"Disponibilité",IF(IF(U922="",1,U922)&lt;=IF(V922="",1,V922),"Performance","Qualité"))))</f>
        <v/>
      </c>
      <c r="AA922" s="59" t="str">
        <f>IF(AC922=1,N(H922)*N(IFERROR(INDEX(art_cost,MATCH(E922,art_ref,0)),0)),"")</f>
        <v/>
      </c>
      <c r="AB922" s="58" t="str">
        <f>IF(COUNTA(A922:I922)=0,"",IF(N(A922)&lt;=0,"Date manquante ou invalide",IF(B922="","Équipe manquante",IF(ISNA(MATCH(B922,eq_code,0)),"Équipe inconnue",IF(INDEX(eq_check,MATCH(B922,eq_code,0))&lt;&gt;"OK","Équipe à corriger dans Paramètres",IF(C922="","Poste manquant",IF(ISNA(MATCH(C922,po_code,0)),"Poste inconnu",IF(AND(E922&lt;&gt;"",ISNA(MATCH(E922,art_ref,0))),"Article inconnu",IF(IF(E922="",FALSE,INDEX(art_check,MATCH(E922,art_ref,0))&lt;&gt;"OK"),"Article à corriger (feuille Articles)",IF(COUNTIFS(sj_date,A922,sj_eq,B922,sj_po,C922)&gt;1,"Ligne en double (même jour, équipe et poste)",IF(OR(NOT(ISNUMBER(K922)),N(K922)&lt;=0,N(K922)&gt;1440),"Temps d'ouverture invalide",IF(OR(AND(G922&lt;&gt;"",NOT(ISNUMBER(G922))),N(G922)&lt;0,N(G922)&lt;&gt;INT(N(G922)),AND(H922&lt;&gt;"",NOT(ISNUMBER(H922))),N(H922)&lt;0,N(H922)&lt;&gt;INT(N(H922)),AND(I922&lt;&gt;"",NOT(ISNUMBER(I922))),N(I922)&lt;0,N(I922)&lt;&gt;INT(N(I922))),"Quantité invalide",IF(Q922&lt;=0,"Cadence manquante (poste ou article)",IF(M922&lt;=0,"Arrêts planifiés supérieurs au temps d'ouverture",IF(O922&lt;0,"Arrêts supérieurs au temps requis",IF(AND(P922&gt;0,O922=0),"Pièces déclarées sans temps de marche",IF(AND(P922=0,O922&gt;0),"Aucune pièce déclarée",IF(P922*60/Q922&gt;O922+0.001,"Cadence dépassée : vérifiez la cadence","OK"))))))))))))))))))</f>
        <v/>
      </c>
      <c r="AC922">
        <f>IF(OR(AB922="OK",AB922="Aucune pièce déclarée",AB922="Cadence dépassée : vérifiez la cadence"),1,0)</f>
        <v>0.0</v>
      </c>
      <c r="AD922">
        <f>IF(AND(AC922=1,A922&gt;=p_from,A922&lt;=p_to),1,0)</f>
        <v>0.0</v>
      </c>
      <c r="AE922">
        <f>IF(AD922=1,IF(COUNTIFS($A$6:A922,A922,$AD$6:AD922,1)=1,1,0),0)</f>
        <v>0.0</v>
      </c>
      <c r="AF922" t="str">
        <f>IF(AE922=1,COUNTIFS(sj_first,1,sj_date,"&lt;"&amp;A922)+1,"")</f>
        <v/>
      </c>
      <c r="AG922" t="str">
        <f>IF(AND(AD922=1,N(W922)&lt;p_alert),ROUND(W922,4),"")</f>
        <v/>
      </c>
      <c r="AH922" t="str">
        <f>IF(AG922="","",COUNTIF(sj_akey,"&lt;"&amp;AG922)+COUNTIF($AG$6:AG922,AG922))</f>
        <v/>
      </c>
    </row>
    <row r="923">
      <c r="A923" s="51" t="n"/>
      <c r="B923" s="52" t="n"/>
      <c r="C923" s="52" t="n"/>
      <c r="D923" s="53" t="n"/>
      <c r="E923" s="53" t="n"/>
      <c r="F923" s="54" t="n"/>
      <c r="G923" s="54" t="n"/>
      <c r="H923" s="54" t="n"/>
      <c r="I923" s="54" t="n"/>
      <c r="J923" s="53" t="n"/>
      <c r="K923" s="55" t="str">
        <f>IF(COUNTA(A923:I923)=0,"",IF(F923="",IFERROR(INDEX(eq_dur,MATCH(B923,eq_code,0)),""),F923))</f>
        <v/>
      </c>
      <c r="L923" s="55" t="str">
        <f>IF(ISNUMBER(K923),N(IFERROR(INDEX(eq_pause,MATCH(B923,eq_code,0)),0))+SUMIFS(st_min,st_date,A923,st_eq,B923,st_po,C923,st_type,"Planifié"),"")</f>
        <v/>
      </c>
      <c r="M923" s="55" t="str">
        <f>IF(ISNUMBER(K923),K923-L923,"")</f>
        <v/>
      </c>
      <c r="N923" s="55" t="str">
        <f>IF(ISNUMBER(K923),SUMIFS(st_min,st_date,A923,st_eq,B923,st_po,C923,st_type,"Non planifié"),"")</f>
        <v/>
      </c>
      <c r="O923" s="55" t="str">
        <f>IF(ISNUMBER(K923),M923-N923,"")</f>
        <v/>
      </c>
      <c r="P923" s="55" t="str">
        <f>IF(COUNTA(A923:I923)=0,"",N(G923)+N(H923)+N(I923))</f>
        <v/>
      </c>
      <c r="Q923" s="56" t="str">
        <f>IF(COUNTA(A923:I923)=0,"",IF(N(IFERROR(INDEX(art_rate,MATCH(E923,art_ref,0)),0))&gt;0,N(IFERROR(INDEX(art_rate,MATCH(E923,art_ref,0)),0)),N(IFERROR(INDEX(po_rate,MATCH(C923,po_code,0)),0))))</f>
        <v/>
      </c>
      <c r="R923" s="55" t="str">
        <f>IF(AC923=1,P923*60/Q923,"")</f>
        <v/>
      </c>
      <c r="S923" s="55" t="str">
        <f>IF(AC923=1,N(G923)*60/Q923,"")</f>
        <v/>
      </c>
      <c r="T923" s="57" t="str">
        <f>IF(AC923=1,O923/M923,"")</f>
        <v/>
      </c>
      <c r="U923" s="57" t="str">
        <f>IF(AC923=1,IF(O923&gt;0,R923/O923,""),"")</f>
        <v/>
      </c>
      <c r="V923" s="57" t="str">
        <f>IF(AC923=1,IF(P923&gt;0,N(G923)/P923,""),"")</f>
        <v/>
      </c>
      <c r="W923" s="57" t="str">
        <f>IF(AC923=1,S923/M923,"")</f>
        <v/>
      </c>
      <c r="X923" s="57" t="str">
        <f>IF(AC923=1,S923/K923,"")</f>
        <v/>
      </c>
      <c r="Y923" s="58" t="str">
        <f>IF(W923="","",IF(W923&gt;=p_target,"Bon",IF(W923&gt;=p_alert,"À surveiller","Faible")))</f>
        <v/>
      </c>
      <c r="Z923" s="58" t="str">
        <f>IF(W923="","",IF(MIN(IF(T923="",1,T923),IF(U923="",1,U923),IF(V923="",1,V923))&gt;=1,"Aucune",IF(IF(T923="",1,T923)&lt;=MIN(IF(U923="",1,U923),IF(V923="",1,V923)),"Disponibilité",IF(IF(U923="",1,U923)&lt;=IF(V923="",1,V923),"Performance","Qualité"))))</f>
        <v/>
      </c>
      <c r="AA923" s="59" t="str">
        <f>IF(AC923=1,N(H923)*N(IFERROR(INDEX(art_cost,MATCH(E923,art_ref,0)),0)),"")</f>
        <v/>
      </c>
      <c r="AB923" s="58" t="str">
        <f>IF(COUNTA(A923:I923)=0,"",IF(N(A923)&lt;=0,"Date manquante ou invalide",IF(B923="","Équipe manquante",IF(ISNA(MATCH(B923,eq_code,0)),"Équipe inconnue",IF(INDEX(eq_check,MATCH(B923,eq_code,0))&lt;&gt;"OK","Équipe à corriger dans Paramètres",IF(C923="","Poste manquant",IF(ISNA(MATCH(C923,po_code,0)),"Poste inconnu",IF(AND(E923&lt;&gt;"",ISNA(MATCH(E923,art_ref,0))),"Article inconnu",IF(IF(E923="",FALSE,INDEX(art_check,MATCH(E923,art_ref,0))&lt;&gt;"OK"),"Article à corriger (feuille Articles)",IF(COUNTIFS(sj_date,A923,sj_eq,B923,sj_po,C923)&gt;1,"Ligne en double (même jour, équipe et poste)",IF(OR(NOT(ISNUMBER(K923)),N(K923)&lt;=0,N(K923)&gt;1440),"Temps d'ouverture invalide",IF(OR(AND(G923&lt;&gt;"",NOT(ISNUMBER(G923))),N(G923)&lt;0,N(G923)&lt;&gt;INT(N(G923)),AND(H923&lt;&gt;"",NOT(ISNUMBER(H923))),N(H923)&lt;0,N(H923)&lt;&gt;INT(N(H923)),AND(I923&lt;&gt;"",NOT(ISNUMBER(I923))),N(I923)&lt;0,N(I923)&lt;&gt;INT(N(I923))),"Quantité invalide",IF(Q923&lt;=0,"Cadence manquante (poste ou article)",IF(M923&lt;=0,"Arrêts planifiés supérieurs au temps d'ouverture",IF(O923&lt;0,"Arrêts supérieurs au temps requis",IF(AND(P923&gt;0,O923=0),"Pièces déclarées sans temps de marche",IF(AND(P923=0,O923&gt;0),"Aucune pièce déclarée",IF(P923*60/Q923&gt;O923+0.001,"Cadence dépassée : vérifiez la cadence","OK"))))))))))))))))))</f>
        <v/>
      </c>
      <c r="AC923">
        <f>IF(OR(AB923="OK",AB923="Aucune pièce déclarée",AB923="Cadence dépassée : vérifiez la cadence"),1,0)</f>
        <v>0.0</v>
      </c>
      <c r="AD923">
        <f>IF(AND(AC923=1,A923&gt;=p_from,A923&lt;=p_to),1,0)</f>
        <v>0.0</v>
      </c>
      <c r="AE923">
        <f>IF(AD923=1,IF(COUNTIFS($A$6:A923,A923,$AD$6:AD923,1)=1,1,0),0)</f>
        <v>0.0</v>
      </c>
      <c r="AF923" t="str">
        <f>IF(AE923=1,COUNTIFS(sj_first,1,sj_date,"&lt;"&amp;A923)+1,"")</f>
        <v/>
      </c>
      <c r="AG923" t="str">
        <f>IF(AND(AD923=1,N(W923)&lt;p_alert),ROUND(W923,4),"")</f>
        <v/>
      </c>
      <c r="AH923" t="str">
        <f>IF(AG923="","",COUNTIF(sj_akey,"&lt;"&amp;AG923)+COUNTIF($AG$6:AG923,AG923))</f>
        <v/>
      </c>
    </row>
    <row r="924">
      <c r="A924" s="51" t="n"/>
      <c r="B924" s="52" t="n"/>
      <c r="C924" s="52" t="n"/>
      <c r="D924" s="53" t="n"/>
      <c r="E924" s="53" t="n"/>
      <c r="F924" s="54" t="n"/>
      <c r="G924" s="54" t="n"/>
      <c r="H924" s="54" t="n"/>
      <c r="I924" s="54" t="n"/>
      <c r="J924" s="53" t="n"/>
      <c r="K924" s="55" t="str">
        <f>IF(COUNTA(A924:I924)=0,"",IF(F924="",IFERROR(INDEX(eq_dur,MATCH(B924,eq_code,0)),""),F924))</f>
        <v/>
      </c>
      <c r="L924" s="55" t="str">
        <f>IF(ISNUMBER(K924),N(IFERROR(INDEX(eq_pause,MATCH(B924,eq_code,0)),0))+SUMIFS(st_min,st_date,A924,st_eq,B924,st_po,C924,st_type,"Planifié"),"")</f>
        <v/>
      </c>
      <c r="M924" s="55" t="str">
        <f>IF(ISNUMBER(K924),K924-L924,"")</f>
        <v/>
      </c>
      <c r="N924" s="55" t="str">
        <f>IF(ISNUMBER(K924),SUMIFS(st_min,st_date,A924,st_eq,B924,st_po,C924,st_type,"Non planifié"),"")</f>
        <v/>
      </c>
      <c r="O924" s="55" t="str">
        <f>IF(ISNUMBER(K924),M924-N924,"")</f>
        <v/>
      </c>
      <c r="P924" s="55" t="str">
        <f>IF(COUNTA(A924:I924)=0,"",N(G924)+N(H924)+N(I924))</f>
        <v/>
      </c>
      <c r="Q924" s="56" t="str">
        <f>IF(COUNTA(A924:I924)=0,"",IF(N(IFERROR(INDEX(art_rate,MATCH(E924,art_ref,0)),0))&gt;0,N(IFERROR(INDEX(art_rate,MATCH(E924,art_ref,0)),0)),N(IFERROR(INDEX(po_rate,MATCH(C924,po_code,0)),0))))</f>
        <v/>
      </c>
      <c r="R924" s="55" t="str">
        <f>IF(AC924=1,P924*60/Q924,"")</f>
        <v/>
      </c>
      <c r="S924" s="55" t="str">
        <f>IF(AC924=1,N(G924)*60/Q924,"")</f>
        <v/>
      </c>
      <c r="T924" s="57" t="str">
        <f>IF(AC924=1,O924/M924,"")</f>
        <v/>
      </c>
      <c r="U924" s="57" t="str">
        <f>IF(AC924=1,IF(O924&gt;0,R924/O924,""),"")</f>
        <v/>
      </c>
      <c r="V924" s="57" t="str">
        <f>IF(AC924=1,IF(P924&gt;0,N(G924)/P924,""),"")</f>
        <v/>
      </c>
      <c r="W924" s="57" t="str">
        <f>IF(AC924=1,S924/M924,"")</f>
        <v/>
      </c>
      <c r="X924" s="57" t="str">
        <f>IF(AC924=1,S924/K924,"")</f>
        <v/>
      </c>
      <c r="Y924" s="58" t="str">
        <f>IF(W924="","",IF(W924&gt;=p_target,"Bon",IF(W924&gt;=p_alert,"À surveiller","Faible")))</f>
        <v/>
      </c>
      <c r="Z924" s="58" t="str">
        <f>IF(W924="","",IF(MIN(IF(T924="",1,T924),IF(U924="",1,U924),IF(V924="",1,V924))&gt;=1,"Aucune",IF(IF(T924="",1,T924)&lt;=MIN(IF(U924="",1,U924),IF(V924="",1,V924)),"Disponibilité",IF(IF(U924="",1,U924)&lt;=IF(V924="",1,V924),"Performance","Qualité"))))</f>
        <v/>
      </c>
      <c r="AA924" s="59" t="str">
        <f>IF(AC924=1,N(H924)*N(IFERROR(INDEX(art_cost,MATCH(E924,art_ref,0)),0)),"")</f>
        <v/>
      </c>
      <c r="AB924" s="58" t="str">
        <f>IF(COUNTA(A924:I924)=0,"",IF(N(A924)&lt;=0,"Date manquante ou invalide",IF(B924="","Équipe manquante",IF(ISNA(MATCH(B924,eq_code,0)),"Équipe inconnue",IF(INDEX(eq_check,MATCH(B924,eq_code,0))&lt;&gt;"OK","Équipe à corriger dans Paramètres",IF(C924="","Poste manquant",IF(ISNA(MATCH(C924,po_code,0)),"Poste inconnu",IF(AND(E924&lt;&gt;"",ISNA(MATCH(E924,art_ref,0))),"Article inconnu",IF(IF(E924="",FALSE,INDEX(art_check,MATCH(E924,art_ref,0))&lt;&gt;"OK"),"Article à corriger (feuille Articles)",IF(COUNTIFS(sj_date,A924,sj_eq,B924,sj_po,C924)&gt;1,"Ligne en double (même jour, équipe et poste)",IF(OR(NOT(ISNUMBER(K924)),N(K924)&lt;=0,N(K924)&gt;1440),"Temps d'ouverture invalide",IF(OR(AND(G924&lt;&gt;"",NOT(ISNUMBER(G924))),N(G924)&lt;0,N(G924)&lt;&gt;INT(N(G924)),AND(H924&lt;&gt;"",NOT(ISNUMBER(H924))),N(H924)&lt;0,N(H924)&lt;&gt;INT(N(H924)),AND(I924&lt;&gt;"",NOT(ISNUMBER(I924))),N(I924)&lt;0,N(I924)&lt;&gt;INT(N(I924))),"Quantité invalide",IF(Q924&lt;=0,"Cadence manquante (poste ou article)",IF(M924&lt;=0,"Arrêts planifiés supérieurs au temps d'ouverture",IF(O924&lt;0,"Arrêts supérieurs au temps requis",IF(AND(P924&gt;0,O924=0),"Pièces déclarées sans temps de marche",IF(AND(P924=0,O924&gt;0),"Aucune pièce déclarée",IF(P924*60/Q924&gt;O924+0.001,"Cadence dépassée : vérifiez la cadence","OK"))))))))))))))))))</f>
        <v/>
      </c>
      <c r="AC924">
        <f>IF(OR(AB924="OK",AB924="Aucune pièce déclarée",AB924="Cadence dépassée : vérifiez la cadence"),1,0)</f>
        <v>0.0</v>
      </c>
      <c r="AD924">
        <f>IF(AND(AC924=1,A924&gt;=p_from,A924&lt;=p_to),1,0)</f>
        <v>0.0</v>
      </c>
      <c r="AE924">
        <f>IF(AD924=1,IF(COUNTIFS($A$6:A924,A924,$AD$6:AD924,1)=1,1,0),0)</f>
        <v>0.0</v>
      </c>
      <c r="AF924" t="str">
        <f>IF(AE924=1,COUNTIFS(sj_first,1,sj_date,"&lt;"&amp;A924)+1,"")</f>
        <v/>
      </c>
      <c r="AG924" t="str">
        <f>IF(AND(AD924=1,N(W924)&lt;p_alert),ROUND(W924,4),"")</f>
        <v/>
      </c>
      <c r="AH924" t="str">
        <f>IF(AG924="","",COUNTIF(sj_akey,"&lt;"&amp;AG924)+COUNTIF($AG$6:AG924,AG924))</f>
        <v/>
      </c>
    </row>
    <row r="925">
      <c r="A925" s="51" t="n"/>
      <c r="B925" s="52" t="n"/>
      <c r="C925" s="52" t="n"/>
      <c r="D925" s="53" t="n"/>
      <c r="E925" s="53" t="n"/>
      <c r="F925" s="54" t="n"/>
      <c r="G925" s="54" t="n"/>
      <c r="H925" s="54" t="n"/>
      <c r="I925" s="54" t="n"/>
      <c r="J925" s="53" t="n"/>
      <c r="K925" s="55" t="str">
        <f>IF(COUNTA(A925:I925)=0,"",IF(F925="",IFERROR(INDEX(eq_dur,MATCH(B925,eq_code,0)),""),F925))</f>
        <v/>
      </c>
      <c r="L925" s="55" t="str">
        <f>IF(ISNUMBER(K925),N(IFERROR(INDEX(eq_pause,MATCH(B925,eq_code,0)),0))+SUMIFS(st_min,st_date,A925,st_eq,B925,st_po,C925,st_type,"Planifié"),"")</f>
        <v/>
      </c>
      <c r="M925" s="55" t="str">
        <f>IF(ISNUMBER(K925),K925-L925,"")</f>
        <v/>
      </c>
      <c r="N925" s="55" t="str">
        <f>IF(ISNUMBER(K925),SUMIFS(st_min,st_date,A925,st_eq,B925,st_po,C925,st_type,"Non planifié"),"")</f>
        <v/>
      </c>
      <c r="O925" s="55" t="str">
        <f>IF(ISNUMBER(K925),M925-N925,"")</f>
        <v/>
      </c>
      <c r="P925" s="55" t="str">
        <f>IF(COUNTA(A925:I925)=0,"",N(G925)+N(H925)+N(I925))</f>
        <v/>
      </c>
      <c r="Q925" s="56" t="str">
        <f>IF(COUNTA(A925:I925)=0,"",IF(N(IFERROR(INDEX(art_rate,MATCH(E925,art_ref,0)),0))&gt;0,N(IFERROR(INDEX(art_rate,MATCH(E925,art_ref,0)),0)),N(IFERROR(INDEX(po_rate,MATCH(C925,po_code,0)),0))))</f>
        <v/>
      </c>
      <c r="R925" s="55" t="str">
        <f>IF(AC925=1,P925*60/Q925,"")</f>
        <v/>
      </c>
      <c r="S925" s="55" t="str">
        <f>IF(AC925=1,N(G925)*60/Q925,"")</f>
        <v/>
      </c>
      <c r="T925" s="57" t="str">
        <f>IF(AC925=1,O925/M925,"")</f>
        <v/>
      </c>
      <c r="U925" s="57" t="str">
        <f>IF(AC925=1,IF(O925&gt;0,R925/O925,""),"")</f>
        <v/>
      </c>
      <c r="V925" s="57" t="str">
        <f>IF(AC925=1,IF(P925&gt;0,N(G925)/P925,""),"")</f>
        <v/>
      </c>
      <c r="W925" s="57" t="str">
        <f>IF(AC925=1,S925/M925,"")</f>
        <v/>
      </c>
      <c r="X925" s="57" t="str">
        <f>IF(AC925=1,S925/K925,"")</f>
        <v/>
      </c>
      <c r="Y925" s="58" t="str">
        <f>IF(W925="","",IF(W925&gt;=p_target,"Bon",IF(W925&gt;=p_alert,"À surveiller","Faible")))</f>
        <v/>
      </c>
      <c r="Z925" s="58" t="str">
        <f>IF(W925="","",IF(MIN(IF(T925="",1,T925),IF(U925="",1,U925),IF(V925="",1,V925))&gt;=1,"Aucune",IF(IF(T925="",1,T925)&lt;=MIN(IF(U925="",1,U925),IF(V925="",1,V925)),"Disponibilité",IF(IF(U925="",1,U925)&lt;=IF(V925="",1,V925),"Performance","Qualité"))))</f>
        <v/>
      </c>
      <c r="AA925" s="59" t="str">
        <f>IF(AC925=1,N(H925)*N(IFERROR(INDEX(art_cost,MATCH(E925,art_ref,0)),0)),"")</f>
        <v/>
      </c>
      <c r="AB925" s="58" t="str">
        <f>IF(COUNTA(A925:I925)=0,"",IF(N(A925)&lt;=0,"Date manquante ou invalide",IF(B925="","Équipe manquante",IF(ISNA(MATCH(B925,eq_code,0)),"Équipe inconnue",IF(INDEX(eq_check,MATCH(B925,eq_code,0))&lt;&gt;"OK","Équipe à corriger dans Paramètres",IF(C925="","Poste manquant",IF(ISNA(MATCH(C925,po_code,0)),"Poste inconnu",IF(AND(E925&lt;&gt;"",ISNA(MATCH(E925,art_ref,0))),"Article inconnu",IF(IF(E925="",FALSE,INDEX(art_check,MATCH(E925,art_ref,0))&lt;&gt;"OK"),"Article à corriger (feuille Articles)",IF(COUNTIFS(sj_date,A925,sj_eq,B925,sj_po,C925)&gt;1,"Ligne en double (même jour, équipe et poste)",IF(OR(NOT(ISNUMBER(K925)),N(K925)&lt;=0,N(K925)&gt;1440),"Temps d'ouverture invalide",IF(OR(AND(G925&lt;&gt;"",NOT(ISNUMBER(G925))),N(G925)&lt;0,N(G925)&lt;&gt;INT(N(G925)),AND(H925&lt;&gt;"",NOT(ISNUMBER(H925))),N(H925)&lt;0,N(H925)&lt;&gt;INT(N(H925)),AND(I925&lt;&gt;"",NOT(ISNUMBER(I925))),N(I925)&lt;0,N(I925)&lt;&gt;INT(N(I925))),"Quantité invalide",IF(Q925&lt;=0,"Cadence manquante (poste ou article)",IF(M925&lt;=0,"Arrêts planifiés supérieurs au temps d'ouverture",IF(O925&lt;0,"Arrêts supérieurs au temps requis",IF(AND(P925&gt;0,O925=0),"Pièces déclarées sans temps de marche",IF(AND(P925=0,O925&gt;0),"Aucune pièce déclarée",IF(P925*60/Q925&gt;O925+0.001,"Cadence dépassée : vérifiez la cadence","OK"))))))))))))))))))</f>
        <v/>
      </c>
      <c r="AC925">
        <f>IF(OR(AB925="OK",AB925="Aucune pièce déclarée",AB925="Cadence dépassée : vérifiez la cadence"),1,0)</f>
        <v>0.0</v>
      </c>
      <c r="AD925">
        <f>IF(AND(AC925=1,A925&gt;=p_from,A925&lt;=p_to),1,0)</f>
        <v>0.0</v>
      </c>
      <c r="AE925">
        <f>IF(AD925=1,IF(COUNTIFS($A$6:A925,A925,$AD$6:AD925,1)=1,1,0),0)</f>
        <v>0.0</v>
      </c>
      <c r="AF925" t="str">
        <f>IF(AE925=1,COUNTIFS(sj_first,1,sj_date,"&lt;"&amp;A925)+1,"")</f>
        <v/>
      </c>
      <c r="AG925" t="str">
        <f>IF(AND(AD925=1,N(W925)&lt;p_alert),ROUND(W925,4),"")</f>
        <v/>
      </c>
      <c r="AH925" t="str">
        <f>IF(AG925="","",COUNTIF(sj_akey,"&lt;"&amp;AG925)+COUNTIF($AG$6:AG925,AG925))</f>
        <v/>
      </c>
    </row>
    <row r="926">
      <c r="A926" s="51" t="n"/>
      <c r="B926" s="52" t="n"/>
      <c r="C926" s="52" t="n"/>
      <c r="D926" s="53" t="n"/>
      <c r="E926" s="53" t="n"/>
      <c r="F926" s="54" t="n"/>
      <c r="G926" s="54" t="n"/>
      <c r="H926" s="54" t="n"/>
      <c r="I926" s="54" t="n"/>
      <c r="J926" s="53" t="n"/>
      <c r="K926" s="55" t="str">
        <f>IF(COUNTA(A926:I926)=0,"",IF(F926="",IFERROR(INDEX(eq_dur,MATCH(B926,eq_code,0)),""),F926))</f>
        <v/>
      </c>
      <c r="L926" s="55" t="str">
        <f>IF(ISNUMBER(K926),N(IFERROR(INDEX(eq_pause,MATCH(B926,eq_code,0)),0))+SUMIFS(st_min,st_date,A926,st_eq,B926,st_po,C926,st_type,"Planifié"),"")</f>
        <v/>
      </c>
      <c r="M926" s="55" t="str">
        <f>IF(ISNUMBER(K926),K926-L926,"")</f>
        <v/>
      </c>
      <c r="N926" s="55" t="str">
        <f>IF(ISNUMBER(K926),SUMIFS(st_min,st_date,A926,st_eq,B926,st_po,C926,st_type,"Non planifié"),"")</f>
        <v/>
      </c>
      <c r="O926" s="55" t="str">
        <f>IF(ISNUMBER(K926),M926-N926,"")</f>
        <v/>
      </c>
      <c r="P926" s="55" t="str">
        <f>IF(COUNTA(A926:I926)=0,"",N(G926)+N(H926)+N(I926))</f>
        <v/>
      </c>
      <c r="Q926" s="56" t="str">
        <f>IF(COUNTA(A926:I926)=0,"",IF(N(IFERROR(INDEX(art_rate,MATCH(E926,art_ref,0)),0))&gt;0,N(IFERROR(INDEX(art_rate,MATCH(E926,art_ref,0)),0)),N(IFERROR(INDEX(po_rate,MATCH(C926,po_code,0)),0))))</f>
        <v/>
      </c>
      <c r="R926" s="55" t="str">
        <f>IF(AC926=1,P926*60/Q926,"")</f>
        <v/>
      </c>
      <c r="S926" s="55" t="str">
        <f>IF(AC926=1,N(G926)*60/Q926,"")</f>
        <v/>
      </c>
      <c r="T926" s="57" t="str">
        <f>IF(AC926=1,O926/M926,"")</f>
        <v/>
      </c>
      <c r="U926" s="57" t="str">
        <f>IF(AC926=1,IF(O926&gt;0,R926/O926,""),"")</f>
        <v/>
      </c>
      <c r="V926" s="57" t="str">
        <f>IF(AC926=1,IF(P926&gt;0,N(G926)/P926,""),"")</f>
        <v/>
      </c>
      <c r="W926" s="57" t="str">
        <f>IF(AC926=1,S926/M926,"")</f>
        <v/>
      </c>
      <c r="X926" s="57" t="str">
        <f>IF(AC926=1,S926/K926,"")</f>
        <v/>
      </c>
      <c r="Y926" s="58" t="str">
        <f>IF(W926="","",IF(W926&gt;=p_target,"Bon",IF(W926&gt;=p_alert,"À surveiller","Faible")))</f>
        <v/>
      </c>
      <c r="Z926" s="58" t="str">
        <f>IF(W926="","",IF(MIN(IF(T926="",1,T926),IF(U926="",1,U926),IF(V926="",1,V926))&gt;=1,"Aucune",IF(IF(T926="",1,T926)&lt;=MIN(IF(U926="",1,U926),IF(V926="",1,V926)),"Disponibilité",IF(IF(U926="",1,U926)&lt;=IF(V926="",1,V926),"Performance","Qualité"))))</f>
        <v/>
      </c>
      <c r="AA926" s="59" t="str">
        <f>IF(AC926=1,N(H926)*N(IFERROR(INDEX(art_cost,MATCH(E926,art_ref,0)),0)),"")</f>
        <v/>
      </c>
      <c r="AB926" s="58" t="str">
        <f>IF(COUNTA(A926:I926)=0,"",IF(N(A926)&lt;=0,"Date manquante ou invalide",IF(B926="","Équipe manquante",IF(ISNA(MATCH(B926,eq_code,0)),"Équipe inconnue",IF(INDEX(eq_check,MATCH(B926,eq_code,0))&lt;&gt;"OK","Équipe à corriger dans Paramètres",IF(C926="","Poste manquant",IF(ISNA(MATCH(C926,po_code,0)),"Poste inconnu",IF(AND(E926&lt;&gt;"",ISNA(MATCH(E926,art_ref,0))),"Article inconnu",IF(IF(E926="",FALSE,INDEX(art_check,MATCH(E926,art_ref,0))&lt;&gt;"OK"),"Article à corriger (feuille Articles)",IF(COUNTIFS(sj_date,A926,sj_eq,B926,sj_po,C926)&gt;1,"Ligne en double (même jour, équipe et poste)",IF(OR(NOT(ISNUMBER(K926)),N(K926)&lt;=0,N(K926)&gt;1440),"Temps d'ouverture invalide",IF(OR(AND(G926&lt;&gt;"",NOT(ISNUMBER(G926))),N(G926)&lt;0,N(G926)&lt;&gt;INT(N(G926)),AND(H926&lt;&gt;"",NOT(ISNUMBER(H926))),N(H926)&lt;0,N(H926)&lt;&gt;INT(N(H926)),AND(I926&lt;&gt;"",NOT(ISNUMBER(I926))),N(I926)&lt;0,N(I926)&lt;&gt;INT(N(I926))),"Quantité invalide",IF(Q926&lt;=0,"Cadence manquante (poste ou article)",IF(M926&lt;=0,"Arrêts planifiés supérieurs au temps d'ouverture",IF(O926&lt;0,"Arrêts supérieurs au temps requis",IF(AND(P926&gt;0,O926=0),"Pièces déclarées sans temps de marche",IF(AND(P926=0,O926&gt;0),"Aucune pièce déclarée",IF(P926*60/Q926&gt;O926+0.001,"Cadence dépassée : vérifiez la cadence","OK"))))))))))))))))))</f>
        <v/>
      </c>
      <c r="AC926">
        <f>IF(OR(AB926="OK",AB926="Aucune pièce déclarée",AB926="Cadence dépassée : vérifiez la cadence"),1,0)</f>
        <v>0.0</v>
      </c>
      <c r="AD926">
        <f>IF(AND(AC926=1,A926&gt;=p_from,A926&lt;=p_to),1,0)</f>
        <v>0.0</v>
      </c>
      <c r="AE926">
        <f>IF(AD926=1,IF(COUNTIFS($A$6:A926,A926,$AD$6:AD926,1)=1,1,0),0)</f>
        <v>0.0</v>
      </c>
      <c r="AF926" t="str">
        <f>IF(AE926=1,COUNTIFS(sj_first,1,sj_date,"&lt;"&amp;A926)+1,"")</f>
        <v/>
      </c>
      <c r="AG926" t="str">
        <f>IF(AND(AD926=1,N(W926)&lt;p_alert),ROUND(W926,4),"")</f>
        <v/>
      </c>
      <c r="AH926" t="str">
        <f>IF(AG926="","",COUNTIF(sj_akey,"&lt;"&amp;AG926)+COUNTIF($AG$6:AG926,AG926))</f>
        <v/>
      </c>
    </row>
    <row r="927">
      <c r="A927" s="51" t="n"/>
      <c r="B927" s="52" t="n"/>
      <c r="C927" s="52" t="n"/>
      <c r="D927" s="53" t="n"/>
      <c r="E927" s="53" t="n"/>
      <c r="F927" s="54" t="n"/>
      <c r="G927" s="54" t="n"/>
      <c r="H927" s="54" t="n"/>
      <c r="I927" s="54" t="n"/>
      <c r="J927" s="53" t="n"/>
      <c r="K927" s="55" t="str">
        <f>IF(COUNTA(A927:I927)=0,"",IF(F927="",IFERROR(INDEX(eq_dur,MATCH(B927,eq_code,0)),""),F927))</f>
        <v/>
      </c>
      <c r="L927" s="55" t="str">
        <f>IF(ISNUMBER(K927),N(IFERROR(INDEX(eq_pause,MATCH(B927,eq_code,0)),0))+SUMIFS(st_min,st_date,A927,st_eq,B927,st_po,C927,st_type,"Planifié"),"")</f>
        <v/>
      </c>
      <c r="M927" s="55" t="str">
        <f>IF(ISNUMBER(K927),K927-L927,"")</f>
        <v/>
      </c>
      <c r="N927" s="55" t="str">
        <f>IF(ISNUMBER(K927),SUMIFS(st_min,st_date,A927,st_eq,B927,st_po,C927,st_type,"Non planifié"),"")</f>
        <v/>
      </c>
      <c r="O927" s="55" t="str">
        <f>IF(ISNUMBER(K927),M927-N927,"")</f>
        <v/>
      </c>
      <c r="P927" s="55" t="str">
        <f>IF(COUNTA(A927:I927)=0,"",N(G927)+N(H927)+N(I927))</f>
        <v/>
      </c>
      <c r="Q927" s="56" t="str">
        <f>IF(COUNTA(A927:I927)=0,"",IF(N(IFERROR(INDEX(art_rate,MATCH(E927,art_ref,0)),0))&gt;0,N(IFERROR(INDEX(art_rate,MATCH(E927,art_ref,0)),0)),N(IFERROR(INDEX(po_rate,MATCH(C927,po_code,0)),0))))</f>
        <v/>
      </c>
      <c r="R927" s="55" t="str">
        <f>IF(AC927=1,P927*60/Q927,"")</f>
        <v/>
      </c>
      <c r="S927" s="55" t="str">
        <f>IF(AC927=1,N(G927)*60/Q927,"")</f>
        <v/>
      </c>
      <c r="T927" s="57" t="str">
        <f>IF(AC927=1,O927/M927,"")</f>
        <v/>
      </c>
      <c r="U927" s="57" t="str">
        <f>IF(AC927=1,IF(O927&gt;0,R927/O927,""),"")</f>
        <v/>
      </c>
      <c r="V927" s="57" t="str">
        <f>IF(AC927=1,IF(P927&gt;0,N(G927)/P927,""),"")</f>
        <v/>
      </c>
      <c r="W927" s="57" t="str">
        <f>IF(AC927=1,S927/M927,"")</f>
        <v/>
      </c>
      <c r="X927" s="57" t="str">
        <f>IF(AC927=1,S927/K927,"")</f>
        <v/>
      </c>
      <c r="Y927" s="58" t="str">
        <f>IF(W927="","",IF(W927&gt;=p_target,"Bon",IF(W927&gt;=p_alert,"À surveiller","Faible")))</f>
        <v/>
      </c>
      <c r="Z927" s="58" t="str">
        <f>IF(W927="","",IF(MIN(IF(T927="",1,T927),IF(U927="",1,U927),IF(V927="",1,V927))&gt;=1,"Aucune",IF(IF(T927="",1,T927)&lt;=MIN(IF(U927="",1,U927),IF(V927="",1,V927)),"Disponibilité",IF(IF(U927="",1,U927)&lt;=IF(V927="",1,V927),"Performance","Qualité"))))</f>
        <v/>
      </c>
      <c r="AA927" s="59" t="str">
        <f>IF(AC927=1,N(H927)*N(IFERROR(INDEX(art_cost,MATCH(E927,art_ref,0)),0)),"")</f>
        <v/>
      </c>
      <c r="AB927" s="58" t="str">
        <f>IF(COUNTA(A927:I927)=0,"",IF(N(A927)&lt;=0,"Date manquante ou invalide",IF(B927="","Équipe manquante",IF(ISNA(MATCH(B927,eq_code,0)),"Équipe inconnue",IF(INDEX(eq_check,MATCH(B927,eq_code,0))&lt;&gt;"OK","Équipe à corriger dans Paramètres",IF(C927="","Poste manquant",IF(ISNA(MATCH(C927,po_code,0)),"Poste inconnu",IF(AND(E927&lt;&gt;"",ISNA(MATCH(E927,art_ref,0))),"Article inconnu",IF(IF(E927="",FALSE,INDEX(art_check,MATCH(E927,art_ref,0))&lt;&gt;"OK"),"Article à corriger (feuille Articles)",IF(COUNTIFS(sj_date,A927,sj_eq,B927,sj_po,C927)&gt;1,"Ligne en double (même jour, équipe et poste)",IF(OR(NOT(ISNUMBER(K927)),N(K927)&lt;=0,N(K927)&gt;1440),"Temps d'ouverture invalide",IF(OR(AND(G927&lt;&gt;"",NOT(ISNUMBER(G927))),N(G927)&lt;0,N(G927)&lt;&gt;INT(N(G927)),AND(H927&lt;&gt;"",NOT(ISNUMBER(H927))),N(H927)&lt;0,N(H927)&lt;&gt;INT(N(H927)),AND(I927&lt;&gt;"",NOT(ISNUMBER(I927))),N(I927)&lt;0,N(I927)&lt;&gt;INT(N(I927))),"Quantité invalide",IF(Q927&lt;=0,"Cadence manquante (poste ou article)",IF(M927&lt;=0,"Arrêts planifiés supérieurs au temps d'ouverture",IF(O927&lt;0,"Arrêts supérieurs au temps requis",IF(AND(P927&gt;0,O927=0),"Pièces déclarées sans temps de marche",IF(AND(P927=0,O927&gt;0),"Aucune pièce déclarée",IF(P927*60/Q927&gt;O927+0.001,"Cadence dépassée : vérifiez la cadence","OK"))))))))))))))))))</f>
        <v/>
      </c>
      <c r="AC927">
        <f>IF(OR(AB927="OK",AB927="Aucune pièce déclarée",AB927="Cadence dépassée : vérifiez la cadence"),1,0)</f>
        <v>0.0</v>
      </c>
      <c r="AD927">
        <f>IF(AND(AC927=1,A927&gt;=p_from,A927&lt;=p_to),1,0)</f>
        <v>0.0</v>
      </c>
      <c r="AE927">
        <f>IF(AD927=1,IF(COUNTIFS($A$6:A927,A927,$AD$6:AD927,1)=1,1,0),0)</f>
        <v>0.0</v>
      </c>
      <c r="AF927" t="str">
        <f>IF(AE927=1,COUNTIFS(sj_first,1,sj_date,"&lt;"&amp;A927)+1,"")</f>
        <v/>
      </c>
      <c r="AG927" t="str">
        <f>IF(AND(AD927=1,N(W927)&lt;p_alert),ROUND(W927,4),"")</f>
        <v/>
      </c>
      <c r="AH927" t="str">
        <f>IF(AG927="","",COUNTIF(sj_akey,"&lt;"&amp;AG927)+COUNTIF($AG$6:AG927,AG927))</f>
        <v/>
      </c>
    </row>
    <row r="928">
      <c r="A928" s="51" t="n"/>
      <c r="B928" s="52" t="n"/>
      <c r="C928" s="52" t="n"/>
      <c r="D928" s="53" t="n"/>
      <c r="E928" s="53" t="n"/>
      <c r="F928" s="54" t="n"/>
      <c r="G928" s="54" t="n"/>
      <c r="H928" s="54" t="n"/>
      <c r="I928" s="54" t="n"/>
      <c r="J928" s="53" t="n"/>
      <c r="K928" s="55" t="str">
        <f>IF(COUNTA(A928:I928)=0,"",IF(F928="",IFERROR(INDEX(eq_dur,MATCH(B928,eq_code,0)),""),F928))</f>
        <v/>
      </c>
      <c r="L928" s="55" t="str">
        <f>IF(ISNUMBER(K928),N(IFERROR(INDEX(eq_pause,MATCH(B928,eq_code,0)),0))+SUMIFS(st_min,st_date,A928,st_eq,B928,st_po,C928,st_type,"Planifié"),"")</f>
        <v/>
      </c>
      <c r="M928" s="55" t="str">
        <f>IF(ISNUMBER(K928),K928-L928,"")</f>
        <v/>
      </c>
      <c r="N928" s="55" t="str">
        <f>IF(ISNUMBER(K928),SUMIFS(st_min,st_date,A928,st_eq,B928,st_po,C928,st_type,"Non planifié"),"")</f>
        <v/>
      </c>
      <c r="O928" s="55" t="str">
        <f>IF(ISNUMBER(K928),M928-N928,"")</f>
        <v/>
      </c>
      <c r="P928" s="55" t="str">
        <f>IF(COUNTA(A928:I928)=0,"",N(G928)+N(H928)+N(I928))</f>
        <v/>
      </c>
      <c r="Q928" s="56" t="str">
        <f>IF(COUNTA(A928:I928)=0,"",IF(N(IFERROR(INDEX(art_rate,MATCH(E928,art_ref,0)),0))&gt;0,N(IFERROR(INDEX(art_rate,MATCH(E928,art_ref,0)),0)),N(IFERROR(INDEX(po_rate,MATCH(C928,po_code,0)),0))))</f>
        <v/>
      </c>
      <c r="R928" s="55" t="str">
        <f>IF(AC928=1,P928*60/Q928,"")</f>
        <v/>
      </c>
      <c r="S928" s="55" t="str">
        <f>IF(AC928=1,N(G928)*60/Q928,"")</f>
        <v/>
      </c>
      <c r="T928" s="57" t="str">
        <f>IF(AC928=1,O928/M928,"")</f>
        <v/>
      </c>
      <c r="U928" s="57" t="str">
        <f>IF(AC928=1,IF(O928&gt;0,R928/O928,""),"")</f>
        <v/>
      </c>
      <c r="V928" s="57" t="str">
        <f>IF(AC928=1,IF(P928&gt;0,N(G928)/P928,""),"")</f>
        <v/>
      </c>
      <c r="W928" s="57" t="str">
        <f>IF(AC928=1,S928/M928,"")</f>
        <v/>
      </c>
      <c r="X928" s="57" t="str">
        <f>IF(AC928=1,S928/K928,"")</f>
        <v/>
      </c>
      <c r="Y928" s="58" t="str">
        <f>IF(W928="","",IF(W928&gt;=p_target,"Bon",IF(W928&gt;=p_alert,"À surveiller","Faible")))</f>
        <v/>
      </c>
      <c r="Z928" s="58" t="str">
        <f>IF(W928="","",IF(MIN(IF(T928="",1,T928),IF(U928="",1,U928),IF(V928="",1,V928))&gt;=1,"Aucune",IF(IF(T928="",1,T928)&lt;=MIN(IF(U928="",1,U928),IF(V928="",1,V928)),"Disponibilité",IF(IF(U928="",1,U928)&lt;=IF(V928="",1,V928),"Performance","Qualité"))))</f>
        <v/>
      </c>
      <c r="AA928" s="59" t="str">
        <f>IF(AC928=1,N(H928)*N(IFERROR(INDEX(art_cost,MATCH(E928,art_ref,0)),0)),"")</f>
        <v/>
      </c>
      <c r="AB928" s="58" t="str">
        <f>IF(COUNTA(A928:I928)=0,"",IF(N(A928)&lt;=0,"Date manquante ou invalide",IF(B928="","Équipe manquante",IF(ISNA(MATCH(B928,eq_code,0)),"Équipe inconnue",IF(INDEX(eq_check,MATCH(B928,eq_code,0))&lt;&gt;"OK","Équipe à corriger dans Paramètres",IF(C928="","Poste manquant",IF(ISNA(MATCH(C928,po_code,0)),"Poste inconnu",IF(AND(E928&lt;&gt;"",ISNA(MATCH(E928,art_ref,0))),"Article inconnu",IF(IF(E928="",FALSE,INDEX(art_check,MATCH(E928,art_ref,0))&lt;&gt;"OK"),"Article à corriger (feuille Articles)",IF(COUNTIFS(sj_date,A928,sj_eq,B928,sj_po,C928)&gt;1,"Ligne en double (même jour, équipe et poste)",IF(OR(NOT(ISNUMBER(K928)),N(K928)&lt;=0,N(K928)&gt;1440),"Temps d'ouverture invalide",IF(OR(AND(G928&lt;&gt;"",NOT(ISNUMBER(G928))),N(G928)&lt;0,N(G928)&lt;&gt;INT(N(G928)),AND(H928&lt;&gt;"",NOT(ISNUMBER(H928))),N(H928)&lt;0,N(H928)&lt;&gt;INT(N(H928)),AND(I928&lt;&gt;"",NOT(ISNUMBER(I928))),N(I928)&lt;0,N(I928)&lt;&gt;INT(N(I928))),"Quantité invalide",IF(Q928&lt;=0,"Cadence manquante (poste ou article)",IF(M928&lt;=0,"Arrêts planifiés supérieurs au temps d'ouverture",IF(O928&lt;0,"Arrêts supérieurs au temps requis",IF(AND(P928&gt;0,O928=0),"Pièces déclarées sans temps de marche",IF(AND(P928=0,O928&gt;0),"Aucune pièce déclarée",IF(P928*60/Q928&gt;O928+0.001,"Cadence dépassée : vérifiez la cadence","OK"))))))))))))))))))</f>
        <v/>
      </c>
      <c r="AC928">
        <f>IF(OR(AB928="OK",AB928="Aucune pièce déclarée",AB928="Cadence dépassée : vérifiez la cadence"),1,0)</f>
        <v>0.0</v>
      </c>
      <c r="AD928">
        <f>IF(AND(AC928=1,A928&gt;=p_from,A928&lt;=p_to),1,0)</f>
        <v>0.0</v>
      </c>
      <c r="AE928">
        <f>IF(AD928=1,IF(COUNTIFS($A$6:A928,A928,$AD$6:AD928,1)=1,1,0),0)</f>
        <v>0.0</v>
      </c>
      <c r="AF928" t="str">
        <f>IF(AE928=1,COUNTIFS(sj_first,1,sj_date,"&lt;"&amp;A928)+1,"")</f>
        <v/>
      </c>
      <c r="AG928" t="str">
        <f>IF(AND(AD928=1,N(W928)&lt;p_alert),ROUND(W928,4),"")</f>
        <v/>
      </c>
      <c r="AH928" t="str">
        <f>IF(AG928="","",COUNTIF(sj_akey,"&lt;"&amp;AG928)+COUNTIF($AG$6:AG928,AG928))</f>
        <v/>
      </c>
    </row>
    <row r="929">
      <c r="A929" s="51" t="n"/>
      <c r="B929" s="52" t="n"/>
      <c r="C929" s="52" t="n"/>
      <c r="D929" s="53" t="n"/>
      <c r="E929" s="53" t="n"/>
      <c r="F929" s="54" t="n"/>
      <c r="G929" s="54" t="n"/>
      <c r="H929" s="54" t="n"/>
      <c r="I929" s="54" t="n"/>
      <c r="J929" s="53" t="n"/>
      <c r="K929" s="55" t="str">
        <f>IF(COUNTA(A929:I929)=0,"",IF(F929="",IFERROR(INDEX(eq_dur,MATCH(B929,eq_code,0)),""),F929))</f>
        <v/>
      </c>
      <c r="L929" s="55" t="str">
        <f>IF(ISNUMBER(K929),N(IFERROR(INDEX(eq_pause,MATCH(B929,eq_code,0)),0))+SUMIFS(st_min,st_date,A929,st_eq,B929,st_po,C929,st_type,"Planifié"),"")</f>
        <v/>
      </c>
      <c r="M929" s="55" t="str">
        <f>IF(ISNUMBER(K929),K929-L929,"")</f>
        <v/>
      </c>
      <c r="N929" s="55" t="str">
        <f>IF(ISNUMBER(K929),SUMIFS(st_min,st_date,A929,st_eq,B929,st_po,C929,st_type,"Non planifié"),"")</f>
        <v/>
      </c>
      <c r="O929" s="55" t="str">
        <f>IF(ISNUMBER(K929),M929-N929,"")</f>
        <v/>
      </c>
      <c r="P929" s="55" t="str">
        <f>IF(COUNTA(A929:I929)=0,"",N(G929)+N(H929)+N(I929))</f>
        <v/>
      </c>
      <c r="Q929" s="56" t="str">
        <f>IF(COUNTA(A929:I929)=0,"",IF(N(IFERROR(INDEX(art_rate,MATCH(E929,art_ref,0)),0))&gt;0,N(IFERROR(INDEX(art_rate,MATCH(E929,art_ref,0)),0)),N(IFERROR(INDEX(po_rate,MATCH(C929,po_code,0)),0))))</f>
        <v/>
      </c>
      <c r="R929" s="55" t="str">
        <f>IF(AC929=1,P929*60/Q929,"")</f>
        <v/>
      </c>
      <c r="S929" s="55" t="str">
        <f>IF(AC929=1,N(G929)*60/Q929,"")</f>
        <v/>
      </c>
      <c r="T929" s="57" t="str">
        <f>IF(AC929=1,O929/M929,"")</f>
        <v/>
      </c>
      <c r="U929" s="57" t="str">
        <f>IF(AC929=1,IF(O929&gt;0,R929/O929,""),"")</f>
        <v/>
      </c>
      <c r="V929" s="57" t="str">
        <f>IF(AC929=1,IF(P929&gt;0,N(G929)/P929,""),"")</f>
        <v/>
      </c>
      <c r="W929" s="57" t="str">
        <f>IF(AC929=1,S929/M929,"")</f>
        <v/>
      </c>
      <c r="X929" s="57" t="str">
        <f>IF(AC929=1,S929/K929,"")</f>
        <v/>
      </c>
      <c r="Y929" s="58" t="str">
        <f>IF(W929="","",IF(W929&gt;=p_target,"Bon",IF(W929&gt;=p_alert,"À surveiller","Faible")))</f>
        <v/>
      </c>
      <c r="Z929" s="58" t="str">
        <f>IF(W929="","",IF(MIN(IF(T929="",1,T929),IF(U929="",1,U929),IF(V929="",1,V929))&gt;=1,"Aucune",IF(IF(T929="",1,T929)&lt;=MIN(IF(U929="",1,U929),IF(V929="",1,V929)),"Disponibilité",IF(IF(U929="",1,U929)&lt;=IF(V929="",1,V929),"Performance","Qualité"))))</f>
        <v/>
      </c>
      <c r="AA929" s="59" t="str">
        <f>IF(AC929=1,N(H929)*N(IFERROR(INDEX(art_cost,MATCH(E929,art_ref,0)),0)),"")</f>
        <v/>
      </c>
      <c r="AB929" s="58" t="str">
        <f>IF(COUNTA(A929:I929)=0,"",IF(N(A929)&lt;=0,"Date manquante ou invalide",IF(B929="","Équipe manquante",IF(ISNA(MATCH(B929,eq_code,0)),"Équipe inconnue",IF(INDEX(eq_check,MATCH(B929,eq_code,0))&lt;&gt;"OK","Équipe à corriger dans Paramètres",IF(C929="","Poste manquant",IF(ISNA(MATCH(C929,po_code,0)),"Poste inconnu",IF(AND(E929&lt;&gt;"",ISNA(MATCH(E929,art_ref,0))),"Article inconnu",IF(IF(E929="",FALSE,INDEX(art_check,MATCH(E929,art_ref,0))&lt;&gt;"OK"),"Article à corriger (feuille Articles)",IF(COUNTIFS(sj_date,A929,sj_eq,B929,sj_po,C929)&gt;1,"Ligne en double (même jour, équipe et poste)",IF(OR(NOT(ISNUMBER(K929)),N(K929)&lt;=0,N(K929)&gt;1440),"Temps d'ouverture invalide",IF(OR(AND(G929&lt;&gt;"",NOT(ISNUMBER(G929))),N(G929)&lt;0,N(G929)&lt;&gt;INT(N(G929)),AND(H929&lt;&gt;"",NOT(ISNUMBER(H929))),N(H929)&lt;0,N(H929)&lt;&gt;INT(N(H929)),AND(I929&lt;&gt;"",NOT(ISNUMBER(I929))),N(I929)&lt;0,N(I929)&lt;&gt;INT(N(I929))),"Quantité invalide",IF(Q929&lt;=0,"Cadence manquante (poste ou article)",IF(M929&lt;=0,"Arrêts planifiés supérieurs au temps d'ouverture",IF(O929&lt;0,"Arrêts supérieurs au temps requis",IF(AND(P929&gt;0,O929=0),"Pièces déclarées sans temps de marche",IF(AND(P929=0,O929&gt;0),"Aucune pièce déclarée",IF(P929*60/Q929&gt;O929+0.001,"Cadence dépassée : vérifiez la cadence","OK"))))))))))))))))))</f>
        <v/>
      </c>
      <c r="AC929">
        <f>IF(OR(AB929="OK",AB929="Aucune pièce déclarée",AB929="Cadence dépassée : vérifiez la cadence"),1,0)</f>
        <v>0.0</v>
      </c>
      <c r="AD929">
        <f>IF(AND(AC929=1,A929&gt;=p_from,A929&lt;=p_to),1,0)</f>
        <v>0.0</v>
      </c>
      <c r="AE929">
        <f>IF(AD929=1,IF(COUNTIFS($A$6:A929,A929,$AD$6:AD929,1)=1,1,0),0)</f>
        <v>0.0</v>
      </c>
      <c r="AF929" t="str">
        <f>IF(AE929=1,COUNTIFS(sj_first,1,sj_date,"&lt;"&amp;A929)+1,"")</f>
        <v/>
      </c>
      <c r="AG929" t="str">
        <f>IF(AND(AD929=1,N(W929)&lt;p_alert),ROUND(W929,4),"")</f>
        <v/>
      </c>
      <c r="AH929" t="str">
        <f>IF(AG929="","",COUNTIF(sj_akey,"&lt;"&amp;AG929)+COUNTIF($AG$6:AG929,AG929))</f>
        <v/>
      </c>
    </row>
    <row r="930">
      <c r="A930" s="51" t="n"/>
      <c r="B930" s="52" t="n"/>
      <c r="C930" s="52" t="n"/>
      <c r="D930" s="53" t="n"/>
      <c r="E930" s="53" t="n"/>
      <c r="F930" s="54" t="n"/>
      <c r="G930" s="54" t="n"/>
      <c r="H930" s="54" t="n"/>
      <c r="I930" s="54" t="n"/>
      <c r="J930" s="53" t="n"/>
      <c r="K930" s="55" t="str">
        <f>IF(COUNTA(A930:I930)=0,"",IF(F930="",IFERROR(INDEX(eq_dur,MATCH(B930,eq_code,0)),""),F930))</f>
        <v/>
      </c>
      <c r="L930" s="55" t="str">
        <f>IF(ISNUMBER(K930),N(IFERROR(INDEX(eq_pause,MATCH(B930,eq_code,0)),0))+SUMIFS(st_min,st_date,A930,st_eq,B930,st_po,C930,st_type,"Planifié"),"")</f>
        <v/>
      </c>
      <c r="M930" s="55" t="str">
        <f>IF(ISNUMBER(K930),K930-L930,"")</f>
        <v/>
      </c>
      <c r="N930" s="55" t="str">
        <f>IF(ISNUMBER(K930),SUMIFS(st_min,st_date,A930,st_eq,B930,st_po,C930,st_type,"Non planifié"),"")</f>
        <v/>
      </c>
      <c r="O930" s="55" t="str">
        <f>IF(ISNUMBER(K930),M930-N930,"")</f>
        <v/>
      </c>
      <c r="P930" s="55" t="str">
        <f>IF(COUNTA(A930:I930)=0,"",N(G930)+N(H930)+N(I930))</f>
        <v/>
      </c>
      <c r="Q930" s="56" t="str">
        <f>IF(COUNTA(A930:I930)=0,"",IF(N(IFERROR(INDEX(art_rate,MATCH(E930,art_ref,0)),0))&gt;0,N(IFERROR(INDEX(art_rate,MATCH(E930,art_ref,0)),0)),N(IFERROR(INDEX(po_rate,MATCH(C930,po_code,0)),0))))</f>
        <v/>
      </c>
      <c r="R930" s="55" t="str">
        <f>IF(AC930=1,P930*60/Q930,"")</f>
        <v/>
      </c>
      <c r="S930" s="55" t="str">
        <f>IF(AC930=1,N(G930)*60/Q930,"")</f>
        <v/>
      </c>
      <c r="T930" s="57" t="str">
        <f>IF(AC930=1,O930/M930,"")</f>
        <v/>
      </c>
      <c r="U930" s="57" t="str">
        <f>IF(AC930=1,IF(O930&gt;0,R930/O930,""),"")</f>
        <v/>
      </c>
      <c r="V930" s="57" t="str">
        <f>IF(AC930=1,IF(P930&gt;0,N(G930)/P930,""),"")</f>
        <v/>
      </c>
      <c r="W930" s="57" t="str">
        <f>IF(AC930=1,S930/M930,"")</f>
        <v/>
      </c>
      <c r="X930" s="57" t="str">
        <f>IF(AC930=1,S930/K930,"")</f>
        <v/>
      </c>
      <c r="Y930" s="58" t="str">
        <f>IF(W930="","",IF(W930&gt;=p_target,"Bon",IF(W930&gt;=p_alert,"À surveiller","Faible")))</f>
        <v/>
      </c>
      <c r="Z930" s="58" t="str">
        <f>IF(W930="","",IF(MIN(IF(T930="",1,T930),IF(U930="",1,U930),IF(V930="",1,V930))&gt;=1,"Aucune",IF(IF(T930="",1,T930)&lt;=MIN(IF(U930="",1,U930),IF(V930="",1,V930)),"Disponibilité",IF(IF(U930="",1,U930)&lt;=IF(V930="",1,V930),"Performance","Qualité"))))</f>
        <v/>
      </c>
      <c r="AA930" s="59" t="str">
        <f>IF(AC930=1,N(H930)*N(IFERROR(INDEX(art_cost,MATCH(E930,art_ref,0)),0)),"")</f>
        <v/>
      </c>
      <c r="AB930" s="58" t="str">
        <f>IF(COUNTA(A930:I930)=0,"",IF(N(A930)&lt;=0,"Date manquante ou invalide",IF(B930="","Équipe manquante",IF(ISNA(MATCH(B930,eq_code,0)),"Équipe inconnue",IF(INDEX(eq_check,MATCH(B930,eq_code,0))&lt;&gt;"OK","Équipe à corriger dans Paramètres",IF(C930="","Poste manquant",IF(ISNA(MATCH(C930,po_code,0)),"Poste inconnu",IF(AND(E930&lt;&gt;"",ISNA(MATCH(E930,art_ref,0))),"Article inconnu",IF(IF(E930="",FALSE,INDEX(art_check,MATCH(E930,art_ref,0))&lt;&gt;"OK"),"Article à corriger (feuille Articles)",IF(COUNTIFS(sj_date,A930,sj_eq,B930,sj_po,C930)&gt;1,"Ligne en double (même jour, équipe et poste)",IF(OR(NOT(ISNUMBER(K930)),N(K930)&lt;=0,N(K930)&gt;1440),"Temps d'ouverture invalide",IF(OR(AND(G930&lt;&gt;"",NOT(ISNUMBER(G930))),N(G930)&lt;0,N(G930)&lt;&gt;INT(N(G930)),AND(H930&lt;&gt;"",NOT(ISNUMBER(H930))),N(H930)&lt;0,N(H930)&lt;&gt;INT(N(H930)),AND(I930&lt;&gt;"",NOT(ISNUMBER(I930))),N(I930)&lt;0,N(I930)&lt;&gt;INT(N(I930))),"Quantité invalide",IF(Q930&lt;=0,"Cadence manquante (poste ou article)",IF(M930&lt;=0,"Arrêts planifiés supérieurs au temps d'ouverture",IF(O930&lt;0,"Arrêts supérieurs au temps requis",IF(AND(P930&gt;0,O930=0),"Pièces déclarées sans temps de marche",IF(AND(P930=0,O930&gt;0),"Aucune pièce déclarée",IF(P930*60/Q930&gt;O930+0.001,"Cadence dépassée : vérifiez la cadence","OK"))))))))))))))))))</f>
        <v/>
      </c>
      <c r="AC930">
        <f>IF(OR(AB930="OK",AB930="Aucune pièce déclarée",AB930="Cadence dépassée : vérifiez la cadence"),1,0)</f>
        <v>0.0</v>
      </c>
      <c r="AD930">
        <f>IF(AND(AC930=1,A930&gt;=p_from,A930&lt;=p_to),1,0)</f>
        <v>0.0</v>
      </c>
      <c r="AE930">
        <f>IF(AD930=1,IF(COUNTIFS($A$6:A930,A930,$AD$6:AD930,1)=1,1,0),0)</f>
        <v>0.0</v>
      </c>
      <c r="AF930" t="str">
        <f>IF(AE930=1,COUNTIFS(sj_first,1,sj_date,"&lt;"&amp;A930)+1,"")</f>
        <v/>
      </c>
      <c r="AG930" t="str">
        <f>IF(AND(AD930=1,N(W930)&lt;p_alert),ROUND(W930,4),"")</f>
        <v/>
      </c>
      <c r="AH930" t="str">
        <f>IF(AG930="","",COUNTIF(sj_akey,"&lt;"&amp;AG930)+COUNTIF($AG$6:AG930,AG930))</f>
        <v/>
      </c>
    </row>
    <row r="931">
      <c r="A931" s="51" t="n"/>
      <c r="B931" s="52" t="n"/>
      <c r="C931" s="52" t="n"/>
      <c r="D931" s="53" t="n"/>
      <c r="E931" s="53" t="n"/>
      <c r="F931" s="54" t="n"/>
      <c r="G931" s="54" t="n"/>
      <c r="H931" s="54" t="n"/>
      <c r="I931" s="54" t="n"/>
      <c r="J931" s="53" t="n"/>
      <c r="K931" s="55" t="str">
        <f>IF(COUNTA(A931:I931)=0,"",IF(F931="",IFERROR(INDEX(eq_dur,MATCH(B931,eq_code,0)),""),F931))</f>
        <v/>
      </c>
      <c r="L931" s="55" t="str">
        <f>IF(ISNUMBER(K931),N(IFERROR(INDEX(eq_pause,MATCH(B931,eq_code,0)),0))+SUMIFS(st_min,st_date,A931,st_eq,B931,st_po,C931,st_type,"Planifié"),"")</f>
        <v/>
      </c>
      <c r="M931" s="55" t="str">
        <f>IF(ISNUMBER(K931),K931-L931,"")</f>
        <v/>
      </c>
      <c r="N931" s="55" t="str">
        <f>IF(ISNUMBER(K931),SUMIFS(st_min,st_date,A931,st_eq,B931,st_po,C931,st_type,"Non planifié"),"")</f>
        <v/>
      </c>
      <c r="O931" s="55" t="str">
        <f>IF(ISNUMBER(K931),M931-N931,"")</f>
        <v/>
      </c>
      <c r="P931" s="55" t="str">
        <f>IF(COUNTA(A931:I931)=0,"",N(G931)+N(H931)+N(I931))</f>
        <v/>
      </c>
      <c r="Q931" s="56" t="str">
        <f>IF(COUNTA(A931:I931)=0,"",IF(N(IFERROR(INDEX(art_rate,MATCH(E931,art_ref,0)),0))&gt;0,N(IFERROR(INDEX(art_rate,MATCH(E931,art_ref,0)),0)),N(IFERROR(INDEX(po_rate,MATCH(C931,po_code,0)),0))))</f>
        <v/>
      </c>
      <c r="R931" s="55" t="str">
        <f>IF(AC931=1,P931*60/Q931,"")</f>
        <v/>
      </c>
      <c r="S931" s="55" t="str">
        <f>IF(AC931=1,N(G931)*60/Q931,"")</f>
        <v/>
      </c>
      <c r="T931" s="57" t="str">
        <f>IF(AC931=1,O931/M931,"")</f>
        <v/>
      </c>
      <c r="U931" s="57" t="str">
        <f>IF(AC931=1,IF(O931&gt;0,R931/O931,""),"")</f>
        <v/>
      </c>
      <c r="V931" s="57" t="str">
        <f>IF(AC931=1,IF(P931&gt;0,N(G931)/P931,""),"")</f>
        <v/>
      </c>
      <c r="W931" s="57" t="str">
        <f>IF(AC931=1,S931/M931,"")</f>
        <v/>
      </c>
      <c r="X931" s="57" t="str">
        <f>IF(AC931=1,S931/K931,"")</f>
        <v/>
      </c>
      <c r="Y931" s="58" t="str">
        <f>IF(W931="","",IF(W931&gt;=p_target,"Bon",IF(W931&gt;=p_alert,"À surveiller","Faible")))</f>
        <v/>
      </c>
      <c r="Z931" s="58" t="str">
        <f>IF(W931="","",IF(MIN(IF(T931="",1,T931),IF(U931="",1,U931),IF(V931="",1,V931))&gt;=1,"Aucune",IF(IF(T931="",1,T931)&lt;=MIN(IF(U931="",1,U931),IF(V931="",1,V931)),"Disponibilité",IF(IF(U931="",1,U931)&lt;=IF(V931="",1,V931),"Performance","Qualité"))))</f>
        <v/>
      </c>
      <c r="AA931" s="59" t="str">
        <f>IF(AC931=1,N(H931)*N(IFERROR(INDEX(art_cost,MATCH(E931,art_ref,0)),0)),"")</f>
        <v/>
      </c>
      <c r="AB931" s="58" t="str">
        <f>IF(COUNTA(A931:I931)=0,"",IF(N(A931)&lt;=0,"Date manquante ou invalide",IF(B931="","Équipe manquante",IF(ISNA(MATCH(B931,eq_code,0)),"Équipe inconnue",IF(INDEX(eq_check,MATCH(B931,eq_code,0))&lt;&gt;"OK","Équipe à corriger dans Paramètres",IF(C931="","Poste manquant",IF(ISNA(MATCH(C931,po_code,0)),"Poste inconnu",IF(AND(E931&lt;&gt;"",ISNA(MATCH(E931,art_ref,0))),"Article inconnu",IF(IF(E931="",FALSE,INDEX(art_check,MATCH(E931,art_ref,0))&lt;&gt;"OK"),"Article à corriger (feuille Articles)",IF(COUNTIFS(sj_date,A931,sj_eq,B931,sj_po,C931)&gt;1,"Ligne en double (même jour, équipe et poste)",IF(OR(NOT(ISNUMBER(K931)),N(K931)&lt;=0,N(K931)&gt;1440),"Temps d'ouverture invalide",IF(OR(AND(G931&lt;&gt;"",NOT(ISNUMBER(G931))),N(G931)&lt;0,N(G931)&lt;&gt;INT(N(G931)),AND(H931&lt;&gt;"",NOT(ISNUMBER(H931))),N(H931)&lt;0,N(H931)&lt;&gt;INT(N(H931)),AND(I931&lt;&gt;"",NOT(ISNUMBER(I931))),N(I931)&lt;0,N(I931)&lt;&gt;INT(N(I931))),"Quantité invalide",IF(Q931&lt;=0,"Cadence manquante (poste ou article)",IF(M931&lt;=0,"Arrêts planifiés supérieurs au temps d'ouverture",IF(O931&lt;0,"Arrêts supérieurs au temps requis",IF(AND(P931&gt;0,O931=0),"Pièces déclarées sans temps de marche",IF(AND(P931=0,O931&gt;0),"Aucune pièce déclarée",IF(P931*60/Q931&gt;O931+0.001,"Cadence dépassée : vérifiez la cadence","OK"))))))))))))))))))</f>
        <v/>
      </c>
      <c r="AC931">
        <f>IF(OR(AB931="OK",AB931="Aucune pièce déclarée",AB931="Cadence dépassée : vérifiez la cadence"),1,0)</f>
        <v>0.0</v>
      </c>
      <c r="AD931">
        <f>IF(AND(AC931=1,A931&gt;=p_from,A931&lt;=p_to),1,0)</f>
        <v>0.0</v>
      </c>
      <c r="AE931">
        <f>IF(AD931=1,IF(COUNTIFS($A$6:A931,A931,$AD$6:AD931,1)=1,1,0),0)</f>
        <v>0.0</v>
      </c>
      <c r="AF931" t="str">
        <f>IF(AE931=1,COUNTIFS(sj_first,1,sj_date,"&lt;"&amp;A931)+1,"")</f>
        <v/>
      </c>
      <c r="AG931" t="str">
        <f>IF(AND(AD931=1,N(W931)&lt;p_alert),ROUND(W931,4),"")</f>
        <v/>
      </c>
      <c r="AH931" t="str">
        <f>IF(AG931="","",COUNTIF(sj_akey,"&lt;"&amp;AG931)+COUNTIF($AG$6:AG931,AG931))</f>
        <v/>
      </c>
    </row>
    <row r="932">
      <c r="A932" s="51" t="n"/>
      <c r="B932" s="52" t="n"/>
      <c r="C932" s="52" t="n"/>
      <c r="D932" s="53" t="n"/>
      <c r="E932" s="53" t="n"/>
      <c r="F932" s="54" t="n"/>
      <c r="G932" s="54" t="n"/>
      <c r="H932" s="54" t="n"/>
      <c r="I932" s="54" t="n"/>
      <c r="J932" s="53" t="n"/>
      <c r="K932" s="55" t="str">
        <f>IF(COUNTA(A932:I932)=0,"",IF(F932="",IFERROR(INDEX(eq_dur,MATCH(B932,eq_code,0)),""),F932))</f>
        <v/>
      </c>
      <c r="L932" s="55" t="str">
        <f>IF(ISNUMBER(K932),N(IFERROR(INDEX(eq_pause,MATCH(B932,eq_code,0)),0))+SUMIFS(st_min,st_date,A932,st_eq,B932,st_po,C932,st_type,"Planifié"),"")</f>
        <v/>
      </c>
      <c r="M932" s="55" t="str">
        <f>IF(ISNUMBER(K932),K932-L932,"")</f>
        <v/>
      </c>
      <c r="N932" s="55" t="str">
        <f>IF(ISNUMBER(K932),SUMIFS(st_min,st_date,A932,st_eq,B932,st_po,C932,st_type,"Non planifié"),"")</f>
        <v/>
      </c>
      <c r="O932" s="55" t="str">
        <f>IF(ISNUMBER(K932),M932-N932,"")</f>
        <v/>
      </c>
      <c r="P932" s="55" t="str">
        <f>IF(COUNTA(A932:I932)=0,"",N(G932)+N(H932)+N(I932))</f>
        <v/>
      </c>
      <c r="Q932" s="56" t="str">
        <f>IF(COUNTA(A932:I932)=0,"",IF(N(IFERROR(INDEX(art_rate,MATCH(E932,art_ref,0)),0))&gt;0,N(IFERROR(INDEX(art_rate,MATCH(E932,art_ref,0)),0)),N(IFERROR(INDEX(po_rate,MATCH(C932,po_code,0)),0))))</f>
        <v/>
      </c>
      <c r="R932" s="55" t="str">
        <f>IF(AC932=1,P932*60/Q932,"")</f>
        <v/>
      </c>
      <c r="S932" s="55" t="str">
        <f>IF(AC932=1,N(G932)*60/Q932,"")</f>
        <v/>
      </c>
      <c r="T932" s="57" t="str">
        <f>IF(AC932=1,O932/M932,"")</f>
        <v/>
      </c>
      <c r="U932" s="57" t="str">
        <f>IF(AC932=1,IF(O932&gt;0,R932/O932,""),"")</f>
        <v/>
      </c>
      <c r="V932" s="57" t="str">
        <f>IF(AC932=1,IF(P932&gt;0,N(G932)/P932,""),"")</f>
        <v/>
      </c>
      <c r="W932" s="57" t="str">
        <f>IF(AC932=1,S932/M932,"")</f>
        <v/>
      </c>
      <c r="X932" s="57" t="str">
        <f>IF(AC932=1,S932/K932,"")</f>
        <v/>
      </c>
      <c r="Y932" s="58" t="str">
        <f>IF(W932="","",IF(W932&gt;=p_target,"Bon",IF(W932&gt;=p_alert,"À surveiller","Faible")))</f>
        <v/>
      </c>
      <c r="Z932" s="58" t="str">
        <f>IF(W932="","",IF(MIN(IF(T932="",1,T932),IF(U932="",1,U932),IF(V932="",1,V932))&gt;=1,"Aucune",IF(IF(T932="",1,T932)&lt;=MIN(IF(U932="",1,U932),IF(V932="",1,V932)),"Disponibilité",IF(IF(U932="",1,U932)&lt;=IF(V932="",1,V932),"Performance","Qualité"))))</f>
        <v/>
      </c>
      <c r="AA932" s="59" t="str">
        <f>IF(AC932=1,N(H932)*N(IFERROR(INDEX(art_cost,MATCH(E932,art_ref,0)),0)),"")</f>
        <v/>
      </c>
      <c r="AB932" s="58" t="str">
        <f>IF(COUNTA(A932:I932)=0,"",IF(N(A932)&lt;=0,"Date manquante ou invalide",IF(B932="","Équipe manquante",IF(ISNA(MATCH(B932,eq_code,0)),"Équipe inconnue",IF(INDEX(eq_check,MATCH(B932,eq_code,0))&lt;&gt;"OK","Équipe à corriger dans Paramètres",IF(C932="","Poste manquant",IF(ISNA(MATCH(C932,po_code,0)),"Poste inconnu",IF(AND(E932&lt;&gt;"",ISNA(MATCH(E932,art_ref,0))),"Article inconnu",IF(IF(E932="",FALSE,INDEX(art_check,MATCH(E932,art_ref,0))&lt;&gt;"OK"),"Article à corriger (feuille Articles)",IF(COUNTIFS(sj_date,A932,sj_eq,B932,sj_po,C932)&gt;1,"Ligne en double (même jour, équipe et poste)",IF(OR(NOT(ISNUMBER(K932)),N(K932)&lt;=0,N(K932)&gt;1440),"Temps d'ouverture invalide",IF(OR(AND(G932&lt;&gt;"",NOT(ISNUMBER(G932))),N(G932)&lt;0,N(G932)&lt;&gt;INT(N(G932)),AND(H932&lt;&gt;"",NOT(ISNUMBER(H932))),N(H932)&lt;0,N(H932)&lt;&gt;INT(N(H932)),AND(I932&lt;&gt;"",NOT(ISNUMBER(I932))),N(I932)&lt;0,N(I932)&lt;&gt;INT(N(I932))),"Quantité invalide",IF(Q932&lt;=0,"Cadence manquante (poste ou article)",IF(M932&lt;=0,"Arrêts planifiés supérieurs au temps d'ouverture",IF(O932&lt;0,"Arrêts supérieurs au temps requis",IF(AND(P932&gt;0,O932=0),"Pièces déclarées sans temps de marche",IF(AND(P932=0,O932&gt;0),"Aucune pièce déclarée",IF(P932*60/Q932&gt;O932+0.001,"Cadence dépassée : vérifiez la cadence","OK"))))))))))))))))))</f>
        <v/>
      </c>
      <c r="AC932">
        <f>IF(OR(AB932="OK",AB932="Aucune pièce déclarée",AB932="Cadence dépassée : vérifiez la cadence"),1,0)</f>
        <v>0.0</v>
      </c>
      <c r="AD932">
        <f>IF(AND(AC932=1,A932&gt;=p_from,A932&lt;=p_to),1,0)</f>
        <v>0.0</v>
      </c>
      <c r="AE932">
        <f>IF(AD932=1,IF(COUNTIFS($A$6:A932,A932,$AD$6:AD932,1)=1,1,0),0)</f>
        <v>0.0</v>
      </c>
      <c r="AF932" t="str">
        <f>IF(AE932=1,COUNTIFS(sj_first,1,sj_date,"&lt;"&amp;A932)+1,"")</f>
        <v/>
      </c>
      <c r="AG932" t="str">
        <f>IF(AND(AD932=1,N(W932)&lt;p_alert),ROUND(W932,4),"")</f>
        <v/>
      </c>
      <c r="AH932" t="str">
        <f>IF(AG932="","",COUNTIF(sj_akey,"&lt;"&amp;AG932)+COUNTIF($AG$6:AG932,AG932))</f>
        <v/>
      </c>
    </row>
    <row r="933">
      <c r="A933" s="51" t="n"/>
      <c r="B933" s="52" t="n"/>
      <c r="C933" s="52" t="n"/>
      <c r="D933" s="53" t="n"/>
      <c r="E933" s="53" t="n"/>
      <c r="F933" s="54" t="n"/>
      <c r="G933" s="54" t="n"/>
      <c r="H933" s="54" t="n"/>
      <c r="I933" s="54" t="n"/>
      <c r="J933" s="53" t="n"/>
      <c r="K933" s="55" t="str">
        <f>IF(COUNTA(A933:I933)=0,"",IF(F933="",IFERROR(INDEX(eq_dur,MATCH(B933,eq_code,0)),""),F933))</f>
        <v/>
      </c>
      <c r="L933" s="55" t="str">
        <f>IF(ISNUMBER(K933),N(IFERROR(INDEX(eq_pause,MATCH(B933,eq_code,0)),0))+SUMIFS(st_min,st_date,A933,st_eq,B933,st_po,C933,st_type,"Planifié"),"")</f>
        <v/>
      </c>
      <c r="M933" s="55" t="str">
        <f>IF(ISNUMBER(K933),K933-L933,"")</f>
        <v/>
      </c>
      <c r="N933" s="55" t="str">
        <f>IF(ISNUMBER(K933),SUMIFS(st_min,st_date,A933,st_eq,B933,st_po,C933,st_type,"Non planifié"),"")</f>
        <v/>
      </c>
      <c r="O933" s="55" t="str">
        <f>IF(ISNUMBER(K933),M933-N933,"")</f>
        <v/>
      </c>
      <c r="P933" s="55" t="str">
        <f>IF(COUNTA(A933:I933)=0,"",N(G933)+N(H933)+N(I933))</f>
        <v/>
      </c>
      <c r="Q933" s="56" t="str">
        <f>IF(COUNTA(A933:I933)=0,"",IF(N(IFERROR(INDEX(art_rate,MATCH(E933,art_ref,0)),0))&gt;0,N(IFERROR(INDEX(art_rate,MATCH(E933,art_ref,0)),0)),N(IFERROR(INDEX(po_rate,MATCH(C933,po_code,0)),0))))</f>
        <v/>
      </c>
      <c r="R933" s="55" t="str">
        <f>IF(AC933=1,P933*60/Q933,"")</f>
        <v/>
      </c>
      <c r="S933" s="55" t="str">
        <f>IF(AC933=1,N(G933)*60/Q933,"")</f>
        <v/>
      </c>
      <c r="T933" s="57" t="str">
        <f>IF(AC933=1,O933/M933,"")</f>
        <v/>
      </c>
      <c r="U933" s="57" t="str">
        <f>IF(AC933=1,IF(O933&gt;0,R933/O933,""),"")</f>
        <v/>
      </c>
      <c r="V933" s="57" t="str">
        <f>IF(AC933=1,IF(P933&gt;0,N(G933)/P933,""),"")</f>
        <v/>
      </c>
      <c r="W933" s="57" t="str">
        <f>IF(AC933=1,S933/M933,"")</f>
        <v/>
      </c>
      <c r="X933" s="57" t="str">
        <f>IF(AC933=1,S933/K933,"")</f>
        <v/>
      </c>
      <c r="Y933" s="58" t="str">
        <f>IF(W933="","",IF(W933&gt;=p_target,"Bon",IF(W933&gt;=p_alert,"À surveiller","Faible")))</f>
        <v/>
      </c>
      <c r="Z933" s="58" t="str">
        <f>IF(W933="","",IF(MIN(IF(T933="",1,T933),IF(U933="",1,U933),IF(V933="",1,V933))&gt;=1,"Aucune",IF(IF(T933="",1,T933)&lt;=MIN(IF(U933="",1,U933),IF(V933="",1,V933)),"Disponibilité",IF(IF(U933="",1,U933)&lt;=IF(V933="",1,V933),"Performance","Qualité"))))</f>
        <v/>
      </c>
      <c r="AA933" s="59" t="str">
        <f>IF(AC933=1,N(H933)*N(IFERROR(INDEX(art_cost,MATCH(E933,art_ref,0)),0)),"")</f>
        <v/>
      </c>
      <c r="AB933" s="58" t="str">
        <f>IF(COUNTA(A933:I933)=0,"",IF(N(A933)&lt;=0,"Date manquante ou invalide",IF(B933="","Équipe manquante",IF(ISNA(MATCH(B933,eq_code,0)),"Équipe inconnue",IF(INDEX(eq_check,MATCH(B933,eq_code,0))&lt;&gt;"OK","Équipe à corriger dans Paramètres",IF(C933="","Poste manquant",IF(ISNA(MATCH(C933,po_code,0)),"Poste inconnu",IF(AND(E933&lt;&gt;"",ISNA(MATCH(E933,art_ref,0))),"Article inconnu",IF(IF(E933="",FALSE,INDEX(art_check,MATCH(E933,art_ref,0))&lt;&gt;"OK"),"Article à corriger (feuille Articles)",IF(COUNTIFS(sj_date,A933,sj_eq,B933,sj_po,C933)&gt;1,"Ligne en double (même jour, équipe et poste)",IF(OR(NOT(ISNUMBER(K933)),N(K933)&lt;=0,N(K933)&gt;1440),"Temps d'ouverture invalide",IF(OR(AND(G933&lt;&gt;"",NOT(ISNUMBER(G933))),N(G933)&lt;0,N(G933)&lt;&gt;INT(N(G933)),AND(H933&lt;&gt;"",NOT(ISNUMBER(H933))),N(H933)&lt;0,N(H933)&lt;&gt;INT(N(H933)),AND(I933&lt;&gt;"",NOT(ISNUMBER(I933))),N(I933)&lt;0,N(I933)&lt;&gt;INT(N(I933))),"Quantité invalide",IF(Q933&lt;=0,"Cadence manquante (poste ou article)",IF(M933&lt;=0,"Arrêts planifiés supérieurs au temps d'ouverture",IF(O933&lt;0,"Arrêts supérieurs au temps requis",IF(AND(P933&gt;0,O933=0),"Pièces déclarées sans temps de marche",IF(AND(P933=0,O933&gt;0),"Aucune pièce déclarée",IF(P933*60/Q933&gt;O933+0.001,"Cadence dépassée : vérifiez la cadence","OK"))))))))))))))))))</f>
        <v/>
      </c>
      <c r="AC933">
        <f>IF(OR(AB933="OK",AB933="Aucune pièce déclarée",AB933="Cadence dépassée : vérifiez la cadence"),1,0)</f>
        <v>0.0</v>
      </c>
      <c r="AD933">
        <f>IF(AND(AC933=1,A933&gt;=p_from,A933&lt;=p_to),1,0)</f>
        <v>0.0</v>
      </c>
      <c r="AE933">
        <f>IF(AD933=1,IF(COUNTIFS($A$6:A933,A933,$AD$6:AD933,1)=1,1,0),0)</f>
        <v>0.0</v>
      </c>
      <c r="AF933" t="str">
        <f>IF(AE933=1,COUNTIFS(sj_first,1,sj_date,"&lt;"&amp;A933)+1,"")</f>
        <v/>
      </c>
      <c r="AG933" t="str">
        <f>IF(AND(AD933=1,N(W933)&lt;p_alert),ROUND(W933,4),"")</f>
        <v/>
      </c>
      <c r="AH933" t="str">
        <f>IF(AG933="","",COUNTIF(sj_akey,"&lt;"&amp;AG933)+COUNTIF($AG$6:AG933,AG933))</f>
        <v/>
      </c>
    </row>
    <row r="934">
      <c r="A934" s="51" t="n"/>
      <c r="B934" s="52" t="n"/>
      <c r="C934" s="52" t="n"/>
      <c r="D934" s="53" t="n"/>
      <c r="E934" s="53" t="n"/>
      <c r="F934" s="54" t="n"/>
      <c r="G934" s="54" t="n"/>
      <c r="H934" s="54" t="n"/>
      <c r="I934" s="54" t="n"/>
      <c r="J934" s="53" t="n"/>
      <c r="K934" s="55" t="str">
        <f>IF(COUNTA(A934:I934)=0,"",IF(F934="",IFERROR(INDEX(eq_dur,MATCH(B934,eq_code,0)),""),F934))</f>
        <v/>
      </c>
      <c r="L934" s="55" t="str">
        <f>IF(ISNUMBER(K934),N(IFERROR(INDEX(eq_pause,MATCH(B934,eq_code,0)),0))+SUMIFS(st_min,st_date,A934,st_eq,B934,st_po,C934,st_type,"Planifié"),"")</f>
        <v/>
      </c>
      <c r="M934" s="55" t="str">
        <f>IF(ISNUMBER(K934),K934-L934,"")</f>
        <v/>
      </c>
      <c r="N934" s="55" t="str">
        <f>IF(ISNUMBER(K934),SUMIFS(st_min,st_date,A934,st_eq,B934,st_po,C934,st_type,"Non planifié"),"")</f>
        <v/>
      </c>
      <c r="O934" s="55" t="str">
        <f>IF(ISNUMBER(K934),M934-N934,"")</f>
        <v/>
      </c>
      <c r="P934" s="55" t="str">
        <f>IF(COUNTA(A934:I934)=0,"",N(G934)+N(H934)+N(I934))</f>
        <v/>
      </c>
      <c r="Q934" s="56" t="str">
        <f>IF(COUNTA(A934:I934)=0,"",IF(N(IFERROR(INDEX(art_rate,MATCH(E934,art_ref,0)),0))&gt;0,N(IFERROR(INDEX(art_rate,MATCH(E934,art_ref,0)),0)),N(IFERROR(INDEX(po_rate,MATCH(C934,po_code,0)),0))))</f>
        <v/>
      </c>
      <c r="R934" s="55" t="str">
        <f>IF(AC934=1,P934*60/Q934,"")</f>
        <v/>
      </c>
      <c r="S934" s="55" t="str">
        <f>IF(AC934=1,N(G934)*60/Q934,"")</f>
        <v/>
      </c>
      <c r="T934" s="57" t="str">
        <f>IF(AC934=1,O934/M934,"")</f>
        <v/>
      </c>
      <c r="U934" s="57" t="str">
        <f>IF(AC934=1,IF(O934&gt;0,R934/O934,""),"")</f>
        <v/>
      </c>
      <c r="V934" s="57" t="str">
        <f>IF(AC934=1,IF(P934&gt;0,N(G934)/P934,""),"")</f>
        <v/>
      </c>
      <c r="W934" s="57" t="str">
        <f>IF(AC934=1,S934/M934,"")</f>
        <v/>
      </c>
      <c r="X934" s="57" t="str">
        <f>IF(AC934=1,S934/K934,"")</f>
        <v/>
      </c>
      <c r="Y934" s="58" t="str">
        <f>IF(W934="","",IF(W934&gt;=p_target,"Bon",IF(W934&gt;=p_alert,"À surveiller","Faible")))</f>
        <v/>
      </c>
      <c r="Z934" s="58" t="str">
        <f>IF(W934="","",IF(MIN(IF(T934="",1,T934),IF(U934="",1,U934),IF(V934="",1,V934))&gt;=1,"Aucune",IF(IF(T934="",1,T934)&lt;=MIN(IF(U934="",1,U934),IF(V934="",1,V934)),"Disponibilité",IF(IF(U934="",1,U934)&lt;=IF(V934="",1,V934),"Performance","Qualité"))))</f>
        <v/>
      </c>
      <c r="AA934" s="59" t="str">
        <f>IF(AC934=1,N(H934)*N(IFERROR(INDEX(art_cost,MATCH(E934,art_ref,0)),0)),"")</f>
        <v/>
      </c>
      <c r="AB934" s="58" t="str">
        <f>IF(COUNTA(A934:I934)=0,"",IF(N(A934)&lt;=0,"Date manquante ou invalide",IF(B934="","Équipe manquante",IF(ISNA(MATCH(B934,eq_code,0)),"Équipe inconnue",IF(INDEX(eq_check,MATCH(B934,eq_code,0))&lt;&gt;"OK","Équipe à corriger dans Paramètres",IF(C934="","Poste manquant",IF(ISNA(MATCH(C934,po_code,0)),"Poste inconnu",IF(AND(E934&lt;&gt;"",ISNA(MATCH(E934,art_ref,0))),"Article inconnu",IF(IF(E934="",FALSE,INDEX(art_check,MATCH(E934,art_ref,0))&lt;&gt;"OK"),"Article à corriger (feuille Articles)",IF(COUNTIFS(sj_date,A934,sj_eq,B934,sj_po,C934)&gt;1,"Ligne en double (même jour, équipe et poste)",IF(OR(NOT(ISNUMBER(K934)),N(K934)&lt;=0,N(K934)&gt;1440),"Temps d'ouverture invalide",IF(OR(AND(G934&lt;&gt;"",NOT(ISNUMBER(G934))),N(G934)&lt;0,N(G934)&lt;&gt;INT(N(G934)),AND(H934&lt;&gt;"",NOT(ISNUMBER(H934))),N(H934)&lt;0,N(H934)&lt;&gt;INT(N(H934)),AND(I934&lt;&gt;"",NOT(ISNUMBER(I934))),N(I934)&lt;0,N(I934)&lt;&gt;INT(N(I934))),"Quantité invalide",IF(Q934&lt;=0,"Cadence manquante (poste ou article)",IF(M934&lt;=0,"Arrêts planifiés supérieurs au temps d'ouverture",IF(O934&lt;0,"Arrêts supérieurs au temps requis",IF(AND(P934&gt;0,O934=0),"Pièces déclarées sans temps de marche",IF(AND(P934=0,O934&gt;0),"Aucune pièce déclarée",IF(P934*60/Q934&gt;O934+0.001,"Cadence dépassée : vérifiez la cadence","OK"))))))))))))))))))</f>
        <v/>
      </c>
      <c r="AC934">
        <f>IF(OR(AB934="OK",AB934="Aucune pièce déclarée",AB934="Cadence dépassée : vérifiez la cadence"),1,0)</f>
        <v>0.0</v>
      </c>
      <c r="AD934">
        <f>IF(AND(AC934=1,A934&gt;=p_from,A934&lt;=p_to),1,0)</f>
        <v>0.0</v>
      </c>
      <c r="AE934">
        <f>IF(AD934=1,IF(COUNTIFS($A$6:A934,A934,$AD$6:AD934,1)=1,1,0),0)</f>
        <v>0.0</v>
      </c>
      <c r="AF934" t="str">
        <f>IF(AE934=1,COUNTIFS(sj_first,1,sj_date,"&lt;"&amp;A934)+1,"")</f>
        <v/>
      </c>
      <c r="AG934" t="str">
        <f>IF(AND(AD934=1,N(W934)&lt;p_alert),ROUND(W934,4),"")</f>
        <v/>
      </c>
      <c r="AH934" t="str">
        <f>IF(AG934="","",COUNTIF(sj_akey,"&lt;"&amp;AG934)+COUNTIF($AG$6:AG934,AG934))</f>
        <v/>
      </c>
    </row>
    <row r="935">
      <c r="A935" s="51" t="n"/>
      <c r="B935" s="52" t="n"/>
      <c r="C935" s="52" t="n"/>
      <c r="D935" s="53" t="n"/>
      <c r="E935" s="53" t="n"/>
      <c r="F935" s="54" t="n"/>
      <c r="G935" s="54" t="n"/>
      <c r="H935" s="54" t="n"/>
      <c r="I935" s="54" t="n"/>
      <c r="J935" s="53" t="n"/>
      <c r="K935" s="55" t="str">
        <f>IF(COUNTA(A935:I935)=0,"",IF(F935="",IFERROR(INDEX(eq_dur,MATCH(B935,eq_code,0)),""),F935))</f>
        <v/>
      </c>
      <c r="L935" s="55" t="str">
        <f>IF(ISNUMBER(K935),N(IFERROR(INDEX(eq_pause,MATCH(B935,eq_code,0)),0))+SUMIFS(st_min,st_date,A935,st_eq,B935,st_po,C935,st_type,"Planifié"),"")</f>
        <v/>
      </c>
      <c r="M935" s="55" t="str">
        <f>IF(ISNUMBER(K935),K935-L935,"")</f>
        <v/>
      </c>
      <c r="N935" s="55" t="str">
        <f>IF(ISNUMBER(K935),SUMIFS(st_min,st_date,A935,st_eq,B935,st_po,C935,st_type,"Non planifié"),"")</f>
        <v/>
      </c>
      <c r="O935" s="55" t="str">
        <f>IF(ISNUMBER(K935),M935-N935,"")</f>
        <v/>
      </c>
      <c r="P935" s="55" t="str">
        <f>IF(COUNTA(A935:I935)=0,"",N(G935)+N(H935)+N(I935))</f>
        <v/>
      </c>
      <c r="Q935" s="56" t="str">
        <f>IF(COUNTA(A935:I935)=0,"",IF(N(IFERROR(INDEX(art_rate,MATCH(E935,art_ref,0)),0))&gt;0,N(IFERROR(INDEX(art_rate,MATCH(E935,art_ref,0)),0)),N(IFERROR(INDEX(po_rate,MATCH(C935,po_code,0)),0))))</f>
        <v/>
      </c>
      <c r="R935" s="55" t="str">
        <f>IF(AC935=1,P935*60/Q935,"")</f>
        <v/>
      </c>
      <c r="S935" s="55" t="str">
        <f>IF(AC935=1,N(G935)*60/Q935,"")</f>
        <v/>
      </c>
      <c r="T935" s="57" t="str">
        <f>IF(AC935=1,O935/M935,"")</f>
        <v/>
      </c>
      <c r="U935" s="57" t="str">
        <f>IF(AC935=1,IF(O935&gt;0,R935/O935,""),"")</f>
        <v/>
      </c>
      <c r="V935" s="57" t="str">
        <f>IF(AC935=1,IF(P935&gt;0,N(G935)/P935,""),"")</f>
        <v/>
      </c>
      <c r="W935" s="57" t="str">
        <f>IF(AC935=1,S935/M935,"")</f>
        <v/>
      </c>
      <c r="X935" s="57" t="str">
        <f>IF(AC935=1,S935/K935,"")</f>
        <v/>
      </c>
      <c r="Y935" s="58" t="str">
        <f>IF(W935="","",IF(W935&gt;=p_target,"Bon",IF(W935&gt;=p_alert,"À surveiller","Faible")))</f>
        <v/>
      </c>
      <c r="Z935" s="58" t="str">
        <f>IF(W935="","",IF(MIN(IF(T935="",1,T935),IF(U935="",1,U935),IF(V935="",1,V935))&gt;=1,"Aucune",IF(IF(T935="",1,T935)&lt;=MIN(IF(U935="",1,U935),IF(V935="",1,V935)),"Disponibilité",IF(IF(U935="",1,U935)&lt;=IF(V935="",1,V935),"Performance","Qualité"))))</f>
        <v/>
      </c>
      <c r="AA935" s="59" t="str">
        <f>IF(AC935=1,N(H935)*N(IFERROR(INDEX(art_cost,MATCH(E935,art_ref,0)),0)),"")</f>
        <v/>
      </c>
      <c r="AB935" s="58" t="str">
        <f>IF(COUNTA(A935:I935)=0,"",IF(N(A935)&lt;=0,"Date manquante ou invalide",IF(B935="","Équipe manquante",IF(ISNA(MATCH(B935,eq_code,0)),"Équipe inconnue",IF(INDEX(eq_check,MATCH(B935,eq_code,0))&lt;&gt;"OK","Équipe à corriger dans Paramètres",IF(C935="","Poste manquant",IF(ISNA(MATCH(C935,po_code,0)),"Poste inconnu",IF(AND(E935&lt;&gt;"",ISNA(MATCH(E935,art_ref,0))),"Article inconnu",IF(IF(E935="",FALSE,INDEX(art_check,MATCH(E935,art_ref,0))&lt;&gt;"OK"),"Article à corriger (feuille Articles)",IF(COUNTIFS(sj_date,A935,sj_eq,B935,sj_po,C935)&gt;1,"Ligne en double (même jour, équipe et poste)",IF(OR(NOT(ISNUMBER(K935)),N(K935)&lt;=0,N(K935)&gt;1440),"Temps d'ouverture invalide",IF(OR(AND(G935&lt;&gt;"",NOT(ISNUMBER(G935))),N(G935)&lt;0,N(G935)&lt;&gt;INT(N(G935)),AND(H935&lt;&gt;"",NOT(ISNUMBER(H935))),N(H935)&lt;0,N(H935)&lt;&gt;INT(N(H935)),AND(I935&lt;&gt;"",NOT(ISNUMBER(I935))),N(I935)&lt;0,N(I935)&lt;&gt;INT(N(I935))),"Quantité invalide",IF(Q935&lt;=0,"Cadence manquante (poste ou article)",IF(M935&lt;=0,"Arrêts planifiés supérieurs au temps d'ouverture",IF(O935&lt;0,"Arrêts supérieurs au temps requis",IF(AND(P935&gt;0,O935=0),"Pièces déclarées sans temps de marche",IF(AND(P935=0,O935&gt;0),"Aucune pièce déclarée",IF(P935*60/Q935&gt;O935+0.001,"Cadence dépassée : vérifiez la cadence","OK"))))))))))))))))))</f>
        <v/>
      </c>
      <c r="AC935">
        <f>IF(OR(AB935="OK",AB935="Aucune pièce déclarée",AB935="Cadence dépassée : vérifiez la cadence"),1,0)</f>
        <v>0.0</v>
      </c>
      <c r="AD935">
        <f>IF(AND(AC935=1,A935&gt;=p_from,A935&lt;=p_to),1,0)</f>
        <v>0.0</v>
      </c>
      <c r="AE935">
        <f>IF(AD935=1,IF(COUNTIFS($A$6:A935,A935,$AD$6:AD935,1)=1,1,0),0)</f>
        <v>0.0</v>
      </c>
      <c r="AF935" t="str">
        <f>IF(AE935=1,COUNTIFS(sj_first,1,sj_date,"&lt;"&amp;A935)+1,"")</f>
        <v/>
      </c>
      <c r="AG935" t="str">
        <f>IF(AND(AD935=1,N(W935)&lt;p_alert),ROUND(W935,4),"")</f>
        <v/>
      </c>
      <c r="AH935" t="str">
        <f>IF(AG935="","",COUNTIF(sj_akey,"&lt;"&amp;AG935)+COUNTIF($AG$6:AG935,AG935))</f>
        <v/>
      </c>
    </row>
    <row r="936">
      <c r="A936" s="51" t="n"/>
      <c r="B936" s="52" t="n"/>
      <c r="C936" s="52" t="n"/>
      <c r="D936" s="53" t="n"/>
      <c r="E936" s="53" t="n"/>
      <c r="F936" s="54" t="n"/>
      <c r="G936" s="54" t="n"/>
      <c r="H936" s="54" t="n"/>
      <c r="I936" s="54" t="n"/>
      <c r="J936" s="53" t="n"/>
      <c r="K936" s="55" t="str">
        <f>IF(COUNTA(A936:I936)=0,"",IF(F936="",IFERROR(INDEX(eq_dur,MATCH(B936,eq_code,0)),""),F936))</f>
        <v/>
      </c>
      <c r="L936" s="55" t="str">
        <f>IF(ISNUMBER(K936),N(IFERROR(INDEX(eq_pause,MATCH(B936,eq_code,0)),0))+SUMIFS(st_min,st_date,A936,st_eq,B936,st_po,C936,st_type,"Planifié"),"")</f>
        <v/>
      </c>
      <c r="M936" s="55" t="str">
        <f>IF(ISNUMBER(K936),K936-L936,"")</f>
        <v/>
      </c>
      <c r="N936" s="55" t="str">
        <f>IF(ISNUMBER(K936),SUMIFS(st_min,st_date,A936,st_eq,B936,st_po,C936,st_type,"Non planifié"),"")</f>
        <v/>
      </c>
      <c r="O936" s="55" t="str">
        <f>IF(ISNUMBER(K936),M936-N936,"")</f>
        <v/>
      </c>
      <c r="P936" s="55" t="str">
        <f>IF(COUNTA(A936:I936)=0,"",N(G936)+N(H936)+N(I936))</f>
        <v/>
      </c>
      <c r="Q936" s="56" t="str">
        <f>IF(COUNTA(A936:I936)=0,"",IF(N(IFERROR(INDEX(art_rate,MATCH(E936,art_ref,0)),0))&gt;0,N(IFERROR(INDEX(art_rate,MATCH(E936,art_ref,0)),0)),N(IFERROR(INDEX(po_rate,MATCH(C936,po_code,0)),0))))</f>
        <v/>
      </c>
      <c r="R936" s="55" t="str">
        <f>IF(AC936=1,P936*60/Q936,"")</f>
        <v/>
      </c>
      <c r="S936" s="55" t="str">
        <f>IF(AC936=1,N(G936)*60/Q936,"")</f>
        <v/>
      </c>
      <c r="T936" s="57" t="str">
        <f>IF(AC936=1,O936/M936,"")</f>
        <v/>
      </c>
      <c r="U936" s="57" t="str">
        <f>IF(AC936=1,IF(O936&gt;0,R936/O936,""),"")</f>
        <v/>
      </c>
      <c r="V936" s="57" t="str">
        <f>IF(AC936=1,IF(P936&gt;0,N(G936)/P936,""),"")</f>
        <v/>
      </c>
      <c r="W936" s="57" t="str">
        <f>IF(AC936=1,S936/M936,"")</f>
        <v/>
      </c>
      <c r="X936" s="57" t="str">
        <f>IF(AC936=1,S936/K936,"")</f>
        <v/>
      </c>
      <c r="Y936" s="58" t="str">
        <f>IF(W936="","",IF(W936&gt;=p_target,"Bon",IF(W936&gt;=p_alert,"À surveiller","Faible")))</f>
        <v/>
      </c>
      <c r="Z936" s="58" t="str">
        <f>IF(W936="","",IF(MIN(IF(T936="",1,T936),IF(U936="",1,U936),IF(V936="",1,V936))&gt;=1,"Aucune",IF(IF(T936="",1,T936)&lt;=MIN(IF(U936="",1,U936),IF(V936="",1,V936)),"Disponibilité",IF(IF(U936="",1,U936)&lt;=IF(V936="",1,V936),"Performance","Qualité"))))</f>
        <v/>
      </c>
      <c r="AA936" s="59" t="str">
        <f>IF(AC936=1,N(H936)*N(IFERROR(INDEX(art_cost,MATCH(E936,art_ref,0)),0)),"")</f>
        <v/>
      </c>
      <c r="AB936" s="58" t="str">
        <f>IF(COUNTA(A936:I936)=0,"",IF(N(A936)&lt;=0,"Date manquante ou invalide",IF(B936="","Équipe manquante",IF(ISNA(MATCH(B936,eq_code,0)),"Équipe inconnue",IF(INDEX(eq_check,MATCH(B936,eq_code,0))&lt;&gt;"OK","Équipe à corriger dans Paramètres",IF(C936="","Poste manquant",IF(ISNA(MATCH(C936,po_code,0)),"Poste inconnu",IF(AND(E936&lt;&gt;"",ISNA(MATCH(E936,art_ref,0))),"Article inconnu",IF(IF(E936="",FALSE,INDEX(art_check,MATCH(E936,art_ref,0))&lt;&gt;"OK"),"Article à corriger (feuille Articles)",IF(COUNTIFS(sj_date,A936,sj_eq,B936,sj_po,C936)&gt;1,"Ligne en double (même jour, équipe et poste)",IF(OR(NOT(ISNUMBER(K936)),N(K936)&lt;=0,N(K936)&gt;1440),"Temps d'ouverture invalide",IF(OR(AND(G936&lt;&gt;"",NOT(ISNUMBER(G936))),N(G936)&lt;0,N(G936)&lt;&gt;INT(N(G936)),AND(H936&lt;&gt;"",NOT(ISNUMBER(H936))),N(H936)&lt;0,N(H936)&lt;&gt;INT(N(H936)),AND(I936&lt;&gt;"",NOT(ISNUMBER(I936))),N(I936)&lt;0,N(I936)&lt;&gt;INT(N(I936))),"Quantité invalide",IF(Q936&lt;=0,"Cadence manquante (poste ou article)",IF(M936&lt;=0,"Arrêts planifiés supérieurs au temps d'ouverture",IF(O936&lt;0,"Arrêts supérieurs au temps requis",IF(AND(P936&gt;0,O936=0),"Pièces déclarées sans temps de marche",IF(AND(P936=0,O936&gt;0),"Aucune pièce déclarée",IF(P936*60/Q936&gt;O936+0.001,"Cadence dépassée : vérifiez la cadence","OK"))))))))))))))))))</f>
        <v/>
      </c>
      <c r="AC936">
        <f>IF(OR(AB936="OK",AB936="Aucune pièce déclarée",AB936="Cadence dépassée : vérifiez la cadence"),1,0)</f>
        <v>0.0</v>
      </c>
      <c r="AD936">
        <f>IF(AND(AC936=1,A936&gt;=p_from,A936&lt;=p_to),1,0)</f>
        <v>0.0</v>
      </c>
      <c r="AE936">
        <f>IF(AD936=1,IF(COUNTIFS($A$6:A936,A936,$AD$6:AD936,1)=1,1,0),0)</f>
        <v>0.0</v>
      </c>
      <c r="AF936" t="str">
        <f>IF(AE936=1,COUNTIFS(sj_first,1,sj_date,"&lt;"&amp;A936)+1,"")</f>
        <v/>
      </c>
      <c r="AG936" t="str">
        <f>IF(AND(AD936=1,N(W936)&lt;p_alert),ROUND(W936,4),"")</f>
        <v/>
      </c>
      <c r="AH936" t="str">
        <f>IF(AG936="","",COUNTIF(sj_akey,"&lt;"&amp;AG936)+COUNTIF($AG$6:AG936,AG936))</f>
        <v/>
      </c>
    </row>
    <row r="937">
      <c r="A937" s="51" t="n"/>
      <c r="B937" s="52" t="n"/>
      <c r="C937" s="52" t="n"/>
      <c r="D937" s="53" t="n"/>
      <c r="E937" s="53" t="n"/>
      <c r="F937" s="54" t="n"/>
      <c r="G937" s="54" t="n"/>
      <c r="H937" s="54" t="n"/>
      <c r="I937" s="54" t="n"/>
      <c r="J937" s="53" t="n"/>
      <c r="K937" s="55" t="str">
        <f>IF(COUNTA(A937:I937)=0,"",IF(F937="",IFERROR(INDEX(eq_dur,MATCH(B937,eq_code,0)),""),F937))</f>
        <v/>
      </c>
      <c r="L937" s="55" t="str">
        <f>IF(ISNUMBER(K937),N(IFERROR(INDEX(eq_pause,MATCH(B937,eq_code,0)),0))+SUMIFS(st_min,st_date,A937,st_eq,B937,st_po,C937,st_type,"Planifié"),"")</f>
        <v/>
      </c>
      <c r="M937" s="55" t="str">
        <f>IF(ISNUMBER(K937),K937-L937,"")</f>
        <v/>
      </c>
      <c r="N937" s="55" t="str">
        <f>IF(ISNUMBER(K937),SUMIFS(st_min,st_date,A937,st_eq,B937,st_po,C937,st_type,"Non planifié"),"")</f>
        <v/>
      </c>
      <c r="O937" s="55" t="str">
        <f>IF(ISNUMBER(K937),M937-N937,"")</f>
        <v/>
      </c>
      <c r="P937" s="55" t="str">
        <f>IF(COUNTA(A937:I937)=0,"",N(G937)+N(H937)+N(I937))</f>
        <v/>
      </c>
      <c r="Q937" s="56" t="str">
        <f>IF(COUNTA(A937:I937)=0,"",IF(N(IFERROR(INDEX(art_rate,MATCH(E937,art_ref,0)),0))&gt;0,N(IFERROR(INDEX(art_rate,MATCH(E937,art_ref,0)),0)),N(IFERROR(INDEX(po_rate,MATCH(C937,po_code,0)),0))))</f>
        <v/>
      </c>
      <c r="R937" s="55" t="str">
        <f>IF(AC937=1,P937*60/Q937,"")</f>
        <v/>
      </c>
      <c r="S937" s="55" t="str">
        <f>IF(AC937=1,N(G937)*60/Q937,"")</f>
        <v/>
      </c>
      <c r="T937" s="57" t="str">
        <f>IF(AC937=1,O937/M937,"")</f>
        <v/>
      </c>
      <c r="U937" s="57" t="str">
        <f>IF(AC937=1,IF(O937&gt;0,R937/O937,""),"")</f>
        <v/>
      </c>
      <c r="V937" s="57" t="str">
        <f>IF(AC937=1,IF(P937&gt;0,N(G937)/P937,""),"")</f>
        <v/>
      </c>
      <c r="W937" s="57" t="str">
        <f>IF(AC937=1,S937/M937,"")</f>
        <v/>
      </c>
      <c r="X937" s="57" t="str">
        <f>IF(AC937=1,S937/K937,"")</f>
        <v/>
      </c>
      <c r="Y937" s="58" t="str">
        <f>IF(W937="","",IF(W937&gt;=p_target,"Bon",IF(W937&gt;=p_alert,"À surveiller","Faible")))</f>
        <v/>
      </c>
      <c r="Z937" s="58" t="str">
        <f>IF(W937="","",IF(MIN(IF(T937="",1,T937),IF(U937="",1,U937),IF(V937="",1,V937))&gt;=1,"Aucune",IF(IF(T937="",1,T937)&lt;=MIN(IF(U937="",1,U937),IF(V937="",1,V937)),"Disponibilité",IF(IF(U937="",1,U937)&lt;=IF(V937="",1,V937),"Performance","Qualité"))))</f>
        <v/>
      </c>
      <c r="AA937" s="59" t="str">
        <f>IF(AC937=1,N(H937)*N(IFERROR(INDEX(art_cost,MATCH(E937,art_ref,0)),0)),"")</f>
        <v/>
      </c>
      <c r="AB937" s="58" t="str">
        <f>IF(COUNTA(A937:I937)=0,"",IF(N(A937)&lt;=0,"Date manquante ou invalide",IF(B937="","Équipe manquante",IF(ISNA(MATCH(B937,eq_code,0)),"Équipe inconnue",IF(INDEX(eq_check,MATCH(B937,eq_code,0))&lt;&gt;"OK","Équipe à corriger dans Paramètres",IF(C937="","Poste manquant",IF(ISNA(MATCH(C937,po_code,0)),"Poste inconnu",IF(AND(E937&lt;&gt;"",ISNA(MATCH(E937,art_ref,0))),"Article inconnu",IF(IF(E937="",FALSE,INDEX(art_check,MATCH(E937,art_ref,0))&lt;&gt;"OK"),"Article à corriger (feuille Articles)",IF(COUNTIFS(sj_date,A937,sj_eq,B937,sj_po,C937)&gt;1,"Ligne en double (même jour, équipe et poste)",IF(OR(NOT(ISNUMBER(K937)),N(K937)&lt;=0,N(K937)&gt;1440),"Temps d'ouverture invalide",IF(OR(AND(G937&lt;&gt;"",NOT(ISNUMBER(G937))),N(G937)&lt;0,N(G937)&lt;&gt;INT(N(G937)),AND(H937&lt;&gt;"",NOT(ISNUMBER(H937))),N(H937)&lt;0,N(H937)&lt;&gt;INT(N(H937)),AND(I937&lt;&gt;"",NOT(ISNUMBER(I937))),N(I937)&lt;0,N(I937)&lt;&gt;INT(N(I937))),"Quantité invalide",IF(Q937&lt;=0,"Cadence manquante (poste ou article)",IF(M937&lt;=0,"Arrêts planifiés supérieurs au temps d'ouverture",IF(O937&lt;0,"Arrêts supérieurs au temps requis",IF(AND(P937&gt;0,O937=0),"Pièces déclarées sans temps de marche",IF(AND(P937=0,O937&gt;0),"Aucune pièce déclarée",IF(P937*60/Q937&gt;O937+0.001,"Cadence dépassée : vérifiez la cadence","OK"))))))))))))))))))</f>
        <v/>
      </c>
      <c r="AC937">
        <f>IF(OR(AB937="OK",AB937="Aucune pièce déclarée",AB937="Cadence dépassée : vérifiez la cadence"),1,0)</f>
        <v>0.0</v>
      </c>
      <c r="AD937">
        <f>IF(AND(AC937=1,A937&gt;=p_from,A937&lt;=p_to),1,0)</f>
        <v>0.0</v>
      </c>
      <c r="AE937">
        <f>IF(AD937=1,IF(COUNTIFS($A$6:A937,A937,$AD$6:AD937,1)=1,1,0),0)</f>
        <v>0.0</v>
      </c>
      <c r="AF937" t="str">
        <f>IF(AE937=1,COUNTIFS(sj_first,1,sj_date,"&lt;"&amp;A937)+1,"")</f>
        <v/>
      </c>
      <c r="AG937" t="str">
        <f>IF(AND(AD937=1,N(W937)&lt;p_alert),ROUND(W937,4),"")</f>
        <v/>
      </c>
      <c r="AH937" t="str">
        <f>IF(AG937="","",COUNTIF(sj_akey,"&lt;"&amp;AG937)+COUNTIF($AG$6:AG937,AG937))</f>
        <v/>
      </c>
    </row>
    <row r="938">
      <c r="A938" s="51" t="n"/>
      <c r="B938" s="52" t="n"/>
      <c r="C938" s="52" t="n"/>
      <c r="D938" s="53" t="n"/>
      <c r="E938" s="53" t="n"/>
      <c r="F938" s="54" t="n"/>
      <c r="G938" s="54" t="n"/>
      <c r="H938" s="54" t="n"/>
      <c r="I938" s="54" t="n"/>
      <c r="J938" s="53" t="n"/>
      <c r="K938" s="55" t="str">
        <f>IF(COUNTA(A938:I938)=0,"",IF(F938="",IFERROR(INDEX(eq_dur,MATCH(B938,eq_code,0)),""),F938))</f>
        <v/>
      </c>
      <c r="L938" s="55" t="str">
        <f>IF(ISNUMBER(K938),N(IFERROR(INDEX(eq_pause,MATCH(B938,eq_code,0)),0))+SUMIFS(st_min,st_date,A938,st_eq,B938,st_po,C938,st_type,"Planifié"),"")</f>
        <v/>
      </c>
      <c r="M938" s="55" t="str">
        <f>IF(ISNUMBER(K938),K938-L938,"")</f>
        <v/>
      </c>
      <c r="N938" s="55" t="str">
        <f>IF(ISNUMBER(K938),SUMIFS(st_min,st_date,A938,st_eq,B938,st_po,C938,st_type,"Non planifié"),"")</f>
        <v/>
      </c>
      <c r="O938" s="55" t="str">
        <f>IF(ISNUMBER(K938),M938-N938,"")</f>
        <v/>
      </c>
      <c r="P938" s="55" t="str">
        <f>IF(COUNTA(A938:I938)=0,"",N(G938)+N(H938)+N(I938))</f>
        <v/>
      </c>
      <c r="Q938" s="56" t="str">
        <f>IF(COUNTA(A938:I938)=0,"",IF(N(IFERROR(INDEX(art_rate,MATCH(E938,art_ref,0)),0))&gt;0,N(IFERROR(INDEX(art_rate,MATCH(E938,art_ref,0)),0)),N(IFERROR(INDEX(po_rate,MATCH(C938,po_code,0)),0))))</f>
        <v/>
      </c>
      <c r="R938" s="55" t="str">
        <f>IF(AC938=1,P938*60/Q938,"")</f>
        <v/>
      </c>
      <c r="S938" s="55" t="str">
        <f>IF(AC938=1,N(G938)*60/Q938,"")</f>
        <v/>
      </c>
      <c r="T938" s="57" t="str">
        <f>IF(AC938=1,O938/M938,"")</f>
        <v/>
      </c>
      <c r="U938" s="57" t="str">
        <f>IF(AC938=1,IF(O938&gt;0,R938/O938,""),"")</f>
        <v/>
      </c>
      <c r="V938" s="57" t="str">
        <f>IF(AC938=1,IF(P938&gt;0,N(G938)/P938,""),"")</f>
        <v/>
      </c>
      <c r="W938" s="57" t="str">
        <f>IF(AC938=1,S938/M938,"")</f>
        <v/>
      </c>
      <c r="X938" s="57" t="str">
        <f>IF(AC938=1,S938/K938,"")</f>
        <v/>
      </c>
      <c r="Y938" s="58" t="str">
        <f>IF(W938="","",IF(W938&gt;=p_target,"Bon",IF(W938&gt;=p_alert,"À surveiller","Faible")))</f>
        <v/>
      </c>
      <c r="Z938" s="58" t="str">
        <f>IF(W938="","",IF(MIN(IF(T938="",1,T938),IF(U938="",1,U938),IF(V938="",1,V938))&gt;=1,"Aucune",IF(IF(T938="",1,T938)&lt;=MIN(IF(U938="",1,U938),IF(V938="",1,V938)),"Disponibilité",IF(IF(U938="",1,U938)&lt;=IF(V938="",1,V938),"Performance","Qualité"))))</f>
        <v/>
      </c>
      <c r="AA938" s="59" t="str">
        <f>IF(AC938=1,N(H938)*N(IFERROR(INDEX(art_cost,MATCH(E938,art_ref,0)),0)),"")</f>
        <v/>
      </c>
      <c r="AB938" s="58" t="str">
        <f>IF(COUNTA(A938:I938)=0,"",IF(N(A938)&lt;=0,"Date manquante ou invalide",IF(B938="","Équipe manquante",IF(ISNA(MATCH(B938,eq_code,0)),"Équipe inconnue",IF(INDEX(eq_check,MATCH(B938,eq_code,0))&lt;&gt;"OK","Équipe à corriger dans Paramètres",IF(C938="","Poste manquant",IF(ISNA(MATCH(C938,po_code,0)),"Poste inconnu",IF(AND(E938&lt;&gt;"",ISNA(MATCH(E938,art_ref,0))),"Article inconnu",IF(IF(E938="",FALSE,INDEX(art_check,MATCH(E938,art_ref,0))&lt;&gt;"OK"),"Article à corriger (feuille Articles)",IF(COUNTIFS(sj_date,A938,sj_eq,B938,sj_po,C938)&gt;1,"Ligne en double (même jour, équipe et poste)",IF(OR(NOT(ISNUMBER(K938)),N(K938)&lt;=0,N(K938)&gt;1440),"Temps d'ouverture invalide",IF(OR(AND(G938&lt;&gt;"",NOT(ISNUMBER(G938))),N(G938)&lt;0,N(G938)&lt;&gt;INT(N(G938)),AND(H938&lt;&gt;"",NOT(ISNUMBER(H938))),N(H938)&lt;0,N(H938)&lt;&gt;INT(N(H938)),AND(I938&lt;&gt;"",NOT(ISNUMBER(I938))),N(I938)&lt;0,N(I938)&lt;&gt;INT(N(I938))),"Quantité invalide",IF(Q938&lt;=0,"Cadence manquante (poste ou article)",IF(M938&lt;=0,"Arrêts planifiés supérieurs au temps d'ouverture",IF(O938&lt;0,"Arrêts supérieurs au temps requis",IF(AND(P938&gt;0,O938=0),"Pièces déclarées sans temps de marche",IF(AND(P938=0,O938&gt;0),"Aucune pièce déclarée",IF(P938*60/Q938&gt;O938+0.001,"Cadence dépassée : vérifiez la cadence","OK"))))))))))))))))))</f>
        <v/>
      </c>
      <c r="AC938">
        <f>IF(OR(AB938="OK",AB938="Aucune pièce déclarée",AB938="Cadence dépassée : vérifiez la cadence"),1,0)</f>
        <v>0.0</v>
      </c>
      <c r="AD938">
        <f>IF(AND(AC938=1,A938&gt;=p_from,A938&lt;=p_to),1,0)</f>
        <v>0.0</v>
      </c>
      <c r="AE938">
        <f>IF(AD938=1,IF(COUNTIFS($A$6:A938,A938,$AD$6:AD938,1)=1,1,0),0)</f>
        <v>0.0</v>
      </c>
      <c r="AF938" t="str">
        <f>IF(AE938=1,COUNTIFS(sj_first,1,sj_date,"&lt;"&amp;A938)+1,"")</f>
        <v/>
      </c>
      <c r="AG938" t="str">
        <f>IF(AND(AD938=1,N(W938)&lt;p_alert),ROUND(W938,4),"")</f>
        <v/>
      </c>
      <c r="AH938" t="str">
        <f>IF(AG938="","",COUNTIF(sj_akey,"&lt;"&amp;AG938)+COUNTIF($AG$6:AG938,AG938))</f>
        <v/>
      </c>
    </row>
    <row r="939">
      <c r="A939" s="51" t="n"/>
      <c r="B939" s="52" t="n"/>
      <c r="C939" s="52" t="n"/>
      <c r="D939" s="53" t="n"/>
      <c r="E939" s="53" t="n"/>
      <c r="F939" s="54" t="n"/>
      <c r="G939" s="54" t="n"/>
      <c r="H939" s="54" t="n"/>
      <c r="I939" s="54" t="n"/>
      <c r="J939" s="53" t="n"/>
      <c r="K939" s="55" t="str">
        <f>IF(COUNTA(A939:I939)=0,"",IF(F939="",IFERROR(INDEX(eq_dur,MATCH(B939,eq_code,0)),""),F939))</f>
        <v/>
      </c>
      <c r="L939" s="55" t="str">
        <f>IF(ISNUMBER(K939),N(IFERROR(INDEX(eq_pause,MATCH(B939,eq_code,0)),0))+SUMIFS(st_min,st_date,A939,st_eq,B939,st_po,C939,st_type,"Planifié"),"")</f>
        <v/>
      </c>
      <c r="M939" s="55" t="str">
        <f>IF(ISNUMBER(K939),K939-L939,"")</f>
        <v/>
      </c>
      <c r="N939" s="55" t="str">
        <f>IF(ISNUMBER(K939),SUMIFS(st_min,st_date,A939,st_eq,B939,st_po,C939,st_type,"Non planifié"),"")</f>
        <v/>
      </c>
      <c r="O939" s="55" t="str">
        <f>IF(ISNUMBER(K939),M939-N939,"")</f>
        <v/>
      </c>
      <c r="P939" s="55" t="str">
        <f>IF(COUNTA(A939:I939)=0,"",N(G939)+N(H939)+N(I939))</f>
        <v/>
      </c>
      <c r="Q939" s="56" t="str">
        <f>IF(COUNTA(A939:I939)=0,"",IF(N(IFERROR(INDEX(art_rate,MATCH(E939,art_ref,0)),0))&gt;0,N(IFERROR(INDEX(art_rate,MATCH(E939,art_ref,0)),0)),N(IFERROR(INDEX(po_rate,MATCH(C939,po_code,0)),0))))</f>
        <v/>
      </c>
      <c r="R939" s="55" t="str">
        <f>IF(AC939=1,P939*60/Q939,"")</f>
        <v/>
      </c>
      <c r="S939" s="55" t="str">
        <f>IF(AC939=1,N(G939)*60/Q939,"")</f>
        <v/>
      </c>
      <c r="T939" s="57" t="str">
        <f>IF(AC939=1,O939/M939,"")</f>
        <v/>
      </c>
      <c r="U939" s="57" t="str">
        <f>IF(AC939=1,IF(O939&gt;0,R939/O939,""),"")</f>
        <v/>
      </c>
      <c r="V939" s="57" t="str">
        <f>IF(AC939=1,IF(P939&gt;0,N(G939)/P939,""),"")</f>
        <v/>
      </c>
      <c r="W939" s="57" t="str">
        <f>IF(AC939=1,S939/M939,"")</f>
        <v/>
      </c>
      <c r="X939" s="57" t="str">
        <f>IF(AC939=1,S939/K939,"")</f>
        <v/>
      </c>
      <c r="Y939" s="58" t="str">
        <f>IF(W939="","",IF(W939&gt;=p_target,"Bon",IF(W939&gt;=p_alert,"À surveiller","Faible")))</f>
        <v/>
      </c>
      <c r="Z939" s="58" t="str">
        <f>IF(W939="","",IF(MIN(IF(T939="",1,T939),IF(U939="",1,U939),IF(V939="",1,V939))&gt;=1,"Aucune",IF(IF(T939="",1,T939)&lt;=MIN(IF(U939="",1,U939),IF(V939="",1,V939)),"Disponibilité",IF(IF(U939="",1,U939)&lt;=IF(V939="",1,V939),"Performance","Qualité"))))</f>
        <v/>
      </c>
      <c r="AA939" s="59" t="str">
        <f>IF(AC939=1,N(H939)*N(IFERROR(INDEX(art_cost,MATCH(E939,art_ref,0)),0)),"")</f>
        <v/>
      </c>
      <c r="AB939" s="58" t="str">
        <f>IF(COUNTA(A939:I939)=0,"",IF(N(A939)&lt;=0,"Date manquante ou invalide",IF(B939="","Équipe manquante",IF(ISNA(MATCH(B939,eq_code,0)),"Équipe inconnue",IF(INDEX(eq_check,MATCH(B939,eq_code,0))&lt;&gt;"OK","Équipe à corriger dans Paramètres",IF(C939="","Poste manquant",IF(ISNA(MATCH(C939,po_code,0)),"Poste inconnu",IF(AND(E939&lt;&gt;"",ISNA(MATCH(E939,art_ref,0))),"Article inconnu",IF(IF(E939="",FALSE,INDEX(art_check,MATCH(E939,art_ref,0))&lt;&gt;"OK"),"Article à corriger (feuille Articles)",IF(COUNTIFS(sj_date,A939,sj_eq,B939,sj_po,C939)&gt;1,"Ligne en double (même jour, équipe et poste)",IF(OR(NOT(ISNUMBER(K939)),N(K939)&lt;=0,N(K939)&gt;1440),"Temps d'ouverture invalide",IF(OR(AND(G939&lt;&gt;"",NOT(ISNUMBER(G939))),N(G939)&lt;0,N(G939)&lt;&gt;INT(N(G939)),AND(H939&lt;&gt;"",NOT(ISNUMBER(H939))),N(H939)&lt;0,N(H939)&lt;&gt;INT(N(H939)),AND(I939&lt;&gt;"",NOT(ISNUMBER(I939))),N(I939)&lt;0,N(I939)&lt;&gt;INT(N(I939))),"Quantité invalide",IF(Q939&lt;=0,"Cadence manquante (poste ou article)",IF(M939&lt;=0,"Arrêts planifiés supérieurs au temps d'ouverture",IF(O939&lt;0,"Arrêts supérieurs au temps requis",IF(AND(P939&gt;0,O939=0),"Pièces déclarées sans temps de marche",IF(AND(P939=0,O939&gt;0),"Aucune pièce déclarée",IF(P939*60/Q939&gt;O939+0.001,"Cadence dépassée : vérifiez la cadence","OK"))))))))))))))))))</f>
        <v/>
      </c>
      <c r="AC939">
        <f>IF(OR(AB939="OK",AB939="Aucune pièce déclarée",AB939="Cadence dépassée : vérifiez la cadence"),1,0)</f>
        <v>0.0</v>
      </c>
      <c r="AD939">
        <f>IF(AND(AC939=1,A939&gt;=p_from,A939&lt;=p_to),1,0)</f>
        <v>0.0</v>
      </c>
      <c r="AE939">
        <f>IF(AD939=1,IF(COUNTIFS($A$6:A939,A939,$AD$6:AD939,1)=1,1,0),0)</f>
        <v>0.0</v>
      </c>
      <c r="AF939" t="str">
        <f>IF(AE939=1,COUNTIFS(sj_first,1,sj_date,"&lt;"&amp;A939)+1,"")</f>
        <v/>
      </c>
      <c r="AG939" t="str">
        <f>IF(AND(AD939=1,N(W939)&lt;p_alert),ROUND(W939,4),"")</f>
        <v/>
      </c>
      <c r="AH939" t="str">
        <f>IF(AG939="","",COUNTIF(sj_akey,"&lt;"&amp;AG939)+COUNTIF($AG$6:AG939,AG939))</f>
        <v/>
      </c>
    </row>
    <row r="940">
      <c r="A940" s="51" t="n"/>
      <c r="B940" s="52" t="n"/>
      <c r="C940" s="52" t="n"/>
      <c r="D940" s="53" t="n"/>
      <c r="E940" s="53" t="n"/>
      <c r="F940" s="54" t="n"/>
      <c r="G940" s="54" t="n"/>
      <c r="H940" s="54" t="n"/>
      <c r="I940" s="54" t="n"/>
      <c r="J940" s="53" t="n"/>
      <c r="K940" s="55" t="str">
        <f>IF(COUNTA(A940:I940)=0,"",IF(F940="",IFERROR(INDEX(eq_dur,MATCH(B940,eq_code,0)),""),F940))</f>
        <v/>
      </c>
      <c r="L940" s="55" t="str">
        <f>IF(ISNUMBER(K940),N(IFERROR(INDEX(eq_pause,MATCH(B940,eq_code,0)),0))+SUMIFS(st_min,st_date,A940,st_eq,B940,st_po,C940,st_type,"Planifié"),"")</f>
        <v/>
      </c>
      <c r="M940" s="55" t="str">
        <f>IF(ISNUMBER(K940),K940-L940,"")</f>
        <v/>
      </c>
      <c r="N940" s="55" t="str">
        <f>IF(ISNUMBER(K940),SUMIFS(st_min,st_date,A940,st_eq,B940,st_po,C940,st_type,"Non planifié"),"")</f>
        <v/>
      </c>
      <c r="O940" s="55" t="str">
        <f>IF(ISNUMBER(K940),M940-N940,"")</f>
        <v/>
      </c>
      <c r="P940" s="55" t="str">
        <f>IF(COUNTA(A940:I940)=0,"",N(G940)+N(H940)+N(I940))</f>
        <v/>
      </c>
      <c r="Q940" s="56" t="str">
        <f>IF(COUNTA(A940:I940)=0,"",IF(N(IFERROR(INDEX(art_rate,MATCH(E940,art_ref,0)),0))&gt;0,N(IFERROR(INDEX(art_rate,MATCH(E940,art_ref,0)),0)),N(IFERROR(INDEX(po_rate,MATCH(C940,po_code,0)),0))))</f>
        <v/>
      </c>
      <c r="R940" s="55" t="str">
        <f>IF(AC940=1,P940*60/Q940,"")</f>
        <v/>
      </c>
      <c r="S940" s="55" t="str">
        <f>IF(AC940=1,N(G940)*60/Q940,"")</f>
        <v/>
      </c>
      <c r="T940" s="57" t="str">
        <f>IF(AC940=1,O940/M940,"")</f>
        <v/>
      </c>
      <c r="U940" s="57" t="str">
        <f>IF(AC940=1,IF(O940&gt;0,R940/O940,""),"")</f>
        <v/>
      </c>
      <c r="V940" s="57" t="str">
        <f>IF(AC940=1,IF(P940&gt;0,N(G940)/P940,""),"")</f>
        <v/>
      </c>
      <c r="W940" s="57" t="str">
        <f>IF(AC940=1,S940/M940,"")</f>
        <v/>
      </c>
      <c r="X940" s="57" t="str">
        <f>IF(AC940=1,S940/K940,"")</f>
        <v/>
      </c>
      <c r="Y940" s="58" t="str">
        <f>IF(W940="","",IF(W940&gt;=p_target,"Bon",IF(W940&gt;=p_alert,"À surveiller","Faible")))</f>
        <v/>
      </c>
      <c r="Z940" s="58" t="str">
        <f>IF(W940="","",IF(MIN(IF(T940="",1,T940),IF(U940="",1,U940),IF(V940="",1,V940))&gt;=1,"Aucune",IF(IF(T940="",1,T940)&lt;=MIN(IF(U940="",1,U940),IF(V940="",1,V940)),"Disponibilité",IF(IF(U940="",1,U940)&lt;=IF(V940="",1,V940),"Performance","Qualité"))))</f>
        <v/>
      </c>
      <c r="AA940" s="59" t="str">
        <f>IF(AC940=1,N(H940)*N(IFERROR(INDEX(art_cost,MATCH(E940,art_ref,0)),0)),"")</f>
        <v/>
      </c>
      <c r="AB940" s="58" t="str">
        <f>IF(COUNTA(A940:I940)=0,"",IF(N(A940)&lt;=0,"Date manquante ou invalide",IF(B940="","Équipe manquante",IF(ISNA(MATCH(B940,eq_code,0)),"Équipe inconnue",IF(INDEX(eq_check,MATCH(B940,eq_code,0))&lt;&gt;"OK","Équipe à corriger dans Paramètres",IF(C940="","Poste manquant",IF(ISNA(MATCH(C940,po_code,0)),"Poste inconnu",IF(AND(E940&lt;&gt;"",ISNA(MATCH(E940,art_ref,0))),"Article inconnu",IF(IF(E940="",FALSE,INDEX(art_check,MATCH(E940,art_ref,0))&lt;&gt;"OK"),"Article à corriger (feuille Articles)",IF(COUNTIFS(sj_date,A940,sj_eq,B940,sj_po,C940)&gt;1,"Ligne en double (même jour, équipe et poste)",IF(OR(NOT(ISNUMBER(K940)),N(K940)&lt;=0,N(K940)&gt;1440),"Temps d'ouverture invalide",IF(OR(AND(G940&lt;&gt;"",NOT(ISNUMBER(G940))),N(G940)&lt;0,N(G940)&lt;&gt;INT(N(G940)),AND(H940&lt;&gt;"",NOT(ISNUMBER(H940))),N(H940)&lt;0,N(H940)&lt;&gt;INT(N(H940)),AND(I940&lt;&gt;"",NOT(ISNUMBER(I940))),N(I940)&lt;0,N(I940)&lt;&gt;INT(N(I940))),"Quantité invalide",IF(Q940&lt;=0,"Cadence manquante (poste ou article)",IF(M940&lt;=0,"Arrêts planifiés supérieurs au temps d'ouverture",IF(O940&lt;0,"Arrêts supérieurs au temps requis",IF(AND(P940&gt;0,O940=0),"Pièces déclarées sans temps de marche",IF(AND(P940=0,O940&gt;0),"Aucune pièce déclarée",IF(P940*60/Q940&gt;O940+0.001,"Cadence dépassée : vérifiez la cadence","OK"))))))))))))))))))</f>
        <v/>
      </c>
      <c r="AC940">
        <f>IF(OR(AB940="OK",AB940="Aucune pièce déclarée",AB940="Cadence dépassée : vérifiez la cadence"),1,0)</f>
        <v>0.0</v>
      </c>
      <c r="AD940">
        <f>IF(AND(AC940=1,A940&gt;=p_from,A940&lt;=p_to),1,0)</f>
        <v>0.0</v>
      </c>
      <c r="AE940">
        <f>IF(AD940=1,IF(COUNTIFS($A$6:A940,A940,$AD$6:AD940,1)=1,1,0),0)</f>
        <v>0.0</v>
      </c>
      <c r="AF940" t="str">
        <f>IF(AE940=1,COUNTIFS(sj_first,1,sj_date,"&lt;"&amp;A940)+1,"")</f>
        <v/>
      </c>
      <c r="AG940" t="str">
        <f>IF(AND(AD940=1,N(W940)&lt;p_alert),ROUND(W940,4),"")</f>
        <v/>
      </c>
      <c r="AH940" t="str">
        <f>IF(AG940="","",COUNTIF(sj_akey,"&lt;"&amp;AG940)+COUNTIF($AG$6:AG940,AG940))</f>
        <v/>
      </c>
    </row>
    <row r="941">
      <c r="A941" s="51" t="n"/>
      <c r="B941" s="52" t="n"/>
      <c r="C941" s="52" t="n"/>
      <c r="D941" s="53" t="n"/>
      <c r="E941" s="53" t="n"/>
      <c r="F941" s="54" t="n"/>
      <c r="G941" s="54" t="n"/>
      <c r="H941" s="54" t="n"/>
      <c r="I941" s="54" t="n"/>
      <c r="J941" s="53" t="n"/>
      <c r="K941" s="55" t="str">
        <f>IF(COUNTA(A941:I941)=0,"",IF(F941="",IFERROR(INDEX(eq_dur,MATCH(B941,eq_code,0)),""),F941))</f>
        <v/>
      </c>
      <c r="L941" s="55" t="str">
        <f>IF(ISNUMBER(K941),N(IFERROR(INDEX(eq_pause,MATCH(B941,eq_code,0)),0))+SUMIFS(st_min,st_date,A941,st_eq,B941,st_po,C941,st_type,"Planifié"),"")</f>
        <v/>
      </c>
      <c r="M941" s="55" t="str">
        <f>IF(ISNUMBER(K941),K941-L941,"")</f>
        <v/>
      </c>
      <c r="N941" s="55" t="str">
        <f>IF(ISNUMBER(K941),SUMIFS(st_min,st_date,A941,st_eq,B941,st_po,C941,st_type,"Non planifié"),"")</f>
        <v/>
      </c>
      <c r="O941" s="55" t="str">
        <f>IF(ISNUMBER(K941),M941-N941,"")</f>
        <v/>
      </c>
      <c r="P941" s="55" t="str">
        <f>IF(COUNTA(A941:I941)=0,"",N(G941)+N(H941)+N(I941))</f>
        <v/>
      </c>
      <c r="Q941" s="56" t="str">
        <f>IF(COUNTA(A941:I941)=0,"",IF(N(IFERROR(INDEX(art_rate,MATCH(E941,art_ref,0)),0))&gt;0,N(IFERROR(INDEX(art_rate,MATCH(E941,art_ref,0)),0)),N(IFERROR(INDEX(po_rate,MATCH(C941,po_code,0)),0))))</f>
        <v/>
      </c>
      <c r="R941" s="55" t="str">
        <f>IF(AC941=1,P941*60/Q941,"")</f>
        <v/>
      </c>
      <c r="S941" s="55" t="str">
        <f>IF(AC941=1,N(G941)*60/Q941,"")</f>
        <v/>
      </c>
      <c r="T941" s="57" t="str">
        <f>IF(AC941=1,O941/M941,"")</f>
        <v/>
      </c>
      <c r="U941" s="57" t="str">
        <f>IF(AC941=1,IF(O941&gt;0,R941/O941,""),"")</f>
        <v/>
      </c>
      <c r="V941" s="57" t="str">
        <f>IF(AC941=1,IF(P941&gt;0,N(G941)/P941,""),"")</f>
        <v/>
      </c>
      <c r="W941" s="57" t="str">
        <f>IF(AC941=1,S941/M941,"")</f>
        <v/>
      </c>
      <c r="X941" s="57" t="str">
        <f>IF(AC941=1,S941/K941,"")</f>
        <v/>
      </c>
      <c r="Y941" s="58" t="str">
        <f>IF(W941="","",IF(W941&gt;=p_target,"Bon",IF(W941&gt;=p_alert,"À surveiller","Faible")))</f>
        <v/>
      </c>
      <c r="Z941" s="58" t="str">
        <f>IF(W941="","",IF(MIN(IF(T941="",1,T941),IF(U941="",1,U941),IF(V941="",1,V941))&gt;=1,"Aucune",IF(IF(T941="",1,T941)&lt;=MIN(IF(U941="",1,U941),IF(V941="",1,V941)),"Disponibilité",IF(IF(U941="",1,U941)&lt;=IF(V941="",1,V941),"Performance","Qualité"))))</f>
        <v/>
      </c>
      <c r="AA941" s="59" t="str">
        <f>IF(AC941=1,N(H941)*N(IFERROR(INDEX(art_cost,MATCH(E941,art_ref,0)),0)),"")</f>
        <v/>
      </c>
      <c r="AB941" s="58" t="str">
        <f>IF(COUNTA(A941:I941)=0,"",IF(N(A941)&lt;=0,"Date manquante ou invalide",IF(B941="","Équipe manquante",IF(ISNA(MATCH(B941,eq_code,0)),"Équipe inconnue",IF(INDEX(eq_check,MATCH(B941,eq_code,0))&lt;&gt;"OK","Équipe à corriger dans Paramètres",IF(C941="","Poste manquant",IF(ISNA(MATCH(C941,po_code,0)),"Poste inconnu",IF(AND(E941&lt;&gt;"",ISNA(MATCH(E941,art_ref,0))),"Article inconnu",IF(IF(E941="",FALSE,INDEX(art_check,MATCH(E941,art_ref,0))&lt;&gt;"OK"),"Article à corriger (feuille Articles)",IF(COUNTIFS(sj_date,A941,sj_eq,B941,sj_po,C941)&gt;1,"Ligne en double (même jour, équipe et poste)",IF(OR(NOT(ISNUMBER(K941)),N(K941)&lt;=0,N(K941)&gt;1440),"Temps d'ouverture invalide",IF(OR(AND(G941&lt;&gt;"",NOT(ISNUMBER(G941))),N(G941)&lt;0,N(G941)&lt;&gt;INT(N(G941)),AND(H941&lt;&gt;"",NOT(ISNUMBER(H941))),N(H941)&lt;0,N(H941)&lt;&gt;INT(N(H941)),AND(I941&lt;&gt;"",NOT(ISNUMBER(I941))),N(I941)&lt;0,N(I941)&lt;&gt;INT(N(I941))),"Quantité invalide",IF(Q941&lt;=0,"Cadence manquante (poste ou article)",IF(M941&lt;=0,"Arrêts planifiés supérieurs au temps d'ouverture",IF(O941&lt;0,"Arrêts supérieurs au temps requis",IF(AND(P941&gt;0,O941=0),"Pièces déclarées sans temps de marche",IF(AND(P941=0,O941&gt;0),"Aucune pièce déclarée",IF(P941*60/Q941&gt;O941+0.001,"Cadence dépassée : vérifiez la cadence","OK"))))))))))))))))))</f>
        <v/>
      </c>
      <c r="AC941">
        <f>IF(OR(AB941="OK",AB941="Aucune pièce déclarée",AB941="Cadence dépassée : vérifiez la cadence"),1,0)</f>
        <v>0.0</v>
      </c>
      <c r="AD941">
        <f>IF(AND(AC941=1,A941&gt;=p_from,A941&lt;=p_to),1,0)</f>
        <v>0.0</v>
      </c>
      <c r="AE941">
        <f>IF(AD941=1,IF(COUNTIFS($A$6:A941,A941,$AD$6:AD941,1)=1,1,0),0)</f>
        <v>0.0</v>
      </c>
      <c r="AF941" t="str">
        <f>IF(AE941=1,COUNTIFS(sj_first,1,sj_date,"&lt;"&amp;A941)+1,"")</f>
        <v/>
      </c>
      <c r="AG941" t="str">
        <f>IF(AND(AD941=1,N(W941)&lt;p_alert),ROUND(W941,4),"")</f>
        <v/>
      </c>
      <c r="AH941" t="str">
        <f>IF(AG941="","",COUNTIF(sj_akey,"&lt;"&amp;AG941)+COUNTIF($AG$6:AG941,AG941))</f>
        <v/>
      </c>
    </row>
    <row r="942">
      <c r="A942" s="51" t="n"/>
      <c r="B942" s="52" t="n"/>
      <c r="C942" s="52" t="n"/>
      <c r="D942" s="53" t="n"/>
      <c r="E942" s="53" t="n"/>
      <c r="F942" s="54" t="n"/>
      <c r="G942" s="54" t="n"/>
      <c r="H942" s="54" t="n"/>
      <c r="I942" s="54" t="n"/>
      <c r="J942" s="53" t="n"/>
      <c r="K942" s="55" t="str">
        <f>IF(COUNTA(A942:I942)=0,"",IF(F942="",IFERROR(INDEX(eq_dur,MATCH(B942,eq_code,0)),""),F942))</f>
        <v/>
      </c>
      <c r="L942" s="55" t="str">
        <f>IF(ISNUMBER(K942),N(IFERROR(INDEX(eq_pause,MATCH(B942,eq_code,0)),0))+SUMIFS(st_min,st_date,A942,st_eq,B942,st_po,C942,st_type,"Planifié"),"")</f>
        <v/>
      </c>
      <c r="M942" s="55" t="str">
        <f>IF(ISNUMBER(K942),K942-L942,"")</f>
        <v/>
      </c>
      <c r="N942" s="55" t="str">
        <f>IF(ISNUMBER(K942),SUMIFS(st_min,st_date,A942,st_eq,B942,st_po,C942,st_type,"Non planifié"),"")</f>
        <v/>
      </c>
      <c r="O942" s="55" t="str">
        <f>IF(ISNUMBER(K942),M942-N942,"")</f>
        <v/>
      </c>
      <c r="P942" s="55" t="str">
        <f>IF(COUNTA(A942:I942)=0,"",N(G942)+N(H942)+N(I942))</f>
        <v/>
      </c>
      <c r="Q942" s="56" t="str">
        <f>IF(COUNTA(A942:I942)=0,"",IF(N(IFERROR(INDEX(art_rate,MATCH(E942,art_ref,0)),0))&gt;0,N(IFERROR(INDEX(art_rate,MATCH(E942,art_ref,0)),0)),N(IFERROR(INDEX(po_rate,MATCH(C942,po_code,0)),0))))</f>
        <v/>
      </c>
      <c r="R942" s="55" t="str">
        <f>IF(AC942=1,P942*60/Q942,"")</f>
        <v/>
      </c>
      <c r="S942" s="55" t="str">
        <f>IF(AC942=1,N(G942)*60/Q942,"")</f>
        <v/>
      </c>
      <c r="T942" s="57" t="str">
        <f>IF(AC942=1,O942/M942,"")</f>
        <v/>
      </c>
      <c r="U942" s="57" t="str">
        <f>IF(AC942=1,IF(O942&gt;0,R942/O942,""),"")</f>
        <v/>
      </c>
      <c r="V942" s="57" t="str">
        <f>IF(AC942=1,IF(P942&gt;0,N(G942)/P942,""),"")</f>
        <v/>
      </c>
      <c r="W942" s="57" t="str">
        <f>IF(AC942=1,S942/M942,"")</f>
        <v/>
      </c>
      <c r="X942" s="57" t="str">
        <f>IF(AC942=1,S942/K942,"")</f>
        <v/>
      </c>
      <c r="Y942" s="58" t="str">
        <f>IF(W942="","",IF(W942&gt;=p_target,"Bon",IF(W942&gt;=p_alert,"À surveiller","Faible")))</f>
        <v/>
      </c>
      <c r="Z942" s="58" t="str">
        <f>IF(W942="","",IF(MIN(IF(T942="",1,T942),IF(U942="",1,U942),IF(V942="",1,V942))&gt;=1,"Aucune",IF(IF(T942="",1,T942)&lt;=MIN(IF(U942="",1,U942),IF(V942="",1,V942)),"Disponibilité",IF(IF(U942="",1,U942)&lt;=IF(V942="",1,V942),"Performance","Qualité"))))</f>
        <v/>
      </c>
      <c r="AA942" s="59" t="str">
        <f>IF(AC942=1,N(H942)*N(IFERROR(INDEX(art_cost,MATCH(E942,art_ref,0)),0)),"")</f>
        <v/>
      </c>
      <c r="AB942" s="58" t="str">
        <f>IF(COUNTA(A942:I942)=0,"",IF(N(A942)&lt;=0,"Date manquante ou invalide",IF(B942="","Équipe manquante",IF(ISNA(MATCH(B942,eq_code,0)),"Équipe inconnue",IF(INDEX(eq_check,MATCH(B942,eq_code,0))&lt;&gt;"OK","Équipe à corriger dans Paramètres",IF(C942="","Poste manquant",IF(ISNA(MATCH(C942,po_code,0)),"Poste inconnu",IF(AND(E942&lt;&gt;"",ISNA(MATCH(E942,art_ref,0))),"Article inconnu",IF(IF(E942="",FALSE,INDEX(art_check,MATCH(E942,art_ref,0))&lt;&gt;"OK"),"Article à corriger (feuille Articles)",IF(COUNTIFS(sj_date,A942,sj_eq,B942,sj_po,C942)&gt;1,"Ligne en double (même jour, équipe et poste)",IF(OR(NOT(ISNUMBER(K942)),N(K942)&lt;=0,N(K942)&gt;1440),"Temps d'ouverture invalide",IF(OR(AND(G942&lt;&gt;"",NOT(ISNUMBER(G942))),N(G942)&lt;0,N(G942)&lt;&gt;INT(N(G942)),AND(H942&lt;&gt;"",NOT(ISNUMBER(H942))),N(H942)&lt;0,N(H942)&lt;&gt;INT(N(H942)),AND(I942&lt;&gt;"",NOT(ISNUMBER(I942))),N(I942)&lt;0,N(I942)&lt;&gt;INT(N(I942))),"Quantité invalide",IF(Q942&lt;=0,"Cadence manquante (poste ou article)",IF(M942&lt;=0,"Arrêts planifiés supérieurs au temps d'ouverture",IF(O942&lt;0,"Arrêts supérieurs au temps requis",IF(AND(P942&gt;0,O942=0),"Pièces déclarées sans temps de marche",IF(AND(P942=0,O942&gt;0),"Aucune pièce déclarée",IF(P942*60/Q942&gt;O942+0.001,"Cadence dépassée : vérifiez la cadence","OK"))))))))))))))))))</f>
        <v/>
      </c>
      <c r="AC942">
        <f>IF(OR(AB942="OK",AB942="Aucune pièce déclarée",AB942="Cadence dépassée : vérifiez la cadence"),1,0)</f>
        <v>0.0</v>
      </c>
      <c r="AD942">
        <f>IF(AND(AC942=1,A942&gt;=p_from,A942&lt;=p_to),1,0)</f>
        <v>0.0</v>
      </c>
      <c r="AE942">
        <f>IF(AD942=1,IF(COUNTIFS($A$6:A942,A942,$AD$6:AD942,1)=1,1,0),0)</f>
        <v>0.0</v>
      </c>
      <c r="AF942" t="str">
        <f>IF(AE942=1,COUNTIFS(sj_first,1,sj_date,"&lt;"&amp;A942)+1,"")</f>
        <v/>
      </c>
      <c r="AG942" t="str">
        <f>IF(AND(AD942=1,N(W942)&lt;p_alert),ROUND(W942,4),"")</f>
        <v/>
      </c>
      <c r="AH942" t="str">
        <f>IF(AG942="","",COUNTIF(sj_akey,"&lt;"&amp;AG942)+COUNTIF($AG$6:AG942,AG942))</f>
        <v/>
      </c>
    </row>
    <row r="943">
      <c r="A943" s="51" t="n"/>
      <c r="B943" s="52" t="n"/>
      <c r="C943" s="52" t="n"/>
      <c r="D943" s="53" t="n"/>
      <c r="E943" s="53" t="n"/>
      <c r="F943" s="54" t="n"/>
      <c r="G943" s="54" t="n"/>
      <c r="H943" s="54" t="n"/>
      <c r="I943" s="54" t="n"/>
      <c r="J943" s="53" t="n"/>
      <c r="K943" s="55" t="str">
        <f>IF(COUNTA(A943:I943)=0,"",IF(F943="",IFERROR(INDEX(eq_dur,MATCH(B943,eq_code,0)),""),F943))</f>
        <v/>
      </c>
      <c r="L943" s="55" t="str">
        <f>IF(ISNUMBER(K943),N(IFERROR(INDEX(eq_pause,MATCH(B943,eq_code,0)),0))+SUMIFS(st_min,st_date,A943,st_eq,B943,st_po,C943,st_type,"Planifié"),"")</f>
        <v/>
      </c>
      <c r="M943" s="55" t="str">
        <f>IF(ISNUMBER(K943),K943-L943,"")</f>
        <v/>
      </c>
      <c r="N943" s="55" t="str">
        <f>IF(ISNUMBER(K943),SUMIFS(st_min,st_date,A943,st_eq,B943,st_po,C943,st_type,"Non planifié"),"")</f>
        <v/>
      </c>
      <c r="O943" s="55" t="str">
        <f>IF(ISNUMBER(K943),M943-N943,"")</f>
        <v/>
      </c>
      <c r="P943" s="55" t="str">
        <f>IF(COUNTA(A943:I943)=0,"",N(G943)+N(H943)+N(I943))</f>
        <v/>
      </c>
      <c r="Q943" s="56" t="str">
        <f>IF(COUNTA(A943:I943)=0,"",IF(N(IFERROR(INDEX(art_rate,MATCH(E943,art_ref,0)),0))&gt;0,N(IFERROR(INDEX(art_rate,MATCH(E943,art_ref,0)),0)),N(IFERROR(INDEX(po_rate,MATCH(C943,po_code,0)),0))))</f>
        <v/>
      </c>
      <c r="R943" s="55" t="str">
        <f>IF(AC943=1,P943*60/Q943,"")</f>
        <v/>
      </c>
      <c r="S943" s="55" t="str">
        <f>IF(AC943=1,N(G943)*60/Q943,"")</f>
        <v/>
      </c>
      <c r="T943" s="57" t="str">
        <f>IF(AC943=1,O943/M943,"")</f>
        <v/>
      </c>
      <c r="U943" s="57" t="str">
        <f>IF(AC943=1,IF(O943&gt;0,R943/O943,""),"")</f>
        <v/>
      </c>
      <c r="V943" s="57" t="str">
        <f>IF(AC943=1,IF(P943&gt;0,N(G943)/P943,""),"")</f>
        <v/>
      </c>
      <c r="W943" s="57" t="str">
        <f>IF(AC943=1,S943/M943,"")</f>
        <v/>
      </c>
      <c r="X943" s="57" t="str">
        <f>IF(AC943=1,S943/K943,"")</f>
        <v/>
      </c>
      <c r="Y943" s="58" t="str">
        <f>IF(W943="","",IF(W943&gt;=p_target,"Bon",IF(W943&gt;=p_alert,"À surveiller","Faible")))</f>
        <v/>
      </c>
      <c r="Z943" s="58" t="str">
        <f>IF(W943="","",IF(MIN(IF(T943="",1,T943),IF(U943="",1,U943),IF(V943="",1,V943))&gt;=1,"Aucune",IF(IF(T943="",1,T943)&lt;=MIN(IF(U943="",1,U943),IF(V943="",1,V943)),"Disponibilité",IF(IF(U943="",1,U943)&lt;=IF(V943="",1,V943),"Performance","Qualité"))))</f>
        <v/>
      </c>
      <c r="AA943" s="59" t="str">
        <f>IF(AC943=1,N(H943)*N(IFERROR(INDEX(art_cost,MATCH(E943,art_ref,0)),0)),"")</f>
        <v/>
      </c>
      <c r="AB943" s="58" t="str">
        <f>IF(COUNTA(A943:I943)=0,"",IF(N(A943)&lt;=0,"Date manquante ou invalide",IF(B943="","Équipe manquante",IF(ISNA(MATCH(B943,eq_code,0)),"Équipe inconnue",IF(INDEX(eq_check,MATCH(B943,eq_code,0))&lt;&gt;"OK","Équipe à corriger dans Paramètres",IF(C943="","Poste manquant",IF(ISNA(MATCH(C943,po_code,0)),"Poste inconnu",IF(AND(E943&lt;&gt;"",ISNA(MATCH(E943,art_ref,0))),"Article inconnu",IF(IF(E943="",FALSE,INDEX(art_check,MATCH(E943,art_ref,0))&lt;&gt;"OK"),"Article à corriger (feuille Articles)",IF(COUNTIFS(sj_date,A943,sj_eq,B943,sj_po,C943)&gt;1,"Ligne en double (même jour, équipe et poste)",IF(OR(NOT(ISNUMBER(K943)),N(K943)&lt;=0,N(K943)&gt;1440),"Temps d'ouverture invalide",IF(OR(AND(G943&lt;&gt;"",NOT(ISNUMBER(G943))),N(G943)&lt;0,N(G943)&lt;&gt;INT(N(G943)),AND(H943&lt;&gt;"",NOT(ISNUMBER(H943))),N(H943)&lt;0,N(H943)&lt;&gt;INT(N(H943)),AND(I943&lt;&gt;"",NOT(ISNUMBER(I943))),N(I943)&lt;0,N(I943)&lt;&gt;INT(N(I943))),"Quantité invalide",IF(Q943&lt;=0,"Cadence manquante (poste ou article)",IF(M943&lt;=0,"Arrêts planifiés supérieurs au temps d'ouverture",IF(O943&lt;0,"Arrêts supérieurs au temps requis",IF(AND(P943&gt;0,O943=0),"Pièces déclarées sans temps de marche",IF(AND(P943=0,O943&gt;0),"Aucune pièce déclarée",IF(P943*60/Q943&gt;O943+0.001,"Cadence dépassée : vérifiez la cadence","OK"))))))))))))))))))</f>
        <v/>
      </c>
      <c r="AC943">
        <f>IF(OR(AB943="OK",AB943="Aucune pièce déclarée",AB943="Cadence dépassée : vérifiez la cadence"),1,0)</f>
        <v>0.0</v>
      </c>
      <c r="AD943">
        <f>IF(AND(AC943=1,A943&gt;=p_from,A943&lt;=p_to),1,0)</f>
        <v>0.0</v>
      </c>
      <c r="AE943">
        <f>IF(AD943=1,IF(COUNTIFS($A$6:A943,A943,$AD$6:AD943,1)=1,1,0),0)</f>
        <v>0.0</v>
      </c>
      <c r="AF943" t="str">
        <f>IF(AE943=1,COUNTIFS(sj_first,1,sj_date,"&lt;"&amp;A943)+1,"")</f>
        <v/>
      </c>
      <c r="AG943" t="str">
        <f>IF(AND(AD943=1,N(W943)&lt;p_alert),ROUND(W943,4),"")</f>
        <v/>
      </c>
      <c r="AH943" t="str">
        <f>IF(AG943="","",COUNTIF(sj_akey,"&lt;"&amp;AG943)+COUNTIF($AG$6:AG943,AG943))</f>
        <v/>
      </c>
    </row>
    <row r="944">
      <c r="A944" s="51" t="n"/>
      <c r="B944" s="52" t="n"/>
      <c r="C944" s="52" t="n"/>
      <c r="D944" s="53" t="n"/>
      <c r="E944" s="53" t="n"/>
      <c r="F944" s="54" t="n"/>
      <c r="G944" s="54" t="n"/>
      <c r="H944" s="54" t="n"/>
      <c r="I944" s="54" t="n"/>
      <c r="J944" s="53" t="n"/>
      <c r="K944" s="55" t="str">
        <f>IF(COUNTA(A944:I944)=0,"",IF(F944="",IFERROR(INDEX(eq_dur,MATCH(B944,eq_code,0)),""),F944))</f>
        <v/>
      </c>
      <c r="L944" s="55" t="str">
        <f>IF(ISNUMBER(K944),N(IFERROR(INDEX(eq_pause,MATCH(B944,eq_code,0)),0))+SUMIFS(st_min,st_date,A944,st_eq,B944,st_po,C944,st_type,"Planifié"),"")</f>
        <v/>
      </c>
      <c r="M944" s="55" t="str">
        <f>IF(ISNUMBER(K944),K944-L944,"")</f>
        <v/>
      </c>
      <c r="N944" s="55" t="str">
        <f>IF(ISNUMBER(K944),SUMIFS(st_min,st_date,A944,st_eq,B944,st_po,C944,st_type,"Non planifié"),"")</f>
        <v/>
      </c>
      <c r="O944" s="55" t="str">
        <f>IF(ISNUMBER(K944),M944-N944,"")</f>
        <v/>
      </c>
      <c r="P944" s="55" t="str">
        <f>IF(COUNTA(A944:I944)=0,"",N(G944)+N(H944)+N(I944))</f>
        <v/>
      </c>
      <c r="Q944" s="56" t="str">
        <f>IF(COUNTA(A944:I944)=0,"",IF(N(IFERROR(INDEX(art_rate,MATCH(E944,art_ref,0)),0))&gt;0,N(IFERROR(INDEX(art_rate,MATCH(E944,art_ref,0)),0)),N(IFERROR(INDEX(po_rate,MATCH(C944,po_code,0)),0))))</f>
        <v/>
      </c>
      <c r="R944" s="55" t="str">
        <f>IF(AC944=1,P944*60/Q944,"")</f>
        <v/>
      </c>
      <c r="S944" s="55" t="str">
        <f>IF(AC944=1,N(G944)*60/Q944,"")</f>
        <v/>
      </c>
      <c r="T944" s="57" t="str">
        <f>IF(AC944=1,O944/M944,"")</f>
        <v/>
      </c>
      <c r="U944" s="57" t="str">
        <f>IF(AC944=1,IF(O944&gt;0,R944/O944,""),"")</f>
        <v/>
      </c>
      <c r="V944" s="57" t="str">
        <f>IF(AC944=1,IF(P944&gt;0,N(G944)/P944,""),"")</f>
        <v/>
      </c>
      <c r="W944" s="57" t="str">
        <f>IF(AC944=1,S944/M944,"")</f>
        <v/>
      </c>
      <c r="X944" s="57" t="str">
        <f>IF(AC944=1,S944/K944,"")</f>
        <v/>
      </c>
      <c r="Y944" s="58" t="str">
        <f>IF(W944="","",IF(W944&gt;=p_target,"Bon",IF(W944&gt;=p_alert,"À surveiller","Faible")))</f>
        <v/>
      </c>
      <c r="Z944" s="58" t="str">
        <f>IF(W944="","",IF(MIN(IF(T944="",1,T944),IF(U944="",1,U944),IF(V944="",1,V944))&gt;=1,"Aucune",IF(IF(T944="",1,T944)&lt;=MIN(IF(U944="",1,U944),IF(V944="",1,V944)),"Disponibilité",IF(IF(U944="",1,U944)&lt;=IF(V944="",1,V944),"Performance","Qualité"))))</f>
        <v/>
      </c>
      <c r="AA944" s="59" t="str">
        <f>IF(AC944=1,N(H944)*N(IFERROR(INDEX(art_cost,MATCH(E944,art_ref,0)),0)),"")</f>
        <v/>
      </c>
      <c r="AB944" s="58" t="str">
        <f>IF(COUNTA(A944:I944)=0,"",IF(N(A944)&lt;=0,"Date manquante ou invalide",IF(B944="","Équipe manquante",IF(ISNA(MATCH(B944,eq_code,0)),"Équipe inconnue",IF(INDEX(eq_check,MATCH(B944,eq_code,0))&lt;&gt;"OK","Équipe à corriger dans Paramètres",IF(C944="","Poste manquant",IF(ISNA(MATCH(C944,po_code,0)),"Poste inconnu",IF(AND(E944&lt;&gt;"",ISNA(MATCH(E944,art_ref,0))),"Article inconnu",IF(IF(E944="",FALSE,INDEX(art_check,MATCH(E944,art_ref,0))&lt;&gt;"OK"),"Article à corriger (feuille Articles)",IF(COUNTIFS(sj_date,A944,sj_eq,B944,sj_po,C944)&gt;1,"Ligne en double (même jour, équipe et poste)",IF(OR(NOT(ISNUMBER(K944)),N(K944)&lt;=0,N(K944)&gt;1440),"Temps d'ouverture invalide",IF(OR(AND(G944&lt;&gt;"",NOT(ISNUMBER(G944))),N(G944)&lt;0,N(G944)&lt;&gt;INT(N(G944)),AND(H944&lt;&gt;"",NOT(ISNUMBER(H944))),N(H944)&lt;0,N(H944)&lt;&gt;INT(N(H944)),AND(I944&lt;&gt;"",NOT(ISNUMBER(I944))),N(I944)&lt;0,N(I944)&lt;&gt;INT(N(I944))),"Quantité invalide",IF(Q944&lt;=0,"Cadence manquante (poste ou article)",IF(M944&lt;=0,"Arrêts planifiés supérieurs au temps d'ouverture",IF(O944&lt;0,"Arrêts supérieurs au temps requis",IF(AND(P944&gt;0,O944=0),"Pièces déclarées sans temps de marche",IF(AND(P944=0,O944&gt;0),"Aucune pièce déclarée",IF(P944*60/Q944&gt;O944+0.001,"Cadence dépassée : vérifiez la cadence","OK"))))))))))))))))))</f>
        <v/>
      </c>
      <c r="AC944">
        <f>IF(OR(AB944="OK",AB944="Aucune pièce déclarée",AB944="Cadence dépassée : vérifiez la cadence"),1,0)</f>
        <v>0.0</v>
      </c>
      <c r="AD944">
        <f>IF(AND(AC944=1,A944&gt;=p_from,A944&lt;=p_to),1,0)</f>
        <v>0.0</v>
      </c>
      <c r="AE944">
        <f>IF(AD944=1,IF(COUNTIFS($A$6:A944,A944,$AD$6:AD944,1)=1,1,0),0)</f>
        <v>0.0</v>
      </c>
      <c r="AF944" t="str">
        <f>IF(AE944=1,COUNTIFS(sj_first,1,sj_date,"&lt;"&amp;A944)+1,"")</f>
        <v/>
      </c>
      <c r="AG944" t="str">
        <f>IF(AND(AD944=1,N(W944)&lt;p_alert),ROUND(W944,4),"")</f>
        <v/>
      </c>
      <c r="AH944" t="str">
        <f>IF(AG944="","",COUNTIF(sj_akey,"&lt;"&amp;AG944)+COUNTIF($AG$6:AG944,AG944))</f>
        <v/>
      </c>
    </row>
    <row r="945">
      <c r="A945" s="51" t="n"/>
      <c r="B945" s="52" t="n"/>
      <c r="C945" s="52" t="n"/>
      <c r="D945" s="53" t="n"/>
      <c r="E945" s="53" t="n"/>
      <c r="F945" s="54" t="n"/>
      <c r="G945" s="54" t="n"/>
      <c r="H945" s="54" t="n"/>
      <c r="I945" s="54" t="n"/>
      <c r="J945" s="53" t="n"/>
      <c r="K945" s="55" t="str">
        <f>IF(COUNTA(A945:I945)=0,"",IF(F945="",IFERROR(INDEX(eq_dur,MATCH(B945,eq_code,0)),""),F945))</f>
        <v/>
      </c>
      <c r="L945" s="55" t="str">
        <f>IF(ISNUMBER(K945),N(IFERROR(INDEX(eq_pause,MATCH(B945,eq_code,0)),0))+SUMIFS(st_min,st_date,A945,st_eq,B945,st_po,C945,st_type,"Planifié"),"")</f>
        <v/>
      </c>
      <c r="M945" s="55" t="str">
        <f>IF(ISNUMBER(K945),K945-L945,"")</f>
        <v/>
      </c>
      <c r="N945" s="55" t="str">
        <f>IF(ISNUMBER(K945),SUMIFS(st_min,st_date,A945,st_eq,B945,st_po,C945,st_type,"Non planifié"),"")</f>
        <v/>
      </c>
      <c r="O945" s="55" t="str">
        <f>IF(ISNUMBER(K945),M945-N945,"")</f>
        <v/>
      </c>
      <c r="P945" s="55" t="str">
        <f>IF(COUNTA(A945:I945)=0,"",N(G945)+N(H945)+N(I945))</f>
        <v/>
      </c>
      <c r="Q945" s="56" t="str">
        <f>IF(COUNTA(A945:I945)=0,"",IF(N(IFERROR(INDEX(art_rate,MATCH(E945,art_ref,0)),0))&gt;0,N(IFERROR(INDEX(art_rate,MATCH(E945,art_ref,0)),0)),N(IFERROR(INDEX(po_rate,MATCH(C945,po_code,0)),0))))</f>
        <v/>
      </c>
      <c r="R945" s="55" t="str">
        <f>IF(AC945=1,P945*60/Q945,"")</f>
        <v/>
      </c>
      <c r="S945" s="55" t="str">
        <f>IF(AC945=1,N(G945)*60/Q945,"")</f>
        <v/>
      </c>
      <c r="T945" s="57" t="str">
        <f>IF(AC945=1,O945/M945,"")</f>
        <v/>
      </c>
      <c r="U945" s="57" t="str">
        <f>IF(AC945=1,IF(O945&gt;0,R945/O945,""),"")</f>
        <v/>
      </c>
      <c r="V945" s="57" t="str">
        <f>IF(AC945=1,IF(P945&gt;0,N(G945)/P945,""),"")</f>
        <v/>
      </c>
      <c r="W945" s="57" t="str">
        <f>IF(AC945=1,S945/M945,"")</f>
        <v/>
      </c>
      <c r="X945" s="57" t="str">
        <f>IF(AC945=1,S945/K945,"")</f>
        <v/>
      </c>
      <c r="Y945" s="58" t="str">
        <f>IF(W945="","",IF(W945&gt;=p_target,"Bon",IF(W945&gt;=p_alert,"À surveiller","Faible")))</f>
        <v/>
      </c>
      <c r="Z945" s="58" t="str">
        <f>IF(W945="","",IF(MIN(IF(T945="",1,T945),IF(U945="",1,U945),IF(V945="",1,V945))&gt;=1,"Aucune",IF(IF(T945="",1,T945)&lt;=MIN(IF(U945="",1,U945),IF(V945="",1,V945)),"Disponibilité",IF(IF(U945="",1,U945)&lt;=IF(V945="",1,V945),"Performance","Qualité"))))</f>
        <v/>
      </c>
      <c r="AA945" s="59" t="str">
        <f>IF(AC945=1,N(H945)*N(IFERROR(INDEX(art_cost,MATCH(E945,art_ref,0)),0)),"")</f>
        <v/>
      </c>
      <c r="AB945" s="58" t="str">
        <f>IF(COUNTA(A945:I945)=0,"",IF(N(A945)&lt;=0,"Date manquante ou invalide",IF(B945="","Équipe manquante",IF(ISNA(MATCH(B945,eq_code,0)),"Équipe inconnue",IF(INDEX(eq_check,MATCH(B945,eq_code,0))&lt;&gt;"OK","Équipe à corriger dans Paramètres",IF(C945="","Poste manquant",IF(ISNA(MATCH(C945,po_code,0)),"Poste inconnu",IF(AND(E945&lt;&gt;"",ISNA(MATCH(E945,art_ref,0))),"Article inconnu",IF(IF(E945="",FALSE,INDEX(art_check,MATCH(E945,art_ref,0))&lt;&gt;"OK"),"Article à corriger (feuille Articles)",IF(COUNTIFS(sj_date,A945,sj_eq,B945,sj_po,C945)&gt;1,"Ligne en double (même jour, équipe et poste)",IF(OR(NOT(ISNUMBER(K945)),N(K945)&lt;=0,N(K945)&gt;1440),"Temps d'ouverture invalide",IF(OR(AND(G945&lt;&gt;"",NOT(ISNUMBER(G945))),N(G945)&lt;0,N(G945)&lt;&gt;INT(N(G945)),AND(H945&lt;&gt;"",NOT(ISNUMBER(H945))),N(H945)&lt;0,N(H945)&lt;&gt;INT(N(H945)),AND(I945&lt;&gt;"",NOT(ISNUMBER(I945))),N(I945)&lt;0,N(I945)&lt;&gt;INT(N(I945))),"Quantité invalide",IF(Q945&lt;=0,"Cadence manquante (poste ou article)",IF(M945&lt;=0,"Arrêts planifiés supérieurs au temps d'ouverture",IF(O945&lt;0,"Arrêts supérieurs au temps requis",IF(AND(P945&gt;0,O945=0),"Pièces déclarées sans temps de marche",IF(AND(P945=0,O945&gt;0),"Aucune pièce déclarée",IF(P945*60/Q945&gt;O945+0.001,"Cadence dépassée : vérifiez la cadence","OK"))))))))))))))))))</f>
        <v/>
      </c>
      <c r="AC945">
        <f>IF(OR(AB945="OK",AB945="Aucune pièce déclarée",AB945="Cadence dépassée : vérifiez la cadence"),1,0)</f>
        <v>0.0</v>
      </c>
      <c r="AD945">
        <f>IF(AND(AC945=1,A945&gt;=p_from,A945&lt;=p_to),1,0)</f>
        <v>0.0</v>
      </c>
      <c r="AE945">
        <f>IF(AD945=1,IF(COUNTIFS($A$6:A945,A945,$AD$6:AD945,1)=1,1,0),0)</f>
        <v>0.0</v>
      </c>
      <c r="AF945" t="str">
        <f>IF(AE945=1,COUNTIFS(sj_first,1,sj_date,"&lt;"&amp;A945)+1,"")</f>
        <v/>
      </c>
      <c r="AG945" t="str">
        <f>IF(AND(AD945=1,N(W945)&lt;p_alert),ROUND(W945,4),"")</f>
        <v/>
      </c>
      <c r="AH945" t="str">
        <f>IF(AG945="","",COUNTIF(sj_akey,"&lt;"&amp;AG945)+COUNTIF($AG$6:AG945,AG945))</f>
        <v/>
      </c>
    </row>
    <row r="946">
      <c r="A946" s="51" t="n"/>
      <c r="B946" s="52" t="n"/>
      <c r="C946" s="52" t="n"/>
      <c r="D946" s="53" t="n"/>
      <c r="E946" s="53" t="n"/>
      <c r="F946" s="54" t="n"/>
      <c r="G946" s="54" t="n"/>
      <c r="H946" s="54" t="n"/>
      <c r="I946" s="54" t="n"/>
      <c r="J946" s="53" t="n"/>
      <c r="K946" s="55" t="str">
        <f>IF(COUNTA(A946:I946)=0,"",IF(F946="",IFERROR(INDEX(eq_dur,MATCH(B946,eq_code,0)),""),F946))</f>
        <v/>
      </c>
      <c r="L946" s="55" t="str">
        <f>IF(ISNUMBER(K946),N(IFERROR(INDEX(eq_pause,MATCH(B946,eq_code,0)),0))+SUMIFS(st_min,st_date,A946,st_eq,B946,st_po,C946,st_type,"Planifié"),"")</f>
        <v/>
      </c>
      <c r="M946" s="55" t="str">
        <f>IF(ISNUMBER(K946),K946-L946,"")</f>
        <v/>
      </c>
      <c r="N946" s="55" t="str">
        <f>IF(ISNUMBER(K946),SUMIFS(st_min,st_date,A946,st_eq,B946,st_po,C946,st_type,"Non planifié"),"")</f>
        <v/>
      </c>
      <c r="O946" s="55" t="str">
        <f>IF(ISNUMBER(K946),M946-N946,"")</f>
        <v/>
      </c>
      <c r="P946" s="55" t="str">
        <f>IF(COUNTA(A946:I946)=0,"",N(G946)+N(H946)+N(I946))</f>
        <v/>
      </c>
      <c r="Q946" s="56" t="str">
        <f>IF(COUNTA(A946:I946)=0,"",IF(N(IFERROR(INDEX(art_rate,MATCH(E946,art_ref,0)),0))&gt;0,N(IFERROR(INDEX(art_rate,MATCH(E946,art_ref,0)),0)),N(IFERROR(INDEX(po_rate,MATCH(C946,po_code,0)),0))))</f>
        <v/>
      </c>
      <c r="R946" s="55" t="str">
        <f>IF(AC946=1,P946*60/Q946,"")</f>
        <v/>
      </c>
      <c r="S946" s="55" t="str">
        <f>IF(AC946=1,N(G946)*60/Q946,"")</f>
        <v/>
      </c>
      <c r="T946" s="57" t="str">
        <f>IF(AC946=1,O946/M946,"")</f>
        <v/>
      </c>
      <c r="U946" s="57" t="str">
        <f>IF(AC946=1,IF(O946&gt;0,R946/O946,""),"")</f>
        <v/>
      </c>
      <c r="V946" s="57" t="str">
        <f>IF(AC946=1,IF(P946&gt;0,N(G946)/P946,""),"")</f>
        <v/>
      </c>
      <c r="W946" s="57" t="str">
        <f>IF(AC946=1,S946/M946,"")</f>
        <v/>
      </c>
      <c r="X946" s="57" t="str">
        <f>IF(AC946=1,S946/K946,"")</f>
        <v/>
      </c>
      <c r="Y946" s="58" t="str">
        <f>IF(W946="","",IF(W946&gt;=p_target,"Bon",IF(W946&gt;=p_alert,"À surveiller","Faible")))</f>
        <v/>
      </c>
      <c r="Z946" s="58" t="str">
        <f>IF(W946="","",IF(MIN(IF(T946="",1,T946),IF(U946="",1,U946),IF(V946="",1,V946))&gt;=1,"Aucune",IF(IF(T946="",1,T946)&lt;=MIN(IF(U946="",1,U946),IF(V946="",1,V946)),"Disponibilité",IF(IF(U946="",1,U946)&lt;=IF(V946="",1,V946),"Performance","Qualité"))))</f>
        <v/>
      </c>
      <c r="AA946" s="59" t="str">
        <f>IF(AC946=1,N(H946)*N(IFERROR(INDEX(art_cost,MATCH(E946,art_ref,0)),0)),"")</f>
        <v/>
      </c>
      <c r="AB946" s="58" t="str">
        <f>IF(COUNTA(A946:I946)=0,"",IF(N(A946)&lt;=0,"Date manquante ou invalide",IF(B946="","Équipe manquante",IF(ISNA(MATCH(B946,eq_code,0)),"Équipe inconnue",IF(INDEX(eq_check,MATCH(B946,eq_code,0))&lt;&gt;"OK","Équipe à corriger dans Paramètres",IF(C946="","Poste manquant",IF(ISNA(MATCH(C946,po_code,0)),"Poste inconnu",IF(AND(E946&lt;&gt;"",ISNA(MATCH(E946,art_ref,0))),"Article inconnu",IF(IF(E946="",FALSE,INDEX(art_check,MATCH(E946,art_ref,0))&lt;&gt;"OK"),"Article à corriger (feuille Articles)",IF(COUNTIFS(sj_date,A946,sj_eq,B946,sj_po,C946)&gt;1,"Ligne en double (même jour, équipe et poste)",IF(OR(NOT(ISNUMBER(K946)),N(K946)&lt;=0,N(K946)&gt;1440),"Temps d'ouverture invalide",IF(OR(AND(G946&lt;&gt;"",NOT(ISNUMBER(G946))),N(G946)&lt;0,N(G946)&lt;&gt;INT(N(G946)),AND(H946&lt;&gt;"",NOT(ISNUMBER(H946))),N(H946)&lt;0,N(H946)&lt;&gt;INT(N(H946)),AND(I946&lt;&gt;"",NOT(ISNUMBER(I946))),N(I946)&lt;0,N(I946)&lt;&gt;INT(N(I946))),"Quantité invalide",IF(Q946&lt;=0,"Cadence manquante (poste ou article)",IF(M946&lt;=0,"Arrêts planifiés supérieurs au temps d'ouverture",IF(O946&lt;0,"Arrêts supérieurs au temps requis",IF(AND(P946&gt;0,O946=0),"Pièces déclarées sans temps de marche",IF(AND(P946=0,O946&gt;0),"Aucune pièce déclarée",IF(P946*60/Q946&gt;O946+0.001,"Cadence dépassée : vérifiez la cadence","OK"))))))))))))))))))</f>
        <v/>
      </c>
      <c r="AC946">
        <f>IF(OR(AB946="OK",AB946="Aucune pièce déclarée",AB946="Cadence dépassée : vérifiez la cadence"),1,0)</f>
        <v>0.0</v>
      </c>
      <c r="AD946">
        <f>IF(AND(AC946=1,A946&gt;=p_from,A946&lt;=p_to),1,0)</f>
        <v>0.0</v>
      </c>
      <c r="AE946">
        <f>IF(AD946=1,IF(COUNTIFS($A$6:A946,A946,$AD$6:AD946,1)=1,1,0),0)</f>
        <v>0.0</v>
      </c>
      <c r="AF946" t="str">
        <f>IF(AE946=1,COUNTIFS(sj_first,1,sj_date,"&lt;"&amp;A946)+1,"")</f>
        <v/>
      </c>
      <c r="AG946" t="str">
        <f>IF(AND(AD946=1,N(W946)&lt;p_alert),ROUND(W946,4),"")</f>
        <v/>
      </c>
      <c r="AH946" t="str">
        <f>IF(AG946="","",COUNTIF(sj_akey,"&lt;"&amp;AG946)+COUNTIF($AG$6:AG946,AG946))</f>
        <v/>
      </c>
    </row>
    <row r="947">
      <c r="A947" s="51" t="n"/>
      <c r="B947" s="52" t="n"/>
      <c r="C947" s="52" t="n"/>
      <c r="D947" s="53" t="n"/>
      <c r="E947" s="53" t="n"/>
      <c r="F947" s="54" t="n"/>
      <c r="G947" s="54" t="n"/>
      <c r="H947" s="54" t="n"/>
      <c r="I947" s="54" t="n"/>
      <c r="J947" s="53" t="n"/>
      <c r="K947" s="55" t="str">
        <f>IF(COUNTA(A947:I947)=0,"",IF(F947="",IFERROR(INDEX(eq_dur,MATCH(B947,eq_code,0)),""),F947))</f>
        <v/>
      </c>
      <c r="L947" s="55" t="str">
        <f>IF(ISNUMBER(K947),N(IFERROR(INDEX(eq_pause,MATCH(B947,eq_code,0)),0))+SUMIFS(st_min,st_date,A947,st_eq,B947,st_po,C947,st_type,"Planifié"),"")</f>
        <v/>
      </c>
      <c r="M947" s="55" t="str">
        <f>IF(ISNUMBER(K947),K947-L947,"")</f>
        <v/>
      </c>
      <c r="N947" s="55" t="str">
        <f>IF(ISNUMBER(K947),SUMIFS(st_min,st_date,A947,st_eq,B947,st_po,C947,st_type,"Non planifié"),"")</f>
        <v/>
      </c>
      <c r="O947" s="55" t="str">
        <f>IF(ISNUMBER(K947),M947-N947,"")</f>
        <v/>
      </c>
      <c r="P947" s="55" t="str">
        <f>IF(COUNTA(A947:I947)=0,"",N(G947)+N(H947)+N(I947))</f>
        <v/>
      </c>
      <c r="Q947" s="56" t="str">
        <f>IF(COUNTA(A947:I947)=0,"",IF(N(IFERROR(INDEX(art_rate,MATCH(E947,art_ref,0)),0))&gt;0,N(IFERROR(INDEX(art_rate,MATCH(E947,art_ref,0)),0)),N(IFERROR(INDEX(po_rate,MATCH(C947,po_code,0)),0))))</f>
        <v/>
      </c>
      <c r="R947" s="55" t="str">
        <f>IF(AC947=1,P947*60/Q947,"")</f>
        <v/>
      </c>
      <c r="S947" s="55" t="str">
        <f>IF(AC947=1,N(G947)*60/Q947,"")</f>
        <v/>
      </c>
      <c r="T947" s="57" t="str">
        <f>IF(AC947=1,O947/M947,"")</f>
        <v/>
      </c>
      <c r="U947" s="57" t="str">
        <f>IF(AC947=1,IF(O947&gt;0,R947/O947,""),"")</f>
        <v/>
      </c>
      <c r="V947" s="57" t="str">
        <f>IF(AC947=1,IF(P947&gt;0,N(G947)/P947,""),"")</f>
        <v/>
      </c>
      <c r="W947" s="57" t="str">
        <f>IF(AC947=1,S947/M947,"")</f>
        <v/>
      </c>
      <c r="X947" s="57" t="str">
        <f>IF(AC947=1,S947/K947,"")</f>
        <v/>
      </c>
      <c r="Y947" s="58" t="str">
        <f>IF(W947="","",IF(W947&gt;=p_target,"Bon",IF(W947&gt;=p_alert,"À surveiller","Faible")))</f>
        <v/>
      </c>
      <c r="Z947" s="58" t="str">
        <f>IF(W947="","",IF(MIN(IF(T947="",1,T947),IF(U947="",1,U947),IF(V947="",1,V947))&gt;=1,"Aucune",IF(IF(T947="",1,T947)&lt;=MIN(IF(U947="",1,U947),IF(V947="",1,V947)),"Disponibilité",IF(IF(U947="",1,U947)&lt;=IF(V947="",1,V947),"Performance","Qualité"))))</f>
        <v/>
      </c>
      <c r="AA947" s="59" t="str">
        <f>IF(AC947=1,N(H947)*N(IFERROR(INDEX(art_cost,MATCH(E947,art_ref,0)),0)),"")</f>
        <v/>
      </c>
      <c r="AB947" s="58" t="str">
        <f>IF(COUNTA(A947:I947)=0,"",IF(N(A947)&lt;=0,"Date manquante ou invalide",IF(B947="","Équipe manquante",IF(ISNA(MATCH(B947,eq_code,0)),"Équipe inconnue",IF(INDEX(eq_check,MATCH(B947,eq_code,0))&lt;&gt;"OK","Équipe à corriger dans Paramètres",IF(C947="","Poste manquant",IF(ISNA(MATCH(C947,po_code,0)),"Poste inconnu",IF(AND(E947&lt;&gt;"",ISNA(MATCH(E947,art_ref,0))),"Article inconnu",IF(IF(E947="",FALSE,INDEX(art_check,MATCH(E947,art_ref,0))&lt;&gt;"OK"),"Article à corriger (feuille Articles)",IF(COUNTIFS(sj_date,A947,sj_eq,B947,sj_po,C947)&gt;1,"Ligne en double (même jour, équipe et poste)",IF(OR(NOT(ISNUMBER(K947)),N(K947)&lt;=0,N(K947)&gt;1440),"Temps d'ouverture invalide",IF(OR(AND(G947&lt;&gt;"",NOT(ISNUMBER(G947))),N(G947)&lt;0,N(G947)&lt;&gt;INT(N(G947)),AND(H947&lt;&gt;"",NOT(ISNUMBER(H947))),N(H947)&lt;0,N(H947)&lt;&gt;INT(N(H947)),AND(I947&lt;&gt;"",NOT(ISNUMBER(I947))),N(I947)&lt;0,N(I947)&lt;&gt;INT(N(I947))),"Quantité invalide",IF(Q947&lt;=0,"Cadence manquante (poste ou article)",IF(M947&lt;=0,"Arrêts planifiés supérieurs au temps d'ouverture",IF(O947&lt;0,"Arrêts supérieurs au temps requis",IF(AND(P947&gt;0,O947=0),"Pièces déclarées sans temps de marche",IF(AND(P947=0,O947&gt;0),"Aucune pièce déclarée",IF(P947*60/Q947&gt;O947+0.001,"Cadence dépassée : vérifiez la cadence","OK"))))))))))))))))))</f>
        <v/>
      </c>
      <c r="AC947">
        <f>IF(OR(AB947="OK",AB947="Aucune pièce déclarée",AB947="Cadence dépassée : vérifiez la cadence"),1,0)</f>
        <v>0.0</v>
      </c>
      <c r="AD947">
        <f>IF(AND(AC947=1,A947&gt;=p_from,A947&lt;=p_to),1,0)</f>
        <v>0.0</v>
      </c>
      <c r="AE947">
        <f>IF(AD947=1,IF(COUNTIFS($A$6:A947,A947,$AD$6:AD947,1)=1,1,0),0)</f>
        <v>0.0</v>
      </c>
      <c r="AF947" t="str">
        <f>IF(AE947=1,COUNTIFS(sj_first,1,sj_date,"&lt;"&amp;A947)+1,"")</f>
        <v/>
      </c>
      <c r="AG947" t="str">
        <f>IF(AND(AD947=1,N(W947)&lt;p_alert),ROUND(W947,4),"")</f>
        <v/>
      </c>
      <c r="AH947" t="str">
        <f>IF(AG947="","",COUNTIF(sj_akey,"&lt;"&amp;AG947)+COUNTIF($AG$6:AG947,AG947))</f>
        <v/>
      </c>
    </row>
    <row r="948">
      <c r="A948" s="51" t="n"/>
      <c r="B948" s="52" t="n"/>
      <c r="C948" s="52" t="n"/>
      <c r="D948" s="53" t="n"/>
      <c r="E948" s="53" t="n"/>
      <c r="F948" s="54" t="n"/>
      <c r="G948" s="54" t="n"/>
      <c r="H948" s="54" t="n"/>
      <c r="I948" s="54" t="n"/>
      <c r="J948" s="53" t="n"/>
      <c r="K948" s="55" t="str">
        <f>IF(COUNTA(A948:I948)=0,"",IF(F948="",IFERROR(INDEX(eq_dur,MATCH(B948,eq_code,0)),""),F948))</f>
        <v/>
      </c>
      <c r="L948" s="55" t="str">
        <f>IF(ISNUMBER(K948),N(IFERROR(INDEX(eq_pause,MATCH(B948,eq_code,0)),0))+SUMIFS(st_min,st_date,A948,st_eq,B948,st_po,C948,st_type,"Planifié"),"")</f>
        <v/>
      </c>
      <c r="M948" s="55" t="str">
        <f>IF(ISNUMBER(K948),K948-L948,"")</f>
        <v/>
      </c>
      <c r="N948" s="55" t="str">
        <f>IF(ISNUMBER(K948),SUMIFS(st_min,st_date,A948,st_eq,B948,st_po,C948,st_type,"Non planifié"),"")</f>
        <v/>
      </c>
      <c r="O948" s="55" t="str">
        <f>IF(ISNUMBER(K948),M948-N948,"")</f>
        <v/>
      </c>
      <c r="P948" s="55" t="str">
        <f>IF(COUNTA(A948:I948)=0,"",N(G948)+N(H948)+N(I948))</f>
        <v/>
      </c>
      <c r="Q948" s="56" t="str">
        <f>IF(COUNTA(A948:I948)=0,"",IF(N(IFERROR(INDEX(art_rate,MATCH(E948,art_ref,0)),0))&gt;0,N(IFERROR(INDEX(art_rate,MATCH(E948,art_ref,0)),0)),N(IFERROR(INDEX(po_rate,MATCH(C948,po_code,0)),0))))</f>
        <v/>
      </c>
      <c r="R948" s="55" t="str">
        <f>IF(AC948=1,P948*60/Q948,"")</f>
        <v/>
      </c>
      <c r="S948" s="55" t="str">
        <f>IF(AC948=1,N(G948)*60/Q948,"")</f>
        <v/>
      </c>
      <c r="T948" s="57" t="str">
        <f>IF(AC948=1,O948/M948,"")</f>
        <v/>
      </c>
      <c r="U948" s="57" t="str">
        <f>IF(AC948=1,IF(O948&gt;0,R948/O948,""),"")</f>
        <v/>
      </c>
      <c r="V948" s="57" t="str">
        <f>IF(AC948=1,IF(P948&gt;0,N(G948)/P948,""),"")</f>
        <v/>
      </c>
      <c r="W948" s="57" t="str">
        <f>IF(AC948=1,S948/M948,"")</f>
        <v/>
      </c>
      <c r="X948" s="57" t="str">
        <f>IF(AC948=1,S948/K948,"")</f>
        <v/>
      </c>
      <c r="Y948" s="58" t="str">
        <f>IF(W948="","",IF(W948&gt;=p_target,"Bon",IF(W948&gt;=p_alert,"À surveiller","Faible")))</f>
        <v/>
      </c>
      <c r="Z948" s="58" t="str">
        <f>IF(W948="","",IF(MIN(IF(T948="",1,T948),IF(U948="",1,U948),IF(V948="",1,V948))&gt;=1,"Aucune",IF(IF(T948="",1,T948)&lt;=MIN(IF(U948="",1,U948),IF(V948="",1,V948)),"Disponibilité",IF(IF(U948="",1,U948)&lt;=IF(V948="",1,V948),"Performance","Qualité"))))</f>
        <v/>
      </c>
      <c r="AA948" s="59" t="str">
        <f>IF(AC948=1,N(H948)*N(IFERROR(INDEX(art_cost,MATCH(E948,art_ref,0)),0)),"")</f>
        <v/>
      </c>
      <c r="AB948" s="58" t="str">
        <f>IF(COUNTA(A948:I948)=0,"",IF(N(A948)&lt;=0,"Date manquante ou invalide",IF(B948="","Équipe manquante",IF(ISNA(MATCH(B948,eq_code,0)),"Équipe inconnue",IF(INDEX(eq_check,MATCH(B948,eq_code,0))&lt;&gt;"OK","Équipe à corriger dans Paramètres",IF(C948="","Poste manquant",IF(ISNA(MATCH(C948,po_code,0)),"Poste inconnu",IF(AND(E948&lt;&gt;"",ISNA(MATCH(E948,art_ref,0))),"Article inconnu",IF(IF(E948="",FALSE,INDEX(art_check,MATCH(E948,art_ref,0))&lt;&gt;"OK"),"Article à corriger (feuille Articles)",IF(COUNTIFS(sj_date,A948,sj_eq,B948,sj_po,C948)&gt;1,"Ligne en double (même jour, équipe et poste)",IF(OR(NOT(ISNUMBER(K948)),N(K948)&lt;=0,N(K948)&gt;1440),"Temps d'ouverture invalide",IF(OR(AND(G948&lt;&gt;"",NOT(ISNUMBER(G948))),N(G948)&lt;0,N(G948)&lt;&gt;INT(N(G948)),AND(H948&lt;&gt;"",NOT(ISNUMBER(H948))),N(H948)&lt;0,N(H948)&lt;&gt;INT(N(H948)),AND(I948&lt;&gt;"",NOT(ISNUMBER(I948))),N(I948)&lt;0,N(I948)&lt;&gt;INT(N(I948))),"Quantité invalide",IF(Q948&lt;=0,"Cadence manquante (poste ou article)",IF(M948&lt;=0,"Arrêts planifiés supérieurs au temps d'ouverture",IF(O948&lt;0,"Arrêts supérieurs au temps requis",IF(AND(P948&gt;0,O948=0),"Pièces déclarées sans temps de marche",IF(AND(P948=0,O948&gt;0),"Aucune pièce déclarée",IF(P948*60/Q948&gt;O948+0.001,"Cadence dépassée : vérifiez la cadence","OK"))))))))))))))))))</f>
        <v/>
      </c>
      <c r="AC948">
        <f>IF(OR(AB948="OK",AB948="Aucune pièce déclarée",AB948="Cadence dépassée : vérifiez la cadence"),1,0)</f>
        <v>0.0</v>
      </c>
      <c r="AD948">
        <f>IF(AND(AC948=1,A948&gt;=p_from,A948&lt;=p_to),1,0)</f>
        <v>0.0</v>
      </c>
      <c r="AE948">
        <f>IF(AD948=1,IF(COUNTIFS($A$6:A948,A948,$AD$6:AD948,1)=1,1,0),0)</f>
        <v>0.0</v>
      </c>
      <c r="AF948" t="str">
        <f>IF(AE948=1,COUNTIFS(sj_first,1,sj_date,"&lt;"&amp;A948)+1,"")</f>
        <v/>
      </c>
      <c r="AG948" t="str">
        <f>IF(AND(AD948=1,N(W948)&lt;p_alert),ROUND(W948,4),"")</f>
        <v/>
      </c>
      <c r="AH948" t="str">
        <f>IF(AG948="","",COUNTIF(sj_akey,"&lt;"&amp;AG948)+COUNTIF($AG$6:AG948,AG948))</f>
        <v/>
      </c>
    </row>
    <row r="949">
      <c r="A949" s="51" t="n"/>
      <c r="B949" s="52" t="n"/>
      <c r="C949" s="52" t="n"/>
      <c r="D949" s="53" t="n"/>
      <c r="E949" s="53" t="n"/>
      <c r="F949" s="54" t="n"/>
      <c r="G949" s="54" t="n"/>
      <c r="H949" s="54" t="n"/>
      <c r="I949" s="54" t="n"/>
      <c r="J949" s="53" t="n"/>
      <c r="K949" s="55" t="str">
        <f>IF(COUNTA(A949:I949)=0,"",IF(F949="",IFERROR(INDEX(eq_dur,MATCH(B949,eq_code,0)),""),F949))</f>
        <v/>
      </c>
      <c r="L949" s="55" t="str">
        <f>IF(ISNUMBER(K949),N(IFERROR(INDEX(eq_pause,MATCH(B949,eq_code,0)),0))+SUMIFS(st_min,st_date,A949,st_eq,B949,st_po,C949,st_type,"Planifié"),"")</f>
        <v/>
      </c>
      <c r="M949" s="55" t="str">
        <f>IF(ISNUMBER(K949),K949-L949,"")</f>
        <v/>
      </c>
      <c r="N949" s="55" t="str">
        <f>IF(ISNUMBER(K949),SUMIFS(st_min,st_date,A949,st_eq,B949,st_po,C949,st_type,"Non planifié"),"")</f>
        <v/>
      </c>
      <c r="O949" s="55" t="str">
        <f>IF(ISNUMBER(K949),M949-N949,"")</f>
        <v/>
      </c>
      <c r="P949" s="55" t="str">
        <f>IF(COUNTA(A949:I949)=0,"",N(G949)+N(H949)+N(I949))</f>
        <v/>
      </c>
      <c r="Q949" s="56" t="str">
        <f>IF(COUNTA(A949:I949)=0,"",IF(N(IFERROR(INDEX(art_rate,MATCH(E949,art_ref,0)),0))&gt;0,N(IFERROR(INDEX(art_rate,MATCH(E949,art_ref,0)),0)),N(IFERROR(INDEX(po_rate,MATCH(C949,po_code,0)),0))))</f>
        <v/>
      </c>
      <c r="R949" s="55" t="str">
        <f>IF(AC949=1,P949*60/Q949,"")</f>
        <v/>
      </c>
      <c r="S949" s="55" t="str">
        <f>IF(AC949=1,N(G949)*60/Q949,"")</f>
        <v/>
      </c>
      <c r="T949" s="57" t="str">
        <f>IF(AC949=1,O949/M949,"")</f>
        <v/>
      </c>
      <c r="U949" s="57" t="str">
        <f>IF(AC949=1,IF(O949&gt;0,R949/O949,""),"")</f>
        <v/>
      </c>
      <c r="V949" s="57" t="str">
        <f>IF(AC949=1,IF(P949&gt;0,N(G949)/P949,""),"")</f>
        <v/>
      </c>
      <c r="W949" s="57" t="str">
        <f>IF(AC949=1,S949/M949,"")</f>
        <v/>
      </c>
      <c r="X949" s="57" t="str">
        <f>IF(AC949=1,S949/K949,"")</f>
        <v/>
      </c>
      <c r="Y949" s="58" t="str">
        <f>IF(W949="","",IF(W949&gt;=p_target,"Bon",IF(W949&gt;=p_alert,"À surveiller","Faible")))</f>
        <v/>
      </c>
      <c r="Z949" s="58" t="str">
        <f>IF(W949="","",IF(MIN(IF(T949="",1,T949),IF(U949="",1,U949),IF(V949="",1,V949))&gt;=1,"Aucune",IF(IF(T949="",1,T949)&lt;=MIN(IF(U949="",1,U949),IF(V949="",1,V949)),"Disponibilité",IF(IF(U949="",1,U949)&lt;=IF(V949="",1,V949),"Performance","Qualité"))))</f>
        <v/>
      </c>
      <c r="AA949" s="59" t="str">
        <f>IF(AC949=1,N(H949)*N(IFERROR(INDEX(art_cost,MATCH(E949,art_ref,0)),0)),"")</f>
        <v/>
      </c>
      <c r="AB949" s="58" t="str">
        <f>IF(COUNTA(A949:I949)=0,"",IF(N(A949)&lt;=0,"Date manquante ou invalide",IF(B949="","Équipe manquante",IF(ISNA(MATCH(B949,eq_code,0)),"Équipe inconnue",IF(INDEX(eq_check,MATCH(B949,eq_code,0))&lt;&gt;"OK","Équipe à corriger dans Paramètres",IF(C949="","Poste manquant",IF(ISNA(MATCH(C949,po_code,0)),"Poste inconnu",IF(AND(E949&lt;&gt;"",ISNA(MATCH(E949,art_ref,0))),"Article inconnu",IF(IF(E949="",FALSE,INDEX(art_check,MATCH(E949,art_ref,0))&lt;&gt;"OK"),"Article à corriger (feuille Articles)",IF(COUNTIFS(sj_date,A949,sj_eq,B949,sj_po,C949)&gt;1,"Ligne en double (même jour, équipe et poste)",IF(OR(NOT(ISNUMBER(K949)),N(K949)&lt;=0,N(K949)&gt;1440),"Temps d'ouverture invalide",IF(OR(AND(G949&lt;&gt;"",NOT(ISNUMBER(G949))),N(G949)&lt;0,N(G949)&lt;&gt;INT(N(G949)),AND(H949&lt;&gt;"",NOT(ISNUMBER(H949))),N(H949)&lt;0,N(H949)&lt;&gt;INT(N(H949)),AND(I949&lt;&gt;"",NOT(ISNUMBER(I949))),N(I949)&lt;0,N(I949)&lt;&gt;INT(N(I949))),"Quantité invalide",IF(Q949&lt;=0,"Cadence manquante (poste ou article)",IF(M949&lt;=0,"Arrêts planifiés supérieurs au temps d'ouverture",IF(O949&lt;0,"Arrêts supérieurs au temps requis",IF(AND(P949&gt;0,O949=0),"Pièces déclarées sans temps de marche",IF(AND(P949=0,O949&gt;0),"Aucune pièce déclarée",IF(P949*60/Q949&gt;O949+0.001,"Cadence dépassée : vérifiez la cadence","OK"))))))))))))))))))</f>
        <v/>
      </c>
      <c r="AC949">
        <f>IF(OR(AB949="OK",AB949="Aucune pièce déclarée",AB949="Cadence dépassée : vérifiez la cadence"),1,0)</f>
        <v>0.0</v>
      </c>
      <c r="AD949">
        <f>IF(AND(AC949=1,A949&gt;=p_from,A949&lt;=p_to),1,0)</f>
        <v>0.0</v>
      </c>
      <c r="AE949">
        <f>IF(AD949=1,IF(COUNTIFS($A$6:A949,A949,$AD$6:AD949,1)=1,1,0),0)</f>
        <v>0.0</v>
      </c>
      <c r="AF949" t="str">
        <f>IF(AE949=1,COUNTIFS(sj_first,1,sj_date,"&lt;"&amp;A949)+1,"")</f>
        <v/>
      </c>
      <c r="AG949" t="str">
        <f>IF(AND(AD949=1,N(W949)&lt;p_alert),ROUND(W949,4),"")</f>
        <v/>
      </c>
      <c r="AH949" t="str">
        <f>IF(AG949="","",COUNTIF(sj_akey,"&lt;"&amp;AG949)+COUNTIF($AG$6:AG949,AG949))</f>
        <v/>
      </c>
    </row>
    <row r="950">
      <c r="A950" s="51" t="n"/>
      <c r="B950" s="52" t="n"/>
      <c r="C950" s="52" t="n"/>
      <c r="D950" s="53" t="n"/>
      <c r="E950" s="53" t="n"/>
      <c r="F950" s="54" t="n"/>
      <c r="G950" s="54" t="n"/>
      <c r="H950" s="54" t="n"/>
      <c r="I950" s="54" t="n"/>
      <c r="J950" s="53" t="n"/>
      <c r="K950" s="55" t="str">
        <f>IF(COUNTA(A950:I950)=0,"",IF(F950="",IFERROR(INDEX(eq_dur,MATCH(B950,eq_code,0)),""),F950))</f>
        <v/>
      </c>
      <c r="L950" s="55" t="str">
        <f>IF(ISNUMBER(K950),N(IFERROR(INDEX(eq_pause,MATCH(B950,eq_code,0)),0))+SUMIFS(st_min,st_date,A950,st_eq,B950,st_po,C950,st_type,"Planifié"),"")</f>
        <v/>
      </c>
      <c r="M950" s="55" t="str">
        <f>IF(ISNUMBER(K950),K950-L950,"")</f>
        <v/>
      </c>
      <c r="N950" s="55" t="str">
        <f>IF(ISNUMBER(K950),SUMIFS(st_min,st_date,A950,st_eq,B950,st_po,C950,st_type,"Non planifié"),"")</f>
        <v/>
      </c>
      <c r="O950" s="55" t="str">
        <f>IF(ISNUMBER(K950),M950-N950,"")</f>
        <v/>
      </c>
      <c r="P950" s="55" t="str">
        <f>IF(COUNTA(A950:I950)=0,"",N(G950)+N(H950)+N(I950))</f>
        <v/>
      </c>
      <c r="Q950" s="56" t="str">
        <f>IF(COUNTA(A950:I950)=0,"",IF(N(IFERROR(INDEX(art_rate,MATCH(E950,art_ref,0)),0))&gt;0,N(IFERROR(INDEX(art_rate,MATCH(E950,art_ref,0)),0)),N(IFERROR(INDEX(po_rate,MATCH(C950,po_code,0)),0))))</f>
        <v/>
      </c>
      <c r="R950" s="55" t="str">
        <f>IF(AC950=1,P950*60/Q950,"")</f>
        <v/>
      </c>
      <c r="S950" s="55" t="str">
        <f>IF(AC950=1,N(G950)*60/Q950,"")</f>
        <v/>
      </c>
      <c r="T950" s="57" t="str">
        <f>IF(AC950=1,O950/M950,"")</f>
        <v/>
      </c>
      <c r="U950" s="57" t="str">
        <f>IF(AC950=1,IF(O950&gt;0,R950/O950,""),"")</f>
        <v/>
      </c>
      <c r="V950" s="57" t="str">
        <f>IF(AC950=1,IF(P950&gt;0,N(G950)/P950,""),"")</f>
        <v/>
      </c>
      <c r="W950" s="57" t="str">
        <f>IF(AC950=1,S950/M950,"")</f>
        <v/>
      </c>
      <c r="X950" s="57" t="str">
        <f>IF(AC950=1,S950/K950,"")</f>
        <v/>
      </c>
      <c r="Y950" s="58" t="str">
        <f>IF(W950="","",IF(W950&gt;=p_target,"Bon",IF(W950&gt;=p_alert,"À surveiller","Faible")))</f>
        <v/>
      </c>
      <c r="Z950" s="58" t="str">
        <f>IF(W950="","",IF(MIN(IF(T950="",1,T950),IF(U950="",1,U950),IF(V950="",1,V950))&gt;=1,"Aucune",IF(IF(T950="",1,T950)&lt;=MIN(IF(U950="",1,U950),IF(V950="",1,V950)),"Disponibilité",IF(IF(U950="",1,U950)&lt;=IF(V950="",1,V950),"Performance","Qualité"))))</f>
        <v/>
      </c>
      <c r="AA950" s="59" t="str">
        <f>IF(AC950=1,N(H950)*N(IFERROR(INDEX(art_cost,MATCH(E950,art_ref,0)),0)),"")</f>
        <v/>
      </c>
      <c r="AB950" s="58" t="str">
        <f>IF(COUNTA(A950:I950)=0,"",IF(N(A950)&lt;=0,"Date manquante ou invalide",IF(B950="","Équipe manquante",IF(ISNA(MATCH(B950,eq_code,0)),"Équipe inconnue",IF(INDEX(eq_check,MATCH(B950,eq_code,0))&lt;&gt;"OK","Équipe à corriger dans Paramètres",IF(C950="","Poste manquant",IF(ISNA(MATCH(C950,po_code,0)),"Poste inconnu",IF(AND(E950&lt;&gt;"",ISNA(MATCH(E950,art_ref,0))),"Article inconnu",IF(IF(E950="",FALSE,INDEX(art_check,MATCH(E950,art_ref,0))&lt;&gt;"OK"),"Article à corriger (feuille Articles)",IF(COUNTIFS(sj_date,A950,sj_eq,B950,sj_po,C950)&gt;1,"Ligne en double (même jour, équipe et poste)",IF(OR(NOT(ISNUMBER(K950)),N(K950)&lt;=0,N(K950)&gt;1440),"Temps d'ouverture invalide",IF(OR(AND(G950&lt;&gt;"",NOT(ISNUMBER(G950))),N(G950)&lt;0,N(G950)&lt;&gt;INT(N(G950)),AND(H950&lt;&gt;"",NOT(ISNUMBER(H950))),N(H950)&lt;0,N(H950)&lt;&gt;INT(N(H950)),AND(I950&lt;&gt;"",NOT(ISNUMBER(I950))),N(I950)&lt;0,N(I950)&lt;&gt;INT(N(I950))),"Quantité invalide",IF(Q950&lt;=0,"Cadence manquante (poste ou article)",IF(M950&lt;=0,"Arrêts planifiés supérieurs au temps d'ouverture",IF(O950&lt;0,"Arrêts supérieurs au temps requis",IF(AND(P950&gt;0,O950=0),"Pièces déclarées sans temps de marche",IF(AND(P950=0,O950&gt;0),"Aucune pièce déclarée",IF(P950*60/Q950&gt;O950+0.001,"Cadence dépassée : vérifiez la cadence","OK"))))))))))))))))))</f>
        <v/>
      </c>
      <c r="AC950">
        <f>IF(OR(AB950="OK",AB950="Aucune pièce déclarée",AB950="Cadence dépassée : vérifiez la cadence"),1,0)</f>
        <v>0.0</v>
      </c>
      <c r="AD950">
        <f>IF(AND(AC950=1,A950&gt;=p_from,A950&lt;=p_to),1,0)</f>
        <v>0.0</v>
      </c>
      <c r="AE950">
        <f>IF(AD950=1,IF(COUNTIFS($A$6:A950,A950,$AD$6:AD950,1)=1,1,0),0)</f>
        <v>0.0</v>
      </c>
      <c r="AF950" t="str">
        <f>IF(AE950=1,COUNTIFS(sj_first,1,sj_date,"&lt;"&amp;A950)+1,"")</f>
        <v/>
      </c>
      <c r="AG950" t="str">
        <f>IF(AND(AD950=1,N(W950)&lt;p_alert),ROUND(W950,4),"")</f>
        <v/>
      </c>
      <c r="AH950" t="str">
        <f>IF(AG950="","",COUNTIF(sj_akey,"&lt;"&amp;AG950)+COUNTIF($AG$6:AG950,AG950))</f>
        <v/>
      </c>
    </row>
    <row r="951">
      <c r="A951" s="51" t="n"/>
      <c r="B951" s="52" t="n"/>
      <c r="C951" s="52" t="n"/>
      <c r="D951" s="53" t="n"/>
      <c r="E951" s="53" t="n"/>
      <c r="F951" s="54" t="n"/>
      <c r="G951" s="54" t="n"/>
      <c r="H951" s="54" t="n"/>
      <c r="I951" s="54" t="n"/>
      <c r="J951" s="53" t="n"/>
      <c r="K951" s="55" t="str">
        <f>IF(COUNTA(A951:I951)=0,"",IF(F951="",IFERROR(INDEX(eq_dur,MATCH(B951,eq_code,0)),""),F951))</f>
        <v/>
      </c>
      <c r="L951" s="55" t="str">
        <f>IF(ISNUMBER(K951),N(IFERROR(INDEX(eq_pause,MATCH(B951,eq_code,0)),0))+SUMIFS(st_min,st_date,A951,st_eq,B951,st_po,C951,st_type,"Planifié"),"")</f>
        <v/>
      </c>
      <c r="M951" s="55" t="str">
        <f>IF(ISNUMBER(K951),K951-L951,"")</f>
        <v/>
      </c>
      <c r="N951" s="55" t="str">
        <f>IF(ISNUMBER(K951),SUMIFS(st_min,st_date,A951,st_eq,B951,st_po,C951,st_type,"Non planifié"),"")</f>
        <v/>
      </c>
      <c r="O951" s="55" t="str">
        <f>IF(ISNUMBER(K951),M951-N951,"")</f>
        <v/>
      </c>
      <c r="P951" s="55" t="str">
        <f>IF(COUNTA(A951:I951)=0,"",N(G951)+N(H951)+N(I951))</f>
        <v/>
      </c>
      <c r="Q951" s="56" t="str">
        <f>IF(COUNTA(A951:I951)=0,"",IF(N(IFERROR(INDEX(art_rate,MATCH(E951,art_ref,0)),0))&gt;0,N(IFERROR(INDEX(art_rate,MATCH(E951,art_ref,0)),0)),N(IFERROR(INDEX(po_rate,MATCH(C951,po_code,0)),0))))</f>
        <v/>
      </c>
      <c r="R951" s="55" t="str">
        <f>IF(AC951=1,P951*60/Q951,"")</f>
        <v/>
      </c>
      <c r="S951" s="55" t="str">
        <f>IF(AC951=1,N(G951)*60/Q951,"")</f>
        <v/>
      </c>
      <c r="T951" s="57" t="str">
        <f>IF(AC951=1,O951/M951,"")</f>
        <v/>
      </c>
      <c r="U951" s="57" t="str">
        <f>IF(AC951=1,IF(O951&gt;0,R951/O951,""),"")</f>
        <v/>
      </c>
      <c r="V951" s="57" t="str">
        <f>IF(AC951=1,IF(P951&gt;0,N(G951)/P951,""),"")</f>
        <v/>
      </c>
      <c r="W951" s="57" t="str">
        <f>IF(AC951=1,S951/M951,"")</f>
        <v/>
      </c>
      <c r="X951" s="57" t="str">
        <f>IF(AC951=1,S951/K951,"")</f>
        <v/>
      </c>
      <c r="Y951" s="58" t="str">
        <f>IF(W951="","",IF(W951&gt;=p_target,"Bon",IF(W951&gt;=p_alert,"À surveiller","Faible")))</f>
        <v/>
      </c>
      <c r="Z951" s="58" t="str">
        <f>IF(W951="","",IF(MIN(IF(T951="",1,T951),IF(U951="",1,U951),IF(V951="",1,V951))&gt;=1,"Aucune",IF(IF(T951="",1,T951)&lt;=MIN(IF(U951="",1,U951),IF(V951="",1,V951)),"Disponibilité",IF(IF(U951="",1,U951)&lt;=IF(V951="",1,V951),"Performance","Qualité"))))</f>
        <v/>
      </c>
      <c r="AA951" s="59" t="str">
        <f>IF(AC951=1,N(H951)*N(IFERROR(INDEX(art_cost,MATCH(E951,art_ref,0)),0)),"")</f>
        <v/>
      </c>
      <c r="AB951" s="58" t="str">
        <f>IF(COUNTA(A951:I951)=0,"",IF(N(A951)&lt;=0,"Date manquante ou invalide",IF(B951="","Équipe manquante",IF(ISNA(MATCH(B951,eq_code,0)),"Équipe inconnue",IF(INDEX(eq_check,MATCH(B951,eq_code,0))&lt;&gt;"OK","Équipe à corriger dans Paramètres",IF(C951="","Poste manquant",IF(ISNA(MATCH(C951,po_code,0)),"Poste inconnu",IF(AND(E951&lt;&gt;"",ISNA(MATCH(E951,art_ref,0))),"Article inconnu",IF(IF(E951="",FALSE,INDEX(art_check,MATCH(E951,art_ref,0))&lt;&gt;"OK"),"Article à corriger (feuille Articles)",IF(COUNTIFS(sj_date,A951,sj_eq,B951,sj_po,C951)&gt;1,"Ligne en double (même jour, équipe et poste)",IF(OR(NOT(ISNUMBER(K951)),N(K951)&lt;=0,N(K951)&gt;1440),"Temps d'ouverture invalide",IF(OR(AND(G951&lt;&gt;"",NOT(ISNUMBER(G951))),N(G951)&lt;0,N(G951)&lt;&gt;INT(N(G951)),AND(H951&lt;&gt;"",NOT(ISNUMBER(H951))),N(H951)&lt;0,N(H951)&lt;&gt;INT(N(H951)),AND(I951&lt;&gt;"",NOT(ISNUMBER(I951))),N(I951)&lt;0,N(I951)&lt;&gt;INT(N(I951))),"Quantité invalide",IF(Q951&lt;=0,"Cadence manquante (poste ou article)",IF(M951&lt;=0,"Arrêts planifiés supérieurs au temps d'ouverture",IF(O951&lt;0,"Arrêts supérieurs au temps requis",IF(AND(P951&gt;0,O951=0),"Pièces déclarées sans temps de marche",IF(AND(P951=0,O951&gt;0),"Aucune pièce déclarée",IF(P951*60/Q951&gt;O951+0.001,"Cadence dépassée : vérifiez la cadence","OK"))))))))))))))))))</f>
        <v/>
      </c>
      <c r="AC951">
        <f>IF(OR(AB951="OK",AB951="Aucune pièce déclarée",AB951="Cadence dépassée : vérifiez la cadence"),1,0)</f>
        <v>0.0</v>
      </c>
      <c r="AD951">
        <f>IF(AND(AC951=1,A951&gt;=p_from,A951&lt;=p_to),1,0)</f>
        <v>0.0</v>
      </c>
      <c r="AE951">
        <f>IF(AD951=1,IF(COUNTIFS($A$6:A951,A951,$AD$6:AD951,1)=1,1,0),0)</f>
        <v>0.0</v>
      </c>
      <c r="AF951" t="str">
        <f>IF(AE951=1,COUNTIFS(sj_first,1,sj_date,"&lt;"&amp;A951)+1,"")</f>
        <v/>
      </c>
      <c r="AG951" t="str">
        <f>IF(AND(AD951=1,N(W951)&lt;p_alert),ROUND(W951,4),"")</f>
        <v/>
      </c>
      <c r="AH951" t="str">
        <f>IF(AG951="","",COUNTIF(sj_akey,"&lt;"&amp;AG951)+COUNTIF($AG$6:AG951,AG951))</f>
        <v/>
      </c>
    </row>
    <row r="952">
      <c r="A952" s="51" t="n"/>
      <c r="B952" s="52" t="n"/>
      <c r="C952" s="52" t="n"/>
      <c r="D952" s="53" t="n"/>
      <c r="E952" s="53" t="n"/>
      <c r="F952" s="54" t="n"/>
      <c r="G952" s="54" t="n"/>
      <c r="H952" s="54" t="n"/>
      <c r="I952" s="54" t="n"/>
      <c r="J952" s="53" t="n"/>
      <c r="K952" s="55" t="str">
        <f>IF(COUNTA(A952:I952)=0,"",IF(F952="",IFERROR(INDEX(eq_dur,MATCH(B952,eq_code,0)),""),F952))</f>
        <v/>
      </c>
      <c r="L952" s="55" t="str">
        <f>IF(ISNUMBER(K952),N(IFERROR(INDEX(eq_pause,MATCH(B952,eq_code,0)),0))+SUMIFS(st_min,st_date,A952,st_eq,B952,st_po,C952,st_type,"Planifié"),"")</f>
        <v/>
      </c>
      <c r="M952" s="55" t="str">
        <f>IF(ISNUMBER(K952),K952-L952,"")</f>
        <v/>
      </c>
      <c r="N952" s="55" t="str">
        <f>IF(ISNUMBER(K952),SUMIFS(st_min,st_date,A952,st_eq,B952,st_po,C952,st_type,"Non planifié"),"")</f>
        <v/>
      </c>
      <c r="O952" s="55" t="str">
        <f>IF(ISNUMBER(K952),M952-N952,"")</f>
        <v/>
      </c>
      <c r="P952" s="55" t="str">
        <f>IF(COUNTA(A952:I952)=0,"",N(G952)+N(H952)+N(I952))</f>
        <v/>
      </c>
      <c r="Q952" s="56" t="str">
        <f>IF(COUNTA(A952:I952)=0,"",IF(N(IFERROR(INDEX(art_rate,MATCH(E952,art_ref,0)),0))&gt;0,N(IFERROR(INDEX(art_rate,MATCH(E952,art_ref,0)),0)),N(IFERROR(INDEX(po_rate,MATCH(C952,po_code,0)),0))))</f>
        <v/>
      </c>
      <c r="R952" s="55" t="str">
        <f>IF(AC952=1,P952*60/Q952,"")</f>
        <v/>
      </c>
      <c r="S952" s="55" t="str">
        <f>IF(AC952=1,N(G952)*60/Q952,"")</f>
        <v/>
      </c>
      <c r="T952" s="57" t="str">
        <f>IF(AC952=1,O952/M952,"")</f>
        <v/>
      </c>
      <c r="U952" s="57" t="str">
        <f>IF(AC952=1,IF(O952&gt;0,R952/O952,""),"")</f>
        <v/>
      </c>
      <c r="V952" s="57" t="str">
        <f>IF(AC952=1,IF(P952&gt;0,N(G952)/P952,""),"")</f>
        <v/>
      </c>
      <c r="W952" s="57" t="str">
        <f>IF(AC952=1,S952/M952,"")</f>
        <v/>
      </c>
      <c r="X952" s="57" t="str">
        <f>IF(AC952=1,S952/K952,"")</f>
        <v/>
      </c>
      <c r="Y952" s="58" t="str">
        <f>IF(W952="","",IF(W952&gt;=p_target,"Bon",IF(W952&gt;=p_alert,"À surveiller","Faible")))</f>
        <v/>
      </c>
      <c r="Z952" s="58" t="str">
        <f>IF(W952="","",IF(MIN(IF(T952="",1,T952),IF(U952="",1,U952),IF(V952="",1,V952))&gt;=1,"Aucune",IF(IF(T952="",1,T952)&lt;=MIN(IF(U952="",1,U952),IF(V952="",1,V952)),"Disponibilité",IF(IF(U952="",1,U952)&lt;=IF(V952="",1,V952),"Performance","Qualité"))))</f>
        <v/>
      </c>
      <c r="AA952" s="59" t="str">
        <f>IF(AC952=1,N(H952)*N(IFERROR(INDEX(art_cost,MATCH(E952,art_ref,0)),0)),"")</f>
        <v/>
      </c>
      <c r="AB952" s="58" t="str">
        <f>IF(COUNTA(A952:I952)=0,"",IF(N(A952)&lt;=0,"Date manquante ou invalide",IF(B952="","Équipe manquante",IF(ISNA(MATCH(B952,eq_code,0)),"Équipe inconnue",IF(INDEX(eq_check,MATCH(B952,eq_code,0))&lt;&gt;"OK","Équipe à corriger dans Paramètres",IF(C952="","Poste manquant",IF(ISNA(MATCH(C952,po_code,0)),"Poste inconnu",IF(AND(E952&lt;&gt;"",ISNA(MATCH(E952,art_ref,0))),"Article inconnu",IF(IF(E952="",FALSE,INDEX(art_check,MATCH(E952,art_ref,0))&lt;&gt;"OK"),"Article à corriger (feuille Articles)",IF(COUNTIFS(sj_date,A952,sj_eq,B952,sj_po,C952)&gt;1,"Ligne en double (même jour, équipe et poste)",IF(OR(NOT(ISNUMBER(K952)),N(K952)&lt;=0,N(K952)&gt;1440),"Temps d'ouverture invalide",IF(OR(AND(G952&lt;&gt;"",NOT(ISNUMBER(G952))),N(G952)&lt;0,N(G952)&lt;&gt;INT(N(G952)),AND(H952&lt;&gt;"",NOT(ISNUMBER(H952))),N(H952)&lt;0,N(H952)&lt;&gt;INT(N(H952)),AND(I952&lt;&gt;"",NOT(ISNUMBER(I952))),N(I952)&lt;0,N(I952)&lt;&gt;INT(N(I952))),"Quantité invalide",IF(Q952&lt;=0,"Cadence manquante (poste ou article)",IF(M952&lt;=0,"Arrêts planifiés supérieurs au temps d'ouverture",IF(O952&lt;0,"Arrêts supérieurs au temps requis",IF(AND(P952&gt;0,O952=0),"Pièces déclarées sans temps de marche",IF(AND(P952=0,O952&gt;0),"Aucune pièce déclarée",IF(P952*60/Q952&gt;O952+0.001,"Cadence dépassée : vérifiez la cadence","OK"))))))))))))))))))</f>
        <v/>
      </c>
      <c r="AC952">
        <f>IF(OR(AB952="OK",AB952="Aucune pièce déclarée",AB952="Cadence dépassée : vérifiez la cadence"),1,0)</f>
        <v>0.0</v>
      </c>
      <c r="AD952">
        <f>IF(AND(AC952=1,A952&gt;=p_from,A952&lt;=p_to),1,0)</f>
        <v>0.0</v>
      </c>
      <c r="AE952">
        <f>IF(AD952=1,IF(COUNTIFS($A$6:A952,A952,$AD$6:AD952,1)=1,1,0),0)</f>
        <v>0.0</v>
      </c>
      <c r="AF952" t="str">
        <f>IF(AE952=1,COUNTIFS(sj_first,1,sj_date,"&lt;"&amp;A952)+1,"")</f>
        <v/>
      </c>
      <c r="AG952" t="str">
        <f>IF(AND(AD952=1,N(W952)&lt;p_alert),ROUND(W952,4),"")</f>
        <v/>
      </c>
      <c r="AH952" t="str">
        <f>IF(AG952="","",COUNTIF(sj_akey,"&lt;"&amp;AG952)+COUNTIF($AG$6:AG952,AG952))</f>
        <v/>
      </c>
    </row>
    <row r="953">
      <c r="A953" s="51" t="n"/>
      <c r="B953" s="52" t="n"/>
      <c r="C953" s="52" t="n"/>
      <c r="D953" s="53" t="n"/>
      <c r="E953" s="53" t="n"/>
      <c r="F953" s="54" t="n"/>
      <c r="G953" s="54" t="n"/>
      <c r="H953" s="54" t="n"/>
      <c r="I953" s="54" t="n"/>
      <c r="J953" s="53" t="n"/>
      <c r="K953" s="55" t="str">
        <f>IF(COUNTA(A953:I953)=0,"",IF(F953="",IFERROR(INDEX(eq_dur,MATCH(B953,eq_code,0)),""),F953))</f>
        <v/>
      </c>
      <c r="L953" s="55" t="str">
        <f>IF(ISNUMBER(K953),N(IFERROR(INDEX(eq_pause,MATCH(B953,eq_code,0)),0))+SUMIFS(st_min,st_date,A953,st_eq,B953,st_po,C953,st_type,"Planifié"),"")</f>
        <v/>
      </c>
      <c r="M953" s="55" t="str">
        <f>IF(ISNUMBER(K953),K953-L953,"")</f>
        <v/>
      </c>
      <c r="N953" s="55" t="str">
        <f>IF(ISNUMBER(K953),SUMIFS(st_min,st_date,A953,st_eq,B953,st_po,C953,st_type,"Non planifié"),"")</f>
        <v/>
      </c>
      <c r="O953" s="55" t="str">
        <f>IF(ISNUMBER(K953),M953-N953,"")</f>
        <v/>
      </c>
      <c r="P953" s="55" t="str">
        <f>IF(COUNTA(A953:I953)=0,"",N(G953)+N(H953)+N(I953))</f>
        <v/>
      </c>
      <c r="Q953" s="56" t="str">
        <f>IF(COUNTA(A953:I953)=0,"",IF(N(IFERROR(INDEX(art_rate,MATCH(E953,art_ref,0)),0))&gt;0,N(IFERROR(INDEX(art_rate,MATCH(E953,art_ref,0)),0)),N(IFERROR(INDEX(po_rate,MATCH(C953,po_code,0)),0))))</f>
        <v/>
      </c>
      <c r="R953" s="55" t="str">
        <f>IF(AC953=1,P953*60/Q953,"")</f>
        <v/>
      </c>
      <c r="S953" s="55" t="str">
        <f>IF(AC953=1,N(G953)*60/Q953,"")</f>
        <v/>
      </c>
      <c r="T953" s="57" t="str">
        <f>IF(AC953=1,O953/M953,"")</f>
        <v/>
      </c>
      <c r="U953" s="57" t="str">
        <f>IF(AC953=1,IF(O953&gt;0,R953/O953,""),"")</f>
        <v/>
      </c>
      <c r="V953" s="57" t="str">
        <f>IF(AC953=1,IF(P953&gt;0,N(G953)/P953,""),"")</f>
        <v/>
      </c>
      <c r="W953" s="57" t="str">
        <f>IF(AC953=1,S953/M953,"")</f>
        <v/>
      </c>
      <c r="X953" s="57" t="str">
        <f>IF(AC953=1,S953/K953,"")</f>
        <v/>
      </c>
      <c r="Y953" s="58" t="str">
        <f>IF(W953="","",IF(W953&gt;=p_target,"Bon",IF(W953&gt;=p_alert,"À surveiller","Faible")))</f>
        <v/>
      </c>
      <c r="Z953" s="58" t="str">
        <f>IF(W953="","",IF(MIN(IF(T953="",1,T953),IF(U953="",1,U953),IF(V953="",1,V953))&gt;=1,"Aucune",IF(IF(T953="",1,T953)&lt;=MIN(IF(U953="",1,U953),IF(V953="",1,V953)),"Disponibilité",IF(IF(U953="",1,U953)&lt;=IF(V953="",1,V953),"Performance","Qualité"))))</f>
        <v/>
      </c>
      <c r="AA953" s="59" t="str">
        <f>IF(AC953=1,N(H953)*N(IFERROR(INDEX(art_cost,MATCH(E953,art_ref,0)),0)),"")</f>
        <v/>
      </c>
      <c r="AB953" s="58" t="str">
        <f>IF(COUNTA(A953:I953)=0,"",IF(N(A953)&lt;=0,"Date manquante ou invalide",IF(B953="","Équipe manquante",IF(ISNA(MATCH(B953,eq_code,0)),"Équipe inconnue",IF(INDEX(eq_check,MATCH(B953,eq_code,0))&lt;&gt;"OK","Équipe à corriger dans Paramètres",IF(C953="","Poste manquant",IF(ISNA(MATCH(C953,po_code,0)),"Poste inconnu",IF(AND(E953&lt;&gt;"",ISNA(MATCH(E953,art_ref,0))),"Article inconnu",IF(IF(E953="",FALSE,INDEX(art_check,MATCH(E953,art_ref,0))&lt;&gt;"OK"),"Article à corriger (feuille Articles)",IF(COUNTIFS(sj_date,A953,sj_eq,B953,sj_po,C953)&gt;1,"Ligne en double (même jour, équipe et poste)",IF(OR(NOT(ISNUMBER(K953)),N(K953)&lt;=0,N(K953)&gt;1440),"Temps d'ouverture invalide",IF(OR(AND(G953&lt;&gt;"",NOT(ISNUMBER(G953))),N(G953)&lt;0,N(G953)&lt;&gt;INT(N(G953)),AND(H953&lt;&gt;"",NOT(ISNUMBER(H953))),N(H953)&lt;0,N(H953)&lt;&gt;INT(N(H953)),AND(I953&lt;&gt;"",NOT(ISNUMBER(I953))),N(I953)&lt;0,N(I953)&lt;&gt;INT(N(I953))),"Quantité invalide",IF(Q953&lt;=0,"Cadence manquante (poste ou article)",IF(M953&lt;=0,"Arrêts planifiés supérieurs au temps d'ouverture",IF(O953&lt;0,"Arrêts supérieurs au temps requis",IF(AND(P953&gt;0,O953=0),"Pièces déclarées sans temps de marche",IF(AND(P953=0,O953&gt;0),"Aucune pièce déclarée",IF(P953*60/Q953&gt;O953+0.001,"Cadence dépassée : vérifiez la cadence","OK"))))))))))))))))))</f>
        <v/>
      </c>
      <c r="AC953">
        <f>IF(OR(AB953="OK",AB953="Aucune pièce déclarée",AB953="Cadence dépassée : vérifiez la cadence"),1,0)</f>
        <v>0.0</v>
      </c>
      <c r="AD953">
        <f>IF(AND(AC953=1,A953&gt;=p_from,A953&lt;=p_to),1,0)</f>
        <v>0.0</v>
      </c>
      <c r="AE953">
        <f>IF(AD953=1,IF(COUNTIFS($A$6:A953,A953,$AD$6:AD953,1)=1,1,0),0)</f>
        <v>0.0</v>
      </c>
      <c r="AF953" t="str">
        <f>IF(AE953=1,COUNTIFS(sj_first,1,sj_date,"&lt;"&amp;A953)+1,"")</f>
        <v/>
      </c>
      <c r="AG953" t="str">
        <f>IF(AND(AD953=1,N(W953)&lt;p_alert),ROUND(W953,4),"")</f>
        <v/>
      </c>
      <c r="AH953" t="str">
        <f>IF(AG953="","",COUNTIF(sj_akey,"&lt;"&amp;AG953)+COUNTIF($AG$6:AG953,AG953))</f>
        <v/>
      </c>
    </row>
    <row r="954">
      <c r="A954" s="51" t="n"/>
      <c r="B954" s="52" t="n"/>
      <c r="C954" s="52" t="n"/>
      <c r="D954" s="53" t="n"/>
      <c r="E954" s="53" t="n"/>
      <c r="F954" s="54" t="n"/>
      <c r="G954" s="54" t="n"/>
      <c r="H954" s="54" t="n"/>
      <c r="I954" s="54" t="n"/>
      <c r="J954" s="53" t="n"/>
      <c r="K954" s="55" t="str">
        <f>IF(COUNTA(A954:I954)=0,"",IF(F954="",IFERROR(INDEX(eq_dur,MATCH(B954,eq_code,0)),""),F954))</f>
        <v/>
      </c>
      <c r="L954" s="55" t="str">
        <f>IF(ISNUMBER(K954),N(IFERROR(INDEX(eq_pause,MATCH(B954,eq_code,0)),0))+SUMIFS(st_min,st_date,A954,st_eq,B954,st_po,C954,st_type,"Planifié"),"")</f>
        <v/>
      </c>
      <c r="M954" s="55" t="str">
        <f>IF(ISNUMBER(K954),K954-L954,"")</f>
        <v/>
      </c>
      <c r="N954" s="55" t="str">
        <f>IF(ISNUMBER(K954),SUMIFS(st_min,st_date,A954,st_eq,B954,st_po,C954,st_type,"Non planifié"),"")</f>
        <v/>
      </c>
      <c r="O954" s="55" t="str">
        <f>IF(ISNUMBER(K954),M954-N954,"")</f>
        <v/>
      </c>
      <c r="P954" s="55" t="str">
        <f>IF(COUNTA(A954:I954)=0,"",N(G954)+N(H954)+N(I954))</f>
        <v/>
      </c>
      <c r="Q954" s="56" t="str">
        <f>IF(COUNTA(A954:I954)=0,"",IF(N(IFERROR(INDEX(art_rate,MATCH(E954,art_ref,0)),0))&gt;0,N(IFERROR(INDEX(art_rate,MATCH(E954,art_ref,0)),0)),N(IFERROR(INDEX(po_rate,MATCH(C954,po_code,0)),0))))</f>
        <v/>
      </c>
      <c r="R954" s="55" t="str">
        <f>IF(AC954=1,P954*60/Q954,"")</f>
        <v/>
      </c>
      <c r="S954" s="55" t="str">
        <f>IF(AC954=1,N(G954)*60/Q954,"")</f>
        <v/>
      </c>
      <c r="T954" s="57" t="str">
        <f>IF(AC954=1,O954/M954,"")</f>
        <v/>
      </c>
      <c r="U954" s="57" t="str">
        <f>IF(AC954=1,IF(O954&gt;0,R954/O954,""),"")</f>
        <v/>
      </c>
      <c r="V954" s="57" t="str">
        <f>IF(AC954=1,IF(P954&gt;0,N(G954)/P954,""),"")</f>
        <v/>
      </c>
      <c r="W954" s="57" t="str">
        <f>IF(AC954=1,S954/M954,"")</f>
        <v/>
      </c>
      <c r="X954" s="57" t="str">
        <f>IF(AC954=1,S954/K954,"")</f>
        <v/>
      </c>
      <c r="Y954" s="58" t="str">
        <f>IF(W954="","",IF(W954&gt;=p_target,"Bon",IF(W954&gt;=p_alert,"À surveiller","Faible")))</f>
        <v/>
      </c>
      <c r="Z954" s="58" t="str">
        <f>IF(W954="","",IF(MIN(IF(T954="",1,T954),IF(U954="",1,U954),IF(V954="",1,V954))&gt;=1,"Aucune",IF(IF(T954="",1,T954)&lt;=MIN(IF(U954="",1,U954),IF(V954="",1,V954)),"Disponibilité",IF(IF(U954="",1,U954)&lt;=IF(V954="",1,V954),"Performance","Qualité"))))</f>
        <v/>
      </c>
      <c r="AA954" s="59" t="str">
        <f>IF(AC954=1,N(H954)*N(IFERROR(INDEX(art_cost,MATCH(E954,art_ref,0)),0)),"")</f>
        <v/>
      </c>
      <c r="AB954" s="58" t="str">
        <f>IF(COUNTA(A954:I954)=0,"",IF(N(A954)&lt;=0,"Date manquante ou invalide",IF(B954="","Équipe manquante",IF(ISNA(MATCH(B954,eq_code,0)),"Équipe inconnue",IF(INDEX(eq_check,MATCH(B954,eq_code,0))&lt;&gt;"OK","Équipe à corriger dans Paramètres",IF(C954="","Poste manquant",IF(ISNA(MATCH(C954,po_code,0)),"Poste inconnu",IF(AND(E954&lt;&gt;"",ISNA(MATCH(E954,art_ref,0))),"Article inconnu",IF(IF(E954="",FALSE,INDEX(art_check,MATCH(E954,art_ref,0))&lt;&gt;"OK"),"Article à corriger (feuille Articles)",IF(COUNTIFS(sj_date,A954,sj_eq,B954,sj_po,C954)&gt;1,"Ligne en double (même jour, équipe et poste)",IF(OR(NOT(ISNUMBER(K954)),N(K954)&lt;=0,N(K954)&gt;1440),"Temps d'ouverture invalide",IF(OR(AND(G954&lt;&gt;"",NOT(ISNUMBER(G954))),N(G954)&lt;0,N(G954)&lt;&gt;INT(N(G954)),AND(H954&lt;&gt;"",NOT(ISNUMBER(H954))),N(H954)&lt;0,N(H954)&lt;&gt;INT(N(H954)),AND(I954&lt;&gt;"",NOT(ISNUMBER(I954))),N(I954)&lt;0,N(I954)&lt;&gt;INT(N(I954))),"Quantité invalide",IF(Q954&lt;=0,"Cadence manquante (poste ou article)",IF(M954&lt;=0,"Arrêts planifiés supérieurs au temps d'ouverture",IF(O954&lt;0,"Arrêts supérieurs au temps requis",IF(AND(P954&gt;0,O954=0),"Pièces déclarées sans temps de marche",IF(AND(P954=0,O954&gt;0),"Aucune pièce déclarée",IF(P954*60/Q954&gt;O954+0.001,"Cadence dépassée : vérifiez la cadence","OK"))))))))))))))))))</f>
        <v/>
      </c>
      <c r="AC954">
        <f>IF(OR(AB954="OK",AB954="Aucune pièce déclarée",AB954="Cadence dépassée : vérifiez la cadence"),1,0)</f>
        <v>0.0</v>
      </c>
      <c r="AD954">
        <f>IF(AND(AC954=1,A954&gt;=p_from,A954&lt;=p_to),1,0)</f>
        <v>0.0</v>
      </c>
      <c r="AE954">
        <f>IF(AD954=1,IF(COUNTIFS($A$6:A954,A954,$AD$6:AD954,1)=1,1,0),0)</f>
        <v>0.0</v>
      </c>
      <c r="AF954" t="str">
        <f>IF(AE954=1,COUNTIFS(sj_first,1,sj_date,"&lt;"&amp;A954)+1,"")</f>
        <v/>
      </c>
      <c r="AG954" t="str">
        <f>IF(AND(AD954=1,N(W954)&lt;p_alert),ROUND(W954,4),"")</f>
        <v/>
      </c>
      <c r="AH954" t="str">
        <f>IF(AG954="","",COUNTIF(sj_akey,"&lt;"&amp;AG954)+COUNTIF($AG$6:AG954,AG954))</f>
        <v/>
      </c>
    </row>
    <row r="955">
      <c r="A955" s="51" t="n"/>
      <c r="B955" s="52" t="n"/>
      <c r="C955" s="52" t="n"/>
      <c r="D955" s="53" t="n"/>
      <c r="E955" s="53" t="n"/>
      <c r="F955" s="54" t="n"/>
      <c r="G955" s="54" t="n"/>
      <c r="H955" s="54" t="n"/>
      <c r="I955" s="54" t="n"/>
      <c r="J955" s="53" t="n"/>
      <c r="K955" s="55" t="str">
        <f>IF(COUNTA(A955:I955)=0,"",IF(F955="",IFERROR(INDEX(eq_dur,MATCH(B955,eq_code,0)),""),F955))</f>
        <v/>
      </c>
      <c r="L955" s="55" t="str">
        <f>IF(ISNUMBER(K955),N(IFERROR(INDEX(eq_pause,MATCH(B955,eq_code,0)),0))+SUMIFS(st_min,st_date,A955,st_eq,B955,st_po,C955,st_type,"Planifié"),"")</f>
        <v/>
      </c>
      <c r="M955" s="55" t="str">
        <f>IF(ISNUMBER(K955),K955-L955,"")</f>
        <v/>
      </c>
      <c r="N955" s="55" t="str">
        <f>IF(ISNUMBER(K955),SUMIFS(st_min,st_date,A955,st_eq,B955,st_po,C955,st_type,"Non planifié"),"")</f>
        <v/>
      </c>
      <c r="O955" s="55" t="str">
        <f>IF(ISNUMBER(K955),M955-N955,"")</f>
        <v/>
      </c>
      <c r="P955" s="55" t="str">
        <f>IF(COUNTA(A955:I955)=0,"",N(G955)+N(H955)+N(I955))</f>
        <v/>
      </c>
      <c r="Q955" s="56" t="str">
        <f>IF(COUNTA(A955:I955)=0,"",IF(N(IFERROR(INDEX(art_rate,MATCH(E955,art_ref,0)),0))&gt;0,N(IFERROR(INDEX(art_rate,MATCH(E955,art_ref,0)),0)),N(IFERROR(INDEX(po_rate,MATCH(C955,po_code,0)),0))))</f>
        <v/>
      </c>
      <c r="R955" s="55" t="str">
        <f>IF(AC955=1,P955*60/Q955,"")</f>
        <v/>
      </c>
      <c r="S955" s="55" t="str">
        <f>IF(AC955=1,N(G955)*60/Q955,"")</f>
        <v/>
      </c>
      <c r="T955" s="57" t="str">
        <f>IF(AC955=1,O955/M955,"")</f>
        <v/>
      </c>
      <c r="U955" s="57" t="str">
        <f>IF(AC955=1,IF(O955&gt;0,R955/O955,""),"")</f>
        <v/>
      </c>
      <c r="V955" s="57" t="str">
        <f>IF(AC955=1,IF(P955&gt;0,N(G955)/P955,""),"")</f>
        <v/>
      </c>
      <c r="W955" s="57" t="str">
        <f>IF(AC955=1,S955/M955,"")</f>
        <v/>
      </c>
      <c r="X955" s="57" t="str">
        <f>IF(AC955=1,S955/K955,"")</f>
        <v/>
      </c>
      <c r="Y955" s="58" t="str">
        <f>IF(W955="","",IF(W955&gt;=p_target,"Bon",IF(W955&gt;=p_alert,"À surveiller","Faible")))</f>
        <v/>
      </c>
      <c r="Z955" s="58" t="str">
        <f>IF(W955="","",IF(MIN(IF(T955="",1,T955),IF(U955="",1,U955),IF(V955="",1,V955))&gt;=1,"Aucune",IF(IF(T955="",1,T955)&lt;=MIN(IF(U955="",1,U955),IF(V955="",1,V955)),"Disponibilité",IF(IF(U955="",1,U955)&lt;=IF(V955="",1,V955),"Performance","Qualité"))))</f>
        <v/>
      </c>
      <c r="AA955" s="59" t="str">
        <f>IF(AC955=1,N(H955)*N(IFERROR(INDEX(art_cost,MATCH(E955,art_ref,0)),0)),"")</f>
        <v/>
      </c>
      <c r="AB955" s="58" t="str">
        <f>IF(COUNTA(A955:I955)=0,"",IF(N(A955)&lt;=0,"Date manquante ou invalide",IF(B955="","Équipe manquante",IF(ISNA(MATCH(B955,eq_code,0)),"Équipe inconnue",IF(INDEX(eq_check,MATCH(B955,eq_code,0))&lt;&gt;"OK","Équipe à corriger dans Paramètres",IF(C955="","Poste manquant",IF(ISNA(MATCH(C955,po_code,0)),"Poste inconnu",IF(AND(E955&lt;&gt;"",ISNA(MATCH(E955,art_ref,0))),"Article inconnu",IF(IF(E955="",FALSE,INDEX(art_check,MATCH(E955,art_ref,0))&lt;&gt;"OK"),"Article à corriger (feuille Articles)",IF(COUNTIFS(sj_date,A955,sj_eq,B955,sj_po,C955)&gt;1,"Ligne en double (même jour, équipe et poste)",IF(OR(NOT(ISNUMBER(K955)),N(K955)&lt;=0,N(K955)&gt;1440),"Temps d'ouverture invalide",IF(OR(AND(G955&lt;&gt;"",NOT(ISNUMBER(G955))),N(G955)&lt;0,N(G955)&lt;&gt;INT(N(G955)),AND(H955&lt;&gt;"",NOT(ISNUMBER(H955))),N(H955)&lt;0,N(H955)&lt;&gt;INT(N(H955)),AND(I955&lt;&gt;"",NOT(ISNUMBER(I955))),N(I955)&lt;0,N(I955)&lt;&gt;INT(N(I955))),"Quantité invalide",IF(Q955&lt;=0,"Cadence manquante (poste ou article)",IF(M955&lt;=0,"Arrêts planifiés supérieurs au temps d'ouverture",IF(O955&lt;0,"Arrêts supérieurs au temps requis",IF(AND(P955&gt;0,O955=0),"Pièces déclarées sans temps de marche",IF(AND(P955=0,O955&gt;0),"Aucune pièce déclarée",IF(P955*60/Q955&gt;O955+0.001,"Cadence dépassée : vérifiez la cadence","OK"))))))))))))))))))</f>
        <v/>
      </c>
      <c r="AC955">
        <f>IF(OR(AB955="OK",AB955="Aucune pièce déclarée",AB955="Cadence dépassée : vérifiez la cadence"),1,0)</f>
        <v>0.0</v>
      </c>
      <c r="AD955">
        <f>IF(AND(AC955=1,A955&gt;=p_from,A955&lt;=p_to),1,0)</f>
        <v>0.0</v>
      </c>
      <c r="AE955">
        <f>IF(AD955=1,IF(COUNTIFS($A$6:A955,A955,$AD$6:AD955,1)=1,1,0),0)</f>
        <v>0.0</v>
      </c>
      <c r="AF955" t="str">
        <f>IF(AE955=1,COUNTIFS(sj_first,1,sj_date,"&lt;"&amp;A955)+1,"")</f>
        <v/>
      </c>
      <c r="AG955" t="str">
        <f>IF(AND(AD955=1,N(W955)&lt;p_alert),ROUND(W955,4),"")</f>
        <v/>
      </c>
      <c r="AH955" t="str">
        <f>IF(AG955="","",COUNTIF(sj_akey,"&lt;"&amp;AG955)+COUNTIF($AG$6:AG955,AG955))</f>
        <v/>
      </c>
    </row>
    <row r="956">
      <c r="A956" s="51" t="n"/>
      <c r="B956" s="52" t="n"/>
      <c r="C956" s="52" t="n"/>
      <c r="D956" s="53" t="n"/>
      <c r="E956" s="53" t="n"/>
      <c r="F956" s="54" t="n"/>
      <c r="G956" s="54" t="n"/>
      <c r="H956" s="54" t="n"/>
      <c r="I956" s="54" t="n"/>
      <c r="J956" s="53" t="n"/>
      <c r="K956" s="55" t="str">
        <f>IF(COUNTA(A956:I956)=0,"",IF(F956="",IFERROR(INDEX(eq_dur,MATCH(B956,eq_code,0)),""),F956))</f>
        <v/>
      </c>
      <c r="L956" s="55" t="str">
        <f>IF(ISNUMBER(K956),N(IFERROR(INDEX(eq_pause,MATCH(B956,eq_code,0)),0))+SUMIFS(st_min,st_date,A956,st_eq,B956,st_po,C956,st_type,"Planifié"),"")</f>
        <v/>
      </c>
      <c r="M956" s="55" t="str">
        <f>IF(ISNUMBER(K956),K956-L956,"")</f>
        <v/>
      </c>
      <c r="N956" s="55" t="str">
        <f>IF(ISNUMBER(K956),SUMIFS(st_min,st_date,A956,st_eq,B956,st_po,C956,st_type,"Non planifié"),"")</f>
        <v/>
      </c>
      <c r="O956" s="55" t="str">
        <f>IF(ISNUMBER(K956),M956-N956,"")</f>
        <v/>
      </c>
      <c r="P956" s="55" t="str">
        <f>IF(COUNTA(A956:I956)=0,"",N(G956)+N(H956)+N(I956))</f>
        <v/>
      </c>
      <c r="Q956" s="56" t="str">
        <f>IF(COUNTA(A956:I956)=0,"",IF(N(IFERROR(INDEX(art_rate,MATCH(E956,art_ref,0)),0))&gt;0,N(IFERROR(INDEX(art_rate,MATCH(E956,art_ref,0)),0)),N(IFERROR(INDEX(po_rate,MATCH(C956,po_code,0)),0))))</f>
        <v/>
      </c>
      <c r="R956" s="55" t="str">
        <f>IF(AC956=1,P956*60/Q956,"")</f>
        <v/>
      </c>
      <c r="S956" s="55" t="str">
        <f>IF(AC956=1,N(G956)*60/Q956,"")</f>
        <v/>
      </c>
      <c r="T956" s="57" t="str">
        <f>IF(AC956=1,O956/M956,"")</f>
        <v/>
      </c>
      <c r="U956" s="57" t="str">
        <f>IF(AC956=1,IF(O956&gt;0,R956/O956,""),"")</f>
        <v/>
      </c>
      <c r="V956" s="57" t="str">
        <f>IF(AC956=1,IF(P956&gt;0,N(G956)/P956,""),"")</f>
        <v/>
      </c>
      <c r="W956" s="57" t="str">
        <f>IF(AC956=1,S956/M956,"")</f>
        <v/>
      </c>
      <c r="X956" s="57" t="str">
        <f>IF(AC956=1,S956/K956,"")</f>
        <v/>
      </c>
      <c r="Y956" s="58" t="str">
        <f>IF(W956="","",IF(W956&gt;=p_target,"Bon",IF(W956&gt;=p_alert,"À surveiller","Faible")))</f>
        <v/>
      </c>
      <c r="Z956" s="58" t="str">
        <f>IF(W956="","",IF(MIN(IF(T956="",1,T956),IF(U956="",1,U956),IF(V956="",1,V956))&gt;=1,"Aucune",IF(IF(T956="",1,T956)&lt;=MIN(IF(U956="",1,U956),IF(V956="",1,V956)),"Disponibilité",IF(IF(U956="",1,U956)&lt;=IF(V956="",1,V956),"Performance","Qualité"))))</f>
        <v/>
      </c>
      <c r="AA956" s="59" t="str">
        <f>IF(AC956=1,N(H956)*N(IFERROR(INDEX(art_cost,MATCH(E956,art_ref,0)),0)),"")</f>
        <v/>
      </c>
      <c r="AB956" s="58" t="str">
        <f>IF(COUNTA(A956:I956)=0,"",IF(N(A956)&lt;=0,"Date manquante ou invalide",IF(B956="","Équipe manquante",IF(ISNA(MATCH(B956,eq_code,0)),"Équipe inconnue",IF(INDEX(eq_check,MATCH(B956,eq_code,0))&lt;&gt;"OK","Équipe à corriger dans Paramètres",IF(C956="","Poste manquant",IF(ISNA(MATCH(C956,po_code,0)),"Poste inconnu",IF(AND(E956&lt;&gt;"",ISNA(MATCH(E956,art_ref,0))),"Article inconnu",IF(IF(E956="",FALSE,INDEX(art_check,MATCH(E956,art_ref,0))&lt;&gt;"OK"),"Article à corriger (feuille Articles)",IF(COUNTIFS(sj_date,A956,sj_eq,B956,sj_po,C956)&gt;1,"Ligne en double (même jour, équipe et poste)",IF(OR(NOT(ISNUMBER(K956)),N(K956)&lt;=0,N(K956)&gt;1440),"Temps d'ouverture invalide",IF(OR(AND(G956&lt;&gt;"",NOT(ISNUMBER(G956))),N(G956)&lt;0,N(G956)&lt;&gt;INT(N(G956)),AND(H956&lt;&gt;"",NOT(ISNUMBER(H956))),N(H956)&lt;0,N(H956)&lt;&gt;INT(N(H956)),AND(I956&lt;&gt;"",NOT(ISNUMBER(I956))),N(I956)&lt;0,N(I956)&lt;&gt;INT(N(I956))),"Quantité invalide",IF(Q956&lt;=0,"Cadence manquante (poste ou article)",IF(M956&lt;=0,"Arrêts planifiés supérieurs au temps d'ouverture",IF(O956&lt;0,"Arrêts supérieurs au temps requis",IF(AND(P956&gt;0,O956=0),"Pièces déclarées sans temps de marche",IF(AND(P956=0,O956&gt;0),"Aucune pièce déclarée",IF(P956*60/Q956&gt;O956+0.001,"Cadence dépassée : vérifiez la cadence","OK"))))))))))))))))))</f>
        <v/>
      </c>
      <c r="AC956">
        <f>IF(OR(AB956="OK",AB956="Aucune pièce déclarée",AB956="Cadence dépassée : vérifiez la cadence"),1,0)</f>
        <v>0.0</v>
      </c>
      <c r="AD956">
        <f>IF(AND(AC956=1,A956&gt;=p_from,A956&lt;=p_to),1,0)</f>
        <v>0.0</v>
      </c>
      <c r="AE956">
        <f>IF(AD956=1,IF(COUNTIFS($A$6:A956,A956,$AD$6:AD956,1)=1,1,0),0)</f>
        <v>0.0</v>
      </c>
      <c r="AF956" t="str">
        <f>IF(AE956=1,COUNTIFS(sj_first,1,sj_date,"&lt;"&amp;A956)+1,"")</f>
        <v/>
      </c>
      <c r="AG956" t="str">
        <f>IF(AND(AD956=1,N(W956)&lt;p_alert),ROUND(W956,4),"")</f>
        <v/>
      </c>
      <c r="AH956" t="str">
        <f>IF(AG956="","",COUNTIF(sj_akey,"&lt;"&amp;AG956)+COUNTIF($AG$6:AG956,AG956))</f>
        <v/>
      </c>
    </row>
    <row r="957">
      <c r="A957" s="51" t="n"/>
      <c r="B957" s="52" t="n"/>
      <c r="C957" s="52" t="n"/>
      <c r="D957" s="53" t="n"/>
      <c r="E957" s="53" t="n"/>
      <c r="F957" s="54" t="n"/>
      <c r="G957" s="54" t="n"/>
      <c r="H957" s="54" t="n"/>
      <c r="I957" s="54" t="n"/>
      <c r="J957" s="53" t="n"/>
      <c r="K957" s="55" t="str">
        <f>IF(COUNTA(A957:I957)=0,"",IF(F957="",IFERROR(INDEX(eq_dur,MATCH(B957,eq_code,0)),""),F957))</f>
        <v/>
      </c>
      <c r="L957" s="55" t="str">
        <f>IF(ISNUMBER(K957),N(IFERROR(INDEX(eq_pause,MATCH(B957,eq_code,0)),0))+SUMIFS(st_min,st_date,A957,st_eq,B957,st_po,C957,st_type,"Planifié"),"")</f>
        <v/>
      </c>
      <c r="M957" s="55" t="str">
        <f>IF(ISNUMBER(K957),K957-L957,"")</f>
        <v/>
      </c>
      <c r="N957" s="55" t="str">
        <f>IF(ISNUMBER(K957),SUMIFS(st_min,st_date,A957,st_eq,B957,st_po,C957,st_type,"Non planifié"),"")</f>
        <v/>
      </c>
      <c r="O957" s="55" t="str">
        <f>IF(ISNUMBER(K957),M957-N957,"")</f>
        <v/>
      </c>
      <c r="P957" s="55" t="str">
        <f>IF(COUNTA(A957:I957)=0,"",N(G957)+N(H957)+N(I957))</f>
        <v/>
      </c>
      <c r="Q957" s="56" t="str">
        <f>IF(COUNTA(A957:I957)=0,"",IF(N(IFERROR(INDEX(art_rate,MATCH(E957,art_ref,0)),0))&gt;0,N(IFERROR(INDEX(art_rate,MATCH(E957,art_ref,0)),0)),N(IFERROR(INDEX(po_rate,MATCH(C957,po_code,0)),0))))</f>
        <v/>
      </c>
      <c r="R957" s="55" t="str">
        <f>IF(AC957=1,P957*60/Q957,"")</f>
        <v/>
      </c>
      <c r="S957" s="55" t="str">
        <f>IF(AC957=1,N(G957)*60/Q957,"")</f>
        <v/>
      </c>
      <c r="T957" s="57" t="str">
        <f>IF(AC957=1,O957/M957,"")</f>
        <v/>
      </c>
      <c r="U957" s="57" t="str">
        <f>IF(AC957=1,IF(O957&gt;0,R957/O957,""),"")</f>
        <v/>
      </c>
      <c r="V957" s="57" t="str">
        <f>IF(AC957=1,IF(P957&gt;0,N(G957)/P957,""),"")</f>
        <v/>
      </c>
      <c r="W957" s="57" t="str">
        <f>IF(AC957=1,S957/M957,"")</f>
        <v/>
      </c>
      <c r="X957" s="57" t="str">
        <f>IF(AC957=1,S957/K957,"")</f>
        <v/>
      </c>
      <c r="Y957" s="58" t="str">
        <f>IF(W957="","",IF(W957&gt;=p_target,"Bon",IF(W957&gt;=p_alert,"À surveiller","Faible")))</f>
        <v/>
      </c>
      <c r="Z957" s="58" t="str">
        <f>IF(W957="","",IF(MIN(IF(T957="",1,T957),IF(U957="",1,U957),IF(V957="",1,V957))&gt;=1,"Aucune",IF(IF(T957="",1,T957)&lt;=MIN(IF(U957="",1,U957),IF(V957="",1,V957)),"Disponibilité",IF(IF(U957="",1,U957)&lt;=IF(V957="",1,V957),"Performance","Qualité"))))</f>
        <v/>
      </c>
      <c r="AA957" s="59" t="str">
        <f>IF(AC957=1,N(H957)*N(IFERROR(INDEX(art_cost,MATCH(E957,art_ref,0)),0)),"")</f>
        <v/>
      </c>
      <c r="AB957" s="58" t="str">
        <f>IF(COUNTA(A957:I957)=0,"",IF(N(A957)&lt;=0,"Date manquante ou invalide",IF(B957="","Équipe manquante",IF(ISNA(MATCH(B957,eq_code,0)),"Équipe inconnue",IF(INDEX(eq_check,MATCH(B957,eq_code,0))&lt;&gt;"OK","Équipe à corriger dans Paramètres",IF(C957="","Poste manquant",IF(ISNA(MATCH(C957,po_code,0)),"Poste inconnu",IF(AND(E957&lt;&gt;"",ISNA(MATCH(E957,art_ref,0))),"Article inconnu",IF(IF(E957="",FALSE,INDEX(art_check,MATCH(E957,art_ref,0))&lt;&gt;"OK"),"Article à corriger (feuille Articles)",IF(COUNTIFS(sj_date,A957,sj_eq,B957,sj_po,C957)&gt;1,"Ligne en double (même jour, équipe et poste)",IF(OR(NOT(ISNUMBER(K957)),N(K957)&lt;=0,N(K957)&gt;1440),"Temps d'ouverture invalide",IF(OR(AND(G957&lt;&gt;"",NOT(ISNUMBER(G957))),N(G957)&lt;0,N(G957)&lt;&gt;INT(N(G957)),AND(H957&lt;&gt;"",NOT(ISNUMBER(H957))),N(H957)&lt;0,N(H957)&lt;&gt;INT(N(H957)),AND(I957&lt;&gt;"",NOT(ISNUMBER(I957))),N(I957)&lt;0,N(I957)&lt;&gt;INT(N(I957))),"Quantité invalide",IF(Q957&lt;=0,"Cadence manquante (poste ou article)",IF(M957&lt;=0,"Arrêts planifiés supérieurs au temps d'ouverture",IF(O957&lt;0,"Arrêts supérieurs au temps requis",IF(AND(P957&gt;0,O957=0),"Pièces déclarées sans temps de marche",IF(AND(P957=0,O957&gt;0),"Aucune pièce déclarée",IF(P957*60/Q957&gt;O957+0.001,"Cadence dépassée : vérifiez la cadence","OK"))))))))))))))))))</f>
        <v/>
      </c>
      <c r="AC957">
        <f>IF(OR(AB957="OK",AB957="Aucune pièce déclarée",AB957="Cadence dépassée : vérifiez la cadence"),1,0)</f>
        <v>0.0</v>
      </c>
      <c r="AD957">
        <f>IF(AND(AC957=1,A957&gt;=p_from,A957&lt;=p_to),1,0)</f>
        <v>0.0</v>
      </c>
      <c r="AE957">
        <f>IF(AD957=1,IF(COUNTIFS($A$6:A957,A957,$AD$6:AD957,1)=1,1,0),0)</f>
        <v>0.0</v>
      </c>
      <c r="AF957" t="str">
        <f>IF(AE957=1,COUNTIFS(sj_first,1,sj_date,"&lt;"&amp;A957)+1,"")</f>
        <v/>
      </c>
      <c r="AG957" t="str">
        <f>IF(AND(AD957=1,N(W957)&lt;p_alert),ROUND(W957,4),"")</f>
        <v/>
      </c>
      <c r="AH957" t="str">
        <f>IF(AG957="","",COUNTIF(sj_akey,"&lt;"&amp;AG957)+COUNTIF($AG$6:AG957,AG957))</f>
        <v/>
      </c>
    </row>
    <row r="958">
      <c r="A958" s="51" t="n"/>
      <c r="B958" s="52" t="n"/>
      <c r="C958" s="52" t="n"/>
      <c r="D958" s="53" t="n"/>
      <c r="E958" s="53" t="n"/>
      <c r="F958" s="54" t="n"/>
      <c r="G958" s="54" t="n"/>
      <c r="H958" s="54" t="n"/>
      <c r="I958" s="54" t="n"/>
      <c r="J958" s="53" t="n"/>
      <c r="K958" s="55" t="str">
        <f>IF(COUNTA(A958:I958)=0,"",IF(F958="",IFERROR(INDEX(eq_dur,MATCH(B958,eq_code,0)),""),F958))</f>
        <v/>
      </c>
      <c r="L958" s="55" t="str">
        <f>IF(ISNUMBER(K958),N(IFERROR(INDEX(eq_pause,MATCH(B958,eq_code,0)),0))+SUMIFS(st_min,st_date,A958,st_eq,B958,st_po,C958,st_type,"Planifié"),"")</f>
        <v/>
      </c>
      <c r="M958" s="55" t="str">
        <f>IF(ISNUMBER(K958),K958-L958,"")</f>
        <v/>
      </c>
      <c r="N958" s="55" t="str">
        <f>IF(ISNUMBER(K958),SUMIFS(st_min,st_date,A958,st_eq,B958,st_po,C958,st_type,"Non planifié"),"")</f>
        <v/>
      </c>
      <c r="O958" s="55" t="str">
        <f>IF(ISNUMBER(K958),M958-N958,"")</f>
        <v/>
      </c>
      <c r="P958" s="55" t="str">
        <f>IF(COUNTA(A958:I958)=0,"",N(G958)+N(H958)+N(I958))</f>
        <v/>
      </c>
      <c r="Q958" s="56" t="str">
        <f>IF(COUNTA(A958:I958)=0,"",IF(N(IFERROR(INDEX(art_rate,MATCH(E958,art_ref,0)),0))&gt;0,N(IFERROR(INDEX(art_rate,MATCH(E958,art_ref,0)),0)),N(IFERROR(INDEX(po_rate,MATCH(C958,po_code,0)),0))))</f>
        <v/>
      </c>
      <c r="R958" s="55" t="str">
        <f>IF(AC958=1,P958*60/Q958,"")</f>
        <v/>
      </c>
      <c r="S958" s="55" t="str">
        <f>IF(AC958=1,N(G958)*60/Q958,"")</f>
        <v/>
      </c>
      <c r="T958" s="57" t="str">
        <f>IF(AC958=1,O958/M958,"")</f>
        <v/>
      </c>
      <c r="U958" s="57" t="str">
        <f>IF(AC958=1,IF(O958&gt;0,R958/O958,""),"")</f>
        <v/>
      </c>
      <c r="V958" s="57" t="str">
        <f>IF(AC958=1,IF(P958&gt;0,N(G958)/P958,""),"")</f>
        <v/>
      </c>
      <c r="W958" s="57" t="str">
        <f>IF(AC958=1,S958/M958,"")</f>
        <v/>
      </c>
      <c r="X958" s="57" t="str">
        <f>IF(AC958=1,S958/K958,"")</f>
        <v/>
      </c>
      <c r="Y958" s="58" t="str">
        <f>IF(W958="","",IF(W958&gt;=p_target,"Bon",IF(W958&gt;=p_alert,"À surveiller","Faible")))</f>
        <v/>
      </c>
      <c r="Z958" s="58" t="str">
        <f>IF(W958="","",IF(MIN(IF(T958="",1,T958),IF(U958="",1,U958),IF(V958="",1,V958))&gt;=1,"Aucune",IF(IF(T958="",1,T958)&lt;=MIN(IF(U958="",1,U958),IF(V958="",1,V958)),"Disponibilité",IF(IF(U958="",1,U958)&lt;=IF(V958="",1,V958),"Performance","Qualité"))))</f>
        <v/>
      </c>
      <c r="AA958" s="59" t="str">
        <f>IF(AC958=1,N(H958)*N(IFERROR(INDEX(art_cost,MATCH(E958,art_ref,0)),0)),"")</f>
        <v/>
      </c>
      <c r="AB958" s="58" t="str">
        <f>IF(COUNTA(A958:I958)=0,"",IF(N(A958)&lt;=0,"Date manquante ou invalide",IF(B958="","Équipe manquante",IF(ISNA(MATCH(B958,eq_code,0)),"Équipe inconnue",IF(INDEX(eq_check,MATCH(B958,eq_code,0))&lt;&gt;"OK","Équipe à corriger dans Paramètres",IF(C958="","Poste manquant",IF(ISNA(MATCH(C958,po_code,0)),"Poste inconnu",IF(AND(E958&lt;&gt;"",ISNA(MATCH(E958,art_ref,0))),"Article inconnu",IF(IF(E958="",FALSE,INDEX(art_check,MATCH(E958,art_ref,0))&lt;&gt;"OK"),"Article à corriger (feuille Articles)",IF(COUNTIFS(sj_date,A958,sj_eq,B958,sj_po,C958)&gt;1,"Ligne en double (même jour, équipe et poste)",IF(OR(NOT(ISNUMBER(K958)),N(K958)&lt;=0,N(K958)&gt;1440),"Temps d'ouverture invalide",IF(OR(AND(G958&lt;&gt;"",NOT(ISNUMBER(G958))),N(G958)&lt;0,N(G958)&lt;&gt;INT(N(G958)),AND(H958&lt;&gt;"",NOT(ISNUMBER(H958))),N(H958)&lt;0,N(H958)&lt;&gt;INT(N(H958)),AND(I958&lt;&gt;"",NOT(ISNUMBER(I958))),N(I958)&lt;0,N(I958)&lt;&gt;INT(N(I958))),"Quantité invalide",IF(Q958&lt;=0,"Cadence manquante (poste ou article)",IF(M958&lt;=0,"Arrêts planifiés supérieurs au temps d'ouverture",IF(O958&lt;0,"Arrêts supérieurs au temps requis",IF(AND(P958&gt;0,O958=0),"Pièces déclarées sans temps de marche",IF(AND(P958=0,O958&gt;0),"Aucune pièce déclarée",IF(P958*60/Q958&gt;O958+0.001,"Cadence dépassée : vérifiez la cadence","OK"))))))))))))))))))</f>
        <v/>
      </c>
      <c r="AC958">
        <f>IF(OR(AB958="OK",AB958="Aucune pièce déclarée",AB958="Cadence dépassée : vérifiez la cadence"),1,0)</f>
        <v>0.0</v>
      </c>
      <c r="AD958">
        <f>IF(AND(AC958=1,A958&gt;=p_from,A958&lt;=p_to),1,0)</f>
        <v>0.0</v>
      </c>
      <c r="AE958">
        <f>IF(AD958=1,IF(COUNTIFS($A$6:A958,A958,$AD$6:AD958,1)=1,1,0),0)</f>
        <v>0.0</v>
      </c>
      <c r="AF958" t="str">
        <f>IF(AE958=1,COUNTIFS(sj_first,1,sj_date,"&lt;"&amp;A958)+1,"")</f>
        <v/>
      </c>
      <c r="AG958" t="str">
        <f>IF(AND(AD958=1,N(W958)&lt;p_alert),ROUND(W958,4),"")</f>
        <v/>
      </c>
      <c r="AH958" t="str">
        <f>IF(AG958="","",COUNTIF(sj_akey,"&lt;"&amp;AG958)+COUNTIF($AG$6:AG958,AG958))</f>
        <v/>
      </c>
    </row>
    <row r="959">
      <c r="A959" s="51" t="n"/>
      <c r="B959" s="52" t="n"/>
      <c r="C959" s="52" t="n"/>
      <c r="D959" s="53" t="n"/>
      <c r="E959" s="53" t="n"/>
      <c r="F959" s="54" t="n"/>
      <c r="G959" s="54" t="n"/>
      <c r="H959" s="54" t="n"/>
      <c r="I959" s="54" t="n"/>
      <c r="J959" s="53" t="n"/>
      <c r="K959" s="55" t="str">
        <f>IF(COUNTA(A959:I959)=0,"",IF(F959="",IFERROR(INDEX(eq_dur,MATCH(B959,eq_code,0)),""),F959))</f>
        <v/>
      </c>
      <c r="L959" s="55" t="str">
        <f>IF(ISNUMBER(K959),N(IFERROR(INDEX(eq_pause,MATCH(B959,eq_code,0)),0))+SUMIFS(st_min,st_date,A959,st_eq,B959,st_po,C959,st_type,"Planifié"),"")</f>
        <v/>
      </c>
      <c r="M959" s="55" t="str">
        <f>IF(ISNUMBER(K959),K959-L959,"")</f>
        <v/>
      </c>
      <c r="N959" s="55" t="str">
        <f>IF(ISNUMBER(K959),SUMIFS(st_min,st_date,A959,st_eq,B959,st_po,C959,st_type,"Non planifié"),"")</f>
        <v/>
      </c>
      <c r="O959" s="55" t="str">
        <f>IF(ISNUMBER(K959),M959-N959,"")</f>
        <v/>
      </c>
      <c r="P959" s="55" t="str">
        <f>IF(COUNTA(A959:I959)=0,"",N(G959)+N(H959)+N(I959))</f>
        <v/>
      </c>
      <c r="Q959" s="56" t="str">
        <f>IF(COUNTA(A959:I959)=0,"",IF(N(IFERROR(INDEX(art_rate,MATCH(E959,art_ref,0)),0))&gt;0,N(IFERROR(INDEX(art_rate,MATCH(E959,art_ref,0)),0)),N(IFERROR(INDEX(po_rate,MATCH(C959,po_code,0)),0))))</f>
        <v/>
      </c>
      <c r="R959" s="55" t="str">
        <f>IF(AC959=1,P959*60/Q959,"")</f>
        <v/>
      </c>
      <c r="S959" s="55" t="str">
        <f>IF(AC959=1,N(G959)*60/Q959,"")</f>
        <v/>
      </c>
      <c r="T959" s="57" t="str">
        <f>IF(AC959=1,O959/M959,"")</f>
        <v/>
      </c>
      <c r="U959" s="57" t="str">
        <f>IF(AC959=1,IF(O959&gt;0,R959/O959,""),"")</f>
        <v/>
      </c>
      <c r="V959" s="57" t="str">
        <f>IF(AC959=1,IF(P959&gt;0,N(G959)/P959,""),"")</f>
        <v/>
      </c>
      <c r="W959" s="57" t="str">
        <f>IF(AC959=1,S959/M959,"")</f>
        <v/>
      </c>
      <c r="X959" s="57" t="str">
        <f>IF(AC959=1,S959/K959,"")</f>
        <v/>
      </c>
      <c r="Y959" s="58" t="str">
        <f>IF(W959="","",IF(W959&gt;=p_target,"Bon",IF(W959&gt;=p_alert,"À surveiller","Faible")))</f>
        <v/>
      </c>
      <c r="Z959" s="58" t="str">
        <f>IF(W959="","",IF(MIN(IF(T959="",1,T959),IF(U959="",1,U959),IF(V959="",1,V959))&gt;=1,"Aucune",IF(IF(T959="",1,T959)&lt;=MIN(IF(U959="",1,U959),IF(V959="",1,V959)),"Disponibilité",IF(IF(U959="",1,U959)&lt;=IF(V959="",1,V959),"Performance","Qualité"))))</f>
        <v/>
      </c>
      <c r="AA959" s="59" t="str">
        <f>IF(AC959=1,N(H959)*N(IFERROR(INDEX(art_cost,MATCH(E959,art_ref,0)),0)),"")</f>
        <v/>
      </c>
      <c r="AB959" s="58" t="str">
        <f>IF(COUNTA(A959:I959)=0,"",IF(N(A959)&lt;=0,"Date manquante ou invalide",IF(B959="","Équipe manquante",IF(ISNA(MATCH(B959,eq_code,0)),"Équipe inconnue",IF(INDEX(eq_check,MATCH(B959,eq_code,0))&lt;&gt;"OK","Équipe à corriger dans Paramètres",IF(C959="","Poste manquant",IF(ISNA(MATCH(C959,po_code,0)),"Poste inconnu",IF(AND(E959&lt;&gt;"",ISNA(MATCH(E959,art_ref,0))),"Article inconnu",IF(IF(E959="",FALSE,INDEX(art_check,MATCH(E959,art_ref,0))&lt;&gt;"OK"),"Article à corriger (feuille Articles)",IF(COUNTIFS(sj_date,A959,sj_eq,B959,sj_po,C959)&gt;1,"Ligne en double (même jour, équipe et poste)",IF(OR(NOT(ISNUMBER(K959)),N(K959)&lt;=0,N(K959)&gt;1440),"Temps d'ouverture invalide",IF(OR(AND(G959&lt;&gt;"",NOT(ISNUMBER(G959))),N(G959)&lt;0,N(G959)&lt;&gt;INT(N(G959)),AND(H959&lt;&gt;"",NOT(ISNUMBER(H959))),N(H959)&lt;0,N(H959)&lt;&gt;INT(N(H959)),AND(I959&lt;&gt;"",NOT(ISNUMBER(I959))),N(I959)&lt;0,N(I959)&lt;&gt;INT(N(I959))),"Quantité invalide",IF(Q959&lt;=0,"Cadence manquante (poste ou article)",IF(M959&lt;=0,"Arrêts planifiés supérieurs au temps d'ouverture",IF(O959&lt;0,"Arrêts supérieurs au temps requis",IF(AND(P959&gt;0,O959=0),"Pièces déclarées sans temps de marche",IF(AND(P959=0,O959&gt;0),"Aucune pièce déclarée",IF(P959*60/Q959&gt;O959+0.001,"Cadence dépassée : vérifiez la cadence","OK"))))))))))))))))))</f>
        <v/>
      </c>
      <c r="AC959">
        <f>IF(OR(AB959="OK",AB959="Aucune pièce déclarée",AB959="Cadence dépassée : vérifiez la cadence"),1,0)</f>
        <v>0.0</v>
      </c>
      <c r="AD959">
        <f>IF(AND(AC959=1,A959&gt;=p_from,A959&lt;=p_to),1,0)</f>
        <v>0.0</v>
      </c>
      <c r="AE959">
        <f>IF(AD959=1,IF(COUNTIFS($A$6:A959,A959,$AD$6:AD959,1)=1,1,0),0)</f>
        <v>0.0</v>
      </c>
      <c r="AF959" t="str">
        <f>IF(AE959=1,COUNTIFS(sj_first,1,sj_date,"&lt;"&amp;A959)+1,"")</f>
        <v/>
      </c>
      <c r="AG959" t="str">
        <f>IF(AND(AD959=1,N(W959)&lt;p_alert),ROUND(W959,4),"")</f>
        <v/>
      </c>
      <c r="AH959" t="str">
        <f>IF(AG959="","",COUNTIF(sj_akey,"&lt;"&amp;AG959)+COUNTIF($AG$6:AG959,AG959))</f>
        <v/>
      </c>
    </row>
    <row r="960">
      <c r="A960" s="51" t="n"/>
      <c r="B960" s="52" t="n"/>
      <c r="C960" s="52" t="n"/>
      <c r="D960" s="53" t="n"/>
      <c r="E960" s="53" t="n"/>
      <c r="F960" s="54" t="n"/>
      <c r="G960" s="54" t="n"/>
      <c r="H960" s="54" t="n"/>
      <c r="I960" s="54" t="n"/>
      <c r="J960" s="53" t="n"/>
      <c r="K960" s="55" t="str">
        <f>IF(COUNTA(A960:I960)=0,"",IF(F960="",IFERROR(INDEX(eq_dur,MATCH(B960,eq_code,0)),""),F960))</f>
        <v/>
      </c>
      <c r="L960" s="55" t="str">
        <f>IF(ISNUMBER(K960),N(IFERROR(INDEX(eq_pause,MATCH(B960,eq_code,0)),0))+SUMIFS(st_min,st_date,A960,st_eq,B960,st_po,C960,st_type,"Planifié"),"")</f>
        <v/>
      </c>
      <c r="M960" s="55" t="str">
        <f>IF(ISNUMBER(K960),K960-L960,"")</f>
        <v/>
      </c>
      <c r="N960" s="55" t="str">
        <f>IF(ISNUMBER(K960),SUMIFS(st_min,st_date,A960,st_eq,B960,st_po,C960,st_type,"Non planifié"),"")</f>
        <v/>
      </c>
      <c r="O960" s="55" t="str">
        <f>IF(ISNUMBER(K960),M960-N960,"")</f>
        <v/>
      </c>
      <c r="P960" s="55" t="str">
        <f>IF(COUNTA(A960:I960)=0,"",N(G960)+N(H960)+N(I960))</f>
        <v/>
      </c>
      <c r="Q960" s="56" t="str">
        <f>IF(COUNTA(A960:I960)=0,"",IF(N(IFERROR(INDEX(art_rate,MATCH(E960,art_ref,0)),0))&gt;0,N(IFERROR(INDEX(art_rate,MATCH(E960,art_ref,0)),0)),N(IFERROR(INDEX(po_rate,MATCH(C960,po_code,0)),0))))</f>
        <v/>
      </c>
      <c r="R960" s="55" t="str">
        <f>IF(AC960=1,P960*60/Q960,"")</f>
        <v/>
      </c>
      <c r="S960" s="55" t="str">
        <f>IF(AC960=1,N(G960)*60/Q960,"")</f>
        <v/>
      </c>
      <c r="T960" s="57" t="str">
        <f>IF(AC960=1,O960/M960,"")</f>
        <v/>
      </c>
      <c r="U960" s="57" t="str">
        <f>IF(AC960=1,IF(O960&gt;0,R960/O960,""),"")</f>
        <v/>
      </c>
      <c r="V960" s="57" t="str">
        <f>IF(AC960=1,IF(P960&gt;0,N(G960)/P960,""),"")</f>
        <v/>
      </c>
      <c r="W960" s="57" t="str">
        <f>IF(AC960=1,S960/M960,"")</f>
        <v/>
      </c>
      <c r="X960" s="57" t="str">
        <f>IF(AC960=1,S960/K960,"")</f>
        <v/>
      </c>
      <c r="Y960" s="58" t="str">
        <f>IF(W960="","",IF(W960&gt;=p_target,"Bon",IF(W960&gt;=p_alert,"À surveiller","Faible")))</f>
        <v/>
      </c>
      <c r="Z960" s="58" t="str">
        <f>IF(W960="","",IF(MIN(IF(T960="",1,T960),IF(U960="",1,U960),IF(V960="",1,V960))&gt;=1,"Aucune",IF(IF(T960="",1,T960)&lt;=MIN(IF(U960="",1,U960),IF(V960="",1,V960)),"Disponibilité",IF(IF(U960="",1,U960)&lt;=IF(V960="",1,V960),"Performance","Qualité"))))</f>
        <v/>
      </c>
      <c r="AA960" s="59" t="str">
        <f>IF(AC960=1,N(H960)*N(IFERROR(INDEX(art_cost,MATCH(E960,art_ref,0)),0)),"")</f>
        <v/>
      </c>
      <c r="AB960" s="58" t="str">
        <f>IF(COUNTA(A960:I960)=0,"",IF(N(A960)&lt;=0,"Date manquante ou invalide",IF(B960="","Équipe manquante",IF(ISNA(MATCH(B960,eq_code,0)),"Équipe inconnue",IF(INDEX(eq_check,MATCH(B960,eq_code,0))&lt;&gt;"OK","Équipe à corriger dans Paramètres",IF(C960="","Poste manquant",IF(ISNA(MATCH(C960,po_code,0)),"Poste inconnu",IF(AND(E960&lt;&gt;"",ISNA(MATCH(E960,art_ref,0))),"Article inconnu",IF(IF(E960="",FALSE,INDEX(art_check,MATCH(E960,art_ref,0))&lt;&gt;"OK"),"Article à corriger (feuille Articles)",IF(COUNTIFS(sj_date,A960,sj_eq,B960,sj_po,C960)&gt;1,"Ligne en double (même jour, équipe et poste)",IF(OR(NOT(ISNUMBER(K960)),N(K960)&lt;=0,N(K960)&gt;1440),"Temps d'ouverture invalide",IF(OR(AND(G960&lt;&gt;"",NOT(ISNUMBER(G960))),N(G960)&lt;0,N(G960)&lt;&gt;INT(N(G960)),AND(H960&lt;&gt;"",NOT(ISNUMBER(H960))),N(H960)&lt;0,N(H960)&lt;&gt;INT(N(H960)),AND(I960&lt;&gt;"",NOT(ISNUMBER(I960))),N(I960)&lt;0,N(I960)&lt;&gt;INT(N(I960))),"Quantité invalide",IF(Q960&lt;=0,"Cadence manquante (poste ou article)",IF(M960&lt;=0,"Arrêts planifiés supérieurs au temps d'ouverture",IF(O960&lt;0,"Arrêts supérieurs au temps requis",IF(AND(P960&gt;0,O960=0),"Pièces déclarées sans temps de marche",IF(AND(P960=0,O960&gt;0),"Aucune pièce déclarée",IF(P960*60/Q960&gt;O960+0.001,"Cadence dépassée : vérifiez la cadence","OK"))))))))))))))))))</f>
        <v/>
      </c>
      <c r="AC960">
        <f>IF(OR(AB960="OK",AB960="Aucune pièce déclarée",AB960="Cadence dépassée : vérifiez la cadence"),1,0)</f>
        <v>0.0</v>
      </c>
      <c r="AD960">
        <f>IF(AND(AC960=1,A960&gt;=p_from,A960&lt;=p_to),1,0)</f>
        <v>0.0</v>
      </c>
      <c r="AE960">
        <f>IF(AD960=1,IF(COUNTIFS($A$6:A960,A960,$AD$6:AD960,1)=1,1,0),0)</f>
        <v>0.0</v>
      </c>
      <c r="AF960" t="str">
        <f>IF(AE960=1,COUNTIFS(sj_first,1,sj_date,"&lt;"&amp;A960)+1,"")</f>
        <v/>
      </c>
      <c r="AG960" t="str">
        <f>IF(AND(AD960=1,N(W960)&lt;p_alert),ROUND(W960,4),"")</f>
        <v/>
      </c>
      <c r="AH960" t="str">
        <f>IF(AG960="","",COUNTIF(sj_akey,"&lt;"&amp;AG960)+COUNTIF($AG$6:AG960,AG960))</f>
        <v/>
      </c>
    </row>
    <row r="961">
      <c r="A961" s="51" t="n"/>
      <c r="B961" s="52" t="n"/>
      <c r="C961" s="52" t="n"/>
      <c r="D961" s="53" t="n"/>
      <c r="E961" s="53" t="n"/>
      <c r="F961" s="54" t="n"/>
      <c r="G961" s="54" t="n"/>
      <c r="H961" s="54" t="n"/>
      <c r="I961" s="54" t="n"/>
      <c r="J961" s="53" t="n"/>
      <c r="K961" s="55" t="str">
        <f>IF(COUNTA(A961:I961)=0,"",IF(F961="",IFERROR(INDEX(eq_dur,MATCH(B961,eq_code,0)),""),F961))</f>
        <v/>
      </c>
      <c r="L961" s="55" t="str">
        <f>IF(ISNUMBER(K961),N(IFERROR(INDEX(eq_pause,MATCH(B961,eq_code,0)),0))+SUMIFS(st_min,st_date,A961,st_eq,B961,st_po,C961,st_type,"Planifié"),"")</f>
        <v/>
      </c>
      <c r="M961" s="55" t="str">
        <f>IF(ISNUMBER(K961),K961-L961,"")</f>
        <v/>
      </c>
      <c r="N961" s="55" t="str">
        <f>IF(ISNUMBER(K961),SUMIFS(st_min,st_date,A961,st_eq,B961,st_po,C961,st_type,"Non planifié"),"")</f>
        <v/>
      </c>
      <c r="O961" s="55" t="str">
        <f>IF(ISNUMBER(K961),M961-N961,"")</f>
        <v/>
      </c>
      <c r="P961" s="55" t="str">
        <f>IF(COUNTA(A961:I961)=0,"",N(G961)+N(H961)+N(I961))</f>
        <v/>
      </c>
      <c r="Q961" s="56" t="str">
        <f>IF(COUNTA(A961:I961)=0,"",IF(N(IFERROR(INDEX(art_rate,MATCH(E961,art_ref,0)),0))&gt;0,N(IFERROR(INDEX(art_rate,MATCH(E961,art_ref,0)),0)),N(IFERROR(INDEX(po_rate,MATCH(C961,po_code,0)),0))))</f>
        <v/>
      </c>
      <c r="R961" s="55" t="str">
        <f>IF(AC961=1,P961*60/Q961,"")</f>
        <v/>
      </c>
      <c r="S961" s="55" t="str">
        <f>IF(AC961=1,N(G961)*60/Q961,"")</f>
        <v/>
      </c>
      <c r="T961" s="57" t="str">
        <f>IF(AC961=1,O961/M961,"")</f>
        <v/>
      </c>
      <c r="U961" s="57" t="str">
        <f>IF(AC961=1,IF(O961&gt;0,R961/O961,""),"")</f>
        <v/>
      </c>
      <c r="V961" s="57" t="str">
        <f>IF(AC961=1,IF(P961&gt;0,N(G961)/P961,""),"")</f>
        <v/>
      </c>
      <c r="W961" s="57" t="str">
        <f>IF(AC961=1,S961/M961,"")</f>
        <v/>
      </c>
      <c r="X961" s="57" t="str">
        <f>IF(AC961=1,S961/K961,"")</f>
        <v/>
      </c>
      <c r="Y961" s="58" t="str">
        <f>IF(W961="","",IF(W961&gt;=p_target,"Bon",IF(W961&gt;=p_alert,"À surveiller","Faible")))</f>
        <v/>
      </c>
      <c r="Z961" s="58" t="str">
        <f>IF(W961="","",IF(MIN(IF(T961="",1,T961),IF(U961="",1,U961),IF(V961="",1,V961))&gt;=1,"Aucune",IF(IF(T961="",1,T961)&lt;=MIN(IF(U961="",1,U961),IF(V961="",1,V961)),"Disponibilité",IF(IF(U961="",1,U961)&lt;=IF(V961="",1,V961),"Performance","Qualité"))))</f>
        <v/>
      </c>
      <c r="AA961" s="59" t="str">
        <f>IF(AC961=1,N(H961)*N(IFERROR(INDEX(art_cost,MATCH(E961,art_ref,0)),0)),"")</f>
        <v/>
      </c>
      <c r="AB961" s="58" t="str">
        <f>IF(COUNTA(A961:I961)=0,"",IF(N(A961)&lt;=0,"Date manquante ou invalide",IF(B961="","Équipe manquante",IF(ISNA(MATCH(B961,eq_code,0)),"Équipe inconnue",IF(INDEX(eq_check,MATCH(B961,eq_code,0))&lt;&gt;"OK","Équipe à corriger dans Paramètres",IF(C961="","Poste manquant",IF(ISNA(MATCH(C961,po_code,0)),"Poste inconnu",IF(AND(E961&lt;&gt;"",ISNA(MATCH(E961,art_ref,0))),"Article inconnu",IF(IF(E961="",FALSE,INDEX(art_check,MATCH(E961,art_ref,0))&lt;&gt;"OK"),"Article à corriger (feuille Articles)",IF(COUNTIFS(sj_date,A961,sj_eq,B961,sj_po,C961)&gt;1,"Ligne en double (même jour, équipe et poste)",IF(OR(NOT(ISNUMBER(K961)),N(K961)&lt;=0,N(K961)&gt;1440),"Temps d'ouverture invalide",IF(OR(AND(G961&lt;&gt;"",NOT(ISNUMBER(G961))),N(G961)&lt;0,N(G961)&lt;&gt;INT(N(G961)),AND(H961&lt;&gt;"",NOT(ISNUMBER(H961))),N(H961)&lt;0,N(H961)&lt;&gt;INT(N(H961)),AND(I961&lt;&gt;"",NOT(ISNUMBER(I961))),N(I961)&lt;0,N(I961)&lt;&gt;INT(N(I961))),"Quantité invalide",IF(Q961&lt;=0,"Cadence manquante (poste ou article)",IF(M961&lt;=0,"Arrêts planifiés supérieurs au temps d'ouverture",IF(O961&lt;0,"Arrêts supérieurs au temps requis",IF(AND(P961&gt;0,O961=0),"Pièces déclarées sans temps de marche",IF(AND(P961=0,O961&gt;0),"Aucune pièce déclarée",IF(P961*60/Q961&gt;O961+0.001,"Cadence dépassée : vérifiez la cadence","OK"))))))))))))))))))</f>
        <v/>
      </c>
      <c r="AC961">
        <f>IF(OR(AB961="OK",AB961="Aucune pièce déclarée",AB961="Cadence dépassée : vérifiez la cadence"),1,0)</f>
        <v>0.0</v>
      </c>
      <c r="AD961">
        <f>IF(AND(AC961=1,A961&gt;=p_from,A961&lt;=p_to),1,0)</f>
        <v>0.0</v>
      </c>
      <c r="AE961">
        <f>IF(AD961=1,IF(COUNTIFS($A$6:A961,A961,$AD$6:AD961,1)=1,1,0),0)</f>
        <v>0.0</v>
      </c>
      <c r="AF961" t="str">
        <f>IF(AE961=1,COUNTIFS(sj_first,1,sj_date,"&lt;"&amp;A961)+1,"")</f>
        <v/>
      </c>
      <c r="AG961" t="str">
        <f>IF(AND(AD961=1,N(W961)&lt;p_alert),ROUND(W961,4),"")</f>
        <v/>
      </c>
      <c r="AH961" t="str">
        <f>IF(AG961="","",COUNTIF(sj_akey,"&lt;"&amp;AG961)+COUNTIF($AG$6:AG961,AG961))</f>
        <v/>
      </c>
    </row>
    <row r="962">
      <c r="A962" s="51" t="n"/>
      <c r="B962" s="52" t="n"/>
      <c r="C962" s="52" t="n"/>
      <c r="D962" s="53" t="n"/>
      <c r="E962" s="53" t="n"/>
      <c r="F962" s="54" t="n"/>
      <c r="G962" s="54" t="n"/>
      <c r="H962" s="54" t="n"/>
      <c r="I962" s="54" t="n"/>
      <c r="J962" s="53" t="n"/>
      <c r="K962" s="55" t="str">
        <f>IF(COUNTA(A962:I962)=0,"",IF(F962="",IFERROR(INDEX(eq_dur,MATCH(B962,eq_code,0)),""),F962))</f>
        <v/>
      </c>
      <c r="L962" s="55" t="str">
        <f>IF(ISNUMBER(K962),N(IFERROR(INDEX(eq_pause,MATCH(B962,eq_code,0)),0))+SUMIFS(st_min,st_date,A962,st_eq,B962,st_po,C962,st_type,"Planifié"),"")</f>
        <v/>
      </c>
      <c r="M962" s="55" t="str">
        <f>IF(ISNUMBER(K962),K962-L962,"")</f>
        <v/>
      </c>
      <c r="N962" s="55" t="str">
        <f>IF(ISNUMBER(K962),SUMIFS(st_min,st_date,A962,st_eq,B962,st_po,C962,st_type,"Non planifié"),"")</f>
        <v/>
      </c>
      <c r="O962" s="55" t="str">
        <f>IF(ISNUMBER(K962),M962-N962,"")</f>
        <v/>
      </c>
      <c r="P962" s="55" t="str">
        <f>IF(COUNTA(A962:I962)=0,"",N(G962)+N(H962)+N(I962))</f>
        <v/>
      </c>
      <c r="Q962" s="56" t="str">
        <f>IF(COUNTA(A962:I962)=0,"",IF(N(IFERROR(INDEX(art_rate,MATCH(E962,art_ref,0)),0))&gt;0,N(IFERROR(INDEX(art_rate,MATCH(E962,art_ref,0)),0)),N(IFERROR(INDEX(po_rate,MATCH(C962,po_code,0)),0))))</f>
        <v/>
      </c>
      <c r="R962" s="55" t="str">
        <f>IF(AC962=1,P962*60/Q962,"")</f>
        <v/>
      </c>
      <c r="S962" s="55" t="str">
        <f>IF(AC962=1,N(G962)*60/Q962,"")</f>
        <v/>
      </c>
      <c r="T962" s="57" t="str">
        <f>IF(AC962=1,O962/M962,"")</f>
        <v/>
      </c>
      <c r="U962" s="57" t="str">
        <f>IF(AC962=1,IF(O962&gt;0,R962/O962,""),"")</f>
        <v/>
      </c>
      <c r="V962" s="57" t="str">
        <f>IF(AC962=1,IF(P962&gt;0,N(G962)/P962,""),"")</f>
        <v/>
      </c>
      <c r="W962" s="57" t="str">
        <f>IF(AC962=1,S962/M962,"")</f>
        <v/>
      </c>
      <c r="X962" s="57" t="str">
        <f>IF(AC962=1,S962/K962,"")</f>
        <v/>
      </c>
      <c r="Y962" s="58" t="str">
        <f>IF(W962="","",IF(W962&gt;=p_target,"Bon",IF(W962&gt;=p_alert,"À surveiller","Faible")))</f>
        <v/>
      </c>
      <c r="Z962" s="58" t="str">
        <f>IF(W962="","",IF(MIN(IF(T962="",1,T962),IF(U962="",1,U962),IF(V962="",1,V962))&gt;=1,"Aucune",IF(IF(T962="",1,T962)&lt;=MIN(IF(U962="",1,U962),IF(V962="",1,V962)),"Disponibilité",IF(IF(U962="",1,U962)&lt;=IF(V962="",1,V962),"Performance","Qualité"))))</f>
        <v/>
      </c>
      <c r="AA962" s="59" t="str">
        <f>IF(AC962=1,N(H962)*N(IFERROR(INDEX(art_cost,MATCH(E962,art_ref,0)),0)),"")</f>
        <v/>
      </c>
      <c r="AB962" s="58" t="str">
        <f>IF(COUNTA(A962:I962)=0,"",IF(N(A962)&lt;=0,"Date manquante ou invalide",IF(B962="","Équipe manquante",IF(ISNA(MATCH(B962,eq_code,0)),"Équipe inconnue",IF(INDEX(eq_check,MATCH(B962,eq_code,0))&lt;&gt;"OK","Équipe à corriger dans Paramètres",IF(C962="","Poste manquant",IF(ISNA(MATCH(C962,po_code,0)),"Poste inconnu",IF(AND(E962&lt;&gt;"",ISNA(MATCH(E962,art_ref,0))),"Article inconnu",IF(IF(E962="",FALSE,INDEX(art_check,MATCH(E962,art_ref,0))&lt;&gt;"OK"),"Article à corriger (feuille Articles)",IF(COUNTIFS(sj_date,A962,sj_eq,B962,sj_po,C962)&gt;1,"Ligne en double (même jour, équipe et poste)",IF(OR(NOT(ISNUMBER(K962)),N(K962)&lt;=0,N(K962)&gt;1440),"Temps d'ouverture invalide",IF(OR(AND(G962&lt;&gt;"",NOT(ISNUMBER(G962))),N(G962)&lt;0,N(G962)&lt;&gt;INT(N(G962)),AND(H962&lt;&gt;"",NOT(ISNUMBER(H962))),N(H962)&lt;0,N(H962)&lt;&gt;INT(N(H962)),AND(I962&lt;&gt;"",NOT(ISNUMBER(I962))),N(I962)&lt;0,N(I962)&lt;&gt;INT(N(I962))),"Quantité invalide",IF(Q962&lt;=0,"Cadence manquante (poste ou article)",IF(M962&lt;=0,"Arrêts planifiés supérieurs au temps d'ouverture",IF(O962&lt;0,"Arrêts supérieurs au temps requis",IF(AND(P962&gt;0,O962=0),"Pièces déclarées sans temps de marche",IF(AND(P962=0,O962&gt;0),"Aucune pièce déclarée",IF(P962*60/Q962&gt;O962+0.001,"Cadence dépassée : vérifiez la cadence","OK"))))))))))))))))))</f>
        <v/>
      </c>
      <c r="AC962">
        <f>IF(OR(AB962="OK",AB962="Aucune pièce déclarée",AB962="Cadence dépassée : vérifiez la cadence"),1,0)</f>
        <v>0.0</v>
      </c>
      <c r="AD962">
        <f>IF(AND(AC962=1,A962&gt;=p_from,A962&lt;=p_to),1,0)</f>
        <v>0.0</v>
      </c>
      <c r="AE962">
        <f>IF(AD962=1,IF(COUNTIFS($A$6:A962,A962,$AD$6:AD962,1)=1,1,0),0)</f>
        <v>0.0</v>
      </c>
      <c r="AF962" t="str">
        <f>IF(AE962=1,COUNTIFS(sj_first,1,sj_date,"&lt;"&amp;A962)+1,"")</f>
        <v/>
      </c>
      <c r="AG962" t="str">
        <f>IF(AND(AD962=1,N(W962)&lt;p_alert),ROUND(W962,4),"")</f>
        <v/>
      </c>
      <c r="AH962" t="str">
        <f>IF(AG962="","",COUNTIF(sj_akey,"&lt;"&amp;AG962)+COUNTIF($AG$6:AG962,AG962))</f>
        <v/>
      </c>
    </row>
    <row r="963">
      <c r="A963" s="51" t="n"/>
      <c r="B963" s="52" t="n"/>
      <c r="C963" s="52" t="n"/>
      <c r="D963" s="53" t="n"/>
      <c r="E963" s="53" t="n"/>
      <c r="F963" s="54" t="n"/>
      <c r="G963" s="54" t="n"/>
      <c r="H963" s="54" t="n"/>
      <c r="I963" s="54" t="n"/>
      <c r="J963" s="53" t="n"/>
      <c r="K963" s="55" t="str">
        <f>IF(COUNTA(A963:I963)=0,"",IF(F963="",IFERROR(INDEX(eq_dur,MATCH(B963,eq_code,0)),""),F963))</f>
        <v/>
      </c>
      <c r="L963" s="55" t="str">
        <f>IF(ISNUMBER(K963),N(IFERROR(INDEX(eq_pause,MATCH(B963,eq_code,0)),0))+SUMIFS(st_min,st_date,A963,st_eq,B963,st_po,C963,st_type,"Planifié"),"")</f>
        <v/>
      </c>
      <c r="M963" s="55" t="str">
        <f>IF(ISNUMBER(K963),K963-L963,"")</f>
        <v/>
      </c>
      <c r="N963" s="55" t="str">
        <f>IF(ISNUMBER(K963),SUMIFS(st_min,st_date,A963,st_eq,B963,st_po,C963,st_type,"Non planifié"),"")</f>
        <v/>
      </c>
      <c r="O963" s="55" t="str">
        <f>IF(ISNUMBER(K963),M963-N963,"")</f>
        <v/>
      </c>
      <c r="P963" s="55" t="str">
        <f>IF(COUNTA(A963:I963)=0,"",N(G963)+N(H963)+N(I963))</f>
        <v/>
      </c>
      <c r="Q963" s="56" t="str">
        <f>IF(COUNTA(A963:I963)=0,"",IF(N(IFERROR(INDEX(art_rate,MATCH(E963,art_ref,0)),0))&gt;0,N(IFERROR(INDEX(art_rate,MATCH(E963,art_ref,0)),0)),N(IFERROR(INDEX(po_rate,MATCH(C963,po_code,0)),0))))</f>
        <v/>
      </c>
      <c r="R963" s="55" t="str">
        <f>IF(AC963=1,P963*60/Q963,"")</f>
        <v/>
      </c>
      <c r="S963" s="55" t="str">
        <f>IF(AC963=1,N(G963)*60/Q963,"")</f>
        <v/>
      </c>
      <c r="T963" s="57" t="str">
        <f>IF(AC963=1,O963/M963,"")</f>
        <v/>
      </c>
      <c r="U963" s="57" t="str">
        <f>IF(AC963=1,IF(O963&gt;0,R963/O963,""),"")</f>
        <v/>
      </c>
      <c r="V963" s="57" t="str">
        <f>IF(AC963=1,IF(P963&gt;0,N(G963)/P963,""),"")</f>
        <v/>
      </c>
      <c r="W963" s="57" t="str">
        <f>IF(AC963=1,S963/M963,"")</f>
        <v/>
      </c>
      <c r="X963" s="57" t="str">
        <f>IF(AC963=1,S963/K963,"")</f>
        <v/>
      </c>
      <c r="Y963" s="58" t="str">
        <f>IF(W963="","",IF(W963&gt;=p_target,"Bon",IF(W963&gt;=p_alert,"À surveiller","Faible")))</f>
        <v/>
      </c>
      <c r="Z963" s="58" t="str">
        <f>IF(W963="","",IF(MIN(IF(T963="",1,T963),IF(U963="",1,U963),IF(V963="",1,V963))&gt;=1,"Aucune",IF(IF(T963="",1,T963)&lt;=MIN(IF(U963="",1,U963),IF(V963="",1,V963)),"Disponibilité",IF(IF(U963="",1,U963)&lt;=IF(V963="",1,V963),"Performance","Qualité"))))</f>
        <v/>
      </c>
      <c r="AA963" s="59" t="str">
        <f>IF(AC963=1,N(H963)*N(IFERROR(INDEX(art_cost,MATCH(E963,art_ref,0)),0)),"")</f>
        <v/>
      </c>
      <c r="AB963" s="58" t="str">
        <f>IF(COUNTA(A963:I963)=0,"",IF(N(A963)&lt;=0,"Date manquante ou invalide",IF(B963="","Équipe manquante",IF(ISNA(MATCH(B963,eq_code,0)),"Équipe inconnue",IF(INDEX(eq_check,MATCH(B963,eq_code,0))&lt;&gt;"OK","Équipe à corriger dans Paramètres",IF(C963="","Poste manquant",IF(ISNA(MATCH(C963,po_code,0)),"Poste inconnu",IF(AND(E963&lt;&gt;"",ISNA(MATCH(E963,art_ref,0))),"Article inconnu",IF(IF(E963="",FALSE,INDEX(art_check,MATCH(E963,art_ref,0))&lt;&gt;"OK"),"Article à corriger (feuille Articles)",IF(COUNTIFS(sj_date,A963,sj_eq,B963,sj_po,C963)&gt;1,"Ligne en double (même jour, équipe et poste)",IF(OR(NOT(ISNUMBER(K963)),N(K963)&lt;=0,N(K963)&gt;1440),"Temps d'ouverture invalide",IF(OR(AND(G963&lt;&gt;"",NOT(ISNUMBER(G963))),N(G963)&lt;0,N(G963)&lt;&gt;INT(N(G963)),AND(H963&lt;&gt;"",NOT(ISNUMBER(H963))),N(H963)&lt;0,N(H963)&lt;&gt;INT(N(H963)),AND(I963&lt;&gt;"",NOT(ISNUMBER(I963))),N(I963)&lt;0,N(I963)&lt;&gt;INT(N(I963))),"Quantité invalide",IF(Q963&lt;=0,"Cadence manquante (poste ou article)",IF(M963&lt;=0,"Arrêts planifiés supérieurs au temps d'ouverture",IF(O963&lt;0,"Arrêts supérieurs au temps requis",IF(AND(P963&gt;0,O963=0),"Pièces déclarées sans temps de marche",IF(AND(P963=0,O963&gt;0),"Aucune pièce déclarée",IF(P963*60/Q963&gt;O963+0.001,"Cadence dépassée : vérifiez la cadence","OK"))))))))))))))))))</f>
        <v/>
      </c>
      <c r="AC963">
        <f>IF(OR(AB963="OK",AB963="Aucune pièce déclarée",AB963="Cadence dépassée : vérifiez la cadence"),1,0)</f>
        <v>0.0</v>
      </c>
      <c r="AD963">
        <f>IF(AND(AC963=1,A963&gt;=p_from,A963&lt;=p_to),1,0)</f>
        <v>0.0</v>
      </c>
      <c r="AE963">
        <f>IF(AD963=1,IF(COUNTIFS($A$6:A963,A963,$AD$6:AD963,1)=1,1,0),0)</f>
        <v>0.0</v>
      </c>
      <c r="AF963" t="str">
        <f>IF(AE963=1,COUNTIFS(sj_first,1,sj_date,"&lt;"&amp;A963)+1,"")</f>
        <v/>
      </c>
      <c r="AG963" t="str">
        <f>IF(AND(AD963=1,N(W963)&lt;p_alert),ROUND(W963,4),"")</f>
        <v/>
      </c>
      <c r="AH963" t="str">
        <f>IF(AG963="","",COUNTIF(sj_akey,"&lt;"&amp;AG963)+COUNTIF($AG$6:AG963,AG963))</f>
        <v/>
      </c>
    </row>
    <row r="964">
      <c r="A964" s="51" t="n"/>
      <c r="B964" s="52" t="n"/>
      <c r="C964" s="52" t="n"/>
      <c r="D964" s="53" t="n"/>
      <c r="E964" s="53" t="n"/>
      <c r="F964" s="54" t="n"/>
      <c r="G964" s="54" t="n"/>
      <c r="H964" s="54" t="n"/>
      <c r="I964" s="54" t="n"/>
      <c r="J964" s="53" t="n"/>
      <c r="K964" s="55" t="str">
        <f>IF(COUNTA(A964:I964)=0,"",IF(F964="",IFERROR(INDEX(eq_dur,MATCH(B964,eq_code,0)),""),F964))</f>
        <v/>
      </c>
      <c r="L964" s="55" t="str">
        <f>IF(ISNUMBER(K964),N(IFERROR(INDEX(eq_pause,MATCH(B964,eq_code,0)),0))+SUMIFS(st_min,st_date,A964,st_eq,B964,st_po,C964,st_type,"Planifié"),"")</f>
        <v/>
      </c>
      <c r="M964" s="55" t="str">
        <f>IF(ISNUMBER(K964),K964-L964,"")</f>
        <v/>
      </c>
      <c r="N964" s="55" t="str">
        <f>IF(ISNUMBER(K964),SUMIFS(st_min,st_date,A964,st_eq,B964,st_po,C964,st_type,"Non planifié"),"")</f>
        <v/>
      </c>
      <c r="O964" s="55" t="str">
        <f>IF(ISNUMBER(K964),M964-N964,"")</f>
        <v/>
      </c>
      <c r="P964" s="55" t="str">
        <f>IF(COUNTA(A964:I964)=0,"",N(G964)+N(H964)+N(I964))</f>
        <v/>
      </c>
      <c r="Q964" s="56" t="str">
        <f>IF(COUNTA(A964:I964)=0,"",IF(N(IFERROR(INDEX(art_rate,MATCH(E964,art_ref,0)),0))&gt;0,N(IFERROR(INDEX(art_rate,MATCH(E964,art_ref,0)),0)),N(IFERROR(INDEX(po_rate,MATCH(C964,po_code,0)),0))))</f>
        <v/>
      </c>
      <c r="R964" s="55" t="str">
        <f>IF(AC964=1,P964*60/Q964,"")</f>
        <v/>
      </c>
      <c r="S964" s="55" t="str">
        <f>IF(AC964=1,N(G964)*60/Q964,"")</f>
        <v/>
      </c>
      <c r="T964" s="57" t="str">
        <f>IF(AC964=1,O964/M964,"")</f>
        <v/>
      </c>
      <c r="U964" s="57" t="str">
        <f>IF(AC964=1,IF(O964&gt;0,R964/O964,""),"")</f>
        <v/>
      </c>
      <c r="V964" s="57" t="str">
        <f>IF(AC964=1,IF(P964&gt;0,N(G964)/P964,""),"")</f>
        <v/>
      </c>
      <c r="W964" s="57" t="str">
        <f>IF(AC964=1,S964/M964,"")</f>
        <v/>
      </c>
      <c r="X964" s="57" t="str">
        <f>IF(AC964=1,S964/K964,"")</f>
        <v/>
      </c>
      <c r="Y964" s="58" t="str">
        <f>IF(W964="","",IF(W964&gt;=p_target,"Bon",IF(W964&gt;=p_alert,"À surveiller","Faible")))</f>
        <v/>
      </c>
      <c r="Z964" s="58" t="str">
        <f>IF(W964="","",IF(MIN(IF(T964="",1,T964),IF(U964="",1,U964),IF(V964="",1,V964))&gt;=1,"Aucune",IF(IF(T964="",1,T964)&lt;=MIN(IF(U964="",1,U964),IF(V964="",1,V964)),"Disponibilité",IF(IF(U964="",1,U964)&lt;=IF(V964="",1,V964),"Performance","Qualité"))))</f>
        <v/>
      </c>
      <c r="AA964" s="59" t="str">
        <f>IF(AC964=1,N(H964)*N(IFERROR(INDEX(art_cost,MATCH(E964,art_ref,0)),0)),"")</f>
        <v/>
      </c>
      <c r="AB964" s="58" t="str">
        <f>IF(COUNTA(A964:I964)=0,"",IF(N(A964)&lt;=0,"Date manquante ou invalide",IF(B964="","Équipe manquante",IF(ISNA(MATCH(B964,eq_code,0)),"Équipe inconnue",IF(INDEX(eq_check,MATCH(B964,eq_code,0))&lt;&gt;"OK","Équipe à corriger dans Paramètres",IF(C964="","Poste manquant",IF(ISNA(MATCH(C964,po_code,0)),"Poste inconnu",IF(AND(E964&lt;&gt;"",ISNA(MATCH(E964,art_ref,0))),"Article inconnu",IF(IF(E964="",FALSE,INDEX(art_check,MATCH(E964,art_ref,0))&lt;&gt;"OK"),"Article à corriger (feuille Articles)",IF(COUNTIFS(sj_date,A964,sj_eq,B964,sj_po,C964)&gt;1,"Ligne en double (même jour, équipe et poste)",IF(OR(NOT(ISNUMBER(K964)),N(K964)&lt;=0,N(K964)&gt;1440),"Temps d'ouverture invalide",IF(OR(AND(G964&lt;&gt;"",NOT(ISNUMBER(G964))),N(G964)&lt;0,N(G964)&lt;&gt;INT(N(G964)),AND(H964&lt;&gt;"",NOT(ISNUMBER(H964))),N(H964)&lt;0,N(H964)&lt;&gt;INT(N(H964)),AND(I964&lt;&gt;"",NOT(ISNUMBER(I964))),N(I964)&lt;0,N(I964)&lt;&gt;INT(N(I964))),"Quantité invalide",IF(Q964&lt;=0,"Cadence manquante (poste ou article)",IF(M964&lt;=0,"Arrêts planifiés supérieurs au temps d'ouverture",IF(O964&lt;0,"Arrêts supérieurs au temps requis",IF(AND(P964&gt;0,O964=0),"Pièces déclarées sans temps de marche",IF(AND(P964=0,O964&gt;0),"Aucune pièce déclarée",IF(P964*60/Q964&gt;O964+0.001,"Cadence dépassée : vérifiez la cadence","OK"))))))))))))))))))</f>
        <v/>
      </c>
      <c r="AC964">
        <f>IF(OR(AB964="OK",AB964="Aucune pièce déclarée",AB964="Cadence dépassée : vérifiez la cadence"),1,0)</f>
        <v>0.0</v>
      </c>
      <c r="AD964">
        <f>IF(AND(AC964=1,A964&gt;=p_from,A964&lt;=p_to),1,0)</f>
        <v>0.0</v>
      </c>
      <c r="AE964">
        <f>IF(AD964=1,IF(COUNTIFS($A$6:A964,A964,$AD$6:AD964,1)=1,1,0),0)</f>
        <v>0.0</v>
      </c>
      <c r="AF964" t="str">
        <f>IF(AE964=1,COUNTIFS(sj_first,1,sj_date,"&lt;"&amp;A964)+1,"")</f>
        <v/>
      </c>
      <c r="AG964" t="str">
        <f>IF(AND(AD964=1,N(W964)&lt;p_alert),ROUND(W964,4),"")</f>
        <v/>
      </c>
      <c r="AH964" t="str">
        <f>IF(AG964="","",COUNTIF(sj_akey,"&lt;"&amp;AG964)+COUNTIF($AG$6:AG964,AG964))</f>
        <v/>
      </c>
    </row>
    <row r="965">
      <c r="A965" s="51" t="n"/>
      <c r="B965" s="52" t="n"/>
      <c r="C965" s="52" t="n"/>
      <c r="D965" s="53" t="n"/>
      <c r="E965" s="53" t="n"/>
      <c r="F965" s="54" t="n"/>
      <c r="G965" s="54" t="n"/>
      <c r="H965" s="54" t="n"/>
      <c r="I965" s="54" t="n"/>
      <c r="J965" s="53" t="n"/>
      <c r="K965" s="55" t="str">
        <f>IF(COUNTA(A965:I965)=0,"",IF(F965="",IFERROR(INDEX(eq_dur,MATCH(B965,eq_code,0)),""),F965))</f>
        <v/>
      </c>
      <c r="L965" s="55" t="str">
        <f>IF(ISNUMBER(K965),N(IFERROR(INDEX(eq_pause,MATCH(B965,eq_code,0)),0))+SUMIFS(st_min,st_date,A965,st_eq,B965,st_po,C965,st_type,"Planifié"),"")</f>
        <v/>
      </c>
      <c r="M965" s="55" t="str">
        <f>IF(ISNUMBER(K965),K965-L965,"")</f>
        <v/>
      </c>
      <c r="N965" s="55" t="str">
        <f>IF(ISNUMBER(K965),SUMIFS(st_min,st_date,A965,st_eq,B965,st_po,C965,st_type,"Non planifié"),"")</f>
        <v/>
      </c>
      <c r="O965" s="55" t="str">
        <f>IF(ISNUMBER(K965),M965-N965,"")</f>
        <v/>
      </c>
      <c r="P965" s="55" t="str">
        <f>IF(COUNTA(A965:I965)=0,"",N(G965)+N(H965)+N(I965))</f>
        <v/>
      </c>
      <c r="Q965" s="56" t="str">
        <f>IF(COUNTA(A965:I965)=0,"",IF(N(IFERROR(INDEX(art_rate,MATCH(E965,art_ref,0)),0))&gt;0,N(IFERROR(INDEX(art_rate,MATCH(E965,art_ref,0)),0)),N(IFERROR(INDEX(po_rate,MATCH(C965,po_code,0)),0))))</f>
        <v/>
      </c>
      <c r="R965" s="55" t="str">
        <f>IF(AC965=1,P965*60/Q965,"")</f>
        <v/>
      </c>
      <c r="S965" s="55" t="str">
        <f>IF(AC965=1,N(G965)*60/Q965,"")</f>
        <v/>
      </c>
      <c r="T965" s="57" t="str">
        <f>IF(AC965=1,O965/M965,"")</f>
        <v/>
      </c>
      <c r="U965" s="57" t="str">
        <f>IF(AC965=1,IF(O965&gt;0,R965/O965,""),"")</f>
        <v/>
      </c>
      <c r="V965" s="57" t="str">
        <f>IF(AC965=1,IF(P965&gt;0,N(G965)/P965,""),"")</f>
        <v/>
      </c>
      <c r="W965" s="57" t="str">
        <f>IF(AC965=1,S965/M965,"")</f>
        <v/>
      </c>
      <c r="X965" s="57" t="str">
        <f>IF(AC965=1,S965/K965,"")</f>
        <v/>
      </c>
      <c r="Y965" s="58" t="str">
        <f>IF(W965="","",IF(W965&gt;=p_target,"Bon",IF(W965&gt;=p_alert,"À surveiller","Faible")))</f>
        <v/>
      </c>
      <c r="Z965" s="58" t="str">
        <f>IF(W965="","",IF(MIN(IF(T965="",1,T965),IF(U965="",1,U965),IF(V965="",1,V965))&gt;=1,"Aucune",IF(IF(T965="",1,T965)&lt;=MIN(IF(U965="",1,U965),IF(V965="",1,V965)),"Disponibilité",IF(IF(U965="",1,U965)&lt;=IF(V965="",1,V965),"Performance","Qualité"))))</f>
        <v/>
      </c>
      <c r="AA965" s="59" t="str">
        <f>IF(AC965=1,N(H965)*N(IFERROR(INDEX(art_cost,MATCH(E965,art_ref,0)),0)),"")</f>
        <v/>
      </c>
      <c r="AB965" s="58" t="str">
        <f>IF(COUNTA(A965:I965)=0,"",IF(N(A965)&lt;=0,"Date manquante ou invalide",IF(B965="","Équipe manquante",IF(ISNA(MATCH(B965,eq_code,0)),"Équipe inconnue",IF(INDEX(eq_check,MATCH(B965,eq_code,0))&lt;&gt;"OK","Équipe à corriger dans Paramètres",IF(C965="","Poste manquant",IF(ISNA(MATCH(C965,po_code,0)),"Poste inconnu",IF(AND(E965&lt;&gt;"",ISNA(MATCH(E965,art_ref,0))),"Article inconnu",IF(IF(E965="",FALSE,INDEX(art_check,MATCH(E965,art_ref,0))&lt;&gt;"OK"),"Article à corriger (feuille Articles)",IF(COUNTIFS(sj_date,A965,sj_eq,B965,sj_po,C965)&gt;1,"Ligne en double (même jour, équipe et poste)",IF(OR(NOT(ISNUMBER(K965)),N(K965)&lt;=0,N(K965)&gt;1440),"Temps d'ouverture invalide",IF(OR(AND(G965&lt;&gt;"",NOT(ISNUMBER(G965))),N(G965)&lt;0,N(G965)&lt;&gt;INT(N(G965)),AND(H965&lt;&gt;"",NOT(ISNUMBER(H965))),N(H965)&lt;0,N(H965)&lt;&gt;INT(N(H965)),AND(I965&lt;&gt;"",NOT(ISNUMBER(I965))),N(I965)&lt;0,N(I965)&lt;&gt;INT(N(I965))),"Quantité invalide",IF(Q965&lt;=0,"Cadence manquante (poste ou article)",IF(M965&lt;=0,"Arrêts planifiés supérieurs au temps d'ouverture",IF(O965&lt;0,"Arrêts supérieurs au temps requis",IF(AND(P965&gt;0,O965=0),"Pièces déclarées sans temps de marche",IF(AND(P965=0,O965&gt;0),"Aucune pièce déclarée",IF(P965*60/Q965&gt;O965+0.001,"Cadence dépassée : vérifiez la cadence","OK"))))))))))))))))))</f>
        <v/>
      </c>
      <c r="AC965">
        <f>IF(OR(AB965="OK",AB965="Aucune pièce déclarée",AB965="Cadence dépassée : vérifiez la cadence"),1,0)</f>
        <v>0.0</v>
      </c>
      <c r="AD965">
        <f>IF(AND(AC965=1,A965&gt;=p_from,A965&lt;=p_to),1,0)</f>
        <v>0.0</v>
      </c>
      <c r="AE965">
        <f>IF(AD965=1,IF(COUNTIFS($A$6:A965,A965,$AD$6:AD965,1)=1,1,0),0)</f>
        <v>0.0</v>
      </c>
      <c r="AF965" t="str">
        <f>IF(AE965=1,COUNTIFS(sj_first,1,sj_date,"&lt;"&amp;A965)+1,"")</f>
        <v/>
      </c>
      <c r="AG965" t="str">
        <f>IF(AND(AD965=1,N(W965)&lt;p_alert),ROUND(W965,4),"")</f>
        <v/>
      </c>
      <c r="AH965" t="str">
        <f>IF(AG965="","",COUNTIF(sj_akey,"&lt;"&amp;AG965)+COUNTIF($AG$6:AG965,AG965))</f>
        <v/>
      </c>
    </row>
    <row r="966">
      <c r="A966" s="51" t="n"/>
      <c r="B966" s="52" t="n"/>
      <c r="C966" s="52" t="n"/>
      <c r="D966" s="53" t="n"/>
      <c r="E966" s="53" t="n"/>
      <c r="F966" s="54" t="n"/>
      <c r="G966" s="54" t="n"/>
      <c r="H966" s="54" t="n"/>
      <c r="I966" s="54" t="n"/>
      <c r="J966" s="53" t="n"/>
      <c r="K966" s="55" t="str">
        <f>IF(COUNTA(A966:I966)=0,"",IF(F966="",IFERROR(INDEX(eq_dur,MATCH(B966,eq_code,0)),""),F966))</f>
        <v/>
      </c>
      <c r="L966" s="55" t="str">
        <f>IF(ISNUMBER(K966),N(IFERROR(INDEX(eq_pause,MATCH(B966,eq_code,0)),0))+SUMIFS(st_min,st_date,A966,st_eq,B966,st_po,C966,st_type,"Planifié"),"")</f>
        <v/>
      </c>
      <c r="M966" s="55" t="str">
        <f>IF(ISNUMBER(K966),K966-L966,"")</f>
        <v/>
      </c>
      <c r="N966" s="55" t="str">
        <f>IF(ISNUMBER(K966),SUMIFS(st_min,st_date,A966,st_eq,B966,st_po,C966,st_type,"Non planifié"),"")</f>
        <v/>
      </c>
      <c r="O966" s="55" t="str">
        <f>IF(ISNUMBER(K966),M966-N966,"")</f>
        <v/>
      </c>
      <c r="P966" s="55" t="str">
        <f>IF(COUNTA(A966:I966)=0,"",N(G966)+N(H966)+N(I966))</f>
        <v/>
      </c>
      <c r="Q966" s="56" t="str">
        <f>IF(COUNTA(A966:I966)=0,"",IF(N(IFERROR(INDEX(art_rate,MATCH(E966,art_ref,0)),0))&gt;0,N(IFERROR(INDEX(art_rate,MATCH(E966,art_ref,0)),0)),N(IFERROR(INDEX(po_rate,MATCH(C966,po_code,0)),0))))</f>
        <v/>
      </c>
      <c r="R966" s="55" t="str">
        <f>IF(AC966=1,P966*60/Q966,"")</f>
        <v/>
      </c>
      <c r="S966" s="55" t="str">
        <f>IF(AC966=1,N(G966)*60/Q966,"")</f>
        <v/>
      </c>
      <c r="T966" s="57" t="str">
        <f>IF(AC966=1,O966/M966,"")</f>
        <v/>
      </c>
      <c r="U966" s="57" t="str">
        <f>IF(AC966=1,IF(O966&gt;0,R966/O966,""),"")</f>
        <v/>
      </c>
      <c r="V966" s="57" t="str">
        <f>IF(AC966=1,IF(P966&gt;0,N(G966)/P966,""),"")</f>
        <v/>
      </c>
      <c r="W966" s="57" t="str">
        <f>IF(AC966=1,S966/M966,"")</f>
        <v/>
      </c>
      <c r="X966" s="57" t="str">
        <f>IF(AC966=1,S966/K966,"")</f>
        <v/>
      </c>
      <c r="Y966" s="58" t="str">
        <f>IF(W966="","",IF(W966&gt;=p_target,"Bon",IF(W966&gt;=p_alert,"À surveiller","Faible")))</f>
        <v/>
      </c>
      <c r="Z966" s="58" t="str">
        <f>IF(W966="","",IF(MIN(IF(T966="",1,T966),IF(U966="",1,U966),IF(V966="",1,V966))&gt;=1,"Aucune",IF(IF(T966="",1,T966)&lt;=MIN(IF(U966="",1,U966),IF(V966="",1,V966)),"Disponibilité",IF(IF(U966="",1,U966)&lt;=IF(V966="",1,V966),"Performance","Qualité"))))</f>
        <v/>
      </c>
      <c r="AA966" s="59" t="str">
        <f>IF(AC966=1,N(H966)*N(IFERROR(INDEX(art_cost,MATCH(E966,art_ref,0)),0)),"")</f>
        <v/>
      </c>
      <c r="AB966" s="58" t="str">
        <f>IF(COUNTA(A966:I966)=0,"",IF(N(A966)&lt;=0,"Date manquante ou invalide",IF(B966="","Équipe manquante",IF(ISNA(MATCH(B966,eq_code,0)),"Équipe inconnue",IF(INDEX(eq_check,MATCH(B966,eq_code,0))&lt;&gt;"OK","Équipe à corriger dans Paramètres",IF(C966="","Poste manquant",IF(ISNA(MATCH(C966,po_code,0)),"Poste inconnu",IF(AND(E966&lt;&gt;"",ISNA(MATCH(E966,art_ref,0))),"Article inconnu",IF(IF(E966="",FALSE,INDEX(art_check,MATCH(E966,art_ref,0))&lt;&gt;"OK"),"Article à corriger (feuille Articles)",IF(COUNTIFS(sj_date,A966,sj_eq,B966,sj_po,C966)&gt;1,"Ligne en double (même jour, équipe et poste)",IF(OR(NOT(ISNUMBER(K966)),N(K966)&lt;=0,N(K966)&gt;1440),"Temps d'ouverture invalide",IF(OR(AND(G966&lt;&gt;"",NOT(ISNUMBER(G966))),N(G966)&lt;0,N(G966)&lt;&gt;INT(N(G966)),AND(H966&lt;&gt;"",NOT(ISNUMBER(H966))),N(H966)&lt;0,N(H966)&lt;&gt;INT(N(H966)),AND(I966&lt;&gt;"",NOT(ISNUMBER(I966))),N(I966)&lt;0,N(I966)&lt;&gt;INT(N(I966))),"Quantité invalide",IF(Q966&lt;=0,"Cadence manquante (poste ou article)",IF(M966&lt;=0,"Arrêts planifiés supérieurs au temps d'ouverture",IF(O966&lt;0,"Arrêts supérieurs au temps requis",IF(AND(P966&gt;0,O966=0),"Pièces déclarées sans temps de marche",IF(AND(P966=0,O966&gt;0),"Aucune pièce déclarée",IF(P966*60/Q966&gt;O966+0.001,"Cadence dépassée : vérifiez la cadence","OK"))))))))))))))))))</f>
        <v/>
      </c>
      <c r="AC966">
        <f>IF(OR(AB966="OK",AB966="Aucune pièce déclarée",AB966="Cadence dépassée : vérifiez la cadence"),1,0)</f>
        <v>0.0</v>
      </c>
      <c r="AD966">
        <f>IF(AND(AC966=1,A966&gt;=p_from,A966&lt;=p_to),1,0)</f>
        <v>0.0</v>
      </c>
      <c r="AE966">
        <f>IF(AD966=1,IF(COUNTIFS($A$6:A966,A966,$AD$6:AD966,1)=1,1,0),0)</f>
        <v>0.0</v>
      </c>
      <c r="AF966" t="str">
        <f>IF(AE966=1,COUNTIFS(sj_first,1,sj_date,"&lt;"&amp;A966)+1,"")</f>
        <v/>
      </c>
      <c r="AG966" t="str">
        <f>IF(AND(AD966=1,N(W966)&lt;p_alert),ROUND(W966,4),"")</f>
        <v/>
      </c>
      <c r="AH966" t="str">
        <f>IF(AG966="","",COUNTIF(sj_akey,"&lt;"&amp;AG966)+COUNTIF($AG$6:AG966,AG966))</f>
        <v/>
      </c>
    </row>
    <row r="967">
      <c r="A967" s="51" t="n"/>
      <c r="B967" s="52" t="n"/>
      <c r="C967" s="52" t="n"/>
      <c r="D967" s="53" t="n"/>
      <c r="E967" s="53" t="n"/>
      <c r="F967" s="54" t="n"/>
      <c r="G967" s="54" t="n"/>
      <c r="H967" s="54" t="n"/>
      <c r="I967" s="54" t="n"/>
      <c r="J967" s="53" t="n"/>
      <c r="K967" s="55" t="str">
        <f>IF(COUNTA(A967:I967)=0,"",IF(F967="",IFERROR(INDEX(eq_dur,MATCH(B967,eq_code,0)),""),F967))</f>
        <v/>
      </c>
      <c r="L967" s="55" t="str">
        <f>IF(ISNUMBER(K967),N(IFERROR(INDEX(eq_pause,MATCH(B967,eq_code,0)),0))+SUMIFS(st_min,st_date,A967,st_eq,B967,st_po,C967,st_type,"Planifié"),"")</f>
        <v/>
      </c>
      <c r="M967" s="55" t="str">
        <f>IF(ISNUMBER(K967),K967-L967,"")</f>
        <v/>
      </c>
      <c r="N967" s="55" t="str">
        <f>IF(ISNUMBER(K967),SUMIFS(st_min,st_date,A967,st_eq,B967,st_po,C967,st_type,"Non planifié"),"")</f>
        <v/>
      </c>
      <c r="O967" s="55" t="str">
        <f>IF(ISNUMBER(K967),M967-N967,"")</f>
        <v/>
      </c>
      <c r="P967" s="55" t="str">
        <f>IF(COUNTA(A967:I967)=0,"",N(G967)+N(H967)+N(I967))</f>
        <v/>
      </c>
      <c r="Q967" s="56" t="str">
        <f>IF(COUNTA(A967:I967)=0,"",IF(N(IFERROR(INDEX(art_rate,MATCH(E967,art_ref,0)),0))&gt;0,N(IFERROR(INDEX(art_rate,MATCH(E967,art_ref,0)),0)),N(IFERROR(INDEX(po_rate,MATCH(C967,po_code,0)),0))))</f>
        <v/>
      </c>
      <c r="R967" s="55" t="str">
        <f>IF(AC967=1,P967*60/Q967,"")</f>
        <v/>
      </c>
      <c r="S967" s="55" t="str">
        <f>IF(AC967=1,N(G967)*60/Q967,"")</f>
        <v/>
      </c>
      <c r="T967" s="57" t="str">
        <f>IF(AC967=1,O967/M967,"")</f>
        <v/>
      </c>
      <c r="U967" s="57" t="str">
        <f>IF(AC967=1,IF(O967&gt;0,R967/O967,""),"")</f>
        <v/>
      </c>
      <c r="V967" s="57" t="str">
        <f>IF(AC967=1,IF(P967&gt;0,N(G967)/P967,""),"")</f>
        <v/>
      </c>
      <c r="W967" s="57" t="str">
        <f>IF(AC967=1,S967/M967,"")</f>
        <v/>
      </c>
      <c r="X967" s="57" t="str">
        <f>IF(AC967=1,S967/K967,"")</f>
        <v/>
      </c>
      <c r="Y967" s="58" t="str">
        <f>IF(W967="","",IF(W967&gt;=p_target,"Bon",IF(W967&gt;=p_alert,"À surveiller","Faible")))</f>
        <v/>
      </c>
      <c r="Z967" s="58" t="str">
        <f>IF(W967="","",IF(MIN(IF(T967="",1,T967),IF(U967="",1,U967),IF(V967="",1,V967))&gt;=1,"Aucune",IF(IF(T967="",1,T967)&lt;=MIN(IF(U967="",1,U967),IF(V967="",1,V967)),"Disponibilité",IF(IF(U967="",1,U967)&lt;=IF(V967="",1,V967),"Performance","Qualité"))))</f>
        <v/>
      </c>
      <c r="AA967" s="59" t="str">
        <f>IF(AC967=1,N(H967)*N(IFERROR(INDEX(art_cost,MATCH(E967,art_ref,0)),0)),"")</f>
        <v/>
      </c>
      <c r="AB967" s="58" t="str">
        <f>IF(COUNTA(A967:I967)=0,"",IF(N(A967)&lt;=0,"Date manquante ou invalide",IF(B967="","Équipe manquante",IF(ISNA(MATCH(B967,eq_code,0)),"Équipe inconnue",IF(INDEX(eq_check,MATCH(B967,eq_code,0))&lt;&gt;"OK","Équipe à corriger dans Paramètres",IF(C967="","Poste manquant",IF(ISNA(MATCH(C967,po_code,0)),"Poste inconnu",IF(AND(E967&lt;&gt;"",ISNA(MATCH(E967,art_ref,0))),"Article inconnu",IF(IF(E967="",FALSE,INDEX(art_check,MATCH(E967,art_ref,0))&lt;&gt;"OK"),"Article à corriger (feuille Articles)",IF(COUNTIFS(sj_date,A967,sj_eq,B967,sj_po,C967)&gt;1,"Ligne en double (même jour, équipe et poste)",IF(OR(NOT(ISNUMBER(K967)),N(K967)&lt;=0,N(K967)&gt;1440),"Temps d'ouverture invalide",IF(OR(AND(G967&lt;&gt;"",NOT(ISNUMBER(G967))),N(G967)&lt;0,N(G967)&lt;&gt;INT(N(G967)),AND(H967&lt;&gt;"",NOT(ISNUMBER(H967))),N(H967)&lt;0,N(H967)&lt;&gt;INT(N(H967)),AND(I967&lt;&gt;"",NOT(ISNUMBER(I967))),N(I967)&lt;0,N(I967)&lt;&gt;INT(N(I967))),"Quantité invalide",IF(Q967&lt;=0,"Cadence manquante (poste ou article)",IF(M967&lt;=0,"Arrêts planifiés supérieurs au temps d'ouverture",IF(O967&lt;0,"Arrêts supérieurs au temps requis",IF(AND(P967&gt;0,O967=0),"Pièces déclarées sans temps de marche",IF(AND(P967=0,O967&gt;0),"Aucune pièce déclarée",IF(P967*60/Q967&gt;O967+0.001,"Cadence dépassée : vérifiez la cadence","OK"))))))))))))))))))</f>
        <v/>
      </c>
      <c r="AC967">
        <f>IF(OR(AB967="OK",AB967="Aucune pièce déclarée",AB967="Cadence dépassée : vérifiez la cadence"),1,0)</f>
        <v>0.0</v>
      </c>
      <c r="AD967">
        <f>IF(AND(AC967=1,A967&gt;=p_from,A967&lt;=p_to),1,0)</f>
        <v>0.0</v>
      </c>
      <c r="AE967">
        <f>IF(AD967=1,IF(COUNTIFS($A$6:A967,A967,$AD$6:AD967,1)=1,1,0),0)</f>
        <v>0.0</v>
      </c>
      <c r="AF967" t="str">
        <f>IF(AE967=1,COUNTIFS(sj_first,1,sj_date,"&lt;"&amp;A967)+1,"")</f>
        <v/>
      </c>
      <c r="AG967" t="str">
        <f>IF(AND(AD967=1,N(W967)&lt;p_alert),ROUND(W967,4),"")</f>
        <v/>
      </c>
      <c r="AH967" t="str">
        <f>IF(AG967="","",COUNTIF(sj_akey,"&lt;"&amp;AG967)+COUNTIF($AG$6:AG967,AG967))</f>
        <v/>
      </c>
    </row>
    <row r="968">
      <c r="A968" s="51" t="n"/>
      <c r="B968" s="52" t="n"/>
      <c r="C968" s="52" t="n"/>
      <c r="D968" s="53" t="n"/>
      <c r="E968" s="53" t="n"/>
      <c r="F968" s="54" t="n"/>
      <c r="G968" s="54" t="n"/>
      <c r="H968" s="54" t="n"/>
      <c r="I968" s="54" t="n"/>
      <c r="J968" s="53" t="n"/>
      <c r="K968" s="55" t="str">
        <f>IF(COUNTA(A968:I968)=0,"",IF(F968="",IFERROR(INDEX(eq_dur,MATCH(B968,eq_code,0)),""),F968))</f>
        <v/>
      </c>
      <c r="L968" s="55" t="str">
        <f>IF(ISNUMBER(K968),N(IFERROR(INDEX(eq_pause,MATCH(B968,eq_code,0)),0))+SUMIFS(st_min,st_date,A968,st_eq,B968,st_po,C968,st_type,"Planifié"),"")</f>
        <v/>
      </c>
      <c r="M968" s="55" t="str">
        <f>IF(ISNUMBER(K968),K968-L968,"")</f>
        <v/>
      </c>
      <c r="N968" s="55" t="str">
        <f>IF(ISNUMBER(K968),SUMIFS(st_min,st_date,A968,st_eq,B968,st_po,C968,st_type,"Non planifié"),"")</f>
        <v/>
      </c>
      <c r="O968" s="55" t="str">
        <f>IF(ISNUMBER(K968),M968-N968,"")</f>
        <v/>
      </c>
      <c r="P968" s="55" t="str">
        <f>IF(COUNTA(A968:I968)=0,"",N(G968)+N(H968)+N(I968))</f>
        <v/>
      </c>
      <c r="Q968" s="56" t="str">
        <f>IF(COUNTA(A968:I968)=0,"",IF(N(IFERROR(INDEX(art_rate,MATCH(E968,art_ref,0)),0))&gt;0,N(IFERROR(INDEX(art_rate,MATCH(E968,art_ref,0)),0)),N(IFERROR(INDEX(po_rate,MATCH(C968,po_code,0)),0))))</f>
        <v/>
      </c>
      <c r="R968" s="55" t="str">
        <f>IF(AC968=1,P968*60/Q968,"")</f>
        <v/>
      </c>
      <c r="S968" s="55" t="str">
        <f>IF(AC968=1,N(G968)*60/Q968,"")</f>
        <v/>
      </c>
      <c r="T968" s="57" t="str">
        <f>IF(AC968=1,O968/M968,"")</f>
        <v/>
      </c>
      <c r="U968" s="57" t="str">
        <f>IF(AC968=1,IF(O968&gt;0,R968/O968,""),"")</f>
        <v/>
      </c>
      <c r="V968" s="57" t="str">
        <f>IF(AC968=1,IF(P968&gt;0,N(G968)/P968,""),"")</f>
        <v/>
      </c>
      <c r="W968" s="57" t="str">
        <f>IF(AC968=1,S968/M968,"")</f>
        <v/>
      </c>
      <c r="X968" s="57" t="str">
        <f>IF(AC968=1,S968/K968,"")</f>
        <v/>
      </c>
      <c r="Y968" s="58" t="str">
        <f>IF(W968="","",IF(W968&gt;=p_target,"Bon",IF(W968&gt;=p_alert,"À surveiller","Faible")))</f>
        <v/>
      </c>
      <c r="Z968" s="58" t="str">
        <f>IF(W968="","",IF(MIN(IF(T968="",1,T968),IF(U968="",1,U968),IF(V968="",1,V968))&gt;=1,"Aucune",IF(IF(T968="",1,T968)&lt;=MIN(IF(U968="",1,U968),IF(V968="",1,V968)),"Disponibilité",IF(IF(U968="",1,U968)&lt;=IF(V968="",1,V968),"Performance","Qualité"))))</f>
        <v/>
      </c>
      <c r="AA968" s="59" t="str">
        <f>IF(AC968=1,N(H968)*N(IFERROR(INDEX(art_cost,MATCH(E968,art_ref,0)),0)),"")</f>
        <v/>
      </c>
      <c r="AB968" s="58" t="str">
        <f>IF(COUNTA(A968:I968)=0,"",IF(N(A968)&lt;=0,"Date manquante ou invalide",IF(B968="","Équipe manquante",IF(ISNA(MATCH(B968,eq_code,0)),"Équipe inconnue",IF(INDEX(eq_check,MATCH(B968,eq_code,0))&lt;&gt;"OK","Équipe à corriger dans Paramètres",IF(C968="","Poste manquant",IF(ISNA(MATCH(C968,po_code,0)),"Poste inconnu",IF(AND(E968&lt;&gt;"",ISNA(MATCH(E968,art_ref,0))),"Article inconnu",IF(IF(E968="",FALSE,INDEX(art_check,MATCH(E968,art_ref,0))&lt;&gt;"OK"),"Article à corriger (feuille Articles)",IF(COUNTIFS(sj_date,A968,sj_eq,B968,sj_po,C968)&gt;1,"Ligne en double (même jour, équipe et poste)",IF(OR(NOT(ISNUMBER(K968)),N(K968)&lt;=0,N(K968)&gt;1440),"Temps d'ouverture invalide",IF(OR(AND(G968&lt;&gt;"",NOT(ISNUMBER(G968))),N(G968)&lt;0,N(G968)&lt;&gt;INT(N(G968)),AND(H968&lt;&gt;"",NOT(ISNUMBER(H968))),N(H968)&lt;0,N(H968)&lt;&gt;INT(N(H968)),AND(I968&lt;&gt;"",NOT(ISNUMBER(I968))),N(I968)&lt;0,N(I968)&lt;&gt;INT(N(I968))),"Quantité invalide",IF(Q968&lt;=0,"Cadence manquante (poste ou article)",IF(M968&lt;=0,"Arrêts planifiés supérieurs au temps d'ouverture",IF(O968&lt;0,"Arrêts supérieurs au temps requis",IF(AND(P968&gt;0,O968=0),"Pièces déclarées sans temps de marche",IF(AND(P968=0,O968&gt;0),"Aucune pièce déclarée",IF(P968*60/Q968&gt;O968+0.001,"Cadence dépassée : vérifiez la cadence","OK"))))))))))))))))))</f>
        <v/>
      </c>
      <c r="AC968">
        <f>IF(OR(AB968="OK",AB968="Aucune pièce déclarée",AB968="Cadence dépassée : vérifiez la cadence"),1,0)</f>
        <v>0.0</v>
      </c>
      <c r="AD968">
        <f>IF(AND(AC968=1,A968&gt;=p_from,A968&lt;=p_to),1,0)</f>
        <v>0.0</v>
      </c>
      <c r="AE968">
        <f>IF(AD968=1,IF(COUNTIFS($A$6:A968,A968,$AD$6:AD968,1)=1,1,0),0)</f>
        <v>0.0</v>
      </c>
      <c r="AF968" t="str">
        <f>IF(AE968=1,COUNTIFS(sj_first,1,sj_date,"&lt;"&amp;A968)+1,"")</f>
        <v/>
      </c>
      <c r="AG968" t="str">
        <f>IF(AND(AD968=1,N(W968)&lt;p_alert),ROUND(W968,4),"")</f>
        <v/>
      </c>
      <c r="AH968" t="str">
        <f>IF(AG968="","",COUNTIF(sj_akey,"&lt;"&amp;AG968)+COUNTIF($AG$6:AG968,AG968))</f>
        <v/>
      </c>
    </row>
    <row r="969">
      <c r="A969" s="51" t="n"/>
      <c r="B969" s="52" t="n"/>
      <c r="C969" s="52" t="n"/>
      <c r="D969" s="53" t="n"/>
      <c r="E969" s="53" t="n"/>
      <c r="F969" s="54" t="n"/>
      <c r="G969" s="54" t="n"/>
      <c r="H969" s="54" t="n"/>
      <c r="I969" s="54" t="n"/>
      <c r="J969" s="53" t="n"/>
      <c r="K969" s="55" t="str">
        <f>IF(COUNTA(A969:I969)=0,"",IF(F969="",IFERROR(INDEX(eq_dur,MATCH(B969,eq_code,0)),""),F969))</f>
        <v/>
      </c>
      <c r="L969" s="55" t="str">
        <f>IF(ISNUMBER(K969),N(IFERROR(INDEX(eq_pause,MATCH(B969,eq_code,0)),0))+SUMIFS(st_min,st_date,A969,st_eq,B969,st_po,C969,st_type,"Planifié"),"")</f>
        <v/>
      </c>
      <c r="M969" s="55" t="str">
        <f>IF(ISNUMBER(K969),K969-L969,"")</f>
        <v/>
      </c>
      <c r="N969" s="55" t="str">
        <f>IF(ISNUMBER(K969),SUMIFS(st_min,st_date,A969,st_eq,B969,st_po,C969,st_type,"Non planifié"),"")</f>
        <v/>
      </c>
      <c r="O969" s="55" t="str">
        <f>IF(ISNUMBER(K969),M969-N969,"")</f>
        <v/>
      </c>
      <c r="P969" s="55" t="str">
        <f>IF(COUNTA(A969:I969)=0,"",N(G969)+N(H969)+N(I969))</f>
        <v/>
      </c>
      <c r="Q969" s="56" t="str">
        <f>IF(COUNTA(A969:I969)=0,"",IF(N(IFERROR(INDEX(art_rate,MATCH(E969,art_ref,0)),0))&gt;0,N(IFERROR(INDEX(art_rate,MATCH(E969,art_ref,0)),0)),N(IFERROR(INDEX(po_rate,MATCH(C969,po_code,0)),0))))</f>
        <v/>
      </c>
      <c r="R969" s="55" t="str">
        <f>IF(AC969=1,P969*60/Q969,"")</f>
        <v/>
      </c>
      <c r="S969" s="55" t="str">
        <f>IF(AC969=1,N(G969)*60/Q969,"")</f>
        <v/>
      </c>
      <c r="T969" s="57" t="str">
        <f>IF(AC969=1,O969/M969,"")</f>
        <v/>
      </c>
      <c r="U969" s="57" t="str">
        <f>IF(AC969=1,IF(O969&gt;0,R969/O969,""),"")</f>
        <v/>
      </c>
      <c r="V969" s="57" t="str">
        <f>IF(AC969=1,IF(P969&gt;0,N(G969)/P969,""),"")</f>
        <v/>
      </c>
      <c r="W969" s="57" t="str">
        <f>IF(AC969=1,S969/M969,"")</f>
        <v/>
      </c>
      <c r="X969" s="57" t="str">
        <f>IF(AC969=1,S969/K969,"")</f>
        <v/>
      </c>
      <c r="Y969" s="58" t="str">
        <f>IF(W969="","",IF(W969&gt;=p_target,"Bon",IF(W969&gt;=p_alert,"À surveiller","Faible")))</f>
        <v/>
      </c>
      <c r="Z969" s="58" t="str">
        <f>IF(W969="","",IF(MIN(IF(T969="",1,T969),IF(U969="",1,U969),IF(V969="",1,V969))&gt;=1,"Aucune",IF(IF(T969="",1,T969)&lt;=MIN(IF(U969="",1,U969),IF(V969="",1,V969)),"Disponibilité",IF(IF(U969="",1,U969)&lt;=IF(V969="",1,V969),"Performance","Qualité"))))</f>
        <v/>
      </c>
      <c r="AA969" s="59" t="str">
        <f>IF(AC969=1,N(H969)*N(IFERROR(INDEX(art_cost,MATCH(E969,art_ref,0)),0)),"")</f>
        <v/>
      </c>
      <c r="AB969" s="58" t="str">
        <f>IF(COUNTA(A969:I969)=0,"",IF(N(A969)&lt;=0,"Date manquante ou invalide",IF(B969="","Équipe manquante",IF(ISNA(MATCH(B969,eq_code,0)),"Équipe inconnue",IF(INDEX(eq_check,MATCH(B969,eq_code,0))&lt;&gt;"OK","Équipe à corriger dans Paramètres",IF(C969="","Poste manquant",IF(ISNA(MATCH(C969,po_code,0)),"Poste inconnu",IF(AND(E969&lt;&gt;"",ISNA(MATCH(E969,art_ref,0))),"Article inconnu",IF(IF(E969="",FALSE,INDEX(art_check,MATCH(E969,art_ref,0))&lt;&gt;"OK"),"Article à corriger (feuille Articles)",IF(COUNTIFS(sj_date,A969,sj_eq,B969,sj_po,C969)&gt;1,"Ligne en double (même jour, équipe et poste)",IF(OR(NOT(ISNUMBER(K969)),N(K969)&lt;=0,N(K969)&gt;1440),"Temps d'ouverture invalide",IF(OR(AND(G969&lt;&gt;"",NOT(ISNUMBER(G969))),N(G969)&lt;0,N(G969)&lt;&gt;INT(N(G969)),AND(H969&lt;&gt;"",NOT(ISNUMBER(H969))),N(H969)&lt;0,N(H969)&lt;&gt;INT(N(H969)),AND(I969&lt;&gt;"",NOT(ISNUMBER(I969))),N(I969)&lt;0,N(I969)&lt;&gt;INT(N(I969))),"Quantité invalide",IF(Q969&lt;=0,"Cadence manquante (poste ou article)",IF(M969&lt;=0,"Arrêts planifiés supérieurs au temps d'ouverture",IF(O969&lt;0,"Arrêts supérieurs au temps requis",IF(AND(P969&gt;0,O969=0),"Pièces déclarées sans temps de marche",IF(AND(P969=0,O969&gt;0),"Aucune pièce déclarée",IF(P969*60/Q969&gt;O969+0.001,"Cadence dépassée : vérifiez la cadence","OK"))))))))))))))))))</f>
        <v/>
      </c>
      <c r="AC969">
        <f>IF(OR(AB969="OK",AB969="Aucune pièce déclarée",AB969="Cadence dépassée : vérifiez la cadence"),1,0)</f>
        <v>0.0</v>
      </c>
      <c r="AD969">
        <f>IF(AND(AC969=1,A969&gt;=p_from,A969&lt;=p_to),1,0)</f>
        <v>0.0</v>
      </c>
      <c r="AE969">
        <f>IF(AD969=1,IF(COUNTIFS($A$6:A969,A969,$AD$6:AD969,1)=1,1,0),0)</f>
        <v>0.0</v>
      </c>
      <c r="AF969" t="str">
        <f>IF(AE969=1,COUNTIFS(sj_first,1,sj_date,"&lt;"&amp;A969)+1,"")</f>
        <v/>
      </c>
      <c r="AG969" t="str">
        <f>IF(AND(AD969=1,N(W969)&lt;p_alert),ROUND(W969,4),"")</f>
        <v/>
      </c>
      <c r="AH969" t="str">
        <f>IF(AG969="","",COUNTIF(sj_akey,"&lt;"&amp;AG969)+COUNTIF($AG$6:AG969,AG969))</f>
        <v/>
      </c>
    </row>
    <row r="970">
      <c r="A970" s="51" t="n"/>
      <c r="B970" s="52" t="n"/>
      <c r="C970" s="52" t="n"/>
      <c r="D970" s="53" t="n"/>
      <c r="E970" s="53" t="n"/>
      <c r="F970" s="54" t="n"/>
      <c r="G970" s="54" t="n"/>
      <c r="H970" s="54" t="n"/>
      <c r="I970" s="54" t="n"/>
      <c r="J970" s="53" t="n"/>
      <c r="K970" s="55" t="str">
        <f>IF(COUNTA(A970:I970)=0,"",IF(F970="",IFERROR(INDEX(eq_dur,MATCH(B970,eq_code,0)),""),F970))</f>
        <v/>
      </c>
      <c r="L970" s="55" t="str">
        <f>IF(ISNUMBER(K970),N(IFERROR(INDEX(eq_pause,MATCH(B970,eq_code,0)),0))+SUMIFS(st_min,st_date,A970,st_eq,B970,st_po,C970,st_type,"Planifié"),"")</f>
        <v/>
      </c>
      <c r="M970" s="55" t="str">
        <f>IF(ISNUMBER(K970),K970-L970,"")</f>
        <v/>
      </c>
      <c r="N970" s="55" t="str">
        <f>IF(ISNUMBER(K970),SUMIFS(st_min,st_date,A970,st_eq,B970,st_po,C970,st_type,"Non planifié"),"")</f>
        <v/>
      </c>
      <c r="O970" s="55" t="str">
        <f>IF(ISNUMBER(K970),M970-N970,"")</f>
        <v/>
      </c>
      <c r="P970" s="55" t="str">
        <f>IF(COUNTA(A970:I970)=0,"",N(G970)+N(H970)+N(I970))</f>
        <v/>
      </c>
      <c r="Q970" s="56" t="str">
        <f>IF(COUNTA(A970:I970)=0,"",IF(N(IFERROR(INDEX(art_rate,MATCH(E970,art_ref,0)),0))&gt;0,N(IFERROR(INDEX(art_rate,MATCH(E970,art_ref,0)),0)),N(IFERROR(INDEX(po_rate,MATCH(C970,po_code,0)),0))))</f>
        <v/>
      </c>
      <c r="R970" s="55" t="str">
        <f>IF(AC970=1,P970*60/Q970,"")</f>
        <v/>
      </c>
      <c r="S970" s="55" t="str">
        <f>IF(AC970=1,N(G970)*60/Q970,"")</f>
        <v/>
      </c>
      <c r="T970" s="57" t="str">
        <f>IF(AC970=1,O970/M970,"")</f>
        <v/>
      </c>
      <c r="U970" s="57" t="str">
        <f>IF(AC970=1,IF(O970&gt;0,R970/O970,""),"")</f>
        <v/>
      </c>
      <c r="V970" s="57" t="str">
        <f>IF(AC970=1,IF(P970&gt;0,N(G970)/P970,""),"")</f>
        <v/>
      </c>
      <c r="W970" s="57" t="str">
        <f>IF(AC970=1,S970/M970,"")</f>
        <v/>
      </c>
      <c r="X970" s="57" t="str">
        <f>IF(AC970=1,S970/K970,"")</f>
        <v/>
      </c>
      <c r="Y970" s="58" t="str">
        <f>IF(W970="","",IF(W970&gt;=p_target,"Bon",IF(W970&gt;=p_alert,"À surveiller","Faible")))</f>
        <v/>
      </c>
      <c r="Z970" s="58" t="str">
        <f>IF(W970="","",IF(MIN(IF(T970="",1,T970),IF(U970="",1,U970),IF(V970="",1,V970))&gt;=1,"Aucune",IF(IF(T970="",1,T970)&lt;=MIN(IF(U970="",1,U970),IF(V970="",1,V970)),"Disponibilité",IF(IF(U970="",1,U970)&lt;=IF(V970="",1,V970),"Performance","Qualité"))))</f>
        <v/>
      </c>
      <c r="AA970" s="59" t="str">
        <f>IF(AC970=1,N(H970)*N(IFERROR(INDEX(art_cost,MATCH(E970,art_ref,0)),0)),"")</f>
        <v/>
      </c>
      <c r="AB970" s="58" t="str">
        <f>IF(COUNTA(A970:I970)=0,"",IF(N(A970)&lt;=0,"Date manquante ou invalide",IF(B970="","Équipe manquante",IF(ISNA(MATCH(B970,eq_code,0)),"Équipe inconnue",IF(INDEX(eq_check,MATCH(B970,eq_code,0))&lt;&gt;"OK","Équipe à corriger dans Paramètres",IF(C970="","Poste manquant",IF(ISNA(MATCH(C970,po_code,0)),"Poste inconnu",IF(AND(E970&lt;&gt;"",ISNA(MATCH(E970,art_ref,0))),"Article inconnu",IF(IF(E970="",FALSE,INDEX(art_check,MATCH(E970,art_ref,0))&lt;&gt;"OK"),"Article à corriger (feuille Articles)",IF(COUNTIFS(sj_date,A970,sj_eq,B970,sj_po,C970)&gt;1,"Ligne en double (même jour, équipe et poste)",IF(OR(NOT(ISNUMBER(K970)),N(K970)&lt;=0,N(K970)&gt;1440),"Temps d'ouverture invalide",IF(OR(AND(G970&lt;&gt;"",NOT(ISNUMBER(G970))),N(G970)&lt;0,N(G970)&lt;&gt;INT(N(G970)),AND(H970&lt;&gt;"",NOT(ISNUMBER(H970))),N(H970)&lt;0,N(H970)&lt;&gt;INT(N(H970)),AND(I970&lt;&gt;"",NOT(ISNUMBER(I970))),N(I970)&lt;0,N(I970)&lt;&gt;INT(N(I970))),"Quantité invalide",IF(Q970&lt;=0,"Cadence manquante (poste ou article)",IF(M970&lt;=0,"Arrêts planifiés supérieurs au temps d'ouverture",IF(O970&lt;0,"Arrêts supérieurs au temps requis",IF(AND(P970&gt;0,O970=0),"Pièces déclarées sans temps de marche",IF(AND(P970=0,O970&gt;0),"Aucune pièce déclarée",IF(P970*60/Q970&gt;O970+0.001,"Cadence dépassée : vérifiez la cadence","OK"))))))))))))))))))</f>
        <v/>
      </c>
      <c r="AC970">
        <f>IF(OR(AB970="OK",AB970="Aucune pièce déclarée",AB970="Cadence dépassée : vérifiez la cadence"),1,0)</f>
        <v>0.0</v>
      </c>
      <c r="AD970">
        <f>IF(AND(AC970=1,A970&gt;=p_from,A970&lt;=p_to),1,0)</f>
        <v>0.0</v>
      </c>
      <c r="AE970">
        <f>IF(AD970=1,IF(COUNTIFS($A$6:A970,A970,$AD$6:AD970,1)=1,1,0),0)</f>
        <v>0.0</v>
      </c>
      <c r="AF970" t="str">
        <f>IF(AE970=1,COUNTIFS(sj_first,1,sj_date,"&lt;"&amp;A970)+1,"")</f>
        <v/>
      </c>
      <c r="AG970" t="str">
        <f>IF(AND(AD970=1,N(W970)&lt;p_alert),ROUND(W970,4),"")</f>
        <v/>
      </c>
      <c r="AH970" t="str">
        <f>IF(AG970="","",COUNTIF(sj_akey,"&lt;"&amp;AG970)+COUNTIF($AG$6:AG970,AG970))</f>
        <v/>
      </c>
    </row>
    <row r="971">
      <c r="A971" s="51" t="n"/>
      <c r="B971" s="52" t="n"/>
      <c r="C971" s="52" t="n"/>
      <c r="D971" s="53" t="n"/>
      <c r="E971" s="53" t="n"/>
      <c r="F971" s="54" t="n"/>
      <c r="G971" s="54" t="n"/>
      <c r="H971" s="54" t="n"/>
      <c r="I971" s="54" t="n"/>
      <c r="J971" s="53" t="n"/>
      <c r="K971" s="55" t="str">
        <f>IF(COUNTA(A971:I971)=0,"",IF(F971="",IFERROR(INDEX(eq_dur,MATCH(B971,eq_code,0)),""),F971))</f>
        <v/>
      </c>
      <c r="L971" s="55" t="str">
        <f>IF(ISNUMBER(K971),N(IFERROR(INDEX(eq_pause,MATCH(B971,eq_code,0)),0))+SUMIFS(st_min,st_date,A971,st_eq,B971,st_po,C971,st_type,"Planifié"),"")</f>
        <v/>
      </c>
      <c r="M971" s="55" t="str">
        <f>IF(ISNUMBER(K971),K971-L971,"")</f>
        <v/>
      </c>
      <c r="N971" s="55" t="str">
        <f>IF(ISNUMBER(K971),SUMIFS(st_min,st_date,A971,st_eq,B971,st_po,C971,st_type,"Non planifié"),"")</f>
        <v/>
      </c>
      <c r="O971" s="55" t="str">
        <f>IF(ISNUMBER(K971),M971-N971,"")</f>
        <v/>
      </c>
      <c r="P971" s="55" t="str">
        <f>IF(COUNTA(A971:I971)=0,"",N(G971)+N(H971)+N(I971))</f>
        <v/>
      </c>
      <c r="Q971" s="56" t="str">
        <f>IF(COUNTA(A971:I971)=0,"",IF(N(IFERROR(INDEX(art_rate,MATCH(E971,art_ref,0)),0))&gt;0,N(IFERROR(INDEX(art_rate,MATCH(E971,art_ref,0)),0)),N(IFERROR(INDEX(po_rate,MATCH(C971,po_code,0)),0))))</f>
        <v/>
      </c>
      <c r="R971" s="55" t="str">
        <f>IF(AC971=1,P971*60/Q971,"")</f>
        <v/>
      </c>
      <c r="S971" s="55" t="str">
        <f>IF(AC971=1,N(G971)*60/Q971,"")</f>
        <v/>
      </c>
      <c r="T971" s="57" t="str">
        <f>IF(AC971=1,O971/M971,"")</f>
        <v/>
      </c>
      <c r="U971" s="57" t="str">
        <f>IF(AC971=1,IF(O971&gt;0,R971/O971,""),"")</f>
        <v/>
      </c>
      <c r="V971" s="57" t="str">
        <f>IF(AC971=1,IF(P971&gt;0,N(G971)/P971,""),"")</f>
        <v/>
      </c>
      <c r="W971" s="57" t="str">
        <f>IF(AC971=1,S971/M971,"")</f>
        <v/>
      </c>
      <c r="X971" s="57" t="str">
        <f>IF(AC971=1,S971/K971,"")</f>
        <v/>
      </c>
      <c r="Y971" s="58" t="str">
        <f>IF(W971="","",IF(W971&gt;=p_target,"Bon",IF(W971&gt;=p_alert,"À surveiller","Faible")))</f>
        <v/>
      </c>
      <c r="Z971" s="58" t="str">
        <f>IF(W971="","",IF(MIN(IF(T971="",1,T971),IF(U971="",1,U971),IF(V971="",1,V971))&gt;=1,"Aucune",IF(IF(T971="",1,T971)&lt;=MIN(IF(U971="",1,U971),IF(V971="",1,V971)),"Disponibilité",IF(IF(U971="",1,U971)&lt;=IF(V971="",1,V971),"Performance","Qualité"))))</f>
        <v/>
      </c>
      <c r="AA971" s="59" t="str">
        <f>IF(AC971=1,N(H971)*N(IFERROR(INDEX(art_cost,MATCH(E971,art_ref,0)),0)),"")</f>
        <v/>
      </c>
      <c r="AB971" s="58" t="str">
        <f>IF(COUNTA(A971:I971)=0,"",IF(N(A971)&lt;=0,"Date manquante ou invalide",IF(B971="","Équipe manquante",IF(ISNA(MATCH(B971,eq_code,0)),"Équipe inconnue",IF(INDEX(eq_check,MATCH(B971,eq_code,0))&lt;&gt;"OK","Équipe à corriger dans Paramètres",IF(C971="","Poste manquant",IF(ISNA(MATCH(C971,po_code,0)),"Poste inconnu",IF(AND(E971&lt;&gt;"",ISNA(MATCH(E971,art_ref,0))),"Article inconnu",IF(IF(E971="",FALSE,INDEX(art_check,MATCH(E971,art_ref,0))&lt;&gt;"OK"),"Article à corriger (feuille Articles)",IF(COUNTIFS(sj_date,A971,sj_eq,B971,sj_po,C971)&gt;1,"Ligne en double (même jour, équipe et poste)",IF(OR(NOT(ISNUMBER(K971)),N(K971)&lt;=0,N(K971)&gt;1440),"Temps d'ouverture invalide",IF(OR(AND(G971&lt;&gt;"",NOT(ISNUMBER(G971))),N(G971)&lt;0,N(G971)&lt;&gt;INT(N(G971)),AND(H971&lt;&gt;"",NOT(ISNUMBER(H971))),N(H971)&lt;0,N(H971)&lt;&gt;INT(N(H971)),AND(I971&lt;&gt;"",NOT(ISNUMBER(I971))),N(I971)&lt;0,N(I971)&lt;&gt;INT(N(I971))),"Quantité invalide",IF(Q971&lt;=0,"Cadence manquante (poste ou article)",IF(M971&lt;=0,"Arrêts planifiés supérieurs au temps d'ouverture",IF(O971&lt;0,"Arrêts supérieurs au temps requis",IF(AND(P971&gt;0,O971=0),"Pièces déclarées sans temps de marche",IF(AND(P971=0,O971&gt;0),"Aucune pièce déclarée",IF(P971*60/Q971&gt;O971+0.001,"Cadence dépassée : vérifiez la cadence","OK"))))))))))))))))))</f>
        <v/>
      </c>
      <c r="AC971">
        <f>IF(OR(AB971="OK",AB971="Aucune pièce déclarée",AB971="Cadence dépassée : vérifiez la cadence"),1,0)</f>
        <v>0.0</v>
      </c>
      <c r="AD971">
        <f>IF(AND(AC971=1,A971&gt;=p_from,A971&lt;=p_to),1,0)</f>
        <v>0.0</v>
      </c>
      <c r="AE971">
        <f>IF(AD971=1,IF(COUNTIFS($A$6:A971,A971,$AD$6:AD971,1)=1,1,0),0)</f>
        <v>0.0</v>
      </c>
      <c r="AF971" t="str">
        <f>IF(AE971=1,COUNTIFS(sj_first,1,sj_date,"&lt;"&amp;A971)+1,"")</f>
        <v/>
      </c>
      <c r="AG971" t="str">
        <f>IF(AND(AD971=1,N(W971)&lt;p_alert),ROUND(W971,4),"")</f>
        <v/>
      </c>
      <c r="AH971" t="str">
        <f>IF(AG971="","",COUNTIF(sj_akey,"&lt;"&amp;AG971)+COUNTIF($AG$6:AG971,AG971))</f>
        <v/>
      </c>
    </row>
    <row r="972">
      <c r="A972" s="51" t="n"/>
      <c r="B972" s="52" t="n"/>
      <c r="C972" s="52" t="n"/>
      <c r="D972" s="53" t="n"/>
      <c r="E972" s="53" t="n"/>
      <c r="F972" s="54" t="n"/>
      <c r="G972" s="54" t="n"/>
      <c r="H972" s="54" t="n"/>
      <c r="I972" s="54" t="n"/>
      <c r="J972" s="53" t="n"/>
      <c r="K972" s="55" t="str">
        <f>IF(COUNTA(A972:I972)=0,"",IF(F972="",IFERROR(INDEX(eq_dur,MATCH(B972,eq_code,0)),""),F972))</f>
        <v/>
      </c>
      <c r="L972" s="55" t="str">
        <f>IF(ISNUMBER(K972),N(IFERROR(INDEX(eq_pause,MATCH(B972,eq_code,0)),0))+SUMIFS(st_min,st_date,A972,st_eq,B972,st_po,C972,st_type,"Planifié"),"")</f>
        <v/>
      </c>
      <c r="M972" s="55" t="str">
        <f>IF(ISNUMBER(K972),K972-L972,"")</f>
        <v/>
      </c>
      <c r="N972" s="55" t="str">
        <f>IF(ISNUMBER(K972),SUMIFS(st_min,st_date,A972,st_eq,B972,st_po,C972,st_type,"Non planifié"),"")</f>
        <v/>
      </c>
      <c r="O972" s="55" t="str">
        <f>IF(ISNUMBER(K972),M972-N972,"")</f>
        <v/>
      </c>
      <c r="P972" s="55" t="str">
        <f>IF(COUNTA(A972:I972)=0,"",N(G972)+N(H972)+N(I972))</f>
        <v/>
      </c>
      <c r="Q972" s="56" t="str">
        <f>IF(COUNTA(A972:I972)=0,"",IF(N(IFERROR(INDEX(art_rate,MATCH(E972,art_ref,0)),0))&gt;0,N(IFERROR(INDEX(art_rate,MATCH(E972,art_ref,0)),0)),N(IFERROR(INDEX(po_rate,MATCH(C972,po_code,0)),0))))</f>
        <v/>
      </c>
      <c r="R972" s="55" t="str">
        <f>IF(AC972=1,P972*60/Q972,"")</f>
        <v/>
      </c>
      <c r="S972" s="55" t="str">
        <f>IF(AC972=1,N(G972)*60/Q972,"")</f>
        <v/>
      </c>
      <c r="T972" s="57" t="str">
        <f>IF(AC972=1,O972/M972,"")</f>
        <v/>
      </c>
      <c r="U972" s="57" t="str">
        <f>IF(AC972=1,IF(O972&gt;0,R972/O972,""),"")</f>
        <v/>
      </c>
      <c r="V972" s="57" t="str">
        <f>IF(AC972=1,IF(P972&gt;0,N(G972)/P972,""),"")</f>
        <v/>
      </c>
      <c r="W972" s="57" t="str">
        <f>IF(AC972=1,S972/M972,"")</f>
        <v/>
      </c>
      <c r="X972" s="57" t="str">
        <f>IF(AC972=1,S972/K972,"")</f>
        <v/>
      </c>
      <c r="Y972" s="58" t="str">
        <f>IF(W972="","",IF(W972&gt;=p_target,"Bon",IF(W972&gt;=p_alert,"À surveiller","Faible")))</f>
        <v/>
      </c>
      <c r="Z972" s="58" t="str">
        <f>IF(W972="","",IF(MIN(IF(T972="",1,T972),IF(U972="",1,U972),IF(V972="",1,V972))&gt;=1,"Aucune",IF(IF(T972="",1,T972)&lt;=MIN(IF(U972="",1,U972),IF(V972="",1,V972)),"Disponibilité",IF(IF(U972="",1,U972)&lt;=IF(V972="",1,V972),"Performance","Qualité"))))</f>
        <v/>
      </c>
      <c r="AA972" s="59" t="str">
        <f>IF(AC972=1,N(H972)*N(IFERROR(INDEX(art_cost,MATCH(E972,art_ref,0)),0)),"")</f>
        <v/>
      </c>
      <c r="AB972" s="58" t="str">
        <f>IF(COUNTA(A972:I972)=0,"",IF(N(A972)&lt;=0,"Date manquante ou invalide",IF(B972="","Équipe manquante",IF(ISNA(MATCH(B972,eq_code,0)),"Équipe inconnue",IF(INDEX(eq_check,MATCH(B972,eq_code,0))&lt;&gt;"OK","Équipe à corriger dans Paramètres",IF(C972="","Poste manquant",IF(ISNA(MATCH(C972,po_code,0)),"Poste inconnu",IF(AND(E972&lt;&gt;"",ISNA(MATCH(E972,art_ref,0))),"Article inconnu",IF(IF(E972="",FALSE,INDEX(art_check,MATCH(E972,art_ref,0))&lt;&gt;"OK"),"Article à corriger (feuille Articles)",IF(COUNTIFS(sj_date,A972,sj_eq,B972,sj_po,C972)&gt;1,"Ligne en double (même jour, équipe et poste)",IF(OR(NOT(ISNUMBER(K972)),N(K972)&lt;=0,N(K972)&gt;1440),"Temps d'ouverture invalide",IF(OR(AND(G972&lt;&gt;"",NOT(ISNUMBER(G972))),N(G972)&lt;0,N(G972)&lt;&gt;INT(N(G972)),AND(H972&lt;&gt;"",NOT(ISNUMBER(H972))),N(H972)&lt;0,N(H972)&lt;&gt;INT(N(H972)),AND(I972&lt;&gt;"",NOT(ISNUMBER(I972))),N(I972)&lt;0,N(I972)&lt;&gt;INT(N(I972))),"Quantité invalide",IF(Q972&lt;=0,"Cadence manquante (poste ou article)",IF(M972&lt;=0,"Arrêts planifiés supérieurs au temps d'ouverture",IF(O972&lt;0,"Arrêts supérieurs au temps requis",IF(AND(P972&gt;0,O972=0),"Pièces déclarées sans temps de marche",IF(AND(P972=0,O972&gt;0),"Aucune pièce déclarée",IF(P972*60/Q972&gt;O972+0.001,"Cadence dépassée : vérifiez la cadence","OK"))))))))))))))))))</f>
        <v/>
      </c>
      <c r="AC972">
        <f>IF(OR(AB972="OK",AB972="Aucune pièce déclarée",AB972="Cadence dépassée : vérifiez la cadence"),1,0)</f>
        <v>0.0</v>
      </c>
      <c r="AD972">
        <f>IF(AND(AC972=1,A972&gt;=p_from,A972&lt;=p_to),1,0)</f>
        <v>0.0</v>
      </c>
      <c r="AE972">
        <f>IF(AD972=1,IF(COUNTIFS($A$6:A972,A972,$AD$6:AD972,1)=1,1,0),0)</f>
        <v>0.0</v>
      </c>
      <c r="AF972" t="str">
        <f>IF(AE972=1,COUNTIFS(sj_first,1,sj_date,"&lt;"&amp;A972)+1,"")</f>
        <v/>
      </c>
      <c r="AG972" t="str">
        <f>IF(AND(AD972=1,N(W972)&lt;p_alert),ROUND(W972,4),"")</f>
        <v/>
      </c>
      <c r="AH972" t="str">
        <f>IF(AG972="","",COUNTIF(sj_akey,"&lt;"&amp;AG972)+COUNTIF($AG$6:AG972,AG972))</f>
        <v/>
      </c>
    </row>
    <row r="973">
      <c r="A973" s="51" t="n"/>
      <c r="B973" s="52" t="n"/>
      <c r="C973" s="52" t="n"/>
      <c r="D973" s="53" t="n"/>
      <c r="E973" s="53" t="n"/>
      <c r="F973" s="54" t="n"/>
      <c r="G973" s="54" t="n"/>
      <c r="H973" s="54" t="n"/>
      <c r="I973" s="54" t="n"/>
      <c r="J973" s="53" t="n"/>
      <c r="K973" s="55" t="str">
        <f>IF(COUNTA(A973:I973)=0,"",IF(F973="",IFERROR(INDEX(eq_dur,MATCH(B973,eq_code,0)),""),F973))</f>
        <v/>
      </c>
      <c r="L973" s="55" t="str">
        <f>IF(ISNUMBER(K973),N(IFERROR(INDEX(eq_pause,MATCH(B973,eq_code,0)),0))+SUMIFS(st_min,st_date,A973,st_eq,B973,st_po,C973,st_type,"Planifié"),"")</f>
        <v/>
      </c>
      <c r="M973" s="55" t="str">
        <f>IF(ISNUMBER(K973),K973-L973,"")</f>
        <v/>
      </c>
      <c r="N973" s="55" t="str">
        <f>IF(ISNUMBER(K973),SUMIFS(st_min,st_date,A973,st_eq,B973,st_po,C973,st_type,"Non planifié"),"")</f>
        <v/>
      </c>
      <c r="O973" s="55" t="str">
        <f>IF(ISNUMBER(K973),M973-N973,"")</f>
        <v/>
      </c>
      <c r="P973" s="55" t="str">
        <f>IF(COUNTA(A973:I973)=0,"",N(G973)+N(H973)+N(I973))</f>
        <v/>
      </c>
      <c r="Q973" s="56" t="str">
        <f>IF(COUNTA(A973:I973)=0,"",IF(N(IFERROR(INDEX(art_rate,MATCH(E973,art_ref,0)),0))&gt;0,N(IFERROR(INDEX(art_rate,MATCH(E973,art_ref,0)),0)),N(IFERROR(INDEX(po_rate,MATCH(C973,po_code,0)),0))))</f>
        <v/>
      </c>
      <c r="R973" s="55" t="str">
        <f>IF(AC973=1,P973*60/Q973,"")</f>
        <v/>
      </c>
      <c r="S973" s="55" t="str">
        <f>IF(AC973=1,N(G973)*60/Q973,"")</f>
        <v/>
      </c>
      <c r="T973" s="57" t="str">
        <f>IF(AC973=1,O973/M973,"")</f>
        <v/>
      </c>
      <c r="U973" s="57" t="str">
        <f>IF(AC973=1,IF(O973&gt;0,R973/O973,""),"")</f>
        <v/>
      </c>
      <c r="V973" s="57" t="str">
        <f>IF(AC973=1,IF(P973&gt;0,N(G973)/P973,""),"")</f>
        <v/>
      </c>
      <c r="W973" s="57" t="str">
        <f>IF(AC973=1,S973/M973,"")</f>
        <v/>
      </c>
      <c r="X973" s="57" t="str">
        <f>IF(AC973=1,S973/K973,"")</f>
        <v/>
      </c>
      <c r="Y973" s="58" t="str">
        <f>IF(W973="","",IF(W973&gt;=p_target,"Bon",IF(W973&gt;=p_alert,"À surveiller","Faible")))</f>
        <v/>
      </c>
      <c r="Z973" s="58" t="str">
        <f>IF(W973="","",IF(MIN(IF(T973="",1,T973),IF(U973="",1,U973),IF(V973="",1,V973))&gt;=1,"Aucune",IF(IF(T973="",1,T973)&lt;=MIN(IF(U973="",1,U973),IF(V973="",1,V973)),"Disponibilité",IF(IF(U973="",1,U973)&lt;=IF(V973="",1,V973),"Performance","Qualité"))))</f>
        <v/>
      </c>
      <c r="AA973" s="59" t="str">
        <f>IF(AC973=1,N(H973)*N(IFERROR(INDEX(art_cost,MATCH(E973,art_ref,0)),0)),"")</f>
        <v/>
      </c>
      <c r="AB973" s="58" t="str">
        <f>IF(COUNTA(A973:I973)=0,"",IF(N(A973)&lt;=0,"Date manquante ou invalide",IF(B973="","Équipe manquante",IF(ISNA(MATCH(B973,eq_code,0)),"Équipe inconnue",IF(INDEX(eq_check,MATCH(B973,eq_code,0))&lt;&gt;"OK","Équipe à corriger dans Paramètres",IF(C973="","Poste manquant",IF(ISNA(MATCH(C973,po_code,0)),"Poste inconnu",IF(AND(E973&lt;&gt;"",ISNA(MATCH(E973,art_ref,0))),"Article inconnu",IF(IF(E973="",FALSE,INDEX(art_check,MATCH(E973,art_ref,0))&lt;&gt;"OK"),"Article à corriger (feuille Articles)",IF(COUNTIFS(sj_date,A973,sj_eq,B973,sj_po,C973)&gt;1,"Ligne en double (même jour, équipe et poste)",IF(OR(NOT(ISNUMBER(K973)),N(K973)&lt;=0,N(K973)&gt;1440),"Temps d'ouverture invalide",IF(OR(AND(G973&lt;&gt;"",NOT(ISNUMBER(G973))),N(G973)&lt;0,N(G973)&lt;&gt;INT(N(G973)),AND(H973&lt;&gt;"",NOT(ISNUMBER(H973))),N(H973)&lt;0,N(H973)&lt;&gt;INT(N(H973)),AND(I973&lt;&gt;"",NOT(ISNUMBER(I973))),N(I973)&lt;0,N(I973)&lt;&gt;INT(N(I973))),"Quantité invalide",IF(Q973&lt;=0,"Cadence manquante (poste ou article)",IF(M973&lt;=0,"Arrêts planifiés supérieurs au temps d'ouverture",IF(O973&lt;0,"Arrêts supérieurs au temps requis",IF(AND(P973&gt;0,O973=0),"Pièces déclarées sans temps de marche",IF(AND(P973=0,O973&gt;0),"Aucune pièce déclarée",IF(P973*60/Q973&gt;O973+0.001,"Cadence dépassée : vérifiez la cadence","OK"))))))))))))))))))</f>
        <v/>
      </c>
      <c r="AC973">
        <f>IF(OR(AB973="OK",AB973="Aucune pièce déclarée",AB973="Cadence dépassée : vérifiez la cadence"),1,0)</f>
        <v>0.0</v>
      </c>
      <c r="AD973">
        <f>IF(AND(AC973=1,A973&gt;=p_from,A973&lt;=p_to),1,0)</f>
        <v>0.0</v>
      </c>
      <c r="AE973">
        <f>IF(AD973=1,IF(COUNTIFS($A$6:A973,A973,$AD$6:AD973,1)=1,1,0),0)</f>
        <v>0.0</v>
      </c>
      <c r="AF973" t="str">
        <f>IF(AE973=1,COUNTIFS(sj_first,1,sj_date,"&lt;"&amp;A973)+1,"")</f>
        <v/>
      </c>
      <c r="AG973" t="str">
        <f>IF(AND(AD973=1,N(W973)&lt;p_alert),ROUND(W973,4),"")</f>
        <v/>
      </c>
      <c r="AH973" t="str">
        <f>IF(AG973="","",COUNTIF(sj_akey,"&lt;"&amp;AG973)+COUNTIF($AG$6:AG973,AG973))</f>
        <v/>
      </c>
    </row>
    <row r="974">
      <c r="A974" s="51" t="n"/>
      <c r="B974" s="52" t="n"/>
      <c r="C974" s="52" t="n"/>
      <c r="D974" s="53" t="n"/>
      <c r="E974" s="53" t="n"/>
      <c r="F974" s="54" t="n"/>
      <c r="G974" s="54" t="n"/>
      <c r="H974" s="54" t="n"/>
      <c r="I974" s="54" t="n"/>
      <c r="J974" s="53" t="n"/>
      <c r="K974" s="55" t="str">
        <f>IF(COUNTA(A974:I974)=0,"",IF(F974="",IFERROR(INDEX(eq_dur,MATCH(B974,eq_code,0)),""),F974))</f>
        <v/>
      </c>
      <c r="L974" s="55" t="str">
        <f>IF(ISNUMBER(K974),N(IFERROR(INDEX(eq_pause,MATCH(B974,eq_code,0)),0))+SUMIFS(st_min,st_date,A974,st_eq,B974,st_po,C974,st_type,"Planifié"),"")</f>
        <v/>
      </c>
      <c r="M974" s="55" t="str">
        <f>IF(ISNUMBER(K974),K974-L974,"")</f>
        <v/>
      </c>
      <c r="N974" s="55" t="str">
        <f>IF(ISNUMBER(K974),SUMIFS(st_min,st_date,A974,st_eq,B974,st_po,C974,st_type,"Non planifié"),"")</f>
        <v/>
      </c>
      <c r="O974" s="55" t="str">
        <f>IF(ISNUMBER(K974),M974-N974,"")</f>
        <v/>
      </c>
      <c r="P974" s="55" t="str">
        <f>IF(COUNTA(A974:I974)=0,"",N(G974)+N(H974)+N(I974))</f>
        <v/>
      </c>
      <c r="Q974" s="56" t="str">
        <f>IF(COUNTA(A974:I974)=0,"",IF(N(IFERROR(INDEX(art_rate,MATCH(E974,art_ref,0)),0))&gt;0,N(IFERROR(INDEX(art_rate,MATCH(E974,art_ref,0)),0)),N(IFERROR(INDEX(po_rate,MATCH(C974,po_code,0)),0))))</f>
        <v/>
      </c>
      <c r="R974" s="55" t="str">
        <f>IF(AC974=1,P974*60/Q974,"")</f>
        <v/>
      </c>
      <c r="S974" s="55" t="str">
        <f>IF(AC974=1,N(G974)*60/Q974,"")</f>
        <v/>
      </c>
      <c r="T974" s="57" t="str">
        <f>IF(AC974=1,O974/M974,"")</f>
        <v/>
      </c>
      <c r="U974" s="57" t="str">
        <f>IF(AC974=1,IF(O974&gt;0,R974/O974,""),"")</f>
        <v/>
      </c>
      <c r="V974" s="57" t="str">
        <f>IF(AC974=1,IF(P974&gt;0,N(G974)/P974,""),"")</f>
        <v/>
      </c>
      <c r="W974" s="57" t="str">
        <f>IF(AC974=1,S974/M974,"")</f>
        <v/>
      </c>
      <c r="X974" s="57" t="str">
        <f>IF(AC974=1,S974/K974,"")</f>
        <v/>
      </c>
      <c r="Y974" s="58" t="str">
        <f>IF(W974="","",IF(W974&gt;=p_target,"Bon",IF(W974&gt;=p_alert,"À surveiller","Faible")))</f>
        <v/>
      </c>
      <c r="Z974" s="58" t="str">
        <f>IF(W974="","",IF(MIN(IF(T974="",1,T974),IF(U974="",1,U974),IF(V974="",1,V974))&gt;=1,"Aucune",IF(IF(T974="",1,T974)&lt;=MIN(IF(U974="",1,U974),IF(V974="",1,V974)),"Disponibilité",IF(IF(U974="",1,U974)&lt;=IF(V974="",1,V974),"Performance","Qualité"))))</f>
        <v/>
      </c>
      <c r="AA974" s="59" t="str">
        <f>IF(AC974=1,N(H974)*N(IFERROR(INDEX(art_cost,MATCH(E974,art_ref,0)),0)),"")</f>
        <v/>
      </c>
      <c r="AB974" s="58" t="str">
        <f>IF(COUNTA(A974:I974)=0,"",IF(N(A974)&lt;=0,"Date manquante ou invalide",IF(B974="","Équipe manquante",IF(ISNA(MATCH(B974,eq_code,0)),"Équipe inconnue",IF(INDEX(eq_check,MATCH(B974,eq_code,0))&lt;&gt;"OK","Équipe à corriger dans Paramètres",IF(C974="","Poste manquant",IF(ISNA(MATCH(C974,po_code,0)),"Poste inconnu",IF(AND(E974&lt;&gt;"",ISNA(MATCH(E974,art_ref,0))),"Article inconnu",IF(IF(E974="",FALSE,INDEX(art_check,MATCH(E974,art_ref,0))&lt;&gt;"OK"),"Article à corriger (feuille Articles)",IF(COUNTIFS(sj_date,A974,sj_eq,B974,sj_po,C974)&gt;1,"Ligne en double (même jour, équipe et poste)",IF(OR(NOT(ISNUMBER(K974)),N(K974)&lt;=0,N(K974)&gt;1440),"Temps d'ouverture invalide",IF(OR(AND(G974&lt;&gt;"",NOT(ISNUMBER(G974))),N(G974)&lt;0,N(G974)&lt;&gt;INT(N(G974)),AND(H974&lt;&gt;"",NOT(ISNUMBER(H974))),N(H974)&lt;0,N(H974)&lt;&gt;INT(N(H974)),AND(I974&lt;&gt;"",NOT(ISNUMBER(I974))),N(I974)&lt;0,N(I974)&lt;&gt;INT(N(I974))),"Quantité invalide",IF(Q974&lt;=0,"Cadence manquante (poste ou article)",IF(M974&lt;=0,"Arrêts planifiés supérieurs au temps d'ouverture",IF(O974&lt;0,"Arrêts supérieurs au temps requis",IF(AND(P974&gt;0,O974=0),"Pièces déclarées sans temps de marche",IF(AND(P974=0,O974&gt;0),"Aucune pièce déclarée",IF(P974*60/Q974&gt;O974+0.001,"Cadence dépassée : vérifiez la cadence","OK"))))))))))))))))))</f>
        <v/>
      </c>
      <c r="AC974">
        <f>IF(OR(AB974="OK",AB974="Aucune pièce déclarée",AB974="Cadence dépassée : vérifiez la cadence"),1,0)</f>
        <v>0.0</v>
      </c>
      <c r="AD974">
        <f>IF(AND(AC974=1,A974&gt;=p_from,A974&lt;=p_to),1,0)</f>
        <v>0.0</v>
      </c>
      <c r="AE974">
        <f>IF(AD974=1,IF(COUNTIFS($A$6:A974,A974,$AD$6:AD974,1)=1,1,0),0)</f>
        <v>0.0</v>
      </c>
      <c r="AF974" t="str">
        <f>IF(AE974=1,COUNTIFS(sj_first,1,sj_date,"&lt;"&amp;A974)+1,"")</f>
        <v/>
      </c>
      <c r="AG974" t="str">
        <f>IF(AND(AD974=1,N(W974)&lt;p_alert),ROUND(W974,4),"")</f>
        <v/>
      </c>
      <c r="AH974" t="str">
        <f>IF(AG974="","",COUNTIF(sj_akey,"&lt;"&amp;AG974)+COUNTIF($AG$6:AG974,AG974))</f>
        <v/>
      </c>
    </row>
    <row r="975">
      <c r="A975" s="51" t="n"/>
      <c r="B975" s="52" t="n"/>
      <c r="C975" s="52" t="n"/>
      <c r="D975" s="53" t="n"/>
      <c r="E975" s="53" t="n"/>
      <c r="F975" s="54" t="n"/>
      <c r="G975" s="54" t="n"/>
      <c r="H975" s="54" t="n"/>
      <c r="I975" s="54" t="n"/>
      <c r="J975" s="53" t="n"/>
      <c r="K975" s="55" t="str">
        <f>IF(COUNTA(A975:I975)=0,"",IF(F975="",IFERROR(INDEX(eq_dur,MATCH(B975,eq_code,0)),""),F975))</f>
        <v/>
      </c>
      <c r="L975" s="55" t="str">
        <f>IF(ISNUMBER(K975),N(IFERROR(INDEX(eq_pause,MATCH(B975,eq_code,0)),0))+SUMIFS(st_min,st_date,A975,st_eq,B975,st_po,C975,st_type,"Planifié"),"")</f>
        <v/>
      </c>
      <c r="M975" s="55" t="str">
        <f>IF(ISNUMBER(K975),K975-L975,"")</f>
        <v/>
      </c>
      <c r="N975" s="55" t="str">
        <f>IF(ISNUMBER(K975),SUMIFS(st_min,st_date,A975,st_eq,B975,st_po,C975,st_type,"Non planifié"),"")</f>
        <v/>
      </c>
      <c r="O975" s="55" t="str">
        <f>IF(ISNUMBER(K975),M975-N975,"")</f>
        <v/>
      </c>
      <c r="P975" s="55" t="str">
        <f>IF(COUNTA(A975:I975)=0,"",N(G975)+N(H975)+N(I975))</f>
        <v/>
      </c>
      <c r="Q975" s="56" t="str">
        <f>IF(COUNTA(A975:I975)=0,"",IF(N(IFERROR(INDEX(art_rate,MATCH(E975,art_ref,0)),0))&gt;0,N(IFERROR(INDEX(art_rate,MATCH(E975,art_ref,0)),0)),N(IFERROR(INDEX(po_rate,MATCH(C975,po_code,0)),0))))</f>
        <v/>
      </c>
      <c r="R975" s="55" t="str">
        <f>IF(AC975=1,P975*60/Q975,"")</f>
        <v/>
      </c>
      <c r="S975" s="55" t="str">
        <f>IF(AC975=1,N(G975)*60/Q975,"")</f>
        <v/>
      </c>
      <c r="T975" s="57" t="str">
        <f>IF(AC975=1,O975/M975,"")</f>
        <v/>
      </c>
      <c r="U975" s="57" t="str">
        <f>IF(AC975=1,IF(O975&gt;0,R975/O975,""),"")</f>
        <v/>
      </c>
      <c r="V975" s="57" t="str">
        <f>IF(AC975=1,IF(P975&gt;0,N(G975)/P975,""),"")</f>
        <v/>
      </c>
      <c r="W975" s="57" t="str">
        <f>IF(AC975=1,S975/M975,"")</f>
        <v/>
      </c>
      <c r="X975" s="57" t="str">
        <f>IF(AC975=1,S975/K975,"")</f>
        <v/>
      </c>
      <c r="Y975" s="58" t="str">
        <f>IF(W975="","",IF(W975&gt;=p_target,"Bon",IF(W975&gt;=p_alert,"À surveiller","Faible")))</f>
        <v/>
      </c>
      <c r="Z975" s="58" t="str">
        <f>IF(W975="","",IF(MIN(IF(T975="",1,T975),IF(U975="",1,U975),IF(V975="",1,V975))&gt;=1,"Aucune",IF(IF(T975="",1,T975)&lt;=MIN(IF(U975="",1,U975),IF(V975="",1,V975)),"Disponibilité",IF(IF(U975="",1,U975)&lt;=IF(V975="",1,V975),"Performance","Qualité"))))</f>
        <v/>
      </c>
      <c r="AA975" s="59" t="str">
        <f>IF(AC975=1,N(H975)*N(IFERROR(INDEX(art_cost,MATCH(E975,art_ref,0)),0)),"")</f>
        <v/>
      </c>
      <c r="AB975" s="58" t="str">
        <f>IF(COUNTA(A975:I975)=0,"",IF(N(A975)&lt;=0,"Date manquante ou invalide",IF(B975="","Équipe manquante",IF(ISNA(MATCH(B975,eq_code,0)),"Équipe inconnue",IF(INDEX(eq_check,MATCH(B975,eq_code,0))&lt;&gt;"OK","Équipe à corriger dans Paramètres",IF(C975="","Poste manquant",IF(ISNA(MATCH(C975,po_code,0)),"Poste inconnu",IF(AND(E975&lt;&gt;"",ISNA(MATCH(E975,art_ref,0))),"Article inconnu",IF(IF(E975="",FALSE,INDEX(art_check,MATCH(E975,art_ref,0))&lt;&gt;"OK"),"Article à corriger (feuille Articles)",IF(COUNTIFS(sj_date,A975,sj_eq,B975,sj_po,C975)&gt;1,"Ligne en double (même jour, équipe et poste)",IF(OR(NOT(ISNUMBER(K975)),N(K975)&lt;=0,N(K975)&gt;1440),"Temps d'ouverture invalide",IF(OR(AND(G975&lt;&gt;"",NOT(ISNUMBER(G975))),N(G975)&lt;0,N(G975)&lt;&gt;INT(N(G975)),AND(H975&lt;&gt;"",NOT(ISNUMBER(H975))),N(H975)&lt;0,N(H975)&lt;&gt;INT(N(H975)),AND(I975&lt;&gt;"",NOT(ISNUMBER(I975))),N(I975)&lt;0,N(I975)&lt;&gt;INT(N(I975))),"Quantité invalide",IF(Q975&lt;=0,"Cadence manquante (poste ou article)",IF(M975&lt;=0,"Arrêts planifiés supérieurs au temps d'ouverture",IF(O975&lt;0,"Arrêts supérieurs au temps requis",IF(AND(P975&gt;0,O975=0),"Pièces déclarées sans temps de marche",IF(AND(P975=0,O975&gt;0),"Aucune pièce déclarée",IF(P975*60/Q975&gt;O975+0.001,"Cadence dépassée : vérifiez la cadence","OK"))))))))))))))))))</f>
        <v/>
      </c>
      <c r="AC975">
        <f>IF(OR(AB975="OK",AB975="Aucune pièce déclarée",AB975="Cadence dépassée : vérifiez la cadence"),1,0)</f>
        <v>0.0</v>
      </c>
      <c r="AD975">
        <f>IF(AND(AC975=1,A975&gt;=p_from,A975&lt;=p_to),1,0)</f>
        <v>0.0</v>
      </c>
      <c r="AE975">
        <f>IF(AD975=1,IF(COUNTIFS($A$6:A975,A975,$AD$6:AD975,1)=1,1,0),0)</f>
        <v>0.0</v>
      </c>
      <c r="AF975" t="str">
        <f>IF(AE975=1,COUNTIFS(sj_first,1,sj_date,"&lt;"&amp;A975)+1,"")</f>
        <v/>
      </c>
      <c r="AG975" t="str">
        <f>IF(AND(AD975=1,N(W975)&lt;p_alert),ROUND(W975,4),"")</f>
        <v/>
      </c>
      <c r="AH975" t="str">
        <f>IF(AG975="","",COUNTIF(sj_akey,"&lt;"&amp;AG975)+COUNTIF($AG$6:AG975,AG975))</f>
        <v/>
      </c>
    </row>
    <row r="976">
      <c r="A976" s="51" t="n"/>
      <c r="B976" s="52" t="n"/>
      <c r="C976" s="52" t="n"/>
      <c r="D976" s="53" t="n"/>
      <c r="E976" s="53" t="n"/>
      <c r="F976" s="54" t="n"/>
      <c r="G976" s="54" t="n"/>
      <c r="H976" s="54" t="n"/>
      <c r="I976" s="54" t="n"/>
      <c r="J976" s="53" t="n"/>
      <c r="K976" s="55" t="str">
        <f>IF(COUNTA(A976:I976)=0,"",IF(F976="",IFERROR(INDEX(eq_dur,MATCH(B976,eq_code,0)),""),F976))</f>
        <v/>
      </c>
      <c r="L976" s="55" t="str">
        <f>IF(ISNUMBER(K976),N(IFERROR(INDEX(eq_pause,MATCH(B976,eq_code,0)),0))+SUMIFS(st_min,st_date,A976,st_eq,B976,st_po,C976,st_type,"Planifié"),"")</f>
        <v/>
      </c>
      <c r="M976" s="55" t="str">
        <f>IF(ISNUMBER(K976),K976-L976,"")</f>
        <v/>
      </c>
      <c r="N976" s="55" t="str">
        <f>IF(ISNUMBER(K976),SUMIFS(st_min,st_date,A976,st_eq,B976,st_po,C976,st_type,"Non planifié"),"")</f>
        <v/>
      </c>
      <c r="O976" s="55" t="str">
        <f>IF(ISNUMBER(K976),M976-N976,"")</f>
        <v/>
      </c>
      <c r="P976" s="55" t="str">
        <f>IF(COUNTA(A976:I976)=0,"",N(G976)+N(H976)+N(I976))</f>
        <v/>
      </c>
      <c r="Q976" s="56" t="str">
        <f>IF(COUNTA(A976:I976)=0,"",IF(N(IFERROR(INDEX(art_rate,MATCH(E976,art_ref,0)),0))&gt;0,N(IFERROR(INDEX(art_rate,MATCH(E976,art_ref,0)),0)),N(IFERROR(INDEX(po_rate,MATCH(C976,po_code,0)),0))))</f>
        <v/>
      </c>
      <c r="R976" s="55" t="str">
        <f>IF(AC976=1,P976*60/Q976,"")</f>
        <v/>
      </c>
      <c r="S976" s="55" t="str">
        <f>IF(AC976=1,N(G976)*60/Q976,"")</f>
        <v/>
      </c>
      <c r="T976" s="57" t="str">
        <f>IF(AC976=1,O976/M976,"")</f>
        <v/>
      </c>
      <c r="U976" s="57" t="str">
        <f>IF(AC976=1,IF(O976&gt;0,R976/O976,""),"")</f>
        <v/>
      </c>
      <c r="V976" s="57" t="str">
        <f>IF(AC976=1,IF(P976&gt;0,N(G976)/P976,""),"")</f>
        <v/>
      </c>
      <c r="W976" s="57" t="str">
        <f>IF(AC976=1,S976/M976,"")</f>
        <v/>
      </c>
      <c r="X976" s="57" t="str">
        <f>IF(AC976=1,S976/K976,"")</f>
        <v/>
      </c>
      <c r="Y976" s="58" t="str">
        <f>IF(W976="","",IF(W976&gt;=p_target,"Bon",IF(W976&gt;=p_alert,"À surveiller","Faible")))</f>
        <v/>
      </c>
      <c r="Z976" s="58" t="str">
        <f>IF(W976="","",IF(MIN(IF(T976="",1,T976),IF(U976="",1,U976),IF(V976="",1,V976))&gt;=1,"Aucune",IF(IF(T976="",1,T976)&lt;=MIN(IF(U976="",1,U976),IF(V976="",1,V976)),"Disponibilité",IF(IF(U976="",1,U976)&lt;=IF(V976="",1,V976),"Performance","Qualité"))))</f>
        <v/>
      </c>
      <c r="AA976" s="59" t="str">
        <f>IF(AC976=1,N(H976)*N(IFERROR(INDEX(art_cost,MATCH(E976,art_ref,0)),0)),"")</f>
        <v/>
      </c>
      <c r="AB976" s="58" t="str">
        <f>IF(COUNTA(A976:I976)=0,"",IF(N(A976)&lt;=0,"Date manquante ou invalide",IF(B976="","Équipe manquante",IF(ISNA(MATCH(B976,eq_code,0)),"Équipe inconnue",IF(INDEX(eq_check,MATCH(B976,eq_code,0))&lt;&gt;"OK","Équipe à corriger dans Paramètres",IF(C976="","Poste manquant",IF(ISNA(MATCH(C976,po_code,0)),"Poste inconnu",IF(AND(E976&lt;&gt;"",ISNA(MATCH(E976,art_ref,0))),"Article inconnu",IF(IF(E976="",FALSE,INDEX(art_check,MATCH(E976,art_ref,0))&lt;&gt;"OK"),"Article à corriger (feuille Articles)",IF(COUNTIFS(sj_date,A976,sj_eq,B976,sj_po,C976)&gt;1,"Ligne en double (même jour, équipe et poste)",IF(OR(NOT(ISNUMBER(K976)),N(K976)&lt;=0,N(K976)&gt;1440),"Temps d'ouverture invalide",IF(OR(AND(G976&lt;&gt;"",NOT(ISNUMBER(G976))),N(G976)&lt;0,N(G976)&lt;&gt;INT(N(G976)),AND(H976&lt;&gt;"",NOT(ISNUMBER(H976))),N(H976)&lt;0,N(H976)&lt;&gt;INT(N(H976)),AND(I976&lt;&gt;"",NOT(ISNUMBER(I976))),N(I976)&lt;0,N(I976)&lt;&gt;INT(N(I976))),"Quantité invalide",IF(Q976&lt;=0,"Cadence manquante (poste ou article)",IF(M976&lt;=0,"Arrêts planifiés supérieurs au temps d'ouverture",IF(O976&lt;0,"Arrêts supérieurs au temps requis",IF(AND(P976&gt;0,O976=0),"Pièces déclarées sans temps de marche",IF(AND(P976=0,O976&gt;0),"Aucune pièce déclarée",IF(P976*60/Q976&gt;O976+0.001,"Cadence dépassée : vérifiez la cadence","OK"))))))))))))))))))</f>
        <v/>
      </c>
      <c r="AC976">
        <f>IF(OR(AB976="OK",AB976="Aucune pièce déclarée",AB976="Cadence dépassée : vérifiez la cadence"),1,0)</f>
        <v>0.0</v>
      </c>
      <c r="AD976">
        <f>IF(AND(AC976=1,A976&gt;=p_from,A976&lt;=p_to),1,0)</f>
        <v>0.0</v>
      </c>
      <c r="AE976">
        <f>IF(AD976=1,IF(COUNTIFS($A$6:A976,A976,$AD$6:AD976,1)=1,1,0),0)</f>
        <v>0.0</v>
      </c>
      <c r="AF976" t="str">
        <f>IF(AE976=1,COUNTIFS(sj_first,1,sj_date,"&lt;"&amp;A976)+1,"")</f>
        <v/>
      </c>
      <c r="AG976" t="str">
        <f>IF(AND(AD976=1,N(W976)&lt;p_alert),ROUND(W976,4),"")</f>
        <v/>
      </c>
      <c r="AH976" t="str">
        <f>IF(AG976="","",COUNTIF(sj_akey,"&lt;"&amp;AG976)+COUNTIF($AG$6:AG976,AG976))</f>
        <v/>
      </c>
    </row>
    <row r="977">
      <c r="A977" s="51" t="n"/>
      <c r="B977" s="52" t="n"/>
      <c r="C977" s="52" t="n"/>
      <c r="D977" s="53" t="n"/>
      <c r="E977" s="53" t="n"/>
      <c r="F977" s="54" t="n"/>
      <c r="G977" s="54" t="n"/>
      <c r="H977" s="54" t="n"/>
      <c r="I977" s="54" t="n"/>
      <c r="J977" s="53" t="n"/>
      <c r="K977" s="55" t="str">
        <f>IF(COUNTA(A977:I977)=0,"",IF(F977="",IFERROR(INDEX(eq_dur,MATCH(B977,eq_code,0)),""),F977))</f>
        <v/>
      </c>
      <c r="L977" s="55" t="str">
        <f>IF(ISNUMBER(K977),N(IFERROR(INDEX(eq_pause,MATCH(B977,eq_code,0)),0))+SUMIFS(st_min,st_date,A977,st_eq,B977,st_po,C977,st_type,"Planifié"),"")</f>
        <v/>
      </c>
      <c r="M977" s="55" t="str">
        <f>IF(ISNUMBER(K977),K977-L977,"")</f>
        <v/>
      </c>
      <c r="N977" s="55" t="str">
        <f>IF(ISNUMBER(K977),SUMIFS(st_min,st_date,A977,st_eq,B977,st_po,C977,st_type,"Non planifié"),"")</f>
        <v/>
      </c>
      <c r="O977" s="55" t="str">
        <f>IF(ISNUMBER(K977),M977-N977,"")</f>
        <v/>
      </c>
      <c r="P977" s="55" t="str">
        <f>IF(COUNTA(A977:I977)=0,"",N(G977)+N(H977)+N(I977))</f>
        <v/>
      </c>
      <c r="Q977" s="56" t="str">
        <f>IF(COUNTA(A977:I977)=0,"",IF(N(IFERROR(INDEX(art_rate,MATCH(E977,art_ref,0)),0))&gt;0,N(IFERROR(INDEX(art_rate,MATCH(E977,art_ref,0)),0)),N(IFERROR(INDEX(po_rate,MATCH(C977,po_code,0)),0))))</f>
        <v/>
      </c>
      <c r="R977" s="55" t="str">
        <f>IF(AC977=1,P977*60/Q977,"")</f>
        <v/>
      </c>
      <c r="S977" s="55" t="str">
        <f>IF(AC977=1,N(G977)*60/Q977,"")</f>
        <v/>
      </c>
      <c r="T977" s="57" t="str">
        <f>IF(AC977=1,O977/M977,"")</f>
        <v/>
      </c>
      <c r="U977" s="57" t="str">
        <f>IF(AC977=1,IF(O977&gt;0,R977/O977,""),"")</f>
        <v/>
      </c>
      <c r="V977" s="57" t="str">
        <f>IF(AC977=1,IF(P977&gt;0,N(G977)/P977,""),"")</f>
        <v/>
      </c>
      <c r="W977" s="57" t="str">
        <f>IF(AC977=1,S977/M977,"")</f>
        <v/>
      </c>
      <c r="X977" s="57" t="str">
        <f>IF(AC977=1,S977/K977,"")</f>
        <v/>
      </c>
      <c r="Y977" s="58" t="str">
        <f>IF(W977="","",IF(W977&gt;=p_target,"Bon",IF(W977&gt;=p_alert,"À surveiller","Faible")))</f>
        <v/>
      </c>
      <c r="Z977" s="58" t="str">
        <f>IF(W977="","",IF(MIN(IF(T977="",1,T977),IF(U977="",1,U977),IF(V977="",1,V977))&gt;=1,"Aucune",IF(IF(T977="",1,T977)&lt;=MIN(IF(U977="",1,U977),IF(V977="",1,V977)),"Disponibilité",IF(IF(U977="",1,U977)&lt;=IF(V977="",1,V977),"Performance","Qualité"))))</f>
        <v/>
      </c>
      <c r="AA977" s="59" t="str">
        <f>IF(AC977=1,N(H977)*N(IFERROR(INDEX(art_cost,MATCH(E977,art_ref,0)),0)),"")</f>
        <v/>
      </c>
      <c r="AB977" s="58" t="str">
        <f>IF(COUNTA(A977:I977)=0,"",IF(N(A977)&lt;=0,"Date manquante ou invalide",IF(B977="","Équipe manquante",IF(ISNA(MATCH(B977,eq_code,0)),"Équipe inconnue",IF(INDEX(eq_check,MATCH(B977,eq_code,0))&lt;&gt;"OK","Équipe à corriger dans Paramètres",IF(C977="","Poste manquant",IF(ISNA(MATCH(C977,po_code,0)),"Poste inconnu",IF(AND(E977&lt;&gt;"",ISNA(MATCH(E977,art_ref,0))),"Article inconnu",IF(IF(E977="",FALSE,INDEX(art_check,MATCH(E977,art_ref,0))&lt;&gt;"OK"),"Article à corriger (feuille Articles)",IF(COUNTIFS(sj_date,A977,sj_eq,B977,sj_po,C977)&gt;1,"Ligne en double (même jour, équipe et poste)",IF(OR(NOT(ISNUMBER(K977)),N(K977)&lt;=0,N(K977)&gt;1440),"Temps d'ouverture invalide",IF(OR(AND(G977&lt;&gt;"",NOT(ISNUMBER(G977))),N(G977)&lt;0,N(G977)&lt;&gt;INT(N(G977)),AND(H977&lt;&gt;"",NOT(ISNUMBER(H977))),N(H977)&lt;0,N(H977)&lt;&gt;INT(N(H977)),AND(I977&lt;&gt;"",NOT(ISNUMBER(I977))),N(I977)&lt;0,N(I977)&lt;&gt;INT(N(I977))),"Quantité invalide",IF(Q977&lt;=0,"Cadence manquante (poste ou article)",IF(M977&lt;=0,"Arrêts planifiés supérieurs au temps d'ouverture",IF(O977&lt;0,"Arrêts supérieurs au temps requis",IF(AND(P977&gt;0,O977=0),"Pièces déclarées sans temps de marche",IF(AND(P977=0,O977&gt;0),"Aucune pièce déclarée",IF(P977*60/Q977&gt;O977+0.001,"Cadence dépassée : vérifiez la cadence","OK"))))))))))))))))))</f>
        <v/>
      </c>
      <c r="AC977">
        <f>IF(OR(AB977="OK",AB977="Aucune pièce déclarée",AB977="Cadence dépassée : vérifiez la cadence"),1,0)</f>
        <v>0.0</v>
      </c>
      <c r="AD977">
        <f>IF(AND(AC977=1,A977&gt;=p_from,A977&lt;=p_to),1,0)</f>
        <v>0.0</v>
      </c>
      <c r="AE977">
        <f>IF(AD977=1,IF(COUNTIFS($A$6:A977,A977,$AD$6:AD977,1)=1,1,0),0)</f>
        <v>0.0</v>
      </c>
      <c r="AF977" t="str">
        <f>IF(AE977=1,COUNTIFS(sj_first,1,sj_date,"&lt;"&amp;A977)+1,"")</f>
        <v/>
      </c>
      <c r="AG977" t="str">
        <f>IF(AND(AD977=1,N(W977)&lt;p_alert),ROUND(W977,4),"")</f>
        <v/>
      </c>
      <c r="AH977" t="str">
        <f>IF(AG977="","",COUNTIF(sj_akey,"&lt;"&amp;AG977)+COUNTIF($AG$6:AG977,AG977))</f>
        <v/>
      </c>
    </row>
    <row r="978">
      <c r="A978" s="51" t="n"/>
      <c r="B978" s="52" t="n"/>
      <c r="C978" s="52" t="n"/>
      <c r="D978" s="53" t="n"/>
      <c r="E978" s="53" t="n"/>
      <c r="F978" s="54" t="n"/>
      <c r="G978" s="54" t="n"/>
      <c r="H978" s="54" t="n"/>
      <c r="I978" s="54" t="n"/>
      <c r="J978" s="53" t="n"/>
      <c r="K978" s="55" t="str">
        <f>IF(COUNTA(A978:I978)=0,"",IF(F978="",IFERROR(INDEX(eq_dur,MATCH(B978,eq_code,0)),""),F978))</f>
        <v/>
      </c>
      <c r="L978" s="55" t="str">
        <f>IF(ISNUMBER(K978),N(IFERROR(INDEX(eq_pause,MATCH(B978,eq_code,0)),0))+SUMIFS(st_min,st_date,A978,st_eq,B978,st_po,C978,st_type,"Planifié"),"")</f>
        <v/>
      </c>
      <c r="M978" s="55" t="str">
        <f>IF(ISNUMBER(K978),K978-L978,"")</f>
        <v/>
      </c>
      <c r="N978" s="55" t="str">
        <f>IF(ISNUMBER(K978),SUMIFS(st_min,st_date,A978,st_eq,B978,st_po,C978,st_type,"Non planifié"),"")</f>
        <v/>
      </c>
      <c r="O978" s="55" t="str">
        <f>IF(ISNUMBER(K978),M978-N978,"")</f>
        <v/>
      </c>
      <c r="P978" s="55" t="str">
        <f>IF(COUNTA(A978:I978)=0,"",N(G978)+N(H978)+N(I978))</f>
        <v/>
      </c>
      <c r="Q978" s="56" t="str">
        <f>IF(COUNTA(A978:I978)=0,"",IF(N(IFERROR(INDEX(art_rate,MATCH(E978,art_ref,0)),0))&gt;0,N(IFERROR(INDEX(art_rate,MATCH(E978,art_ref,0)),0)),N(IFERROR(INDEX(po_rate,MATCH(C978,po_code,0)),0))))</f>
        <v/>
      </c>
      <c r="R978" s="55" t="str">
        <f>IF(AC978=1,P978*60/Q978,"")</f>
        <v/>
      </c>
      <c r="S978" s="55" t="str">
        <f>IF(AC978=1,N(G978)*60/Q978,"")</f>
        <v/>
      </c>
      <c r="T978" s="57" t="str">
        <f>IF(AC978=1,O978/M978,"")</f>
        <v/>
      </c>
      <c r="U978" s="57" t="str">
        <f>IF(AC978=1,IF(O978&gt;0,R978/O978,""),"")</f>
        <v/>
      </c>
      <c r="V978" s="57" t="str">
        <f>IF(AC978=1,IF(P978&gt;0,N(G978)/P978,""),"")</f>
        <v/>
      </c>
      <c r="W978" s="57" t="str">
        <f>IF(AC978=1,S978/M978,"")</f>
        <v/>
      </c>
      <c r="X978" s="57" t="str">
        <f>IF(AC978=1,S978/K978,"")</f>
        <v/>
      </c>
      <c r="Y978" s="58" t="str">
        <f>IF(W978="","",IF(W978&gt;=p_target,"Bon",IF(W978&gt;=p_alert,"À surveiller","Faible")))</f>
        <v/>
      </c>
      <c r="Z978" s="58" t="str">
        <f>IF(W978="","",IF(MIN(IF(T978="",1,T978),IF(U978="",1,U978),IF(V978="",1,V978))&gt;=1,"Aucune",IF(IF(T978="",1,T978)&lt;=MIN(IF(U978="",1,U978),IF(V978="",1,V978)),"Disponibilité",IF(IF(U978="",1,U978)&lt;=IF(V978="",1,V978),"Performance","Qualité"))))</f>
        <v/>
      </c>
      <c r="AA978" s="59" t="str">
        <f>IF(AC978=1,N(H978)*N(IFERROR(INDEX(art_cost,MATCH(E978,art_ref,0)),0)),"")</f>
        <v/>
      </c>
      <c r="AB978" s="58" t="str">
        <f>IF(COUNTA(A978:I978)=0,"",IF(N(A978)&lt;=0,"Date manquante ou invalide",IF(B978="","Équipe manquante",IF(ISNA(MATCH(B978,eq_code,0)),"Équipe inconnue",IF(INDEX(eq_check,MATCH(B978,eq_code,0))&lt;&gt;"OK","Équipe à corriger dans Paramètres",IF(C978="","Poste manquant",IF(ISNA(MATCH(C978,po_code,0)),"Poste inconnu",IF(AND(E978&lt;&gt;"",ISNA(MATCH(E978,art_ref,0))),"Article inconnu",IF(IF(E978="",FALSE,INDEX(art_check,MATCH(E978,art_ref,0))&lt;&gt;"OK"),"Article à corriger (feuille Articles)",IF(COUNTIFS(sj_date,A978,sj_eq,B978,sj_po,C978)&gt;1,"Ligne en double (même jour, équipe et poste)",IF(OR(NOT(ISNUMBER(K978)),N(K978)&lt;=0,N(K978)&gt;1440),"Temps d'ouverture invalide",IF(OR(AND(G978&lt;&gt;"",NOT(ISNUMBER(G978))),N(G978)&lt;0,N(G978)&lt;&gt;INT(N(G978)),AND(H978&lt;&gt;"",NOT(ISNUMBER(H978))),N(H978)&lt;0,N(H978)&lt;&gt;INT(N(H978)),AND(I978&lt;&gt;"",NOT(ISNUMBER(I978))),N(I978)&lt;0,N(I978)&lt;&gt;INT(N(I978))),"Quantité invalide",IF(Q978&lt;=0,"Cadence manquante (poste ou article)",IF(M978&lt;=0,"Arrêts planifiés supérieurs au temps d'ouverture",IF(O978&lt;0,"Arrêts supérieurs au temps requis",IF(AND(P978&gt;0,O978=0),"Pièces déclarées sans temps de marche",IF(AND(P978=0,O978&gt;0),"Aucune pièce déclarée",IF(P978*60/Q978&gt;O978+0.001,"Cadence dépassée : vérifiez la cadence","OK"))))))))))))))))))</f>
        <v/>
      </c>
      <c r="AC978">
        <f>IF(OR(AB978="OK",AB978="Aucune pièce déclarée",AB978="Cadence dépassée : vérifiez la cadence"),1,0)</f>
        <v>0.0</v>
      </c>
      <c r="AD978">
        <f>IF(AND(AC978=1,A978&gt;=p_from,A978&lt;=p_to),1,0)</f>
        <v>0.0</v>
      </c>
      <c r="AE978">
        <f>IF(AD978=1,IF(COUNTIFS($A$6:A978,A978,$AD$6:AD978,1)=1,1,0),0)</f>
        <v>0.0</v>
      </c>
      <c r="AF978" t="str">
        <f>IF(AE978=1,COUNTIFS(sj_first,1,sj_date,"&lt;"&amp;A978)+1,"")</f>
        <v/>
      </c>
      <c r="AG978" t="str">
        <f>IF(AND(AD978=1,N(W978)&lt;p_alert),ROUND(W978,4),"")</f>
        <v/>
      </c>
      <c r="AH978" t="str">
        <f>IF(AG978="","",COUNTIF(sj_akey,"&lt;"&amp;AG978)+COUNTIF($AG$6:AG978,AG978))</f>
        <v/>
      </c>
    </row>
    <row r="979">
      <c r="A979" s="51" t="n"/>
      <c r="B979" s="52" t="n"/>
      <c r="C979" s="52" t="n"/>
      <c r="D979" s="53" t="n"/>
      <c r="E979" s="53" t="n"/>
      <c r="F979" s="54" t="n"/>
      <c r="G979" s="54" t="n"/>
      <c r="H979" s="54" t="n"/>
      <c r="I979" s="54" t="n"/>
      <c r="J979" s="53" t="n"/>
      <c r="K979" s="55" t="str">
        <f>IF(COUNTA(A979:I979)=0,"",IF(F979="",IFERROR(INDEX(eq_dur,MATCH(B979,eq_code,0)),""),F979))</f>
        <v/>
      </c>
      <c r="L979" s="55" t="str">
        <f>IF(ISNUMBER(K979),N(IFERROR(INDEX(eq_pause,MATCH(B979,eq_code,0)),0))+SUMIFS(st_min,st_date,A979,st_eq,B979,st_po,C979,st_type,"Planifié"),"")</f>
        <v/>
      </c>
      <c r="M979" s="55" t="str">
        <f>IF(ISNUMBER(K979),K979-L979,"")</f>
        <v/>
      </c>
      <c r="N979" s="55" t="str">
        <f>IF(ISNUMBER(K979),SUMIFS(st_min,st_date,A979,st_eq,B979,st_po,C979,st_type,"Non planifié"),"")</f>
        <v/>
      </c>
      <c r="O979" s="55" t="str">
        <f>IF(ISNUMBER(K979),M979-N979,"")</f>
        <v/>
      </c>
      <c r="P979" s="55" t="str">
        <f>IF(COUNTA(A979:I979)=0,"",N(G979)+N(H979)+N(I979))</f>
        <v/>
      </c>
      <c r="Q979" s="56" t="str">
        <f>IF(COUNTA(A979:I979)=0,"",IF(N(IFERROR(INDEX(art_rate,MATCH(E979,art_ref,0)),0))&gt;0,N(IFERROR(INDEX(art_rate,MATCH(E979,art_ref,0)),0)),N(IFERROR(INDEX(po_rate,MATCH(C979,po_code,0)),0))))</f>
        <v/>
      </c>
      <c r="R979" s="55" t="str">
        <f>IF(AC979=1,P979*60/Q979,"")</f>
        <v/>
      </c>
      <c r="S979" s="55" t="str">
        <f>IF(AC979=1,N(G979)*60/Q979,"")</f>
        <v/>
      </c>
      <c r="T979" s="57" t="str">
        <f>IF(AC979=1,O979/M979,"")</f>
        <v/>
      </c>
      <c r="U979" s="57" t="str">
        <f>IF(AC979=1,IF(O979&gt;0,R979/O979,""),"")</f>
        <v/>
      </c>
      <c r="V979" s="57" t="str">
        <f>IF(AC979=1,IF(P979&gt;0,N(G979)/P979,""),"")</f>
        <v/>
      </c>
      <c r="W979" s="57" t="str">
        <f>IF(AC979=1,S979/M979,"")</f>
        <v/>
      </c>
      <c r="X979" s="57" t="str">
        <f>IF(AC979=1,S979/K979,"")</f>
        <v/>
      </c>
      <c r="Y979" s="58" t="str">
        <f>IF(W979="","",IF(W979&gt;=p_target,"Bon",IF(W979&gt;=p_alert,"À surveiller","Faible")))</f>
        <v/>
      </c>
      <c r="Z979" s="58" t="str">
        <f>IF(W979="","",IF(MIN(IF(T979="",1,T979),IF(U979="",1,U979),IF(V979="",1,V979))&gt;=1,"Aucune",IF(IF(T979="",1,T979)&lt;=MIN(IF(U979="",1,U979),IF(V979="",1,V979)),"Disponibilité",IF(IF(U979="",1,U979)&lt;=IF(V979="",1,V979),"Performance","Qualité"))))</f>
        <v/>
      </c>
      <c r="AA979" s="59" t="str">
        <f>IF(AC979=1,N(H979)*N(IFERROR(INDEX(art_cost,MATCH(E979,art_ref,0)),0)),"")</f>
        <v/>
      </c>
      <c r="AB979" s="58" t="str">
        <f>IF(COUNTA(A979:I979)=0,"",IF(N(A979)&lt;=0,"Date manquante ou invalide",IF(B979="","Équipe manquante",IF(ISNA(MATCH(B979,eq_code,0)),"Équipe inconnue",IF(INDEX(eq_check,MATCH(B979,eq_code,0))&lt;&gt;"OK","Équipe à corriger dans Paramètres",IF(C979="","Poste manquant",IF(ISNA(MATCH(C979,po_code,0)),"Poste inconnu",IF(AND(E979&lt;&gt;"",ISNA(MATCH(E979,art_ref,0))),"Article inconnu",IF(IF(E979="",FALSE,INDEX(art_check,MATCH(E979,art_ref,0))&lt;&gt;"OK"),"Article à corriger (feuille Articles)",IF(COUNTIFS(sj_date,A979,sj_eq,B979,sj_po,C979)&gt;1,"Ligne en double (même jour, équipe et poste)",IF(OR(NOT(ISNUMBER(K979)),N(K979)&lt;=0,N(K979)&gt;1440),"Temps d'ouverture invalide",IF(OR(AND(G979&lt;&gt;"",NOT(ISNUMBER(G979))),N(G979)&lt;0,N(G979)&lt;&gt;INT(N(G979)),AND(H979&lt;&gt;"",NOT(ISNUMBER(H979))),N(H979)&lt;0,N(H979)&lt;&gt;INT(N(H979)),AND(I979&lt;&gt;"",NOT(ISNUMBER(I979))),N(I979)&lt;0,N(I979)&lt;&gt;INT(N(I979))),"Quantité invalide",IF(Q979&lt;=0,"Cadence manquante (poste ou article)",IF(M979&lt;=0,"Arrêts planifiés supérieurs au temps d'ouverture",IF(O979&lt;0,"Arrêts supérieurs au temps requis",IF(AND(P979&gt;0,O979=0),"Pièces déclarées sans temps de marche",IF(AND(P979=0,O979&gt;0),"Aucune pièce déclarée",IF(P979*60/Q979&gt;O979+0.001,"Cadence dépassée : vérifiez la cadence","OK"))))))))))))))))))</f>
        <v/>
      </c>
      <c r="AC979">
        <f>IF(OR(AB979="OK",AB979="Aucune pièce déclarée",AB979="Cadence dépassée : vérifiez la cadence"),1,0)</f>
        <v>0.0</v>
      </c>
      <c r="AD979">
        <f>IF(AND(AC979=1,A979&gt;=p_from,A979&lt;=p_to),1,0)</f>
        <v>0.0</v>
      </c>
      <c r="AE979">
        <f>IF(AD979=1,IF(COUNTIFS($A$6:A979,A979,$AD$6:AD979,1)=1,1,0),0)</f>
        <v>0.0</v>
      </c>
      <c r="AF979" t="str">
        <f>IF(AE979=1,COUNTIFS(sj_first,1,sj_date,"&lt;"&amp;A979)+1,"")</f>
        <v/>
      </c>
      <c r="AG979" t="str">
        <f>IF(AND(AD979=1,N(W979)&lt;p_alert),ROUND(W979,4),"")</f>
        <v/>
      </c>
      <c r="AH979" t="str">
        <f>IF(AG979="","",COUNTIF(sj_akey,"&lt;"&amp;AG979)+COUNTIF($AG$6:AG979,AG979))</f>
        <v/>
      </c>
    </row>
    <row r="980">
      <c r="A980" s="51" t="n"/>
      <c r="B980" s="52" t="n"/>
      <c r="C980" s="52" t="n"/>
      <c r="D980" s="53" t="n"/>
      <c r="E980" s="53" t="n"/>
      <c r="F980" s="54" t="n"/>
      <c r="G980" s="54" t="n"/>
      <c r="H980" s="54" t="n"/>
      <c r="I980" s="54" t="n"/>
      <c r="J980" s="53" t="n"/>
      <c r="K980" s="55" t="str">
        <f>IF(COUNTA(A980:I980)=0,"",IF(F980="",IFERROR(INDEX(eq_dur,MATCH(B980,eq_code,0)),""),F980))</f>
        <v/>
      </c>
      <c r="L980" s="55" t="str">
        <f>IF(ISNUMBER(K980),N(IFERROR(INDEX(eq_pause,MATCH(B980,eq_code,0)),0))+SUMIFS(st_min,st_date,A980,st_eq,B980,st_po,C980,st_type,"Planifié"),"")</f>
        <v/>
      </c>
      <c r="M980" s="55" t="str">
        <f>IF(ISNUMBER(K980),K980-L980,"")</f>
        <v/>
      </c>
      <c r="N980" s="55" t="str">
        <f>IF(ISNUMBER(K980),SUMIFS(st_min,st_date,A980,st_eq,B980,st_po,C980,st_type,"Non planifié"),"")</f>
        <v/>
      </c>
      <c r="O980" s="55" t="str">
        <f>IF(ISNUMBER(K980),M980-N980,"")</f>
        <v/>
      </c>
      <c r="P980" s="55" t="str">
        <f>IF(COUNTA(A980:I980)=0,"",N(G980)+N(H980)+N(I980))</f>
        <v/>
      </c>
      <c r="Q980" s="56" t="str">
        <f>IF(COUNTA(A980:I980)=0,"",IF(N(IFERROR(INDEX(art_rate,MATCH(E980,art_ref,0)),0))&gt;0,N(IFERROR(INDEX(art_rate,MATCH(E980,art_ref,0)),0)),N(IFERROR(INDEX(po_rate,MATCH(C980,po_code,0)),0))))</f>
        <v/>
      </c>
      <c r="R980" s="55" t="str">
        <f>IF(AC980=1,P980*60/Q980,"")</f>
        <v/>
      </c>
      <c r="S980" s="55" t="str">
        <f>IF(AC980=1,N(G980)*60/Q980,"")</f>
        <v/>
      </c>
      <c r="T980" s="57" t="str">
        <f>IF(AC980=1,O980/M980,"")</f>
        <v/>
      </c>
      <c r="U980" s="57" t="str">
        <f>IF(AC980=1,IF(O980&gt;0,R980/O980,""),"")</f>
        <v/>
      </c>
      <c r="V980" s="57" t="str">
        <f>IF(AC980=1,IF(P980&gt;0,N(G980)/P980,""),"")</f>
        <v/>
      </c>
      <c r="W980" s="57" t="str">
        <f>IF(AC980=1,S980/M980,"")</f>
        <v/>
      </c>
      <c r="X980" s="57" t="str">
        <f>IF(AC980=1,S980/K980,"")</f>
        <v/>
      </c>
      <c r="Y980" s="58" t="str">
        <f>IF(W980="","",IF(W980&gt;=p_target,"Bon",IF(W980&gt;=p_alert,"À surveiller","Faible")))</f>
        <v/>
      </c>
      <c r="Z980" s="58" t="str">
        <f>IF(W980="","",IF(MIN(IF(T980="",1,T980),IF(U980="",1,U980),IF(V980="",1,V980))&gt;=1,"Aucune",IF(IF(T980="",1,T980)&lt;=MIN(IF(U980="",1,U980),IF(V980="",1,V980)),"Disponibilité",IF(IF(U980="",1,U980)&lt;=IF(V980="",1,V980),"Performance","Qualité"))))</f>
        <v/>
      </c>
      <c r="AA980" s="59" t="str">
        <f>IF(AC980=1,N(H980)*N(IFERROR(INDEX(art_cost,MATCH(E980,art_ref,0)),0)),"")</f>
        <v/>
      </c>
      <c r="AB980" s="58" t="str">
        <f>IF(COUNTA(A980:I980)=0,"",IF(N(A980)&lt;=0,"Date manquante ou invalide",IF(B980="","Équipe manquante",IF(ISNA(MATCH(B980,eq_code,0)),"Équipe inconnue",IF(INDEX(eq_check,MATCH(B980,eq_code,0))&lt;&gt;"OK","Équipe à corriger dans Paramètres",IF(C980="","Poste manquant",IF(ISNA(MATCH(C980,po_code,0)),"Poste inconnu",IF(AND(E980&lt;&gt;"",ISNA(MATCH(E980,art_ref,0))),"Article inconnu",IF(IF(E980="",FALSE,INDEX(art_check,MATCH(E980,art_ref,0))&lt;&gt;"OK"),"Article à corriger (feuille Articles)",IF(COUNTIFS(sj_date,A980,sj_eq,B980,sj_po,C980)&gt;1,"Ligne en double (même jour, équipe et poste)",IF(OR(NOT(ISNUMBER(K980)),N(K980)&lt;=0,N(K980)&gt;1440),"Temps d'ouverture invalide",IF(OR(AND(G980&lt;&gt;"",NOT(ISNUMBER(G980))),N(G980)&lt;0,N(G980)&lt;&gt;INT(N(G980)),AND(H980&lt;&gt;"",NOT(ISNUMBER(H980))),N(H980)&lt;0,N(H980)&lt;&gt;INT(N(H980)),AND(I980&lt;&gt;"",NOT(ISNUMBER(I980))),N(I980)&lt;0,N(I980)&lt;&gt;INT(N(I980))),"Quantité invalide",IF(Q980&lt;=0,"Cadence manquante (poste ou article)",IF(M980&lt;=0,"Arrêts planifiés supérieurs au temps d'ouverture",IF(O980&lt;0,"Arrêts supérieurs au temps requis",IF(AND(P980&gt;0,O980=0),"Pièces déclarées sans temps de marche",IF(AND(P980=0,O980&gt;0),"Aucune pièce déclarée",IF(P980*60/Q980&gt;O980+0.001,"Cadence dépassée : vérifiez la cadence","OK"))))))))))))))))))</f>
        <v/>
      </c>
      <c r="AC980">
        <f>IF(OR(AB980="OK",AB980="Aucune pièce déclarée",AB980="Cadence dépassée : vérifiez la cadence"),1,0)</f>
        <v>0.0</v>
      </c>
      <c r="AD980">
        <f>IF(AND(AC980=1,A980&gt;=p_from,A980&lt;=p_to),1,0)</f>
        <v>0.0</v>
      </c>
      <c r="AE980">
        <f>IF(AD980=1,IF(COUNTIFS($A$6:A980,A980,$AD$6:AD980,1)=1,1,0),0)</f>
        <v>0.0</v>
      </c>
      <c r="AF980" t="str">
        <f>IF(AE980=1,COUNTIFS(sj_first,1,sj_date,"&lt;"&amp;A980)+1,"")</f>
        <v/>
      </c>
      <c r="AG980" t="str">
        <f>IF(AND(AD980=1,N(W980)&lt;p_alert),ROUND(W980,4),"")</f>
        <v/>
      </c>
      <c r="AH980" t="str">
        <f>IF(AG980="","",COUNTIF(sj_akey,"&lt;"&amp;AG980)+COUNTIF($AG$6:AG980,AG980))</f>
        <v/>
      </c>
    </row>
    <row r="981">
      <c r="A981" s="51" t="n"/>
      <c r="B981" s="52" t="n"/>
      <c r="C981" s="52" t="n"/>
      <c r="D981" s="53" t="n"/>
      <c r="E981" s="53" t="n"/>
      <c r="F981" s="54" t="n"/>
      <c r="G981" s="54" t="n"/>
      <c r="H981" s="54" t="n"/>
      <c r="I981" s="54" t="n"/>
      <c r="J981" s="53" t="n"/>
      <c r="K981" s="55" t="str">
        <f>IF(COUNTA(A981:I981)=0,"",IF(F981="",IFERROR(INDEX(eq_dur,MATCH(B981,eq_code,0)),""),F981))</f>
        <v/>
      </c>
      <c r="L981" s="55" t="str">
        <f>IF(ISNUMBER(K981),N(IFERROR(INDEX(eq_pause,MATCH(B981,eq_code,0)),0))+SUMIFS(st_min,st_date,A981,st_eq,B981,st_po,C981,st_type,"Planifié"),"")</f>
        <v/>
      </c>
      <c r="M981" s="55" t="str">
        <f>IF(ISNUMBER(K981),K981-L981,"")</f>
        <v/>
      </c>
      <c r="N981" s="55" t="str">
        <f>IF(ISNUMBER(K981),SUMIFS(st_min,st_date,A981,st_eq,B981,st_po,C981,st_type,"Non planifié"),"")</f>
        <v/>
      </c>
      <c r="O981" s="55" t="str">
        <f>IF(ISNUMBER(K981),M981-N981,"")</f>
        <v/>
      </c>
      <c r="P981" s="55" t="str">
        <f>IF(COUNTA(A981:I981)=0,"",N(G981)+N(H981)+N(I981))</f>
        <v/>
      </c>
      <c r="Q981" s="56" t="str">
        <f>IF(COUNTA(A981:I981)=0,"",IF(N(IFERROR(INDEX(art_rate,MATCH(E981,art_ref,0)),0))&gt;0,N(IFERROR(INDEX(art_rate,MATCH(E981,art_ref,0)),0)),N(IFERROR(INDEX(po_rate,MATCH(C981,po_code,0)),0))))</f>
        <v/>
      </c>
      <c r="R981" s="55" t="str">
        <f>IF(AC981=1,P981*60/Q981,"")</f>
        <v/>
      </c>
      <c r="S981" s="55" t="str">
        <f>IF(AC981=1,N(G981)*60/Q981,"")</f>
        <v/>
      </c>
      <c r="T981" s="57" t="str">
        <f>IF(AC981=1,O981/M981,"")</f>
        <v/>
      </c>
      <c r="U981" s="57" t="str">
        <f>IF(AC981=1,IF(O981&gt;0,R981/O981,""),"")</f>
        <v/>
      </c>
      <c r="V981" s="57" t="str">
        <f>IF(AC981=1,IF(P981&gt;0,N(G981)/P981,""),"")</f>
        <v/>
      </c>
      <c r="W981" s="57" t="str">
        <f>IF(AC981=1,S981/M981,"")</f>
        <v/>
      </c>
      <c r="X981" s="57" t="str">
        <f>IF(AC981=1,S981/K981,"")</f>
        <v/>
      </c>
      <c r="Y981" s="58" t="str">
        <f>IF(W981="","",IF(W981&gt;=p_target,"Bon",IF(W981&gt;=p_alert,"À surveiller","Faible")))</f>
        <v/>
      </c>
      <c r="Z981" s="58" t="str">
        <f>IF(W981="","",IF(MIN(IF(T981="",1,T981),IF(U981="",1,U981),IF(V981="",1,V981))&gt;=1,"Aucune",IF(IF(T981="",1,T981)&lt;=MIN(IF(U981="",1,U981),IF(V981="",1,V981)),"Disponibilité",IF(IF(U981="",1,U981)&lt;=IF(V981="",1,V981),"Performance","Qualité"))))</f>
        <v/>
      </c>
      <c r="AA981" s="59" t="str">
        <f>IF(AC981=1,N(H981)*N(IFERROR(INDEX(art_cost,MATCH(E981,art_ref,0)),0)),"")</f>
        <v/>
      </c>
      <c r="AB981" s="58" t="str">
        <f>IF(COUNTA(A981:I981)=0,"",IF(N(A981)&lt;=0,"Date manquante ou invalide",IF(B981="","Équipe manquante",IF(ISNA(MATCH(B981,eq_code,0)),"Équipe inconnue",IF(INDEX(eq_check,MATCH(B981,eq_code,0))&lt;&gt;"OK","Équipe à corriger dans Paramètres",IF(C981="","Poste manquant",IF(ISNA(MATCH(C981,po_code,0)),"Poste inconnu",IF(AND(E981&lt;&gt;"",ISNA(MATCH(E981,art_ref,0))),"Article inconnu",IF(IF(E981="",FALSE,INDEX(art_check,MATCH(E981,art_ref,0))&lt;&gt;"OK"),"Article à corriger (feuille Articles)",IF(COUNTIFS(sj_date,A981,sj_eq,B981,sj_po,C981)&gt;1,"Ligne en double (même jour, équipe et poste)",IF(OR(NOT(ISNUMBER(K981)),N(K981)&lt;=0,N(K981)&gt;1440),"Temps d'ouverture invalide",IF(OR(AND(G981&lt;&gt;"",NOT(ISNUMBER(G981))),N(G981)&lt;0,N(G981)&lt;&gt;INT(N(G981)),AND(H981&lt;&gt;"",NOT(ISNUMBER(H981))),N(H981)&lt;0,N(H981)&lt;&gt;INT(N(H981)),AND(I981&lt;&gt;"",NOT(ISNUMBER(I981))),N(I981)&lt;0,N(I981)&lt;&gt;INT(N(I981))),"Quantité invalide",IF(Q981&lt;=0,"Cadence manquante (poste ou article)",IF(M981&lt;=0,"Arrêts planifiés supérieurs au temps d'ouverture",IF(O981&lt;0,"Arrêts supérieurs au temps requis",IF(AND(P981&gt;0,O981=0),"Pièces déclarées sans temps de marche",IF(AND(P981=0,O981&gt;0),"Aucune pièce déclarée",IF(P981*60/Q981&gt;O981+0.001,"Cadence dépassée : vérifiez la cadence","OK"))))))))))))))))))</f>
        <v/>
      </c>
      <c r="AC981">
        <f>IF(OR(AB981="OK",AB981="Aucune pièce déclarée",AB981="Cadence dépassée : vérifiez la cadence"),1,0)</f>
        <v>0.0</v>
      </c>
      <c r="AD981">
        <f>IF(AND(AC981=1,A981&gt;=p_from,A981&lt;=p_to),1,0)</f>
        <v>0.0</v>
      </c>
      <c r="AE981">
        <f>IF(AD981=1,IF(COUNTIFS($A$6:A981,A981,$AD$6:AD981,1)=1,1,0),0)</f>
        <v>0.0</v>
      </c>
      <c r="AF981" t="str">
        <f>IF(AE981=1,COUNTIFS(sj_first,1,sj_date,"&lt;"&amp;A981)+1,"")</f>
        <v/>
      </c>
      <c r="AG981" t="str">
        <f>IF(AND(AD981=1,N(W981)&lt;p_alert),ROUND(W981,4),"")</f>
        <v/>
      </c>
      <c r="AH981" t="str">
        <f>IF(AG981="","",COUNTIF(sj_akey,"&lt;"&amp;AG981)+COUNTIF($AG$6:AG981,AG981))</f>
        <v/>
      </c>
    </row>
    <row r="982">
      <c r="A982" s="51" t="n"/>
      <c r="B982" s="52" t="n"/>
      <c r="C982" s="52" t="n"/>
      <c r="D982" s="53" t="n"/>
      <c r="E982" s="53" t="n"/>
      <c r="F982" s="54" t="n"/>
      <c r="G982" s="54" t="n"/>
      <c r="H982" s="54" t="n"/>
      <c r="I982" s="54" t="n"/>
      <c r="J982" s="53" t="n"/>
      <c r="K982" s="55" t="str">
        <f>IF(COUNTA(A982:I982)=0,"",IF(F982="",IFERROR(INDEX(eq_dur,MATCH(B982,eq_code,0)),""),F982))</f>
        <v/>
      </c>
      <c r="L982" s="55" t="str">
        <f>IF(ISNUMBER(K982),N(IFERROR(INDEX(eq_pause,MATCH(B982,eq_code,0)),0))+SUMIFS(st_min,st_date,A982,st_eq,B982,st_po,C982,st_type,"Planifié"),"")</f>
        <v/>
      </c>
      <c r="M982" s="55" t="str">
        <f>IF(ISNUMBER(K982),K982-L982,"")</f>
        <v/>
      </c>
      <c r="N982" s="55" t="str">
        <f>IF(ISNUMBER(K982),SUMIFS(st_min,st_date,A982,st_eq,B982,st_po,C982,st_type,"Non planifié"),"")</f>
        <v/>
      </c>
      <c r="O982" s="55" t="str">
        <f>IF(ISNUMBER(K982),M982-N982,"")</f>
        <v/>
      </c>
      <c r="P982" s="55" t="str">
        <f>IF(COUNTA(A982:I982)=0,"",N(G982)+N(H982)+N(I982))</f>
        <v/>
      </c>
      <c r="Q982" s="56" t="str">
        <f>IF(COUNTA(A982:I982)=0,"",IF(N(IFERROR(INDEX(art_rate,MATCH(E982,art_ref,0)),0))&gt;0,N(IFERROR(INDEX(art_rate,MATCH(E982,art_ref,0)),0)),N(IFERROR(INDEX(po_rate,MATCH(C982,po_code,0)),0))))</f>
        <v/>
      </c>
      <c r="R982" s="55" t="str">
        <f>IF(AC982=1,P982*60/Q982,"")</f>
        <v/>
      </c>
      <c r="S982" s="55" t="str">
        <f>IF(AC982=1,N(G982)*60/Q982,"")</f>
        <v/>
      </c>
      <c r="T982" s="57" t="str">
        <f>IF(AC982=1,O982/M982,"")</f>
        <v/>
      </c>
      <c r="U982" s="57" t="str">
        <f>IF(AC982=1,IF(O982&gt;0,R982/O982,""),"")</f>
        <v/>
      </c>
      <c r="V982" s="57" t="str">
        <f>IF(AC982=1,IF(P982&gt;0,N(G982)/P982,""),"")</f>
        <v/>
      </c>
      <c r="W982" s="57" t="str">
        <f>IF(AC982=1,S982/M982,"")</f>
        <v/>
      </c>
      <c r="X982" s="57" t="str">
        <f>IF(AC982=1,S982/K982,"")</f>
        <v/>
      </c>
      <c r="Y982" s="58" t="str">
        <f>IF(W982="","",IF(W982&gt;=p_target,"Bon",IF(W982&gt;=p_alert,"À surveiller","Faible")))</f>
        <v/>
      </c>
      <c r="Z982" s="58" t="str">
        <f>IF(W982="","",IF(MIN(IF(T982="",1,T982),IF(U982="",1,U982),IF(V982="",1,V982))&gt;=1,"Aucune",IF(IF(T982="",1,T982)&lt;=MIN(IF(U982="",1,U982),IF(V982="",1,V982)),"Disponibilité",IF(IF(U982="",1,U982)&lt;=IF(V982="",1,V982),"Performance","Qualité"))))</f>
        <v/>
      </c>
      <c r="AA982" s="59" t="str">
        <f>IF(AC982=1,N(H982)*N(IFERROR(INDEX(art_cost,MATCH(E982,art_ref,0)),0)),"")</f>
        <v/>
      </c>
      <c r="AB982" s="58" t="str">
        <f>IF(COUNTA(A982:I982)=0,"",IF(N(A982)&lt;=0,"Date manquante ou invalide",IF(B982="","Équipe manquante",IF(ISNA(MATCH(B982,eq_code,0)),"Équipe inconnue",IF(INDEX(eq_check,MATCH(B982,eq_code,0))&lt;&gt;"OK","Équipe à corriger dans Paramètres",IF(C982="","Poste manquant",IF(ISNA(MATCH(C982,po_code,0)),"Poste inconnu",IF(AND(E982&lt;&gt;"",ISNA(MATCH(E982,art_ref,0))),"Article inconnu",IF(IF(E982="",FALSE,INDEX(art_check,MATCH(E982,art_ref,0))&lt;&gt;"OK"),"Article à corriger (feuille Articles)",IF(COUNTIFS(sj_date,A982,sj_eq,B982,sj_po,C982)&gt;1,"Ligne en double (même jour, équipe et poste)",IF(OR(NOT(ISNUMBER(K982)),N(K982)&lt;=0,N(K982)&gt;1440),"Temps d'ouverture invalide",IF(OR(AND(G982&lt;&gt;"",NOT(ISNUMBER(G982))),N(G982)&lt;0,N(G982)&lt;&gt;INT(N(G982)),AND(H982&lt;&gt;"",NOT(ISNUMBER(H982))),N(H982)&lt;0,N(H982)&lt;&gt;INT(N(H982)),AND(I982&lt;&gt;"",NOT(ISNUMBER(I982))),N(I982)&lt;0,N(I982)&lt;&gt;INT(N(I982))),"Quantité invalide",IF(Q982&lt;=0,"Cadence manquante (poste ou article)",IF(M982&lt;=0,"Arrêts planifiés supérieurs au temps d'ouverture",IF(O982&lt;0,"Arrêts supérieurs au temps requis",IF(AND(P982&gt;0,O982=0),"Pièces déclarées sans temps de marche",IF(AND(P982=0,O982&gt;0),"Aucune pièce déclarée",IF(P982*60/Q982&gt;O982+0.001,"Cadence dépassée : vérifiez la cadence","OK"))))))))))))))))))</f>
        <v/>
      </c>
      <c r="AC982">
        <f>IF(OR(AB982="OK",AB982="Aucune pièce déclarée",AB982="Cadence dépassée : vérifiez la cadence"),1,0)</f>
        <v>0.0</v>
      </c>
      <c r="AD982">
        <f>IF(AND(AC982=1,A982&gt;=p_from,A982&lt;=p_to),1,0)</f>
        <v>0.0</v>
      </c>
      <c r="AE982">
        <f>IF(AD982=1,IF(COUNTIFS($A$6:A982,A982,$AD$6:AD982,1)=1,1,0),0)</f>
        <v>0.0</v>
      </c>
      <c r="AF982" t="str">
        <f>IF(AE982=1,COUNTIFS(sj_first,1,sj_date,"&lt;"&amp;A982)+1,"")</f>
        <v/>
      </c>
      <c r="AG982" t="str">
        <f>IF(AND(AD982=1,N(W982)&lt;p_alert),ROUND(W982,4),"")</f>
        <v/>
      </c>
      <c r="AH982" t="str">
        <f>IF(AG982="","",COUNTIF(sj_akey,"&lt;"&amp;AG982)+COUNTIF($AG$6:AG982,AG982))</f>
        <v/>
      </c>
    </row>
    <row r="983">
      <c r="A983" s="51" t="n"/>
      <c r="B983" s="52" t="n"/>
      <c r="C983" s="52" t="n"/>
      <c r="D983" s="53" t="n"/>
      <c r="E983" s="53" t="n"/>
      <c r="F983" s="54" t="n"/>
      <c r="G983" s="54" t="n"/>
      <c r="H983" s="54" t="n"/>
      <c r="I983" s="54" t="n"/>
      <c r="J983" s="53" t="n"/>
      <c r="K983" s="55" t="str">
        <f>IF(COUNTA(A983:I983)=0,"",IF(F983="",IFERROR(INDEX(eq_dur,MATCH(B983,eq_code,0)),""),F983))</f>
        <v/>
      </c>
      <c r="L983" s="55" t="str">
        <f>IF(ISNUMBER(K983),N(IFERROR(INDEX(eq_pause,MATCH(B983,eq_code,0)),0))+SUMIFS(st_min,st_date,A983,st_eq,B983,st_po,C983,st_type,"Planifié"),"")</f>
        <v/>
      </c>
      <c r="M983" s="55" t="str">
        <f>IF(ISNUMBER(K983),K983-L983,"")</f>
        <v/>
      </c>
      <c r="N983" s="55" t="str">
        <f>IF(ISNUMBER(K983),SUMIFS(st_min,st_date,A983,st_eq,B983,st_po,C983,st_type,"Non planifié"),"")</f>
        <v/>
      </c>
      <c r="O983" s="55" t="str">
        <f>IF(ISNUMBER(K983),M983-N983,"")</f>
        <v/>
      </c>
      <c r="P983" s="55" t="str">
        <f>IF(COUNTA(A983:I983)=0,"",N(G983)+N(H983)+N(I983))</f>
        <v/>
      </c>
      <c r="Q983" s="56" t="str">
        <f>IF(COUNTA(A983:I983)=0,"",IF(N(IFERROR(INDEX(art_rate,MATCH(E983,art_ref,0)),0))&gt;0,N(IFERROR(INDEX(art_rate,MATCH(E983,art_ref,0)),0)),N(IFERROR(INDEX(po_rate,MATCH(C983,po_code,0)),0))))</f>
        <v/>
      </c>
      <c r="R983" s="55" t="str">
        <f>IF(AC983=1,P983*60/Q983,"")</f>
        <v/>
      </c>
      <c r="S983" s="55" t="str">
        <f>IF(AC983=1,N(G983)*60/Q983,"")</f>
        <v/>
      </c>
      <c r="T983" s="57" t="str">
        <f>IF(AC983=1,O983/M983,"")</f>
        <v/>
      </c>
      <c r="U983" s="57" t="str">
        <f>IF(AC983=1,IF(O983&gt;0,R983/O983,""),"")</f>
        <v/>
      </c>
      <c r="V983" s="57" t="str">
        <f>IF(AC983=1,IF(P983&gt;0,N(G983)/P983,""),"")</f>
        <v/>
      </c>
      <c r="W983" s="57" t="str">
        <f>IF(AC983=1,S983/M983,"")</f>
        <v/>
      </c>
      <c r="X983" s="57" t="str">
        <f>IF(AC983=1,S983/K983,"")</f>
        <v/>
      </c>
      <c r="Y983" s="58" t="str">
        <f>IF(W983="","",IF(W983&gt;=p_target,"Bon",IF(W983&gt;=p_alert,"À surveiller","Faible")))</f>
        <v/>
      </c>
      <c r="Z983" s="58" t="str">
        <f>IF(W983="","",IF(MIN(IF(T983="",1,T983),IF(U983="",1,U983),IF(V983="",1,V983))&gt;=1,"Aucune",IF(IF(T983="",1,T983)&lt;=MIN(IF(U983="",1,U983),IF(V983="",1,V983)),"Disponibilité",IF(IF(U983="",1,U983)&lt;=IF(V983="",1,V983),"Performance","Qualité"))))</f>
        <v/>
      </c>
      <c r="AA983" s="59" t="str">
        <f>IF(AC983=1,N(H983)*N(IFERROR(INDEX(art_cost,MATCH(E983,art_ref,0)),0)),"")</f>
        <v/>
      </c>
      <c r="AB983" s="58" t="str">
        <f>IF(COUNTA(A983:I983)=0,"",IF(N(A983)&lt;=0,"Date manquante ou invalide",IF(B983="","Équipe manquante",IF(ISNA(MATCH(B983,eq_code,0)),"Équipe inconnue",IF(INDEX(eq_check,MATCH(B983,eq_code,0))&lt;&gt;"OK","Équipe à corriger dans Paramètres",IF(C983="","Poste manquant",IF(ISNA(MATCH(C983,po_code,0)),"Poste inconnu",IF(AND(E983&lt;&gt;"",ISNA(MATCH(E983,art_ref,0))),"Article inconnu",IF(IF(E983="",FALSE,INDEX(art_check,MATCH(E983,art_ref,0))&lt;&gt;"OK"),"Article à corriger (feuille Articles)",IF(COUNTIFS(sj_date,A983,sj_eq,B983,sj_po,C983)&gt;1,"Ligne en double (même jour, équipe et poste)",IF(OR(NOT(ISNUMBER(K983)),N(K983)&lt;=0,N(K983)&gt;1440),"Temps d'ouverture invalide",IF(OR(AND(G983&lt;&gt;"",NOT(ISNUMBER(G983))),N(G983)&lt;0,N(G983)&lt;&gt;INT(N(G983)),AND(H983&lt;&gt;"",NOT(ISNUMBER(H983))),N(H983)&lt;0,N(H983)&lt;&gt;INT(N(H983)),AND(I983&lt;&gt;"",NOT(ISNUMBER(I983))),N(I983)&lt;0,N(I983)&lt;&gt;INT(N(I983))),"Quantité invalide",IF(Q983&lt;=0,"Cadence manquante (poste ou article)",IF(M983&lt;=0,"Arrêts planifiés supérieurs au temps d'ouverture",IF(O983&lt;0,"Arrêts supérieurs au temps requis",IF(AND(P983&gt;0,O983=0),"Pièces déclarées sans temps de marche",IF(AND(P983=0,O983&gt;0),"Aucune pièce déclarée",IF(P983*60/Q983&gt;O983+0.001,"Cadence dépassée : vérifiez la cadence","OK"))))))))))))))))))</f>
        <v/>
      </c>
      <c r="AC983">
        <f>IF(OR(AB983="OK",AB983="Aucune pièce déclarée",AB983="Cadence dépassée : vérifiez la cadence"),1,0)</f>
        <v>0.0</v>
      </c>
      <c r="AD983">
        <f>IF(AND(AC983=1,A983&gt;=p_from,A983&lt;=p_to),1,0)</f>
        <v>0.0</v>
      </c>
      <c r="AE983">
        <f>IF(AD983=1,IF(COUNTIFS($A$6:A983,A983,$AD$6:AD983,1)=1,1,0),0)</f>
        <v>0.0</v>
      </c>
      <c r="AF983" t="str">
        <f>IF(AE983=1,COUNTIFS(sj_first,1,sj_date,"&lt;"&amp;A983)+1,"")</f>
        <v/>
      </c>
      <c r="AG983" t="str">
        <f>IF(AND(AD983=1,N(W983)&lt;p_alert),ROUND(W983,4),"")</f>
        <v/>
      </c>
      <c r="AH983" t="str">
        <f>IF(AG983="","",COUNTIF(sj_akey,"&lt;"&amp;AG983)+COUNTIF($AG$6:AG983,AG983))</f>
        <v/>
      </c>
    </row>
    <row r="984">
      <c r="A984" s="51" t="n"/>
      <c r="B984" s="52" t="n"/>
      <c r="C984" s="52" t="n"/>
      <c r="D984" s="53" t="n"/>
      <c r="E984" s="53" t="n"/>
      <c r="F984" s="54" t="n"/>
      <c r="G984" s="54" t="n"/>
      <c r="H984" s="54" t="n"/>
      <c r="I984" s="54" t="n"/>
      <c r="J984" s="53" t="n"/>
      <c r="K984" s="55" t="str">
        <f>IF(COUNTA(A984:I984)=0,"",IF(F984="",IFERROR(INDEX(eq_dur,MATCH(B984,eq_code,0)),""),F984))</f>
        <v/>
      </c>
      <c r="L984" s="55" t="str">
        <f>IF(ISNUMBER(K984),N(IFERROR(INDEX(eq_pause,MATCH(B984,eq_code,0)),0))+SUMIFS(st_min,st_date,A984,st_eq,B984,st_po,C984,st_type,"Planifié"),"")</f>
        <v/>
      </c>
      <c r="M984" s="55" t="str">
        <f>IF(ISNUMBER(K984),K984-L984,"")</f>
        <v/>
      </c>
      <c r="N984" s="55" t="str">
        <f>IF(ISNUMBER(K984),SUMIFS(st_min,st_date,A984,st_eq,B984,st_po,C984,st_type,"Non planifié"),"")</f>
        <v/>
      </c>
      <c r="O984" s="55" t="str">
        <f>IF(ISNUMBER(K984),M984-N984,"")</f>
        <v/>
      </c>
      <c r="P984" s="55" t="str">
        <f>IF(COUNTA(A984:I984)=0,"",N(G984)+N(H984)+N(I984))</f>
        <v/>
      </c>
      <c r="Q984" s="56" t="str">
        <f>IF(COUNTA(A984:I984)=0,"",IF(N(IFERROR(INDEX(art_rate,MATCH(E984,art_ref,0)),0))&gt;0,N(IFERROR(INDEX(art_rate,MATCH(E984,art_ref,0)),0)),N(IFERROR(INDEX(po_rate,MATCH(C984,po_code,0)),0))))</f>
        <v/>
      </c>
      <c r="R984" s="55" t="str">
        <f>IF(AC984=1,P984*60/Q984,"")</f>
        <v/>
      </c>
      <c r="S984" s="55" t="str">
        <f>IF(AC984=1,N(G984)*60/Q984,"")</f>
        <v/>
      </c>
      <c r="T984" s="57" t="str">
        <f>IF(AC984=1,O984/M984,"")</f>
        <v/>
      </c>
      <c r="U984" s="57" t="str">
        <f>IF(AC984=1,IF(O984&gt;0,R984/O984,""),"")</f>
        <v/>
      </c>
      <c r="V984" s="57" t="str">
        <f>IF(AC984=1,IF(P984&gt;0,N(G984)/P984,""),"")</f>
        <v/>
      </c>
      <c r="W984" s="57" t="str">
        <f>IF(AC984=1,S984/M984,"")</f>
        <v/>
      </c>
      <c r="X984" s="57" t="str">
        <f>IF(AC984=1,S984/K984,"")</f>
        <v/>
      </c>
      <c r="Y984" s="58" t="str">
        <f>IF(W984="","",IF(W984&gt;=p_target,"Bon",IF(W984&gt;=p_alert,"À surveiller","Faible")))</f>
        <v/>
      </c>
      <c r="Z984" s="58" t="str">
        <f>IF(W984="","",IF(MIN(IF(T984="",1,T984),IF(U984="",1,U984),IF(V984="",1,V984))&gt;=1,"Aucune",IF(IF(T984="",1,T984)&lt;=MIN(IF(U984="",1,U984),IF(V984="",1,V984)),"Disponibilité",IF(IF(U984="",1,U984)&lt;=IF(V984="",1,V984),"Performance","Qualité"))))</f>
        <v/>
      </c>
      <c r="AA984" s="59" t="str">
        <f>IF(AC984=1,N(H984)*N(IFERROR(INDEX(art_cost,MATCH(E984,art_ref,0)),0)),"")</f>
        <v/>
      </c>
      <c r="AB984" s="58" t="str">
        <f>IF(COUNTA(A984:I984)=0,"",IF(N(A984)&lt;=0,"Date manquante ou invalide",IF(B984="","Équipe manquante",IF(ISNA(MATCH(B984,eq_code,0)),"Équipe inconnue",IF(INDEX(eq_check,MATCH(B984,eq_code,0))&lt;&gt;"OK","Équipe à corriger dans Paramètres",IF(C984="","Poste manquant",IF(ISNA(MATCH(C984,po_code,0)),"Poste inconnu",IF(AND(E984&lt;&gt;"",ISNA(MATCH(E984,art_ref,0))),"Article inconnu",IF(IF(E984="",FALSE,INDEX(art_check,MATCH(E984,art_ref,0))&lt;&gt;"OK"),"Article à corriger (feuille Articles)",IF(COUNTIFS(sj_date,A984,sj_eq,B984,sj_po,C984)&gt;1,"Ligne en double (même jour, équipe et poste)",IF(OR(NOT(ISNUMBER(K984)),N(K984)&lt;=0,N(K984)&gt;1440),"Temps d'ouverture invalide",IF(OR(AND(G984&lt;&gt;"",NOT(ISNUMBER(G984))),N(G984)&lt;0,N(G984)&lt;&gt;INT(N(G984)),AND(H984&lt;&gt;"",NOT(ISNUMBER(H984))),N(H984)&lt;0,N(H984)&lt;&gt;INT(N(H984)),AND(I984&lt;&gt;"",NOT(ISNUMBER(I984))),N(I984)&lt;0,N(I984)&lt;&gt;INT(N(I984))),"Quantité invalide",IF(Q984&lt;=0,"Cadence manquante (poste ou article)",IF(M984&lt;=0,"Arrêts planifiés supérieurs au temps d'ouverture",IF(O984&lt;0,"Arrêts supérieurs au temps requis",IF(AND(P984&gt;0,O984=0),"Pièces déclarées sans temps de marche",IF(AND(P984=0,O984&gt;0),"Aucune pièce déclarée",IF(P984*60/Q984&gt;O984+0.001,"Cadence dépassée : vérifiez la cadence","OK"))))))))))))))))))</f>
        <v/>
      </c>
      <c r="AC984">
        <f>IF(OR(AB984="OK",AB984="Aucune pièce déclarée",AB984="Cadence dépassée : vérifiez la cadence"),1,0)</f>
        <v>0.0</v>
      </c>
      <c r="AD984">
        <f>IF(AND(AC984=1,A984&gt;=p_from,A984&lt;=p_to),1,0)</f>
        <v>0.0</v>
      </c>
      <c r="AE984">
        <f>IF(AD984=1,IF(COUNTIFS($A$6:A984,A984,$AD$6:AD984,1)=1,1,0),0)</f>
        <v>0.0</v>
      </c>
      <c r="AF984" t="str">
        <f>IF(AE984=1,COUNTIFS(sj_first,1,sj_date,"&lt;"&amp;A984)+1,"")</f>
        <v/>
      </c>
      <c r="AG984" t="str">
        <f>IF(AND(AD984=1,N(W984)&lt;p_alert),ROUND(W984,4),"")</f>
        <v/>
      </c>
      <c r="AH984" t="str">
        <f>IF(AG984="","",COUNTIF(sj_akey,"&lt;"&amp;AG984)+COUNTIF($AG$6:AG984,AG984))</f>
        <v/>
      </c>
    </row>
    <row r="985">
      <c r="A985" s="51" t="n"/>
      <c r="B985" s="52" t="n"/>
      <c r="C985" s="52" t="n"/>
      <c r="D985" s="53" t="n"/>
      <c r="E985" s="53" t="n"/>
      <c r="F985" s="54" t="n"/>
      <c r="G985" s="54" t="n"/>
      <c r="H985" s="54" t="n"/>
      <c r="I985" s="54" t="n"/>
      <c r="J985" s="53" t="n"/>
      <c r="K985" s="55" t="str">
        <f>IF(COUNTA(A985:I985)=0,"",IF(F985="",IFERROR(INDEX(eq_dur,MATCH(B985,eq_code,0)),""),F985))</f>
        <v/>
      </c>
      <c r="L985" s="55" t="str">
        <f>IF(ISNUMBER(K985),N(IFERROR(INDEX(eq_pause,MATCH(B985,eq_code,0)),0))+SUMIFS(st_min,st_date,A985,st_eq,B985,st_po,C985,st_type,"Planifié"),"")</f>
        <v/>
      </c>
      <c r="M985" s="55" t="str">
        <f>IF(ISNUMBER(K985),K985-L985,"")</f>
        <v/>
      </c>
      <c r="N985" s="55" t="str">
        <f>IF(ISNUMBER(K985),SUMIFS(st_min,st_date,A985,st_eq,B985,st_po,C985,st_type,"Non planifié"),"")</f>
        <v/>
      </c>
      <c r="O985" s="55" t="str">
        <f>IF(ISNUMBER(K985),M985-N985,"")</f>
        <v/>
      </c>
      <c r="P985" s="55" t="str">
        <f>IF(COUNTA(A985:I985)=0,"",N(G985)+N(H985)+N(I985))</f>
        <v/>
      </c>
      <c r="Q985" s="56" t="str">
        <f>IF(COUNTA(A985:I985)=0,"",IF(N(IFERROR(INDEX(art_rate,MATCH(E985,art_ref,0)),0))&gt;0,N(IFERROR(INDEX(art_rate,MATCH(E985,art_ref,0)),0)),N(IFERROR(INDEX(po_rate,MATCH(C985,po_code,0)),0))))</f>
        <v/>
      </c>
      <c r="R985" s="55" t="str">
        <f>IF(AC985=1,P985*60/Q985,"")</f>
        <v/>
      </c>
      <c r="S985" s="55" t="str">
        <f>IF(AC985=1,N(G985)*60/Q985,"")</f>
        <v/>
      </c>
      <c r="T985" s="57" t="str">
        <f>IF(AC985=1,O985/M985,"")</f>
        <v/>
      </c>
      <c r="U985" s="57" t="str">
        <f>IF(AC985=1,IF(O985&gt;0,R985/O985,""),"")</f>
        <v/>
      </c>
      <c r="V985" s="57" t="str">
        <f>IF(AC985=1,IF(P985&gt;0,N(G985)/P985,""),"")</f>
        <v/>
      </c>
      <c r="W985" s="57" t="str">
        <f>IF(AC985=1,S985/M985,"")</f>
        <v/>
      </c>
      <c r="X985" s="57" t="str">
        <f>IF(AC985=1,S985/K985,"")</f>
        <v/>
      </c>
      <c r="Y985" s="58" t="str">
        <f>IF(W985="","",IF(W985&gt;=p_target,"Bon",IF(W985&gt;=p_alert,"À surveiller","Faible")))</f>
        <v/>
      </c>
      <c r="Z985" s="58" t="str">
        <f>IF(W985="","",IF(MIN(IF(T985="",1,T985),IF(U985="",1,U985),IF(V985="",1,V985))&gt;=1,"Aucune",IF(IF(T985="",1,T985)&lt;=MIN(IF(U985="",1,U985),IF(V985="",1,V985)),"Disponibilité",IF(IF(U985="",1,U985)&lt;=IF(V985="",1,V985),"Performance","Qualité"))))</f>
        <v/>
      </c>
      <c r="AA985" s="59" t="str">
        <f>IF(AC985=1,N(H985)*N(IFERROR(INDEX(art_cost,MATCH(E985,art_ref,0)),0)),"")</f>
        <v/>
      </c>
      <c r="AB985" s="58" t="str">
        <f>IF(COUNTA(A985:I985)=0,"",IF(N(A985)&lt;=0,"Date manquante ou invalide",IF(B985="","Équipe manquante",IF(ISNA(MATCH(B985,eq_code,0)),"Équipe inconnue",IF(INDEX(eq_check,MATCH(B985,eq_code,0))&lt;&gt;"OK","Équipe à corriger dans Paramètres",IF(C985="","Poste manquant",IF(ISNA(MATCH(C985,po_code,0)),"Poste inconnu",IF(AND(E985&lt;&gt;"",ISNA(MATCH(E985,art_ref,0))),"Article inconnu",IF(IF(E985="",FALSE,INDEX(art_check,MATCH(E985,art_ref,0))&lt;&gt;"OK"),"Article à corriger (feuille Articles)",IF(COUNTIFS(sj_date,A985,sj_eq,B985,sj_po,C985)&gt;1,"Ligne en double (même jour, équipe et poste)",IF(OR(NOT(ISNUMBER(K985)),N(K985)&lt;=0,N(K985)&gt;1440),"Temps d'ouverture invalide",IF(OR(AND(G985&lt;&gt;"",NOT(ISNUMBER(G985))),N(G985)&lt;0,N(G985)&lt;&gt;INT(N(G985)),AND(H985&lt;&gt;"",NOT(ISNUMBER(H985))),N(H985)&lt;0,N(H985)&lt;&gt;INT(N(H985)),AND(I985&lt;&gt;"",NOT(ISNUMBER(I985))),N(I985)&lt;0,N(I985)&lt;&gt;INT(N(I985))),"Quantité invalide",IF(Q985&lt;=0,"Cadence manquante (poste ou article)",IF(M985&lt;=0,"Arrêts planifiés supérieurs au temps d'ouverture",IF(O985&lt;0,"Arrêts supérieurs au temps requis",IF(AND(P985&gt;0,O985=0),"Pièces déclarées sans temps de marche",IF(AND(P985=0,O985&gt;0),"Aucune pièce déclarée",IF(P985*60/Q985&gt;O985+0.001,"Cadence dépassée : vérifiez la cadence","OK"))))))))))))))))))</f>
        <v/>
      </c>
      <c r="AC985">
        <f>IF(OR(AB985="OK",AB985="Aucune pièce déclarée",AB985="Cadence dépassée : vérifiez la cadence"),1,0)</f>
        <v>0.0</v>
      </c>
      <c r="AD985">
        <f>IF(AND(AC985=1,A985&gt;=p_from,A985&lt;=p_to),1,0)</f>
        <v>0.0</v>
      </c>
      <c r="AE985">
        <f>IF(AD985=1,IF(COUNTIFS($A$6:A985,A985,$AD$6:AD985,1)=1,1,0),0)</f>
        <v>0.0</v>
      </c>
      <c r="AF985" t="str">
        <f>IF(AE985=1,COUNTIFS(sj_first,1,sj_date,"&lt;"&amp;A985)+1,"")</f>
        <v/>
      </c>
      <c r="AG985" t="str">
        <f>IF(AND(AD985=1,N(W985)&lt;p_alert),ROUND(W985,4),"")</f>
        <v/>
      </c>
      <c r="AH985" t="str">
        <f>IF(AG985="","",COUNTIF(sj_akey,"&lt;"&amp;AG985)+COUNTIF($AG$6:AG985,AG985))</f>
        <v/>
      </c>
    </row>
    <row r="986">
      <c r="A986" s="51" t="n"/>
      <c r="B986" s="52" t="n"/>
      <c r="C986" s="52" t="n"/>
      <c r="D986" s="53" t="n"/>
      <c r="E986" s="53" t="n"/>
      <c r="F986" s="54" t="n"/>
      <c r="G986" s="54" t="n"/>
      <c r="H986" s="54" t="n"/>
      <c r="I986" s="54" t="n"/>
      <c r="J986" s="53" t="n"/>
      <c r="K986" s="55" t="str">
        <f>IF(COUNTA(A986:I986)=0,"",IF(F986="",IFERROR(INDEX(eq_dur,MATCH(B986,eq_code,0)),""),F986))</f>
        <v/>
      </c>
      <c r="L986" s="55" t="str">
        <f>IF(ISNUMBER(K986),N(IFERROR(INDEX(eq_pause,MATCH(B986,eq_code,0)),0))+SUMIFS(st_min,st_date,A986,st_eq,B986,st_po,C986,st_type,"Planifié"),"")</f>
        <v/>
      </c>
      <c r="M986" s="55" t="str">
        <f>IF(ISNUMBER(K986),K986-L986,"")</f>
        <v/>
      </c>
      <c r="N986" s="55" t="str">
        <f>IF(ISNUMBER(K986),SUMIFS(st_min,st_date,A986,st_eq,B986,st_po,C986,st_type,"Non planifié"),"")</f>
        <v/>
      </c>
      <c r="O986" s="55" t="str">
        <f>IF(ISNUMBER(K986),M986-N986,"")</f>
        <v/>
      </c>
      <c r="P986" s="55" t="str">
        <f>IF(COUNTA(A986:I986)=0,"",N(G986)+N(H986)+N(I986))</f>
        <v/>
      </c>
      <c r="Q986" s="56" t="str">
        <f>IF(COUNTA(A986:I986)=0,"",IF(N(IFERROR(INDEX(art_rate,MATCH(E986,art_ref,0)),0))&gt;0,N(IFERROR(INDEX(art_rate,MATCH(E986,art_ref,0)),0)),N(IFERROR(INDEX(po_rate,MATCH(C986,po_code,0)),0))))</f>
        <v/>
      </c>
      <c r="R986" s="55" t="str">
        <f>IF(AC986=1,P986*60/Q986,"")</f>
        <v/>
      </c>
      <c r="S986" s="55" t="str">
        <f>IF(AC986=1,N(G986)*60/Q986,"")</f>
        <v/>
      </c>
      <c r="T986" s="57" t="str">
        <f>IF(AC986=1,O986/M986,"")</f>
        <v/>
      </c>
      <c r="U986" s="57" t="str">
        <f>IF(AC986=1,IF(O986&gt;0,R986/O986,""),"")</f>
        <v/>
      </c>
      <c r="V986" s="57" t="str">
        <f>IF(AC986=1,IF(P986&gt;0,N(G986)/P986,""),"")</f>
        <v/>
      </c>
      <c r="W986" s="57" t="str">
        <f>IF(AC986=1,S986/M986,"")</f>
        <v/>
      </c>
      <c r="X986" s="57" t="str">
        <f>IF(AC986=1,S986/K986,"")</f>
        <v/>
      </c>
      <c r="Y986" s="58" t="str">
        <f>IF(W986="","",IF(W986&gt;=p_target,"Bon",IF(W986&gt;=p_alert,"À surveiller","Faible")))</f>
        <v/>
      </c>
      <c r="Z986" s="58" t="str">
        <f>IF(W986="","",IF(MIN(IF(T986="",1,T986),IF(U986="",1,U986),IF(V986="",1,V986))&gt;=1,"Aucune",IF(IF(T986="",1,T986)&lt;=MIN(IF(U986="",1,U986),IF(V986="",1,V986)),"Disponibilité",IF(IF(U986="",1,U986)&lt;=IF(V986="",1,V986),"Performance","Qualité"))))</f>
        <v/>
      </c>
      <c r="AA986" s="59" t="str">
        <f>IF(AC986=1,N(H986)*N(IFERROR(INDEX(art_cost,MATCH(E986,art_ref,0)),0)),"")</f>
        <v/>
      </c>
      <c r="AB986" s="58" t="str">
        <f>IF(COUNTA(A986:I986)=0,"",IF(N(A986)&lt;=0,"Date manquante ou invalide",IF(B986="","Équipe manquante",IF(ISNA(MATCH(B986,eq_code,0)),"Équipe inconnue",IF(INDEX(eq_check,MATCH(B986,eq_code,0))&lt;&gt;"OK","Équipe à corriger dans Paramètres",IF(C986="","Poste manquant",IF(ISNA(MATCH(C986,po_code,0)),"Poste inconnu",IF(AND(E986&lt;&gt;"",ISNA(MATCH(E986,art_ref,0))),"Article inconnu",IF(IF(E986="",FALSE,INDEX(art_check,MATCH(E986,art_ref,0))&lt;&gt;"OK"),"Article à corriger (feuille Articles)",IF(COUNTIFS(sj_date,A986,sj_eq,B986,sj_po,C986)&gt;1,"Ligne en double (même jour, équipe et poste)",IF(OR(NOT(ISNUMBER(K986)),N(K986)&lt;=0,N(K986)&gt;1440),"Temps d'ouverture invalide",IF(OR(AND(G986&lt;&gt;"",NOT(ISNUMBER(G986))),N(G986)&lt;0,N(G986)&lt;&gt;INT(N(G986)),AND(H986&lt;&gt;"",NOT(ISNUMBER(H986))),N(H986)&lt;0,N(H986)&lt;&gt;INT(N(H986)),AND(I986&lt;&gt;"",NOT(ISNUMBER(I986))),N(I986)&lt;0,N(I986)&lt;&gt;INT(N(I986))),"Quantité invalide",IF(Q986&lt;=0,"Cadence manquante (poste ou article)",IF(M986&lt;=0,"Arrêts planifiés supérieurs au temps d'ouverture",IF(O986&lt;0,"Arrêts supérieurs au temps requis",IF(AND(P986&gt;0,O986=0),"Pièces déclarées sans temps de marche",IF(AND(P986=0,O986&gt;0),"Aucune pièce déclarée",IF(P986*60/Q986&gt;O986+0.001,"Cadence dépassée : vérifiez la cadence","OK"))))))))))))))))))</f>
        <v/>
      </c>
      <c r="AC986">
        <f>IF(OR(AB986="OK",AB986="Aucune pièce déclarée",AB986="Cadence dépassée : vérifiez la cadence"),1,0)</f>
        <v>0.0</v>
      </c>
      <c r="AD986">
        <f>IF(AND(AC986=1,A986&gt;=p_from,A986&lt;=p_to),1,0)</f>
        <v>0.0</v>
      </c>
      <c r="AE986">
        <f>IF(AD986=1,IF(COUNTIFS($A$6:A986,A986,$AD$6:AD986,1)=1,1,0),0)</f>
        <v>0.0</v>
      </c>
      <c r="AF986" t="str">
        <f>IF(AE986=1,COUNTIFS(sj_first,1,sj_date,"&lt;"&amp;A986)+1,"")</f>
        <v/>
      </c>
      <c r="AG986" t="str">
        <f>IF(AND(AD986=1,N(W986)&lt;p_alert),ROUND(W986,4),"")</f>
        <v/>
      </c>
      <c r="AH986" t="str">
        <f>IF(AG986="","",COUNTIF(sj_akey,"&lt;"&amp;AG986)+COUNTIF($AG$6:AG986,AG986))</f>
        <v/>
      </c>
    </row>
    <row r="987">
      <c r="A987" s="51" t="n"/>
      <c r="B987" s="52" t="n"/>
      <c r="C987" s="52" t="n"/>
      <c r="D987" s="53" t="n"/>
      <c r="E987" s="53" t="n"/>
      <c r="F987" s="54" t="n"/>
      <c r="G987" s="54" t="n"/>
      <c r="H987" s="54" t="n"/>
      <c r="I987" s="54" t="n"/>
      <c r="J987" s="53" t="n"/>
      <c r="K987" s="55" t="str">
        <f>IF(COUNTA(A987:I987)=0,"",IF(F987="",IFERROR(INDEX(eq_dur,MATCH(B987,eq_code,0)),""),F987))</f>
        <v/>
      </c>
      <c r="L987" s="55" t="str">
        <f>IF(ISNUMBER(K987),N(IFERROR(INDEX(eq_pause,MATCH(B987,eq_code,0)),0))+SUMIFS(st_min,st_date,A987,st_eq,B987,st_po,C987,st_type,"Planifié"),"")</f>
        <v/>
      </c>
      <c r="M987" s="55" t="str">
        <f>IF(ISNUMBER(K987),K987-L987,"")</f>
        <v/>
      </c>
      <c r="N987" s="55" t="str">
        <f>IF(ISNUMBER(K987),SUMIFS(st_min,st_date,A987,st_eq,B987,st_po,C987,st_type,"Non planifié"),"")</f>
        <v/>
      </c>
      <c r="O987" s="55" t="str">
        <f>IF(ISNUMBER(K987),M987-N987,"")</f>
        <v/>
      </c>
      <c r="P987" s="55" t="str">
        <f>IF(COUNTA(A987:I987)=0,"",N(G987)+N(H987)+N(I987))</f>
        <v/>
      </c>
      <c r="Q987" s="56" t="str">
        <f>IF(COUNTA(A987:I987)=0,"",IF(N(IFERROR(INDEX(art_rate,MATCH(E987,art_ref,0)),0))&gt;0,N(IFERROR(INDEX(art_rate,MATCH(E987,art_ref,0)),0)),N(IFERROR(INDEX(po_rate,MATCH(C987,po_code,0)),0))))</f>
        <v/>
      </c>
      <c r="R987" s="55" t="str">
        <f>IF(AC987=1,P987*60/Q987,"")</f>
        <v/>
      </c>
      <c r="S987" s="55" t="str">
        <f>IF(AC987=1,N(G987)*60/Q987,"")</f>
        <v/>
      </c>
      <c r="T987" s="57" t="str">
        <f>IF(AC987=1,O987/M987,"")</f>
        <v/>
      </c>
      <c r="U987" s="57" t="str">
        <f>IF(AC987=1,IF(O987&gt;0,R987/O987,""),"")</f>
        <v/>
      </c>
      <c r="V987" s="57" t="str">
        <f>IF(AC987=1,IF(P987&gt;0,N(G987)/P987,""),"")</f>
        <v/>
      </c>
      <c r="W987" s="57" t="str">
        <f>IF(AC987=1,S987/M987,"")</f>
        <v/>
      </c>
      <c r="X987" s="57" t="str">
        <f>IF(AC987=1,S987/K987,"")</f>
        <v/>
      </c>
      <c r="Y987" s="58" t="str">
        <f>IF(W987="","",IF(W987&gt;=p_target,"Bon",IF(W987&gt;=p_alert,"À surveiller","Faible")))</f>
        <v/>
      </c>
      <c r="Z987" s="58" t="str">
        <f>IF(W987="","",IF(MIN(IF(T987="",1,T987),IF(U987="",1,U987),IF(V987="",1,V987))&gt;=1,"Aucune",IF(IF(T987="",1,T987)&lt;=MIN(IF(U987="",1,U987),IF(V987="",1,V987)),"Disponibilité",IF(IF(U987="",1,U987)&lt;=IF(V987="",1,V987),"Performance","Qualité"))))</f>
        <v/>
      </c>
      <c r="AA987" s="59" t="str">
        <f>IF(AC987=1,N(H987)*N(IFERROR(INDEX(art_cost,MATCH(E987,art_ref,0)),0)),"")</f>
        <v/>
      </c>
      <c r="AB987" s="58" t="str">
        <f>IF(COUNTA(A987:I987)=0,"",IF(N(A987)&lt;=0,"Date manquante ou invalide",IF(B987="","Équipe manquante",IF(ISNA(MATCH(B987,eq_code,0)),"Équipe inconnue",IF(INDEX(eq_check,MATCH(B987,eq_code,0))&lt;&gt;"OK","Équipe à corriger dans Paramètres",IF(C987="","Poste manquant",IF(ISNA(MATCH(C987,po_code,0)),"Poste inconnu",IF(AND(E987&lt;&gt;"",ISNA(MATCH(E987,art_ref,0))),"Article inconnu",IF(IF(E987="",FALSE,INDEX(art_check,MATCH(E987,art_ref,0))&lt;&gt;"OK"),"Article à corriger (feuille Articles)",IF(COUNTIFS(sj_date,A987,sj_eq,B987,sj_po,C987)&gt;1,"Ligne en double (même jour, équipe et poste)",IF(OR(NOT(ISNUMBER(K987)),N(K987)&lt;=0,N(K987)&gt;1440),"Temps d'ouverture invalide",IF(OR(AND(G987&lt;&gt;"",NOT(ISNUMBER(G987))),N(G987)&lt;0,N(G987)&lt;&gt;INT(N(G987)),AND(H987&lt;&gt;"",NOT(ISNUMBER(H987))),N(H987)&lt;0,N(H987)&lt;&gt;INT(N(H987)),AND(I987&lt;&gt;"",NOT(ISNUMBER(I987))),N(I987)&lt;0,N(I987)&lt;&gt;INT(N(I987))),"Quantité invalide",IF(Q987&lt;=0,"Cadence manquante (poste ou article)",IF(M987&lt;=0,"Arrêts planifiés supérieurs au temps d'ouverture",IF(O987&lt;0,"Arrêts supérieurs au temps requis",IF(AND(P987&gt;0,O987=0),"Pièces déclarées sans temps de marche",IF(AND(P987=0,O987&gt;0),"Aucune pièce déclarée",IF(P987*60/Q987&gt;O987+0.001,"Cadence dépassée : vérifiez la cadence","OK"))))))))))))))))))</f>
        <v/>
      </c>
      <c r="AC987">
        <f>IF(OR(AB987="OK",AB987="Aucune pièce déclarée",AB987="Cadence dépassée : vérifiez la cadence"),1,0)</f>
        <v>0.0</v>
      </c>
      <c r="AD987">
        <f>IF(AND(AC987=1,A987&gt;=p_from,A987&lt;=p_to),1,0)</f>
        <v>0.0</v>
      </c>
      <c r="AE987">
        <f>IF(AD987=1,IF(COUNTIFS($A$6:A987,A987,$AD$6:AD987,1)=1,1,0),0)</f>
        <v>0.0</v>
      </c>
      <c r="AF987" t="str">
        <f>IF(AE987=1,COUNTIFS(sj_first,1,sj_date,"&lt;"&amp;A987)+1,"")</f>
        <v/>
      </c>
      <c r="AG987" t="str">
        <f>IF(AND(AD987=1,N(W987)&lt;p_alert),ROUND(W987,4),"")</f>
        <v/>
      </c>
      <c r="AH987" t="str">
        <f>IF(AG987="","",COUNTIF(sj_akey,"&lt;"&amp;AG987)+COUNTIF($AG$6:AG987,AG987))</f>
        <v/>
      </c>
    </row>
    <row r="988">
      <c r="A988" s="51" t="n"/>
      <c r="B988" s="52" t="n"/>
      <c r="C988" s="52" t="n"/>
      <c r="D988" s="53" t="n"/>
      <c r="E988" s="53" t="n"/>
      <c r="F988" s="54" t="n"/>
      <c r="G988" s="54" t="n"/>
      <c r="H988" s="54" t="n"/>
      <c r="I988" s="54" t="n"/>
      <c r="J988" s="53" t="n"/>
      <c r="K988" s="55" t="str">
        <f>IF(COUNTA(A988:I988)=0,"",IF(F988="",IFERROR(INDEX(eq_dur,MATCH(B988,eq_code,0)),""),F988))</f>
        <v/>
      </c>
      <c r="L988" s="55" t="str">
        <f>IF(ISNUMBER(K988),N(IFERROR(INDEX(eq_pause,MATCH(B988,eq_code,0)),0))+SUMIFS(st_min,st_date,A988,st_eq,B988,st_po,C988,st_type,"Planifié"),"")</f>
        <v/>
      </c>
      <c r="M988" s="55" t="str">
        <f>IF(ISNUMBER(K988),K988-L988,"")</f>
        <v/>
      </c>
      <c r="N988" s="55" t="str">
        <f>IF(ISNUMBER(K988),SUMIFS(st_min,st_date,A988,st_eq,B988,st_po,C988,st_type,"Non planifié"),"")</f>
        <v/>
      </c>
      <c r="O988" s="55" t="str">
        <f>IF(ISNUMBER(K988),M988-N988,"")</f>
        <v/>
      </c>
      <c r="P988" s="55" t="str">
        <f>IF(COUNTA(A988:I988)=0,"",N(G988)+N(H988)+N(I988))</f>
        <v/>
      </c>
      <c r="Q988" s="56" t="str">
        <f>IF(COUNTA(A988:I988)=0,"",IF(N(IFERROR(INDEX(art_rate,MATCH(E988,art_ref,0)),0))&gt;0,N(IFERROR(INDEX(art_rate,MATCH(E988,art_ref,0)),0)),N(IFERROR(INDEX(po_rate,MATCH(C988,po_code,0)),0))))</f>
        <v/>
      </c>
      <c r="R988" s="55" t="str">
        <f>IF(AC988=1,P988*60/Q988,"")</f>
        <v/>
      </c>
      <c r="S988" s="55" t="str">
        <f>IF(AC988=1,N(G988)*60/Q988,"")</f>
        <v/>
      </c>
      <c r="T988" s="57" t="str">
        <f>IF(AC988=1,O988/M988,"")</f>
        <v/>
      </c>
      <c r="U988" s="57" t="str">
        <f>IF(AC988=1,IF(O988&gt;0,R988/O988,""),"")</f>
        <v/>
      </c>
      <c r="V988" s="57" t="str">
        <f>IF(AC988=1,IF(P988&gt;0,N(G988)/P988,""),"")</f>
        <v/>
      </c>
      <c r="W988" s="57" t="str">
        <f>IF(AC988=1,S988/M988,"")</f>
        <v/>
      </c>
      <c r="X988" s="57" t="str">
        <f>IF(AC988=1,S988/K988,"")</f>
        <v/>
      </c>
      <c r="Y988" s="58" t="str">
        <f>IF(W988="","",IF(W988&gt;=p_target,"Bon",IF(W988&gt;=p_alert,"À surveiller","Faible")))</f>
        <v/>
      </c>
      <c r="Z988" s="58" t="str">
        <f>IF(W988="","",IF(MIN(IF(T988="",1,T988),IF(U988="",1,U988),IF(V988="",1,V988))&gt;=1,"Aucune",IF(IF(T988="",1,T988)&lt;=MIN(IF(U988="",1,U988),IF(V988="",1,V988)),"Disponibilité",IF(IF(U988="",1,U988)&lt;=IF(V988="",1,V988),"Performance","Qualité"))))</f>
        <v/>
      </c>
      <c r="AA988" s="59" t="str">
        <f>IF(AC988=1,N(H988)*N(IFERROR(INDEX(art_cost,MATCH(E988,art_ref,0)),0)),"")</f>
        <v/>
      </c>
      <c r="AB988" s="58" t="str">
        <f>IF(COUNTA(A988:I988)=0,"",IF(N(A988)&lt;=0,"Date manquante ou invalide",IF(B988="","Équipe manquante",IF(ISNA(MATCH(B988,eq_code,0)),"Équipe inconnue",IF(INDEX(eq_check,MATCH(B988,eq_code,0))&lt;&gt;"OK","Équipe à corriger dans Paramètres",IF(C988="","Poste manquant",IF(ISNA(MATCH(C988,po_code,0)),"Poste inconnu",IF(AND(E988&lt;&gt;"",ISNA(MATCH(E988,art_ref,0))),"Article inconnu",IF(IF(E988="",FALSE,INDEX(art_check,MATCH(E988,art_ref,0))&lt;&gt;"OK"),"Article à corriger (feuille Articles)",IF(COUNTIFS(sj_date,A988,sj_eq,B988,sj_po,C988)&gt;1,"Ligne en double (même jour, équipe et poste)",IF(OR(NOT(ISNUMBER(K988)),N(K988)&lt;=0,N(K988)&gt;1440),"Temps d'ouverture invalide",IF(OR(AND(G988&lt;&gt;"",NOT(ISNUMBER(G988))),N(G988)&lt;0,N(G988)&lt;&gt;INT(N(G988)),AND(H988&lt;&gt;"",NOT(ISNUMBER(H988))),N(H988)&lt;0,N(H988)&lt;&gt;INT(N(H988)),AND(I988&lt;&gt;"",NOT(ISNUMBER(I988))),N(I988)&lt;0,N(I988)&lt;&gt;INT(N(I988))),"Quantité invalide",IF(Q988&lt;=0,"Cadence manquante (poste ou article)",IF(M988&lt;=0,"Arrêts planifiés supérieurs au temps d'ouverture",IF(O988&lt;0,"Arrêts supérieurs au temps requis",IF(AND(P988&gt;0,O988=0),"Pièces déclarées sans temps de marche",IF(AND(P988=0,O988&gt;0),"Aucune pièce déclarée",IF(P988*60/Q988&gt;O988+0.001,"Cadence dépassée : vérifiez la cadence","OK"))))))))))))))))))</f>
        <v/>
      </c>
      <c r="AC988">
        <f>IF(OR(AB988="OK",AB988="Aucune pièce déclarée",AB988="Cadence dépassée : vérifiez la cadence"),1,0)</f>
        <v>0.0</v>
      </c>
      <c r="AD988">
        <f>IF(AND(AC988=1,A988&gt;=p_from,A988&lt;=p_to),1,0)</f>
        <v>0.0</v>
      </c>
      <c r="AE988">
        <f>IF(AD988=1,IF(COUNTIFS($A$6:A988,A988,$AD$6:AD988,1)=1,1,0),0)</f>
        <v>0.0</v>
      </c>
      <c r="AF988" t="str">
        <f>IF(AE988=1,COUNTIFS(sj_first,1,sj_date,"&lt;"&amp;A988)+1,"")</f>
        <v/>
      </c>
      <c r="AG988" t="str">
        <f>IF(AND(AD988=1,N(W988)&lt;p_alert),ROUND(W988,4),"")</f>
        <v/>
      </c>
      <c r="AH988" t="str">
        <f>IF(AG988="","",COUNTIF(sj_akey,"&lt;"&amp;AG988)+COUNTIF($AG$6:AG988,AG988))</f>
        <v/>
      </c>
    </row>
    <row r="989">
      <c r="A989" s="51" t="n"/>
      <c r="B989" s="52" t="n"/>
      <c r="C989" s="52" t="n"/>
      <c r="D989" s="53" t="n"/>
      <c r="E989" s="53" t="n"/>
      <c r="F989" s="54" t="n"/>
      <c r="G989" s="54" t="n"/>
      <c r="H989" s="54" t="n"/>
      <c r="I989" s="54" t="n"/>
      <c r="J989" s="53" t="n"/>
      <c r="K989" s="55" t="str">
        <f>IF(COUNTA(A989:I989)=0,"",IF(F989="",IFERROR(INDEX(eq_dur,MATCH(B989,eq_code,0)),""),F989))</f>
        <v/>
      </c>
      <c r="L989" s="55" t="str">
        <f>IF(ISNUMBER(K989),N(IFERROR(INDEX(eq_pause,MATCH(B989,eq_code,0)),0))+SUMIFS(st_min,st_date,A989,st_eq,B989,st_po,C989,st_type,"Planifié"),"")</f>
        <v/>
      </c>
      <c r="M989" s="55" t="str">
        <f>IF(ISNUMBER(K989),K989-L989,"")</f>
        <v/>
      </c>
      <c r="N989" s="55" t="str">
        <f>IF(ISNUMBER(K989),SUMIFS(st_min,st_date,A989,st_eq,B989,st_po,C989,st_type,"Non planifié"),"")</f>
        <v/>
      </c>
      <c r="O989" s="55" t="str">
        <f>IF(ISNUMBER(K989),M989-N989,"")</f>
        <v/>
      </c>
      <c r="P989" s="55" t="str">
        <f>IF(COUNTA(A989:I989)=0,"",N(G989)+N(H989)+N(I989))</f>
        <v/>
      </c>
      <c r="Q989" s="56" t="str">
        <f>IF(COUNTA(A989:I989)=0,"",IF(N(IFERROR(INDEX(art_rate,MATCH(E989,art_ref,0)),0))&gt;0,N(IFERROR(INDEX(art_rate,MATCH(E989,art_ref,0)),0)),N(IFERROR(INDEX(po_rate,MATCH(C989,po_code,0)),0))))</f>
        <v/>
      </c>
      <c r="R989" s="55" t="str">
        <f>IF(AC989=1,P989*60/Q989,"")</f>
        <v/>
      </c>
      <c r="S989" s="55" t="str">
        <f>IF(AC989=1,N(G989)*60/Q989,"")</f>
        <v/>
      </c>
      <c r="T989" s="57" t="str">
        <f>IF(AC989=1,O989/M989,"")</f>
        <v/>
      </c>
      <c r="U989" s="57" t="str">
        <f>IF(AC989=1,IF(O989&gt;0,R989/O989,""),"")</f>
        <v/>
      </c>
      <c r="V989" s="57" t="str">
        <f>IF(AC989=1,IF(P989&gt;0,N(G989)/P989,""),"")</f>
        <v/>
      </c>
      <c r="W989" s="57" t="str">
        <f>IF(AC989=1,S989/M989,"")</f>
        <v/>
      </c>
      <c r="X989" s="57" t="str">
        <f>IF(AC989=1,S989/K989,"")</f>
        <v/>
      </c>
      <c r="Y989" s="58" t="str">
        <f>IF(W989="","",IF(W989&gt;=p_target,"Bon",IF(W989&gt;=p_alert,"À surveiller","Faible")))</f>
        <v/>
      </c>
      <c r="Z989" s="58" t="str">
        <f>IF(W989="","",IF(MIN(IF(T989="",1,T989),IF(U989="",1,U989),IF(V989="",1,V989))&gt;=1,"Aucune",IF(IF(T989="",1,T989)&lt;=MIN(IF(U989="",1,U989),IF(V989="",1,V989)),"Disponibilité",IF(IF(U989="",1,U989)&lt;=IF(V989="",1,V989),"Performance","Qualité"))))</f>
        <v/>
      </c>
      <c r="AA989" s="59" t="str">
        <f>IF(AC989=1,N(H989)*N(IFERROR(INDEX(art_cost,MATCH(E989,art_ref,0)),0)),"")</f>
        <v/>
      </c>
      <c r="AB989" s="58" t="str">
        <f>IF(COUNTA(A989:I989)=0,"",IF(N(A989)&lt;=0,"Date manquante ou invalide",IF(B989="","Équipe manquante",IF(ISNA(MATCH(B989,eq_code,0)),"Équipe inconnue",IF(INDEX(eq_check,MATCH(B989,eq_code,0))&lt;&gt;"OK","Équipe à corriger dans Paramètres",IF(C989="","Poste manquant",IF(ISNA(MATCH(C989,po_code,0)),"Poste inconnu",IF(AND(E989&lt;&gt;"",ISNA(MATCH(E989,art_ref,0))),"Article inconnu",IF(IF(E989="",FALSE,INDEX(art_check,MATCH(E989,art_ref,0))&lt;&gt;"OK"),"Article à corriger (feuille Articles)",IF(COUNTIFS(sj_date,A989,sj_eq,B989,sj_po,C989)&gt;1,"Ligne en double (même jour, équipe et poste)",IF(OR(NOT(ISNUMBER(K989)),N(K989)&lt;=0,N(K989)&gt;1440),"Temps d'ouverture invalide",IF(OR(AND(G989&lt;&gt;"",NOT(ISNUMBER(G989))),N(G989)&lt;0,N(G989)&lt;&gt;INT(N(G989)),AND(H989&lt;&gt;"",NOT(ISNUMBER(H989))),N(H989)&lt;0,N(H989)&lt;&gt;INT(N(H989)),AND(I989&lt;&gt;"",NOT(ISNUMBER(I989))),N(I989)&lt;0,N(I989)&lt;&gt;INT(N(I989))),"Quantité invalide",IF(Q989&lt;=0,"Cadence manquante (poste ou article)",IF(M989&lt;=0,"Arrêts planifiés supérieurs au temps d'ouverture",IF(O989&lt;0,"Arrêts supérieurs au temps requis",IF(AND(P989&gt;0,O989=0),"Pièces déclarées sans temps de marche",IF(AND(P989=0,O989&gt;0),"Aucune pièce déclarée",IF(P989*60/Q989&gt;O989+0.001,"Cadence dépassée : vérifiez la cadence","OK"))))))))))))))))))</f>
        <v/>
      </c>
      <c r="AC989">
        <f>IF(OR(AB989="OK",AB989="Aucune pièce déclarée",AB989="Cadence dépassée : vérifiez la cadence"),1,0)</f>
        <v>0.0</v>
      </c>
      <c r="AD989">
        <f>IF(AND(AC989=1,A989&gt;=p_from,A989&lt;=p_to),1,0)</f>
        <v>0.0</v>
      </c>
      <c r="AE989">
        <f>IF(AD989=1,IF(COUNTIFS($A$6:A989,A989,$AD$6:AD989,1)=1,1,0),0)</f>
        <v>0.0</v>
      </c>
      <c r="AF989" t="str">
        <f>IF(AE989=1,COUNTIFS(sj_first,1,sj_date,"&lt;"&amp;A989)+1,"")</f>
        <v/>
      </c>
      <c r="AG989" t="str">
        <f>IF(AND(AD989=1,N(W989)&lt;p_alert),ROUND(W989,4),"")</f>
        <v/>
      </c>
      <c r="AH989" t="str">
        <f>IF(AG989="","",COUNTIF(sj_akey,"&lt;"&amp;AG989)+COUNTIF($AG$6:AG989,AG989))</f>
        <v/>
      </c>
    </row>
    <row r="990">
      <c r="A990" s="51" t="n"/>
      <c r="B990" s="52" t="n"/>
      <c r="C990" s="52" t="n"/>
      <c r="D990" s="53" t="n"/>
      <c r="E990" s="53" t="n"/>
      <c r="F990" s="54" t="n"/>
      <c r="G990" s="54" t="n"/>
      <c r="H990" s="54" t="n"/>
      <c r="I990" s="54" t="n"/>
      <c r="J990" s="53" t="n"/>
      <c r="K990" s="55" t="str">
        <f>IF(COUNTA(A990:I990)=0,"",IF(F990="",IFERROR(INDEX(eq_dur,MATCH(B990,eq_code,0)),""),F990))</f>
        <v/>
      </c>
      <c r="L990" s="55" t="str">
        <f>IF(ISNUMBER(K990),N(IFERROR(INDEX(eq_pause,MATCH(B990,eq_code,0)),0))+SUMIFS(st_min,st_date,A990,st_eq,B990,st_po,C990,st_type,"Planifié"),"")</f>
        <v/>
      </c>
      <c r="M990" s="55" t="str">
        <f>IF(ISNUMBER(K990),K990-L990,"")</f>
        <v/>
      </c>
      <c r="N990" s="55" t="str">
        <f>IF(ISNUMBER(K990),SUMIFS(st_min,st_date,A990,st_eq,B990,st_po,C990,st_type,"Non planifié"),"")</f>
        <v/>
      </c>
      <c r="O990" s="55" t="str">
        <f>IF(ISNUMBER(K990),M990-N990,"")</f>
        <v/>
      </c>
      <c r="P990" s="55" t="str">
        <f>IF(COUNTA(A990:I990)=0,"",N(G990)+N(H990)+N(I990))</f>
        <v/>
      </c>
      <c r="Q990" s="56" t="str">
        <f>IF(COUNTA(A990:I990)=0,"",IF(N(IFERROR(INDEX(art_rate,MATCH(E990,art_ref,0)),0))&gt;0,N(IFERROR(INDEX(art_rate,MATCH(E990,art_ref,0)),0)),N(IFERROR(INDEX(po_rate,MATCH(C990,po_code,0)),0))))</f>
        <v/>
      </c>
      <c r="R990" s="55" t="str">
        <f>IF(AC990=1,P990*60/Q990,"")</f>
        <v/>
      </c>
      <c r="S990" s="55" t="str">
        <f>IF(AC990=1,N(G990)*60/Q990,"")</f>
        <v/>
      </c>
      <c r="T990" s="57" t="str">
        <f>IF(AC990=1,O990/M990,"")</f>
        <v/>
      </c>
      <c r="U990" s="57" t="str">
        <f>IF(AC990=1,IF(O990&gt;0,R990/O990,""),"")</f>
        <v/>
      </c>
      <c r="V990" s="57" t="str">
        <f>IF(AC990=1,IF(P990&gt;0,N(G990)/P990,""),"")</f>
        <v/>
      </c>
      <c r="W990" s="57" t="str">
        <f>IF(AC990=1,S990/M990,"")</f>
        <v/>
      </c>
      <c r="X990" s="57" t="str">
        <f>IF(AC990=1,S990/K990,"")</f>
        <v/>
      </c>
      <c r="Y990" s="58" t="str">
        <f>IF(W990="","",IF(W990&gt;=p_target,"Bon",IF(W990&gt;=p_alert,"À surveiller","Faible")))</f>
        <v/>
      </c>
      <c r="Z990" s="58" t="str">
        <f>IF(W990="","",IF(MIN(IF(T990="",1,T990),IF(U990="",1,U990),IF(V990="",1,V990))&gt;=1,"Aucune",IF(IF(T990="",1,T990)&lt;=MIN(IF(U990="",1,U990),IF(V990="",1,V990)),"Disponibilité",IF(IF(U990="",1,U990)&lt;=IF(V990="",1,V990),"Performance","Qualité"))))</f>
        <v/>
      </c>
      <c r="AA990" s="59" t="str">
        <f>IF(AC990=1,N(H990)*N(IFERROR(INDEX(art_cost,MATCH(E990,art_ref,0)),0)),"")</f>
        <v/>
      </c>
      <c r="AB990" s="58" t="str">
        <f>IF(COUNTA(A990:I990)=0,"",IF(N(A990)&lt;=0,"Date manquante ou invalide",IF(B990="","Équipe manquante",IF(ISNA(MATCH(B990,eq_code,0)),"Équipe inconnue",IF(INDEX(eq_check,MATCH(B990,eq_code,0))&lt;&gt;"OK","Équipe à corriger dans Paramètres",IF(C990="","Poste manquant",IF(ISNA(MATCH(C990,po_code,0)),"Poste inconnu",IF(AND(E990&lt;&gt;"",ISNA(MATCH(E990,art_ref,0))),"Article inconnu",IF(IF(E990="",FALSE,INDEX(art_check,MATCH(E990,art_ref,0))&lt;&gt;"OK"),"Article à corriger (feuille Articles)",IF(COUNTIFS(sj_date,A990,sj_eq,B990,sj_po,C990)&gt;1,"Ligne en double (même jour, équipe et poste)",IF(OR(NOT(ISNUMBER(K990)),N(K990)&lt;=0,N(K990)&gt;1440),"Temps d'ouverture invalide",IF(OR(AND(G990&lt;&gt;"",NOT(ISNUMBER(G990))),N(G990)&lt;0,N(G990)&lt;&gt;INT(N(G990)),AND(H990&lt;&gt;"",NOT(ISNUMBER(H990))),N(H990)&lt;0,N(H990)&lt;&gt;INT(N(H990)),AND(I990&lt;&gt;"",NOT(ISNUMBER(I990))),N(I990)&lt;0,N(I990)&lt;&gt;INT(N(I990))),"Quantité invalide",IF(Q990&lt;=0,"Cadence manquante (poste ou article)",IF(M990&lt;=0,"Arrêts planifiés supérieurs au temps d'ouverture",IF(O990&lt;0,"Arrêts supérieurs au temps requis",IF(AND(P990&gt;0,O990=0),"Pièces déclarées sans temps de marche",IF(AND(P990=0,O990&gt;0),"Aucune pièce déclarée",IF(P990*60/Q990&gt;O990+0.001,"Cadence dépassée : vérifiez la cadence","OK"))))))))))))))))))</f>
        <v/>
      </c>
      <c r="AC990">
        <f>IF(OR(AB990="OK",AB990="Aucune pièce déclarée",AB990="Cadence dépassée : vérifiez la cadence"),1,0)</f>
        <v>0.0</v>
      </c>
      <c r="AD990">
        <f>IF(AND(AC990=1,A990&gt;=p_from,A990&lt;=p_to),1,0)</f>
        <v>0.0</v>
      </c>
      <c r="AE990">
        <f>IF(AD990=1,IF(COUNTIFS($A$6:A990,A990,$AD$6:AD990,1)=1,1,0),0)</f>
        <v>0.0</v>
      </c>
      <c r="AF990" t="str">
        <f>IF(AE990=1,COUNTIFS(sj_first,1,sj_date,"&lt;"&amp;A990)+1,"")</f>
        <v/>
      </c>
      <c r="AG990" t="str">
        <f>IF(AND(AD990=1,N(W990)&lt;p_alert),ROUND(W990,4),"")</f>
        <v/>
      </c>
      <c r="AH990" t="str">
        <f>IF(AG990="","",COUNTIF(sj_akey,"&lt;"&amp;AG990)+COUNTIF($AG$6:AG990,AG990))</f>
        <v/>
      </c>
    </row>
    <row r="991">
      <c r="A991" s="51" t="n"/>
      <c r="B991" s="52" t="n"/>
      <c r="C991" s="52" t="n"/>
      <c r="D991" s="53" t="n"/>
      <c r="E991" s="53" t="n"/>
      <c r="F991" s="54" t="n"/>
      <c r="G991" s="54" t="n"/>
      <c r="H991" s="54" t="n"/>
      <c r="I991" s="54" t="n"/>
      <c r="J991" s="53" t="n"/>
      <c r="K991" s="55" t="str">
        <f>IF(COUNTA(A991:I991)=0,"",IF(F991="",IFERROR(INDEX(eq_dur,MATCH(B991,eq_code,0)),""),F991))</f>
        <v/>
      </c>
      <c r="L991" s="55" t="str">
        <f>IF(ISNUMBER(K991),N(IFERROR(INDEX(eq_pause,MATCH(B991,eq_code,0)),0))+SUMIFS(st_min,st_date,A991,st_eq,B991,st_po,C991,st_type,"Planifié"),"")</f>
        <v/>
      </c>
      <c r="M991" s="55" t="str">
        <f>IF(ISNUMBER(K991),K991-L991,"")</f>
        <v/>
      </c>
      <c r="N991" s="55" t="str">
        <f>IF(ISNUMBER(K991),SUMIFS(st_min,st_date,A991,st_eq,B991,st_po,C991,st_type,"Non planifié"),"")</f>
        <v/>
      </c>
      <c r="O991" s="55" t="str">
        <f>IF(ISNUMBER(K991),M991-N991,"")</f>
        <v/>
      </c>
      <c r="P991" s="55" t="str">
        <f>IF(COUNTA(A991:I991)=0,"",N(G991)+N(H991)+N(I991))</f>
        <v/>
      </c>
      <c r="Q991" s="56" t="str">
        <f>IF(COUNTA(A991:I991)=0,"",IF(N(IFERROR(INDEX(art_rate,MATCH(E991,art_ref,0)),0))&gt;0,N(IFERROR(INDEX(art_rate,MATCH(E991,art_ref,0)),0)),N(IFERROR(INDEX(po_rate,MATCH(C991,po_code,0)),0))))</f>
        <v/>
      </c>
      <c r="R991" s="55" t="str">
        <f>IF(AC991=1,P991*60/Q991,"")</f>
        <v/>
      </c>
      <c r="S991" s="55" t="str">
        <f>IF(AC991=1,N(G991)*60/Q991,"")</f>
        <v/>
      </c>
      <c r="T991" s="57" t="str">
        <f>IF(AC991=1,O991/M991,"")</f>
        <v/>
      </c>
      <c r="U991" s="57" t="str">
        <f>IF(AC991=1,IF(O991&gt;0,R991/O991,""),"")</f>
        <v/>
      </c>
      <c r="V991" s="57" t="str">
        <f>IF(AC991=1,IF(P991&gt;0,N(G991)/P991,""),"")</f>
        <v/>
      </c>
      <c r="W991" s="57" t="str">
        <f>IF(AC991=1,S991/M991,"")</f>
        <v/>
      </c>
      <c r="X991" s="57" t="str">
        <f>IF(AC991=1,S991/K991,"")</f>
        <v/>
      </c>
      <c r="Y991" s="58" t="str">
        <f>IF(W991="","",IF(W991&gt;=p_target,"Bon",IF(W991&gt;=p_alert,"À surveiller","Faible")))</f>
        <v/>
      </c>
      <c r="Z991" s="58" t="str">
        <f>IF(W991="","",IF(MIN(IF(T991="",1,T991),IF(U991="",1,U991),IF(V991="",1,V991))&gt;=1,"Aucune",IF(IF(T991="",1,T991)&lt;=MIN(IF(U991="",1,U991),IF(V991="",1,V991)),"Disponibilité",IF(IF(U991="",1,U991)&lt;=IF(V991="",1,V991),"Performance","Qualité"))))</f>
        <v/>
      </c>
      <c r="AA991" s="59" t="str">
        <f>IF(AC991=1,N(H991)*N(IFERROR(INDEX(art_cost,MATCH(E991,art_ref,0)),0)),"")</f>
        <v/>
      </c>
      <c r="AB991" s="58" t="str">
        <f>IF(COUNTA(A991:I991)=0,"",IF(N(A991)&lt;=0,"Date manquante ou invalide",IF(B991="","Équipe manquante",IF(ISNA(MATCH(B991,eq_code,0)),"Équipe inconnue",IF(INDEX(eq_check,MATCH(B991,eq_code,0))&lt;&gt;"OK","Équipe à corriger dans Paramètres",IF(C991="","Poste manquant",IF(ISNA(MATCH(C991,po_code,0)),"Poste inconnu",IF(AND(E991&lt;&gt;"",ISNA(MATCH(E991,art_ref,0))),"Article inconnu",IF(IF(E991="",FALSE,INDEX(art_check,MATCH(E991,art_ref,0))&lt;&gt;"OK"),"Article à corriger (feuille Articles)",IF(COUNTIFS(sj_date,A991,sj_eq,B991,sj_po,C991)&gt;1,"Ligne en double (même jour, équipe et poste)",IF(OR(NOT(ISNUMBER(K991)),N(K991)&lt;=0,N(K991)&gt;1440),"Temps d'ouverture invalide",IF(OR(AND(G991&lt;&gt;"",NOT(ISNUMBER(G991))),N(G991)&lt;0,N(G991)&lt;&gt;INT(N(G991)),AND(H991&lt;&gt;"",NOT(ISNUMBER(H991))),N(H991)&lt;0,N(H991)&lt;&gt;INT(N(H991)),AND(I991&lt;&gt;"",NOT(ISNUMBER(I991))),N(I991)&lt;0,N(I991)&lt;&gt;INT(N(I991))),"Quantité invalide",IF(Q991&lt;=0,"Cadence manquante (poste ou article)",IF(M991&lt;=0,"Arrêts planifiés supérieurs au temps d'ouverture",IF(O991&lt;0,"Arrêts supérieurs au temps requis",IF(AND(P991&gt;0,O991=0),"Pièces déclarées sans temps de marche",IF(AND(P991=0,O991&gt;0),"Aucune pièce déclarée",IF(P991*60/Q991&gt;O991+0.001,"Cadence dépassée : vérifiez la cadence","OK"))))))))))))))))))</f>
        <v/>
      </c>
      <c r="AC991">
        <f>IF(OR(AB991="OK",AB991="Aucune pièce déclarée",AB991="Cadence dépassée : vérifiez la cadence"),1,0)</f>
        <v>0.0</v>
      </c>
      <c r="AD991">
        <f>IF(AND(AC991=1,A991&gt;=p_from,A991&lt;=p_to),1,0)</f>
        <v>0.0</v>
      </c>
      <c r="AE991">
        <f>IF(AD991=1,IF(COUNTIFS($A$6:A991,A991,$AD$6:AD991,1)=1,1,0),0)</f>
        <v>0.0</v>
      </c>
      <c r="AF991" t="str">
        <f>IF(AE991=1,COUNTIFS(sj_first,1,sj_date,"&lt;"&amp;A991)+1,"")</f>
        <v/>
      </c>
      <c r="AG991" t="str">
        <f>IF(AND(AD991=1,N(W991)&lt;p_alert),ROUND(W991,4),"")</f>
        <v/>
      </c>
      <c r="AH991" t="str">
        <f>IF(AG991="","",COUNTIF(sj_akey,"&lt;"&amp;AG991)+COUNTIF($AG$6:AG991,AG991))</f>
        <v/>
      </c>
    </row>
    <row r="992">
      <c r="A992" s="51" t="n"/>
      <c r="B992" s="52" t="n"/>
      <c r="C992" s="52" t="n"/>
      <c r="D992" s="53" t="n"/>
      <c r="E992" s="53" t="n"/>
      <c r="F992" s="54" t="n"/>
      <c r="G992" s="54" t="n"/>
      <c r="H992" s="54" t="n"/>
      <c r="I992" s="54" t="n"/>
      <c r="J992" s="53" t="n"/>
      <c r="K992" s="55" t="str">
        <f>IF(COUNTA(A992:I992)=0,"",IF(F992="",IFERROR(INDEX(eq_dur,MATCH(B992,eq_code,0)),""),F992))</f>
        <v/>
      </c>
      <c r="L992" s="55" t="str">
        <f>IF(ISNUMBER(K992),N(IFERROR(INDEX(eq_pause,MATCH(B992,eq_code,0)),0))+SUMIFS(st_min,st_date,A992,st_eq,B992,st_po,C992,st_type,"Planifié"),"")</f>
        <v/>
      </c>
      <c r="M992" s="55" t="str">
        <f>IF(ISNUMBER(K992),K992-L992,"")</f>
        <v/>
      </c>
      <c r="N992" s="55" t="str">
        <f>IF(ISNUMBER(K992),SUMIFS(st_min,st_date,A992,st_eq,B992,st_po,C992,st_type,"Non planifié"),"")</f>
        <v/>
      </c>
      <c r="O992" s="55" t="str">
        <f>IF(ISNUMBER(K992),M992-N992,"")</f>
        <v/>
      </c>
      <c r="P992" s="55" t="str">
        <f>IF(COUNTA(A992:I992)=0,"",N(G992)+N(H992)+N(I992))</f>
        <v/>
      </c>
      <c r="Q992" s="56" t="str">
        <f>IF(COUNTA(A992:I992)=0,"",IF(N(IFERROR(INDEX(art_rate,MATCH(E992,art_ref,0)),0))&gt;0,N(IFERROR(INDEX(art_rate,MATCH(E992,art_ref,0)),0)),N(IFERROR(INDEX(po_rate,MATCH(C992,po_code,0)),0))))</f>
        <v/>
      </c>
      <c r="R992" s="55" t="str">
        <f>IF(AC992=1,P992*60/Q992,"")</f>
        <v/>
      </c>
      <c r="S992" s="55" t="str">
        <f>IF(AC992=1,N(G992)*60/Q992,"")</f>
        <v/>
      </c>
      <c r="T992" s="57" t="str">
        <f>IF(AC992=1,O992/M992,"")</f>
        <v/>
      </c>
      <c r="U992" s="57" t="str">
        <f>IF(AC992=1,IF(O992&gt;0,R992/O992,""),"")</f>
        <v/>
      </c>
      <c r="V992" s="57" t="str">
        <f>IF(AC992=1,IF(P992&gt;0,N(G992)/P992,""),"")</f>
        <v/>
      </c>
      <c r="W992" s="57" t="str">
        <f>IF(AC992=1,S992/M992,"")</f>
        <v/>
      </c>
      <c r="X992" s="57" t="str">
        <f>IF(AC992=1,S992/K992,"")</f>
        <v/>
      </c>
      <c r="Y992" s="58" t="str">
        <f>IF(W992="","",IF(W992&gt;=p_target,"Bon",IF(W992&gt;=p_alert,"À surveiller","Faible")))</f>
        <v/>
      </c>
      <c r="Z992" s="58" t="str">
        <f>IF(W992="","",IF(MIN(IF(T992="",1,T992),IF(U992="",1,U992),IF(V992="",1,V992))&gt;=1,"Aucune",IF(IF(T992="",1,T992)&lt;=MIN(IF(U992="",1,U992),IF(V992="",1,V992)),"Disponibilité",IF(IF(U992="",1,U992)&lt;=IF(V992="",1,V992),"Performance","Qualité"))))</f>
        <v/>
      </c>
      <c r="AA992" s="59" t="str">
        <f>IF(AC992=1,N(H992)*N(IFERROR(INDEX(art_cost,MATCH(E992,art_ref,0)),0)),"")</f>
        <v/>
      </c>
      <c r="AB992" s="58" t="str">
        <f>IF(COUNTA(A992:I992)=0,"",IF(N(A992)&lt;=0,"Date manquante ou invalide",IF(B992="","Équipe manquante",IF(ISNA(MATCH(B992,eq_code,0)),"Équipe inconnue",IF(INDEX(eq_check,MATCH(B992,eq_code,0))&lt;&gt;"OK","Équipe à corriger dans Paramètres",IF(C992="","Poste manquant",IF(ISNA(MATCH(C992,po_code,0)),"Poste inconnu",IF(AND(E992&lt;&gt;"",ISNA(MATCH(E992,art_ref,0))),"Article inconnu",IF(IF(E992="",FALSE,INDEX(art_check,MATCH(E992,art_ref,0))&lt;&gt;"OK"),"Article à corriger (feuille Articles)",IF(COUNTIFS(sj_date,A992,sj_eq,B992,sj_po,C992)&gt;1,"Ligne en double (même jour, équipe et poste)",IF(OR(NOT(ISNUMBER(K992)),N(K992)&lt;=0,N(K992)&gt;1440),"Temps d'ouverture invalide",IF(OR(AND(G992&lt;&gt;"",NOT(ISNUMBER(G992))),N(G992)&lt;0,N(G992)&lt;&gt;INT(N(G992)),AND(H992&lt;&gt;"",NOT(ISNUMBER(H992))),N(H992)&lt;0,N(H992)&lt;&gt;INT(N(H992)),AND(I992&lt;&gt;"",NOT(ISNUMBER(I992))),N(I992)&lt;0,N(I992)&lt;&gt;INT(N(I992))),"Quantité invalide",IF(Q992&lt;=0,"Cadence manquante (poste ou article)",IF(M992&lt;=0,"Arrêts planifiés supérieurs au temps d'ouverture",IF(O992&lt;0,"Arrêts supérieurs au temps requis",IF(AND(P992&gt;0,O992=0),"Pièces déclarées sans temps de marche",IF(AND(P992=0,O992&gt;0),"Aucune pièce déclarée",IF(P992*60/Q992&gt;O992+0.001,"Cadence dépassée : vérifiez la cadence","OK"))))))))))))))))))</f>
        <v/>
      </c>
      <c r="AC992">
        <f>IF(OR(AB992="OK",AB992="Aucune pièce déclarée",AB992="Cadence dépassée : vérifiez la cadence"),1,0)</f>
        <v>0.0</v>
      </c>
      <c r="AD992">
        <f>IF(AND(AC992=1,A992&gt;=p_from,A992&lt;=p_to),1,0)</f>
        <v>0.0</v>
      </c>
      <c r="AE992">
        <f>IF(AD992=1,IF(COUNTIFS($A$6:A992,A992,$AD$6:AD992,1)=1,1,0),0)</f>
        <v>0.0</v>
      </c>
      <c r="AF992" t="str">
        <f>IF(AE992=1,COUNTIFS(sj_first,1,sj_date,"&lt;"&amp;A992)+1,"")</f>
        <v/>
      </c>
      <c r="AG992" t="str">
        <f>IF(AND(AD992=1,N(W992)&lt;p_alert),ROUND(W992,4),"")</f>
        <v/>
      </c>
      <c r="AH992" t="str">
        <f>IF(AG992="","",COUNTIF(sj_akey,"&lt;"&amp;AG992)+COUNTIF($AG$6:AG992,AG992))</f>
        <v/>
      </c>
    </row>
    <row r="993">
      <c r="A993" s="51" t="n"/>
      <c r="B993" s="52" t="n"/>
      <c r="C993" s="52" t="n"/>
      <c r="D993" s="53" t="n"/>
      <c r="E993" s="53" t="n"/>
      <c r="F993" s="54" t="n"/>
      <c r="G993" s="54" t="n"/>
      <c r="H993" s="54" t="n"/>
      <c r="I993" s="54" t="n"/>
      <c r="J993" s="53" t="n"/>
      <c r="K993" s="55" t="str">
        <f>IF(COUNTA(A993:I993)=0,"",IF(F993="",IFERROR(INDEX(eq_dur,MATCH(B993,eq_code,0)),""),F993))</f>
        <v/>
      </c>
      <c r="L993" s="55" t="str">
        <f>IF(ISNUMBER(K993),N(IFERROR(INDEX(eq_pause,MATCH(B993,eq_code,0)),0))+SUMIFS(st_min,st_date,A993,st_eq,B993,st_po,C993,st_type,"Planifié"),"")</f>
        <v/>
      </c>
      <c r="M993" s="55" t="str">
        <f>IF(ISNUMBER(K993),K993-L993,"")</f>
        <v/>
      </c>
      <c r="N993" s="55" t="str">
        <f>IF(ISNUMBER(K993),SUMIFS(st_min,st_date,A993,st_eq,B993,st_po,C993,st_type,"Non planifié"),"")</f>
        <v/>
      </c>
      <c r="O993" s="55" t="str">
        <f>IF(ISNUMBER(K993),M993-N993,"")</f>
        <v/>
      </c>
      <c r="P993" s="55" t="str">
        <f>IF(COUNTA(A993:I993)=0,"",N(G993)+N(H993)+N(I993))</f>
        <v/>
      </c>
      <c r="Q993" s="56" t="str">
        <f>IF(COUNTA(A993:I993)=0,"",IF(N(IFERROR(INDEX(art_rate,MATCH(E993,art_ref,0)),0))&gt;0,N(IFERROR(INDEX(art_rate,MATCH(E993,art_ref,0)),0)),N(IFERROR(INDEX(po_rate,MATCH(C993,po_code,0)),0))))</f>
        <v/>
      </c>
      <c r="R993" s="55" t="str">
        <f>IF(AC993=1,P993*60/Q993,"")</f>
        <v/>
      </c>
      <c r="S993" s="55" t="str">
        <f>IF(AC993=1,N(G993)*60/Q993,"")</f>
        <v/>
      </c>
      <c r="T993" s="57" t="str">
        <f>IF(AC993=1,O993/M993,"")</f>
        <v/>
      </c>
      <c r="U993" s="57" t="str">
        <f>IF(AC993=1,IF(O993&gt;0,R993/O993,""),"")</f>
        <v/>
      </c>
      <c r="V993" s="57" t="str">
        <f>IF(AC993=1,IF(P993&gt;0,N(G993)/P993,""),"")</f>
        <v/>
      </c>
      <c r="W993" s="57" t="str">
        <f>IF(AC993=1,S993/M993,"")</f>
        <v/>
      </c>
      <c r="X993" s="57" t="str">
        <f>IF(AC993=1,S993/K993,"")</f>
        <v/>
      </c>
      <c r="Y993" s="58" t="str">
        <f>IF(W993="","",IF(W993&gt;=p_target,"Bon",IF(W993&gt;=p_alert,"À surveiller","Faible")))</f>
        <v/>
      </c>
      <c r="Z993" s="58" t="str">
        <f>IF(W993="","",IF(MIN(IF(T993="",1,T993),IF(U993="",1,U993),IF(V993="",1,V993))&gt;=1,"Aucune",IF(IF(T993="",1,T993)&lt;=MIN(IF(U993="",1,U993),IF(V993="",1,V993)),"Disponibilité",IF(IF(U993="",1,U993)&lt;=IF(V993="",1,V993),"Performance","Qualité"))))</f>
        <v/>
      </c>
      <c r="AA993" s="59" t="str">
        <f>IF(AC993=1,N(H993)*N(IFERROR(INDEX(art_cost,MATCH(E993,art_ref,0)),0)),"")</f>
        <v/>
      </c>
      <c r="AB993" s="58" t="str">
        <f>IF(COUNTA(A993:I993)=0,"",IF(N(A993)&lt;=0,"Date manquante ou invalide",IF(B993="","Équipe manquante",IF(ISNA(MATCH(B993,eq_code,0)),"Équipe inconnue",IF(INDEX(eq_check,MATCH(B993,eq_code,0))&lt;&gt;"OK","Équipe à corriger dans Paramètres",IF(C993="","Poste manquant",IF(ISNA(MATCH(C993,po_code,0)),"Poste inconnu",IF(AND(E993&lt;&gt;"",ISNA(MATCH(E993,art_ref,0))),"Article inconnu",IF(IF(E993="",FALSE,INDEX(art_check,MATCH(E993,art_ref,0))&lt;&gt;"OK"),"Article à corriger (feuille Articles)",IF(COUNTIFS(sj_date,A993,sj_eq,B993,sj_po,C993)&gt;1,"Ligne en double (même jour, équipe et poste)",IF(OR(NOT(ISNUMBER(K993)),N(K993)&lt;=0,N(K993)&gt;1440),"Temps d'ouverture invalide",IF(OR(AND(G993&lt;&gt;"",NOT(ISNUMBER(G993))),N(G993)&lt;0,N(G993)&lt;&gt;INT(N(G993)),AND(H993&lt;&gt;"",NOT(ISNUMBER(H993))),N(H993)&lt;0,N(H993)&lt;&gt;INT(N(H993)),AND(I993&lt;&gt;"",NOT(ISNUMBER(I993))),N(I993)&lt;0,N(I993)&lt;&gt;INT(N(I993))),"Quantité invalide",IF(Q993&lt;=0,"Cadence manquante (poste ou article)",IF(M993&lt;=0,"Arrêts planifiés supérieurs au temps d'ouverture",IF(O993&lt;0,"Arrêts supérieurs au temps requis",IF(AND(P993&gt;0,O993=0),"Pièces déclarées sans temps de marche",IF(AND(P993=0,O993&gt;0),"Aucune pièce déclarée",IF(P993*60/Q993&gt;O993+0.001,"Cadence dépassée : vérifiez la cadence","OK"))))))))))))))))))</f>
        <v/>
      </c>
      <c r="AC993">
        <f>IF(OR(AB993="OK",AB993="Aucune pièce déclarée",AB993="Cadence dépassée : vérifiez la cadence"),1,0)</f>
        <v>0.0</v>
      </c>
      <c r="AD993">
        <f>IF(AND(AC993=1,A993&gt;=p_from,A993&lt;=p_to),1,0)</f>
        <v>0.0</v>
      </c>
      <c r="AE993">
        <f>IF(AD993=1,IF(COUNTIFS($A$6:A993,A993,$AD$6:AD993,1)=1,1,0),0)</f>
        <v>0.0</v>
      </c>
      <c r="AF993" t="str">
        <f>IF(AE993=1,COUNTIFS(sj_first,1,sj_date,"&lt;"&amp;A993)+1,"")</f>
        <v/>
      </c>
      <c r="AG993" t="str">
        <f>IF(AND(AD993=1,N(W993)&lt;p_alert),ROUND(W993,4),"")</f>
        <v/>
      </c>
      <c r="AH993" t="str">
        <f>IF(AG993="","",COUNTIF(sj_akey,"&lt;"&amp;AG993)+COUNTIF($AG$6:AG993,AG993))</f>
        <v/>
      </c>
    </row>
    <row r="994">
      <c r="A994" s="51" t="n"/>
      <c r="B994" s="52" t="n"/>
      <c r="C994" s="52" t="n"/>
      <c r="D994" s="53" t="n"/>
      <c r="E994" s="53" t="n"/>
      <c r="F994" s="54" t="n"/>
      <c r="G994" s="54" t="n"/>
      <c r="H994" s="54" t="n"/>
      <c r="I994" s="54" t="n"/>
      <c r="J994" s="53" t="n"/>
      <c r="K994" s="55" t="str">
        <f>IF(COUNTA(A994:I994)=0,"",IF(F994="",IFERROR(INDEX(eq_dur,MATCH(B994,eq_code,0)),""),F994))</f>
        <v/>
      </c>
      <c r="L994" s="55" t="str">
        <f>IF(ISNUMBER(K994),N(IFERROR(INDEX(eq_pause,MATCH(B994,eq_code,0)),0))+SUMIFS(st_min,st_date,A994,st_eq,B994,st_po,C994,st_type,"Planifié"),"")</f>
        <v/>
      </c>
      <c r="M994" s="55" t="str">
        <f>IF(ISNUMBER(K994),K994-L994,"")</f>
        <v/>
      </c>
      <c r="N994" s="55" t="str">
        <f>IF(ISNUMBER(K994),SUMIFS(st_min,st_date,A994,st_eq,B994,st_po,C994,st_type,"Non planifié"),"")</f>
        <v/>
      </c>
      <c r="O994" s="55" t="str">
        <f>IF(ISNUMBER(K994),M994-N994,"")</f>
        <v/>
      </c>
      <c r="P994" s="55" t="str">
        <f>IF(COUNTA(A994:I994)=0,"",N(G994)+N(H994)+N(I994))</f>
        <v/>
      </c>
      <c r="Q994" s="56" t="str">
        <f>IF(COUNTA(A994:I994)=0,"",IF(N(IFERROR(INDEX(art_rate,MATCH(E994,art_ref,0)),0))&gt;0,N(IFERROR(INDEX(art_rate,MATCH(E994,art_ref,0)),0)),N(IFERROR(INDEX(po_rate,MATCH(C994,po_code,0)),0))))</f>
        <v/>
      </c>
      <c r="R994" s="55" t="str">
        <f>IF(AC994=1,P994*60/Q994,"")</f>
        <v/>
      </c>
      <c r="S994" s="55" t="str">
        <f>IF(AC994=1,N(G994)*60/Q994,"")</f>
        <v/>
      </c>
      <c r="T994" s="57" t="str">
        <f>IF(AC994=1,O994/M994,"")</f>
        <v/>
      </c>
      <c r="U994" s="57" t="str">
        <f>IF(AC994=1,IF(O994&gt;0,R994/O994,""),"")</f>
        <v/>
      </c>
      <c r="V994" s="57" t="str">
        <f>IF(AC994=1,IF(P994&gt;0,N(G994)/P994,""),"")</f>
        <v/>
      </c>
      <c r="W994" s="57" t="str">
        <f>IF(AC994=1,S994/M994,"")</f>
        <v/>
      </c>
      <c r="X994" s="57" t="str">
        <f>IF(AC994=1,S994/K994,"")</f>
        <v/>
      </c>
      <c r="Y994" s="58" t="str">
        <f>IF(W994="","",IF(W994&gt;=p_target,"Bon",IF(W994&gt;=p_alert,"À surveiller","Faible")))</f>
        <v/>
      </c>
      <c r="Z994" s="58" t="str">
        <f>IF(W994="","",IF(MIN(IF(T994="",1,T994),IF(U994="",1,U994),IF(V994="",1,V994))&gt;=1,"Aucune",IF(IF(T994="",1,T994)&lt;=MIN(IF(U994="",1,U994),IF(V994="",1,V994)),"Disponibilité",IF(IF(U994="",1,U994)&lt;=IF(V994="",1,V994),"Performance","Qualité"))))</f>
        <v/>
      </c>
      <c r="AA994" s="59" t="str">
        <f>IF(AC994=1,N(H994)*N(IFERROR(INDEX(art_cost,MATCH(E994,art_ref,0)),0)),"")</f>
        <v/>
      </c>
      <c r="AB994" s="58" t="str">
        <f>IF(COUNTA(A994:I994)=0,"",IF(N(A994)&lt;=0,"Date manquante ou invalide",IF(B994="","Équipe manquante",IF(ISNA(MATCH(B994,eq_code,0)),"Équipe inconnue",IF(INDEX(eq_check,MATCH(B994,eq_code,0))&lt;&gt;"OK","Équipe à corriger dans Paramètres",IF(C994="","Poste manquant",IF(ISNA(MATCH(C994,po_code,0)),"Poste inconnu",IF(AND(E994&lt;&gt;"",ISNA(MATCH(E994,art_ref,0))),"Article inconnu",IF(IF(E994="",FALSE,INDEX(art_check,MATCH(E994,art_ref,0))&lt;&gt;"OK"),"Article à corriger (feuille Articles)",IF(COUNTIFS(sj_date,A994,sj_eq,B994,sj_po,C994)&gt;1,"Ligne en double (même jour, équipe et poste)",IF(OR(NOT(ISNUMBER(K994)),N(K994)&lt;=0,N(K994)&gt;1440),"Temps d'ouverture invalide",IF(OR(AND(G994&lt;&gt;"",NOT(ISNUMBER(G994))),N(G994)&lt;0,N(G994)&lt;&gt;INT(N(G994)),AND(H994&lt;&gt;"",NOT(ISNUMBER(H994))),N(H994)&lt;0,N(H994)&lt;&gt;INT(N(H994)),AND(I994&lt;&gt;"",NOT(ISNUMBER(I994))),N(I994)&lt;0,N(I994)&lt;&gt;INT(N(I994))),"Quantité invalide",IF(Q994&lt;=0,"Cadence manquante (poste ou article)",IF(M994&lt;=0,"Arrêts planifiés supérieurs au temps d'ouverture",IF(O994&lt;0,"Arrêts supérieurs au temps requis",IF(AND(P994&gt;0,O994=0),"Pièces déclarées sans temps de marche",IF(AND(P994=0,O994&gt;0),"Aucune pièce déclarée",IF(P994*60/Q994&gt;O994+0.001,"Cadence dépassée : vérifiez la cadence","OK"))))))))))))))))))</f>
        <v/>
      </c>
      <c r="AC994">
        <f>IF(OR(AB994="OK",AB994="Aucune pièce déclarée",AB994="Cadence dépassée : vérifiez la cadence"),1,0)</f>
        <v>0.0</v>
      </c>
      <c r="AD994">
        <f>IF(AND(AC994=1,A994&gt;=p_from,A994&lt;=p_to),1,0)</f>
        <v>0.0</v>
      </c>
      <c r="AE994">
        <f>IF(AD994=1,IF(COUNTIFS($A$6:A994,A994,$AD$6:AD994,1)=1,1,0),0)</f>
        <v>0.0</v>
      </c>
      <c r="AF994" t="str">
        <f>IF(AE994=1,COUNTIFS(sj_first,1,sj_date,"&lt;"&amp;A994)+1,"")</f>
        <v/>
      </c>
      <c r="AG994" t="str">
        <f>IF(AND(AD994=1,N(W994)&lt;p_alert),ROUND(W994,4),"")</f>
        <v/>
      </c>
      <c r="AH994" t="str">
        <f>IF(AG994="","",COUNTIF(sj_akey,"&lt;"&amp;AG994)+COUNTIF($AG$6:AG994,AG994))</f>
        <v/>
      </c>
    </row>
    <row r="995">
      <c r="A995" s="51" t="n"/>
      <c r="B995" s="52" t="n"/>
      <c r="C995" s="52" t="n"/>
      <c r="D995" s="53" t="n"/>
      <c r="E995" s="53" t="n"/>
      <c r="F995" s="54" t="n"/>
      <c r="G995" s="54" t="n"/>
      <c r="H995" s="54" t="n"/>
      <c r="I995" s="54" t="n"/>
      <c r="J995" s="53" t="n"/>
      <c r="K995" s="55" t="str">
        <f>IF(COUNTA(A995:I995)=0,"",IF(F995="",IFERROR(INDEX(eq_dur,MATCH(B995,eq_code,0)),""),F995))</f>
        <v/>
      </c>
      <c r="L995" s="55" t="str">
        <f>IF(ISNUMBER(K995),N(IFERROR(INDEX(eq_pause,MATCH(B995,eq_code,0)),0))+SUMIFS(st_min,st_date,A995,st_eq,B995,st_po,C995,st_type,"Planifié"),"")</f>
        <v/>
      </c>
      <c r="M995" s="55" t="str">
        <f>IF(ISNUMBER(K995),K995-L995,"")</f>
        <v/>
      </c>
      <c r="N995" s="55" t="str">
        <f>IF(ISNUMBER(K995),SUMIFS(st_min,st_date,A995,st_eq,B995,st_po,C995,st_type,"Non planifié"),"")</f>
        <v/>
      </c>
      <c r="O995" s="55" t="str">
        <f>IF(ISNUMBER(K995),M995-N995,"")</f>
        <v/>
      </c>
      <c r="P995" s="55" t="str">
        <f>IF(COUNTA(A995:I995)=0,"",N(G995)+N(H995)+N(I995))</f>
        <v/>
      </c>
      <c r="Q995" s="56" t="str">
        <f>IF(COUNTA(A995:I995)=0,"",IF(N(IFERROR(INDEX(art_rate,MATCH(E995,art_ref,0)),0))&gt;0,N(IFERROR(INDEX(art_rate,MATCH(E995,art_ref,0)),0)),N(IFERROR(INDEX(po_rate,MATCH(C995,po_code,0)),0))))</f>
        <v/>
      </c>
      <c r="R995" s="55" t="str">
        <f>IF(AC995=1,P995*60/Q995,"")</f>
        <v/>
      </c>
      <c r="S995" s="55" t="str">
        <f>IF(AC995=1,N(G995)*60/Q995,"")</f>
        <v/>
      </c>
      <c r="T995" s="57" t="str">
        <f>IF(AC995=1,O995/M995,"")</f>
        <v/>
      </c>
      <c r="U995" s="57" t="str">
        <f>IF(AC995=1,IF(O995&gt;0,R995/O995,""),"")</f>
        <v/>
      </c>
      <c r="V995" s="57" t="str">
        <f>IF(AC995=1,IF(P995&gt;0,N(G995)/P995,""),"")</f>
        <v/>
      </c>
      <c r="W995" s="57" t="str">
        <f>IF(AC995=1,S995/M995,"")</f>
        <v/>
      </c>
      <c r="X995" s="57" t="str">
        <f>IF(AC995=1,S995/K995,"")</f>
        <v/>
      </c>
      <c r="Y995" s="58" t="str">
        <f>IF(W995="","",IF(W995&gt;=p_target,"Bon",IF(W995&gt;=p_alert,"À surveiller","Faible")))</f>
        <v/>
      </c>
      <c r="Z995" s="58" t="str">
        <f>IF(W995="","",IF(MIN(IF(T995="",1,T995),IF(U995="",1,U995),IF(V995="",1,V995))&gt;=1,"Aucune",IF(IF(T995="",1,T995)&lt;=MIN(IF(U995="",1,U995),IF(V995="",1,V995)),"Disponibilité",IF(IF(U995="",1,U995)&lt;=IF(V995="",1,V995),"Performance","Qualité"))))</f>
        <v/>
      </c>
      <c r="AA995" s="59" t="str">
        <f>IF(AC995=1,N(H995)*N(IFERROR(INDEX(art_cost,MATCH(E995,art_ref,0)),0)),"")</f>
        <v/>
      </c>
      <c r="AB995" s="58" t="str">
        <f>IF(COUNTA(A995:I995)=0,"",IF(N(A995)&lt;=0,"Date manquante ou invalide",IF(B995="","Équipe manquante",IF(ISNA(MATCH(B995,eq_code,0)),"Équipe inconnue",IF(INDEX(eq_check,MATCH(B995,eq_code,0))&lt;&gt;"OK","Équipe à corriger dans Paramètres",IF(C995="","Poste manquant",IF(ISNA(MATCH(C995,po_code,0)),"Poste inconnu",IF(AND(E995&lt;&gt;"",ISNA(MATCH(E995,art_ref,0))),"Article inconnu",IF(IF(E995="",FALSE,INDEX(art_check,MATCH(E995,art_ref,0))&lt;&gt;"OK"),"Article à corriger (feuille Articles)",IF(COUNTIFS(sj_date,A995,sj_eq,B995,sj_po,C995)&gt;1,"Ligne en double (même jour, équipe et poste)",IF(OR(NOT(ISNUMBER(K995)),N(K995)&lt;=0,N(K995)&gt;1440),"Temps d'ouverture invalide",IF(OR(AND(G995&lt;&gt;"",NOT(ISNUMBER(G995))),N(G995)&lt;0,N(G995)&lt;&gt;INT(N(G995)),AND(H995&lt;&gt;"",NOT(ISNUMBER(H995))),N(H995)&lt;0,N(H995)&lt;&gt;INT(N(H995)),AND(I995&lt;&gt;"",NOT(ISNUMBER(I995))),N(I995)&lt;0,N(I995)&lt;&gt;INT(N(I995))),"Quantité invalide",IF(Q995&lt;=0,"Cadence manquante (poste ou article)",IF(M995&lt;=0,"Arrêts planifiés supérieurs au temps d'ouverture",IF(O995&lt;0,"Arrêts supérieurs au temps requis",IF(AND(P995&gt;0,O995=0),"Pièces déclarées sans temps de marche",IF(AND(P995=0,O995&gt;0),"Aucune pièce déclarée",IF(P995*60/Q995&gt;O995+0.001,"Cadence dépassée : vérifiez la cadence","OK"))))))))))))))))))</f>
        <v/>
      </c>
      <c r="AC995">
        <f>IF(OR(AB995="OK",AB995="Aucune pièce déclarée",AB995="Cadence dépassée : vérifiez la cadence"),1,0)</f>
        <v>0.0</v>
      </c>
      <c r="AD995">
        <f>IF(AND(AC995=1,A995&gt;=p_from,A995&lt;=p_to),1,0)</f>
        <v>0.0</v>
      </c>
      <c r="AE995">
        <f>IF(AD995=1,IF(COUNTIFS($A$6:A995,A995,$AD$6:AD995,1)=1,1,0),0)</f>
        <v>0.0</v>
      </c>
      <c r="AF995" t="str">
        <f>IF(AE995=1,COUNTIFS(sj_first,1,sj_date,"&lt;"&amp;A995)+1,"")</f>
        <v/>
      </c>
      <c r="AG995" t="str">
        <f>IF(AND(AD995=1,N(W995)&lt;p_alert),ROUND(W995,4),"")</f>
        <v/>
      </c>
      <c r="AH995" t="str">
        <f>IF(AG995="","",COUNTIF(sj_akey,"&lt;"&amp;AG995)+COUNTIF($AG$6:AG995,AG995))</f>
        <v/>
      </c>
    </row>
    <row r="996">
      <c r="A996" s="51" t="n"/>
      <c r="B996" s="52" t="n"/>
      <c r="C996" s="52" t="n"/>
      <c r="D996" s="53" t="n"/>
      <c r="E996" s="53" t="n"/>
      <c r="F996" s="54" t="n"/>
      <c r="G996" s="54" t="n"/>
      <c r="H996" s="54" t="n"/>
      <c r="I996" s="54" t="n"/>
      <c r="J996" s="53" t="n"/>
      <c r="K996" s="55" t="str">
        <f>IF(COUNTA(A996:I996)=0,"",IF(F996="",IFERROR(INDEX(eq_dur,MATCH(B996,eq_code,0)),""),F996))</f>
        <v/>
      </c>
      <c r="L996" s="55" t="str">
        <f>IF(ISNUMBER(K996),N(IFERROR(INDEX(eq_pause,MATCH(B996,eq_code,0)),0))+SUMIFS(st_min,st_date,A996,st_eq,B996,st_po,C996,st_type,"Planifié"),"")</f>
        <v/>
      </c>
      <c r="M996" s="55" t="str">
        <f>IF(ISNUMBER(K996),K996-L996,"")</f>
        <v/>
      </c>
      <c r="N996" s="55" t="str">
        <f>IF(ISNUMBER(K996),SUMIFS(st_min,st_date,A996,st_eq,B996,st_po,C996,st_type,"Non planifié"),"")</f>
        <v/>
      </c>
      <c r="O996" s="55" t="str">
        <f>IF(ISNUMBER(K996),M996-N996,"")</f>
        <v/>
      </c>
      <c r="P996" s="55" t="str">
        <f>IF(COUNTA(A996:I996)=0,"",N(G996)+N(H996)+N(I996))</f>
        <v/>
      </c>
      <c r="Q996" s="56" t="str">
        <f>IF(COUNTA(A996:I996)=0,"",IF(N(IFERROR(INDEX(art_rate,MATCH(E996,art_ref,0)),0))&gt;0,N(IFERROR(INDEX(art_rate,MATCH(E996,art_ref,0)),0)),N(IFERROR(INDEX(po_rate,MATCH(C996,po_code,0)),0))))</f>
        <v/>
      </c>
      <c r="R996" s="55" t="str">
        <f>IF(AC996=1,P996*60/Q996,"")</f>
        <v/>
      </c>
      <c r="S996" s="55" t="str">
        <f>IF(AC996=1,N(G996)*60/Q996,"")</f>
        <v/>
      </c>
      <c r="T996" s="57" t="str">
        <f>IF(AC996=1,O996/M996,"")</f>
        <v/>
      </c>
      <c r="U996" s="57" t="str">
        <f>IF(AC996=1,IF(O996&gt;0,R996/O996,""),"")</f>
        <v/>
      </c>
      <c r="V996" s="57" t="str">
        <f>IF(AC996=1,IF(P996&gt;0,N(G996)/P996,""),"")</f>
        <v/>
      </c>
      <c r="W996" s="57" t="str">
        <f>IF(AC996=1,S996/M996,"")</f>
        <v/>
      </c>
      <c r="X996" s="57" t="str">
        <f>IF(AC996=1,S996/K996,"")</f>
        <v/>
      </c>
      <c r="Y996" s="58" t="str">
        <f>IF(W996="","",IF(W996&gt;=p_target,"Bon",IF(W996&gt;=p_alert,"À surveiller","Faible")))</f>
        <v/>
      </c>
      <c r="Z996" s="58" t="str">
        <f>IF(W996="","",IF(MIN(IF(T996="",1,T996),IF(U996="",1,U996),IF(V996="",1,V996))&gt;=1,"Aucune",IF(IF(T996="",1,T996)&lt;=MIN(IF(U996="",1,U996),IF(V996="",1,V996)),"Disponibilité",IF(IF(U996="",1,U996)&lt;=IF(V996="",1,V996),"Performance","Qualité"))))</f>
        <v/>
      </c>
      <c r="AA996" s="59" t="str">
        <f>IF(AC996=1,N(H996)*N(IFERROR(INDEX(art_cost,MATCH(E996,art_ref,0)),0)),"")</f>
        <v/>
      </c>
      <c r="AB996" s="58" t="str">
        <f>IF(COUNTA(A996:I996)=0,"",IF(N(A996)&lt;=0,"Date manquante ou invalide",IF(B996="","Équipe manquante",IF(ISNA(MATCH(B996,eq_code,0)),"Équipe inconnue",IF(INDEX(eq_check,MATCH(B996,eq_code,0))&lt;&gt;"OK","Équipe à corriger dans Paramètres",IF(C996="","Poste manquant",IF(ISNA(MATCH(C996,po_code,0)),"Poste inconnu",IF(AND(E996&lt;&gt;"",ISNA(MATCH(E996,art_ref,0))),"Article inconnu",IF(IF(E996="",FALSE,INDEX(art_check,MATCH(E996,art_ref,0))&lt;&gt;"OK"),"Article à corriger (feuille Articles)",IF(COUNTIFS(sj_date,A996,sj_eq,B996,sj_po,C996)&gt;1,"Ligne en double (même jour, équipe et poste)",IF(OR(NOT(ISNUMBER(K996)),N(K996)&lt;=0,N(K996)&gt;1440),"Temps d'ouverture invalide",IF(OR(AND(G996&lt;&gt;"",NOT(ISNUMBER(G996))),N(G996)&lt;0,N(G996)&lt;&gt;INT(N(G996)),AND(H996&lt;&gt;"",NOT(ISNUMBER(H996))),N(H996)&lt;0,N(H996)&lt;&gt;INT(N(H996)),AND(I996&lt;&gt;"",NOT(ISNUMBER(I996))),N(I996)&lt;0,N(I996)&lt;&gt;INT(N(I996))),"Quantité invalide",IF(Q996&lt;=0,"Cadence manquante (poste ou article)",IF(M996&lt;=0,"Arrêts planifiés supérieurs au temps d'ouverture",IF(O996&lt;0,"Arrêts supérieurs au temps requis",IF(AND(P996&gt;0,O996=0),"Pièces déclarées sans temps de marche",IF(AND(P996=0,O996&gt;0),"Aucune pièce déclarée",IF(P996*60/Q996&gt;O996+0.001,"Cadence dépassée : vérifiez la cadence","OK"))))))))))))))))))</f>
        <v/>
      </c>
      <c r="AC996">
        <f>IF(OR(AB996="OK",AB996="Aucune pièce déclarée",AB996="Cadence dépassée : vérifiez la cadence"),1,0)</f>
        <v>0.0</v>
      </c>
      <c r="AD996">
        <f>IF(AND(AC996=1,A996&gt;=p_from,A996&lt;=p_to),1,0)</f>
        <v>0.0</v>
      </c>
      <c r="AE996">
        <f>IF(AD996=1,IF(COUNTIFS($A$6:A996,A996,$AD$6:AD996,1)=1,1,0),0)</f>
        <v>0.0</v>
      </c>
      <c r="AF996" t="str">
        <f>IF(AE996=1,COUNTIFS(sj_first,1,sj_date,"&lt;"&amp;A996)+1,"")</f>
        <v/>
      </c>
      <c r="AG996" t="str">
        <f>IF(AND(AD996=1,N(W996)&lt;p_alert),ROUND(W996,4),"")</f>
        <v/>
      </c>
      <c r="AH996" t="str">
        <f>IF(AG996="","",COUNTIF(sj_akey,"&lt;"&amp;AG996)+COUNTIF($AG$6:AG996,AG996))</f>
        <v/>
      </c>
    </row>
    <row r="997">
      <c r="A997" s="51" t="n"/>
      <c r="B997" s="52" t="n"/>
      <c r="C997" s="52" t="n"/>
      <c r="D997" s="53" t="n"/>
      <c r="E997" s="53" t="n"/>
      <c r="F997" s="54" t="n"/>
      <c r="G997" s="54" t="n"/>
      <c r="H997" s="54" t="n"/>
      <c r="I997" s="54" t="n"/>
      <c r="J997" s="53" t="n"/>
      <c r="K997" s="55" t="str">
        <f>IF(COUNTA(A997:I997)=0,"",IF(F997="",IFERROR(INDEX(eq_dur,MATCH(B997,eq_code,0)),""),F997))</f>
        <v/>
      </c>
      <c r="L997" s="55" t="str">
        <f>IF(ISNUMBER(K997),N(IFERROR(INDEX(eq_pause,MATCH(B997,eq_code,0)),0))+SUMIFS(st_min,st_date,A997,st_eq,B997,st_po,C997,st_type,"Planifié"),"")</f>
        <v/>
      </c>
      <c r="M997" s="55" t="str">
        <f>IF(ISNUMBER(K997),K997-L997,"")</f>
        <v/>
      </c>
      <c r="N997" s="55" t="str">
        <f>IF(ISNUMBER(K997),SUMIFS(st_min,st_date,A997,st_eq,B997,st_po,C997,st_type,"Non planifié"),"")</f>
        <v/>
      </c>
      <c r="O997" s="55" t="str">
        <f>IF(ISNUMBER(K997),M997-N997,"")</f>
        <v/>
      </c>
      <c r="P997" s="55" t="str">
        <f>IF(COUNTA(A997:I997)=0,"",N(G997)+N(H997)+N(I997))</f>
        <v/>
      </c>
      <c r="Q997" s="56" t="str">
        <f>IF(COUNTA(A997:I997)=0,"",IF(N(IFERROR(INDEX(art_rate,MATCH(E997,art_ref,0)),0))&gt;0,N(IFERROR(INDEX(art_rate,MATCH(E997,art_ref,0)),0)),N(IFERROR(INDEX(po_rate,MATCH(C997,po_code,0)),0))))</f>
        <v/>
      </c>
      <c r="R997" s="55" t="str">
        <f>IF(AC997=1,P997*60/Q997,"")</f>
        <v/>
      </c>
      <c r="S997" s="55" t="str">
        <f>IF(AC997=1,N(G997)*60/Q997,"")</f>
        <v/>
      </c>
      <c r="T997" s="57" t="str">
        <f>IF(AC997=1,O997/M997,"")</f>
        <v/>
      </c>
      <c r="U997" s="57" t="str">
        <f>IF(AC997=1,IF(O997&gt;0,R997/O997,""),"")</f>
        <v/>
      </c>
      <c r="V997" s="57" t="str">
        <f>IF(AC997=1,IF(P997&gt;0,N(G997)/P997,""),"")</f>
        <v/>
      </c>
      <c r="W997" s="57" t="str">
        <f>IF(AC997=1,S997/M997,"")</f>
        <v/>
      </c>
      <c r="X997" s="57" t="str">
        <f>IF(AC997=1,S997/K997,"")</f>
        <v/>
      </c>
      <c r="Y997" s="58" t="str">
        <f>IF(W997="","",IF(W997&gt;=p_target,"Bon",IF(W997&gt;=p_alert,"À surveiller","Faible")))</f>
        <v/>
      </c>
      <c r="Z997" s="58" t="str">
        <f>IF(W997="","",IF(MIN(IF(T997="",1,T997),IF(U997="",1,U997),IF(V997="",1,V997))&gt;=1,"Aucune",IF(IF(T997="",1,T997)&lt;=MIN(IF(U997="",1,U997),IF(V997="",1,V997)),"Disponibilité",IF(IF(U997="",1,U997)&lt;=IF(V997="",1,V997),"Performance","Qualité"))))</f>
        <v/>
      </c>
      <c r="AA997" s="59" t="str">
        <f>IF(AC997=1,N(H997)*N(IFERROR(INDEX(art_cost,MATCH(E997,art_ref,0)),0)),"")</f>
        <v/>
      </c>
      <c r="AB997" s="58" t="str">
        <f>IF(COUNTA(A997:I997)=0,"",IF(N(A997)&lt;=0,"Date manquante ou invalide",IF(B997="","Équipe manquante",IF(ISNA(MATCH(B997,eq_code,0)),"Équipe inconnue",IF(INDEX(eq_check,MATCH(B997,eq_code,0))&lt;&gt;"OK","Équipe à corriger dans Paramètres",IF(C997="","Poste manquant",IF(ISNA(MATCH(C997,po_code,0)),"Poste inconnu",IF(AND(E997&lt;&gt;"",ISNA(MATCH(E997,art_ref,0))),"Article inconnu",IF(IF(E997="",FALSE,INDEX(art_check,MATCH(E997,art_ref,0))&lt;&gt;"OK"),"Article à corriger (feuille Articles)",IF(COUNTIFS(sj_date,A997,sj_eq,B997,sj_po,C997)&gt;1,"Ligne en double (même jour, équipe et poste)",IF(OR(NOT(ISNUMBER(K997)),N(K997)&lt;=0,N(K997)&gt;1440),"Temps d'ouverture invalide",IF(OR(AND(G997&lt;&gt;"",NOT(ISNUMBER(G997))),N(G997)&lt;0,N(G997)&lt;&gt;INT(N(G997)),AND(H997&lt;&gt;"",NOT(ISNUMBER(H997))),N(H997)&lt;0,N(H997)&lt;&gt;INT(N(H997)),AND(I997&lt;&gt;"",NOT(ISNUMBER(I997))),N(I997)&lt;0,N(I997)&lt;&gt;INT(N(I997))),"Quantité invalide",IF(Q997&lt;=0,"Cadence manquante (poste ou article)",IF(M997&lt;=0,"Arrêts planifiés supérieurs au temps d'ouverture",IF(O997&lt;0,"Arrêts supérieurs au temps requis",IF(AND(P997&gt;0,O997=0),"Pièces déclarées sans temps de marche",IF(AND(P997=0,O997&gt;0),"Aucune pièce déclarée",IF(P997*60/Q997&gt;O997+0.001,"Cadence dépassée : vérifiez la cadence","OK"))))))))))))))))))</f>
        <v/>
      </c>
      <c r="AC997">
        <f>IF(OR(AB997="OK",AB997="Aucune pièce déclarée",AB997="Cadence dépassée : vérifiez la cadence"),1,0)</f>
        <v>0.0</v>
      </c>
      <c r="AD997">
        <f>IF(AND(AC997=1,A997&gt;=p_from,A997&lt;=p_to),1,0)</f>
        <v>0.0</v>
      </c>
      <c r="AE997">
        <f>IF(AD997=1,IF(COUNTIFS($A$6:A997,A997,$AD$6:AD997,1)=1,1,0),0)</f>
        <v>0.0</v>
      </c>
      <c r="AF997" t="str">
        <f>IF(AE997=1,COUNTIFS(sj_first,1,sj_date,"&lt;"&amp;A997)+1,"")</f>
        <v/>
      </c>
      <c r="AG997" t="str">
        <f>IF(AND(AD997=1,N(W997)&lt;p_alert),ROUND(W997,4),"")</f>
        <v/>
      </c>
      <c r="AH997" t="str">
        <f>IF(AG997="","",COUNTIF(sj_akey,"&lt;"&amp;AG997)+COUNTIF($AG$6:AG997,AG997))</f>
        <v/>
      </c>
    </row>
    <row r="998">
      <c r="A998" s="51" t="n"/>
      <c r="B998" s="52" t="n"/>
      <c r="C998" s="52" t="n"/>
      <c r="D998" s="53" t="n"/>
      <c r="E998" s="53" t="n"/>
      <c r="F998" s="54" t="n"/>
      <c r="G998" s="54" t="n"/>
      <c r="H998" s="54" t="n"/>
      <c r="I998" s="54" t="n"/>
      <c r="J998" s="53" t="n"/>
      <c r="K998" s="55" t="str">
        <f>IF(COUNTA(A998:I998)=0,"",IF(F998="",IFERROR(INDEX(eq_dur,MATCH(B998,eq_code,0)),""),F998))</f>
        <v/>
      </c>
      <c r="L998" s="55" t="str">
        <f>IF(ISNUMBER(K998),N(IFERROR(INDEX(eq_pause,MATCH(B998,eq_code,0)),0))+SUMIFS(st_min,st_date,A998,st_eq,B998,st_po,C998,st_type,"Planifié"),"")</f>
        <v/>
      </c>
      <c r="M998" s="55" t="str">
        <f>IF(ISNUMBER(K998),K998-L998,"")</f>
        <v/>
      </c>
      <c r="N998" s="55" t="str">
        <f>IF(ISNUMBER(K998),SUMIFS(st_min,st_date,A998,st_eq,B998,st_po,C998,st_type,"Non planifié"),"")</f>
        <v/>
      </c>
      <c r="O998" s="55" t="str">
        <f>IF(ISNUMBER(K998),M998-N998,"")</f>
        <v/>
      </c>
      <c r="P998" s="55" t="str">
        <f>IF(COUNTA(A998:I998)=0,"",N(G998)+N(H998)+N(I998))</f>
        <v/>
      </c>
      <c r="Q998" s="56" t="str">
        <f>IF(COUNTA(A998:I998)=0,"",IF(N(IFERROR(INDEX(art_rate,MATCH(E998,art_ref,0)),0))&gt;0,N(IFERROR(INDEX(art_rate,MATCH(E998,art_ref,0)),0)),N(IFERROR(INDEX(po_rate,MATCH(C998,po_code,0)),0))))</f>
        <v/>
      </c>
      <c r="R998" s="55" t="str">
        <f>IF(AC998=1,P998*60/Q998,"")</f>
        <v/>
      </c>
      <c r="S998" s="55" t="str">
        <f>IF(AC998=1,N(G998)*60/Q998,"")</f>
        <v/>
      </c>
      <c r="T998" s="57" t="str">
        <f>IF(AC998=1,O998/M998,"")</f>
        <v/>
      </c>
      <c r="U998" s="57" t="str">
        <f>IF(AC998=1,IF(O998&gt;0,R998/O998,""),"")</f>
        <v/>
      </c>
      <c r="V998" s="57" t="str">
        <f>IF(AC998=1,IF(P998&gt;0,N(G998)/P998,""),"")</f>
        <v/>
      </c>
      <c r="W998" s="57" t="str">
        <f>IF(AC998=1,S998/M998,"")</f>
        <v/>
      </c>
      <c r="X998" s="57" t="str">
        <f>IF(AC998=1,S998/K998,"")</f>
        <v/>
      </c>
      <c r="Y998" s="58" t="str">
        <f>IF(W998="","",IF(W998&gt;=p_target,"Bon",IF(W998&gt;=p_alert,"À surveiller","Faible")))</f>
        <v/>
      </c>
      <c r="Z998" s="58" t="str">
        <f>IF(W998="","",IF(MIN(IF(T998="",1,T998),IF(U998="",1,U998),IF(V998="",1,V998))&gt;=1,"Aucune",IF(IF(T998="",1,T998)&lt;=MIN(IF(U998="",1,U998),IF(V998="",1,V998)),"Disponibilité",IF(IF(U998="",1,U998)&lt;=IF(V998="",1,V998),"Performance","Qualité"))))</f>
        <v/>
      </c>
      <c r="AA998" s="59" t="str">
        <f>IF(AC998=1,N(H998)*N(IFERROR(INDEX(art_cost,MATCH(E998,art_ref,0)),0)),"")</f>
        <v/>
      </c>
      <c r="AB998" s="58" t="str">
        <f>IF(COUNTA(A998:I998)=0,"",IF(N(A998)&lt;=0,"Date manquante ou invalide",IF(B998="","Équipe manquante",IF(ISNA(MATCH(B998,eq_code,0)),"Équipe inconnue",IF(INDEX(eq_check,MATCH(B998,eq_code,0))&lt;&gt;"OK","Équipe à corriger dans Paramètres",IF(C998="","Poste manquant",IF(ISNA(MATCH(C998,po_code,0)),"Poste inconnu",IF(AND(E998&lt;&gt;"",ISNA(MATCH(E998,art_ref,0))),"Article inconnu",IF(IF(E998="",FALSE,INDEX(art_check,MATCH(E998,art_ref,0))&lt;&gt;"OK"),"Article à corriger (feuille Articles)",IF(COUNTIFS(sj_date,A998,sj_eq,B998,sj_po,C998)&gt;1,"Ligne en double (même jour, équipe et poste)",IF(OR(NOT(ISNUMBER(K998)),N(K998)&lt;=0,N(K998)&gt;1440),"Temps d'ouverture invalide",IF(OR(AND(G998&lt;&gt;"",NOT(ISNUMBER(G998))),N(G998)&lt;0,N(G998)&lt;&gt;INT(N(G998)),AND(H998&lt;&gt;"",NOT(ISNUMBER(H998))),N(H998)&lt;0,N(H998)&lt;&gt;INT(N(H998)),AND(I998&lt;&gt;"",NOT(ISNUMBER(I998))),N(I998)&lt;0,N(I998)&lt;&gt;INT(N(I998))),"Quantité invalide",IF(Q998&lt;=0,"Cadence manquante (poste ou article)",IF(M998&lt;=0,"Arrêts planifiés supérieurs au temps d'ouverture",IF(O998&lt;0,"Arrêts supérieurs au temps requis",IF(AND(P998&gt;0,O998=0),"Pièces déclarées sans temps de marche",IF(AND(P998=0,O998&gt;0),"Aucune pièce déclarée",IF(P998*60/Q998&gt;O998+0.001,"Cadence dépassée : vérifiez la cadence","OK"))))))))))))))))))</f>
        <v/>
      </c>
      <c r="AC998">
        <f>IF(OR(AB998="OK",AB998="Aucune pièce déclarée",AB998="Cadence dépassée : vérifiez la cadence"),1,0)</f>
        <v>0.0</v>
      </c>
      <c r="AD998">
        <f>IF(AND(AC998=1,A998&gt;=p_from,A998&lt;=p_to),1,0)</f>
        <v>0.0</v>
      </c>
      <c r="AE998">
        <f>IF(AD998=1,IF(COUNTIFS($A$6:A998,A998,$AD$6:AD998,1)=1,1,0),0)</f>
        <v>0.0</v>
      </c>
      <c r="AF998" t="str">
        <f>IF(AE998=1,COUNTIFS(sj_first,1,sj_date,"&lt;"&amp;A998)+1,"")</f>
        <v/>
      </c>
      <c r="AG998" t="str">
        <f>IF(AND(AD998=1,N(W998)&lt;p_alert),ROUND(W998,4),"")</f>
        <v/>
      </c>
      <c r="AH998" t="str">
        <f>IF(AG998="","",COUNTIF(sj_akey,"&lt;"&amp;AG998)+COUNTIF($AG$6:AG998,AG998))</f>
        <v/>
      </c>
    </row>
    <row r="999">
      <c r="A999" s="51" t="n"/>
      <c r="B999" s="52" t="n"/>
      <c r="C999" s="52" t="n"/>
      <c r="D999" s="53" t="n"/>
      <c r="E999" s="53" t="n"/>
      <c r="F999" s="54" t="n"/>
      <c r="G999" s="54" t="n"/>
      <c r="H999" s="54" t="n"/>
      <c r="I999" s="54" t="n"/>
      <c r="J999" s="53" t="n"/>
      <c r="K999" s="55" t="str">
        <f>IF(COUNTA(A999:I999)=0,"",IF(F999="",IFERROR(INDEX(eq_dur,MATCH(B999,eq_code,0)),""),F999))</f>
        <v/>
      </c>
      <c r="L999" s="55" t="str">
        <f>IF(ISNUMBER(K999),N(IFERROR(INDEX(eq_pause,MATCH(B999,eq_code,0)),0))+SUMIFS(st_min,st_date,A999,st_eq,B999,st_po,C999,st_type,"Planifié"),"")</f>
        <v/>
      </c>
      <c r="M999" s="55" t="str">
        <f>IF(ISNUMBER(K999),K999-L999,"")</f>
        <v/>
      </c>
      <c r="N999" s="55" t="str">
        <f>IF(ISNUMBER(K999),SUMIFS(st_min,st_date,A999,st_eq,B999,st_po,C999,st_type,"Non planifié"),"")</f>
        <v/>
      </c>
      <c r="O999" s="55" t="str">
        <f>IF(ISNUMBER(K999),M999-N999,"")</f>
        <v/>
      </c>
      <c r="P999" s="55" t="str">
        <f>IF(COUNTA(A999:I999)=0,"",N(G999)+N(H999)+N(I999))</f>
        <v/>
      </c>
      <c r="Q999" s="56" t="str">
        <f>IF(COUNTA(A999:I999)=0,"",IF(N(IFERROR(INDEX(art_rate,MATCH(E999,art_ref,0)),0))&gt;0,N(IFERROR(INDEX(art_rate,MATCH(E999,art_ref,0)),0)),N(IFERROR(INDEX(po_rate,MATCH(C999,po_code,0)),0))))</f>
        <v/>
      </c>
      <c r="R999" s="55" t="str">
        <f>IF(AC999=1,P999*60/Q999,"")</f>
        <v/>
      </c>
      <c r="S999" s="55" t="str">
        <f>IF(AC999=1,N(G999)*60/Q999,"")</f>
        <v/>
      </c>
      <c r="T999" s="57" t="str">
        <f>IF(AC999=1,O999/M999,"")</f>
        <v/>
      </c>
      <c r="U999" s="57" t="str">
        <f>IF(AC999=1,IF(O999&gt;0,R999/O999,""),"")</f>
        <v/>
      </c>
      <c r="V999" s="57" t="str">
        <f>IF(AC999=1,IF(P999&gt;0,N(G999)/P999,""),"")</f>
        <v/>
      </c>
      <c r="W999" s="57" t="str">
        <f>IF(AC999=1,S999/M999,"")</f>
        <v/>
      </c>
      <c r="X999" s="57" t="str">
        <f>IF(AC999=1,S999/K999,"")</f>
        <v/>
      </c>
      <c r="Y999" s="58" t="str">
        <f>IF(W999="","",IF(W999&gt;=p_target,"Bon",IF(W999&gt;=p_alert,"À surveiller","Faible")))</f>
        <v/>
      </c>
      <c r="Z999" s="58" t="str">
        <f>IF(W999="","",IF(MIN(IF(T999="",1,T999),IF(U999="",1,U999),IF(V999="",1,V999))&gt;=1,"Aucune",IF(IF(T999="",1,T999)&lt;=MIN(IF(U999="",1,U999),IF(V999="",1,V999)),"Disponibilité",IF(IF(U999="",1,U999)&lt;=IF(V999="",1,V999),"Performance","Qualité"))))</f>
        <v/>
      </c>
      <c r="AA999" s="59" t="str">
        <f>IF(AC999=1,N(H999)*N(IFERROR(INDEX(art_cost,MATCH(E999,art_ref,0)),0)),"")</f>
        <v/>
      </c>
      <c r="AB999" s="58" t="str">
        <f>IF(COUNTA(A999:I999)=0,"",IF(N(A999)&lt;=0,"Date manquante ou invalide",IF(B999="","Équipe manquante",IF(ISNA(MATCH(B999,eq_code,0)),"Équipe inconnue",IF(INDEX(eq_check,MATCH(B999,eq_code,0))&lt;&gt;"OK","Équipe à corriger dans Paramètres",IF(C999="","Poste manquant",IF(ISNA(MATCH(C999,po_code,0)),"Poste inconnu",IF(AND(E999&lt;&gt;"",ISNA(MATCH(E999,art_ref,0))),"Article inconnu",IF(IF(E999="",FALSE,INDEX(art_check,MATCH(E999,art_ref,0))&lt;&gt;"OK"),"Article à corriger (feuille Articles)",IF(COUNTIFS(sj_date,A999,sj_eq,B999,sj_po,C999)&gt;1,"Ligne en double (même jour, équipe et poste)",IF(OR(NOT(ISNUMBER(K999)),N(K999)&lt;=0,N(K999)&gt;1440),"Temps d'ouverture invalide",IF(OR(AND(G999&lt;&gt;"",NOT(ISNUMBER(G999))),N(G999)&lt;0,N(G999)&lt;&gt;INT(N(G999)),AND(H999&lt;&gt;"",NOT(ISNUMBER(H999))),N(H999)&lt;0,N(H999)&lt;&gt;INT(N(H999)),AND(I999&lt;&gt;"",NOT(ISNUMBER(I999))),N(I999)&lt;0,N(I999)&lt;&gt;INT(N(I999))),"Quantité invalide",IF(Q999&lt;=0,"Cadence manquante (poste ou article)",IF(M999&lt;=0,"Arrêts planifiés supérieurs au temps d'ouverture",IF(O999&lt;0,"Arrêts supérieurs au temps requis",IF(AND(P999&gt;0,O999=0),"Pièces déclarées sans temps de marche",IF(AND(P999=0,O999&gt;0),"Aucune pièce déclarée",IF(P999*60/Q999&gt;O999+0.001,"Cadence dépassée : vérifiez la cadence","OK"))))))))))))))))))</f>
        <v/>
      </c>
      <c r="AC999">
        <f>IF(OR(AB999="OK",AB999="Aucune pièce déclarée",AB999="Cadence dépassée : vérifiez la cadence"),1,0)</f>
        <v>0.0</v>
      </c>
      <c r="AD999">
        <f>IF(AND(AC999=1,A999&gt;=p_from,A999&lt;=p_to),1,0)</f>
        <v>0.0</v>
      </c>
      <c r="AE999">
        <f>IF(AD999=1,IF(COUNTIFS($A$6:A999,A999,$AD$6:AD999,1)=1,1,0),0)</f>
        <v>0.0</v>
      </c>
      <c r="AF999" t="str">
        <f>IF(AE999=1,COUNTIFS(sj_first,1,sj_date,"&lt;"&amp;A999)+1,"")</f>
        <v/>
      </c>
      <c r="AG999" t="str">
        <f>IF(AND(AD999=1,N(W999)&lt;p_alert),ROUND(W999,4),"")</f>
        <v/>
      </c>
      <c r="AH999" t="str">
        <f>IF(AG999="","",COUNTIF(sj_akey,"&lt;"&amp;AG999)+COUNTIF($AG$6:AG999,AG999))</f>
        <v/>
      </c>
    </row>
    <row r="1000">
      <c r="A1000" s="51" t="n"/>
      <c r="B1000" s="52" t="n"/>
      <c r="C1000" s="52" t="n"/>
      <c r="D1000" s="53" t="n"/>
      <c r="E1000" s="53" t="n"/>
      <c r="F1000" s="54" t="n"/>
      <c r="G1000" s="54" t="n"/>
      <c r="H1000" s="54" t="n"/>
      <c r="I1000" s="54" t="n"/>
      <c r="J1000" s="53" t="n"/>
      <c r="K1000" s="55" t="str">
        <f>IF(COUNTA(A1000:I1000)=0,"",IF(F1000="",IFERROR(INDEX(eq_dur,MATCH(B1000,eq_code,0)),""),F1000))</f>
        <v/>
      </c>
      <c r="L1000" s="55" t="str">
        <f>IF(ISNUMBER(K1000),N(IFERROR(INDEX(eq_pause,MATCH(B1000,eq_code,0)),0))+SUMIFS(st_min,st_date,A1000,st_eq,B1000,st_po,C1000,st_type,"Planifié"),"")</f>
        <v/>
      </c>
      <c r="M1000" s="55" t="str">
        <f>IF(ISNUMBER(K1000),K1000-L1000,"")</f>
        <v/>
      </c>
      <c r="N1000" s="55" t="str">
        <f>IF(ISNUMBER(K1000),SUMIFS(st_min,st_date,A1000,st_eq,B1000,st_po,C1000,st_type,"Non planifié"),"")</f>
        <v/>
      </c>
      <c r="O1000" s="55" t="str">
        <f>IF(ISNUMBER(K1000),M1000-N1000,"")</f>
        <v/>
      </c>
      <c r="P1000" s="55" t="str">
        <f>IF(COUNTA(A1000:I1000)=0,"",N(G1000)+N(H1000)+N(I1000))</f>
        <v/>
      </c>
      <c r="Q1000" s="56" t="str">
        <f>IF(COUNTA(A1000:I1000)=0,"",IF(N(IFERROR(INDEX(art_rate,MATCH(E1000,art_ref,0)),0))&gt;0,N(IFERROR(INDEX(art_rate,MATCH(E1000,art_ref,0)),0)),N(IFERROR(INDEX(po_rate,MATCH(C1000,po_code,0)),0))))</f>
        <v/>
      </c>
      <c r="R1000" s="55" t="str">
        <f>IF(AC1000=1,P1000*60/Q1000,"")</f>
        <v/>
      </c>
      <c r="S1000" s="55" t="str">
        <f>IF(AC1000=1,N(G1000)*60/Q1000,"")</f>
        <v/>
      </c>
      <c r="T1000" s="57" t="str">
        <f>IF(AC1000=1,O1000/M1000,"")</f>
        <v/>
      </c>
      <c r="U1000" s="57" t="str">
        <f>IF(AC1000=1,IF(O1000&gt;0,R1000/O1000,""),"")</f>
        <v/>
      </c>
      <c r="V1000" s="57" t="str">
        <f>IF(AC1000=1,IF(P1000&gt;0,N(G1000)/P1000,""),"")</f>
        <v/>
      </c>
      <c r="W1000" s="57" t="str">
        <f>IF(AC1000=1,S1000/M1000,"")</f>
        <v/>
      </c>
      <c r="X1000" s="57" t="str">
        <f>IF(AC1000=1,S1000/K1000,"")</f>
        <v/>
      </c>
      <c r="Y1000" s="58" t="str">
        <f>IF(W1000="","",IF(W1000&gt;=p_target,"Bon",IF(W1000&gt;=p_alert,"À surveiller","Faible")))</f>
        <v/>
      </c>
      <c r="Z1000" s="58" t="str">
        <f>IF(W1000="","",IF(MIN(IF(T1000="",1,T1000),IF(U1000="",1,U1000),IF(V1000="",1,V1000))&gt;=1,"Aucune",IF(IF(T1000="",1,T1000)&lt;=MIN(IF(U1000="",1,U1000),IF(V1000="",1,V1000)),"Disponibilité",IF(IF(U1000="",1,U1000)&lt;=IF(V1000="",1,V1000),"Performance","Qualité"))))</f>
        <v/>
      </c>
      <c r="AA1000" s="59" t="str">
        <f>IF(AC1000=1,N(H1000)*N(IFERROR(INDEX(art_cost,MATCH(E1000,art_ref,0)),0)),"")</f>
        <v/>
      </c>
      <c r="AB1000" s="58" t="str">
        <f>IF(COUNTA(A1000:I1000)=0,"",IF(N(A1000)&lt;=0,"Date manquante ou invalide",IF(B1000="","Équipe manquante",IF(ISNA(MATCH(B1000,eq_code,0)),"Équipe inconnue",IF(INDEX(eq_check,MATCH(B1000,eq_code,0))&lt;&gt;"OK","Équipe à corriger dans Paramètres",IF(C1000="","Poste manquant",IF(ISNA(MATCH(C1000,po_code,0)),"Poste inconnu",IF(AND(E1000&lt;&gt;"",ISNA(MATCH(E1000,art_ref,0))),"Article inconnu",IF(IF(E1000="",FALSE,INDEX(art_check,MATCH(E1000,art_ref,0))&lt;&gt;"OK"),"Article à corriger (feuille Articles)",IF(COUNTIFS(sj_date,A1000,sj_eq,B1000,sj_po,C1000)&gt;1,"Ligne en double (même jour, équipe et poste)",IF(OR(NOT(ISNUMBER(K1000)),N(K1000)&lt;=0,N(K1000)&gt;1440),"Temps d'ouverture invalide",IF(OR(AND(G1000&lt;&gt;"",NOT(ISNUMBER(G1000))),N(G1000)&lt;0,N(G1000)&lt;&gt;INT(N(G1000)),AND(H1000&lt;&gt;"",NOT(ISNUMBER(H1000))),N(H1000)&lt;0,N(H1000)&lt;&gt;INT(N(H1000)),AND(I1000&lt;&gt;"",NOT(ISNUMBER(I1000))),N(I1000)&lt;0,N(I1000)&lt;&gt;INT(N(I1000))),"Quantité invalide",IF(Q1000&lt;=0,"Cadence manquante (poste ou article)",IF(M1000&lt;=0,"Arrêts planifiés supérieurs au temps d'ouverture",IF(O1000&lt;0,"Arrêts supérieurs au temps requis",IF(AND(P1000&gt;0,O1000=0),"Pièces déclarées sans temps de marche",IF(AND(P1000=0,O1000&gt;0),"Aucune pièce déclarée",IF(P1000*60/Q1000&gt;O1000+0.001,"Cadence dépassée : vérifiez la cadence","OK"))))))))))))))))))</f>
        <v/>
      </c>
      <c r="AC1000">
        <f>IF(OR(AB1000="OK",AB1000="Aucune pièce déclarée",AB1000="Cadence dépassée : vérifiez la cadence"),1,0)</f>
        <v>0.0</v>
      </c>
      <c r="AD1000">
        <f>IF(AND(AC1000=1,A1000&gt;=p_from,A1000&lt;=p_to),1,0)</f>
        <v>0.0</v>
      </c>
      <c r="AE1000">
        <f>IF(AD1000=1,IF(COUNTIFS($A$6:A1000,A1000,$AD$6:AD1000,1)=1,1,0),0)</f>
        <v>0.0</v>
      </c>
      <c r="AF1000" t="str">
        <f>IF(AE1000=1,COUNTIFS(sj_first,1,sj_date,"&lt;"&amp;A1000)+1,"")</f>
        <v/>
      </c>
      <c r="AG1000" t="str">
        <f>IF(AND(AD1000=1,N(W1000)&lt;p_alert),ROUND(W1000,4),"")</f>
        <v/>
      </c>
      <c r="AH1000" t="str">
        <f>IF(AG1000="","",COUNTIF(sj_akey,"&lt;"&amp;AG1000)+COUNTIF($AG$6:AG1000,AG1000))</f>
        <v/>
      </c>
    </row>
    <row r="1001">
      <c r="A1001" s="51" t="n"/>
      <c r="B1001" s="52" t="n"/>
      <c r="C1001" s="52" t="n"/>
      <c r="D1001" s="53" t="n"/>
      <c r="E1001" s="53" t="n"/>
      <c r="F1001" s="54" t="n"/>
      <c r="G1001" s="54" t="n"/>
      <c r="H1001" s="54" t="n"/>
      <c r="I1001" s="54" t="n"/>
      <c r="J1001" s="53" t="n"/>
      <c r="K1001" s="55" t="str">
        <f>IF(COUNTA(A1001:I1001)=0,"",IF(F1001="",IFERROR(INDEX(eq_dur,MATCH(B1001,eq_code,0)),""),F1001))</f>
        <v/>
      </c>
      <c r="L1001" s="55" t="str">
        <f>IF(ISNUMBER(K1001),N(IFERROR(INDEX(eq_pause,MATCH(B1001,eq_code,0)),0))+SUMIFS(st_min,st_date,A1001,st_eq,B1001,st_po,C1001,st_type,"Planifié"),"")</f>
        <v/>
      </c>
      <c r="M1001" s="55" t="str">
        <f>IF(ISNUMBER(K1001),K1001-L1001,"")</f>
        <v/>
      </c>
      <c r="N1001" s="55" t="str">
        <f>IF(ISNUMBER(K1001),SUMIFS(st_min,st_date,A1001,st_eq,B1001,st_po,C1001,st_type,"Non planifié"),"")</f>
        <v/>
      </c>
      <c r="O1001" s="55" t="str">
        <f>IF(ISNUMBER(K1001),M1001-N1001,"")</f>
        <v/>
      </c>
      <c r="P1001" s="55" t="str">
        <f>IF(COUNTA(A1001:I1001)=0,"",N(G1001)+N(H1001)+N(I1001))</f>
        <v/>
      </c>
      <c r="Q1001" s="56" t="str">
        <f>IF(COUNTA(A1001:I1001)=0,"",IF(N(IFERROR(INDEX(art_rate,MATCH(E1001,art_ref,0)),0))&gt;0,N(IFERROR(INDEX(art_rate,MATCH(E1001,art_ref,0)),0)),N(IFERROR(INDEX(po_rate,MATCH(C1001,po_code,0)),0))))</f>
        <v/>
      </c>
      <c r="R1001" s="55" t="str">
        <f>IF(AC1001=1,P1001*60/Q1001,"")</f>
        <v/>
      </c>
      <c r="S1001" s="55" t="str">
        <f>IF(AC1001=1,N(G1001)*60/Q1001,"")</f>
        <v/>
      </c>
      <c r="T1001" s="57" t="str">
        <f>IF(AC1001=1,O1001/M1001,"")</f>
        <v/>
      </c>
      <c r="U1001" s="57" t="str">
        <f>IF(AC1001=1,IF(O1001&gt;0,R1001/O1001,""),"")</f>
        <v/>
      </c>
      <c r="V1001" s="57" t="str">
        <f>IF(AC1001=1,IF(P1001&gt;0,N(G1001)/P1001,""),"")</f>
        <v/>
      </c>
      <c r="W1001" s="57" t="str">
        <f>IF(AC1001=1,S1001/M1001,"")</f>
        <v/>
      </c>
      <c r="X1001" s="57" t="str">
        <f>IF(AC1001=1,S1001/K1001,"")</f>
        <v/>
      </c>
      <c r="Y1001" s="58" t="str">
        <f>IF(W1001="","",IF(W1001&gt;=p_target,"Bon",IF(W1001&gt;=p_alert,"À surveiller","Faible")))</f>
        <v/>
      </c>
      <c r="Z1001" s="58" t="str">
        <f>IF(W1001="","",IF(MIN(IF(T1001="",1,T1001),IF(U1001="",1,U1001),IF(V1001="",1,V1001))&gt;=1,"Aucune",IF(IF(T1001="",1,T1001)&lt;=MIN(IF(U1001="",1,U1001),IF(V1001="",1,V1001)),"Disponibilité",IF(IF(U1001="",1,U1001)&lt;=IF(V1001="",1,V1001),"Performance","Qualité"))))</f>
        <v/>
      </c>
      <c r="AA1001" s="59" t="str">
        <f>IF(AC1001=1,N(H1001)*N(IFERROR(INDEX(art_cost,MATCH(E1001,art_ref,0)),0)),"")</f>
        <v/>
      </c>
      <c r="AB1001" s="58" t="str">
        <f>IF(COUNTA(A1001:I1001)=0,"",IF(N(A1001)&lt;=0,"Date manquante ou invalide",IF(B1001="","Équipe manquante",IF(ISNA(MATCH(B1001,eq_code,0)),"Équipe inconnue",IF(INDEX(eq_check,MATCH(B1001,eq_code,0))&lt;&gt;"OK","Équipe à corriger dans Paramètres",IF(C1001="","Poste manquant",IF(ISNA(MATCH(C1001,po_code,0)),"Poste inconnu",IF(AND(E1001&lt;&gt;"",ISNA(MATCH(E1001,art_ref,0))),"Article inconnu",IF(IF(E1001="",FALSE,INDEX(art_check,MATCH(E1001,art_ref,0))&lt;&gt;"OK"),"Article à corriger (feuille Articles)",IF(COUNTIFS(sj_date,A1001,sj_eq,B1001,sj_po,C1001)&gt;1,"Ligne en double (même jour, équipe et poste)",IF(OR(NOT(ISNUMBER(K1001)),N(K1001)&lt;=0,N(K1001)&gt;1440),"Temps d'ouverture invalide",IF(OR(AND(G1001&lt;&gt;"",NOT(ISNUMBER(G1001))),N(G1001)&lt;0,N(G1001)&lt;&gt;INT(N(G1001)),AND(H1001&lt;&gt;"",NOT(ISNUMBER(H1001))),N(H1001)&lt;0,N(H1001)&lt;&gt;INT(N(H1001)),AND(I1001&lt;&gt;"",NOT(ISNUMBER(I1001))),N(I1001)&lt;0,N(I1001)&lt;&gt;INT(N(I1001))),"Quantité invalide",IF(Q1001&lt;=0,"Cadence manquante (poste ou article)",IF(M1001&lt;=0,"Arrêts planifiés supérieurs au temps d'ouverture",IF(O1001&lt;0,"Arrêts supérieurs au temps requis",IF(AND(P1001&gt;0,O1001=0),"Pièces déclarées sans temps de marche",IF(AND(P1001=0,O1001&gt;0),"Aucune pièce déclarée",IF(P1001*60/Q1001&gt;O1001+0.001,"Cadence dépassée : vérifiez la cadence","OK"))))))))))))))))))</f>
        <v/>
      </c>
      <c r="AC1001">
        <f>IF(OR(AB1001="OK",AB1001="Aucune pièce déclarée",AB1001="Cadence dépassée : vérifiez la cadence"),1,0)</f>
        <v>0.0</v>
      </c>
      <c r="AD1001">
        <f>IF(AND(AC1001=1,A1001&gt;=p_from,A1001&lt;=p_to),1,0)</f>
        <v>0.0</v>
      </c>
      <c r="AE1001">
        <f>IF(AD1001=1,IF(COUNTIFS($A$6:A1001,A1001,$AD$6:AD1001,1)=1,1,0),0)</f>
        <v>0.0</v>
      </c>
      <c r="AF1001" t="str">
        <f>IF(AE1001=1,COUNTIFS(sj_first,1,sj_date,"&lt;"&amp;A1001)+1,"")</f>
        <v/>
      </c>
      <c r="AG1001" t="str">
        <f>IF(AND(AD1001=1,N(W1001)&lt;p_alert),ROUND(W1001,4),"")</f>
        <v/>
      </c>
      <c r="AH1001" t="str">
        <f>IF(AG1001="","",COUNTIF(sj_akey,"&lt;"&amp;AG1001)+COUNTIF($AG$6:AG1001,AG1001))</f>
        <v/>
      </c>
    </row>
    <row r="1002">
      <c r="A1002" s="51" t="n"/>
      <c r="B1002" s="52" t="n"/>
      <c r="C1002" s="52" t="n"/>
      <c r="D1002" s="53" t="n"/>
      <c r="E1002" s="53" t="n"/>
      <c r="F1002" s="54" t="n"/>
      <c r="G1002" s="54" t="n"/>
      <c r="H1002" s="54" t="n"/>
      <c r="I1002" s="54" t="n"/>
      <c r="J1002" s="53" t="n"/>
      <c r="K1002" s="55" t="str">
        <f>IF(COUNTA(A1002:I1002)=0,"",IF(F1002="",IFERROR(INDEX(eq_dur,MATCH(B1002,eq_code,0)),""),F1002))</f>
        <v/>
      </c>
      <c r="L1002" s="55" t="str">
        <f>IF(ISNUMBER(K1002),N(IFERROR(INDEX(eq_pause,MATCH(B1002,eq_code,0)),0))+SUMIFS(st_min,st_date,A1002,st_eq,B1002,st_po,C1002,st_type,"Planifié"),"")</f>
        <v/>
      </c>
      <c r="M1002" s="55" t="str">
        <f>IF(ISNUMBER(K1002),K1002-L1002,"")</f>
        <v/>
      </c>
      <c r="N1002" s="55" t="str">
        <f>IF(ISNUMBER(K1002),SUMIFS(st_min,st_date,A1002,st_eq,B1002,st_po,C1002,st_type,"Non planifié"),"")</f>
        <v/>
      </c>
      <c r="O1002" s="55" t="str">
        <f>IF(ISNUMBER(K1002),M1002-N1002,"")</f>
        <v/>
      </c>
      <c r="P1002" s="55" t="str">
        <f>IF(COUNTA(A1002:I1002)=0,"",N(G1002)+N(H1002)+N(I1002))</f>
        <v/>
      </c>
      <c r="Q1002" s="56" t="str">
        <f>IF(COUNTA(A1002:I1002)=0,"",IF(N(IFERROR(INDEX(art_rate,MATCH(E1002,art_ref,0)),0))&gt;0,N(IFERROR(INDEX(art_rate,MATCH(E1002,art_ref,0)),0)),N(IFERROR(INDEX(po_rate,MATCH(C1002,po_code,0)),0))))</f>
        <v/>
      </c>
      <c r="R1002" s="55" t="str">
        <f>IF(AC1002=1,P1002*60/Q1002,"")</f>
        <v/>
      </c>
      <c r="S1002" s="55" t="str">
        <f>IF(AC1002=1,N(G1002)*60/Q1002,"")</f>
        <v/>
      </c>
      <c r="T1002" s="57" t="str">
        <f>IF(AC1002=1,O1002/M1002,"")</f>
        <v/>
      </c>
      <c r="U1002" s="57" t="str">
        <f>IF(AC1002=1,IF(O1002&gt;0,R1002/O1002,""),"")</f>
        <v/>
      </c>
      <c r="V1002" s="57" t="str">
        <f>IF(AC1002=1,IF(P1002&gt;0,N(G1002)/P1002,""),"")</f>
        <v/>
      </c>
      <c r="W1002" s="57" t="str">
        <f>IF(AC1002=1,S1002/M1002,"")</f>
        <v/>
      </c>
      <c r="X1002" s="57" t="str">
        <f>IF(AC1002=1,S1002/K1002,"")</f>
        <v/>
      </c>
      <c r="Y1002" s="58" t="str">
        <f>IF(W1002="","",IF(W1002&gt;=p_target,"Bon",IF(W1002&gt;=p_alert,"À surveiller","Faible")))</f>
        <v/>
      </c>
      <c r="Z1002" s="58" t="str">
        <f>IF(W1002="","",IF(MIN(IF(T1002="",1,T1002),IF(U1002="",1,U1002),IF(V1002="",1,V1002))&gt;=1,"Aucune",IF(IF(T1002="",1,T1002)&lt;=MIN(IF(U1002="",1,U1002),IF(V1002="",1,V1002)),"Disponibilité",IF(IF(U1002="",1,U1002)&lt;=IF(V1002="",1,V1002),"Performance","Qualité"))))</f>
        <v/>
      </c>
      <c r="AA1002" s="59" t="str">
        <f>IF(AC1002=1,N(H1002)*N(IFERROR(INDEX(art_cost,MATCH(E1002,art_ref,0)),0)),"")</f>
        <v/>
      </c>
      <c r="AB1002" s="58" t="str">
        <f>IF(COUNTA(A1002:I1002)=0,"",IF(N(A1002)&lt;=0,"Date manquante ou invalide",IF(B1002="","Équipe manquante",IF(ISNA(MATCH(B1002,eq_code,0)),"Équipe inconnue",IF(INDEX(eq_check,MATCH(B1002,eq_code,0))&lt;&gt;"OK","Équipe à corriger dans Paramètres",IF(C1002="","Poste manquant",IF(ISNA(MATCH(C1002,po_code,0)),"Poste inconnu",IF(AND(E1002&lt;&gt;"",ISNA(MATCH(E1002,art_ref,0))),"Article inconnu",IF(IF(E1002="",FALSE,INDEX(art_check,MATCH(E1002,art_ref,0))&lt;&gt;"OK"),"Article à corriger (feuille Articles)",IF(COUNTIFS(sj_date,A1002,sj_eq,B1002,sj_po,C1002)&gt;1,"Ligne en double (même jour, équipe et poste)",IF(OR(NOT(ISNUMBER(K1002)),N(K1002)&lt;=0,N(K1002)&gt;1440),"Temps d'ouverture invalide",IF(OR(AND(G1002&lt;&gt;"",NOT(ISNUMBER(G1002))),N(G1002)&lt;0,N(G1002)&lt;&gt;INT(N(G1002)),AND(H1002&lt;&gt;"",NOT(ISNUMBER(H1002))),N(H1002)&lt;0,N(H1002)&lt;&gt;INT(N(H1002)),AND(I1002&lt;&gt;"",NOT(ISNUMBER(I1002))),N(I1002)&lt;0,N(I1002)&lt;&gt;INT(N(I1002))),"Quantité invalide",IF(Q1002&lt;=0,"Cadence manquante (poste ou article)",IF(M1002&lt;=0,"Arrêts planifiés supérieurs au temps d'ouverture",IF(O1002&lt;0,"Arrêts supérieurs au temps requis",IF(AND(P1002&gt;0,O1002=0),"Pièces déclarées sans temps de marche",IF(AND(P1002=0,O1002&gt;0),"Aucune pièce déclarée",IF(P1002*60/Q1002&gt;O1002+0.001,"Cadence dépassée : vérifiez la cadence","OK"))))))))))))))))))</f>
        <v/>
      </c>
      <c r="AC1002">
        <f>IF(OR(AB1002="OK",AB1002="Aucune pièce déclarée",AB1002="Cadence dépassée : vérifiez la cadence"),1,0)</f>
        <v>0.0</v>
      </c>
      <c r="AD1002">
        <f>IF(AND(AC1002=1,A1002&gt;=p_from,A1002&lt;=p_to),1,0)</f>
        <v>0.0</v>
      </c>
      <c r="AE1002">
        <f>IF(AD1002=1,IF(COUNTIFS($A$6:A1002,A1002,$AD$6:AD1002,1)=1,1,0),0)</f>
        <v>0.0</v>
      </c>
      <c r="AF1002" t="str">
        <f>IF(AE1002=1,COUNTIFS(sj_first,1,sj_date,"&lt;"&amp;A1002)+1,"")</f>
        <v/>
      </c>
      <c r="AG1002" t="str">
        <f>IF(AND(AD1002=1,N(W1002)&lt;p_alert),ROUND(W1002,4),"")</f>
        <v/>
      </c>
      <c r="AH1002" t="str">
        <f>IF(AG1002="","",COUNTIF(sj_akey,"&lt;"&amp;AG1002)+COUNTIF($AG$6:AG1002,AG1002))</f>
        <v/>
      </c>
    </row>
    <row r="1003">
      <c r="A1003" s="51" t="n"/>
      <c r="B1003" s="52" t="n"/>
      <c r="C1003" s="52" t="n"/>
      <c r="D1003" s="53" t="n"/>
      <c r="E1003" s="53" t="n"/>
      <c r="F1003" s="54" t="n"/>
      <c r="G1003" s="54" t="n"/>
      <c r="H1003" s="54" t="n"/>
      <c r="I1003" s="54" t="n"/>
      <c r="J1003" s="53" t="n"/>
      <c r="K1003" s="55" t="str">
        <f>IF(COUNTA(A1003:I1003)=0,"",IF(F1003="",IFERROR(INDEX(eq_dur,MATCH(B1003,eq_code,0)),""),F1003))</f>
        <v/>
      </c>
      <c r="L1003" s="55" t="str">
        <f>IF(ISNUMBER(K1003),N(IFERROR(INDEX(eq_pause,MATCH(B1003,eq_code,0)),0))+SUMIFS(st_min,st_date,A1003,st_eq,B1003,st_po,C1003,st_type,"Planifié"),"")</f>
        <v/>
      </c>
      <c r="M1003" s="55" t="str">
        <f>IF(ISNUMBER(K1003),K1003-L1003,"")</f>
        <v/>
      </c>
      <c r="N1003" s="55" t="str">
        <f>IF(ISNUMBER(K1003),SUMIFS(st_min,st_date,A1003,st_eq,B1003,st_po,C1003,st_type,"Non planifié"),"")</f>
        <v/>
      </c>
      <c r="O1003" s="55" t="str">
        <f>IF(ISNUMBER(K1003),M1003-N1003,"")</f>
        <v/>
      </c>
      <c r="P1003" s="55" t="str">
        <f>IF(COUNTA(A1003:I1003)=0,"",N(G1003)+N(H1003)+N(I1003))</f>
        <v/>
      </c>
      <c r="Q1003" s="56" t="str">
        <f>IF(COUNTA(A1003:I1003)=0,"",IF(N(IFERROR(INDEX(art_rate,MATCH(E1003,art_ref,0)),0))&gt;0,N(IFERROR(INDEX(art_rate,MATCH(E1003,art_ref,0)),0)),N(IFERROR(INDEX(po_rate,MATCH(C1003,po_code,0)),0))))</f>
        <v/>
      </c>
      <c r="R1003" s="55" t="str">
        <f>IF(AC1003=1,P1003*60/Q1003,"")</f>
        <v/>
      </c>
      <c r="S1003" s="55" t="str">
        <f>IF(AC1003=1,N(G1003)*60/Q1003,"")</f>
        <v/>
      </c>
      <c r="T1003" s="57" t="str">
        <f>IF(AC1003=1,O1003/M1003,"")</f>
        <v/>
      </c>
      <c r="U1003" s="57" t="str">
        <f>IF(AC1003=1,IF(O1003&gt;0,R1003/O1003,""),"")</f>
        <v/>
      </c>
      <c r="V1003" s="57" t="str">
        <f>IF(AC1003=1,IF(P1003&gt;0,N(G1003)/P1003,""),"")</f>
        <v/>
      </c>
      <c r="W1003" s="57" t="str">
        <f>IF(AC1003=1,S1003/M1003,"")</f>
        <v/>
      </c>
      <c r="X1003" s="57" t="str">
        <f>IF(AC1003=1,S1003/K1003,"")</f>
        <v/>
      </c>
      <c r="Y1003" s="58" t="str">
        <f>IF(W1003="","",IF(W1003&gt;=p_target,"Bon",IF(W1003&gt;=p_alert,"À surveiller","Faible")))</f>
        <v/>
      </c>
      <c r="Z1003" s="58" t="str">
        <f>IF(W1003="","",IF(MIN(IF(T1003="",1,T1003),IF(U1003="",1,U1003),IF(V1003="",1,V1003))&gt;=1,"Aucune",IF(IF(T1003="",1,T1003)&lt;=MIN(IF(U1003="",1,U1003),IF(V1003="",1,V1003)),"Disponibilité",IF(IF(U1003="",1,U1003)&lt;=IF(V1003="",1,V1003),"Performance","Qualité"))))</f>
        <v/>
      </c>
      <c r="AA1003" s="59" t="str">
        <f>IF(AC1003=1,N(H1003)*N(IFERROR(INDEX(art_cost,MATCH(E1003,art_ref,0)),0)),"")</f>
        <v/>
      </c>
      <c r="AB1003" s="58" t="str">
        <f>IF(COUNTA(A1003:I1003)=0,"",IF(N(A1003)&lt;=0,"Date manquante ou invalide",IF(B1003="","Équipe manquante",IF(ISNA(MATCH(B1003,eq_code,0)),"Équipe inconnue",IF(INDEX(eq_check,MATCH(B1003,eq_code,0))&lt;&gt;"OK","Équipe à corriger dans Paramètres",IF(C1003="","Poste manquant",IF(ISNA(MATCH(C1003,po_code,0)),"Poste inconnu",IF(AND(E1003&lt;&gt;"",ISNA(MATCH(E1003,art_ref,0))),"Article inconnu",IF(IF(E1003="",FALSE,INDEX(art_check,MATCH(E1003,art_ref,0))&lt;&gt;"OK"),"Article à corriger (feuille Articles)",IF(COUNTIFS(sj_date,A1003,sj_eq,B1003,sj_po,C1003)&gt;1,"Ligne en double (même jour, équipe et poste)",IF(OR(NOT(ISNUMBER(K1003)),N(K1003)&lt;=0,N(K1003)&gt;1440),"Temps d'ouverture invalide",IF(OR(AND(G1003&lt;&gt;"",NOT(ISNUMBER(G1003))),N(G1003)&lt;0,N(G1003)&lt;&gt;INT(N(G1003)),AND(H1003&lt;&gt;"",NOT(ISNUMBER(H1003))),N(H1003)&lt;0,N(H1003)&lt;&gt;INT(N(H1003)),AND(I1003&lt;&gt;"",NOT(ISNUMBER(I1003))),N(I1003)&lt;0,N(I1003)&lt;&gt;INT(N(I1003))),"Quantité invalide",IF(Q1003&lt;=0,"Cadence manquante (poste ou article)",IF(M1003&lt;=0,"Arrêts planifiés supérieurs au temps d'ouverture",IF(O1003&lt;0,"Arrêts supérieurs au temps requis",IF(AND(P1003&gt;0,O1003=0),"Pièces déclarées sans temps de marche",IF(AND(P1003=0,O1003&gt;0),"Aucune pièce déclarée",IF(P1003*60/Q1003&gt;O1003+0.001,"Cadence dépassée : vérifiez la cadence","OK"))))))))))))))))))</f>
        <v/>
      </c>
      <c r="AC1003">
        <f>IF(OR(AB1003="OK",AB1003="Aucune pièce déclarée",AB1003="Cadence dépassée : vérifiez la cadence"),1,0)</f>
        <v>0.0</v>
      </c>
      <c r="AD1003">
        <f>IF(AND(AC1003=1,A1003&gt;=p_from,A1003&lt;=p_to),1,0)</f>
        <v>0.0</v>
      </c>
      <c r="AE1003">
        <f>IF(AD1003=1,IF(COUNTIFS($A$6:A1003,A1003,$AD$6:AD1003,1)=1,1,0),0)</f>
        <v>0.0</v>
      </c>
      <c r="AF1003" t="str">
        <f>IF(AE1003=1,COUNTIFS(sj_first,1,sj_date,"&lt;"&amp;A1003)+1,"")</f>
        <v/>
      </c>
      <c r="AG1003" t="str">
        <f>IF(AND(AD1003=1,N(W1003)&lt;p_alert),ROUND(W1003,4),"")</f>
        <v/>
      </c>
      <c r="AH1003" t="str">
        <f>IF(AG1003="","",COUNTIF(sj_akey,"&lt;"&amp;AG1003)+COUNTIF($AG$6:AG1003,AG1003))</f>
        <v/>
      </c>
    </row>
    <row r="1004">
      <c r="A1004" s="51" t="n"/>
      <c r="B1004" s="52" t="n"/>
      <c r="C1004" s="52" t="n"/>
      <c r="D1004" s="53" t="n"/>
      <c r="E1004" s="53" t="n"/>
      <c r="F1004" s="54" t="n"/>
      <c r="G1004" s="54" t="n"/>
      <c r="H1004" s="54" t="n"/>
      <c r="I1004" s="54" t="n"/>
      <c r="J1004" s="53" t="n"/>
      <c r="K1004" s="55" t="str">
        <f>IF(COUNTA(A1004:I1004)=0,"",IF(F1004="",IFERROR(INDEX(eq_dur,MATCH(B1004,eq_code,0)),""),F1004))</f>
        <v/>
      </c>
      <c r="L1004" s="55" t="str">
        <f>IF(ISNUMBER(K1004),N(IFERROR(INDEX(eq_pause,MATCH(B1004,eq_code,0)),0))+SUMIFS(st_min,st_date,A1004,st_eq,B1004,st_po,C1004,st_type,"Planifié"),"")</f>
        <v/>
      </c>
      <c r="M1004" s="55" t="str">
        <f>IF(ISNUMBER(K1004),K1004-L1004,"")</f>
        <v/>
      </c>
      <c r="N1004" s="55" t="str">
        <f>IF(ISNUMBER(K1004),SUMIFS(st_min,st_date,A1004,st_eq,B1004,st_po,C1004,st_type,"Non planifié"),"")</f>
        <v/>
      </c>
      <c r="O1004" s="55" t="str">
        <f>IF(ISNUMBER(K1004),M1004-N1004,"")</f>
        <v/>
      </c>
      <c r="P1004" s="55" t="str">
        <f>IF(COUNTA(A1004:I1004)=0,"",N(G1004)+N(H1004)+N(I1004))</f>
        <v/>
      </c>
      <c r="Q1004" s="56" t="str">
        <f>IF(COUNTA(A1004:I1004)=0,"",IF(N(IFERROR(INDEX(art_rate,MATCH(E1004,art_ref,0)),0))&gt;0,N(IFERROR(INDEX(art_rate,MATCH(E1004,art_ref,0)),0)),N(IFERROR(INDEX(po_rate,MATCH(C1004,po_code,0)),0))))</f>
        <v/>
      </c>
      <c r="R1004" s="55" t="str">
        <f>IF(AC1004=1,P1004*60/Q1004,"")</f>
        <v/>
      </c>
      <c r="S1004" s="55" t="str">
        <f>IF(AC1004=1,N(G1004)*60/Q1004,"")</f>
        <v/>
      </c>
      <c r="T1004" s="57" t="str">
        <f>IF(AC1004=1,O1004/M1004,"")</f>
        <v/>
      </c>
      <c r="U1004" s="57" t="str">
        <f>IF(AC1004=1,IF(O1004&gt;0,R1004/O1004,""),"")</f>
        <v/>
      </c>
      <c r="V1004" s="57" t="str">
        <f>IF(AC1004=1,IF(P1004&gt;0,N(G1004)/P1004,""),"")</f>
        <v/>
      </c>
      <c r="W1004" s="57" t="str">
        <f>IF(AC1004=1,S1004/M1004,"")</f>
        <v/>
      </c>
      <c r="X1004" s="57" t="str">
        <f>IF(AC1004=1,S1004/K1004,"")</f>
        <v/>
      </c>
      <c r="Y1004" s="58" t="str">
        <f>IF(W1004="","",IF(W1004&gt;=p_target,"Bon",IF(W1004&gt;=p_alert,"À surveiller","Faible")))</f>
        <v/>
      </c>
      <c r="Z1004" s="58" t="str">
        <f>IF(W1004="","",IF(MIN(IF(T1004="",1,T1004),IF(U1004="",1,U1004),IF(V1004="",1,V1004))&gt;=1,"Aucune",IF(IF(T1004="",1,T1004)&lt;=MIN(IF(U1004="",1,U1004),IF(V1004="",1,V1004)),"Disponibilité",IF(IF(U1004="",1,U1004)&lt;=IF(V1004="",1,V1004),"Performance","Qualité"))))</f>
        <v/>
      </c>
      <c r="AA1004" s="59" t="str">
        <f>IF(AC1004=1,N(H1004)*N(IFERROR(INDEX(art_cost,MATCH(E1004,art_ref,0)),0)),"")</f>
        <v/>
      </c>
      <c r="AB1004" s="58" t="str">
        <f>IF(COUNTA(A1004:I1004)=0,"",IF(N(A1004)&lt;=0,"Date manquante ou invalide",IF(B1004="","Équipe manquante",IF(ISNA(MATCH(B1004,eq_code,0)),"Équipe inconnue",IF(INDEX(eq_check,MATCH(B1004,eq_code,0))&lt;&gt;"OK","Équipe à corriger dans Paramètres",IF(C1004="","Poste manquant",IF(ISNA(MATCH(C1004,po_code,0)),"Poste inconnu",IF(AND(E1004&lt;&gt;"",ISNA(MATCH(E1004,art_ref,0))),"Article inconnu",IF(IF(E1004="",FALSE,INDEX(art_check,MATCH(E1004,art_ref,0))&lt;&gt;"OK"),"Article à corriger (feuille Articles)",IF(COUNTIFS(sj_date,A1004,sj_eq,B1004,sj_po,C1004)&gt;1,"Ligne en double (même jour, équipe et poste)",IF(OR(NOT(ISNUMBER(K1004)),N(K1004)&lt;=0,N(K1004)&gt;1440),"Temps d'ouverture invalide",IF(OR(AND(G1004&lt;&gt;"",NOT(ISNUMBER(G1004))),N(G1004)&lt;0,N(G1004)&lt;&gt;INT(N(G1004)),AND(H1004&lt;&gt;"",NOT(ISNUMBER(H1004))),N(H1004)&lt;0,N(H1004)&lt;&gt;INT(N(H1004)),AND(I1004&lt;&gt;"",NOT(ISNUMBER(I1004))),N(I1004)&lt;0,N(I1004)&lt;&gt;INT(N(I1004))),"Quantité invalide",IF(Q1004&lt;=0,"Cadence manquante (poste ou article)",IF(M1004&lt;=0,"Arrêts planifiés supérieurs au temps d'ouverture",IF(O1004&lt;0,"Arrêts supérieurs au temps requis",IF(AND(P1004&gt;0,O1004=0),"Pièces déclarées sans temps de marche",IF(AND(P1004=0,O1004&gt;0),"Aucune pièce déclarée",IF(P1004*60/Q1004&gt;O1004+0.001,"Cadence dépassée : vérifiez la cadence","OK"))))))))))))))))))</f>
        <v/>
      </c>
      <c r="AC1004">
        <f>IF(OR(AB1004="OK",AB1004="Aucune pièce déclarée",AB1004="Cadence dépassée : vérifiez la cadence"),1,0)</f>
        <v>0.0</v>
      </c>
      <c r="AD1004">
        <f>IF(AND(AC1004=1,A1004&gt;=p_from,A1004&lt;=p_to),1,0)</f>
        <v>0.0</v>
      </c>
      <c r="AE1004">
        <f>IF(AD1004=1,IF(COUNTIFS($A$6:A1004,A1004,$AD$6:AD1004,1)=1,1,0),0)</f>
        <v>0.0</v>
      </c>
      <c r="AF1004" t="str">
        <f>IF(AE1004=1,COUNTIFS(sj_first,1,sj_date,"&lt;"&amp;A1004)+1,"")</f>
        <v/>
      </c>
      <c r="AG1004" t="str">
        <f>IF(AND(AD1004=1,N(W1004)&lt;p_alert),ROUND(W1004,4),"")</f>
        <v/>
      </c>
      <c r="AH1004" t="str">
        <f>IF(AG1004="","",COUNTIF(sj_akey,"&lt;"&amp;AG1004)+COUNTIF($AG$6:AG1004,AG1004))</f>
        <v/>
      </c>
    </row>
    <row r="1005">
      <c r="A1005" s="51" t="n"/>
      <c r="B1005" s="52" t="n"/>
      <c r="C1005" s="52" t="n"/>
      <c r="D1005" s="53" t="n"/>
      <c r="E1005" s="53" t="n"/>
      <c r="F1005" s="54" t="n"/>
      <c r="G1005" s="54" t="n"/>
      <c r="H1005" s="54" t="n"/>
      <c r="I1005" s="54" t="n"/>
      <c r="J1005" s="53" t="n"/>
      <c r="K1005" s="55" t="str">
        <f>IF(COUNTA(A1005:I1005)=0,"",IF(F1005="",IFERROR(INDEX(eq_dur,MATCH(B1005,eq_code,0)),""),F1005))</f>
        <v/>
      </c>
      <c r="L1005" s="55" t="str">
        <f>IF(ISNUMBER(K1005),N(IFERROR(INDEX(eq_pause,MATCH(B1005,eq_code,0)),0))+SUMIFS(st_min,st_date,A1005,st_eq,B1005,st_po,C1005,st_type,"Planifié"),"")</f>
        <v/>
      </c>
      <c r="M1005" s="55" t="str">
        <f>IF(ISNUMBER(K1005),K1005-L1005,"")</f>
        <v/>
      </c>
      <c r="N1005" s="55" t="str">
        <f>IF(ISNUMBER(K1005),SUMIFS(st_min,st_date,A1005,st_eq,B1005,st_po,C1005,st_type,"Non planifié"),"")</f>
        <v/>
      </c>
      <c r="O1005" s="55" t="str">
        <f>IF(ISNUMBER(K1005),M1005-N1005,"")</f>
        <v/>
      </c>
      <c r="P1005" s="55" t="str">
        <f>IF(COUNTA(A1005:I1005)=0,"",N(G1005)+N(H1005)+N(I1005))</f>
        <v/>
      </c>
      <c r="Q1005" s="56" t="str">
        <f>IF(COUNTA(A1005:I1005)=0,"",IF(N(IFERROR(INDEX(art_rate,MATCH(E1005,art_ref,0)),0))&gt;0,N(IFERROR(INDEX(art_rate,MATCH(E1005,art_ref,0)),0)),N(IFERROR(INDEX(po_rate,MATCH(C1005,po_code,0)),0))))</f>
        <v/>
      </c>
      <c r="R1005" s="55" t="str">
        <f>IF(AC1005=1,P1005*60/Q1005,"")</f>
        <v/>
      </c>
      <c r="S1005" s="55" t="str">
        <f>IF(AC1005=1,N(G1005)*60/Q1005,"")</f>
        <v/>
      </c>
      <c r="T1005" s="57" t="str">
        <f>IF(AC1005=1,O1005/M1005,"")</f>
        <v/>
      </c>
      <c r="U1005" s="57" t="str">
        <f>IF(AC1005=1,IF(O1005&gt;0,R1005/O1005,""),"")</f>
        <v/>
      </c>
      <c r="V1005" s="57" t="str">
        <f>IF(AC1005=1,IF(P1005&gt;0,N(G1005)/P1005,""),"")</f>
        <v/>
      </c>
      <c r="W1005" s="57" t="str">
        <f>IF(AC1005=1,S1005/M1005,"")</f>
        <v/>
      </c>
      <c r="X1005" s="57" t="str">
        <f>IF(AC1005=1,S1005/K1005,"")</f>
        <v/>
      </c>
      <c r="Y1005" s="58" t="str">
        <f>IF(W1005="","",IF(W1005&gt;=p_target,"Bon",IF(W1005&gt;=p_alert,"À surveiller","Faible")))</f>
        <v/>
      </c>
      <c r="Z1005" s="58" t="str">
        <f>IF(W1005="","",IF(MIN(IF(T1005="",1,T1005),IF(U1005="",1,U1005),IF(V1005="",1,V1005))&gt;=1,"Aucune",IF(IF(T1005="",1,T1005)&lt;=MIN(IF(U1005="",1,U1005),IF(V1005="",1,V1005)),"Disponibilité",IF(IF(U1005="",1,U1005)&lt;=IF(V1005="",1,V1005),"Performance","Qualité"))))</f>
        <v/>
      </c>
      <c r="AA1005" s="59" t="str">
        <f>IF(AC1005=1,N(H1005)*N(IFERROR(INDEX(art_cost,MATCH(E1005,art_ref,0)),0)),"")</f>
        <v/>
      </c>
      <c r="AB1005" s="58" t="str">
        <f>IF(COUNTA(A1005:I1005)=0,"",IF(N(A1005)&lt;=0,"Date manquante ou invalide",IF(B1005="","Équipe manquante",IF(ISNA(MATCH(B1005,eq_code,0)),"Équipe inconnue",IF(INDEX(eq_check,MATCH(B1005,eq_code,0))&lt;&gt;"OK","Équipe à corriger dans Paramètres",IF(C1005="","Poste manquant",IF(ISNA(MATCH(C1005,po_code,0)),"Poste inconnu",IF(AND(E1005&lt;&gt;"",ISNA(MATCH(E1005,art_ref,0))),"Article inconnu",IF(IF(E1005="",FALSE,INDEX(art_check,MATCH(E1005,art_ref,0))&lt;&gt;"OK"),"Article à corriger (feuille Articles)",IF(COUNTIFS(sj_date,A1005,sj_eq,B1005,sj_po,C1005)&gt;1,"Ligne en double (même jour, équipe et poste)",IF(OR(NOT(ISNUMBER(K1005)),N(K1005)&lt;=0,N(K1005)&gt;1440),"Temps d'ouverture invalide",IF(OR(AND(G1005&lt;&gt;"",NOT(ISNUMBER(G1005))),N(G1005)&lt;0,N(G1005)&lt;&gt;INT(N(G1005)),AND(H1005&lt;&gt;"",NOT(ISNUMBER(H1005))),N(H1005)&lt;0,N(H1005)&lt;&gt;INT(N(H1005)),AND(I1005&lt;&gt;"",NOT(ISNUMBER(I1005))),N(I1005)&lt;0,N(I1005)&lt;&gt;INT(N(I1005))),"Quantité invalide",IF(Q1005&lt;=0,"Cadence manquante (poste ou article)",IF(M1005&lt;=0,"Arrêts planifiés supérieurs au temps d'ouverture",IF(O1005&lt;0,"Arrêts supérieurs au temps requis",IF(AND(P1005&gt;0,O1005=0),"Pièces déclarées sans temps de marche",IF(AND(P1005=0,O1005&gt;0),"Aucune pièce déclarée",IF(P1005*60/Q1005&gt;O1005+0.001,"Cadence dépassée : vérifiez la cadence","OK"))))))))))))))))))</f>
        <v/>
      </c>
      <c r="AC1005">
        <f>IF(OR(AB1005="OK",AB1005="Aucune pièce déclarée",AB1005="Cadence dépassée : vérifiez la cadence"),1,0)</f>
        <v>0.0</v>
      </c>
      <c r="AD1005">
        <f>IF(AND(AC1005=1,A1005&gt;=p_from,A1005&lt;=p_to),1,0)</f>
        <v>0.0</v>
      </c>
      <c r="AE1005">
        <f>IF(AD1005=1,IF(COUNTIFS($A$6:A1005,A1005,$AD$6:AD1005,1)=1,1,0),0)</f>
        <v>0.0</v>
      </c>
      <c r="AF1005" t="str">
        <f>IF(AE1005=1,COUNTIFS(sj_first,1,sj_date,"&lt;"&amp;A1005)+1,"")</f>
        <v/>
      </c>
      <c r="AG1005" t="str">
        <f>IF(AND(AD1005=1,N(W1005)&lt;p_alert),ROUND(W1005,4),"")</f>
        <v/>
      </c>
      <c r="AH1005" t="str">
        <f>IF(AG1005="","",COUNTIF(sj_akey,"&lt;"&amp;AG1005)+COUNTIF($AG$6:AG1005,AG1005))</f>
        <v/>
      </c>
    </row>
    <row r="1006">
      <c r="A1006" s="51" t="n"/>
      <c r="B1006" s="52" t="n"/>
      <c r="C1006" s="52" t="n"/>
      <c r="D1006" s="53" t="n"/>
      <c r="E1006" s="53" t="n"/>
      <c r="F1006" s="54" t="n"/>
      <c r="G1006" s="54" t="n"/>
      <c r="H1006" s="54" t="n"/>
      <c r="I1006" s="54" t="n"/>
      <c r="J1006" s="53" t="n"/>
      <c r="K1006" s="55" t="str">
        <f>IF(COUNTA(A1006:I1006)=0,"",IF(F1006="",IFERROR(INDEX(eq_dur,MATCH(B1006,eq_code,0)),""),F1006))</f>
        <v/>
      </c>
      <c r="L1006" s="55" t="str">
        <f>IF(ISNUMBER(K1006),N(IFERROR(INDEX(eq_pause,MATCH(B1006,eq_code,0)),0))+SUMIFS(st_min,st_date,A1006,st_eq,B1006,st_po,C1006,st_type,"Planifié"),"")</f>
        <v/>
      </c>
      <c r="M1006" s="55" t="str">
        <f>IF(ISNUMBER(K1006),K1006-L1006,"")</f>
        <v/>
      </c>
      <c r="N1006" s="55" t="str">
        <f>IF(ISNUMBER(K1006),SUMIFS(st_min,st_date,A1006,st_eq,B1006,st_po,C1006,st_type,"Non planifié"),"")</f>
        <v/>
      </c>
      <c r="O1006" s="55" t="str">
        <f>IF(ISNUMBER(K1006),M1006-N1006,"")</f>
        <v/>
      </c>
      <c r="P1006" s="55" t="str">
        <f>IF(COUNTA(A1006:I1006)=0,"",N(G1006)+N(H1006)+N(I1006))</f>
        <v/>
      </c>
      <c r="Q1006" s="56" t="str">
        <f>IF(COUNTA(A1006:I1006)=0,"",IF(N(IFERROR(INDEX(art_rate,MATCH(E1006,art_ref,0)),0))&gt;0,N(IFERROR(INDEX(art_rate,MATCH(E1006,art_ref,0)),0)),N(IFERROR(INDEX(po_rate,MATCH(C1006,po_code,0)),0))))</f>
        <v/>
      </c>
      <c r="R1006" s="55" t="str">
        <f>IF(AC1006=1,P1006*60/Q1006,"")</f>
        <v/>
      </c>
      <c r="S1006" s="55" t="str">
        <f>IF(AC1006=1,N(G1006)*60/Q1006,"")</f>
        <v/>
      </c>
      <c r="T1006" s="57" t="str">
        <f>IF(AC1006=1,O1006/M1006,"")</f>
        <v/>
      </c>
      <c r="U1006" s="57" t="str">
        <f>IF(AC1006=1,IF(O1006&gt;0,R1006/O1006,""),"")</f>
        <v/>
      </c>
      <c r="V1006" s="57" t="str">
        <f>IF(AC1006=1,IF(P1006&gt;0,N(G1006)/P1006,""),"")</f>
        <v/>
      </c>
      <c r="W1006" s="57" t="str">
        <f>IF(AC1006=1,S1006/M1006,"")</f>
        <v/>
      </c>
      <c r="X1006" s="57" t="str">
        <f>IF(AC1006=1,S1006/K1006,"")</f>
        <v/>
      </c>
      <c r="Y1006" s="58" t="str">
        <f>IF(W1006="","",IF(W1006&gt;=p_target,"Bon",IF(W1006&gt;=p_alert,"À surveiller","Faible")))</f>
        <v/>
      </c>
      <c r="Z1006" s="58" t="str">
        <f>IF(W1006="","",IF(MIN(IF(T1006="",1,T1006),IF(U1006="",1,U1006),IF(V1006="",1,V1006))&gt;=1,"Aucune",IF(IF(T1006="",1,T1006)&lt;=MIN(IF(U1006="",1,U1006),IF(V1006="",1,V1006)),"Disponibilité",IF(IF(U1006="",1,U1006)&lt;=IF(V1006="",1,V1006),"Performance","Qualité"))))</f>
        <v/>
      </c>
      <c r="AA1006" s="59" t="str">
        <f>IF(AC1006=1,N(H1006)*N(IFERROR(INDEX(art_cost,MATCH(E1006,art_ref,0)),0)),"")</f>
        <v/>
      </c>
      <c r="AB1006" s="58" t="str">
        <f>IF(COUNTA(A1006:I1006)=0,"",IF(N(A1006)&lt;=0,"Date manquante ou invalide",IF(B1006="","Équipe manquante",IF(ISNA(MATCH(B1006,eq_code,0)),"Équipe inconnue",IF(INDEX(eq_check,MATCH(B1006,eq_code,0))&lt;&gt;"OK","Équipe à corriger dans Paramètres",IF(C1006="","Poste manquant",IF(ISNA(MATCH(C1006,po_code,0)),"Poste inconnu",IF(AND(E1006&lt;&gt;"",ISNA(MATCH(E1006,art_ref,0))),"Article inconnu",IF(IF(E1006="",FALSE,INDEX(art_check,MATCH(E1006,art_ref,0))&lt;&gt;"OK"),"Article à corriger (feuille Articles)",IF(COUNTIFS(sj_date,A1006,sj_eq,B1006,sj_po,C1006)&gt;1,"Ligne en double (même jour, équipe et poste)",IF(OR(NOT(ISNUMBER(K1006)),N(K1006)&lt;=0,N(K1006)&gt;1440),"Temps d'ouverture invalide",IF(OR(AND(G1006&lt;&gt;"",NOT(ISNUMBER(G1006))),N(G1006)&lt;0,N(G1006)&lt;&gt;INT(N(G1006)),AND(H1006&lt;&gt;"",NOT(ISNUMBER(H1006))),N(H1006)&lt;0,N(H1006)&lt;&gt;INT(N(H1006)),AND(I1006&lt;&gt;"",NOT(ISNUMBER(I1006))),N(I1006)&lt;0,N(I1006)&lt;&gt;INT(N(I1006))),"Quantité invalide",IF(Q1006&lt;=0,"Cadence manquante (poste ou article)",IF(M1006&lt;=0,"Arrêts planifiés supérieurs au temps d'ouverture",IF(O1006&lt;0,"Arrêts supérieurs au temps requis",IF(AND(P1006&gt;0,O1006=0),"Pièces déclarées sans temps de marche",IF(AND(P1006=0,O1006&gt;0),"Aucune pièce déclarée",IF(P1006*60/Q1006&gt;O1006+0.001,"Cadence dépassée : vérifiez la cadence","OK"))))))))))))))))))</f>
        <v/>
      </c>
      <c r="AC1006">
        <f>IF(OR(AB1006="OK",AB1006="Aucune pièce déclarée",AB1006="Cadence dépassée : vérifiez la cadence"),1,0)</f>
        <v>0.0</v>
      </c>
      <c r="AD1006">
        <f>IF(AND(AC1006=1,A1006&gt;=p_from,A1006&lt;=p_to),1,0)</f>
        <v>0.0</v>
      </c>
      <c r="AE1006">
        <f>IF(AD1006=1,IF(COUNTIFS($A$6:A1006,A1006,$AD$6:AD1006,1)=1,1,0),0)</f>
        <v>0.0</v>
      </c>
      <c r="AF1006" t="str">
        <f>IF(AE1006=1,COUNTIFS(sj_first,1,sj_date,"&lt;"&amp;A1006)+1,"")</f>
        <v/>
      </c>
      <c r="AG1006" t="str">
        <f>IF(AND(AD1006=1,N(W1006)&lt;p_alert),ROUND(W1006,4),"")</f>
        <v/>
      </c>
      <c r="AH1006" t="str">
        <f>IF(AG1006="","",COUNTIF(sj_akey,"&lt;"&amp;AG1006)+COUNTIF($AG$6:AG1006,AG1006))</f>
        <v/>
      </c>
    </row>
    <row r="1007">
      <c r="A1007" s="51" t="n"/>
      <c r="B1007" s="52" t="n"/>
      <c r="C1007" s="52" t="n"/>
      <c r="D1007" s="53" t="n"/>
      <c r="E1007" s="53" t="n"/>
      <c r="F1007" s="54" t="n"/>
      <c r="G1007" s="54" t="n"/>
      <c r="H1007" s="54" t="n"/>
      <c r="I1007" s="54" t="n"/>
      <c r="J1007" s="53" t="n"/>
      <c r="K1007" s="55" t="str">
        <f>IF(COUNTA(A1007:I1007)=0,"",IF(F1007="",IFERROR(INDEX(eq_dur,MATCH(B1007,eq_code,0)),""),F1007))</f>
        <v/>
      </c>
      <c r="L1007" s="55" t="str">
        <f>IF(ISNUMBER(K1007),N(IFERROR(INDEX(eq_pause,MATCH(B1007,eq_code,0)),0))+SUMIFS(st_min,st_date,A1007,st_eq,B1007,st_po,C1007,st_type,"Planifié"),"")</f>
        <v/>
      </c>
      <c r="M1007" s="55" t="str">
        <f>IF(ISNUMBER(K1007),K1007-L1007,"")</f>
        <v/>
      </c>
      <c r="N1007" s="55" t="str">
        <f>IF(ISNUMBER(K1007),SUMIFS(st_min,st_date,A1007,st_eq,B1007,st_po,C1007,st_type,"Non planifié"),"")</f>
        <v/>
      </c>
      <c r="O1007" s="55" t="str">
        <f>IF(ISNUMBER(K1007),M1007-N1007,"")</f>
        <v/>
      </c>
      <c r="P1007" s="55" t="str">
        <f>IF(COUNTA(A1007:I1007)=0,"",N(G1007)+N(H1007)+N(I1007))</f>
        <v/>
      </c>
      <c r="Q1007" s="56" t="str">
        <f>IF(COUNTA(A1007:I1007)=0,"",IF(N(IFERROR(INDEX(art_rate,MATCH(E1007,art_ref,0)),0))&gt;0,N(IFERROR(INDEX(art_rate,MATCH(E1007,art_ref,0)),0)),N(IFERROR(INDEX(po_rate,MATCH(C1007,po_code,0)),0))))</f>
        <v/>
      </c>
      <c r="R1007" s="55" t="str">
        <f>IF(AC1007=1,P1007*60/Q1007,"")</f>
        <v/>
      </c>
      <c r="S1007" s="55" t="str">
        <f>IF(AC1007=1,N(G1007)*60/Q1007,"")</f>
        <v/>
      </c>
      <c r="T1007" s="57" t="str">
        <f>IF(AC1007=1,O1007/M1007,"")</f>
        <v/>
      </c>
      <c r="U1007" s="57" t="str">
        <f>IF(AC1007=1,IF(O1007&gt;0,R1007/O1007,""),"")</f>
        <v/>
      </c>
      <c r="V1007" s="57" t="str">
        <f>IF(AC1007=1,IF(P1007&gt;0,N(G1007)/P1007,""),"")</f>
        <v/>
      </c>
      <c r="W1007" s="57" t="str">
        <f>IF(AC1007=1,S1007/M1007,"")</f>
        <v/>
      </c>
      <c r="X1007" s="57" t="str">
        <f>IF(AC1007=1,S1007/K1007,"")</f>
        <v/>
      </c>
      <c r="Y1007" s="58" t="str">
        <f>IF(W1007="","",IF(W1007&gt;=p_target,"Bon",IF(W1007&gt;=p_alert,"À surveiller","Faible")))</f>
        <v/>
      </c>
      <c r="Z1007" s="58" t="str">
        <f>IF(W1007="","",IF(MIN(IF(T1007="",1,T1007),IF(U1007="",1,U1007),IF(V1007="",1,V1007))&gt;=1,"Aucune",IF(IF(T1007="",1,T1007)&lt;=MIN(IF(U1007="",1,U1007),IF(V1007="",1,V1007)),"Disponibilité",IF(IF(U1007="",1,U1007)&lt;=IF(V1007="",1,V1007),"Performance","Qualité"))))</f>
        <v/>
      </c>
      <c r="AA1007" s="59" t="str">
        <f>IF(AC1007=1,N(H1007)*N(IFERROR(INDEX(art_cost,MATCH(E1007,art_ref,0)),0)),"")</f>
        <v/>
      </c>
      <c r="AB1007" s="58" t="str">
        <f>IF(COUNTA(A1007:I1007)=0,"",IF(N(A1007)&lt;=0,"Date manquante ou invalide",IF(B1007="","Équipe manquante",IF(ISNA(MATCH(B1007,eq_code,0)),"Équipe inconnue",IF(INDEX(eq_check,MATCH(B1007,eq_code,0))&lt;&gt;"OK","Équipe à corriger dans Paramètres",IF(C1007="","Poste manquant",IF(ISNA(MATCH(C1007,po_code,0)),"Poste inconnu",IF(AND(E1007&lt;&gt;"",ISNA(MATCH(E1007,art_ref,0))),"Article inconnu",IF(IF(E1007="",FALSE,INDEX(art_check,MATCH(E1007,art_ref,0))&lt;&gt;"OK"),"Article à corriger (feuille Articles)",IF(COUNTIFS(sj_date,A1007,sj_eq,B1007,sj_po,C1007)&gt;1,"Ligne en double (même jour, équipe et poste)",IF(OR(NOT(ISNUMBER(K1007)),N(K1007)&lt;=0,N(K1007)&gt;1440),"Temps d'ouverture invalide",IF(OR(AND(G1007&lt;&gt;"",NOT(ISNUMBER(G1007))),N(G1007)&lt;0,N(G1007)&lt;&gt;INT(N(G1007)),AND(H1007&lt;&gt;"",NOT(ISNUMBER(H1007))),N(H1007)&lt;0,N(H1007)&lt;&gt;INT(N(H1007)),AND(I1007&lt;&gt;"",NOT(ISNUMBER(I1007))),N(I1007)&lt;0,N(I1007)&lt;&gt;INT(N(I1007))),"Quantité invalide",IF(Q1007&lt;=0,"Cadence manquante (poste ou article)",IF(M1007&lt;=0,"Arrêts planifiés supérieurs au temps d'ouverture",IF(O1007&lt;0,"Arrêts supérieurs au temps requis",IF(AND(P1007&gt;0,O1007=0),"Pièces déclarées sans temps de marche",IF(AND(P1007=0,O1007&gt;0),"Aucune pièce déclarée",IF(P1007*60/Q1007&gt;O1007+0.001,"Cadence dépassée : vérifiez la cadence","OK"))))))))))))))))))</f>
        <v/>
      </c>
      <c r="AC1007">
        <f>IF(OR(AB1007="OK",AB1007="Aucune pièce déclarée",AB1007="Cadence dépassée : vérifiez la cadence"),1,0)</f>
        <v>0.0</v>
      </c>
      <c r="AD1007">
        <f>IF(AND(AC1007=1,A1007&gt;=p_from,A1007&lt;=p_to),1,0)</f>
        <v>0.0</v>
      </c>
      <c r="AE1007">
        <f>IF(AD1007=1,IF(COUNTIFS($A$6:A1007,A1007,$AD$6:AD1007,1)=1,1,0),0)</f>
        <v>0.0</v>
      </c>
      <c r="AF1007" t="str">
        <f>IF(AE1007=1,COUNTIFS(sj_first,1,sj_date,"&lt;"&amp;A1007)+1,"")</f>
        <v/>
      </c>
      <c r="AG1007" t="str">
        <f>IF(AND(AD1007=1,N(W1007)&lt;p_alert),ROUND(W1007,4),"")</f>
        <v/>
      </c>
      <c r="AH1007" t="str">
        <f>IF(AG1007="","",COUNTIF(sj_akey,"&lt;"&amp;AG1007)+COUNTIF($AG$6:AG1007,AG1007))</f>
        <v/>
      </c>
    </row>
    <row r="1008">
      <c r="A1008" s="51" t="n"/>
      <c r="B1008" s="52" t="n"/>
      <c r="C1008" s="52" t="n"/>
      <c r="D1008" s="53" t="n"/>
      <c r="E1008" s="53" t="n"/>
      <c r="F1008" s="54" t="n"/>
      <c r="G1008" s="54" t="n"/>
      <c r="H1008" s="54" t="n"/>
      <c r="I1008" s="54" t="n"/>
      <c r="J1008" s="53" t="n"/>
      <c r="K1008" s="55" t="str">
        <f>IF(COUNTA(A1008:I1008)=0,"",IF(F1008="",IFERROR(INDEX(eq_dur,MATCH(B1008,eq_code,0)),""),F1008))</f>
        <v/>
      </c>
      <c r="L1008" s="55" t="str">
        <f>IF(ISNUMBER(K1008),N(IFERROR(INDEX(eq_pause,MATCH(B1008,eq_code,0)),0))+SUMIFS(st_min,st_date,A1008,st_eq,B1008,st_po,C1008,st_type,"Planifié"),"")</f>
        <v/>
      </c>
      <c r="M1008" s="55" t="str">
        <f>IF(ISNUMBER(K1008),K1008-L1008,"")</f>
        <v/>
      </c>
      <c r="N1008" s="55" t="str">
        <f>IF(ISNUMBER(K1008),SUMIFS(st_min,st_date,A1008,st_eq,B1008,st_po,C1008,st_type,"Non planifié"),"")</f>
        <v/>
      </c>
      <c r="O1008" s="55" t="str">
        <f>IF(ISNUMBER(K1008),M1008-N1008,"")</f>
        <v/>
      </c>
      <c r="P1008" s="55" t="str">
        <f>IF(COUNTA(A1008:I1008)=0,"",N(G1008)+N(H1008)+N(I1008))</f>
        <v/>
      </c>
      <c r="Q1008" s="56" t="str">
        <f>IF(COUNTA(A1008:I1008)=0,"",IF(N(IFERROR(INDEX(art_rate,MATCH(E1008,art_ref,0)),0))&gt;0,N(IFERROR(INDEX(art_rate,MATCH(E1008,art_ref,0)),0)),N(IFERROR(INDEX(po_rate,MATCH(C1008,po_code,0)),0))))</f>
        <v/>
      </c>
      <c r="R1008" s="55" t="str">
        <f>IF(AC1008=1,P1008*60/Q1008,"")</f>
        <v/>
      </c>
      <c r="S1008" s="55" t="str">
        <f>IF(AC1008=1,N(G1008)*60/Q1008,"")</f>
        <v/>
      </c>
      <c r="T1008" s="57" t="str">
        <f>IF(AC1008=1,O1008/M1008,"")</f>
        <v/>
      </c>
      <c r="U1008" s="57" t="str">
        <f>IF(AC1008=1,IF(O1008&gt;0,R1008/O1008,""),"")</f>
        <v/>
      </c>
      <c r="V1008" s="57" t="str">
        <f>IF(AC1008=1,IF(P1008&gt;0,N(G1008)/P1008,""),"")</f>
        <v/>
      </c>
      <c r="W1008" s="57" t="str">
        <f>IF(AC1008=1,S1008/M1008,"")</f>
        <v/>
      </c>
      <c r="X1008" s="57" t="str">
        <f>IF(AC1008=1,S1008/K1008,"")</f>
        <v/>
      </c>
      <c r="Y1008" s="58" t="str">
        <f>IF(W1008="","",IF(W1008&gt;=p_target,"Bon",IF(W1008&gt;=p_alert,"À surveiller","Faible")))</f>
        <v/>
      </c>
      <c r="Z1008" s="58" t="str">
        <f>IF(W1008="","",IF(MIN(IF(T1008="",1,T1008),IF(U1008="",1,U1008),IF(V1008="",1,V1008))&gt;=1,"Aucune",IF(IF(T1008="",1,T1008)&lt;=MIN(IF(U1008="",1,U1008),IF(V1008="",1,V1008)),"Disponibilité",IF(IF(U1008="",1,U1008)&lt;=IF(V1008="",1,V1008),"Performance","Qualité"))))</f>
        <v/>
      </c>
      <c r="AA1008" s="59" t="str">
        <f>IF(AC1008=1,N(H1008)*N(IFERROR(INDEX(art_cost,MATCH(E1008,art_ref,0)),0)),"")</f>
        <v/>
      </c>
      <c r="AB1008" s="58" t="str">
        <f>IF(COUNTA(A1008:I1008)=0,"",IF(N(A1008)&lt;=0,"Date manquante ou invalide",IF(B1008="","Équipe manquante",IF(ISNA(MATCH(B1008,eq_code,0)),"Équipe inconnue",IF(INDEX(eq_check,MATCH(B1008,eq_code,0))&lt;&gt;"OK","Équipe à corriger dans Paramètres",IF(C1008="","Poste manquant",IF(ISNA(MATCH(C1008,po_code,0)),"Poste inconnu",IF(AND(E1008&lt;&gt;"",ISNA(MATCH(E1008,art_ref,0))),"Article inconnu",IF(IF(E1008="",FALSE,INDEX(art_check,MATCH(E1008,art_ref,0))&lt;&gt;"OK"),"Article à corriger (feuille Articles)",IF(COUNTIFS(sj_date,A1008,sj_eq,B1008,sj_po,C1008)&gt;1,"Ligne en double (même jour, équipe et poste)",IF(OR(NOT(ISNUMBER(K1008)),N(K1008)&lt;=0,N(K1008)&gt;1440),"Temps d'ouverture invalide",IF(OR(AND(G1008&lt;&gt;"",NOT(ISNUMBER(G1008))),N(G1008)&lt;0,N(G1008)&lt;&gt;INT(N(G1008)),AND(H1008&lt;&gt;"",NOT(ISNUMBER(H1008))),N(H1008)&lt;0,N(H1008)&lt;&gt;INT(N(H1008)),AND(I1008&lt;&gt;"",NOT(ISNUMBER(I1008))),N(I1008)&lt;0,N(I1008)&lt;&gt;INT(N(I1008))),"Quantité invalide",IF(Q1008&lt;=0,"Cadence manquante (poste ou article)",IF(M1008&lt;=0,"Arrêts planifiés supérieurs au temps d'ouverture",IF(O1008&lt;0,"Arrêts supérieurs au temps requis",IF(AND(P1008&gt;0,O1008=0),"Pièces déclarées sans temps de marche",IF(AND(P1008=0,O1008&gt;0),"Aucune pièce déclarée",IF(P1008*60/Q1008&gt;O1008+0.001,"Cadence dépassée : vérifiez la cadence","OK"))))))))))))))))))</f>
        <v/>
      </c>
      <c r="AC1008">
        <f>IF(OR(AB1008="OK",AB1008="Aucune pièce déclarée",AB1008="Cadence dépassée : vérifiez la cadence"),1,0)</f>
        <v>0.0</v>
      </c>
      <c r="AD1008">
        <f>IF(AND(AC1008=1,A1008&gt;=p_from,A1008&lt;=p_to),1,0)</f>
        <v>0.0</v>
      </c>
      <c r="AE1008">
        <f>IF(AD1008=1,IF(COUNTIFS($A$6:A1008,A1008,$AD$6:AD1008,1)=1,1,0),0)</f>
        <v>0.0</v>
      </c>
      <c r="AF1008" t="str">
        <f>IF(AE1008=1,COUNTIFS(sj_first,1,sj_date,"&lt;"&amp;A1008)+1,"")</f>
        <v/>
      </c>
      <c r="AG1008" t="str">
        <f>IF(AND(AD1008=1,N(W1008)&lt;p_alert),ROUND(W1008,4),"")</f>
        <v/>
      </c>
      <c r="AH1008" t="str">
        <f>IF(AG1008="","",COUNTIF(sj_akey,"&lt;"&amp;AG1008)+COUNTIF($AG$6:AG1008,AG1008))</f>
        <v/>
      </c>
    </row>
    <row r="1009">
      <c r="A1009" s="51" t="n"/>
      <c r="B1009" s="52" t="n"/>
      <c r="C1009" s="52" t="n"/>
      <c r="D1009" s="53" t="n"/>
      <c r="E1009" s="53" t="n"/>
      <c r="F1009" s="54" t="n"/>
      <c r="G1009" s="54" t="n"/>
      <c r="H1009" s="54" t="n"/>
      <c r="I1009" s="54" t="n"/>
      <c r="J1009" s="53" t="n"/>
      <c r="K1009" s="55" t="str">
        <f>IF(COUNTA(A1009:I1009)=0,"",IF(F1009="",IFERROR(INDEX(eq_dur,MATCH(B1009,eq_code,0)),""),F1009))</f>
        <v/>
      </c>
      <c r="L1009" s="55" t="str">
        <f>IF(ISNUMBER(K1009),N(IFERROR(INDEX(eq_pause,MATCH(B1009,eq_code,0)),0))+SUMIFS(st_min,st_date,A1009,st_eq,B1009,st_po,C1009,st_type,"Planifié"),"")</f>
        <v/>
      </c>
      <c r="M1009" s="55" t="str">
        <f>IF(ISNUMBER(K1009),K1009-L1009,"")</f>
        <v/>
      </c>
      <c r="N1009" s="55" t="str">
        <f>IF(ISNUMBER(K1009),SUMIFS(st_min,st_date,A1009,st_eq,B1009,st_po,C1009,st_type,"Non planifié"),"")</f>
        <v/>
      </c>
      <c r="O1009" s="55" t="str">
        <f>IF(ISNUMBER(K1009),M1009-N1009,"")</f>
        <v/>
      </c>
      <c r="P1009" s="55" t="str">
        <f>IF(COUNTA(A1009:I1009)=0,"",N(G1009)+N(H1009)+N(I1009))</f>
        <v/>
      </c>
      <c r="Q1009" s="56" t="str">
        <f>IF(COUNTA(A1009:I1009)=0,"",IF(N(IFERROR(INDEX(art_rate,MATCH(E1009,art_ref,0)),0))&gt;0,N(IFERROR(INDEX(art_rate,MATCH(E1009,art_ref,0)),0)),N(IFERROR(INDEX(po_rate,MATCH(C1009,po_code,0)),0))))</f>
        <v/>
      </c>
      <c r="R1009" s="55" t="str">
        <f>IF(AC1009=1,P1009*60/Q1009,"")</f>
        <v/>
      </c>
      <c r="S1009" s="55" t="str">
        <f>IF(AC1009=1,N(G1009)*60/Q1009,"")</f>
        <v/>
      </c>
      <c r="T1009" s="57" t="str">
        <f>IF(AC1009=1,O1009/M1009,"")</f>
        <v/>
      </c>
      <c r="U1009" s="57" t="str">
        <f>IF(AC1009=1,IF(O1009&gt;0,R1009/O1009,""),"")</f>
        <v/>
      </c>
      <c r="V1009" s="57" t="str">
        <f>IF(AC1009=1,IF(P1009&gt;0,N(G1009)/P1009,""),"")</f>
        <v/>
      </c>
      <c r="W1009" s="57" t="str">
        <f>IF(AC1009=1,S1009/M1009,"")</f>
        <v/>
      </c>
      <c r="X1009" s="57" t="str">
        <f>IF(AC1009=1,S1009/K1009,"")</f>
        <v/>
      </c>
      <c r="Y1009" s="58" t="str">
        <f>IF(W1009="","",IF(W1009&gt;=p_target,"Bon",IF(W1009&gt;=p_alert,"À surveiller","Faible")))</f>
        <v/>
      </c>
      <c r="Z1009" s="58" t="str">
        <f>IF(W1009="","",IF(MIN(IF(T1009="",1,T1009),IF(U1009="",1,U1009),IF(V1009="",1,V1009))&gt;=1,"Aucune",IF(IF(T1009="",1,T1009)&lt;=MIN(IF(U1009="",1,U1009),IF(V1009="",1,V1009)),"Disponibilité",IF(IF(U1009="",1,U1009)&lt;=IF(V1009="",1,V1009),"Performance","Qualité"))))</f>
        <v/>
      </c>
      <c r="AA1009" s="59" t="str">
        <f>IF(AC1009=1,N(H1009)*N(IFERROR(INDEX(art_cost,MATCH(E1009,art_ref,0)),0)),"")</f>
        <v/>
      </c>
      <c r="AB1009" s="58" t="str">
        <f>IF(COUNTA(A1009:I1009)=0,"",IF(N(A1009)&lt;=0,"Date manquante ou invalide",IF(B1009="","Équipe manquante",IF(ISNA(MATCH(B1009,eq_code,0)),"Équipe inconnue",IF(INDEX(eq_check,MATCH(B1009,eq_code,0))&lt;&gt;"OK","Équipe à corriger dans Paramètres",IF(C1009="","Poste manquant",IF(ISNA(MATCH(C1009,po_code,0)),"Poste inconnu",IF(AND(E1009&lt;&gt;"",ISNA(MATCH(E1009,art_ref,0))),"Article inconnu",IF(IF(E1009="",FALSE,INDEX(art_check,MATCH(E1009,art_ref,0))&lt;&gt;"OK"),"Article à corriger (feuille Articles)",IF(COUNTIFS(sj_date,A1009,sj_eq,B1009,sj_po,C1009)&gt;1,"Ligne en double (même jour, équipe et poste)",IF(OR(NOT(ISNUMBER(K1009)),N(K1009)&lt;=0,N(K1009)&gt;1440),"Temps d'ouverture invalide",IF(OR(AND(G1009&lt;&gt;"",NOT(ISNUMBER(G1009))),N(G1009)&lt;0,N(G1009)&lt;&gt;INT(N(G1009)),AND(H1009&lt;&gt;"",NOT(ISNUMBER(H1009))),N(H1009)&lt;0,N(H1009)&lt;&gt;INT(N(H1009)),AND(I1009&lt;&gt;"",NOT(ISNUMBER(I1009))),N(I1009)&lt;0,N(I1009)&lt;&gt;INT(N(I1009))),"Quantité invalide",IF(Q1009&lt;=0,"Cadence manquante (poste ou article)",IF(M1009&lt;=0,"Arrêts planifiés supérieurs au temps d'ouverture",IF(O1009&lt;0,"Arrêts supérieurs au temps requis",IF(AND(P1009&gt;0,O1009=0),"Pièces déclarées sans temps de marche",IF(AND(P1009=0,O1009&gt;0),"Aucune pièce déclarée",IF(P1009*60/Q1009&gt;O1009+0.001,"Cadence dépassée : vérifiez la cadence","OK"))))))))))))))))))</f>
        <v/>
      </c>
      <c r="AC1009">
        <f>IF(OR(AB1009="OK",AB1009="Aucune pièce déclarée",AB1009="Cadence dépassée : vérifiez la cadence"),1,0)</f>
        <v>0.0</v>
      </c>
      <c r="AD1009">
        <f>IF(AND(AC1009=1,A1009&gt;=p_from,A1009&lt;=p_to),1,0)</f>
        <v>0.0</v>
      </c>
      <c r="AE1009">
        <f>IF(AD1009=1,IF(COUNTIFS($A$6:A1009,A1009,$AD$6:AD1009,1)=1,1,0),0)</f>
        <v>0.0</v>
      </c>
      <c r="AF1009" t="str">
        <f>IF(AE1009=1,COUNTIFS(sj_first,1,sj_date,"&lt;"&amp;A1009)+1,"")</f>
        <v/>
      </c>
      <c r="AG1009" t="str">
        <f>IF(AND(AD1009=1,N(W1009)&lt;p_alert),ROUND(W1009,4),"")</f>
        <v/>
      </c>
      <c r="AH1009" t="str">
        <f>IF(AG1009="","",COUNTIF(sj_akey,"&lt;"&amp;AG1009)+COUNTIF($AG$6:AG1009,AG1009))</f>
        <v/>
      </c>
    </row>
    <row r="1010">
      <c r="A1010" s="51" t="n"/>
      <c r="B1010" s="52" t="n"/>
      <c r="C1010" s="52" t="n"/>
      <c r="D1010" s="53" t="n"/>
      <c r="E1010" s="53" t="n"/>
      <c r="F1010" s="54" t="n"/>
      <c r="G1010" s="54" t="n"/>
      <c r="H1010" s="54" t="n"/>
      <c r="I1010" s="54" t="n"/>
      <c r="J1010" s="53" t="n"/>
      <c r="K1010" s="55" t="str">
        <f>IF(COUNTA(A1010:I1010)=0,"",IF(F1010="",IFERROR(INDEX(eq_dur,MATCH(B1010,eq_code,0)),""),F1010))</f>
        <v/>
      </c>
      <c r="L1010" s="55" t="str">
        <f>IF(ISNUMBER(K1010),N(IFERROR(INDEX(eq_pause,MATCH(B1010,eq_code,0)),0))+SUMIFS(st_min,st_date,A1010,st_eq,B1010,st_po,C1010,st_type,"Planifié"),"")</f>
        <v/>
      </c>
      <c r="M1010" s="55" t="str">
        <f>IF(ISNUMBER(K1010),K1010-L1010,"")</f>
        <v/>
      </c>
      <c r="N1010" s="55" t="str">
        <f>IF(ISNUMBER(K1010),SUMIFS(st_min,st_date,A1010,st_eq,B1010,st_po,C1010,st_type,"Non planifié"),"")</f>
        <v/>
      </c>
      <c r="O1010" s="55" t="str">
        <f>IF(ISNUMBER(K1010),M1010-N1010,"")</f>
        <v/>
      </c>
      <c r="P1010" s="55" t="str">
        <f>IF(COUNTA(A1010:I1010)=0,"",N(G1010)+N(H1010)+N(I1010))</f>
        <v/>
      </c>
      <c r="Q1010" s="56" t="str">
        <f>IF(COUNTA(A1010:I1010)=0,"",IF(N(IFERROR(INDEX(art_rate,MATCH(E1010,art_ref,0)),0))&gt;0,N(IFERROR(INDEX(art_rate,MATCH(E1010,art_ref,0)),0)),N(IFERROR(INDEX(po_rate,MATCH(C1010,po_code,0)),0))))</f>
        <v/>
      </c>
      <c r="R1010" s="55" t="str">
        <f>IF(AC1010=1,P1010*60/Q1010,"")</f>
        <v/>
      </c>
      <c r="S1010" s="55" t="str">
        <f>IF(AC1010=1,N(G1010)*60/Q1010,"")</f>
        <v/>
      </c>
      <c r="T1010" s="57" t="str">
        <f>IF(AC1010=1,O1010/M1010,"")</f>
        <v/>
      </c>
      <c r="U1010" s="57" t="str">
        <f>IF(AC1010=1,IF(O1010&gt;0,R1010/O1010,""),"")</f>
        <v/>
      </c>
      <c r="V1010" s="57" t="str">
        <f>IF(AC1010=1,IF(P1010&gt;0,N(G1010)/P1010,""),"")</f>
        <v/>
      </c>
      <c r="W1010" s="57" t="str">
        <f>IF(AC1010=1,S1010/M1010,"")</f>
        <v/>
      </c>
      <c r="X1010" s="57" t="str">
        <f>IF(AC1010=1,S1010/K1010,"")</f>
        <v/>
      </c>
      <c r="Y1010" s="58" t="str">
        <f>IF(W1010="","",IF(W1010&gt;=p_target,"Bon",IF(W1010&gt;=p_alert,"À surveiller","Faible")))</f>
        <v/>
      </c>
      <c r="Z1010" s="58" t="str">
        <f>IF(W1010="","",IF(MIN(IF(T1010="",1,T1010),IF(U1010="",1,U1010),IF(V1010="",1,V1010))&gt;=1,"Aucune",IF(IF(T1010="",1,T1010)&lt;=MIN(IF(U1010="",1,U1010),IF(V1010="",1,V1010)),"Disponibilité",IF(IF(U1010="",1,U1010)&lt;=IF(V1010="",1,V1010),"Performance","Qualité"))))</f>
        <v/>
      </c>
      <c r="AA1010" s="59" t="str">
        <f>IF(AC1010=1,N(H1010)*N(IFERROR(INDEX(art_cost,MATCH(E1010,art_ref,0)),0)),"")</f>
        <v/>
      </c>
      <c r="AB1010" s="58" t="str">
        <f>IF(COUNTA(A1010:I1010)=0,"",IF(N(A1010)&lt;=0,"Date manquante ou invalide",IF(B1010="","Équipe manquante",IF(ISNA(MATCH(B1010,eq_code,0)),"Équipe inconnue",IF(INDEX(eq_check,MATCH(B1010,eq_code,0))&lt;&gt;"OK","Équipe à corriger dans Paramètres",IF(C1010="","Poste manquant",IF(ISNA(MATCH(C1010,po_code,0)),"Poste inconnu",IF(AND(E1010&lt;&gt;"",ISNA(MATCH(E1010,art_ref,0))),"Article inconnu",IF(IF(E1010="",FALSE,INDEX(art_check,MATCH(E1010,art_ref,0))&lt;&gt;"OK"),"Article à corriger (feuille Articles)",IF(COUNTIFS(sj_date,A1010,sj_eq,B1010,sj_po,C1010)&gt;1,"Ligne en double (même jour, équipe et poste)",IF(OR(NOT(ISNUMBER(K1010)),N(K1010)&lt;=0,N(K1010)&gt;1440),"Temps d'ouverture invalide",IF(OR(AND(G1010&lt;&gt;"",NOT(ISNUMBER(G1010))),N(G1010)&lt;0,N(G1010)&lt;&gt;INT(N(G1010)),AND(H1010&lt;&gt;"",NOT(ISNUMBER(H1010))),N(H1010)&lt;0,N(H1010)&lt;&gt;INT(N(H1010)),AND(I1010&lt;&gt;"",NOT(ISNUMBER(I1010))),N(I1010)&lt;0,N(I1010)&lt;&gt;INT(N(I1010))),"Quantité invalide",IF(Q1010&lt;=0,"Cadence manquante (poste ou article)",IF(M1010&lt;=0,"Arrêts planifiés supérieurs au temps d'ouverture",IF(O1010&lt;0,"Arrêts supérieurs au temps requis",IF(AND(P1010&gt;0,O1010=0),"Pièces déclarées sans temps de marche",IF(AND(P1010=0,O1010&gt;0),"Aucune pièce déclarée",IF(P1010*60/Q1010&gt;O1010+0.001,"Cadence dépassée : vérifiez la cadence","OK"))))))))))))))))))</f>
        <v/>
      </c>
      <c r="AC1010">
        <f>IF(OR(AB1010="OK",AB1010="Aucune pièce déclarée",AB1010="Cadence dépassée : vérifiez la cadence"),1,0)</f>
        <v>0.0</v>
      </c>
      <c r="AD1010">
        <f>IF(AND(AC1010=1,A1010&gt;=p_from,A1010&lt;=p_to),1,0)</f>
        <v>0.0</v>
      </c>
      <c r="AE1010">
        <f>IF(AD1010=1,IF(COUNTIFS($A$6:A1010,A1010,$AD$6:AD1010,1)=1,1,0),0)</f>
        <v>0.0</v>
      </c>
      <c r="AF1010" t="str">
        <f>IF(AE1010=1,COUNTIFS(sj_first,1,sj_date,"&lt;"&amp;A1010)+1,"")</f>
        <v/>
      </c>
      <c r="AG1010" t="str">
        <f>IF(AND(AD1010=1,N(W1010)&lt;p_alert),ROUND(W1010,4),"")</f>
        <v/>
      </c>
      <c r="AH1010" t="str">
        <f>IF(AG1010="","",COUNTIF(sj_akey,"&lt;"&amp;AG1010)+COUNTIF($AG$6:AG1010,AG1010))</f>
        <v/>
      </c>
    </row>
    <row r="1011">
      <c r="A1011" s="51" t="n"/>
      <c r="B1011" s="52" t="n"/>
      <c r="C1011" s="52" t="n"/>
      <c r="D1011" s="53" t="n"/>
      <c r="E1011" s="53" t="n"/>
      <c r="F1011" s="54" t="n"/>
      <c r="G1011" s="54" t="n"/>
      <c r="H1011" s="54" t="n"/>
      <c r="I1011" s="54" t="n"/>
      <c r="J1011" s="53" t="n"/>
      <c r="K1011" s="55" t="str">
        <f>IF(COUNTA(A1011:I1011)=0,"",IF(F1011="",IFERROR(INDEX(eq_dur,MATCH(B1011,eq_code,0)),""),F1011))</f>
        <v/>
      </c>
      <c r="L1011" s="55" t="str">
        <f>IF(ISNUMBER(K1011),N(IFERROR(INDEX(eq_pause,MATCH(B1011,eq_code,0)),0))+SUMIFS(st_min,st_date,A1011,st_eq,B1011,st_po,C1011,st_type,"Planifié"),"")</f>
        <v/>
      </c>
      <c r="M1011" s="55" t="str">
        <f>IF(ISNUMBER(K1011),K1011-L1011,"")</f>
        <v/>
      </c>
      <c r="N1011" s="55" t="str">
        <f>IF(ISNUMBER(K1011),SUMIFS(st_min,st_date,A1011,st_eq,B1011,st_po,C1011,st_type,"Non planifié"),"")</f>
        <v/>
      </c>
      <c r="O1011" s="55" t="str">
        <f>IF(ISNUMBER(K1011),M1011-N1011,"")</f>
        <v/>
      </c>
      <c r="P1011" s="55" t="str">
        <f>IF(COUNTA(A1011:I1011)=0,"",N(G1011)+N(H1011)+N(I1011))</f>
        <v/>
      </c>
      <c r="Q1011" s="56" t="str">
        <f>IF(COUNTA(A1011:I1011)=0,"",IF(N(IFERROR(INDEX(art_rate,MATCH(E1011,art_ref,0)),0))&gt;0,N(IFERROR(INDEX(art_rate,MATCH(E1011,art_ref,0)),0)),N(IFERROR(INDEX(po_rate,MATCH(C1011,po_code,0)),0))))</f>
        <v/>
      </c>
      <c r="R1011" s="55" t="str">
        <f>IF(AC1011=1,P1011*60/Q1011,"")</f>
        <v/>
      </c>
      <c r="S1011" s="55" t="str">
        <f>IF(AC1011=1,N(G1011)*60/Q1011,"")</f>
        <v/>
      </c>
      <c r="T1011" s="57" t="str">
        <f>IF(AC1011=1,O1011/M1011,"")</f>
        <v/>
      </c>
      <c r="U1011" s="57" t="str">
        <f>IF(AC1011=1,IF(O1011&gt;0,R1011/O1011,""),"")</f>
        <v/>
      </c>
      <c r="V1011" s="57" t="str">
        <f>IF(AC1011=1,IF(P1011&gt;0,N(G1011)/P1011,""),"")</f>
        <v/>
      </c>
      <c r="W1011" s="57" t="str">
        <f>IF(AC1011=1,S1011/M1011,"")</f>
        <v/>
      </c>
      <c r="X1011" s="57" t="str">
        <f>IF(AC1011=1,S1011/K1011,"")</f>
        <v/>
      </c>
      <c r="Y1011" s="58" t="str">
        <f>IF(W1011="","",IF(W1011&gt;=p_target,"Bon",IF(W1011&gt;=p_alert,"À surveiller","Faible")))</f>
        <v/>
      </c>
      <c r="Z1011" s="58" t="str">
        <f>IF(W1011="","",IF(MIN(IF(T1011="",1,T1011),IF(U1011="",1,U1011),IF(V1011="",1,V1011))&gt;=1,"Aucune",IF(IF(T1011="",1,T1011)&lt;=MIN(IF(U1011="",1,U1011),IF(V1011="",1,V1011)),"Disponibilité",IF(IF(U1011="",1,U1011)&lt;=IF(V1011="",1,V1011),"Performance","Qualité"))))</f>
        <v/>
      </c>
      <c r="AA1011" s="59" t="str">
        <f>IF(AC1011=1,N(H1011)*N(IFERROR(INDEX(art_cost,MATCH(E1011,art_ref,0)),0)),"")</f>
        <v/>
      </c>
      <c r="AB1011" s="58" t="str">
        <f>IF(COUNTA(A1011:I1011)=0,"",IF(N(A1011)&lt;=0,"Date manquante ou invalide",IF(B1011="","Équipe manquante",IF(ISNA(MATCH(B1011,eq_code,0)),"Équipe inconnue",IF(INDEX(eq_check,MATCH(B1011,eq_code,0))&lt;&gt;"OK","Équipe à corriger dans Paramètres",IF(C1011="","Poste manquant",IF(ISNA(MATCH(C1011,po_code,0)),"Poste inconnu",IF(AND(E1011&lt;&gt;"",ISNA(MATCH(E1011,art_ref,0))),"Article inconnu",IF(IF(E1011="",FALSE,INDEX(art_check,MATCH(E1011,art_ref,0))&lt;&gt;"OK"),"Article à corriger (feuille Articles)",IF(COUNTIFS(sj_date,A1011,sj_eq,B1011,sj_po,C1011)&gt;1,"Ligne en double (même jour, équipe et poste)",IF(OR(NOT(ISNUMBER(K1011)),N(K1011)&lt;=0,N(K1011)&gt;1440),"Temps d'ouverture invalide",IF(OR(AND(G1011&lt;&gt;"",NOT(ISNUMBER(G1011))),N(G1011)&lt;0,N(G1011)&lt;&gt;INT(N(G1011)),AND(H1011&lt;&gt;"",NOT(ISNUMBER(H1011))),N(H1011)&lt;0,N(H1011)&lt;&gt;INT(N(H1011)),AND(I1011&lt;&gt;"",NOT(ISNUMBER(I1011))),N(I1011)&lt;0,N(I1011)&lt;&gt;INT(N(I1011))),"Quantité invalide",IF(Q1011&lt;=0,"Cadence manquante (poste ou article)",IF(M1011&lt;=0,"Arrêts planifiés supérieurs au temps d'ouverture",IF(O1011&lt;0,"Arrêts supérieurs au temps requis",IF(AND(P1011&gt;0,O1011=0),"Pièces déclarées sans temps de marche",IF(AND(P1011=0,O1011&gt;0),"Aucune pièce déclarée",IF(P1011*60/Q1011&gt;O1011+0.001,"Cadence dépassée : vérifiez la cadence","OK"))))))))))))))))))</f>
        <v/>
      </c>
      <c r="AC1011">
        <f>IF(OR(AB1011="OK",AB1011="Aucune pièce déclarée",AB1011="Cadence dépassée : vérifiez la cadence"),1,0)</f>
        <v>0.0</v>
      </c>
      <c r="AD1011">
        <f>IF(AND(AC1011=1,A1011&gt;=p_from,A1011&lt;=p_to),1,0)</f>
        <v>0.0</v>
      </c>
      <c r="AE1011">
        <f>IF(AD1011=1,IF(COUNTIFS($A$6:A1011,A1011,$AD$6:AD1011,1)=1,1,0),0)</f>
        <v>0.0</v>
      </c>
      <c r="AF1011" t="str">
        <f>IF(AE1011=1,COUNTIFS(sj_first,1,sj_date,"&lt;"&amp;A1011)+1,"")</f>
        <v/>
      </c>
      <c r="AG1011" t="str">
        <f>IF(AND(AD1011=1,N(W1011)&lt;p_alert),ROUND(W1011,4),"")</f>
        <v/>
      </c>
      <c r="AH1011" t="str">
        <f>IF(AG1011="","",COUNTIF(sj_akey,"&lt;"&amp;AG1011)+COUNTIF($AG$6:AG1011,AG1011))</f>
        <v/>
      </c>
    </row>
    <row r="1012">
      <c r="A1012" s="51" t="n"/>
      <c r="B1012" s="52" t="n"/>
      <c r="C1012" s="52" t="n"/>
      <c r="D1012" s="53" t="n"/>
      <c r="E1012" s="53" t="n"/>
      <c r="F1012" s="54" t="n"/>
      <c r="G1012" s="54" t="n"/>
      <c r="H1012" s="54" t="n"/>
      <c r="I1012" s="54" t="n"/>
      <c r="J1012" s="53" t="n"/>
      <c r="K1012" s="55" t="str">
        <f>IF(COUNTA(A1012:I1012)=0,"",IF(F1012="",IFERROR(INDEX(eq_dur,MATCH(B1012,eq_code,0)),""),F1012))</f>
        <v/>
      </c>
      <c r="L1012" s="55" t="str">
        <f>IF(ISNUMBER(K1012),N(IFERROR(INDEX(eq_pause,MATCH(B1012,eq_code,0)),0))+SUMIFS(st_min,st_date,A1012,st_eq,B1012,st_po,C1012,st_type,"Planifié"),"")</f>
        <v/>
      </c>
      <c r="M1012" s="55" t="str">
        <f>IF(ISNUMBER(K1012),K1012-L1012,"")</f>
        <v/>
      </c>
      <c r="N1012" s="55" t="str">
        <f>IF(ISNUMBER(K1012),SUMIFS(st_min,st_date,A1012,st_eq,B1012,st_po,C1012,st_type,"Non planifié"),"")</f>
        <v/>
      </c>
      <c r="O1012" s="55" t="str">
        <f>IF(ISNUMBER(K1012),M1012-N1012,"")</f>
        <v/>
      </c>
      <c r="P1012" s="55" t="str">
        <f>IF(COUNTA(A1012:I1012)=0,"",N(G1012)+N(H1012)+N(I1012))</f>
        <v/>
      </c>
      <c r="Q1012" s="56" t="str">
        <f>IF(COUNTA(A1012:I1012)=0,"",IF(N(IFERROR(INDEX(art_rate,MATCH(E1012,art_ref,0)),0))&gt;0,N(IFERROR(INDEX(art_rate,MATCH(E1012,art_ref,0)),0)),N(IFERROR(INDEX(po_rate,MATCH(C1012,po_code,0)),0))))</f>
        <v/>
      </c>
      <c r="R1012" s="55" t="str">
        <f>IF(AC1012=1,P1012*60/Q1012,"")</f>
        <v/>
      </c>
      <c r="S1012" s="55" t="str">
        <f>IF(AC1012=1,N(G1012)*60/Q1012,"")</f>
        <v/>
      </c>
      <c r="T1012" s="57" t="str">
        <f>IF(AC1012=1,O1012/M1012,"")</f>
        <v/>
      </c>
      <c r="U1012" s="57" t="str">
        <f>IF(AC1012=1,IF(O1012&gt;0,R1012/O1012,""),"")</f>
        <v/>
      </c>
      <c r="V1012" s="57" t="str">
        <f>IF(AC1012=1,IF(P1012&gt;0,N(G1012)/P1012,""),"")</f>
        <v/>
      </c>
      <c r="W1012" s="57" t="str">
        <f>IF(AC1012=1,S1012/M1012,"")</f>
        <v/>
      </c>
      <c r="X1012" s="57" t="str">
        <f>IF(AC1012=1,S1012/K1012,"")</f>
        <v/>
      </c>
      <c r="Y1012" s="58" t="str">
        <f>IF(W1012="","",IF(W1012&gt;=p_target,"Bon",IF(W1012&gt;=p_alert,"À surveiller","Faible")))</f>
        <v/>
      </c>
      <c r="Z1012" s="58" t="str">
        <f>IF(W1012="","",IF(MIN(IF(T1012="",1,T1012),IF(U1012="",1,U1012),IF(V1012="",1,V1012))&gt;=1,"Aucune",IF(IF(T1012="",1,T1012)&lt;=MIN(IF(U1012="",1,U1012),IF(V1012="",1,V1012)),"Disponibilité",IF(IF(U1012="",1,U1012)&lt;=IF(V1012="",1,V1012),"Performance","Qualité"))))</f>
        <v/>
      </c>
      <c r="AA1012" s="59" t="str">
        <f>IF(AC1012=1,N(H1012)*N(IFERROR(INDEX(art_cost,MATCH(E1012,art_ref,0)),0)),"")</f>
        <v/>
      </c>
      <c r="AB1012" s="58" t="str">
        <f>IF(COUNTA(A1012:I1012)=0,"",IF(N(A1012)&lt;=0,"Date manquante ou invalide",IF(B1012="","Équipe manquante",IF(ISNA(MATCH(B1012,eq_code,0)),"Équipe inconnue",IF(INDEX(eq_check,MATCH(B1012,eq_code,0))&lt;&gt;"OK","Équipe à corriger dans Paramètres",IF(C1012="","Poste manquant",IF(ISNA(MATCH(C1012,po_code,0)),"Poste inconnu",IF(AND(E1012&lt;&gt;"",ISNA(MATCH(E1012,art_ref,0))),"Article inconnu",IF(IF(E1012="",FALSE,INDEX(art_check,MATCH(E1012,art_ref,0))&lt;&gt;"OK"),"Article à corriger (feuille Articles)",IF(COUNTIFS(sj_date,A1012,sj_eq,B1012,sj_po,C1012)&gt;1,"Ligne en double (même jour, équipe et poste)",IF(OR(NOT(ISNUMBER(K1012)),N(K1012)&lt;=0,N(K1012)&gt;1440),"Temps d'ouverture invalide",IF(OR(AND(G1012&lt;&gt;"",NOT(ISNUMBER(G1012))),N(G1012)&lt;0,N(G1012)&lt;&gt;INT(N(G1012)),AND(H1012&lt;&gt;"",NOT(ISNUMBER(H1012))),N(H1012)&lt;0,N(H1012)&lt;&gt;INT(N(H1012)),AND(I1012&lt;&gt;"",NOT(ISNUMBER(I1012))),N(I1012)&lt;0,N(I1012)&lt;&gt;INT(N(I1012))),"Quantité invalide",IF(Q1012&lt;=0,"Cadence manquante (poste ou article)",IF(M1012&lt;=0,"Arrêts planifiés supérieurs au temps d'ouverture",IF(O1012&lt;0,"Arrêts supérieurs au temps requis",IF(AND(P1012&gt;0,O1012=0),"Pièces déclarées sans temps de marche",IF(AND(P1012=0,O1012&gt;0),"Aucune pièce déclarée",IF(P1012*60/Q1012&gt;O1012+0.001,"Cadence dépassée : vérifiez la cadence","OK"))))))))))))))))))</f>
        <v/>
      </c>
      <c r="AC1012">
        <f>IF(OR(AB1012="OK",AB1012="Aucune pièce déclarée",AB1012="Cadence dépassée : vérifiez la cadence"),1,0)</f>
        <v>0.0</v>
      </c>
      <c r="AD1012">
        <f>IF(AND(AC1012=1,A1012&gt;=p_from,A1012&lt;=p_to),1,0)</f>
        <v>0.0</v>
      </c>
      <c r="AE1012">
        <f>IF(AD1012=1,IF(COUNTIFS($A$6:A1012,A1012,$AD$6:AD1012,1)=1,1,0),0)</f>
        <v>0.0</v>
      </c>
      <c r="AF1012" t="str">
        <f>IF(AE1012=1,COUNTIFS(sj_first,1,sj_date,"&lt;"&amp;A1012)+1,"")</f>
        <v/>
      </c>
      <c r="AG1012" t="str">
        <f>IF(AND(AD1012=1,N(W1012)&lt;p_alert),ROUND(W1012,4),"")</f>
        <v/>
      </c>
      <c r="AH1012" t="str">
        <f>IF(AG1012="","",COUNTIF(sj_akey,"&lt;"&amp;AG1012)+COUNTIF($AG$6:AG1012,AG1012))</f>
        <v/>
      </c>
    </row>
    <row r="1013">
      <c r="A1013" s="51" t="n"/>
      <c r="B1013" s="52" t="n"/>
      <c r="C1013" s="52" t="n"/>
      <c r="D1013" s="53" t="n"/>
      <c r="E1013" s="53" t="n"/>
      <c r="F1013" s="54" t="n"/>
      <c r="G1013" s="54" t="n"/>
      <c r="H1013" s="54" t="n"/>
      <c r="I1013" s="54" t="n"/>
      <c r="J1013" s="53" t="n"/>
      <c r="K1013" s="55" t="str">
        <f>IF(COUNTA(A1013:I1013)=0,"",IF(F1013="",IFERROR(INDEX(eq_dur,MATCH(B1013,eq_code,0)),""),F1013))</f>
        <v/>
      </c>
      <c r="L1013" s="55" t="str">
        <f>IF(ISNUMBER(K1013),N(IFERROR(INDEX(eq_pause,MATCH(B1013,eq_code,0)),0))+SUMIFS(st_min,st_date,A1013,st_eq,B1013,st_po,C1013,st_type,"Planifié"),"")</f>
        <v/>
      </c>
      <c r="M1013" s="55" t="str">
        <f>IF(ISNUMBER(K1013),K1013-L1013,"")</f>
        <v/>
      </c>
      <c r="N1013" s="55" t="str">
        <f>IF(ISNUMBER(K1013),SUMIFS(st_min,st_date,A1013,st_eq,B1013,st_po,C1013,st_type,"Non planifié"),"")</f>
        <v/>
      </c>
      <c r="O1013" s="55" t="str">
        <f>IF(ISNUMBER(K1013),M1013-N1013,"")</f>
        <v/>
      </c>
      <c r="P1013" s="55" t="str">
        <f>IF(COUNTA(A1013:I1013)=0,"",N(G1013)+N(H1013)+N(I1013))</f>
        <v/>
      </c>
      <c r="Q1013" s="56" t="str">
        <f>IF(COUNTA(A1013:I1013)=0,"",IF(N(IFERROR(INDEX(art_rate,MATCH(E1013,art_ref,0)),0))&gt;0,N(IFERROR(INDEX(art_rate,MATCH(E1013,art_ref,0)),0)),N(IFERROR(INDEX(po_rate,MATCH(C1013,po_code,0)),0))))</f>
        <v/>
      </c>
      <c r="R1013" s="55" t="str">
        <f>IF(AC1013=1,P1013*60/Q1013,"")</f>
        <v/>
      </c>
      <c r="S1013" s="55" t="str">
        <f>IF(AC1013=1,N(G1013)*60/Q1013,"")</f>
        <v/>
      </c>
      <c r="T1013" s="57" t="str">
        <f>IF(AC1013=1,O1013/M1013,"")</f>
        <v/>
      </c>
      <c r="U1013" s="57" t="str">
        <f>IF(AC1013=1,IF(O1013&gt;0,R1013/O1013,""),"")</f>
        <v/>
      </c>
      <c r="V1013" s="57" t="str">
        <f>IF(AC1013=1,IF(P1013&gt;0,N(G1013)/P1013,""),"")</f>
        <v/>
      </c>
      <c r="W1013" s="57" t="str">
        <f>IF(AC1013=1,S1013/M1013,"")</f>
        <v/>
      </c>
      <c r="X1013" s="57" t="str">
        <f>IF(AC1013=1,S1013/K1013,"")</f>
        <v/>
      </c>
      <c r="Y1013" s="58" t="str">
        <f>IF(W1013="","",IF(W1013&gt;=p_target,"Bon",IF(W1013&gt;=p_alert,"À surveiller","Faible")))</f>
        <v/>
      </c>
      <c r="Z1013" s="58" t="str">
        <f>IF(W1013="","",IF(MIN(IF(T1013="",1,T1013),IF(U1013="",1,U1013),IF(V1013="",1,V1013))&gt;=1,"Aucune",IF(IF(T1013="",1,T1013)&lt;=MIN(IF(U1013="",1,U1013),IF(V1013="",1,V1013)),"Disponibilité",IF(IF(U1013="",1,U1013)&lt;=IF(V1013="",1,V1013),"Performance","Qualité"))))</f>
        <v/>
      </c>
      <c r="AA1013" s="59" t="str">
        <f>IF(AC1013=1,N(H1013)*N(IFERROR(INDEX(art_cost,MATCH(E1013,art_ref,0)),0)),"")</f>
        <v/>
      </c>
      <c r="AB1013" s="58" t="str">
        <f>IF(COUNTA(A1013:I1013)=0,"",IF(N(A1013)&lt;=0,"Date manquante ou invalide",IF(B1013="","Équipe manquante",IF(ISNA(MATCH(B1013,eq_code,0)),"Équipe inconnue",IF(INDEX(eq_check,MATCH(B1013,eq_code,0))&lt;&gt;"OK","Équipe à corriger dans Paramètres",IF(C1013="","Poste manquant",IF(ISNA(MATCH(C1013,po_code,0)),"Poste inconnu",IF(AND(E1013&lt;&gt;"",ISNA(MATCH(E1013,art_ref,0))),"Article inconnu",IF(IF(E1013="",FALSE,INDEX(art_check,MATCH(E1013,art_ref,0))&lt;&gt;"OK"),"Article à corriger (feuille Articles)",IF(COUNTIFS(sj_date,A1013,sj_eq,B1013,sj_po,C1013)&gt;1,"Ligne en double (même jour, équipe et poste)",IF(OR(NOT(ISNUMBER(K1013)),N(K1013)&lt;=0,N(K1013)&gt;1440),"Temps d'ouverture invalide",IF(OR(AND(G1013&lt;&gt;"",NOT(ISNUMBER(G1013))),N(G1013)&lt;0,N(G1013)&lt;&gt;INT(N(G1013)),AND(H1013&lt;&gt;"",NOT(ISNUMBER(H1013))),N(H1013)&lt;0,N(H1013)&lt;&gt;INT(N(H1013)),AND(I1013&lt;&gt;"",NOT(ISNUMBER(I1013))),N(I1013)&lt;0,N(I1013)&lt;&gt;INT(N(I1013))),"Quantité invalide",IF(Q1013&lt;=0,"Cadence manquante (poste ou article)",IF(M1013&lt;=0,"Arrêts planifiés supérieurs au temps d'ouverture",IF(O1013&lt;0,"Arrêts supérieurs au temps requis",IF(AND(P1013&gt;0,O1013=0),"Pièces déclarées sans temps de marche",IF(AND(P1013=0,O1013&gt;0),"Aucune pièce déclarée",IF(P1013*60/Q1013&gt;O1013+0.001,"Cadence dépassée : vérifiez la cadence","OK"))))))))))))))))))</f>
        <v/>
      </c>
      <c r="AC1013">
        <f>IF(OR(AB1013="OK",AB1013="Aucune pièce déclarée",AB1013="Cadence dépassée : vérifiez la cadence"),1,0)</f>
        <v>0.0</v>
      </c>
      <c r="AD1013">
        <f>IF(AND(AC1013=1,A1013&gt;=p_from,A1013&lt;=p_to),1,0)</f>
        <v>0.0</v>
      </c>
      <c r="AE1013">
        <f>IF(AD1013=1,IF(COUNTIFS($A$6:A1013,A1013,$AD$6:AD1013,1)=1,1,0),0)</f>
        <v>0.0</v>
      </c>
      <c r="AF1013" t="str">
        <f>IF(AE1013=1,COUNTIFS(sj_first,1,sj_date,"&lt;"&amp;A1013)+1,"")</f>
        <v/>
      </c>
      <c r="AG1013" t="str">
        <f>IF(AND(AD1013=1,N(W1013)&lt;p_alert),ROUND(W1013,4),"")</f>
        <v/>
      </c>
      <c r="AH1013" t="str">
        <f>IF(AG1013="","",COUNTIF(sj_akey,"&lt;"&amp;AG1013)+COUNTIF($AG$6:AG1013,AG1013))</f>
        <v/>
      </c>
    </row>
    <row r="1014">
      <c r="A1014" s="51" t="n"/>
      <c r="B1014" s="52" t="n"/>
      <c r="C1014" s="52" t="n"/>
      <c r="D1014" s="53" t="n"/>
      <c r="E1014" s="53" t="n"/>
      <c r="F1014" s="54" t="n"/>
      <c r="G1014" s="54" t="n"/>
      <c r="H1014" s="54" t="n"/>
      <c r="I1014" s="54" t="n"/>
      <c r="J1014" s="53" t="n"/>
      <c r="K1014" s="55" t="str">
        <f>IF(COUNTA(A1014:I1014)=0,"",IF(F1014="",IFERROR(INDEX(eq_dur,MATCH(B1014,eq_code,0)),""),F1014))</f>
        <v/>
      </c>
      <c r="L1014" s="55" t="str">
        <f>IF(ISNUMBER(K1014),N(IFERROR(INDEX(eq_pause,MATCH(B1014,eq_code,0)),0))+SUMIFS(st_min,st_date,A1014,st_eq,B1014,st_po,C1014,st_type,"Planifié"),"")</f>
        <v/>
      </c>
      <c r="M1014" s="55" t="str">
        <f>IF(ISNUMBER(K1014),K1014-L1014,"")</f>
        <v/>
      </c>
      <c r="N1014" s="55" t="str">
        <f>IF(ISNUMBER(K1014),SUMIFS(st_min,st_date,A1014,st_eq,B1014,st_po,C1014,st_type,"Non planifié"),"")</f>
        <v/>
      </c>
      <c r="O1014" s="55" t="str">
        <f>IF(ISNUMBER(K1014),M1014-N1014,"")</f>
        <v/>
      </c>
      <c r="P1014" s="55" t="str">
        <f>IF(COUNTA(A1014:I1014)=0,"",N(G1014)+N(H1014)+N(I1014))</f>
        <v/>
      </c>
      <c r="Q1014" s="56" t="str">
        <f>IF(COUNTA(A1014:I1014)=0,"",IF(N(IFERROR(INDEX(art_rate,MATCH(E1014,art_ref,0)),0))&gt;0,N(IFERROR(INDEX(art_rate,MATCH(E1014,art_ref,0)),0)),N(IFERROR(INDEX(po_rate,MATCH(C1014,po_code,0)),0))))</f>
        <v/>
      </c>
      <c r="R1014" s="55" t="str">
        <f>IF(AC1014=1,P1014*60/Q1014,"")</f>
        <v/>
      </c>
      <c r="S1014" s="55" t="str">
        <f>IF(AC1014=1,N(G1014)*60/Q1014,"")</f>
        <v/>
      </c>
      <c r="T1014" s="57" t="str">
        <f>IF(AC1014=1,O1014/M1014,"")</f>
        <v/>
      </c>
      <c r="U1014" s="57" t="str">
        <f>IF(AC1014=1,IF(O1014&gt;0,R1014/O1014,""),"")</f>
        <v/>
      </c>
      <c r="V1014" s="57" t="str">
        <f>IF(AC1014=1,IF(P1014&gt;0,N(G1014)/P1014,""),"")</f>
        <v/>
      </c>
      <c r="W1014" s="57" t="str">
        <f>IF(AC1014=1,S1014/M1014,"")</f>
        <v/>
      </c>
      <c r="X1014" s="57" t="str">
        <f>IF(AC1014=1,S1014/K1014,"")</f>
        <v/>
      </c>
      <c r="Y1014" s="58" t="str">
        <f>IF(W1014="","",IF(W1014&gt;=p_target,"Bon",IF(W1014&gt;=p_alert,"À surveiller","Faible")))</f>
        <v/>
      </c>
      <c r="Z1014" s="58" t="str">
        <f>IF(W1014="","",IF(MIN(IF(T1014="",1,T1014),IF(U1014="",1,U1014),IF(V1014="",1,V1014))&gt;=1,"Aucune",IF(IF(T1014="",1,T1014)&lt;=MIN(IF(U1014="",1,U1014),IF(V1014="",1,V1014)),"Disponibilité",IF(IF(U1014="",1,U1014)&lt;=IF(V1014="",1,V1014),"Performance","Qualité"))))</f>
        <v/>
      </c>
      <c r="AA1014" s="59" t="str">
        <f>IF(AC1014=1,N(H1014)*N(IFERROR(INDEX(art_cost,MATCH(E1014,art_ref,0)),0)),"")</f>
        <v/>
      </c>
      <c r="AB1014" s="58" t="str">
        <f>IF(COUNTA(A1014:I1014)=0,"",IF(N(A1014)&lt;=0,"Date manquante ou invalide",IF(B1014="","Équipe manquante",IF(ISNA(MATCH(B1014,eq_code,0)),"Équipe inconnue",IF(INDEX(eq_check,MATCH(B1014,eq_code,0))&lt;&gt;"OK","Équipe à corriger dans Paramètres",IF(C1014="","Poste manquant",IF(ISNA(MATCH(C1014,po_code,0)),"Poste inconnu",IF(AND(E1014&lt;&gt;"",ISNA(MATCH(E1014,art_ref,0))),"Article inconnu",IF(IF(E1014="",FALSE,INDEX(art_check,MATCH(E1014,art_ref,0))&lt;&gt;"OK"),"Article à corriger (feuille Articles)",IF(COUNTIFS(sj_date,A1014,sj_eq,B1014,sj_po,C1014)&gt;1,"Ligne en double (même jour, équipe et poste)",IF(OR(NOT(ISNUMBER(K1014)),N(K1014)&lt;=0,N(K1014)&gt;1440),"Temps d'ouverture invalide",IF(OR(AND(G1014&lt;&gt;"",NOT(ISNUMBER(G1014))),N(G1014)&lt;0,N(G1014)&lt;&gt;INT(N(G1014)),AND(H1014&lt;&gt;"",NOT(ISNUMBER(H1014))),N(H1014)&lt;0,N(H1014)&lt;&gt;INT(N(H1014)),AND(I1014&lt;&gt;"",NOT(ISNUMBER(I1014))),N(I1014)&lt;0,N(I1014)&lt;&gt;INT(N(I1014))),"Quantité invalide",IF(Q1014&lt;=0,"Cadence manquante (poste ou article)",IF(M1014&lt;=0,"Arrêts planifiés supérieurs au temps d'ouverture",IF(O1014&lt;0,"Arrêts supérieurs au temps requis",IF(AND(P1014&gt;0,O1014=0),"Pièces déclarées sans temps de marche",IF(AND(P1014=0,O1014&gt;0),"Aucune pièce déclarée",IF(P1014*60/Q1014&gt;O1014+0.001,"Cadence dépassée : vérifiez la cadence","OK"))))))))))))))))))</f>
        <v/>
      </c>
      <c r="AC1014">
        <f>IF(OR(AB1014="OK",AB1014="Aucune pièce déclarée",AB1014="Cadence dépassée : vérifiez la cadence"),1,0)</f>
        <v>0.0</v>
      </c>
      <c r="AD1014">
        <f>IF(AND(AC1014=1,A1014&gt;=p_from,A1014&lt;=p_to),1,0)</f>
        <v>0.0</v>
      </c>
      <c r="AE1014">
        <f>IF(AD1014=1,IF(COUNTIFS($A$6:A1014,A1014,$AD$6:AD1014,1)=1,1,0),0)</f>
        <v>0.0</v>
      </c>
      <c r="AF1014" t="str">
        <f>IF(AE1014=1,COUNTIFS(sj_first,1,sj_date,"&lt;"&amp;A1014)+1,"")</f>
        <v/>
      </c>
      <c r="AG1014" t="str">
        <f>IF(AND(AD1014=1,N(W1014)&lt;p_alert),ROUND(W1014,4),"")</f>
        <v/>
      </c>
      <c r="AH1014" t="str">
        <f>IF(AG1014="","",COUNTIF(sj_akey,"&lt;"&amp;AG1014)+COUNTIF($AG$6:AG1014,AG1014))</f>
        <v/>
      </c>
    </row>
    <row r="1015">
      <c r="A1015" s="51" t="n"/>
      <c r="B1015" s="52" t="n"/>
      <c r="C1015" s="52" t="n"/>
      <c r="D1015" s="53" t="n"/>
      <c r="E1015" s="53" t="n"/>
      <c r="F1015" s="54" t="n"/>
      <c r="G1015" s="54" t="n"/>
      <c r="H1015" s="54" t="n"/>
      <c r="I1015" s="54" t="n"/>
      <c r="J1015" s="53" t="n"/>
      <c r="K1015" s="55" t="str">
        <f>IF(COUNTA(A1015:I1015)=0,"",IF(F1015="",IFERROR(INDEX(eq_dur,MATCH(B1015,eq_code,0)),""),F1015))</f>
        <v/>
      </c>
      <c r="L1015" s="55" t="str">
        <f>IF(ISNUMBER(K1015),N(IFERROR(INDEX(eq_pause,MATCH(B1015,eq_code,0)),0))+SUMIFS(st_min,st_date,A1015,st_eq,B1015,st_po,C1015,st_type,"Planifié"),"")</f>
        <v/>
      </c>
      <c r="M1015" s="55" t="str">
        <f>IF(ISNUMBER(K1015),K1015-L1015,"")</f>
        <v/>
      </c>
      <c r="N1015" s="55" t="str">
        <f>IF(ISNUMBER(K1015),SUMIFS(st_min,st_date,A1015,st_eq,B1015,st_po,C1015,st_type,"Non planifié"),"")</f>
        <v/>
      </c>
      <c r="O1015" s="55" t="str">
        <f>IF(ISNUMBER(K1015),M1015-N1015,"")</f>
        <v/>
      </c>
      <c r="P1015" s="55" t="str">
        <f>IF(COUNTA(A1015:I1015)=0,"",N(G1015)+N(H1015)+N(I1015))</f>
        <v/>
      </c>
      <c r="Q1015" s="56" t="str">
        <f>IF(COUNTA(A1015:I1015)=0,"",IF(N(IFERROR(INDEX(art_rate,MATCH(E1015,art_ref,0)),0))&gt;0,N(IFERROR(INDEX(art_rate,MATCH(E1015,art_ref,0)),0)),N(IFERROR(INDEX(po_rate,MATCH(C1015,po_code,0)),0))))</f>
        <v/>
      </c>
      <c r="R1015" s="55" t="str">
        <f>IF(AC1015=1,P1015*60/Q1015,"")</f>
        <v/>
      </c>
      <c r="S1015" s="55" t="str">
        <f>IF(AC1015=1,N(G1015)*60/Q1015,"")</f>
        <v/>
      </c>
      <c r="T1015" s="57" t="str">
        <f>IF(AC1015=1,O1015/M1015,"")</f>
        <v/>
      </c>
      <c r="U1015" s="57" t="str">
        <f>IF(AC1015=1,IF(O1015&gt;0,R1015/O1015,""),"")</f>
        <v/>
      </c>
      <c r="V1015" s="57" t="str">
        <f>IF(AC1015=1,IF(P1015&gt;0,N(G1015)/P1015,""),"")</f>
        <v/>
      </c>
      <c r="W1015" s="57" t="str">
        <f>IF(AC1015=1,S1015/M1015,"")</f>
        <v/>
      </c>
      <c r="X1015" s="57" t="str">
        <f>IF(AC1015=1,S1015/K1015,"")</f>
        <v/>
      </c>
      <c r="Y1015" s="58" t="str">
        <f>IF(W1015="","",IF(W1015&gt;=p_target,"Bon",IF(W1015&gt;=p_alert,"À surveiller","Faible")))</f>
        <v/>
      </c>
      <c r="Z1015" s="58" t="str">
        <f>IF(W1015="","",IF(MIN(IF(T1015="",1,T1015),IF(U1015="",1,U1015),IF(V1015="",1,V1015))&gt;=1,"Aucune",IF(IF(T1015="",1,T1015)&lt;=MIN(IF(U1015="",1,U1015),IF(V1015="",1,V1015)),"Disponibilité",IF(IF(U1015="",1,U1015)&lt;=IF(V1015="",1,V1015),"Performance","Qualité"))))</f>
        <v/>
      </c>
      <c r="AA1015" s="59" t="str">
        <f>IF(AC1015=1,N(H1015)*N(IFERROR(INDEX(art_cost,MATCH(E1015,art_ref,0)),0)),"")</f>
        <v/>
      </c>
      <c r="AB1015" s="58" t="str">
        <f>IF(COUNTA(A1015:I1015)=0,"",IF(N(A1015)&lt;=0,"Date manquante ou invalide",IF(B1015="","Équipe manquante",IF(ISNA(MATCH(B1015,eq_code,0)),"Équipe inconnue",IF(INDEX(eq_check,MATCH(B1015,eq_code,0))&lt;&gt;"OK","Équipe à corriger dans Paramètres",IF(C1015="","Poste manquant",IF(ISNA(MATCH(C1015,po_code,0)),"Poste inconnu",IF(AND(E1015&lt;&gt;"",ISNA(MATCH(E1015,art_ref,0))),"Article inconnu",IF(IF(E1015="",FALSE,INDEX(art_check,MATCH(E1015,art_ref,0))&lt;&gt;"OK"),"Article à corriger (feuille Articles)",IF(COUNTIFS(sj_date,A1015,sj_eq,B1015,sj_po,C1015)&gt;1,"Ligne en double (même jour, équipe et poste)",IF(OR(NOT(ISNUMBER(K1015)),N(K1015)&lt;=0,N(K1015)&gt;1440),"Temps d'ouverture invalide",IF(OR(AND(G1015&lt;&gt;"",NOT(ISNUMBER(G1015))),N(G1015)&lt;0,N(G1015)&lt;&gt;INT(N(G1015)),AND(H1015&lt;&gt;"",NOT(ISNUMBER(H1015))),N(H1015)&lt;0,N(H1015)&lt;&gt;INT(N(H1015)),AND(I1015&lt;&gt;"",NOT(ISNUMBER(I1015))),N(I1015)&lt;0,N(I1015)&lt;&gt;INT(N(I1015))),"Quantité invalide",IF(Q1015&lt;=0,"Cadence manquante (poste ou article)",IF(M1015&lt;=0,"Arrêts planifiés supérieurs au temps d'ouverture",IF(O1015&lt;0,"Arrêts supérieurs au temps requis",IF(AND(P1015&gt;0,O1015=0),"Pièces déclarées sans temps de marche",IF(AND(P1015=0,O1015&gt;0),"Aucune pièce déclarée",IF(P1015*60/Q1015&gt;O1015+0.001,"Cadence dépassée : vérifiez la cadence","OK"))))))))))))))))))</f>
        <v/>
      </c>
      <c r="AC1015">
        <f>IF(OR(AB1015="OK",AB1015="Aucune pièce déclarée",AB1015="Cadence dépassée : vérifiez la cadence"),1,0)</f>
        <v>0.0</v>
      </c>
      <c r="AD1015">
        <f>IF(AND(AC1015=1,A1015&gt;=p_from,A1015&lt;=p_to),1,0)</f>
        <v>0.0</v>
      </c>
      <c r="AE1015">
        <f>IF(AD1015=1,IF(COUNTIFS($A$6:A1015,A1015,$AD$6:AD1015,1)=1,1,0),0)</f>
        <v>0.0</v>
      </c>
      <c r="AF1015" t="str">
        <f>IF(AE1015=1,COUNTIFS(sj_first,1,sj_date,"&lt;"&amp;A1015)+1,"")</f>
        <v/>
      </c>
      <c r="AG1015" t="str">
        <f>IF(AND(AD1015=1,N(W1015)&lt;p_alert),ROUND(W1015,4),"")</f>
        <v/>
      </c>
      <c r="AH1015" t="str">
        <f>IF(AG1015="","",COUNTIF(sj_akey,"&lt;"&amp;AG1015)+COUNTIF($AG$6:AG1015,AG1015))</f>
        <v/>
      </c>
    </row>
    <row r="1016">
      <c r="A1016" s="51" t="n"/>
      <c r="B1016" s="52" t="n"/>
      <c r="C1016" s="52" t="n"/>
      <c r="D1016" s="53" t="n"/>
      <c r="E1016" s="53" t="n"/>
      <c r="F1016" s="54" t="n"/>
      <c r="G1016" s="54" t="n"/>
      <c r="H1016" s="54" t="n"/>
      <c r="I1016" s="54" t="n"/>
      <c r="J1016" s="53" t="n"/>
      <c r="K1016" s="55" t="str">
        <f>IF(COUNTA(A1016:I1016)=0,"",IF(F1016="",IFERROR(INDEX(eq_dur,MATCH(B1016,eq_code,0)),""),F1016))</f>
        <v/>
      </c>
      <c r="L1016" s="55" t="str">
        <f>IF(ISNUMBER(K1016),N(IFERROR(INDEX(eq_pause,MATCH(B1016,eq_code,0)),0))+SUMIFS(st_min,st_date,A1016,st_eq,B1016,st_po,C1016,st_type,"Planifié"),"")</f>
        <v/>
      </c>
      <c r="M1016" s="55" t="str">
        <f>IF(ISNUMBER(K1016),K1016-L1016,"")</f>
        <v/>
      </c>
      <c r="N1016" s="55" t="str">
        <f>IF(ISNUMBER(K1016),SUMIFS(st_min,st_date,A1016,st_eq,B1016,st_po,C1016,st_type,"Non planifié"),"")</f>
        <v/>
      </c>
      <c r="O1016" s="55" t="str">
        <f>IF(ISNUMBER(K1016),M1016-N1016,"")</f>
        <v/>
      </c>
      <c r="P1016" s="55" t="str">
        <f>IF(COUNTA(A1016:I1016)=0,"",N(G1016)+N(H1016)+N(I1016))</f>
        <v/>
      </c>
      <c r="Q1016" s="56" t="str">
        <f>IF(COUNTA(A1016:I1016)=0,"",IF(N(IFERROR(INDEX(art_rate,MATCH(E1016,art_ref,0)),0))&gt;0,N(IFERROR(INDEX(art_rate,MATCH(E1016,art_ref,0)),0)),N(IFERROR(INDEX(po_rate,MATCH(C1016,po_code,0)),0))))</f>
        <v/>
      </c>
      <c r="R1016" s="55" t="str">
        <f>IF(AC1016=1,P1016*60/Q1016,"")</f>
        <v/>
      </c>
      <c r="S1016" s="55" t="str">
        <f>IF(AC1016=1,N(G1016)*60/Q1016,"")</f>
        <v/>
      </c>
      <c r="T1016" s="57" t="str">
        <f>IF(AC1016=1,O1016/M1016,"")</f>
        <v/>
      </c>
      <c r="U1016" s="57" t="str">
        <f>IF(AC1016=1,IF(O1016&gt;0,R1016/O1016,""),"")</f>
        <v/>
      </c>
      <c r="V1016" s="57" t="str">
        <f>IF(AC1016=1,IF(P1016&gt;0,N(G1016)/P1016,""),"")</f>
        <v/>
      </c>
      <c r="W1016" s="57" t="str">
        <f>IF(AC1016=1,S1016/M1016,"")</f>
        <v/>
      </c>
      <c r="X1016" s="57" t="str">
        <f>IF(AC1016=1,S1016/K1016,"")</f>
        <v/>
      </c>
      <c r="Y1016" s="58" t="str">
        <f>IF(W1016="","",IF(W1016&gt;=p_target,"Bon",IF(W1016&gt;=p_alert,"À surveiller","Faible")))</f>
        <v/>
      </c>
      <c r="Z1016" s="58" t="str">
        <f>IF(W1016="","",IF(MIN(IF(T1016="",1,T1016),IF(U1016="",1,U1016),IF(V1016="",1,V1016))&gt;=1,"Aucune",IF(IF(T1016="",1,T1016)&lt;=MIN(IF(U1016="",1,U1016),IF(V1016="",1,V1016)),"Disponibilité",IF(IF(U1016="",1,U1016)&lt;=IF(V1016="",1,V1016),"Performance","Qualité"))))</f>
        <v/>
      </c>
      <c r="AA1016" s="59" t="str">
        <f>IF(AC1016=1,N(H1016)*N(IFERROR(INDEX(art_cost,MATCH(E1016,art_ref,0)),0)),"")</f>
        <v/>
      </c>
      <c r="AB1016" s="58" t="str">
        <f>IF(COUNTA(A1016:I1016)=0,"",IF(N(A1016)&lt;=0,"Date manquante ou invalide",IF(B1016="","Équipe manquante",IF(ISNA(MATCH(B1016,eq_code,0)),"Équipe inconnue",IF(INDEX(eq_check,MATCH(B1016,eq_code,0))&lt;&gt;"OK","Équipe à corriger dans Paramètres",IF(C1016="","Poste manquant",IF(ISNA(MATCH(C1016,po_code,0)),"Poste inconnu",IF(AND(E1016&lt;&gt;"",ISNA(MATCH(E1016,art_ref,0))),"Article inconnu",IF(IF(E1016="",FALSE,INDEX(art_check,MATCH(E1016,art_ref,0))&lt;&gt;"OK"),"Article à corriger (feuille Articles)",IF(COUNTIFS(sj_date,A1016,sj_eq,B1016,sj_po,C1016)&gt;1,"Ligne en double (même jour, équipe et poste)",IF(OR(NOT(ISNUMBER(K1016)),N(K1016)&lt;=0,N(K1016)&gt;1440),"Temps d'ouverture invalide",IF(OR(AND(G1016&lt;&gt;"",NOT(ISNUMBER(G1016))),N(G1016)&lt;0,N(G1016)&lt;&gt;INT(N(G1016)),AND(H1016&lt;&gt;"",NOT(ISNUMBER(H1016))),N(H1016)&lt;0,N(H1016)&lt;&gt;INT(N(H1016)),AND(I1016&lt;&gt;"",NOT(ISNUMBER(I1016))),N(I1016)&lt;0,N(I1016)&lt;&gt;INT(N(I1016))),"Quantité invalide",IF(Q1016&lt;=0,"Cadence manquante (poste ou article)",IF(M1016&lt;=0,"Arrêts planifiés supérieurs au temps d'ouverture",IF(O1016&lt;0,"Arrêts supérieurs au temps requis",IF(AND(P1016&gt;0,O1016=0),"Pièces déclarées sans temps de marche",IF(AND(P1016=0,O1016&gt;0),"Aucune pièce déclarée",IF(P1016*60/Q1016&gt;O1016+0.001,"Cadence dépassée : vérifiez la cadence","OK"))))))))))))))))))</f>
        <v/>
      </c>
      <c r="AC1016">
        <f>IF(OR(AB1016="OK",AB1016="Aucune pièce déclarée",AB1016="Cadence dépassée : vérifiez la cadence"),1,0)</f>
        <v>0.0</v>
      </c>
      <c r="AD1016">
        <f>IF(AND(AC1016=1,A1016&gt;=p_from,A1016&lt;=p_to),1,0)</f>
        <v>0.0</v>
      </c>
      <c r="AE1016">
        <f>IF(AD1016=1,IF(COUNTIFS($A$6:A1016,A1016,$AD$6:AD1016,1)=1,1,0),0)</f>
        <v>0.0</v>
      </c>
      <c r="AF1016" t="str">
        <f>IF(AE1016=1,COUNTIFS(sj_first,1,sj_date,"&lt;"&amp;A1016)+1,"")</f>
        <v/>
      </c>
      <c r="AG1016" t="str">
        <f>IF(AND(AD1016=1,N(W1016)&lt;p_alert),ROUND(W1016,4),"")</f>
        <v/>
      </c>
      <c r="AH1016" t="str">
        <f>IF(AG1016="","",COUNTIF(sj_akey,"&lt;"&amp;AG1016)+COUNTIF($AG$6:AG1016,AG1016))</f>
        <v/>
      </c>
    </row>
    <row r="1017">
      <c r="A1017" s="51" t="n"/>
      <c r="B1017" s="52" t="n"/>
      <c r="C1017" s="52" t="n"/>
      <c r="D1017" s="53" t="n"/>
      <c r="E1017" s="53" t="n"/>
      <c r="F1017" s="54" t="n"/>
      <c r="G1017" s="54" t="n"/>
      <c r="H1017" s="54" t="n"/>
      <c r="I1017" s="54" t="n"/>
      <c r="J1017" s="53" t="n"/>
      <c r="K1017" s="55" t="str">
        <f>IF(COUNTA(A1017:I1017)=0,"",IF(F1017="",IFERROR(INDEX(eq_dur,MATCH(B1017,eq_code,0)),""),F1017))</f>
        <v/>
      </c>
      <c r="L1017" s="55" t="str">
        <f>IF(ISNUMBER(K1017),N(IFERROR(INDEX(eq_pause,MATCH(B1017,eq_code,0)),0))+SUMIFS(st_min,st_date,A1017,st_eq,B1017,st_po,C1017,st_type,"Planifié"),"")</f>
        <v/>
      </c>
      <c r="M1017" s="55" t="str">
        <f>IF(ISNUMBER(K1017),K1017-L1017,"")</f>
        <v/>
      </c>
      <c r="N1017" s="55" t="str">
        <f>IF(ISNUMBER(K1017),SUMIFS(st_min,st_date,A1017,st_eq,B1017,st_po,C1017,st_type,"Non planifié"),"")</f>
        <v/>
      </c>
      <c r="O1017" s="55" t="str">
        <f>IF(ISNUMBER(K1017),M1017-N1017,"")</f>
        <v/>
      </c>
      <c r="P1017" s="55" t="str">
        <f>IF(COUNTA(A1017:I1017)=0,"",N(G1017)+N(H1017)+N(I1017))</f>
        <v/>
      </c>
      <c r="Q1017" s="56" t="str">
        <f>IF(COUNTA(A1017:I1017)=0,"",IF(N(IFERROR(INDEX(art_rate,MATCH(E1017,art_ref,0)),0))&gt;0,N(IFERROR(INDEX(art_rate,MATCH(E1017,art_ref,0)),0)),N(IFERROR(INDEX(po_rate,MATCH(C1017,po_code,0)),0))))</f>
        <v/>
      </c>
      <c r="R1017" s="55" t="str">
        <f>IF(AC1017=1,P1017*60/Q1017,"")</f>
        <v/>
      </c>
      <c r="S1017" s="55" t="str">
        <f>IF(AC1017=1,N(G1017)*60/Q1017,"")</f>
        <v/>
      </c>
      <c r="T1017" s="57" t="str">
        <f>IF(AC1017=1,O1017/M1017,"")</f>
        <v/>
      </c>
      <c r="U1017" s="57" t="str">
        <f>IF(AC1017=1,IF(O1017&gt;0,R1017/O1017,""),"")</f>
        <v/>
      </c>
      <c r="V1017" s="57" t="str">
        <f>IF(AC1017=1,IF(P1017&gt;0,N(G1017)/P1017,""),"")</f>
        <v/>
      </c>
      <c r="W1017" s="57" t="str">
        <f>IF(AC1017=1,S1017/M1017,"")</f>
        <v/>
      </c>
      <c r="X1017" s="57" t="str">
        <f>IF(AC1017=1,S1017/K1017,"")</f>
        <v/>
      </c>
      <c r="Y1017" s="58" t="str">
        <f>IF(W1017="","",IF(W1017&gt;=p_target,"Bon",IF(W1017&gt;=p_alert,"À surveiller","Faible")))</f>
        <v/>
      </c>
      <c r="Z1017" s="58" t="str">
        <f>IF(W1017="","",IF(MIN(IF(T1017="",1,T1017),IF(U1017="",1,U1017),IF(V1017="",1,V1017))&gt;=1,"Aucune",IF(IF(T1017="",1,T1017)&lt;=MIN(IF(U1017="",1,U1017),IF(V1017="",1,V1017)),"Disponibilité",IF(IF(U1017="",1,U1017)&lt;=IF(V1017="",1,V1017),"Performance","Qualité"))))</f>
        <v/>
      </c>
      <c r="AA1017" s="59" t="str">
        <f>IF(AC1017=1,N(H1017)*N(IFERROR(INDEX(art_cost,MATCH(E1017,art_ref,0)),0)),"")</f>
        <v/>
      </c>
      <c r="AB1017" s="58" t="str">
        <f>IF(COUNTA(A1017:I1017)=0,"",IF(N(A1017)&lt;=0,"Date manquante ou invalide",IF(B1017="","Équipe manquante",IF(ISNA(MATCH(B1017,eq_code,0)),"Équipe inconnue",IF(INDEX(eq_check,MATCH(B1017,eq_code,0))&lt;&gt;"OK","Équipe à corriger dans Paramètres",IF(C1017="","Poste manquant",IF(ISNA(MATCH(C1017,po_code,0)),"Poste inconnu",IF(AND(E1017&lt;&gt;"",ISNA(MATCH(E1017,art_ref,0))),"Article inconnu",IF(IF(E1017="",FALSE,INDEX(art_check,MATCH(E1017,art_ref,0))&lt;&gt;"OK"),"Article à corriger (feuille Articles)",IF(COUNTIFS(sj_date,A1017,sj_eq,B1017,sj_po,C1017)&gt;1,"Ligne en double (même jour, équipe et poste)",IF(OR(NOT(ISNUMBER(K1017)),N(K1017)&lt;=0,N(K1017)&gt;1440),"Temps d'ouverture invalide",IF(OR(AND(G1017&lt;&gt;"",NOT(ISNUMBER(G1017))),N(G1017)&lt;0,N(G1017)&lt;&gt;INT(N(G1017)),AND(H1017&lt;&gt;"",NOT(ISNUMBER(H1017))),N(H1017)&lt;0,N(H1017)&lt;&gt;INT(N(H1017)),AND(I1017&lt;&gt;"",NOT(ISNUMBER(I1017))),N(I1017)&lt;0,N(I1017)&lt;&gt;INT(N(I1017))),"Quantité invalide",IF(Q1017&lt;=0,"Cadence manquante (poste ou article)",IF(M1017&lt;=0,"Arrêts planifiés supérieurs au temps d'ouverture",IF(O1017&lt;0,"Arrêts supérieurs au temps requis",IF(AND(P1017&gt;0,O1017=0),"Pièces déclarées sans temps de marche",IF(AND(P1017=0,O1017&gt;0),"Aucune pièce déclarée",IF(P1017*60/Q1017&gt;O1017+0.001,"Cadence dépassée : vérifiez la cadence","OK"))))))))))))))))))</f>
        <v/>
      </c>
      <c r="AC1017">
        <f>IF(OR(AB1017="OK",AB1017="Aucune pièce déclarée",AB1017="Cadence dépassée : vérifiez la cadence"),1,0)</f>
        <v>0.0</v>
      </c>
      <c r="AD1017">
        <f>IF(AND(AC1017=1,A1017&gt;=p_from,A1017&lt;=p_to),1,0)</f>
        <v>0.0</v>
      </c>
      <c r="AE1017">
        <f>IF(AD1017=1,IF(COUNTIFS($A$6:A1017,A1017,$AD$6:AD1017,1)=1,1,0),0)</f>
        <v>0.0</v>
      </c>
      <c r="AF1017" t="str">
        <f>IF(AE1017=1,COUNTIFS(sj_first,1,sj_date,"&lt;"&amp;A1017)+1,"")</f>
        <v/>
      </c>
      <c r="AG1017" t="str">
        <f>IF(AND(AD1017=1,N(W1017)&lt;p_alert),ROUND(W1017,4),"")</f>
        <v/>
      </c>
      <c r="AH1017" t="str">
        <f>IF(AG1017="","",COUNTIF(sj_akey,"&lt;"&amp;AG1017)+COUNTIF($AG$6:AG1017,AG1017))</f>
        <v/>
      </c>
    </row>
    <row r="1018">
      <c r="A1018" s="51" t="n"/>
      <c r="B1018" s="52" t="n"/>
      <c r="C1018" s="52" t="n"/>
      <c r="D1018" s="53" t="n"/>
      <c r="E1018" s="53" t="n"/>
      <c r="F1018" s="54" t="n"/>
      <c r="G1018" s="54" t="n"/>
      <c r="H1018" s="54" t="n"/>
      <c r="I1018" s="54" t="n"/>
      <c r="J1018" s="53" t="n"/>
      <c r="K1018" s="55" t="str">
        <f>IF(COUNTA(A1018:I1018)=0,"",IF(F1018="",IFERROR(INDEX(eq_dur,MATCH(B1018,eq_code,0)),""),F1018))</f>
        <v/>
      </c>
      <c r="L1018" s="55" t="str">
        <f>IF(ISNUMBER(K1018),N(IFERROR(INDEX(eq_pause,MATCH(B1018,eq_code,0)),0))+SUMIFS(st_min,st_date,A1018,st_eq,B1018,st_po,C1018,st_type,"Planifié"),"")</f>
        <v/>
      </c>
      <c r="M1018" s="55" t="str">
        <f>IF(ISNUMBER(K1018),K1018-L1018,"")</f>
        <v/>
      </c>
      <c r="N1018" s="55" t="str">
        <f>IF(ISNUMBER(K1018),SUMIFS(st_min,st_date,A1018,st_eq,B1018,st_po,C1018,st_type,"Non planifié"),"")</f>
        <v/>
      </c>
      <c r="O1018" s="55" t="str">
        <f>IF(ISNUMBER(K1018),M1018-N1018,"")</f>
        <v/>
      </c>
      <c r="P1018" s="55" t="str">
        <f>IF(COUNTA(A1018:I1018)=0,"",N(G1018)+N(H1018)+N(I1018))</f>
        <v/>
      </c>
      <c r="Q1018" s="56" t="str">
        <f>IF(COUNTA(A1018:I1018)=0,"",IF(N(IFERROR(INDEX(art_rate,MATCH(E1018,art_ref,0)),0))&gt;0,N(IFERROR(INDEX(art_rate,MATCH(E1018,art_ref,0)),0)),N(IFERROR(INDEX(po_rate,MATCH(C1018,po_code,0)),0))))</f>
        <v/>
      </c>
      <c r="R1018" s="55" t="str">
        <f>IF(AC1018=1,P1018*60/Q1018,"")</f>
        <v/>
      </c>
      <c r="S1018" s="55" t="str">
        <f>IF(AC1018=1,N(G1018)*60/Q1018,"")</f>
        <v/>
      </c>
      <c r="T1018" s="57" t="str">
        <f>IF(AC1018=1,O1018/M1018,"")</f>
        <v/>
      </c>
      <c r="U1018" s="57" t="str">
        <f>IF(AC1018=1,IF(O1018&gt;0,R1018/O1018,""),"")</f>
        <v/>
      </c>
      <c r="V1018" s="57" t="str">
        <f>IF(AC1018=1,IF(P1018&gt;0,N(G1018)/P1018,""),"")</f>
        <v/>
      </c>
      <c r="W1018" s="57" t="str">
        <f>IF(AC1018=1,S1018/M1018,"")</f>
        <v/>
      </c>
      <c r="X1018" s="57" t="str">
        <f>IF(AC1018=1,S1018/K1018,"")</f>
        <v/>
      </c>
      <c r="Y1018" s="58" t="str">
        <f>IF(W1018="","",IF(W1018&gt;=p_target,"Bon",IF(W1018&gt;=p_alert,"À surveiller","Faible")))</f>
        <v/>
      </c>
      <c r="Z1018" s="58" t="str">
        <f>IF(W1018="","",IF(MIN(IF(T1018="",1,T1018),IF(U1018="",1,U1018),IF(V1018="",1,V1018))&gt;=1,"Aucune",IF(IF(T1018="",1,T1018)&lt;=MIN(IF(U1018="",1,U1018),IF(V1018="",1,V1018)),"Disponibilité",IF(IF(U1018="",1,U1018)&lt;=IF(V1018="",1,V1018),"Performance","Qualité"))))</f>
        <v/>
      </c>
      <c r="AA1018" s="59" t="str">
        <f>IF(AC1018=1,N(H1018)*N(IFERROR(INDEX(art_cost,MATCH(E1018,art_ref,0)),0)),"")</f>
        <v/>
      </c>
      <c r="AB1018" s="58" t="str">
        <f>IF(COUNTA(A1018:I1018)=0,"",IF(N(A1018)&lt;=0,"Date manquante ou invalide",IF(B1018="","Équipe manquante",IF(ISNA(MATCH(B1018,eq_code,0)),"Équipe inconnue",IF(INDEX(eq_check,MATCH(B1018,eq_code,0))&lt;&gt;"OK","Équipe à corriger dans Paramètres",IF(C1018="","Poste manquant",IF(ISNA(MATCH(C1018,po_code,0)),"Poste inconnu",IF(AND(E1018&lt;&gt;"",ISNA(MATCH(E1018,art_ref,0))),"Article inconnu",IF(IF(E1018="",FALSE,INDEX(art_check,MATCH(E1018,art_ref,0))&lt;&gt;"OK"),"Article à corriger (feuille Articles)",IF(COUNTIFS(sj_date,A1018,sj_eq,B1018,sj_po,C1018)&gt;1,"Ligne en double (même jour, équipe et poste)",IF(OR(NOT(ISNUMBER(K1018)),N(K1018)&lt;=0,N(K1018)&gt;1440),"Temps d'ouverture invalide",IF(OR(AND(G1018&lt;&gt;"",NOT(ISNUMBER(G1018))),N(G1018)&lt;0,N(G1018)&lt;&gt;INT(N(G1018)),AND(H1018&lt;&gt;"",NOT(ISNUMBER(H1018))),N(H1018)&lt;0,N(H1018)&lt;&gt;INT(N(H1018)),AND(I1018&lt;&gt;"",NOT(ISNUMBER(I1018))),N(I1018)&lt;0,N(I1018)&lt;&gt;INT(N(I1018))),"Quantité invalide",IF(Q1018&lt;=0,"Cadence manquante (poste ou article)",IF(M1018&lt;=0,"Arrêts planifiés supérieurs au temps d'ouverture",IF(O1018&lt;0,"Arrêts supérieurs au temps requis",IF(AND(P1018&gt;0,O1018=0),"Pièces déclarées sans temps de marche",IF(AND(P1018=0,O1018&gt;0),"Aucune pièce déclarée",IF(P1018*60/Q1018&gt;O1018+0.001,"Cadence dépassée : vérifiez la cadence","OK"))))))))))))))))))</f>
        <v/>
      </c>
      <c r="AC1018">
        <f>IF(OR(AB1018="OK",AB1018="Aucune pièce déclarée",AB1018="Cadence dépassée : vérifiez la cadence"),1,0)</f>
        <v>0.0</v>
      </c>
      <c r="AD1018">
        <f>IF(AND(AC1018=1,A1018&gt;=p_from,A1018&lt;=p_to),1,0)</f>
        <v>0.0</v>
      </c>
      <c r="AE1018">
        <f>IF(AD1018=1,IF(COUNTIFS($A$6:A1018,A1018,$AD$6:AD1018,1)=1,1,0),0)</f>
        <v>0.0</v>
      </c>
      <c r="AF1018" t="str">
        <f>IF(AE1018=1,COUNTIFS(sj_first,1,sj_date,"&lt;"&amp;A1018)+1,"")</f>
        <v/>
      </c>
      <c r="AG1018" t="str">
        <f>IF(AND(AD1018=1,N(W1018)&lt;p_alert),ROUND(W1018,4),"")</f>
        <v/>
      </c>
      <c r="AH1018" t="str">
        <f>IF(AG1018="","",COUNTIF(sj_akey,"&lt;"&amp;AG1018)+COUNTIF($AG$6:AG1018,AG1018))</f>
        <v/>
      </c>
    </row>
    <row r="1019">
      <c r="A1019" s="51" t="n"/>
      <c r="B1019" s="52" t="n"/>
      <c r="C1019" s="52" t="n"/>
      <c r="D1019" s="53" t="n"/>
      <c r="E1019" s="53" t="n"/>
      <c r="F1019" s="54" t="n"/>
      <c r="G1019" s="54" t="n"/>
      <c r="H1019" s="54" t="n"/>
      <c r="I1019" s="54" t="n"/>
      <c r="J1019" s="53" t="n"/>
      <c r="K1019" s="55" t="str">
        <f>IF(COUNTA(A1019:I1019)=0,"",IF(F1019="",IFERROR(INDEX(eq_dur,MATCH(B1019,eq_code,0)),""),F1019))</f>
        <v/>
      </c>
      <c r="L1019" s="55" t="str">
        <f>IF(ISNUMBER(K1019),N(IFERROR(INDEX(eq_pause,MATCH(B1019,eq_code,0)),0))+SUMIFS(st_min,st_date,A1019,st_eq,B1019,st_po,C1019,st_type,"Planifié"),"")</f>
        <v/>
      </c>
      <c r="M1019" s="55" t="str">
        <f>IF(ISNUMBER(K1019),K1019-L1019,"")</f>
        <v/>
      </c>
      <c r="N1019" s="55" t="str">
        <f>IF(ISNUMBER(K1019),SUMIFS(st_min,st_date,A1019,st_eq,B1019,st_po,C1019,st_type,"Non planifié"),"")</f>
        <v/>
      </c>
      <c r="O1019" s="55" t="str">
        <f>IF(ISNUMBER(K1019),M1019-N1019,"")</f>
        <v/>
      </c>
      <c r="P1019" s="55" t="str">
        <f>IF(COUNTA(A1019:I1019)=0,"",N(G1019)+N(H1019)+N(I1019))</f>
        <v/>
      </c>
      <c r="Q1019" s="56" t="str">
        <f>IF(COUNTA(A1019:I1019)=0,"",IF(N(IFERROR(INDEX(art_rate,MATCH(E1019,art_ref,0)),0))&gt;0,N(IFERROR(INDEX(art_rate,MATCH(E1019,art_ref,0)),0)),N(IFERROR(INDEX(po_rate,MATCH(C1019,po_code,0)),0))))</f>
        <v/>
      </c>
      <c r="R1019" s="55" t="str">
        <f>IF(AC1019=1,P1019*60/Q1019,"")</f>
        <v/>
      </c>
      <c r="S1019" s="55" t="str">
        <f>IF(AC1019=1,N(G1019)*60/Q1019,"")</f>
        <v/>
      </c>
      <c r="T1019" s="57" t="str">
        <f>IF(AC1019=1,O1019/M1019,"")</f>
        <v/>
      </c>
      <c r="U1019" s="57" t="str">
        <f>IF(AC1019=1,IF(O1019&gt;0,R1019/O1019,""),"")</f>
        <v/>
      </c>
      <c r="V1019" s="57" t="str">
        <f>IF(AC1019=1,IF(P1019&gt;0,N(G1019)/P1019,""),"")</f>
        <v/>
      </c>
      <c r="W1019" s="57" t="str">
        <f>IF(AC1019=1,S1019/M1019,"")</f>
        <v/>
      </c>
      <c r="X1019" s="57" t="str">
        <f>IF(AC1019=1,S1019/K1019,"")</f>
        <v/>
      </c>
      <c r="Y1019" s="58" t="str">
        <f>IF(W1019="","",IF(W1019&gt;=p_target,"Bon",IF(W1019&gt;=p_alert,"À surveiller","Faible")))</f>
        <v/>
      </c>
      <c r="Z1019" s="58" t="str">
        <f>IF(W1019="","",IF(MIN(IF(T1019="",1,T1019),IF(U1019="",1,U1019),IF(V1019="",1,V1019))&gt;=1,"Aucune",IF(IF(T1019="",1,T1019)&lt;=MIN(IF(U1019="",1,U1019),IF(V1019="",1,V1019)),"Disponibilité",IF(IF(U1019="",1,U1019)&lt;=IF(V1019="",1,V1019),"Performance","Qualité"))))</f>
        <v/>
      </c>
      <c r="AA1019" s="59" t="str">
        <f>IF(AC1019=1,N(H1019)*N(IFERROR(INDEX(art_cost,MATCH(E1019,art_ref,0)),0)),"")</f>
        <v/>
      </c>
      <c r="AB1019" s="58" t="str">
        <f>IF(COUNTA(A1019:I1019)=0,"",IF(N(A1019)&lt;=0,"Date manquante ou invalide",IF(B1019="","Équipe manquante",IF(ISNA(MATCH(B1019,eq_code,0)),"Équipe inconnue",IF(INDEX(eq_check,MATCH(B1019,eq_code,0))&lt;&gt;"OK","Équipe à corriger dans Paramètres",IF(C1019="","Poste manquant",IF(ISNA(MATCH(C1019,po_code,0)),"Poste inconnu",IF(AND(E1019&lt;&gt;"",ISNA(MATCH(E1019,art_ref,0))),"Article inconnu",IF(IF(E1019="",FALSE,INDEX(art_check,MATCH(E1019,art_ref,0))&lt;&gt;"OK"),"Article à corriger (feuille Articles)",IF(COUNTIFS(sj_date,A1019,sj_eq,B1019,sj_po,C1019)&gt;1,"Ligne en double (même jour, équipe et poste)",IF(OR(NOT(ISNUMBER(K1019)),N(K1019)&lt;=0,N(K1019)&gt;1440),"Temps d'ouverture invalide",IF(OR(AND(G1019&lt;&gt;"",NOT(ISNUMBER(G1019))),N(G1019)&lt;0,N(G1019)&lt;&gt;INT(N(G1019)),AND(H1019&lt;&gt;"",NOT(ISNUMBER(H1019))),N(H1019)&lt;0,N(H1019)&lt;&gt;INT(N(H1019)),AND(I1019&lt;&gt;"",NOT(ISNUMBER(I1019))),N(I1019)&lt;0,N(I1019)&lt;&gt;INT(N(I1019))),"Quantité invalide",IF(Q1019&lt;=0,"Cadence manquante (poste ou article)",IF(M1019&lt;=0,"Arrêts planifiés supérieurs au temps d'ouverture",IF(O1019&lt;0,"Arrêts supérieurs au temps requis",IF(AND(P1019&gt;0,O1019=0),"Pièces déclarées sans temps de marche",IF(AND(P1019=0,O1019&gt;0),"Aucune pièce déclarée",IF(P1019*60/Q1019&gt;O1019+0.001,"Cadence dépassée : vérifiez la cadence","OK"))))))))))))))))))</f>
        <v/>
      </c>
      <c r="AC1019">
        <f>IF(OR(AB1019="OK",AB1019="Aucune pièce déclarée",AB1019="Cadence dépassée : vérifiez la cadence"),1,0)</f>
        <v>0.0</v>
      </c>
      <c r="AD1019">
        <f>IF(AND(AC1019=1,A1019&gt;=p_from,A1019&lt;=p_to),1,0)</f>
        <v>0.0</v>
      </c>
      <c r="AE1019">
        <f>IF(AD1019=1,IF(COUNTIFS($A$6:A1019,A1019,$AD$6:AD1019,1)=1,1,0),0)</f>
        <v>0.0</v>
      </c>
      <c r="AF1019" t="str">
        <f>IF(AE1019=1,COUNTIFS(sj_first,1,sj_date,"&lt;"&amp;A1019)+1,"")</f>
        <v/>
      </c>
      <c r="AG1019" t="str">
        <f>IF(AND(AD1019=1,N(W1019)&lt;p_alert),ROUND(W1019,4),"")</f>
        <v/>
      </c>
      <c r="AH1019" t="str">
        <f>IF(AG1019="","",COUNTIF(sj_akey,"&lt;"&amp;AG1019)+COUNTIF($AG$6:AG1019,AG1019))</f>
        <v/>
      </c>
    </row>
    <row r="1020">
      <c r="A1020" s="51" t="n"/>
      <c r="B1020" s="52" t="n"/>
      <c r="C1020" s="52" t="n"/>
      <c r="D1020" s="53" t="n"/>
      <c r="E1020" s="53" t="n"/>
      <c r="F1020" s="54" t="n"/>
      <c r="G1020" s="54" t="n"/>
      <c r="H1020" s="54" t="n"/>
      <c r="I1020" s="54" t="n"/>
      <c r="J1020" s="53" t="n"/>
      <c r="K1020" s="55" t="str">
        <f>IF(COUNTA(A1020:I1020)=0,"",IF(F1020="",IFERROR(INDEX(eq_dur,MATCH(B1020,eq_code,0)),""),F1020))</f>
        <v/>
      </c>
      <c r="L1020" s="55" t="str">
        <f>IF(ISNUMBER(K1020),N(IFERROR(INDEX(eq_pause,MATCH(B1020,eq_code,0)),0))+SUMIFS(st_min,st_date,A1020,st_eq,B1020,st_po,C1020,st_type,"Planifié"),"")</f>
        <v/>
      </c>
      <c r="M1020" s="55" t="str">
        <f>IF(ISNUMBER(K1020),K1020-L1020,"")</f>
        <v/>
      </c>
      <c r="N1020" s="55" t="str">
        <f>IF(ISNUMBER(K1020),SUMIFS(st_min,st_date,A1020,st_eq,B1020,st_po,C1020,st_type,"Non planifié"),"")</f>
        <v/>
      </c>
      <c r="O1020" s="55" t="str">
        <f>IF(ISNUMBER(K1020),M1020-N1020,"")</f>
        <v/>
      </c>
      <c r="P1020" s="55" t="str">
        <f>IF(COUNTA(A1020:I1020)=0,"",N(G1020)+N(H1020)+N(I1020))</f>
        <v/>
      </c>
      <c r="Q1020" s="56" t="str">
        <f>IF(COUNTA(A1020:I1020)=0,"",IF(N(IFERROR(INDEX(art_rate,MATCH(E1020,art_ref,0)),0))&gt;0,N(IFERROR(INDEX(art_rate,MATCH(E1020,art_ref,0)),0)),N(IFERROR(INDEX(po_rate,MATCH(C1020,po_code,0)),0))))</f>
        <v/>
      </c>
      <c r="R1020" s="55" t="str">
        <f>IF(AC1020=1,P1020*60/Q1020,"")</f>
        <v/>
      </c>
      <c r="S1020" s="55" t="str">
        <f>IF(AC1020=1,N(G1020)*60/Q1020,"")</f>
        <v/>
      </c>
      <c r="T1020" s="57" t="str">
        <f>IF(AC1020=1,O1020/M1020,"")</f>
        <v/>
      </c>
      <c r="U1020" s="57" t="str">
        <f>IF(AC1020=1,IF(O1020&gt;0,R1020/O1020,""),"")</f>
        <v/>
      </c>
      <c r="V1020" s="57" t="str">
        <f>IF(AC1020=1,IF(P1020&gt;0,N(G1020)/P1020,""),"")</f>
        <v/>
      </c>
      <c r="W1020" s="57" t="str">
        <f>IF(AC1020=1,S1020/M1020,"")</f>
        <v/>
      </c>
      <c r="X1020" s="57" t="str">
        <f>IF(AC1020=1,S1020/K1020,"")</f>
        <v/>
      </c>
      <c r="Y1020" s="58" t="str">
        <f>IF(W1020="","",IF(W1020&gt;=p_target,"Bon",IF(W1020&gt;=p_alert,"À surveiller","Faible")))</f>
        <v/>
      </c>
      <c r="Z1020" s="58" t="str">
        <f>IF(W1020="","",IF(MIN(IF(T1020="",1,T1020),IF(U1020="",1,U1020),IF(V1020="",1,V1020))&gt;=1,"Aucune",IF(IF(T1020="",1,T1020)&lt;=MIN(IF(U1020="",1,U1020),IF(V1020="",1,V1020)),"Disponibilité",IF(IF(U1020="",1,U1020)&lt;=IF(V1020="",1,V1020),"Performance","Qualité"))))</f>
        <v/>
      </c>
      <c r="AA1020" s="59" t="str">
        <f>IF(AC1020=1,N(H1020)*N(IFERROR(INDEX(art_cost,MATCH(E1020,art_ref,0)),0)),"")</f>
        <v/>
      </c>
      <c r="AB1020" s="58" t="str">
        <f>IF(COUNTA(A1020:I1020)=0,"",IF(N(A1020)&lt;=0,"Date manquante ou invalide",IF(B1020="","Équipe manquante",IF(ISNA(MATCH(B1020,eq_code,0)),"Équipe inconnue",IF(INDEX(eq_check,MATCH(B1020,eq_code,0))&lt;&gt;"OK","Équipe à corriger dans Paramètres",IF(C1020="","Poste manquant",IF(ISNA(MATCH(C1020,po_code,0)),"Poste inconnu",IF(AND(E1020&lt;&gt;"",ISNA(MATCH(E1020,art_ref,0))),"Article inconnu",IF(IF(E1020="",FALSE,INDEX(art_check,MATCH(E1020,art_ref,0))&lt;&gt;"OK"),"Article à corriger (feuille Articles)",IF(COUNTIFS(sj_date,A1020,sj_eq,B1020,sj_po,C1020)&gt;1,"Ligne en double (même jour, équipe et poste)",IF(OR(NOT(ISNUMBER(K1020)),N(K1020)&lt;=0,N(K1020)&gt;1440),"Temps d'ouverture invalide",IF(OR(AND(G1020&lt;&gt;"",NOT(ISNUMBER(G1020))),N(G1020)&lt;0,N(G1020)&lt;&gt;INT(N(G1020)),AND(H1020&lt;&gt;"",NOT(ISNUMBER(H1020))),N(H1020)&lt;0,N(H1020)&lt;&gt;INT(N(H1020)),AND(I1020&lt;&gt;"",NOT(ISNUMBER(I1020))),N(I1020)&lt;0,N(I1020)&lt;&gt;INT(N(I1020))),"Quantité invalide",IF(Q1020&lt;=0,"Cadence manquante (poste ou article)",IF(M1020&lt;=0,"Arrêts planifiés supérieurs au temps d'ouverture",IF(O1020&lt;0,"Arrêts supérieurs au temps requis",IF(AND(P1020&gt;0,O1020=0),"Pièces déclarées sans temps de marche",IF(AND(P1020=0,O1020&gt;0),"Aucune pièce déclarée",IF(P1020*60/Q1020&gt;O1020+0.001,"Cadence dépassée : vérifiez la cadence","OK"))))))))))))))))))</f>
        <v/>
      </c>
      <c r="AC1020">
        <f>IF(OR(AB1020="OK",AB1020="Aucune pièce déclarée",AB1020="Cadence dépassée : vérifiez la cadence"),1,0)</f>
        <v>0.0</v>
      </c>
      <c r="AD1020">
        <f>IF(AND(AC1020=1,A1020&gt;=p_from,A1020&lt;=p_to),1,0)</f>
        <v>0.0</v>
      </c>
      <c r="AE1020">
        <f>IF(AD1020=1,IF(COUNTIFS($A$6:A1020,A1020,$AD$6:AD1020,1)=1,1,0),0)</f>
        <v>0.0</v>
      </c>
      <c r="AF1020" t="str">
        <f>IF(AE1020=1,COUNTIFS(sj_first,1,sj_date,"&lt;"&amp;A1020)+1,"")</f>
        <v/>
      </c>
      <c r="AG1020" t="str">
        <f>IF(AND(AD1020=1,N(W1020)&lt;p_alert),ROUND(W1020,4),"")</f>
        <v/>
      </c>
      <c r="AH1020" t="str">
        <f>IF(AG1020="","",COUNTIF(sj_akey,"&lt;"&amp;AG1020)+COUNTIF($AG$6:AG1020,AG1020))</f>
        <v/>
      </c>
    </row>
    <row r="1021">
      <c r="A1021" s="51" t="n"/>
      <c r="B1021" s="52" t="n"/>
      <c r="C1021" s="52" t="n"/>
      <c r="D1021" s="53" t="n"/>
      <c r="E1021" s="53" t="n"/>
      <c r="F1021" s="54" t="n"/>
      <c r="G1021" s="54" t="n"/>
      <c r="H1021" s="54" t="n"/>
      <c r="I1021" s="54" t="n"/>
      <c r="J1021" s="53" t="n"/>
      <c r="K1021" s="55" t="str">
        <f>IF(COUNTA(A1021:I1021)=0,"",IF(F1021="",IFERROR(INDEX(eq_dur,MATCH(B1021,eq_code,0)),""),F1021))</f>
        <v/>
      </c>
      <c r="L1021" s="55" t="str">
        <f>IF(ISNUMBER(K1021),N(IFERROR(INDEX(eq_pause,MATCH(B1021,eq_code,0)),0))+SUMIFS(st_min,st_date,A1021,st_eq,B1021,st_po,C1021,st_type,"Planifié"),"")</f>
        <v/>
      </c>
      <c r="M1021" s="55" t="str">
        <f>IF(ISNUMBER(K1021),K1021-L1021,"")</f>
        <v/>
      </c>
      <c r="N1021" s="55" t="str">
        <f>IF(ISNUMBER(K1021),SUMIFS(st_min,st_date,A1021,st_eq,B1021,st_po,C1021,st_type,"Non planifié"),"")</f>
        <v/>
      </c>
      <c r="O1021" s="55" t="str">
        <f>IF(ISNUMBER(K1021),M1021-N1021,"")</f>
        <v/>
      </c>
      <c r="P1021" s="55" t="str">
        <f>IF(COUNTA(A1021:I1021)=0,"",N(G1021)+N(H1021)+N(I1021))</f>
        <v/>
      </c>
      <c r="Q1021" s="56" t="str">
        <f>IF(COUNTA(A1021:I1021)=0,"",IF(N(IFERROR(INDEX(art_rate,MATCH(E1021,art_ref,0)),0))&gt;0,N(IFERROR(INDEX(art_rate,MATCH(E1021,art_ref,0)),0)),N(IFERROR(INDEX(po_rate,MATCH(C1021,po_code,0)),0))))</f>
        <v/>
      </c>
      <c r="R1021" s="55" t="str">
        <f>IF(AC1021=1,P1021*60/Q1021,"")</f>
        <v/>
      </c>
      <c r="S1021" s="55" t="str">
        <f>IF(AC1021=1,N(G1021)*60/Q1021,"")</f>
        <v/>
      </c>
      <c r="T1021" s="57" t="str">
        <f>IF(AC1021=1,O1021/M1021,"")</f>
        <v/>
      </c>
      <c r="U1021" s="57" t="str">
        <f>IF(AC1021=1,IF(O1021&gt;0,R1021/O1021,""),"")</f>
        <v/>
      </c>
      <c r="V1021" s="57" t="str">
        <f>IF(AC1021=1,IF(P1021&gt;0,N(G1021)/P1021,""),"")</f>
        <v/>
      </c>
      <c r="W1021" s="57" t="str">
        <f>IF(AC1021=1,S1021/M1021,"")</f>
        <v/>
      </c>
      <c r="X1021" s="57" t="str">
        <f>IF(AC1021=1,S1021/K1021,"")</f>
        <v/>
      </c>
      <c r="Y1021" s="58" t="str">
        <f>IF(W1021="","",IF(W1021&gt;=p_target,"Bon",IF(W1021&gt;=p_alert,"À surveiller","Faible")))</f>
        <v/>
      </c>
      <c r="Z1021" s="58" t="str">
        <f>IF(W1021="","",IF(MIN(IF(T1021="",1,T1021),IF(U1021="",1,U1021),IF(V1021="",1,V1021))&gt;=1,"Aucune",IF(IF(T1021="",1,T1021)&lt;=MIN(IF(U1021="",1,U1021),IF(V1021="",1,V1021)),"Disponibilité",IF(IF(U1021="",1,U1021)&lt;=IF(V1021="",1,V1021),"Performance","Qualité"))))</f>
        <v/>
      </c>
      <c r="AA1021" s="59" t="str">
        <f>IF(AC1021=1,N(H1021)*N(IFERROR(INDEX(art_cost,MATCH(E1021,art_ref,0)),0)),"")</f>
        <v/>
      </c>
      <c r="AB1021" s="58" t="str">
        <f>IF(COUNTA(A1021:I1021)=0,"",IF(N(A1021)&lt;=0,"Date manquante ou invalide",IF(B1021="","Équipe manquante",IF(ISNA(MATCH(B1021,eq_code,0)),"Équipe inconnue",IF(INDEX(eq_check,MATCH(B1021,eq_code,0))&lt;&gt;"OK","Équipe à corriger dans Paramètres",IF(C1021="","Poste manquant",IF(ISNA(MATCH(C1021,po_code,0)),"Poste inconnu",IF(AND(E1021&lt;&gt;"",ISNA(MATCH(E1021,art_ref,0))),"Article inconnu",IF(IF(E1021="",FALSE,INDEX(art_check,MATCH(E1021,art_ref,0))&lt;&gt;"OK"),"Article à corriger (feuille Articles)",IF(COUNTIFS(sj_date,A1021,sj_eq,B1021,sj_po,C1021)&gt;1,"Ligne en double (même jour, équipe et poste)",IF(OR(NOT(ISNUMBER(K1021)),N(K1021)&lt;=0,N(K1021)&gt;1440),"Temps d'ouverture invalide",IF(OR(AND(G1021&lt;&gt;"",NOT(ISNUMBER(G1021))),N(G1021)&lt;0,N(G1021)&lt;&gt;INT(N(G1021)),AND(H1021&lt;&gt;"",NOT(ISNUMBER(H1021))),N(H1021)&lt;0,N(H1021)&lt;&gt;INT(N(H1021)),AND(I1021&lt;&gt;"",NOT(ISNUMBER(I1021))),N(I1021)&lt;0,N(I1021)&lt;&gt;INT(N(I1021))),"Quantité invalide",IF(Q1021&lt;=0,"Cadence manquante (poste ou article)",IF(M1021&lt;=0,"Arrêts planifiés supérieurs au temps d'ouverture",IF(O1021&lt;0,"Arrêts supérieurs au temps requis",IF(AND(P1021&gt;0,O1021=0),"Pièces déclarées sans temps de marche",IF(AND(P1021=0,O1021&gt;0),"Aucune pièce déclarée",IF(P1021*60/Q1021&gt;O1021+0.001,"Cadence dépassée : vérifiez la cadence","OK"))))))))))))))))))</f>
        <v/>
      </c>
      <c r="AC1021">
        <f>IF(OR(AB1021="OK",AB1021="Aucune pièce déclarée",AB1021="Cadence dépassée : vérifiez la cadence"),1,0)</f>
        <v>0.0</v>
      </c>
      <c r="AD1021">
        <f>IF(AND(AC1021=1,A1021&gt;=p_from,A1021&lt;=p_to),1,0)</f>
        <v>0.0</v>
      </c>
      <c r="AE1021">
        <f>IF(AD1021=1,IF(COUNTIFS($A$6:A1021,A1021,$AD$6:AD1021,1)=1,1,0),0)</f>
        <v>0.0</v>
      </c>
      <c r="AF1021" t="str">
        <f>IF(AE1021=1,COUNTIFS(sj_first,1,sj_date,"&lt;"&amp;A1021)+1,"")</f>
        <v/>
      </c>
      <c r="AG1021" t="str">
        <f>IF(AND(AD1021=1,N(W1021)&lt;p_alert),ROUND(W1021,4),"")</f>
        <v/>
      </c>
      <c r="AH1021" t="str">
        <f>IF(AG1021="","",COUNTIF(sj_akey,"&lt;"&amp;AG1021)+COUNTIF($AG$6:AG1021,AG1021))</f>
        <v/>
      </c>
    </row>
    <row r="1022">
      <c r="A1022" s="51" t="n"/>
      <c r="B1022" s="52" t="n"/>
      <c r="C1022" s="52" t="n"/>
      <c r="D1022" s="53" t="n"/>
      <c r="E1022" s="53" t="n"/>
      <c r="F1022" s="54" t="n"/>
      <c r="G1022" s="54" t="n"/>
      <c r="H1022" s="54" t="n"/>
      <c r="I1022" s="54" t="n"/>
      <c r="J1022" s="53" t="n"/>
      <c r="K1022" s="55" t="str">
        <f>IF(COUNTA(A1022:I1022)=0,"",IF(F1022="",IFERROR(INDEX(eq_dur,MATCH(B1022,eq_code,0)),""),F1022))</f>
        <v/>
      </c>
      <c r="L1022" s="55" t="str">
        <f>IF(ISNUMBER(K1022),N(IFERROR(INDEX(eq_pause,MATCH(B1022,eq_code,0)),0))+SUMIFS(st_min,st_date,A1022,st_eq,B1022,st_po,C1022,st_type,"Planifié"),"")</f>
        <v/>
      </c>
      <c r="M1022" s="55" t="str">
        <f>IF(ISNUMBER(K1022),K1022-L1022,"")</f>
        <v/>
      </c>
      <c r="N1022" s="55" t="str">
        <f>IF(ISNUMBER(K1022),SUMIFS(st_min,st_date,A1022,st_eq,B1022,st_po,C1022,st_type,"Non planifié"),"")</f>
        <v/>
      </c>
      <c r="O1022" s="55" t="str">
        <f>IF(ISNUMBER(K1022),M1022-N1022,"")</f>
        <v/>
      </c>
      <c r="P1022" s="55" t="str">
        <f>IF(COUNTA(A1022:I1022)=0,"",N(G1022)+N(H1022)+N(I1022))</f>
        <v/>
      </c>
      <c r="Q1022" s="56" t="str">
        <f>IF(COUNTA(A1022:I1022)=0,"",IF(N(IFERROR(INDEX(art_rate,MATCH(E1022,art_ref,0)),0))&gt;0,N(IFERROR(INDEX(art_rate,MATCH(E1022,art_ref,0)),0)),N(IFERROR(INDEX(po_rate,MATCH(C1022,po_code,0)),0))))</f>
        <v/>
      </c>
      <c r="R1022" s="55" t="str">
        <f>IF(AC1022=1,P1022*60/Q1022,"")</f>
        <v/>
      </c>
      <c r="S1022" s="55" t="str">
        <f>IF(AC1022=1,N(G1022)*60/Q1022,"")</f>
        <v/>
      </c>
      <c r="T1022" s="57" t="str">
        <f>IF(AC1022=1,O1022/M1022,"")</f>
        <v/>
      </c>
      <c r="U1022" s="57" t="str">
        <f>IF(AC1022=1,IF(O1022&gt;0,R1022/O1022,""),"")</f>
        <v/>
      </c>
      <c r="V1022" s="57" t="str">
        <f>IF(AC1022=1,IF(P1022&gt;0,N(G1022)/P1022,""),"")</f>
        <v/>
      </c>
      <c r="W1022" s="57" t="str">
        <f>IF(AC1022=1,S1022/M1022,"")</f>
        <v/>
      </c>
      <c r="X1022" s="57" t="str">
        <f>IF(AC1022=1,S1022/K1022,"")</f>
        <v/>
      </c>
      <c r="Y1022" s="58" t="str">
        <f>IF(W1022="","",IF(W1022&gt;=p_target,"Bon",IF(W1022&gt;=p_alert,"À surveiller","Faible")))</f>
        <v/>
      </c>
      <c r="Z1022" s="58" t="str">
        <f>IF(W1022="","",IF(MIN(IF(T1022="",1,T1022),IF(U1022="",1,U1022),IF(V1022="",1,V1022))&gt;=1,"Aucune",IF(IF(T1022="",1,T1022)&lt;=MIN(IF(U1022="",1,U1022),IF(V1022="",1,V1022)),"Disponibilité",IF(IF(U1022="",1,U1022)&lt;=IF(V1022="",1,V1022),"Performance","Qualité"))))</f>
        <v/>
      </c>
      <c r="AA1022" s="59" t="str">
        <f>IF(AC1022=1,N(H1022)*N(IFERROR(INDEX(art_cost,MATCH(E1022,art_ref,0)),0)),"")</f>
        <v/>
      </c>
      <c r="AB1022" s="58" t="str">
        <f>IF(COUNTA(A1022:I1022)=0,"",IF(N(A1022)&lt;=0,"Date manquante ou invalide",IF(B1022="","Équipe manquante",IF(ISNA(MATCH(B1022,eq_code,0)),"Équipe inconnue",IF(INDEX(eq_check,MATCH(B1022,eq_code,0))&lt;&gt;"OK","Équipe à corriger dans Paramètres",IF(C1022="","Poste manquant",IF(ISNA(MATCH(C1022,po_code,0)),"Poste inconnu",IF(AND(E1022&lt;&gt;"",ISNA(MATCH(E1022,art_ref,0))),"Article inconnu",IF(IF(E1022="",FALSE,INDEX(art_check,MATCH(E1022,art_ref,0))&lt;&gt;"OK"),"Article à corriger (feuille Articles)",IF(COUNTIFS(sj_date,A1022,sj_eq,B1022,sj_po,C1022)&gt;1,"Ligne en double (même jour, équipe et poste)",IF(OR(NOT(ISNUMBER(K1022)),N(K1022)&lt;=0,N(K1022)&gt;1440),"Temps d'ouverture invalide",IF(OR(AND(G1022&lt;&gt;"",NOT(ISNUMBER(G1022))),N(G1022)&lt;0,N(G1022)&lt;&gt;INT(N(G1022)),AND(H1022&lt;&gt;"",NOT(ISNUMBER(H1022))),N(H1022)&lt;0,N(H1022)&lt;&gt;INT(N(H1022)),AND(I1022&lt;&gt;"",NOT(ISNUMBER(I1022))),N(I1022)&lt;0,N(I1022)&lt;&gt;INT(N(I1022))),"Quantité invalide",IF(Q1022&lt;=0,"Cadence manquante (poste ou article)",IF(M1022&lt;=0,"Arrêts planifiés supérieurs au temps d'ouverture",IF(O1022&lt;0,"Arrêts supérieurs au temps requis",IF(AND(P1022&gt;0,O1022=0),"Pièces déclarées sans temps de marche",IF(AND(P1022=0,O1022&gt;0),"Aucune pièce déclarée",IF(P1022*60/Q1022&gt;O1022+0.001,"Cadence dépassée : vérifiez la cadence","OK"))))))))))))))))))</f>
        <v/>
      </c>
      <c r="AC1022">
        <f>IF(OR(AB1022="OK",AB1022="Aucune pièce déclarée",AB1022="Cadence dépassée : vérifiez la cadence"),1,0)</f>
        <v>0.0</v>
      </c>
      <c r="AD1022">
        <f>IF(AND(AC1022=1,A1022&gt;=p_from,A1022&lt;=p_to),1,0)</f>
        <v>0.0</v>
      </c>
      <c r="AE1022">
        <f>IF(AD1022=1,IF(COUNTIFS($A$6:A1022,A1022,$AD$6:AD1022,1)=1,1,0),0)</f>
        <v>0.0</v>
      </c>
      <c r="AF1022" t="str">
        <f>IF(AE1022=1,COUNTIFS(sj_first,1,sj_date,"&lt;"&amp;A1022)+1,"")</f>
        <v/>
      </c>
      <c r="AG1022" t="str">
        <f>IF(AND(AD1022=1,N(W1022)&lt;p_alert),ROUND(W1022,4),"")</f>
        <v/>
      </c>
      <c r="AH1022" t="str">
        <f>IF(AG1022="","",COUNTIF(sj_akey,"&lt;"&amp;AG1022)+COUNTIF($AG$6:AG1022,AG1022))</f>
        <v/>
      </c>
    </row>
    <row r="1023">
      <c r="A1023" s="51" t="n"/>
      <c r="B1023" s="52" t="n"/>
      <c r="C1023" s="52" t="n"/>
      <c r="D1023" s="53" t="n"/>
      <c r="E1023" s="53" t="n"/>
      <c r="F1023" s="54" t="n"/>
      <c r="G1023" s="54" t="n"/>
      <c r="H1023" s="54" t="n"/>
      <c r="I1023" s="54" t="n"/>
      <c r="J1023" s="53" t="n"/>
      <c r="K1023" s="55" t="str">
        <f>IF(COUNTA(A1023:I1023)=0,"",IF(F1023="",IFERROR(INDEX(eq_dur,MATCH(B1023,eq_code,0)),""),F1023))</f>
        <v/>
      </c>
      <c r="L1023" s="55" t="str">
        <f>IF(ISNUMBER(K1023),N(IFERROR(INDEX(eq_pause,MATCH(B1023,eq_code,0)),0))+SUMIFS(st_min,st_date,A1023,st_eq,B1023,st_po,C1023,st_type,"Planifié"),"")</f>
        <v/>
      </c>
      <c r="M1023" s="55" t="str">
        <f>IF(ISNUMBER(K1023),K1023-L1023,"")</f>
        <v/>
      </c>
      <c r="N1023" s="55" t="str">
        <f>IF(ISNUMBER(K1023),SUMIFS(st_min,st_date,A1023,st_eq,B1023,st_po,C1023,st_type,"Non planifié"),"")</f>
        <v/>
      </c>
      <c r="O1023" s="55" t="str">
        <f>IF(ISNUMBER(K1023),M1023-N1023,"")</f>
        <v/>
      </c>
      <c r="P1023" s="55" t="str">
        <f>IF(COUNTA(A1023:I1023)=0,"",N(G1023)+N(H1023)+N(I1023))</f>
        <v/>
      </c>
      <c r="Q1023" s="56" t="str">
        <f>IF(COUNTA(A1023:I1023)=0,"",IF(N(IFERROR(INDEX(art_rate,MATCH(E1023,art_ref,0)),0))&gt;0,N(IFERROR(INDEX(art_rate,MATCH(E1023,art_ref,0)),0)),N(IFERROR(INDEX(po_rate,MATCH(C1023,po_code,0)),0))))</f>
        <v/>
      </c>
      <c r="R1023" s="55" t="str">
        <f>IF(AC1023=1,P1023*60/Q1023,"")</f>
        <v/>
      </c>
      <c r="S1023" s="55" t="str">
        <f>IF(AC1023=1,N(G1023)*60/Q1023,"")</f>
        <v/>
      </c>
      <c r="T1023" s="57" t="str">
        <f>IF(AC1023=1,O1023/M1023,"")</f>
        <v/>
      </c>
      <c r="U1023" s="57" t="str">
        <f>IF(AC1023=1,IF(O1023&gt;0,R1023/O1023,""),"")</f>
        <v/>
      </c>
      <c r="V1023" s="57" t="str">
        <f>IF(AC1023=1,IF(P1023&gt;0,N(G1023)/P1023,""),"")</f>
        <v/>
      </c>
      <c r="W1023" s="57" t="str">
        <f>IF(AC1023=1,S1023/M1023,"")</f>
        <v/>
      </c>
      <c r="X1023" s="57" t="str">
        <f>IF(AC1023=1,S1023/K1023,"")</f>
        <v/>
      </c>
      <c r="Y1023" s="58" t="str">
        <f>IF(W1023="","",IF(W1023&gt;=p_target,"Bon",IF(W1023&gt;=p_alert,"À surveiller","Faible")))</f>
        <v/>
      </c>
      <c r="Z1023" s="58" t="str">
        <f>IF(W1023="","",IF(MIN(IF(T1023="",1,T1023),IF(U1023="",1,U1023),IF(V1023="",1,V1023))&gt;=1,"Aucune",IF(IF(T1023="",1,T1023)&lt;=MIN(IF(U1023="",1,U1023),IF(V1023="",1,V1023)),"Disponibilité",IF(IF(U1023="",1,U1023)&lt;=IF(V1023="",1,V1023),"Performance","Qualité"))))</f>
        <v/>
      </c>
      <c r="AA1023" s="59" t="str">
        <f>IF(AC1023=1,N(H1023)*N(IFERROR(INDEX(art_cost,MATCH(E1023,art_ref,0)),0)),"")</f>
        <v/>
      </c>
      <c r="AB1023" s="58" t="str">
        <f>IF(COUNTA(A1023:I1023)=0,"",IF(N(A1023)&lt;=0,"Date manquante ou invalide",IF(B1023="","Équipe manquante",IF(ISNA(MATCH(B1023,eq_code,0)),"Équipe inconnue",IF(INDEX(eq_check,MATCH(B1023,eq_code,0))&lt;&gt;"OK","Équipe à corriger dans Paramètres",IF(C1023="","Poste manquant",IF(ISNA(MATCH(C1023,po_code,0)),"Poste inconnu",IF(AND(E1023&lt;&gt;"",ISNA(MATCH(E1023,art_ref,0))),"Article inconnu",IF(IF(E1023="",FALSE,INDEX(art_check,MATCH(E1023,art_ref,0))&lt;&gt;"OK"),"Article à corriger (feuille Articles)",IF(COUNTIFS(sj_date,A1023,sj_eq,B1023,sj_po,C1023)&gt;1,"Ligne en double (même jour, équipe et poste)",IF(OR(NOT(ISNUMBER(K1023)),N(K1023)&lt;=0,N(K1023)&gt;1440),"Temps d'ouverture invalide",IF(OR(AND(G1023&lt;&gt;"",NOT(ISNUMBER(G1023))),N(G1023)&lt;0,N(G1023)&lt;&gt;INT(N(G1023)),AND(H1023&lt;&gt;"",NOT(ISNUMBER(H1023))),N(H1023)&lt;0,N(H1023)&lt;&gt;INT(N(H1023)),AND(I1023&lt;&gt;"",NOT(ISNUMBER(I1023))),N(I1023)&lt;0,N(I1023)&lt;&gt;INT(N(I1023))),"Quantité invalide",IF(Q1023&lt;=0,"Cadence manquante (poste ou article)",IF(M1023&lt;=0,"Arrêts planifiés supérieurs au temps d'ouverture",IF(O1023&lt;0,"Arrêts supérieurs au temps requis",IF(AND(P1023&gt;0,O1023=0),"Pièces déclarées sans temps de marche",IF(AND(P1023=0,O1023&gt;0),"Aucune pièce déclarée",IF(P1023*60/Q1023&gt;O1023+0.001,"Cadence dépassée : vérifiez la cadence","OK"))))))))))))))))))</f>
        <v/>
      </c>
      <c r="AC1023">
        <f>IF(OR(AB1023="OK",AB1023="Aucune pièce déclarée",AB1023="Cadence dépassée : vérifiez la cadence"),1,0)</f>
        <v>0.0</v>
      </c>
      <c r="AD1023">
        <f>IF(AND(AC1023=1,A1023&gt;=p_from,A1023&lt;=p_to),1,0)</f>
        <v>0.0</v>
      </c>
      <c r="AE1023">
        <f>IF(AD1023=1,IF(COUNTIFS($A$6:A1023,A1023,$AD$6:AD1023,1)=1,1,0),0)</f>
        <v>0.0</v>
      </c>
      <c r="AF1023" t="str">
        <f>IF(AE1023=1,COUNTIFS(sj_first,1,sj_date,"&lt;"&amp;A1023)+1,"")</f>
        <v/>
      </c>
      <c r="AG1023" t="str">
        <f>IF(AND(AD1023=1,N(W1023)&lt;p_alert),ROUND(W1023,4),"")</f>
        <v/>
      </c>
      <c r="AH1023" t="str">
        <f>IF(AG1023="","",COUNTIF(sj_akey,"&lt;"&amp;AG1023)+COUNTIF($AG$6:AG1023,AG1023))</f>
        <v/>
      </c>
    </row>
    <row r="1024">
      <c r="A1024" s="51" t="n"/>
      <c r="B1024" s="52" t="n"/>
      <c r="C1024" s="52" t="n"/>
      <c r="D1024" s="53" t="n"/>
      <c r="E1024" s="53" t="n"/>
      <c r="F1024" s="54" t="n"/>
      <c r="G1024" s="54" t="n"/>
      <c r="H1024" s="54" t="n"/>
      <c r="I1024" s="54" t="n"/>
      <c r="J1024" s="53" t="n"/>
      <c r="K1024" s="55" t="str">
        <f>IF(COUNTA(A1024:I1024)=0,"",IF(F1024="",IFERROR(INDEX(eq_dur,MATCH(B1024,eq_code,0)),""),F1024))</f>
        <v/>
      </c>
      <c r="L1024" s="55" t="str">
        <f>IF(ISNUMBER(K1024),N(IFERROR(INDEX(eq_pause,MATCH(B1024,eq_code,0)),0))+SUMIFS(st_min,st_date,A1024,st_eq,B1024,st_po,C1024,st_type,"Planifié"),"")</f>
        <v/>
      </c>
      <c r="M1024" s="55" t="str">
        <f>IF(ISNUMBER(K1024),K1024-L1024,"")</f>
        <v/>
      </c>
      <c r="N1024" s="55" t="str">
        <f>IF(ISNUMBER(K1024),SUMIFS(st_min,st_date,A1024,st_eq,B1024,st_po,C1024,st_type,"Non planifié"),"")</f>
        <v/>
      </c>
      <c r="O1024" s="55" t="str">
        <f>IF(ISNUMBER(K1024),M1024-N1024,"")</f>
        <v/>
      </c>
      <c r="P1024" s="55" t="str">
        <f>IF(COUNTA(A1024:I1024)=0,"",N(G1024)+N(H1024)+N(I1024))</f>
        <v/>
      </c>
      <c r="Q1024" s="56" t="str">
        <f>IF(COUNTA(A1024:I1024)=0,"",IF(N(IFERROR(INDEX(art_rate,MATCH(E1024,art_ref,0)),0))&gt;0,N(IFERROR(INDEX(art_rate,MATCH(E1024,art_ref,0)),0)),N(IFERROR(INDEX(po_rate,MATCH(C1024,po_code,0)),0))))</f>
        <v/>
      </c>
      <c r="R1024" s="55" t="str">
        <f>IF(AC1024=1,P1024*60/Q1024,"")</f>
        <v/>
      </c>
      <c r="S1024" s="55" t="str">
        <f>IF(AC1024=1,N(G1024)*60/Q1024,"")</f>
        <v/>
      </c>
      <c r="T1024" s="57" t="str">
        <f>IF(AC1024=1,O1024/M1024,"")</f>
        <v/>
      </c>
      <c r="U1024" s="57" t="str">
        <f>IF(AC1024=1,IF(O1024&gt;0,R1024/O1024,""),"")</f>
        <v/>
      </c>
      <c r="V1024" s="57" t="str">
        <f>IF(AC1024=1,IF(P1024&gt;0,N(G1024)/P1024,""),"")</f>
        <v/>
      </c>
      <c r="W1024" s="57" t="str">
        <f>IF(AC1024=1,S1024/M1024,"")</f>
        <v/>
      </c>
      <c r="X1024" s="57" t="str">
        <f>IF(AC1024=1,S1024/K1024,"")</f>
        <v/>
      </c>
      <c r="Y1024" s="58" t="str">
        <f>IF(W1024="","",IF(W1024&gt;=p_target,"Bon",IF(W1024&gt;=p_alert,"À surveiller","Faible")))</f>
        <v/>
      </c>
      <c r="Z1024" s="58" t="str">
        <f>IF(W1024="","",IF(MIN(IF(T1024="",1,T1024),IF(U1024="",1,U1024),IF(V1024="",1,V1024))&gt;=1,"Aucune",IF(IF(T1024="",1,T1024)&lt;=MIN(IF(U1024="",1,U1024),IF(V1024="",1,V1024)),"Disponibilité",IF(IF(U1024="",1,U1024)&lt;=IF(V1024="",1,V1024),"Performance","Qualité"))))</f>
        <v/>
      </c>
      <c r="AA1024" s="59" t="str">
        <f>IF(AC1024=1,N(H1024)*N(IFERROR(INDEX(art_cost,MATCH(E1024,art_ref,0)),0)),"")</f>
        <v/>
      </c>
      <c r="AB1024" s="58" t="str">
        <f>IF(COUNTA(A1024:I1024)=0,"",IF(N(A1024)&lt;=0,"Date manquante ou invalide",IF(B1024="","Équipe manquante",IF(ISNA(MATCH(B1024,eq_code,0)),"Équipe inconnue",IF(INDEX(eq_check,MATCH(B1024,eq_code,0))&lt;&gt;"OK","Équipe à corriger dans Paramètres",IF(C1024="","Poste manquant",IF(ISNA(MATCH(C1024,po_code,0)),"Poste inconnu",IF(AND(E1024&lt;&gt;"",ISNA(MATCH(E1024,art_ref,0))),"Article inconnu",IF(IF(E1024="",FALSE,INDEX(art_check,MATCH(E1024,art_ref,0))&lt;&gt;"OK"),"Article à corriger (feuille Articles)",IF(COUNTIFS(sj_date,A1024,sj_eq,B1024,sj_po,C1024)&gt;1,"Ligne en double (même jour, équipe et poste)",IF(OR(NOT(ISNUMBER(K1024)),N(K1024)&lt;=0,N(K1024)&gt;1440),"Temps d'ouverture invalide",IF(OR(AND(G1024&lt;&gt;"",NOT(ISNUMBER(G1024))),N(G1024)&lt;0,N(G1024)&lt;&gt;INT(N(G1024)),AND(H1024&lt;&gt;"",NOT(ISNUMBER(H1024))),N(H1024)&lt;0,N(H1024)&lt;&gt;INT(N(H1024)),AND(I1024&lt;&gt;"",NOT(ISNUMBER(I1024))),N(I1024)&lt;0,N(I1024)&lt;&gt;INT(N(I1024))),"Quantité invalide",IF(Q1024&lt;=0,"Cadence manquante (poste ou article)",IF(M1024&lt;=0,"Arrêts planifiés supérieurs au temps d'ouverture",IF(O1024&lt;0,"Arrêts supérieurs au temps requis",IF(AND(P1024&gt;0,O1024=0),"Pièces déclarées sans temps de marche",IF(AND(P1024=0,O1024&gt;0),"Aucune pièce déclarée",IF(P1024*60/Q1024&gt;O1024+0.001,"Cadence dépassée : vérifiez la cadence","OK"))))))))))))))))))</f>
        <v/>
      </c>
      <c r="AC1024">
        <f>IF(OR(AB1024="OK",AB1024="Aucune pièce déclarée",AB1024="Cadence dépassée : vérifiez la cadence"),1,0)</f>
        <v>0.0</v>
      </c>
      <c r="AD1024">
        <f>IF(AND(AC1024=1,A1024&gt;=p_from,A1024&lt;=p_to),1,0)</f>
        <v>0.0</v>
      </c>
      <c r="AE1024">
        <f>IF(AD1024=1,IF(COUNTIFS($A$6:A1024,A1024,$AD$6:AD1024,1)=1,1,0),0)</f>
        <v>0.0</v>
      </c>
      <c r="AF1024" t="str">
        <f>IF(AE1024=1,COUNTIFS(sj_first,1,sj_date,"&lt;"&amp;A1024)+1,"")</f>
        <v/>
      </c>
      <c r="AG1024" t="str">
        <f>IF(AND(AD1024=1,N(W1024)&lt;p_alert),ROUND(W1024,4),"")</f>
        <v/>
      </c>
      <c r="AH1024" t="str">
        <f>IF(AG1024="","",COUNTIF(sj_akey,"&lt;"&amp;AG1024)+COUNTIF($AG$6:AG1024,AG1024))</f>
        <v/>
      </c>
    </row>
    <row r="1025">
      <c r="A1025" s="51" t="n"/>
      <c r="B1025" s="52" t="n"/>
      <c r="C1025" s="52" t="n"/>
      <c r="D1025" s="53" t="n"/>
      <c r="E1025" s="53" t="n"/>
      <c r="F1025" s="54" t="n"/>
      <c r="G1025" s="54" t="n"/>
      <c r="H1025" s="54" t="n"/>
      <c r="I1025" s="54" t="n"/>
      <c r="J1025" s="53" t="n"/>
      <c r="K1025" s="55" t="str">
        <f>IF(COUNTA(A1025:I1025)=0,"",IF(F1025="",IFERROR(INDEX(eq_dur,MATCH(B1025,eq_code,0)),""),F1025))</f>
        <v/>
      </c>
      <c r="L1025" s="55" t="str">
        <f>IF(ISNUMBER(K1025),N(IFERROR(INDEX(eq_pause,MATCH(B1025,eq_code,0)),0))+SUMIFS(st_min,st_date,A1025,st_eq,B1025,st_po,C1025,st_type,"Planifié"),"")</f>
        <v/>
      </c>
      <c r="M1025" s="55" t="str">
        <f>IF(ISNUMBER(K1025),K1025-L1025,"")</f>
        <v/>
      </c>
      <c r="N1025" s="55" t="str">
        <f>IF(ISNUMBER(K1025),SUMIFS(st_min,st_date,A1025,st_eq,B1025,st_po,C1025,st_type,"Non planifié"),"")</f>
        <v/>
      </c>
      <c r="O1025" s="55" t="str">
        <f>IF(ISNUMBER(K1025),M1025-N1025,"")</f>
        <v/>
      </c>
      <c r="P1025" s="55" t="str">
        <f>IF(COUNTA(A1025:I1025)=0,"",N(G1025)+N(H1025)+N(I1025))</f>
        <v/>
      </c>
      <c r="Q1025" s="56" t="str">
        <f>IF(COUNTA(A1025:I1025)=0,"",IF(N(IFERROR(INDEX(art_rate,MATCH(E1025,art_ref,0)),0))&gt;0,N(IFERROR(INDEX(art_rate,MATCH(E1025,art_ref,0)),0)),N(IFERROR(INDEX(po_rate,MATCH(C1025,po_code,0)),0))))</f>
        <v/>
      </c>
      <c r="R1025" s="55" t="str">
        <f>IF(AC1025=1,P1025*60/Q1025,"")</f>
        <v/>
      </c>
      <c r="S1025" s="55" t="str">
        <f>IF(AC1025=1,N(G1025)*60/Q1025,"")</f>
        <v/>
      </c>
      <c r="T1025" s="57" t="str">
        <f>IF(AC1025=1,O1025/M1025,"")</f>
        <v/>
      </c>
      <c r="U1025" s="57" t="str">
        <f>IF(AC1025=1,IF(O1025&gt;0,R1025/O1025,""),"")</f>
        <v/>
      </c>
      <c r="V1025" s="57" t="str">
        <f>IF(AC1025=1,IF(P1025&gt;0,N(G1025)/P1025,""),"")</f>
        <v/>
      </c>
      <c r="W1025" s="57" t="str">
        <f>IF(AC1025=1,S1025/M1025,"")</f>
        <v/>
      </c>
      <c r="X1025" s="57" t="str">
        <f>IF(AC1025=1,S1025/K1025,"")</f>
        <v/>
      </c>
      <c r="Y1025" s="58" t="str">
        <f>IF(W1025="","",IF(W1025&gt;=p_target,"Bon",IF(W1025&gt;=p_alert,"À surveiller","Faible")))</f>
        <v/>
      </c>
      <c r="Z1025" s="58" t="str">
        <f>IF(W1025="","",IF(MIN(IF(T1025="",1,T1025),IF(U1025="",1,U1025),IF(V1025="",1,V1025))&gt;=1,"Aucune",IF(IF(T1025="",1,T1025)&lt;=MIN(IF(U1025="",1,U1025),IF(V1025="",1,V1025)),"Disponibilité",IF(IF(U1025="",1,U1025)&lt;=IF(V1025="",1,V1025),"Performance","Qualité"))))</f>
        <v/>
      </c>
      <c r="AA1025" s="59" t="str">
        <f>IF(AC1025=1,N(H1025)*N(IFERROR(INDEX(art_cost,MATCH(E1025,art_ref,0)),0)),"")</f>
        <v/>
      </c>
      <c r="AB1025" s="58" t="str">
        <f>IF(COUNTA(A1025:I1025)=0,"",IF(N(A1025)&lt;=0,"Date manquante ou invalide",IF(B1025="","Équipe manquante",IF(ISNA(MATCH(B1025,eq_code,0)),"Équipe inconnue",IF(INDEX(eq_check,MATCH(B1025,eq_code,0))&lt;&gt;"OK","Équipe à corriger dans Paramètres",IF(C1025="","Poste manquant",IF(ISNA(MATCH(C1025,po_code,0)),"Poste inconnu",IF(AND(E1025&lt;&gt;"",ISNA(MATCH(E1025,art_ref,0))),"Article inconnu",IF(IF(E1025="",FALSE,INDEX(art_check,MATCH(E1025,art_ref,0))&lt;&gt;"OK"),"Article à corriger (feuille Articles)",IF(COUNTIFS(sj_date,A1025,sj_eq,B1025,sj_po,C1025)&gt;1,"Ligne en double (même jour, équipe et poste)",IF(OR(NOT(ISNUMBER(K1025)),N(K1025)&lt;=0,N(K1025)&gt;1440),"Temps d'ouverture invalide",IF(OR(AND(G1025&lt;&gt;"",NOT(ISNUMBER(G1025))),N(G1025)&lt;0,N(G1025)&lt;&gt;INT(N(G1025)),AND(H1025&lt;&gt;"",NOT(ISNUMBER(H1025))),N(H1025)&lt;0,N(H1025)&lt;&gt;INT(N(H1025)),AND(I1025&lt;&gt;"",NOT(ISNUMBER(I1025))),N(I1025)&lt;0,N(I1025)&lt;&gt;INT(N(I1025))),"Quantité invalide",IF(Q1025&lt;=0,"Cadence manquante (poste ou article)",IF(M1025&lt;=0,"Arrêts planifiés supérieurs au temps d'ouverture",IF(O1025&lt;0,"Arrêts supérieurs au temps requis",IF(AND(P1025&gt;0,O1025=0),"Pièces déclarées sans temps de marche",IF(AND(P1025=0,O1025&gt;0),"Aucune pièce déclarée",IF(P1025*60/Q1025&gt;O1025+0.001,"Cadence dépassée : vérifiez la cadence","OK"))))))))))))))))))</f>
        <v/>
      </c>
      <c r="AC1025">
        <f>IF(OR(AB1025="OK",AB1025="Aucune pièce déclarée",AB1025="Cadence dépassée : vérifiez la cadence"),1,0)</f>
        <v>0.0</v>
      </c>
      <c r="AD1025">
        <f>IF(AND(AC1025=1,A1025&gt;=p_from,A1025&lt;=p_to),1,0)</f>
        <v>0.0</v>
      </c>
      <c r="AE1025">
        <f>IF(AD1025=1,IF(COUNTIFS($A$6:A1025,A1025,$AD$6:AD1025,1)=1,1,0),0)</f>
        <v>0.0</v>
      </c>
      <c r="AF1025" t="str">
        <f>IF(AE1025=1,COUNTIFS(sj_first,1,sj_date,"&lt;"&amp;A1025)+1,"")</f>
        <v/>
      </c>
      <c r="AG1025" t="str">
        <f>IF(AND(AD1025=1,N(W1025)&lt;p_alert),ROUND(W1025,4),"")</f>
        <v/>
      </c>
      <c r="AH1025" t="str">
        <f>IF(AG1025="","",COUNTIF(sj_akey,"&lt;"&amp;AG1025)+COUNTIF($AG$6:AG1025,AG1025))</f>
        <v/>
      </c>
    </row>
    <row r="1026">
      <c r="A1026" s="51" t="n"/>
      <c r="B1026" s="52" t="n"/>
      <c r="C1026" s="52" t="n"/>
      <c r="D1026" s="53" t="n"/>
      <c r="E1026" s="53" t="n"/>
      <c r="F1026" s="54" t="n"/>
      <c r="G1026" s="54" t="n"/>
      <c r="H1026" s="54" t="n"/>
      <c r="I1026" s="54" t="n"/>
      <c r="J1026" s="53" t="n"/>
      <c r="K1026" s="55" t="str">
        <f>IF(COUNTA(A1026:I1026)=0,"",IF(F1026="",IFERROR(INDEX(eq_dur,MATCH(B1026,eq_code,0)),""),F1026))</f>
        <v/>
      </c>
      <c r="L1026" s="55" t="str">
        <f>IF(ISNUMBER(K1026),N(IFERROR(INDEX(eq_pause,MATCH(B1026,eq_code,0)),0))+SUMIFS(st_min,st_date,A1026,st_eq,B1026,st_po,C1026,st_type,"Planifié"),"")</f>
        <v/>
      </c>
      <c r="M1026" s="55" t="str">
        <f>IF(ISNUMBER(K1026),K1026-L1026,"")</f>
        <v/>
      </c>
      <c r="N1026" s="55" t="str">
        <f>IF(ISNUMBER(K1026),SUMIFS(st_min,st_date,A1026,st_eq,B1026,st_po,C1026,st_type,"Non planifié"),"")</f>
        <v/>
      </c>
      <c r="O1026" s="55" t="str">
        <f>IF(ISNUMBER(K1026),M1026-N1026,"")</f>
        <v/>
      </c>
      <c r="P1026" s="55" t="str">
        <f>IF(COUNTA(A1026:I1026)=0,"",N(G1026)+N(H1026)+N(I1026))</f>
        <v/>
      </c>
      <c r="Q1026" s="56" t="str">
        <f>IF(COUNTA(A1026:I1026)=0,"",IF(N(IFERROR(INDEX(art_rate,MATCH(E1026,art_ref,0)),0))&gt;0,N(IFERROR(INDEX(art_rate,MATCH(E1026,art_ref,0)),0)),N(IFERROR(INDEX(po_rate,MATCH(C1026,po_code,0)),0))))</f>
        <v/>
      </c>
      <c r="R1026" s="55" t="str">
        <f>IF(AC1026=1,P1026*60/Q1026,"")</f>
        <v/>
      </c>
      <c r="S1026" s="55" t="str">
        <f>IF(AC1026=1,N(G1026)*60/Q1026,"")</f>
        <v/>
      </c>
      <c r="T1026" s="57" t="str">
        <f>IF(AC1026=1,O1026/M1026,"")</f>
        <v/>
      </c>
      <c r="U1026" s="57" t="str">
        <f>IF(AC1026=1,IF(O1026&gt;0,R1026/O1026,""),"")</f>
        <v/>
      </c>
      <c r="V1026" s="57" t="str">
        <f>IF(AC1026=1,IF(P1026&gt;0,N(G1026)/P1026,""),"")</f>
        <v/>
      </c>
      <c r="W1026" s="57" t="str">
        <f>IF(AC1026=1,S1026/M1026,"")</f>
        <v/>
      </c>
      <c r="X1026" s="57" t="str">
        <f>IF(AC1026=1,S1026/K1026,"")</f>
        <v/>
      </c>
      <c r="Y1026" s="58" t="str">
        <f>IF(W1026="","",IF(W1026&gt;=p_target,"Bon",IF(W1026&gt;=p_alert,"À surveiller","Faible")))</f>
        <v/>
      </c>
      <c r="Z1026" s="58" t="str">
        <f>IF(W1026="","",IF(MIN(IF(T1026="",1,T1026),IF(U1026="",1,U1026),IF(V1026="",1,V1026))&gt;=1,"Aucune",IF(IF(T1026="",1,T1026)&lt;=MIN(IF(U1026="",1,U1026),IF(V1026="",1,V1026)),"Disponibilité",IF(IF(U1026="",1,U1026)&lt;=IF(V1026="",1,V1026),"Performance","Qualité"))))</f>
        <v/>
      </c>
      <c r="AA1026" s="59" t="str">
        <f>IF(AC1026=1,N(H1026)*N(IFERROR(INDEX(art_cost,MATCH(E1026,art_ref,0)),0)),"")</f>
        <v/>
      </c>
      <c r="AB1026" s="58" t="str">
        <f>IF(COUNTA(A1026:I1026)=0,"",IF(N(A1026)&lt;=0,"Date manquante ou invalide",IF(B1026="","Équipe manquante",IF(ISNA(MATCH(B1026,eq_code,0)),"Équipe inconnue",IF(INDEX(eq_check,MATCH(B1026,eq_code,0))&lt;&gt;"OK","Équipe à corriger dans Paramètres",IF(C1026="","Poste manquant",IF(ISNA(MATCH(C1026,po_code,0)),"Poste inconnu",IF(AND(E1026&lt;&gt;"",ISNA(MATCH(E1026,art_ref,0))),"Article inconnu",IF(IF(E1026="",FALSE,INDEX(art_check,MATCH(E1026,art_ref,0))&lt;&gt;"OK"),"Article à corriger (feuille Articles)",IF(COUNTIFS(sj_date,A1026,sj_eq,B1026,sj_po,C1026)&gt;1,"Ligne en double (même jour, équipe et poste)",IF(OR(NOT(ISNUMBER(K1026)),N(K1026)&lt;=0,N(K1026)&gt;1440),"Temps d'ouverture invalide",IF(OR(AND(G1026&lt;&gt;"",NOT(ISNUMBER(G1026))),N(G1026)&lt;0,N(G1026)&lt;&gt;INT(N(G1026)),AND(H1026&lt;&gt;"",NOT(ISNUMBER(H1026))),N(H1026)&lt;0,N(H1026)&lt;&gt;INT(N(H1026)),AND(I1026&lt;&gt;"",NOT(ISNUMBER(I1026))),N(I1026)&lt;0,N(I1026)&lt;&gt;INT(N(I1026))),"Quantité invalide",IF(Q1026&lt;=0,"Cadence manquante (poste ou article)",IF(M1026&lt;=0,"Arrêts planifiés supérieurs au temps d'ouverture",IF(O1026&lt;0,"Arrêts supérieurs au temps requis",IF(AND(P1026&gt;0,O1026=0),"Pièces déclarées sans temps de marche",IF(AND(P1026=0,O1026&gt;0),"Aucune pièce déclarée",IF(P1026*60/Q1026&gt;O1026+0.001,"Cadence dépassée : vérifiez la cadence","OK"))))))))))))))))))</f>
        <v/>
      </c>
      <c r="AC1026">
        <f>IF(OR(AB1026="OK",AB1026="Aucune pièce déclarée",AB1026="Cadence dépassée : vérifiez la cadence"),1,0)</f>
        <v>0.0</v>
      </c>
      <c r="AD1026">
        <f>IF(AND(AC1026=1,A1026&gt;=p_from,A1026&lt;=p_to),1,0)</f>
        <v>0.0</v>
      </c>
      <c r="AE1026">
        <f>IF(AD1026=1,IF(COUNTIFS($A$6:A1026,A1026,$AD$6:AD1026,1)=1,1,0),0)</f>
        <v>0.0</v>
      </c>
      <c r="AF1026" t="str">
        <f>IF(AE1026=1,COUNTIFS(sj_first,1,sj_date,"&lt;"&amp;A1026)+1,"")</f>
        <v/>
      </c>
      <c r="AG1026" t="str">
        <f>IF(AND(AD1026=1,N(W1026)&lt;p_alert),ROUND(W1026,4),"")</f>
        <v/>
      </c>
      <c r="AH1026" t="str">
        <f>IF(AG1026="","",COUNTIF(sj_akey,"&lt;"&amp;AG1026)+COUNTIF($AG$6:AG1026,AG1026))</f>
        <v/>
      </c>
    </row>
    <row r="1027">
      <c r="A1027" s="51" t="n"/>
      <c r="B1027" s="52" t="n"/>
      <c r="C1027" s="52" t="n"/>
      <c r="D1027" s="53" t="n"/>
      <c r="E1027" s="53" t="n"/>
      <c r="F1027" s="54" t="n"/>
      <c r="G1027" s="54" t="n"/>
      <c r="H1027" s="54" t="n"/>
      <c r="I1027" s="54" t="n"/>
      <c r="J1027" s="53" t="n"/>
      <c r="K1027" s="55" t="str">
        <f>IF(COUNTA(A1027:I1027)=0,"",IF(F1027="",IFERROR(INDEX(eq_dur,MATCH(B1027,eq_code,0)),""),F1027))</f>
        <v/>
      </c>
      <c r="L1027" s="55" t="str">
        <f>IF(ISNUMBER(K1027),N(IFERROR(INDEX(eq_pause,MATCH(B1027,eq_code,0)),0))+SUMIFS(st_min,st_date,A1027,st_eq,B1027,st_po,C1027,st_type,"Planifié"),"")</f>
        <v/>
      </c>
      <c r="M1027" s="55" t="str">
        <f>IF(ISNUMBER(K1027),K1027-L1027,"")</f>
        <v/>
      </c>
      <c r="N1027" s="55" t="str">
        <f>IF(ISNUMBER(K1027),SUMIFS(st_min,st_date,A1027,st_eq,B1027,st_po,C1027,st_type,"Non planifié"),"")</f>
        <v/>
      </c>
      <c r="O1027" s="55" t="str">
        <f>IF(ISNUMBER(K1027),M1027-N1027,"")</f>
        <v/>
      </c>
      <c r="P1027" s="55" t="str">
        <f>IF(COUNTA(A1027:I1027)=0,"",N(G1027)+N(H1027)+N(I1027))</f>
        <v/>
      </c>
      <c r="Q1027" s="56" t="str">
        <f>IF(COUNTA(A1027:I1027)=0,"",IF(N(IFERROR(INDEX(art_rate,MATCH(E1027,art_ref,0)),0))&gt;0,N(IFERROR(INDEX(art_rate,MATCH(E1027,art_ref,0)),0)),N(IFERROR(INDEX(po_rate,MATCH(C1027,po_code,0)),0))))</f>
        <v/>
      </c>
      <c r="R1027" s="55" t="str">
        <f>IF(AC1027=1,P1027*60/Q1027,"")</f>
        <v/>
      </c>
      <c r="S1027" s="55" t="str">
        <f>IF(AC1027=1,N(G1027)*60/Q1027,"")</f>
        <v/>
      </c>
      <c r="T1027" s="57" t="str">
        <f>IF(AC1027=1,O1027/M1027,"")</f>
        <v/>
      </c>
      <c r="U1027" s="57" t="str">
        <f>IF(AC1027=1,IF(O1027&gt;0,R1027/O1027,""),"")</f>
        <v/>
      </c>
      <c r="V1027" s="57" t="str">
        <f>IF(AC1027=1,IF(P1027&gt;0,N(G1027)/P1027,""),"")</f>
        <v/>
      </c>
      <c r="W1027" s="57" t="str">
        <f>IF(AC1027=1,S1027/M1027,"")</f>
        <v/>
      </c>
      <c r="X1027" s="57" t="str">
        <f>IF(AC1027=1,S1027/K1027,"")</f>
        <v/>
      </c>
      <c r="Y1027" s="58" t="str">
        <f>IF(W1027="","",IF(W1027&gt;=p_target,"Bon",IF(W1027&gt;=p_alert,"À surveiller","Faible")))</f>
        <v/>
      </c>
      <c r="Z1027" s="58" t="str">
        <f>IF(W1027="","",IF(MIN(IF(T1027="",1,T1027),IF(U1027="",1,U1027),IF(V1027="",1,V1027))&gt;=1,"Aucune",IF(IF(T1027="",1,T1027)&lt;=MIN(IF(U1027="",1,U1027),IF(V1027="",1,V1027)),"Disponibilité",IF(IF(U1027="",1,U1027)&lt;=IF(V1027="",1,V1027),"Performance","Qualité"))))</f>
        <v/>
      </c>
      <c r="AA1027" s="59" t="str">
        <f>IF(AC1027=1,N(H1027)*N(IFERROR(INDEX(art_cost,MATCH(E1027,art_ref,0)),0)),"")</f>
        <v/>
      </c>
      <c r="AB1027" s="58" t="str">
        <f>IF(COUNTA(A1027:I1027)=0,"",IF(N(A1027)&lt;=0,"Date manquante ou invalide",IF(B1027="","Équipe manquante",IF(ISNA(MATCH(B1027,eq_code,0)),"Équipe inconnue",IF(INDEX(eq_check,MATCH(B1027,eq_code,0))&lt;&gt;"OK","Équipe à corriger dans Paramètres",IF(C1027="","Poste manquant",IF(ISNA(MATCH(C1027,po_code,0)),"Poste inconnu",IF(AND(E1027&lt;&gt;"",ISNA(MATCH(E1027,art_ref,0))),"Article inconnu",IF(IF(E1027="",FALSE,INDEX(art_check,MATCH(E1027,art_ref,0))&lt;&gt;"OK"),"Article à corriger (feuille Articles)",IF(COUNTIFS(sj_date,A1027,sj_eq,B1027,sj_po,C1027)&gt;1,"Ligne en double (même jour, équipe et poste)",IF(OR(NOT(ISNUMBER(K1027)),N(K1027)&lt;=0,N(K1027)&gt;1440),"Temps d'ouverture invalide",IF(OR(AND(G1027&lt;&gt;"",NOT(ISNUMBER(G1027))),N(G1027)&lt;0,N(G1027)&lt;&gt;INT(N(G1027)),AND(H1027&lt;&gt;"",NOT(ISNUMBER(H1027))),N(H1027)&lt;0,N(H1027)&lt;&gt;INT(N(H1027)),AND(I1027&lt;&gt;"",NOT(ISNUMBER(I1027))),N(I1027)&lt;0,N(I1027)&lt;&gt;INT(N(I1027))),"Quantité invalide",IF(Q1027&lt;=0,"Cadence manquante (poste ou article)",IF(M1027&lt;=0,"Arrêts planifiés supérieurs au temps d'ouverture",IF(O1027&lt;0,"Arrêts supérieurs au temps requis",IF(AND(P1027&gt;0,O1027=0),"Pièces déclarées sans temps de marche",IF(AND(P1027=0,O1027&gt;0),"Aucune pièce déclarée",IF(P1027*60/Q1027&gt;O1027+0.001,"Cadence dépassée : vérifiez la cadence","OK"))))))))))))))))))</f>
        <v/>
      </c>
      <c r="AC1027">
        <f>IF(OR(AB1027="OK",AB1027="Aucune pièce déclarée",AB1027="Cadence dépassée : vérifiez la cadence"),1,0)</f>
        <v>0.0</v>
      </c>
      <c r="AD1027">
        <f>IF(AND(AC1027=1,A1027&gt;=p_from,A1027&lt;=p_to),1,0)</f>
        <v>0.0</v>
      </c>
      <c r="AE1027">
        <f>IF(AD1027=1,IF(COUNTIFS($A$6:A1027,A1027,$AD$6:AD1027,1)=1,1,0),0)</f>
        <v>0.0</v>
      </c>
      <c r="AF1027" t="str">
        <f>IF(AE1027=1,COUNTIFS(sj_first,1,sj_date,"&lt;"&amp;A1027)+1,"")</f>
        <v/>
      </c>
      <c r="AG1027" t="str">
        <f>IF(AND(AD1027=1,N(W1027)&lt;p_alert),ROUND(W1027,4),"")</f>
        <v/>
      </c>
      <c r="AH1027" t="str">
        <f>IF(AG1027="","",COUNTIF(sj_akey,"&lt;"&amp;AG1027)+COUNTIF($AG$6:AG1027,AG1027))</f>
        <v/>
      </c>
    </row>
    <row r="1028">
      <c r="A1028" s="51" t="n"/>
      <c r="B1028" s="52" t="n"/>
      <c r="C1028" s="52" t="n"/>
      <c r="D1028" s="53" t="n"/>
      <c r="E1028" s="53" t="n"/>
      <c r="F1028" s="54" t="n"/>
      <c r="G1028" s="54" t="n"/>
      <c r="H1028" s="54" t="n"/>
      <c r="I1028" s="54" t="n"/>
      <c r="J1028" s="53" t="n"/>
      <c r="K1028" s="55" t="str">
        <f>IF(COUNTA(A1028:I1028)=0,"",IF(F1028="",IFERROR(INDEX(eq_dur,MATCH(B1028,eq_code,0)),""),F1028))</f>
        <v/>
      </c>
      <c r="L1028" s="55" t="str">
        <f>IF(ISNUMBER(K1028),N(IFERROR(INDEX(eq_pause,MATCH(B1028,eq_code,0)),0))+SUMIFS(st_min,st_date,A1028,st_eq,B1028,st_po,C1028,st_type,"Planifié"),"")</f>
        <v/>
      </c>
      <c r="M1028" s="55" t="str">
        <f>IF(ISNUMBER(K1028),K1028-L1028,"")</f>
        <v/>
      </c>
      <c r="N1028" s="55" t="str">
        <f>IF(ISNUMBER(K1028),SUMIFS(st_min,st_date,A1028,st_eq,B1028,st_po,C1028,st_type,"Non planifié"),"")</f>
        <v/>
      </c>
      <c r="O1028" s="55" t="str">
        <f>IF(ISNUMBER(K1028),M1028-N1028,"")</f>
        <v/>
      </c>
      <c r="P1028" s="55" t="str">
        <f>IF(COUNTA(A1028:I1028)=0,"",N(G1028)+N(H1028)+N(I1028))</f>
        <v/>
      </c>
      <c r="Q1028" s="56" t="str">
        <f>IF(COUNTA(A1028:I1028)=0,"",IF(N(IFERROR(INDEX(art_rate,MATCH(E1028,art_ref,0)),0))&gt;0,N(IFERROR(INDEX(art_rate,MATCH(E1028,art_ref,0)),0)),N(IFERROR(INDEX(po_rate,MATCH(C1028,po_code,0)),0))))</f>
        <v/>
      </c>
      <c r="R1028" s="55" t="str">
        <f>IF(AC1028=1,P1028*60/Q1028,"")</f>
        <v/>
      </c>
      <c r="S1028" s="55" t="str">
        <f>IF(AC1028=1,N(G1028)*60/Q1028,"")</f>
        <v/>
      </c>
      <c r="T1028" s="57" t="str">
        <f>IF(AC1028=1,O1028/M1028,"")</f>
        <v/>
      </c>
      <c r="U1028" s="57" t="str">
        <f>IF(AC1028=1,IF(O1028&gt;0,R1028/O1028,""),"")</f>
        <v/>
      </c>
      <c r="V1028" s="57" t="str">
        <f>IF(AC1028=1,IF(P1028&gt;0,N(G1028)/P1028,""),"")</f>
        <v/>
      </c>
      <c r="W1028" s="57" t="str">
        <f>IF(AC1028=1,S1028/M1028,"")</f>
        <v/>
      </c>
      <c r="X1028" s="57" t="str">
        <f>IF(AC1028=1,S1028/K1028,"")</f>
        <v/>
      </c>
      <c r="Y1028" s="58" t="str">
        <f>IF(W1028="","",IF(W1028&gt;=p_target,"Bon",IF(W1028&gt;=p_alert,"À surveiller","Faible")))</f>
        <v/>
      </c>
      <c r="Z1028" s="58" t="str">
        <f>IF(W1028="","",IF(MIN(IF(T1028="",1,T1028),IF(U1028="",1,U1028),IF(V1028="",1,V1028))&gt;=1,"Aucune",IF(IF(T1028="",1,T1028)&lt;=MIN(IF(U1028="",1,U1028),IF(V1028="",1,V1028)),"Disponibilité",IF(IF(U1028="",1,U1028)&lt;=IF(V1028="",1,V1028),"Performance","Qualité"))))</f>
        <v/>
      </c>
      <c r="AA1028" s="59" t="str">
        <f>IF(AC1028=1,N(H1028)*N(IFERROR(INDEX(art_cost,MATCH(E1028,art_ref,0)),0)),"")</f>
        <v/>
      </c>
      <c r="AB1028" s="58" t="str">
        <f>IF(COUNTA(A1028:I1028)=0,"",IF(N(A1028)&lt;=0,"Date manquante ou invalide",IF(B1028="","Équipe manquante",IF(ISNA(MATCH(B1028,eq_code,0)),"Équipe inconnue",IF(INDEX(eq_check,MATCH(B1028,eq_code,0))&lt;&gt;"OK","Équipe à corriger dans Paramètres",IF(C1028="","Poste manquant",IF(ISNA(MATCH(C1028,po_code,0)),"Poste inconnu",IF(AND(E1028&lt;&gt;"",ISNA(MATCH(E1028,art_ref,0))),"Article inconnu",IF(IF(E1028="",FALSE,INDEX(art_check,MATCH(E1028,art_ref,0))&lt;&gt;"OK"),"Article à corriger (feuille Articles)",IF(COUNTIFS(sj_date,A1028,sj_eq,B1028,sj_po,C1028)&gt;1,"Ligne en double (même jour, équipe et poste)",IF(OR(NOT(ISNUMBER(K1028)),N(K1028)&lt;=0,N(K1028)&gt;1440),"Temps d'ouverture invalide",IF(OR(AND(G1028&lt;&gt;"",NOT(ISNUMBER(G1028))),N(G1028)&lt;0,N(G1028)&lt;&gt;INT(N(G1028)),AND(H1028&lt;&gt;"",NOT(ISNUMBER(H1028))),N(H1028)&lt;0,N(H1028)&lt;&gt;INT(N(H1028)),AND(I1028&lt;&gt;"",NOT(ISNUMBER(I1028))),N(I1028)&lt;0,N(I1028)&lt;&gt;INT(N(I1028))),"Quantité invalide",IF(Q1028&lt;=0,"Cadence manquante (poste ou article)",IF(M1028&lt;=0,"Arrêts planifiés supérieurs au temps d'ouverture",IF(O1028&lt;0,"Arrêts supérieurs au temps requis",IF(AND(P1028&gt;0,O1028=0),"Pièces déclarées sans temps de marche",IF(AND(P1028=0,O1028&gt;0),"Aucune pièce déclarée",IF(P1028*60/Q1028&gt;O1028+0.001,"Cadence dépassée : vérifiez la cadence","OK"))))))))))))))))))</f>
        <v/>
      </c>
      <c r="AC1028">
        <f>IF(OR(AB1028="OK",AB1028="Aucune pièce déclarée",AB1028="Cadence dépassée : vérifiez la cadence"),1,0)</f>
        <v>0.0</v>
      </c>
      <c r="AD1028">
        <f>IF(AND(AC1028=1,A1028&gt;=p_from,A1028&lt;=p_to),1,0)</f>
        <v>0.0</v>
      </c>
      <c r="AE1028">
        <f>IF(AD1028=1,IF(COUNTIFS($A$6:A1028,A1028,$AD$6:AD1028,1)=1,1,0),0)</f>
        <v>0.0</v>
      </c>
      <c r="AF1028" t="str">
        <f>IF(AE1028=1,COUNTIFS(sj_first,1,sj_date,"&lt;"&amp;A1028)+1,"")</f>
        <v/>
      </c>
      <c r="AG1028" t="str">
        <f>IF(AND(AD1028=1,N(W1028)&lt;p_alert),ROUND(W1028,4),"")</f>
        <v/>
      </c>
      <c r="AH1028" t="str">
        <f>IF(AG1028="","",COUNTIF(sj_akey,"&lt;"&amp;AG1028)+COUNTIF($AG$6:AG1028,AG1028))</f>
        <v/>
      </c>
    </row>
    <row r="1029">
      <c r="A1029" s="51" t="n"/>
      <c r="B1029" s="52" t="n"/>
      <c r="C1029" s="52" t="n"/>
      <c r="D1029" s="53" t="n"/>
      <c r="E1029" s="53" t="n"/>
      <c r="F1029" s="54" t="n"/>
      <c r="G1029" s="54" t="n"/>
      <c r="H1029" s="54" t="n"/>
      <c r="I1029" s="54" t="n"/>
      <c r="J1029" s="53" t="n"/>
      <c r="K1029" s="55" t="str">
        <f>IF(COUNTA(A1029:I1029)=0,"",IF(F1029="",IFERROR(INDEX(eq_dur,MATCH(B1029,eq_code,0)),""),F1029))</f>
        <v/>
      </c>
      <c r="L1029" s="55" t="str">
        <f>IF(ISNUMBER(K1029),N(IFERROR(INDEX(eq_pause,MATCH(B1029,eq_code,0)),0))+SUMIFS(st_min,st_date,A1029,st_eq,B1029,st_po,C1029,st_type,"Planifié"),"")</f>
        <v/>
      </c>
      <c r="M1029" s="55" t="str">
        <f>IF(ISNUMBER(K1029),K1029-L1029,"")</f>
        <v/>
      </c>
      <c r="N1029" s="55" t="str">
        <f>IF(ISNUMBER(K1029),SUMIFS(st_min,st_date,A1029,st_eq,B1029,st_po,C1029,st_type,"Non planifié"),"")</f>
        <v/>
      </c>
      <c r="O1029" s="55" t="str">
        <f>IF(ISNUMBER(K1029),M1029-N1029,"")</f>
        <v/>
      </c>
      <c r="P1029" s="55" t="str">
        <f>IF(COUNTA(A1029:I1029)=0,"",N(G1029)+N(H1029)+N(I1029))</f>
        <v/>
      </c>
      <c r="Q1029" s="56" t="str">
        <f>IF(COUNTA(A1029:I1029)=0,"",IF(N(IFERROR(INDEX(art_rate,MATCH(E1029,art_ref,0)),0))&gt;0,N(IFERROR(INDEX(art_rate,MATCH(E1029,art_ref,0)),0)),N(IFERROR(INDEX(po_rate,MATCH(C1029,po_code,0)),0))))</f>
        <v/>
      </c>
      <c r="R1029" s="55" t="str">
        <f>IF(AC1029=1,P1029*60/Q1029,"")</f>
        <v/>
      </c>
      <c r="S1029" s="55" t="str">
        <f>IF(AC1029=1,N(G1029)*60/Q1029,"")</f>
        <v/>
      </c>
      <c r="T1029" s="57" t="str">
        <f>IF(AC1029=1,O1029/M1029,"")</f>
        <v/>
      </c>
      <c r="U1029" s="57" t="str">
        <f>IF(AC1029=1,IF(O1029&gt;0,R1029/O1029,""),"")</f>
        <v/>
      </c>
      <c r="V1029" s="57" t="str">
        <f>IF(AC1029=1,IF(P1029&gt;0,N(G1029)/P1029,""),"")</f>
        <v/>
      </c>
      <c r="W1029" s="57" t="str">
        <f>IF(AC1029=1,S1029/M1029,"")</f>
        <v/>
      </c>
      <c r="X1029" s="57" t="str">
        <f>IF(AC1029=1,S1029/K1029,"")</f>
        <v/>
      </c>
      <c r="Y1029" s="58" t="str">
        <f>IF(W1029="","",IF(W1029&gt;=p_target,"Bon",IF(W1029&gt;=p_alert,"À surveiller","Faible")))</f>
        <v/>
      </c>
      <c r="Z1029" s="58" t="str">
        <f>IF(W1029="","",IF(MIN(IF(T1029="",1,T1029),IF(U1029="",1,U1029),IF(V1029="",1,V1029))&gt;=1,"Aucune",IF(IF(T1029="",1,T1029)&lt;=MIN(IF(U1029="",1,U1029),IF(V1029="",1,V1029)),"Disponibilité",IF(IF(U1029="",1,U1029)&lt;=IF(V1029="",1,V1029),"Performance","Qualité"))))</f>
        <v/>
      </c>
      <c r="AA1029" s="59" t="str">
        <f>IF(AC1029=1,N(H1029)*N(IFERROR(INDEX(art_cost,MATCH(E1029,art_ref,0)),0)),"")</f>
        <v/>
      </c>
      <c r="AB1029" s="58" t="str">
        <f>IF(COUNTA(A1029:I1029)=0,"",IF(N(A1029)&lt;=0,"Date manquante ou invalide",IF(B1029="","Équipe manquante",IF(ISNA(MATCH(B1029,eq_code,0)),"Équipe inconnue",IF(INDEX(eq_check,MATCH(B1029,eq_code,0))&lt;&gt;"OK","Équipe à corriger dans Paramètres",IF(C1029="","Poste manquant",IF(ISNA(MATCH(C1029,po_code,0)),"Poste inconnu",IF(AND(E1029&lt;&gt;"",ISNA(MATCH(E1029,art_ref,0))),"Article inconnu",IF(IF(E1029="",FALSE,INDEX(art_check,MATCH(E1029,art_ref,0))&lt;&gt;"OK"),"Article à corriger (feuille Articles)",IF(COUNTIFS(sj_date,A1029,sj_eq,B1029,sj_po,C1029)&gt;1,"Ligne en double (même jour, équipe et poste)",IF(OR(NOT(ISNUMBER(K1029)),N(K1029)&lt;=0,N(K1029)&gt;1440),"Temps d'ouverture invalide",IF(OR(AND(G1029&lt;&gt;"",NOT(ISNUMBER(G1029))),N(G1029)&lt;0,N(G1029)&lt;&gt;INT(N(G1029)),AND(H1029&lt;&gt;"",NOT(ISNUMBER(H1029))),N(H1029)&lt;0,N(H1029)&lt;&gt;INT(N(H1029)),AND(I1029&lt;&gt;"",NOT(ISNUMBER(I1029))),N(I1029)&lt;0,N(I1029)&lt;&gt;INT(N(I1029))),"Quantité invalide",IF(Q1029&lt;=0,"Cadence manquante (poste ou article)",IF(M1029&lt;=0,"Arrêts planifiés supérieurs au temps d'ouverture",IF(O1029&lt;0,"Arrêts supérieurs au temps requis",IF(AND(P1029&gt;0,O1029=0),"Pièces déclarées sans temps de marche",IF(AND(P1029=0,O1029&gt;0),"Aucune pièce déclarée",IF(P1029*60/Q1029&gt;O1029+0.001,"Cadence dépassée : vérifiez la cadence","OK"))))))))))))))))))</f>
        <v/>
      </c>
      <c r="AC1029">
        <f>IF(OR(AB1029="OK",AB1029="Aucune pièce déclarée",AB1029="Cadence dépassée : vérifiez la cadence"),1,0)</f>
        <v>0.0</v>
      </c>
      <c r="AD1029">
        <f>IF(AND(AC1029=1,A1029&gt;=p_from,A1029&lt;=p_to),1,0)</f>
        <v>0.0</v>
      </c>
      <c r="AE1029">
        <f>IF(AD1029=1,IF(COUNTIFS($A$6:A1029,A1029,$AD$6:AD1029,1)=1,1,0),0)</f>
        <v>0.0</v>
      </c>
      <c r="AF1029" t="str">
        <f>IF(AE1029=1,COUNTIFS(sj_first,1,sj_date,"&lt;"&amp;A1029)+1,"")</f>
        <v/>
      </c>
      <c r="AG1029" t="str">
        <f>IF(AND(AD1029=1,N(W1029)&lt;p_alert),ROUND(W1029,4),"")</f>
        <v/>
      </c>
      <c r="AH1029" t="str">
        <f>IF(AG1029="","",COUNTIF(sj_akey,"&lt;"&amp;AG1029)+COUNTIF($AG$6:AG1029,AG1029))</f>
        <v/>
      </c>
    </row>
    <row r="1030">
      <c r="A1030" s="51" t="n"/>
      <c r="B1030" s="52" t="n"/>
      <c r="C1030" s="52" t="n"/>
      <c r="D1030" s="53" t="n"/>
      <c r="E1030" s="53" t="n"/>
      <c r="F1030" s="54" t="n"/>
      <c r="G1030" s="54" t="n"/>
      <c r="H1030" s="54" t="n"/>
      <c r="I1030" s="54" t="n"/>
      <c r="J1030" s="53" t="n"/>
      <c r="K1030" s="55" t="str">
        <f>IF(COUNTA(A1030:I1030)=0,"",IF(F1030="",IFERROR(INDEX(eq_dur,MATCH(B1030,eq_code,0)),""),F1030))</f>
        <v/>
      </c>
      <c r="L1030" s="55" t="str">
        <f>IF(ISNUMBER(K1030),N(IFERROR(INDEX(eq_pause,MATCH(B1030,eq_code,0)),0))+SUMIFS(st_min,st_date,A1030,st_eq,B1030,st_po,C1030,st_type,"Planifié"),"")</f>
        <v/>
      </c>
      <c r="M1030" s="55" t="str">
        <f>IF(ISNUMBER(K1030),K1030-L1030,"")</f>
        <v/>
      </c>
      <c r="N1030" s="55" t="str">
        <f>IF(ISNUMBER(K1030),SUMIFS(st_min,st_date,A1030,st_eq,B1030,st_po,C1030,st_type,"Non planifié"),"")</f>
        <v/>
      </c>
      <c r="O1030" s="55" t="str">
        <f>IF(ISNUMBER(K1030),M1030-N1030,"")</f>
        <v/>
      </c>
      <c r="P1030" s="55" t="str">
        <f>IF(COUNTA(A1030:I1030)=0,"",N(G1030)+N(H1030)+N(I1030))</f>
        <v/>
      </c>
      <c r="Q1030" s="56" t="str">
        <f>IF(COUNTA(A1030:I1030)=0,"",IF(N(IFERROR(INDEX(art_rate,MATCH(E1030,art_ref,0)),0))&gt;0,N(IFERROR(INDEX(art_rate,MATCH(E1030,art_ref,0)),0)),N(IFERROR(INDEX(po_rate,MATCH(C1030,po_code,0)),0))))</f>
        <v/>
      </c>
      <c r="R1030" s="55" t="str">
        <f>IF(AC1030=1,P1030*60/Q1030,"")</f>
        <v/>
      </c>
      <c r="S1030" s="55" t="str">
        <f>IF(AC1030=1,N(G1030)*60/Q1030,"")</f>
        <v/>
      </c>
      <c r="T1030" s="57" t="str">
        <f>IF(AC1030=1,O1030/M1030,"")</f>
        <v/>
      </c>
      <c r="U1030" s="57" t="str">
        <f>IF(AC1030=1,IF(O1030&gt;0,R1030/O1030,""),"")</f>
        <v/>
      </c>
      <c r="V1030" s="57" t="str">
        <f>IF(AC1030=1,IF(P1030&gt;0,N(G1030)/P1030,""),"")</f>
        <v/>
      </c>
      <c r="W1030" s="57" t="str">
        <f>IF(AC1030=1,S1030/M1030,"")</f>
        <v/>
      </c>
      <c r="X1030" s="57" t="str">
        <f>IF(AC1030=1,S1030/K1030,"")</f>
        <v/>
      </c>
      <c r="Y1030" s="58" t="str">
        <f>IF(W1030="","",IF(W1030&gt;=p_target,"Bon",IF(W1030&gt;=p_alert,"À surveiller","Faible")))</f>
        <v/>
      </c>
      <c r="Z1030" s="58" t="str">
        <f>IF(W1030="","",IF(MIN(IF(T1030="",1,T1030),IF(U1030="",1,U1030),IF(V1030="",1,V1030))&gt;=1,"Aucune",IF(IF(T1030="",1,T1030)&lt;=MIN(IF(U1030="",1,U1030),IF(V1030="",1,V1030)),"Disponibilité",IF(IF(U1030="",1,U1030)&lt;=IF(V1030="",1,V1030),"Performance","Qualité"))))</f>
        <v/>
      </c>
      <c r="AA1030" s="59" t="str">
        <f>IF(AC1030=1,N(H1030)*N(IFERROR(INDEX(art_cost,MATCH(E1030,art_ref,0)),0)),"")</f>
        <v/>
      </c>
      <c r="AB1030" s="58" t="str">
        <f>IF(COUNTA(A1030:I1030)=0,"",IF(N(A1030)&lt;=0,"Date manquante ou invalide",IF(B1030="","Équipe manquante",IF(ISNA(MATCH(B1030,eq_code,0)),"Équipe inconnue",IF(INDEX(eq_check,MATCH(B1030,eq_code,0))&lt;&gt;"OK","Équipe à corriger dans Paramètres",IF(C1030="","Poste manquant",IF(ISNA(MATCH(C1030,po_code,0)),"Poste inconnu",IF(AND(E1030&lt;&gt;"",ISNA(MATCH(E1030,art_ref,0))),"Article inconnu",IF(IF(E1030="",FALSE,INDEX(art_check,MATCH(E1030,art_ref,0))&lt;&gt;"OK"),"Article à corriger (feuille Articles)",IF(COUNTIFS(sj_date,A1030,sj_eq,B1030,sj_po,C1030)&gt;1,"Ligne en double (même jour, équipe et poste)",IF(OR(NOT(ISNUMBER(K1030)),N(K1030)&lt;=0,N(K1030)&gt;1440),"Temps d'ouverture invalide",IF(OR(AND(G1030&lt;&gt;"",NOT(ISNUMBER(G1030))),N(G1030)&lt;0,N(G1030)&lt;&gt;INT(N(G1030)),AND(H1030&lt;&gt;"",NOT(ISNUMBER(H1030))),N(H1030)&lt;0,N(H1030)&lt;&gt;INT(N(H1030)),AND(I1030&lt;&gt;"",NOT(ISNUMBER(I1030))),N(I1030)&lt;0,N(I1030)&lt;&gt;INT(N(I1030))),"Quantité invalide",IF(Q1030&lt;=0,"Cadence manquante (poste ou article)",IF(M1030&lt;=0,"Arrêts planifiés supérieurs au temps d'ouverture",IF(O1030&lt;0,"Arrêts supérieurs au temps requis",IF(AND(P1030&gt;0,O1030=0),"Pièces déclarées sans temps de marche",IF(AND(P1030=0,O1030&gt;0),"Aucune pièce déclarée",IF(P1030*60/Q1030&gt;O1030+0.001,"Cadence dépassée : vérifiez la cadence","OK"))))))))))))))))))</f>
        <v/>
      </c>
      <c r="AC1030">
        <f>IF(OR(AB1030="OK",AB1030="Aucune pièce déclarée",AB1030="Cadence dépassée : vérifiez la cadence"),1,0)</f>
        <v>0.0</v>
      </c>
      <c r="AD1030">
        <f>IF(AND(AC1030=1,A1030&gt;=p_from,A1030&lt;=p_to),1,0)</f>
        <v>0.0</v>
      </c>
      <c r="AE1030">
        <f>IF(AD1030=1,IF(COUNTIFS($A$6:A1030,A1030,$AD$6:AD1030,1)=1,1,0),0)</f>
        <v>0.0</v>
      </c>
      <c r="AF1030" t="str">
        <f>IF(AE1030=1,COUNTIFS(sj_first,1,sj_date,"&lt;"&amp;A1030)+1,"")</f>
        <v/>
      </c>
      <c r="AG1030" t="str">
        <f>IF(AND(AD1030=1,N(W1030)&lt;p_alert),ROUND(W1030,4),"")</f>
        <v/>
      </c>
      <c r="AH1030" t="str">
        <f>IF(AG1030="","",COUNTIF(sj_akey,"&lt;"&amp;AG1030)+COUNTIF($AG$6:AG1030,AG1030))</f>
        <v/>
      </c>
    </row>
    <row r="1031">
      <c r="A1031" s="51" t="n"/>
      <c r="B1031" s="52" t="n"/>
      <c r="C1031" s="52" t="n"/>
      <c r="D1031" s="53" t="n"/>
      <c r="E1031" s="53" t="n"/>
      <c r="F1031" s="54" t="n"/>
      <c r="G1031" s="54" t="n"/>
      <c r="H1031" s="54" t="n"/>
      <c r="I1031" s="54" t="n"/>
      <c r="J1031" s="53" t="n"/>
      <c r="K1031" s="55" t="str">
        <f>IF(COUNTA(A1031:I1031)=0,"",IF(F1031="",IFERROR(INDEX(eq_dur,MATCH(B1031,eq_code,0)),""),F1031))</f>
        <v/>
      </c>
      <c r="L1031" s="55" t="str">
        <f>IF(ISNUMBER(K1031),N(IFERROR(INDEX(eq_pause,MATCH(B1031,eq_code,0)),0))+SUMIFS(st_min,st_date,A1031,st_eq,B1031,st_po,C1031,st_type,"Planifié"),"")</f>
        <v/>
      </c>
      <c r="M1031" s="55" t="str">
        <f>IF(ISNUMBER(K1031),K1031-L1031,"")</f>
        <v/>
      </c>
      <c r="N1031" s="55" t="str">
        <f>IF(ISNUMBER(K1031),SUMIFS(st_min,st_date,A1031,st_eq,B1031,st_po,C1031,st_type,"Non planifié"),"")</f>
        <v/>
      </c>
      <c r="O1031" s="55" t="str">
        <f>IF(ISNUMBER(K1031),M1031-N1031,"")</f>
        <v/>
      </c>
      <c r="P1031" s="55" t="str">
        <f>IF(COUNTA(A1031:I1031)=0,"",N(G1031)+N(H1031)+N(I1031))</f>
        <v/>
      </c>
      <c r="Q1031" s="56" t="str">
        <f>IF(COUNTA(A1031:I1031)=0,"",IF(N(IFERROR(INDEX(art_rate,MATCH(E1031,art_ref,0)),0))&gt;0,N(IFERROR(INDEX(art_rate,MATCH(E1031,art_ref,0)),0)),N(IFERROR(INDEX(po_rate,MATCH(C1031,po_code,0)),0))))</f>
        <v/>
      </c>
      <c r="R1031" s="55" t="str">
        <f>IF(AC1031=1,P1031*60/Q1031,"")</f>
        <v/>
      </c>
      <c r="S1031" s="55" t="str">
        <f>IF(AC1031=1,N(G1031)*60/Q1031,"")</f>
        <v/>
      </c>
      <c r="T1031" s="57" t="str">
        <f>IF(AC1031=1,O1031/M1031,"")</f>
        <v/>
      </c>
      <c r="U1031" s="57" t="str">
        <f>IF(AC1031=1,IF(O1031&gt;0,R1031/O1031,""),"")</f>
        <v/>
      </c>
      <c r="V1031" s="57" t="str">
        <f>IF(AC1031=1,IF(P1031&gt;0,N(G1031)/P1031,""),"")</f>
        <v/>
      </c>
      <c r="W1031" s="57" t="str">
        <f>IF(AC1031=1,S1031/M1031,"")</f>
        <v/>
      </c>
      <c r="X1031" s="57" t="str">
        <f>IF(AC1031=1,S1031/K1031,"")</f>
        <v/>
      </c>
      <c r="Y1031" s="58" t="str">
        <f>IF(W1031="","",IF(W1031&gt;=p_target,"Bon",IF(W1031&gt;=p_alert,"À surveiller","Faible")))</f>
        <v/>
      </c>
      <c r="Z1031" s="58" t="str">
        <f>IF(W1031="","",IF(MIN(IF(T1031="",1,T1031),IF(U1031="",1,U1031),IF(V1031="",1,V1031))&gt;=1,"Aucune",IF(IF(T1031="",1,T1031)&lt;=MIN(IF(U1031="",1,U1031),IF(V1031="",1,V1031)),"Disponibilité",IF(IF(U1031="",1,U1031)&lt;=IF(V1031="",1,V1031),"Performance","Qualité"))))</f>
        <v/>
      </c>
      <c r="AA1031" s="59" t="str">
        <f>IF(AC1031=1,N(H1031)*N(IFERROR(INDEX(art_cost,MATCH(E1031,art_ref,0)),0)),"")</f>
        <v/>
      </c>
      <c r="AB1031" s="58" t="str">
        <f>IF(COUNTA(A1031:I1031)=0,"",IF(N(A1031)&lt;=0,"Date manquante ou invalide",IF(B1031="","Équipe manquante",IF(ISNA(MATCH(B1031,eq_code,0)),"Équipe inconnue",IF(INDEX(eq_check,MATCH(B1031,eq_code,0))&lt;&gt;"OK","Équipe à corriger dans Paramètres",IF(C1031="","Poste manquant",IF(ISNA(MATCH(C1031,po_code,0)),"Poste inconnu",IF(AND(E1031&lt;&gt;"",ISNA(MATCH(E1031,art_ref,0))),"Article inconnu",IF(IF(E1031="",FALSE,INDEX(art_check,MATCH(E1031,art_ref,0))&lt;&gt;"OK"),"Article à corriger (feuille Articles)",IF(COUNTIFS(sj_date,A1031,sj_eq,B1031,sj_po,C1031)&gt;1,"Ligne en double (même jour, équipe et poste)",IF(OR(NOT(ISNUMBER(K1031)),N(K1031)&lt;=0,N(K1031)&gt;1440),"Temps d'ouverture invalide",IF(OR(AND(G1031&lt;&gt;"",NOT(ISNUMBER(G1031))),N(G1031)&lt;0,N(G1031)&lt;&gt;INT(N(G1031)),AND(H1031&lt;&gt;"",NOT(ISNUMBER(H1031))),N(H1031)&lt;0,N(H1031)&lt;&gt;INT(N(H1031)),AND(I1031&lt;&gt;"",NOT(ISNUMBER(I1031))),N(I1031)&lt;0,N(I1031)&lt;&gt;INT(N(I1031))),"Quantité invalide",IF(Q1031&lt;=0,"Cadence manquante (poste ou article)",IF(M1031&lt;=0,"Arrêts planifiés supérieurs au temps d'ouverture",IF(O1031&lt;0,"Arrêts supérieurs au temps requis",IF(AND(P1031&gt;0,O1031=0),"Pièces déclarées sans temps de marche",IF(AND(P1031=0,O1031&gt;0),"Aucune pièce déclarée",IF(P1031*60/Q1031&gt;O1031+0.001,"Cadence dépassée : vérifiez la cadence","OK"))))))))))))))))))</f>
        <v/>
      </c>
      <c r="AC1031">
        <f>IF(OR(AB1031="OK",AB1031="Aucune pièce déclarée",AB1031="Cadence dépassée : vérifiez la cadence"),1,0)</f>
        <v>0.0</v>
      </c>
      <c r="AD1031">
        <f>IF(AND(AC1031=1,A1031&gt;=p_from,A1031&lt;=p_to),1,0)</f>
        <v>0.0</v>
      </c>
      <c r="AE1031">
        <f>IF(AD1031=1,IF(COUNTIFS($A$6:A1031,A1031,$AD$6:AD1031,1)=1,1,0),0)</f>
        <v>0.0</v>
      </c>
      <c r="AF1031" t="str">
        <f>IF(AE1031=1,COUNTIFS(sj_first,1,sj_date,"&lt;"&amp;A1031)+1,"")</f>
        <v/>
      </c>
      <c r="AG1031" t="str">
        <f>IF(AND(AD1031=1,N(W1031)&lt;p_alert),ROUND(W1031,4),"")</f>
        <v/>
      </c>
      <c r="AH1031" t="str">
        <f>IF(AG1031="","",COUNTIF(sj_akey,"&lt;"&amp;AG1031)+COUNTIF($AG$6:AG1031,AG1031))</f>
        <v/>
      </c>
    </row>
    <row r="1032">
      <c r="A1032" s="51" t="n"/>
      <c r="B1032" s="52" t="n"/>
      <c r="C1032" s="52" t="n"/>
      <c r="D1032" s="53" t="n"/>
      <c r="E1032" s="53" t="n"/>
      <c r="F1032" s="54" t="n"/>
      <c r="G1032" s="54" t="n"/>
      <c r="H1032" s="54" t="n"/>
      <c r="I1032" s="54" t="n"/>
      <c r="J1032" s="53" t="n"/>
      <c r="K1032" s="55" t="str">
        <f>IF(COUNTA(A1032:I1032)=0,"",IF(F1032="",IFERROR(INDEX(eq_dur,MATCH(B1032,eq_code,0)),""),F1032))</f>
        <v/>
      </c>
      <c r="L1032" s="55" t="str">
        <f>IF(ISNUMBER(K1032),N(IFERROR(INDEX(eq_pause,MATCH(B1032,eq_code,0)),0))+SUMIFS(st_min,st_date,A1032,st_eq,B1032,st_po,C1032,st_type,"Planifié"),"")</f>
        <v/>
      </c>
      <c r="M1032" s="55" t="str">
        <f>IF(ISNUMBER(K1032),K1032-L1032,"")</f>
        <v/>
      </c>
      <c r="N1032" s="55" t="str">
        <f>IF(ISNUMBER(K1032),SUMIFS(st_min,st_date,A1032,st_eq,B1032,st_po,C1032,st_type,"Non planifié"),"")</f>
        <v/>
      </c>
      <c r="O1032" s="55" t="str">
        <f>IF(ISNUMBER(K1032),M1032-N1032,"")</f>
        <v/>
      </c>
      <c r="P1032" s="55" t="str">
        <f>IF(COUNTA(A1032:I1032)=0,"",N(G1032)+N(H1032)+N(I1032))</f>
        <v/>
      </c>
      <c r="Q1032" s="56" t="str">
        <f>IF(COUNTA(A1032:I1032)=0,"",IF(N(IFERROR(INDEX(art_rate,MATCH(E1032,art_ref,0)),0))&gt;0,N(IFERROR(INDEX(art_rate,MATCH(E1032,art_ref,0)),0)),N(IFERROR(INDEX(po_rate,MATCH(C1032,po_code,0)),0))))</f>
        <v/>
      </c>
      <c r="R1032" s="55" t="str">
        <f>IF(AC1032=1,P1032*60/Q1032,"")</f>
        <v/>
      </c>
      <c r="S1032" s="55" t="str">
        <f>IF(AC1032=1,N(G1032)*60/Q1032,"")</f>
        <v/>
      </c>
      <c r="T1032" s="57" t="str">
        <f>IF(AC1032=1,O1032/M1032,"")</f>
        <v/>
      </c>
      <c r="U1032" s="57" t="str">
        <f>IF(AC1032=1,IF(O1032&gt;0,R1032/O1032,""),"")</f>
        <v/>
      </c>
      <c r="V1032" s="57" t="str">
        <f>IF(AC1032=1,IF(P1032&gt;0,N(G1032)/P1032,""),"")</f>
        <v/>
      </c>
      <c r="W1032" s="57" t="str">
        <f>IF(AC1032=1,S1032/M1032,"")</f>
        <v/>
      </c>
      <c r="X1032" s="57" t="str">
        <f>IF(AC1032=1,S1032/K1032,"")</f>
        <v/>
      </c>
      <c r="Y1032" s="58" t="str">
        <f>IF(W1032="","",IF(W1032&gt;=p_target,"Bon",IF(W1032&gt;=p_alert,"À surveiller","Faible")))</f>
        <v/>
      </c>
      <c r="Z1032" s="58" t="str">
        <f>IF(W1032="","",IF(MIN(IF(T1032="",1,T1032),IF(U1032="",1,U1032),IF(V1032="",1,V1032))&gt;=1,"Aucune",IF(IF(T1032="",1,T1032)&lt;=MIN(IF(U1032="",1,U1032),IF(V1032="",1,V1032)),"Disponibilité",IF(IF(U1032="",1,U1032)&lt;=IF(V1032="",1,V1032),"Performance","Qualité"))))</f>
        <v/>
      </c>
      <c r="AA1032" s="59" t="str">
        <f>IF(AC1032=1,N(H1032)*N(IFERROR(INDEX(art_cost,MATCH(E1032,art_ref,0)),0)),"")</f>
        <v/>
      </c>
      <c r="AB1032" s="58" t="str">
        <f>IF(COUNTA(A1032:I1032)=0,"",IF(N(A1032)&lt;=0,"Date manquante ou invalide",IF(B1032="","Équipe manquante",IF(ISNA(MATCH(B1032,eq_code,0)),"Équipe inconnue",IF(INDEX(eq_check,MATCH(B1032,eq_code,0))&lt;&gt;"OK","Équipe à corriger dans Paramètres",IF(C1032="","Poste manquant",IF(ISNA(MATCH(C1032,po_code,0)),"Poste inconnu",IF(AND(E1032&lt;&gt;"",ISNA(MATCH(E1032,art_ref,0))),"Article inconnu",IF(IF(E1032="",FALSE,INDEX(art_check,MATCH(E1032,art_ref,0))&lt;&gt;"OK"),"Article à corriger (feuille Articles)",IF(COUNTIFS(sj_date,A1032,sj_eq,B1032,sj_po,C1032)&gt;1,"Ligne en double (même jour, équipe et poste)",IF(OR(NOT(ISNUMBER(K1032)),N(K1032)&lt;=0,N(K1032)&gt;1440),"Temps d'ouverture invalide",IF(OR(AND(G1032&lt;&gt;"",NOT(ISNUMBER(G1032))),N(G1032)&lt;0,N(G1032)&lt;&gt;INT(N(G1032)),AND(H1032&lt;&gt;"",NOT(ISNUMBER(H1032))),N(H1032)&lt;0,N(H1032)&lt;&gt;INT(N(H1032)),AND(I1032&lt;&gt;"",NOT(ISNUMBER(I1032))),N(I1032)&lt;0,N(I1032)&lt;&gt;INT(N(I1032))),"Quantité invalide",IF(Q1032&lt;=0,"Cadence manquante (poste ou article)",IF(M1032&lt;=0,"Arrêts planifiés supérieurs au temps d'ouverture",IF(O1032&lt;0,"Arrêts supérieurs au temps requis",IF(AND(P1032&gt;0,O1032=0),"Pièces déclarées sans temps de marche",IF(AND(P1032=0,O1032&gt;0),"Aucune pièce déclarée",IF(P1032*60/Q1032&gt;O1032+0.001,"Cadence dépassée : vérifiez la cadence","OK"))))))))))))))))))</f>
        <v/>
      </c>
      <c r="AC1032">
        <f>IF(OR(AB1032="OK",AB1032="Aucune pièce déclarée",AB1032="Cadence dépassée : vérifiez la cadence"),1,0)</f>
        <v>0.0</v>
      </c>
      <c r="AD1032">
        <f>IF(AND(AC1032=1,A1032&gt;=p_from,A1032&lt;=p_to),1,0)</f>
        <v>0.0</v>
      </c>
      <c r="AE1032">
        <f>IF(AD1032=1,IF(COUNTIFS($A$6:A1032,A1032,$AD$6:AD1032,1)=1,1,0),0)</f>
        <v>0.0</v>
      </c>
      <c r="AF1032" t="str">
        <f>IF(AE1032=1,COUNTIFS(sj_first,1,sj_date,"&lt;"&amp;A1032)+1,"")</f>
        <v/>
      </c>
      <c r="AG1032" t="str">
        <f>IF(AND(AD1032=1,N(W1032)&lt;p_alert),ROUND(W1032,4),"")</f>
        <v/>
      </c>
      <c r="AH1032" t="str">
        <f>IF(AG1032="","",COUNTIF(sj_akey,"&lt;"&amp;AG1032)+COUNTIF($AG$6:AG1032,AG1032))</f>
        <v/>
      </c>
    </row>
    <row r="1033">
      <c r="A1033" s="51" t="n"/>
      <c r="B1033" s="52" t="n"/>
      <c r="C1033" s="52" t="n"/>
      <c r="D1033" s="53" t="n"/>
      <c r="E1033" s="53" t="n"/>
      <c r="F1033" s="54" t="n"/>
      <c r="G1033" s="54" t="n"/>
      <c r="H1033" s="54" t="n"/>
      <c r="I1033" s="54" t="n"/>
      <c r="J1033" s="53" t="n"/>
      <c r="K1033" s="55" t="str">
        <f>IF(COUNTA(A1033:I1033)=0,"",IF(F1033="",IFERROR(INDEX(eq_dur,MATCH(B1033,eq_code,0)),""),F1033))</f>
        <v/>
      </c>
      <c r="L1033" s="55" t="str">
        <f>IF(ISNUMBER(K1033),N(IFERROR(INDEX(eq_pause,MATCH(B1033,eq_code,0)),0))+SUMIFS(st_min,st_date,A1033,st_eq,B1033,st_po,C1033,st_type,"Planifié"),"")</f>
        <v/>
      </c>
      <c r="M1033" s="55" t="str">
        <f>IF(ISNUMBER(K1033),K1033-L1033,"")</f>
        <v/>
      </c>
      <c r="N1033" s="55" t="str">
        <f>IF(ISNUMBER(K1033),SUMIFS(st_min,st_date,A1033,st_eq,B1033,st_po,C1033,st_type,"Non planifié"),"")</f>
        <v/>
      </c>
      <c r="O1033" s="55" t="str">
        <f>IF(ISNUMBER(K1033),M1033-N1033,"")</f>
        <v/>
      </c>
      <c r="P1033" s="55" t="str">
        <f>IF(COUNTA(A1033:I1033)=0,"",N(G1033)+N(H1033)+N(I1033))</f>
        <v/>
      </c>
      <c r="Q1033" s="56" t="str">
        <f>IF(COUNTA(A1033:I1033)=0,"",IF(N(IFERROR(INDEX(art_rate,MATCH(E1033,art_ref,0)),0))&gt;0,N(IFERROR(INDEX(art_rate,MATCH(E1033,art_ref,0)),0)),N(IFERROR(INDEX(po_rate,MATCH(C1033,po_code,0)),0))))</f>
        <v/>
      </c>
      <c r="R1033" s="55" t="str">
        <f>IF(AC1033=1,P1033*60/Q1033,"")</f>
        <v/>
      </c>
      <c r="S1033" s="55" t="str">
        <f>IF(AC1033=1,N(G1033)*60/Q1033,"")</f>
        <v/>
      </c>
      <c r="T1033" s="57" t="str">
        <f>IF(AC1033=1,O1033/M1033,"")</f>
        <v/>
      </c>
      <c r="U1033" s="57" t="str">
        <f>IF(AC1033=1,IF(O1033&gt;0,R1033/O1033,""),"")</f>
        <v/>
      </c>
      <c r="V1033" s="57" t="str">
        <f>IF(AC1033=1,IF(P1033&gt;0,N(G1033)/P1033,""),"")</f>
        <v/>
      </c>
      <c r="W1033" s="57" t="str">
        <f>IF(AC1033=1,S1033/M1033,"")</f>
        <v/>
      </c>
      <c r="X1033" s="57" t="str">
        <f>IF(AC1033=1,S1033/K1033,"")</f>
        <v/>
      </c>
      <c r="Y1033" s="58" t="str">
        <f>IF(W1033="","",IF(W1033&gt;=p_target,"Bon",IF(W1033&gt;=p_alert,"À surveiller","Faible")))</f>
        <v/>
      </c>
      <c r="Z1033" s="58" t="str">
        <f>IF(W1033="","",IF(MIN(IF(T1033="",1,T1033),IF(U1033="",1,U1033),IF(V1033="",1,V1033))&gt;=1,"Aucune",IF(IF(T1033="",1,T1033)&lt;=MIN(IF(U1033="",1,U1033),IF(V1033="",1,V1033)),"Disponibilité",IF(IF(U1033="",1,U1033)&lt;=IF(V1033="",1,V1033),"Performance","Qualité"))))</f>
        <v/>
      </c>
      <c r="AA1033" s="59" t="str">
        <f>IF(AC1033=1,N(H1033)*N(IFERROR(INDEX(art_cost,MATCH(E1033,art_ref,0)),0)),"")</f>
        <v/>
      </c>
      <c r="AB1033" s="58" t="str">
        <f>IF(COUNTA(A1033:I1033)=0,"",IF(N(A1033)&lt;=0,"Date manquante ou invalide",IF(B1033="","Équipe manquante",IF(ISNA(MATCH(B1033,eq_code,0)),"Équipe inconnue",IF(INDEX(eq_check,MATCH(B1033,eq_code,0))&lt;&gt;"OK","Équipe à corriger dans Paramètres",IF(C1033="","Poste manquant",IF(ISNA(MATCH(C1033,po_code,0)),"Poste inconnu",IF(AND(E1033&lt;&gt;"",ISNA(MATCH(E1033,art_ref,0))),"Article inconnu",IF(IF(E1033="",FALSE,INDEX(art_check,MATCH(E1033,art_ref,0))&lt;&gt;"OK"),"Article à corriger (feuille Articles)",IF(COUNTIFS(sj_date,A1033,sj_eq,B1033,sj_po,C1033)&gt;1,"Ligne en double (même jour, équipe et poste)",IF(OR(NOT(ISNUMBER(K1033)),N(K1033)&lt;=0,N(K1033)&gt;1440),"Temps d'ouverture invalide",IF(OR(AND(G1033&lt;&gt;"",NOT(ISNUMBER(G1033))),N(G1033)&lt;0,N(G1033)&lt;&gt;INT(N(G1033)),AND(H1033&lt;&gt;"",NOT(ISNUMBER(H1033))),N(H1033)&lt;0,N(H1033)&lt;&gt;INT(N(H1033)),AND(I1033&lt;&gt;"",NOT(ISNUMBER(I1033))),N(I1033)&lt;0,N(I1033)&lt;&gt;INT(N(I1033))),"Quantité invalide",IF(Q1033&lt;=0,"Cadence manquante (poste ou article)",IF(M1033&lt;=0,"Arrêts planifiés supérieurs au temps d'ouverture",IF(O1033&lt;0,"Arrêts supérieurs au temps requis",IF(AND(P1033&gt;0,O1033=0),"Pièces déclarées sans temps de marche",IF(AND(P1033=0,O1033&gt;0),"Aucune pièce déclarée",IF(P1033*60/Q1033&gt;O1033+0.001,"Cadence dépassée : vérifiez la cadence","OK"))))))))))))))))))</f>
        <v/>
      </c>
      <c r="AC1033">
        <f>IF(OR(AB1033="OK",AB1033="Aucune pièce déclarée",AB1033="Cadence dépassée : vérifiez la cadence"),1,0)</f>
        <v>0.0</v>
      </c>
      <c r="AD1033">
        <f>IF(AND(AC1033=1,A1033&gt;=p_from,A1033&lt;=p_to),1,0)</f>
        <v>0.0</v>
      </c>
      <c r="AE1033">
        <f>IF(AD1033=1,IF(COUNTIFS($A$6:A1033,A1033,$AD$6:AD1033,1)=1,1,0),0)</f>
        <v>0.0</v>
      </c>
      <c r="AF1033" t="str">
        <f>IF(AE1033=1,COUNTIFS(sj_first,1,sj_date,"&lt;"&amp;A1033)+1,"")</f>
        <v/>
      </c>
      <c r="AG1033" t="str">
        <f>IF(AND(AD1033=1,N(W1033)&lt;p_alert),ROUND(W1033,4),"")</f>
        <v/>
      </c>
      <c r="AH1033" t="str">
        <f>IF(AG1033="","",COUNTIF(sj_akey,"&lt;"&amp;AG1033)+COUNTIF($AG$6:AG1033,AG1033))</f>
        <v/>
      </c>
    </row>
    <row r="1034">
      <c r="A1034" s="51" t="n"/>
      <c r="B1034" s="52" t="n"/>
      <c r="C1034" s="52" t="n"/>
      <c r="D1034" s="53" t="n"/>
      <c r="E1034" s="53" t="n"/>
      <c r="F1034" s="54" t="n"/>
      <c r="G1034" s="54" t="n"/>
      <c r="H1034" s="54" t="n"/>
      <c r="I1034" s="54" t="n"/>
      <c r="J1034" s="53" t="n"/>
      <c r="K1034" s="55" t="str">
        <f>IF(COUNTA(A1034:I1034)=0,"",IF(F1034="",IFERROR(INDEX(eq_dur,MATCH(B1034,eq_code,0)),""),F1034))</f>
        <v/>
      </c>
      <c r="L1034" s="55" t="str">
        <f>IF(ISNUMBER(K1034),N(IFERROR(INDEX(eq_pause,MATCH(B1034,eq_code,0)),0))+SUMIFS(st_min,st_date,A1034,st_eq,B1034,st_po,C1034,st_type,"Planifié"),"")</f>
        <v/>
      </c>
      <c r="M1034" s="55" t="str">
        <f>IF(ISNUMBER(K1034),K1034-L1034,"")</f>
        <v/>
      </c>
      <c r="N1034" s="55" t="str">
        <f>IF(ISNUMBER(K1034),SUMIFS(st_min,st_date,A1034,st_eq,B1034,st_po,C1034,st_type,"Non planifié"),"")</f>
        <v/>
      </c>
      <c r="O1034" s="55" t="str">
        <f>IF(ISNUMBER(K1034),M1034-N1034,"")</f>
        <v/>
      </c>
      <c r="P1034" s="55" t="str">
        <f>IF(COUNTA(A1034:I1034)=0,"",N(G1034)+N(H1034)+N(I1034))</f>
        <v/>
      </c>
      <c r="Q1034" s="56" t="str">
        <f>IF(COUNTA(A1034:I1034)=0,"",IF(N(IFERROR(INDEX(art_rate,MATCH(E1034,art_ref,0)),0))&gt;0,N(IFERROR(INDEX(art_rate,MATCH(E1034,art_ref,0)),0)),N(IFERROR(INDEX(po_rate,MATCH(C1034,po_code,0)),0))))</f>
        <v/>
      </c>
      <c r="R1034" s="55" t="str">
        <f>IF(AC1034=1,P1034*60/Q1034,"")</f>
        <v/>
      </c>
      <c r="S1034" s="55" t="str">
        <f>IF(AC1034=1,N(G1034)*60/Q1034,"")</f>
        <v/>
      </c>
      <c r="T1034" s="57" t="str">
        <f>IF(AC1034=1,O1034/M1034,"")</f>
        <v/>
      </c>
      <c r="U1034" s="57" t="str">
        <f>IF(AC1034=1,IF(O1034&gt;0,R1034/O1034,""),"")</f>
        <v/>
      </c>
      <c r="V1034" s="57" t="str">
        <f>IF(AC1034=1,IF(P1034&gt;0,N(G1034)/P1034,""),"")</f>
        <v/>
      </c>
      <c r="W1034" s="57" t="str">
        <f>IF(AC1034=1,S1034/M1034,"")</f>
        <v/>
      </c>
      <c r="X1034" s="57" t="str">
        <f>IF(AC1034=1,S1034/K1034,"")</f>
        <v/>
      </c>
      <c r="Y1034" s="58" t="str">
        <f>IF(W1034="","",IF(W1034&gt;=p_target,"Bon",IF(W1034&gt;=p_alert,"À surveiller","Faible")))</f>
        <v/>
      </c>
      <c r="Z1034" s="58" t="str">
        <f>IF(W1034="","",IF(MIN(IF(T1034="",1,T1034),IF(U1034="",1,U1034),IF(V1034="",1,V1034))&gt;=1,"Aucune",IF(IF(T1034="",1,T1034)&lt;=MIN(IF(U1034="",1,U1034),IF(V1034="",1,V1034)),"Disponibilité",IF(IF(U1034="",1,U1034)&lt;=IF(V1034="",1,V1034),"Performance","Qualité"))))</f>
        <v/>
      </c>
      <c r="AA1034" s="59" t="str">
        <f>IF(AC1034=1,N(H1034)*N(IFERROR(INDEX(art_cost,MATCH(E1034,art_ref,0)),0)),"")</f>
        <v/>
      </c>
      <c r="AB1034" s="58" t="str">
        <f>IF(COUNTA(A1034:I1034)=0,"",IF(N(A1034)&lt;=0,"Date manquante ou invalide",IF(B1034="","Équipe manquante",IF(ISNA(MATCH(B1034,eq_code,0)),"Équipe inconnue",IF(INDEX(eq_check,MATCH(B1034,eq_code,0))&lt;&gt;"OK","Équipe à corriger dans Paramètres",IF(C1034="","Poste manquant",IF(ISNA(MATCH(C1034,po_code,0)),"Poste inconnu",IF(AND(E1034&lt;&gt;"",ISNA(MATCH(E1034,art_ref,0))),"Article inconnu",IF(IF(E1034="",FALSE,INDEX(art_check,MATCH(E1034,art_ref,0))&lt;&gt;"OK"),"Article à corriger (feuille Articles)",IF(COUNTIFS(sj_date,A1034,sj_eq,B1034,sj_po,C1034)&gt;1,"Ligne en double (même jour, équipe et poste)",IF(OR(NOT(ISNUMBER(K1034)),N(K1034)&lt;=0,N(K1034)&gt;1440),"Temps d'ouverture invalide",IF(OR(AND(G1034&lt;&gt;"",NOT(ISNUMBER(G1034))),N(G1034)&lt;0,N(G1034)&lt;&gt;INT(N(G1034)),AND(H1034&lt;&gt;"",NOT(ISNUMBER(H1034))),N(H1034)&lt;0,N(H1034)&lt;&gt;INT(N(H1034)),AND(I1034&lt;&gt;"",NOT(ISNUMBER(I1034))),N(I1034)&lt;0,N(I1034)&lt;&gt;INT(N(I1034))),"Quantité invalide",IF(Q1034&lt;=0,"Cadence manquante (poste ou article)",IF(M1034&lt;=0,"Arrêts planifiés supérieurs au temps d'ouverture",IF(O1034&lt;0,"Arrêts supérieurs au temps requis",IF(AND(P1034&gt;0,O1034=0),"Pièces déclarées sans temps de marche",IF(AND(P1034=0,O1034&gt;0),"Aucune pièce déclarée",IF(P1034*60/Q1034&gt;O1034+0.001,"Cadence dépassée : vérifiez la cadence","OK"))))))))))))))))))</f>
        <v/>
      </c>
      <c r="AC1034">
        <f>IF(OR(AB1034="OK",AB1034="Aucune pièce déclarée",AB1034="Cadence dépassée : vérifiez la cadence"),1,0)</f>
        <v>0.0</v>
      </c>
      <c r="AD1034">
        <f>IF(AND(AC1034=1,A1034&gt;=p_from,A1034&lt;=p_to),1,0)</f>
        <v>0.0</v>
      </c>
      <c r="AE1034">
        <f>IF(AD1034=1,IF(COUNTIFS($A$6:A1034,A1034,$AD$6:AD1034,1)=1,1,0),0)</f>
        <v>0.0</v>
      </c>
      <c r="AF1034" t="str">
        <f>IF(AE1034=1,COUNTIFS(sj_first,1,sj_date,"&lt;"&amp;A1034)+1,"")</f>
        <v/>
      </c>
      <c r="AG1034" t="str">
        <f>IF(AND(AD1034=1,N(W1034)&lt;p_alert),ROUND(W1034,4),"")</f>
        <v/>
      </c>
      <c r="AH1034" t="str">
        <f>IF(AG1034="","",COUNTIF(sj_akey,"&lt;"&amp;AG1034)+COUNTIF($AG$6:AG1034,AG1034))</f>
        <v/>
      </c>
    </row>
    <row r="1035">
      <c r="A1035" s="51" t="n"/>
      <c r="B1035" s="52" t="n"/>
      <c r="C1035" s="52" t="n"/>
      <c r="D1035" s="53" t="n"/>
      <c r="E1035" s="53" t="n"/>
      <c r="F1035" s="54" t="n"/>
      <c r="G1035" s="54" t="n"/>
      <c r="H1035" s="54" t="n"/>
      <c r="I1035" s="54" t="n"/>
      <c r="J1035" s="53" t="n"/>
      <c r="K1035" s="55" t="str">
        <f>IF(COUNTA(A1035:I1035)=0,"",IF(F1035="",IFERROR(INDEX(eq_dur,MATCH(B1035,eq_code,0)),""),F1035))</f>
        <v/>
      </c>
      <c r="L1035" s="55" t="str">
        <f>IF(ISNUMBER(K1035),N(IFERROR(INDEX(eq_pause,MATCH(B1035,eq_code,0)),0))+SUMIFS(st_min,st_date,A1035,st_eq,B1035,st_po,C1035,st_type,"Planifié"),"")</f>
        <v/>
      </c>
      <c r="M1035" s="55" t="str">
        <f>IF(ISNUMBER(K1035),K1035-L1035,"")</f>
        <v/>
      </c>
      <c r="N1035" s="55" t="str">
        <f>IF(ISNUMBER(K1035),SUMIFS(st_min,st_date,A1035,st_eq,B1035,st_po,C1035,st_type,"Non planifié"),"")</f>
        <v/>
      </c>
      <c r="O1035" s="55" t="str">
        <f>IF(ISNUMBER(K1035),M1035-N1035,"")</f>
        <v/>
      </c>
      <c r="P1035" s="55" t="str">
        <f>IF(COUNTA(A1035:I1035)=0,"",N(G1035)+N(H1035)+N(I1035))</f>
        <v/>
      </c>
      <c r="Q1035" s="56" t="str">
        <f>IF(COUNTA(A1035:I1035)=0,"",IF(N(IFERROR(INDEX(art_rate,MATCH(E1035,art_ref,0)),0))&gt;0,N(IFERROR(INDEX(art_rate,MATCH(E1035,art_ref,0)),0)),N(IFERROR(INDEX(po_rate,MATCH(C1035,po_code,0)),0))))</f>
        <v/>
      </c>
      <c r="R1035" s="55" t="str">
        <f>IF(AC1035=1,P1035*60/Q1035,"")</f>
        <v/>
      </c>
      <c r="S1035" s="55" t="str">
        <f>IF(AC1035=1,N(G1035)*60/Q1035,"")</f>
        <v/>
      </c>
      <c r="T1035" s="57" t="str">
        <f>IF(AC1035=1,O1035/M1035,"")</f>
        <v/>
      </c>
      <c r="U1035" s="57" t="str">
        <f>IF(AC1035=1,IF(O1035&gt;0,R1035/O1035,""),"")</f>
        <v/>
      </c>
      <c r="V1035" s="57" t="str">
        <f>IF(AC1035=1,IF(P1035&gt;0,N(G1035)/P1035,""),"")</f>
        <v/>
      </c>
      <c r="W1035" s="57" t="str">
        <f>IF(AC1035=1,S1035/M1035,"")</f>
        <v/>
      </c>
      <c r="X1035" s="57" t="str">
        <f>IF(AC1035=1,S1035/K1035,"")</f>
        <v/>
      </c>
      <c r="Y1035" s="58" t="str">
        <f>IF(W1035="","",IF(W1035&gt;=p_target,"Bon",IF(W1035&gt;=p_alert,"À surveiller","Faible")))</f>
        <v/>
      </c>
      <c r="Z1035" s="58" t="str">
        <f>IF(W1035="","",IF(MIN(IF(T1035="",1,T1035),IF(U1035="",1,U1035),IF(V1035="",1,V1035))&gt;=1,"Aucune",IF(IF(T1035="",1,T1035)&lt;=MIN(IF(U1035="",1,U1035),IF(V1035="",1,V1035)),"Disponibilité",IF(IF(U1035="",1,U1035)&lt;=IF(V1035="",1,V1035),"Performance","Qualité"))))</f>
        <v/>
      </c>
      <c r="AA1035" s="59" t="str">
        <f>IF(AC1035=1,N(H1035)*N(IFERROR(INDEX(art_cost,MATCH(E1035,art_ref,0)),0)),"")</f>
        <v/>
      </c>
      <c r="AB1035" s="58" t="str">
        <f>IF(COUNTA(A1035:I1035)=0,"",IF(N(A1035)&lt;=0,"Date manquante ou invalide",IF(B1035="","Équipe manquante",IF(ISNA(MATCH(B1035,eq_code,0)),"Équipe inconnue",IF(INDEX(eq_check,MATCH(B1035,eq_code,0))&lt;&gt;"OK","Équipe à corriger dans Paramètres",IF(C1035="","Poste manquant",IF(ISNA(MATCH(C1035,po_code,0)),"Poste inconnu",IF(AND(E1035&lt;&gt;"",ISNA(MATCH(E1035,art_ref,0))),"Article inconnu",IF(IF(E1035="",FALSE,INDEX(art_check,MATCH(E1035,art_ref,0))&lt;&gt;"OK"),"Article à corriger (feuille Articles)",IF(COUNTIFS(sj_date,A1035,sj_eq,B1035,sj_po,C1035)&gt;1,"Ligne en double (même jour, équipe et poste)",IF(OR(NOT(ISNUMBER(K1035)),N(K1035)&lt;=0,N(K1035)&gt;1440),"Temps d'ouverture invalide",IF(OR(AND(G1035&lt;&gt;"",NOT(ISNUMBER(G1035))),N(G1035)&lt;0,N(G1035)&lt;&gt;INT(N(G1035)),AND(H1035&lt;&gt;"",NOT(ISNUMBER(H1035))),N(H1035)&lt;0,N(H1035)&lt;&gt;INT(N(H1035)),AND(I1035&lt;&gt;"",NOT(ISNUMBER(I1035))),N(I1035)&lt;0,N(I1035)&lt;&gt;INT(N(I1035))),"Quantité invalide",IF(Q1035&lt;=0,"Cadence manquante (poste ou article)",IF(M1035&lt;=0,"Arrêts planifiés supérieurs au temps d'ouverture",IF(O1035&lt;0,"Arrêts supérieurs au temps requis",IF(AND(P1035&gt;0,O1035=0),"Pièces déclarées sans temps de marche",IF(AND(P1035=0,O1035&gt;0),"Aucune pièce déclarée",IF(P1035*60/Q1035&gt;O1035+0.001,"Cadence dépassée : vérifiez la cadence","OK"))))))))))))))))))</f>
        <v/>
      </c>
      <c r="AC1035">
        <f>IF(OR(AB1035="OK",AB1035="Aucune pièce déclarée",AB1035="Cadence dépassée : vérifiez la cadence"),1,0)</f>
        <v>0.0</v>
      </c>
      <c r="AD1035">
        <f>IF(AND(AC1035=1,A1035&gt;=p_from,A1035&lt;=p_to),1,0)</f>
        <v>0.0</v>
      </c>
      <c r="AE1035">
        <f>IF(AD1035=1,IF(COUNTIFS($A$6:A1035,A1035,$AD$6:AD1035,1)=1,1,0),0)</f>
        <v>0.0</v>
      </c>
      <c r="AF1035" t="str">
        <f>IF(AE1035=1,COUNTIFS(sj_first,1,sj_date,"&lt;"&amp;A1035)+1,"")</f>
        <v/>
      </c>
      <c r="AG1035" t="str">
        <f>IF(AND(AD1035=1,N(W1035)&lt;p_alert),ROUND(W1035,4),"")</f>
        <v/>
      </c>
      <c r="AH1035" t="str">
        <f>IF(AG1035="","",COUNTIF(sj_akey,"&lt;"&amp;AG1035)+COUNTIF($AG$6:AG1035,AG1035))</f>
        <v/>
      </c>
    </row>
    <row r="1036">
      <c r="A1036" s="51" t="n"/>
      <c r="B1036" s="52" t="n"/>
      <c r="C1036" s="52" t="n"/>
      <c r="D1036" s="53" t="n"/>
      <c r="E1036" s="53" t="n"/>
      <c r="F1036" s="54" t="n"/>
      <c r="G1036" s="54" t="n"/>
      <c r="H1036" s="54" t="n"/>
      <c r="I1036" s="54" t="n"/>
      <c r="J1036" s="53" t="n"/>
      <c r="K1036" s="55" t="str">
        <f>IF(COUNTA(A1036:I1036)=0,"",IF(F1036="",IFERROR(INDEX(eq_dur,MATCH(B1036,eq_code,0)),""),F1036))</f>
        <v/>
      </c>
      <c r="L1036" s="55" t="str">
        <f>IF(ISNUMBER(K1036),N(IFERROR(INDEX(eq_pause,MATCH(B1036,eq_code,0)),0))+SUMIFS(st_min,st_date,A1036,st_eq,B1036,st_po,C1036,st_type,"Planifié"),"")</f>
        <v/>
      </c>
      <c r="M1036" s="55" t="str">
        <f>IF(ISNUMBER(K1036),K1036-L1036,"")</f>
        <v/>
      </c>
      <c r="N1036" s="55" t="str">
        <f>IF(ISNUMBER(K1036),SUMIFS(st_min,st_date,A1036,st_eq,B1036,st_po,C1036,st_type,"Non planifié"),"")</f>
        <v/>
      </c>
      <c r="O1036" s="55" t="str">
        <f>IF(ISNUMBER(K1036),M1036-N1036,"")</f>
        <v/>
      </c>
      <c r="P1036" s="55" t="str">
        <f>IF(COUNTA(A1036:I1036)=0,"",N(G1036)+N(H1036)+N(I1036))</f>
        <v/>
      </c>
      <c r="Q1036" s="56" t="str">
        <f>IF(COUNTA(A1036:I1036)=0,"",IF(N(IFERROR(INDEX(art_rate,MATCH(E1036,art_ref,0)),0))&gt;0,N(IFERROR(INDEX(art_rate,MATCH(E1036,art_ref,0)),0)),N(IFERROR(INDEX(po_rate,MATCH(C1036,po_code,0)),0))))</f>
        <v/>
      </c>
      <c r="R1036" s="55" t="str">
        <f>IF(AC1036=1,P1036*60/Q1036,"")</f>
        <v/>
      </c>
      <c r="S1036" s="55" t="str">
        <f>IF(AC1036=1,N(G1036)*60/Q1036,"")</f>
        <v/>
      </c>
      <c r="T1036" s="57" t="str">
        <f>IF(AC1036=1,O1036/M1036,"")</f>
        <v/>
      </c>
      <c r="U1036" s="57" t="str">
        <f>IF(AC1036=1,IF(O1036&gt;0,R1036/O1036,""),"")</f>
        <v/>
      </c>
      <c r="V1036" s="57" t="str">
        <f>IF(AC1036=1,IF(P1036&gt;0,N(G1036)/P1036,""),"")</f>
        <v/>
      </c>
      <c r="W1036" s="57" t="str">
        <f>IF(AC1036=1,S1036/M1036,"")</f>
        <v/>
      </c>
      <c r="X1036" s="57" t="str">
        <f>IF(AC1036=1,S1036/K1036,"")</f>
        <v/>
      </c>
      <c r="Y1036" s="58" t="str">
        <f>IF(W1036="","",IF(W1036&gt;=p_target,"Bon",IF(W1036&gt;=p_alert,"À surveiller","Faible")))</f>
        <v/>
      </c>
      <c r="Z1036" s="58" t="str">
        <f>IF(W1036="","",IF(MIN(IF(T1036="",1,T1036),IF(U1036="",1,U1036),IF(V1036="",1,V1036))&gt;=1,"Aucune",IF(IF(T1036="",1,T1036)&lt;=MIN(IF(U1036="",1,U1036),IF(V1036="",1,V1036)),"Disponibilité",IF(IF(U1036="",1,U1036)&lt;=IF(V1036="",1,V1036),"Performance","Qualité"))))</f>
        <v/>
      </c>
      <c r="AA1036" s="59" t="str">
        <f>IF(AC1036=1,N(H1036)*N(IFERROR(INDEX(art_cost,MATCH(E1036,art_ref,0)),0)),"")</f>
        <v/>
      </c>
      <c r="AB1036" s="58" t="str">
        <f>IF(COUNTA(A1036:I1036)=0,"",IF(N(A1036)&lt;=0,"Date manquante ou invalide",IF(B1036="","Équipe manquante",IF(ISNA(MATCH(B1036,eq_code,0)),"Équipe inconnue",IF(INDEX(eq_check,MATCH(B1036,eq_code,0))&lt;&gt;"OK","Équipe à corriger dans Paramètres",IF(C1036="","Poste manquant",IF(ISNA(MATCH(C1036,po_code,0)),"Poste inconnu",IF(AND(E1036&lt;&gt;"",ISNA(MATCH(E1036,art_ref,0))),"Article inconnu",IF(IF(E1036="",FALSE,INDEX(art_check,MATCH(E1036,art_ref,0))&lt;&gt;"OK"),"Article à corriger (feuille Articles)",IF(COUNTIFS(sj_date,A1036,sj_eq,B1036,sj_po,C1036)&gt;1,"Ligne en double (même jour, équipe et poste)",IF(OR(NOT(ISNUMBER(K1036)),N(K1036)&lt;=0,N(K1036)&gt;1440),"Temps d'ouverture invalide",IF(OR(AND(G1036&lt;&gt;"",NOT(ISNUMBER(G1036))),N(G1036)&lt;0,N(G1036)&lt;&gt;INT(N(G1036)),AND(H1036&lt;&gt;"",NOT(ISNUMBER(H1036))),N(H1036)&lt;0,N(H1036)&lt;&gt;INT(N(H1036)),AND(I1036&lt;&gt;"",NOT(ISNUMBER(I1036))),N(I1036)&lt;0,N(I1036)&lt;&gt;INT(N(I1036))),"Quantité invalide",IF(Q1036&lt;=0,"Cadence manquante (poste ou article)",IF(M1036&lt;=0,"Arrêts planifiés supérieurs au temps d'ouverture",IF(O1036&lt;0,"Arrêts supérieurs au temps requis",IF(AND(P1036&gt;0,O1036=0),"Pièces déclarées sans temps de marche",IF(AND(P1036=0,O1036&gt;0),"Aucune pièce déclarée",IF(P1036*60/Q1036&gt;O1036+0.001,"Cadence dépassée : vérifiez la cadence","OK"))))))))))))))))))</f>
        <v/>
      </c>
      <c r="AC1036">
        <f>IF(OR(AB1036="OK",AB1036="Aucune pièce déclarée",AB1036="Cadence dépassée : vérifiez la cadence"),1,0)</f>
        <v>0.0</v>
      </c>
      <c r="AD1036">
        <f>IF(AND(AC1036=1,A1036&gt;=p_from,A1036&lt;=p_to),1,0)</f>
        <v>0.0</v>
      </c>
      <c r="AE1036">
        <f>IF(AD1036=1,IF(COUNTIFS($A$6:A1036,A1036,$AD$6:AD1036,1)=1,1,0),0)</f>
        <v>0.0</v>
      </c>
      <c r="AF1036" t="str">
        <f>IF(AE1036=1,COUNTIFS(sj_first,1,sj_date,"&lt;"&amp;A1036)+1,"")</f>
        <v/>
      </c>
      <c r="AG1036" t="str">
        <f>IF(AND(AD1036=1,N(W1036)&lt;p_alert),ROUND(W1036,4),"")</f>
        <v/>
      </c>
      <c r="AH1036" t="str">
        <f>IF(AG1036="","",COUNTIF(sj_akey,"&lt;"&amp;AG1036)+COUNTIF($AG$6:AG1036,AG1036))</f>
        <v/>
      </c>
    </row>
    <row r="1037">
      <c r="A1037" s="51" t="n"/>
      <c r="B1037" s="52" t="n"/>
      <c r="C1037" s="52" t="n"/>
      <c r="D1037" s="53" t="n"/>
      <c r="E1037" s="53" t="n"/>
      <c r="F1037" s="54" t="n"/>
      <c r="G1037" s="54" t="n"/>
      <c r="H1037" s="54" t="n"/>
      <c r="I1037" s="54" t="n"/>
      <c r="J1037" s="53" t="n"/>
      <c r="K1037" s="55" t="str">
        <f>IF(COUNTA(A1037:I1037)=0,"",IF(F1037="",IFERROR(INDEX(eq_dur,MATCH(B1037,eq_code,0)),""),F1037))</f>
        <v/>
      </c>
      <c r="L1037" s="55" t="str">
        <f>IF(ISNUMBER(K1037),N(IFERROR(INDEX(eq_pause,MATCH(B1037,eq_code,0)),0))+SUMIFS(st_min,st_date,A1037,st_eq,B1037,st_po,C1037,st_type,"Planifié"),"")</f>
        <v/>
      </c>
      <c r="M1037" s="55" t="str">
        <f>IF(ISNUMBER(K1037),K1037-L1037,"")</f>
        <v/>
      </c>
      <c r="N1037" s="55" t="str">
        <f>IF(ISNUMBER(K1037),SUMIFS(st_min,st_date,A1037,st_eq,B1037,st_po,C1037,st_type,"Non planifié"),"")</f>
        <v/>
      </c>
      <c r="O1037" s="55" t="str">
        <f>IF(ISNUMBER(K1037),M1037-N1037,"")</f>
        <v/>
      </c>
      <c r="P1037" s="55" t="str">
        <f>IF(COUNTA(A1037:I1037)=0,"",N(G1037)+N(H1037)+N(I1037))</f>
        <v/>
      </c>
      <c r="Q1037" s="56" t="str">
        <f>IF(COUNTA(A1037:I1037)=0,"",IF(N(IFERROR(INDEX(art_rate,MATCH(E1037,art_ref,0)),0))&gt;0,N(IFERROR(INDEX(art_rate,MATCH(E1037,art_ref,0)),0)),N(IFERROR(INDEX(po_rate,MATCH(C1037,po_code,0)),0))))</f>
        <v/>
      </c>
      <c r="R1037" s="55" t="str">
        <f>IF(AC1037=1,P1037*60/Q1037,"")</f>
        <v/>
      </c>
      <c r="S1037" s="55" t="str">
        <f>IF(AC1037=1,N(G1037)*60/Q1037,"")</f>
        <v/>
      </c>
      <c r="T1037" s="57" t="str">
        <f>IF(AC1037=1,O1037/M1037,"")</f>
        <v/>
      </c>
      <c r="U1037" s="57" t="str">
        <f>IF(AC1037=1,IF(O1037&gt;0,R1037/O1037,""),"")</f>
        <v/>
      </c>
      <c r="V1037" s="57" t="str">
        <f>IF(AC1037=1,IF(P1037&gt;0,N(G1037)/P1037,""),"")</f>
        <v/>
      </c>
      <c r="W1037" s="57" t="str">
        <f>IF(AC1037=1,S1037/M1037,"")</f>
        <v/>
      </c>
      <c r="X1037" s="57" t="str">
        <f>IF(AC1037=1,S1037/K1037,"")</f>
        <v/>
      </c>
      <c r="Y1037" s="58" t="str">
        <f>IF(W1037="","",IF(W1037&gt;=p_target,"Bon",IF(W1037&gt;=p_alert,"À surveiller","Faible")))</f>
        <v/>
      </c>
      <c r="Z1037" s="58" t="str">
        <f>IF(W1037="","",IF(MIN(IF(T1037="",1,T1037),IF(U1037="",1,U1037),IF(V1037="",1,V1037))&gt;=1,"Aucune",IF(IF(T1037="",1,T1037)&lt;=MIN(IF(U1037="",1,U1037),IF(V1037="",1,V1037)),"Disponibilité",IF(IF(U1037="",1,U1037)&lt;=IF(V1037="",1,V1037),"Performance","Qualité"))))</f>
        <v/>
      </c>
      <c r="AA1037" s="59" t="str">
        <f>IF(AC1037=1,N(H1037)*N(IFERROR(INDEX(art_cost,MATCH(E1037,art_ref,0)),0)),"")</f>
        <v/>
      </c>
      <c r="AB1037" s="58" t="str">
        <f>IF(COUNTA(A1037:I1037)=0,"",IF(N(A1037)&lt;=0,"Date manquante ou invalide",IF(B1037="","Équipe manquante",IF(ISNA(MATCH(B1037,eq_code,0)),"Équipe inconnue",IF(INDEX(eq_check,MATCH(B1037,eq_code,0))&lt;&gt;"OK","Équipe à corriger dans Paramètres",IF(C1037="","Poste manquant",IF(ISNA(MATCH(C1037,po_code,0)),"Poste inconnu",IF(AND(E1037&lt;&gt;"",ISNA(MATCH(E1037,art_ref,0))),"Article inconnu",IF(IF(E1037="",FALSE,INDEX(art_check,MATCH(E1037,art_ref,0))&lt;&gt;"OK"),"Article à corriger (feuille Articles)",IF(COUNTIFS(sj_date,A1037,sj_eq,B1037,sj_po,C1037)&gt;1,"Ligne en double (même jour, équipe et poste)",IF(OR(NOT(ISNUMBER(K1037)),N(K1037)&lt;=0,N(K1037)&gt;1440),"Temps d'ouverture invalide",IF(OR(AND(G1037&lt;&gt;"",NOT(ISNUMBER(G1037))),N(G1037)&lt;0,N(G1037)&lt;&gt;INT(N(G1037)),AND(H1037&lt;&gt;"",NOT(ISNUMBER(H1037))),N(H1037)&lt;0,N(H1037)&lt;&gt;INT(N(H1037)),AND(I1037&lt;&gt;"",NOT(ISNUMBER(I1037))),N(I1037)&lt;0,N(I1037)&lt;&gt;INT(N(I1037))),"Quantité invalide",IF(Q1037&lt;=0,"Cadence manquante (poste ou article)",IF(M1037&lt;=0,"Arrêts planifiés supérieurs au temps d'ouverture",IF(O1037&lt;0,"Arrêts supérieurs au temps requis",IF(AND(P1037&gt;0,O1037=0),"Pièces déclarées sans temps de marche",IF(AND(P1037=0,O1037&gt;0),"Aucune pièce déclarée",IF(P1037*60/Q1037&gt;O1037+0.001,"Cadence dépassée : vérifiez la cadence","OK"))))))))))))))))))</f>
        <v/>
      </c>
      <c r="AC1037">
        <f>IF(OR(AB1037="OK",AB1037="Aucune pièce déclarée",AB1037="Cadence dépassée : vérifiez la cadence"),1,0)</f>
        <v>0.0</v>
      </c>
      <c r="AD1037">
        <f>IF(AND(AC1037=1,A1037&gt;=p_from,A1037&lt;=p_to),1,0)</f>
        <v>0.0</v>
      </c>
      <c r="AE1037">
        <f>IF(AD1037=1,IF(COUNTIFS($A$6:A1037,A1037,$AD$6:AD1037,1)=1,1,0),0)</f>
        <v>0.0</v>
      </c>
      <c r="AF1037" t="str">
        <f>IF(AE1037=1,COUNTIFS(sj_first,1,sj_date,"&lt;"&amp;A1037)+1,"")</f>
        <v/>
      </c>
      <c r="AG1037" t="str">
        <f>IF(AND(AD1037=1,N(W1037)&lt;p_alert),ROUND(W1037,4),"")</f>
        <v/>
      </c>
      <c r="AH1037" t="str">
        <f>IF(AG1037="","",COUNTIF(sj_akey,"&lt;"&amp;AG1037)+COUNTIF($AG$6:AG1037,AG1037))</f>
        <v/>
      </c>
    </row>
    <row r="1038">
      <c r="A1038" s="51" t="n"/>
      <c r="B1038" s="52" t="n"/>
      <c r="C1038" s="52" t="n"/>
      <c r="D1038" s="53" t="n"/>
      <c r="E1038" s="53" t="n"/>
      <c r="F1038" s="54" t="n"/>
      <c r="G1038" s="54" t="n"/>
      <c r="H1038" s="54" t="n"/>
      <c r="I1038" s="54" t="n"/>
      <c r="J1038" s="53" t="n"/>
      <c r="K1038" s="55" t="str">
        <f>IF(COUNTA(A1038:I1038)=0,"",IF(F1038="",IFERROR(INDEX(eq_dur,MATCH(B1038,eq_code,0)),""),F1038))</f>
        <v/>
      </c>
      <c r="L1038" s="55" t="str">
        <f>IF(ISNUMBER(K1038),N(IFERROR(INDEX(eq_pause,MATCH(B1038,eq_code,0)),0))+SUMIFS(st_min,st_date,A1038,st_eq,B1038,st_po,C1038,st_type,"Planifié"),"")</f>
        <v/>
      </c>
      <c r="M1038" s="55" t="str">
        <f>IF(ISNUMBER(K1038),K1038-L1038,"")</f>
        <v/>
      </c>
      <c r="N1038" s="55" t="str">
        <f>IF(ISNUMBER(K1038),SUMIFS(st_min,st_date,A1038,st_eq,B1038,st_po,C1038,st_type,"Non planifié"),"")</f>
        <v/>
      </c>
      <c r="O1038" s="55" t="str">
        <f>IF(ISNUMBER(K1038),M1038-N1038,"")</f>
        <v/>
      </c>
      <c r="P1038" s="55" t="str">
        <f>IF(COUNTA(A1038:I1038)=0,"",N(G1038)+N(H1038)+N(I1038))</f>
        <v/>
      </c>
      <c r="Q1038" s="56" t="str">
        <f>IF(COUNTA(A1038:I1038)=0,"",IF(N(IFERROR(INDEX(art_rate,MATCH(E1038,art_ref,0)),0))&gt;0,N(IFERROR(INDEX(art_rate,MATCH(E1038,art_ref,0)),0)),N(IFERROR(INDEX(po_rate,MATCH(C1038,po_code,0)),0))))</f>
        <v/>
      </c>
      <c r="R1038" s="55" t="str">
        <f>IF(AC1038=1,P1038*60/Q1038,"")</f>
        <v/>
      </c>
      <c r="S1038" s="55" t="str">
        <f>IF(AC1038=1,N(G1038)*60/Q1038,"")</f>
        <v/>
      </c>
      <c r="T1038" s="57" t="str">
        <f>IF(AC1038=1,O1038/M1038,"")</f>
        <v/>
      </c>
      <c r="U1038" s="57" t="str">
        <f>IF(AC1038=1,IF(O1038&gt;0,R1038/O1038,""),"")</f>
        <v/>
      </c>
      <c r="V1038" s="57" t="str">
        <f>IF(AC1038=1,IF(P1038&gt;0,N(G1038)/P1038,""),"")</f>
        <v/>
      </c>
      <c r="W1038" s="57" t="str">
        <f>IF(AC1038=1,S1038/M1038,"")</f>
        <v/>
      </c>
      <c r="X1038" s="57" t="str">
        <f>IF(AC1038=1,S1038/K1038,"")</f>
        <v/>
      </c>
      <c r="Y1038" s="58" t="str">
        <f>IF(W1038="","",IF(W1038&gt;=p_target,"Bon",IF(W1038&gt;=p_alert,"À surveiller","Faible")))</f>
        <v/>
      </c>
      <c r="Z1038" s="58" t="str">
        <f>IF(W1038="","",IF(MIN(IF(T1038="",1,T1038),IF(U1038="",1,U1038),IF(V1038="",1,V1038))&gt;=1,"Aucune",IF(IF(T1038="",1,T1038)&lt;=MIN(IF(U1038="",1,U1038),IF(V1038="",1,V1038)),"Disponibilité",IF(IF(U1038="",1,U1038)&lt;=IF(V1038="",1,V1038),"Performance","Qualité"))))</f>
        <v/>
      </c>
      <c r="AA1038" s="59" t="str">
        <f>IF(AC1038=1,N(H1038)*N(IFERROR(INDEX(art_cost,MATCH(E1038,art_ref,0)),0)),"")</f>
        <v/>
      </c>
      <c r="AB1038" s="58" t="str">
        <f>IF(COUNTA(A1038:I1038)=0,"",IF(N(A1038)&lt;=0,"Date manquante ou invalide",IF(B1038="","Équipe manquante",IF(ISNA(MATCH(B1038,eq_code,0)),"Équipe inconnue",IF(INDEX(eq_check,MATCH(B1038,eq_code,0))&lt;&gt;"OK","Équipe à corriger dans Paramètres",IF(C1038="","Poste manquant",IF(ISNA(MATCH(C1038,po_code,0)),"Poste inconnu",IF(AND(E1038&lt;&gt;"",ISNA(MATCH(E1038,art_ref,0))),"Article inconnu",IF(IF(E1038="",FALSE,INDEX(art_check,MATCH(E1038,art_ref,0))&lt;&gt;"OK"),"Article à corriger (feuille Articles)",IF(COUNTIFS(sj_date,A1038,sj_eq,B1038,sj_po,C1038)&gt;1,"Ligne en double (même jour, équipe et poste)",IF(OR(NOT(ISNUMBER(K1038)),N(K1038)&lt;=0,N(K1038)&gt;1440),"Temps d'ouverture invalide",IF(OR(AND(G1038&lt;&gt;"",NOT(ISNUMBER(G1038))),N(G1038)&lt;0,N(G1038)&lt;&gt;INT(N(G1038)),AND(H1038&lt;&gt;"",NOT(ISNUMBER(H1038))),N(H1038)&lt;0,N(H1038)&lt;&gt;INT(N(H1038)),AND(I1038&lt;&gt;"",NOT(ISNUMBER(I1038))),N(I1038)&lt;0,N(I1038)&lt;&gt;INT(N(I1038))),"Quantité invalide",IF(Q1038&lt;=0,"Cadence manquante (poste ou article)",IF(M1038&lt;=0,"Arrêts planifiés supérieurs au temps d'ouverture",IF(O1038&lt;0,"Arrêts supérieurs au temps requis",IF(AND(P1038&gt;0,O1038=0),"Pièces déclarées sans temps de marche",IF(AND(P1038=0,O1038&gt;0),"Aucune pièce déclarée",IF(P1038*60/Q1038&gt;O1038+0.001,"Cadence dépassée : vérifiez la cadence","OK"))))))))))))))))))</f>
        <v/>
      </c>
      <c r="AC1038">
        <f>IF(OR(AB1038="OK",AB1038="Aucune pièce déclarée",AB1038="Cadence dépassée : vérifiez la cadence"),1,0)</f>
        <v>0.0</v>
      </c>
      <c r="AD1038">
        <f>IF(AND(AC1038=1,A1038&gt;=p_from,A1038&lt;=p_to),1,0)</f>
        <v>0.0</v>
      </c>
      <c r="AE1038">
        <f>IF(AD1038=1,IF(COUNTIFS($A$6:A1038,A1038,$AD$6:AD1038,1)=1,1,0),0)</f>
        <v>0.0</v>
      </c>
      <c r="AF1038" t="str">
        <f>IF(AE1038=1,COUNTIFS(sj_first,1,sj_date,"&lt;"&amp;A1038)+1,"")</f>
        <v/>
      </c>
      <c r="AG1038" t="str">
        <f>IF(AND(AD1038=1,N(W1038)&lt;p_alert),ROUND(W1038,4),"")</f>
        <v/>
      </c>
      <c r="AH1038" t="str">
        <f>IF(AG1038="","",COUNTIF(sj_akey,"&lt;"&amp;AG1038)+COUNTIF($AG$6:AG1038,AG1038))</f>
        <v/>
      </c>
    </row>
    <row r="1039">
      <c r="A1039" s="51" t="n"/>
      <c r="B1039" s="52" t="n"/>
      <c r="C1039" s="52" t="n"/>
      <c r="D1039" s="53" t="n"/>
      <c r="E1039" s="53" t="n"/>
      <c r="F1039" s="54" t="n"/>
      <c r="G1039" s="54" t="n"/>
      <c r="H1039" s="54" t="n"/>
      <c r="I1039" s="54" t="n"/>
      <c r="J1039" s="53" t="n"/>
      <c r="K1039" s="55" t="str">
        <f>IF(COUNTA(A1039:I1039)=0,"",IF(F1039="",IFERROR(INDEX(eq_dur,MATCH(B1039,eq_code,0)),""),F1039))</f>
        <v/>
      </c>
      <c r="L1039" s="55" t="str">
        <f>IF(ISNUMBER(K1039),N(IFERROR(INDEX(eq_pause,MATCH(B1039,eq_code,0)),0))+SUMIFS(st_min,st_date,A1039,st_eq,B1039,st_po,C1039,st_type,"Planifié"),"")</f>
        <v/>
      </c>
      <c r="M1039" s="55" t="str">
        <f>IF(ISNUMBER(K1039),K1039-L1039,"")</f>
        <v/>
      </c>
      <c r="N1039" s="55" t="str">
        <f>IF(ISNUMBER(K1039),SUMIFS(st_min,st_date,A1039,st_eq,B1039,st_po,C1039,st_type,"Non planifié"),"")</f>
        <v/>
      </c>
      <c r="O1039" s="55" t="str">
        <f>IF(ISNUMBER(K1039),M1039-N1039,"")</f>
        <v/>
      </c>
      <c r="P1039" s="55" t="str">
        <f>IF(COUNTA(A1039:I1039)=0,"",N(G1039)+N(H1039)+N(I1039))</f>
        <v/>
      </c>
      <c r="Q1039" s="56" t="str">
        <f>IF(COUNTA(A1039:I1039)=0,"",IF(N(IFERROR(INDEX(art_rate,MATCH(E1039,art_ref,0)),0))&gt;0,N(IFERROR(INDEX(art_rate,MATCH(E1039,art_ref,0)),0)),N(IFERROR(INDEX(po_rate,MATCH(C1039,po_code,0)),0))))</f>
        <v/>
      </c>
      <c r="R1039" s="55" t="str">
        <f>IF(AC1039=1,P1039*60/Q1039,"")</f>
        <v/>
      </c>
      <c r="S1039" s="55" t="str">
        <f>IF(AC1039=1,N(G1039)*60/Q1039,"")</f>
        <v/>
      </c>
      <c r="T1039" s="57" t="str">
        <f>IF(AC1039=1,O1039/M1039,"")</f>
        <v/>
      </c>
      <c r="U1039" s="57" t="str">
        <f>IF(AC1039=1,IF(O1039&gt;0,R1039/O1039,""),"")</f>
        <v/>
      </c>
      <c r="V1039" s="57" t="str">
        <f>IF(AC1039=1,IF(P1039&gt;0,N(G1039)/P1039,""),"")</f>
        <v/>
      </c>
      <c r="W1039" s="57" t="str">
        <f>IF(AC1039=1,S1039/M1039,"")</f>
        <v/>
      </c>
      <c r="X1039" s="57" t="str">
        <f>IF(AC1039=1,S1039/K1039,"")</f>
        <v/>
      </c>
      <c r="Y1039" s="58" t="str">
        <f>IF(W1039="","",IF(W1039&gt;=p_target,"Bon",IF(W1039&gt;=p_alert,"À surveiller","Faible")))</f>
        <v/>
      </c>
      <c r="Z1039" s="58" t="str">
        <f>IF(W1039="","",IF(MIN(IF(T1039="",1,T1039),IF(U1039="",1,U1039),IF(V1039="",1,V1039))&gt;=1,"Aucune",IF(IF(T1039="",1,T1039)&lt;=MIN(IF(U1039="",1,U1039),IF(V1039="",1,V1039)),"Disponibilité",IF(IF(U1039="",1,U1039)&lt;=IF(V1039="",1,V1039),"Performance","Qualité"))))</f>
        <v/>
      </c>
      <c r="AA1039" s="59" t="str">
        <f>IF(AC1039=1,N(H1039)*N(IFERROR(INDEX(art_cost,MATCH(E1039,art_ref,0)),0)),"")</f>
        <v/>
      </c>
      <c r="AB1039" s="58" t="str">
        <f>IF(COUNTA(A1039:I1039)=0,"",IF(N(A1039)&lt;=0,"Date manquante ou invalide",IF(B1039="","Équipe manquante",IF(ISNA(MATCH(B1039,eq_code,0)),"Équipe inconnue",IF(INDEX(eq_check,MATCH(B1039,eq_code,0))&lt;&gt;"OK","Équipe à corriger dans Paramètres",IF(C1039="","Poste manquant",IF(ISNA(MATCH(C1039,po_code,0)),"Poste inconnu",IF(AND(E1039&lt;&gt;"",ISNA(MATCH(E1039,art_ref,0))),"Article inconnu",IF(IF(E1039="",FALSE,INDEX(art_check,MATCH(E1039,art_ref,0))&lt;&gt;"OK"),"Article à corriger (feuille Articles)",IF(COUNTIFS(sj_date,A1039,sj_eq,B1039,sj_po,C1039)&gt;1,"Ligne en double (même jour, équipe et poste)",IF(OR(NOT(ISNUMBER(K1039)),N(K1039)&lt;=0,N(K1039)&gt;1440),"Temps d'ouverture invalide",IF(OR(AND(G1039&lt;&gt;"",NOT(ISNUMBER(G1039))),N(G1039)&lt;0,N(G1039)&lt;&gt;INT(N(G1039)),AND(H1039&lt;&gt;"",NOT(ISNUMBER(H1039))),N(H1039)&lt;0,N(H1039)&lt;&gt;INT(N(H1039)),AND(I1039&lt;&gt;"",NOT(ISNUMBER(I1039))),N(I1039)&lt;0,N(I1039)&lt;&gt;INT(N(I1039))),"Quantité invalide",IF(Q1039&lt;=0,"Cadence manquante (poste ou article)",IF(M1039&lt;=0,"Arrêts planifiés supérieurs au temps d'ouverture",IF(O1039&lt;0,"Arrêts supérieurs au temps requis",IF(AND(P1039&gt;0,O1039=0),"Pièces déclarées sans temps de marche",IF(AND(P1039=0,O1039&gt;0),"Aucune pièce déclarée",IF(P1039*60/Q1039&gt;O1039+0.001,"Cadence dépassée : vérifiez la cadence","OK"))))))))))))))))))</f>
        <v/>
      </c>
      <c r="AC1039">
        <f>IF(OR(AB1039="OK",AB1039="Aucune pièce déclarée",AB1039="Cadence dépassée : vérifiez la cadence"),1,0)</f>
        <v>0.0</v>
      </c>
      <c r="AD1039">
        <f>IF(AND(AC1039=1,A1039&gt;=p_from,A1039&lt;=p_to),1,0)</f>
        <v>0.0</v>
      </c>
      <c r="AE1039">
        <f>IF(AD1039=1,IF(COUNTIFS($A$6:A1039,A1039,$AD$6:AD1039,1)=1,1,0),0)</f>
        <v>0.0</v>
      </c>
      <c r="AF1039" t="str">
        <f>IF(AE1039=1,COUNTIFS(sj_first,1,sj_date,"&lt;"&amp;A1039)+1,"")</f>
        <v/>
      </c>
      <c r="AG1039" t="str">
        <f>IF(AND(AD1039=1,N(W1039)&lt;p_alert),ROUND(W1039,4),"")</f>
        <v/>
      </c>
      <c r="AH1039" t="str">
        <f>IF(AG1039="","",COUNTIF(sj_akey,"&lt;"&amp;AG1039)+COUNTIF($AG$6:AG1039,AG1039))</f>
        <v/>
      </c>
    </row>
    <row r="1040">
      <c r="A1040" s="51" t="n"/>
      <c r="B1040" s="52" t="n"/>
      <c r="C1040" s="52" t="n"/>
      <c r="D1040" s="53" t="n"/>
      <c r="E1040" s="53" t="n"/>
      <c r="F1040" s="54" t="n"/>
      <c r="G1040" s="54" t="n"/>
      <c r="H1040" s="54" t="n"/>
      <c r="I1040" s="54" t="n"/>
      <c r="J1040" s="53" t="n"/>
      <c r="K1040" s="55" t="str">
        <f>IF(COUNTA(A1040:I1040)=0,"",IF(F1040="",IFERROR(INDEX(eq_dur,MATCH(B1040,eq_code,0)),""),F1040))</f>
        <v/>
      </c>
      <c r="L1040" s="55" t="str">
        <f>IF(ISNUMBER(K1040),N(IFERROR(INDEX(eq_pause,MATCH(B1040,eq_code,0)),0))+SUMIFS(st_min,st_date,A1040,st_eq,B1040,st_po,C1040,st_type,"Planifié"),"")</f>
        <v/>
      </c>
      <c r="M1040" s="55" t="str">
        <f>IF(ISNUMBER(K1040),K1040-L1040,"")</f>
        <v/>
      </c>
      <c r="N1040" s="55" t="str">
        <f>IF(ISNUMBER(K1040),SUMIFS(st_min,st_date,A1040,st_eq,B1040,st_po,C1040,st_type,"Non planifié"),"")</f>
        <v/>
      </c>
      <c r="O1040" s="55" t="str">
        <f>IF(ISNUMBER(K1040),M1040-N1040,"")</f>
        <v/>
      </c>
      <c r="P1040" s="55" t="str">
        <f>IF(COUNTA(A1040:I1040)=0,"",N(G1040)+N(H1040)+N(I1040))</f>
        <v/>
      </c>
      <c r="Q1040" s="56" t="str">
        <f>IF(COUNTA(A1040:I1040)=0,"",IF(N(IFERROR(INDEX(art_rate,MATCH(E1040,art_ref,0)),0))&gt;0,N(IFERROR(INDEX(art_rate,MATCH(E1040,art_ref,0)),0)),N(IFERROR(INDEX(po_rate,MATCH(C1040,po_code,0)),0))))</f>
        <v/>
      </c>
      <c r="R1040" s="55" t="str">
        <f>IF(AC1040=1,P1040*60/Q1040,"")</f>
        <v/>
      </c>
      <c r="S1040" s="55" t="str">
        <f>IF(AC1040=1,N(G1040)*60/Q1040,"")</f>
        <v/>
      </c>
      <c r="T1040" s="57" t="str">
        <f>IF(AC1040=1,O1040/M1040,"")</f>
        <v/>
      </c>
      <c r="U1040" s="57" t="str">
        <f>IF(AC1040=1,IF(O1040&gt;0,R1040/O1040,""),"")</f>
        <v/>
      </c>
      <c r="V1040" s="57" t="str">
        <f>IF(AC1040=1,IF(P1040&gt;0,N(G1040)/P1040,""),"")</f>
        <v/>
      </c>
      <c r="W1040" s="57" t="str">
        <f>IF(AC1040=1,S1040/M1040,"")</f>
        <v/>
      </c>
      <c r="X1040" s="57" t="str">
        <f>IF(AC1040=1,S1040/K1040,"")</f>
        <v/>
      </c>
      <c r="Y1040" s="58" t="str">
        <f>IF(W1040="","",IF(W1040&gt;=p_target,"Bon",IF(W1040&gt;=p_alert,"À surveiller","Faible")))</f>
        <v/>
      </c>
      <c r="Z1040" s="58" t="str">
        <f>IF(W1040="","",IF(MIN(IF(T1040="",1,T1040),IF(U1040="",1,U1040),IF(V1040="",1,V1040))&gt;=1,"Aucune",IF(IF(T1040="",1,T1040)&lt;=MIN(IF(U1040="",1,U1040),IF(V1040="",1,V1040)),"Disponibilité",IF(IF(U1040="",1,U1040)&lt;=IF(V1040="",1,V1040),"Performance","Qualité"))))</f>
        <v/>
      </c>
      <c r="AA1040" s="59" t="str">
        <f>IF(AC1040=1,N(H1040)*N(IFERROR(INDEX(art_cost,MATCH(E1040,art_ref,0)),0)),"")</f>
        <v/>
      </c>
      <c r="AB1040" s="58" t="str">
        <f>IF(COUNTA(A1040:I1040)=0,"",IF(N(A1040)&lt;=0,"Date manquante ou invalide",IF(B1040="","Équipe manquante",IF(ISNA(MATCH(B1040,eq_code,0)),"Équipe inconnue",IF(INDEX(eq_check,MATCH(B1040,eq_code,0))&lt;&gt;"OK","Équipe à corriger dans Paramètres",IF(C1040="","Poste manquant",IF(ISNA(MATCH(C1040,po_code,0)),"Poste inconnu",IF(AND(E1040&lt;&gt;"",ISNA(MATCH(E1040,art_ref,0))),"Article inconnu",IF(IF(E1040="",FALSE,INDEX(art_check,MATCH(E1040,art_ref,0))&lt;&gt;"OK"),"Article à corriger (feuille Articles)",IF(COUNTIFS(sj_date,A1040,sj_eq,B1040,sj_po,C1040)&gt;1,"Ligne en double (même jour, équipe et poste)",IF(OR(NOT(ISNUMBER(K1040)),N(K1040)&lt;=0,N(K1040)&gt;1440),"Temps d'ouverture invalide",IF(OR(AND(G1040&lt;&gt;"",NOT(ISNUMBER(G1040))),N(G1040)&lt;0,N(G1040)&lt;&gt;INT(N(G1040)),AND(H1040&lt;&gt;"",NOT(ISNUMBER(H1040))),N(H1040)&lt;0,N(H1040)&lt;&gt;INT(N(H1040)),AND(I1040&lt;&gt;"",NOT(ISNUMBER(I1040))),N(I1040)&lt;0,N(I1040)&lt;&gt;INT(N(I1040))),"Quantité invalide",IF(Q1040&lt;=0,"Cadence manquante (poste ou article)",IF(M1040&lt;=0,"Arrêts planifiés supérieurs au temps d'ouverture",IF(O1040&lt;0,"Arrêts supérieurs au temps requis",IF(AND(P1040&gt;0,O1040=0),"Pièces déclarées sans temps de marche",IF(AND(P1040=0,O1040&gt;0),"Aucune pièce déclarée",IF(P1040*60/Q1040&gt;O1040+0.001,"Cadence dépassée : vérifiez la cadence","OK"))))))))))))))))))</f>
        <v/>
      </c>
      <c r="AC1040">
        <f>IF(OR(AB1040="OK",AB1040="Aucune pièce déclarée",AB1040="Cadence dépassée : vérifiez la cadence"),1,0)</f>
        <v>0.0</v>
      </c>
      <c r="AD1040">
        <f>IF(AND(AC1040=1,A1040&gt;=p_from,A1040&lt;=p_to),1,0)</f>
        <v>0.0</v>
      </c>
      <c r="AE1040">
        <f>IF(AD1040=1,IF(COUNTIFS($A$6:A1040,A1040,$AD$6:AD1040,1)=1,1,0),0)</f>
        <v>0.0</v>
      </c>
      <c r="AF1040" t="str">
        <f>IF(AE1040=1,COUNTIFS(sj_first,1,sj_date,"&lt;"&amp;A1040)+1,"")</f>
        <v/>
      </c>
      <c r="AG1040" t="str">
        <f>IF(AND(AD1040=1,N(W1040)&lt;p_alert),ROUND(W1040,4),"")</f>
        <v/>
      </c>
      <c r="AH1040" t="str">
        <f>IF(AG1040="","",COUNTIF(sj_akey,"&lt;"&amp;AG1040)+COUNTIF($AG$6:AG1040,AG1040))</f>
        <v/>
      </c>
    </row>
    <row r="1041">
      <c r="A1041" s="51" t="n"/>
      <c r="B1041" s="52" t="n"/>
      <c r="C1041" s="52" t="n"/>
      <c r="D1041" s="53" t="n"/>
      <c r="E1041" s="53" t="n"/>
      <c r="F1041" s="54" t="n"/>
      <c r="G1041" s="54" t="n"/>
      <c r="H1041" s="54" t="n"/>
      <c r="I1041" s="54" t="n"/>
      <c r="J1041" s="53" t="n"/>
      <c r="K1041" s="55" t="str">
        <f>IF(COUNTA(A1041:I1041)=0,"",IF(F1041="",IFERROR(INDEX(eq_dur,MATCH(B1041,eq_code,0)),""),F1041))</f>
        <v/>
      </c>
      <c r="L1041" s="55" t="str">
        <f>IF(ISNUMBER(K1041),N(IFERROR(INDEX(eq_pause,MATCH(B1041,eq_code,0)),0))+SUMIFS(st_min,st_date,A1041,st_eq,B1041,st_po,C1041,st_type,"Planifié"),"")</f>
        <v/>
      </c>
      <c r="M1041" s="55" t="str">
        <f>IF(ISNUMBER(K1041),K1041-L1041,"")</f>
        <v/>
      </c>
      <c r="N1041" s="55" t="str">
        <f>IF(ISNUMBER(K1041),SUMIFS(st_min,st_date,A1041,st_eq,B1041,st_po,C1041,st_type,"Non planifié"),"")</f>
        <v/>
      </c>
      <c r="O1041" s="55" t="str">
        <f>IF(ISNUMBER(K1041),M1041-N1041,"")</f>
        <v/>
      </c>
      <c r="P1041" s="55" t="str">
        <f>IF(COUNTA(A1041:I1041)=0,"",N(G1041)+N(H1041)+N(I1041))</f>
        <v/>
      </c>
      <c r="Q1041" s="56" t="str">
        <f>IF(COUNTA(A1041:I1041)=0,"",IF(N(IFERROR(INDEX(art_rate,MATCH(E1041,art_ref,0)),0))&gt;0,N(IFERROR(INDEX(art_rate,MATCH(E1041,art_ref,0)),0)),N(IFERROR(INDEX(po_rate,MATCH(C1041,po_code,0)),0))))</f>
        <v/>
      </c>
      <c r="R1041" s="55" t="str">
        <f>IF(AC1041=1,P1041*60/Q1041,"")</f>
        <v/>
      </c>
      <c r="S1041" s="55" t="str">
        <f>IF(AC1041=1,N(G1041)*60/Q1041,"")</f>
        <v/>
      </c>
      <c r="T1041" s="57" t="str">
        <f>IF(AC1041=1,O1041/M1041,"")</f>
        <v/>
      </c>
      <c r="U1041" s="57" t="str">
        <f>IF(AC1041=1,IF(O1041&gt;0,R1041/O1041,""),"")</f>
        <v/>
      </c>
      <c r="V1041" s="57" t="str">
        <f>IF(AC1041=1,IF(P1041&gt;0,N(G1041)/P1041,""),"")</f>
        <v/>
      </c>
      <c r="W1041" s="57" t="str">
        <f>IF(AC1041=1,S1041/M1041,"")</f>
        <v/>
      </c>
      <c r="X1041" s="57" t="str">
        <f>IF(AC1041=1,S1041/K1041,"")</f>
        <v/>
      </c>
      <c r="Y1041" s="58" t="str">
        <f>IF(W1041="","",IF(W1041&gt;=p_target,"Bon",IF(W1041&gt;=p_alert,"À surveiller","Faible")))</f>
        <v/>
      </c>
      <c r="Z1041" s="58" t="str">
        <f>IF(W1041="","",IF(MIN(IF(T1041="",1,T1041),IF(U1041="",1,U1041),IF(V1041="",1,V1041))&gt;=1,"Aucune",IF(IF(T1041="",1,T1041)&lt;=MIN(IF(U1041="",1,U1041),IF(V1041="",1,V1041)),"Disponibilité",IF(IF(U1041="",1,U1041)&lt;=IF(V1041="",1,V1041),"Performance","Qualité"))))</f>
        <v/>
      </c>
      <c r="AA1041" s="59" t="str">
        <f>IF(AC1041=1,N(H1041)*N(IFERROR(INDEX(art_cost,MATCH(E1041,art_ref,0)),0)),"")</f>
        <v/>
      </c>
      <c r="AB1041" s="58" t="str">
        <f>IF(COUNTA(A1041:I1041)=0,"",IF(N(A1041)&lt;=0,"Date manquante ou invalide",IF(B1041="","Équipe manquante",IF(ISNA(MATCH(B1041,eq_code,0)),"Équipe inconnue",IF(INDEX(eq_check,MATCH(B1041,eq_code,0))&lt;&gt;"OK","Équipe à corriger dans Paramètres",IF(C1041="","Poste manquant",IF(ISNA(MATCH(C1041,po_code,0)),"Poste inconnu",IF(AND(E1041&lt;&gt;"",ISNA(MATCH(E1041,art_ref,0))),"Article inconnu",IF(IF(E1041="",FALSE,INDEX(art_check,MATCH(E1041,art_ref,0))&lt;&gt;"OK"),"Article à corriger (feuille Articles)",IF(COUNTIFS(sj_date,A1041,sj_eq,B1041,sj_po,C1041)&gt;1,"Ligne en double (même jour, équipe et poste)",IF(OR(NOT(ISNUMBER(K1041)),N(K1041)&lt;=0,N(K1041)&gt;1440),"Temps d'ouverture invalide",IF(OR(AND(G1041&lt;&gt;"",NOT(ISNUMBER(G1041))),N(G1041)&lt;0,N(G1041)&lt;&gt;INT(N(G1041)),AND(H1041&lt;&gt;"",NOT(ISNUMBER(H1041))),N(H1041)&lt;0,N(H1041)&lt;&gt;INT(N(H1041)),AND(I1041&lt;&gt;"",NOT(ISNUMBER(I1041))),N(I1041)&lt;0,N(I1041)&lt;&gt;INT(N(I1041))),"Quantité invalide",IF(Q1041&lt;=0,"Cadence manquante (poste ou article)",IF(M1041&lt;=0,"Arrêts planifiés supérieurs au temps d'ouverture",IF(O1041&lt;0,"Arrêts supérieurs au temps requis",IF(AND(P1041&gt;0,O1041=0),"Pièces déclarées sans temps de marche",IF(AND(P1041=0,O1041&gt;0),"Aucune pièce déclarée",IF(P1041*60/Q1041&gt;O1041+0.001,"Cadence dépassée : vérifiez la cadence","OK"))))))))))))))))))</f>
        <v/>
      </c>
      <c r="AC1041">
        <f>IF(OR(AB1041="OK",AB1041="Aucune pièce déclarée",AB1041="Cadence dépassée : vérifiez la cadence"),1,0)</f>
        <v>0.0</v>
      </c>
      <c r="AD1041">
        <f>IF(AND(AC1041=1,A1041&gt;=p_from,A1041&lt;=p_to),1,0)</f>
        <v>0.0</v>
      </c>
      <c r="AE1041">
        <f>IF(AD1041=1,IF(COUNTIFS($A$6:A1041,A1041,$AD$6:AD1041,1)=1,1,0),0)</f>
        <v>0.0</v>
      </c>
      <c r="AF1041" t="str">
        <f>IF(AE1041=1,COUNTIFS(sj_first,1,sj_date,"&lt;"&amp;A1041)+1,"")</f>
        <v/>
      </c>
      <c r="AG1041" t="str">
        <f>IF(AND(AD1041=1,N(W1041)&lt;p_alert),ROUND(W1041,4),"")</f>
        <v/>
      </c>
      <c r="AH1041" t="str">
        <f>IF(AG1041="","",COUNTIF(sj_akey,"&lt;"&amp;AG1041)+COUNTIF($AG$6:AG1041,AG1041))</f>
        <v/>
      </c>
    </row>
    <row r="1042">
      <c r="A1042" s="51" t="n"/>
      <c r="B1042" s="52" t="n"/>
      <c r="C1042" s="52" t="n"/>
      <c r="D1042" s="53" t="n"/>
      <c r="E1042" s="53" t="n"/>
      <c r="F1042" s="54" t="n"/>
      <c r="G1042" s="54" t="n"/>
      <c r="H1042" s="54" t="n"/>
      <c r="I1042" s="54" t="n"/>
      <c r="J1042" s="53" t="n"/>
      <c r="K1042" s="55" t="str">
        <f>IF(COUNTA(A1042:I1042)=0,"",IF(F1042="",IFERROR(INDEX(eq_dur,MATCH(B1042,eq_code,0)),""),F1042))</f>
        <v/>
      </c>
      <c r="L1042" s="55" t="str">
        <f>IF(ISNUMBER(K1042),N(IFERROR(INDEX(eq_pause,MATCH(B1042,eq_code,0)),0))+SUMIFS(st_min,st_date,A1042,st_eq,B1042,st_po,C1042,st_type,"Planifié"),"")</f>
        <v/>
      </c>
      <c r="M1042" s="55" t="str">
        <f>IF(ISNUMBER(K1042),K1042-L1042,"")</f>
        <v/>
      </c>
      <c r="N1042" s="55" t="str">
        <f>IF(ISNUMBER(K1042),SUMIFS(st_min,st_date,A1042,st_eq,B1042,st_po,C1042,st_type,"Non planifié"),"")</f>
        <v/>
      </c>
      <c r="O1042" s="55" t="str">
        <f>IF(ISNUMBER(K1042),M1042-N1042,"")</f>
        <v/>
      </c>
      <c r="P1042" s="55" t="str">
        <f>IF(COUNTA(A1042:I1042)=0,"",N(G1042)+N(H1042)+N(I1042))</f>
        <v/>
      </c>
      <c r="Q1042" s="56" t="str">
        <f>IF(COUNTA(A1042:I1042)=0,"",IF(N(IFERROR(INDEX(art_rate,MATCH(E1042,art_ref,0)),0))&gt;0,N(IFERROR(INDEX(art_rate,MATCH(E1042,art_ref,0)),0)),N(IFERROR(INDEX(po_rate,MATCH(C1042,po_code,0)),0))))</f>
        <v/>
      </c>
      <c r="R1042" s="55" t="str">
        <f>IF(AC1042=1,P1042*60/Q1042,"")</f>
        <v/>
      </c>
      <c r="S1042" s="55" t="str">
        <f>IF(AC1042=1,N(G1042)*60/Q1042,"")</f>
        <v/>
      </c>
      <c r="T1042" s="57" t="str">
        <f>IF(AC1042=1,O1042/M1042,"")</f>
        <v/>
      </c>
      <c r="U1042" s="57" t="str">
        <f>IF(AC1042=1,IF(O1042&gt;0,R1042/O1042,""),"")</f>
        <v/>
      </c>
      <c r="V1042" s="57" t="str">
        <f>IF(AC1042=1,IF(P1042&gt;0,N(G1042)/P1042,""),"")</f>
        <v/>
      </c>
      <c r="W1042" s="57" t="str">
        <f>IF(AC1042=1,S1042/M1042,"")</f>
        <v/>
      </c>
      <c r="X1042" s="57" t="str">
        <f>IF(AC1042=1,S1042/K1042,"")</f>
        <v/>
      </c>
      <c r="Y1042" s="58" t="str">
        <f>IF(W1042="","",IF(W1042&gt;=p_target,"Bon",IF(W1042&gt;=p_alert,"À surveiller","Faible")))</f>
        <v/>
      </c>
      <c r="Z1042" s="58" t="str">
        <f>IF(W1042="","",IF(MIN(IF(T1042="",1,T1042),IF(U1042="",1,U1042),IF(V1042="",1,V1042))&gt;=1,"Aucune",IF(IF(T1042="",1,T1042)&lt;=MIN(IF(U1042="",1,U1042),IF(V1042="",1,V1042)),"Disponibilité",IF(IF(U1042="",1,U1042)&lt;=IF(V1042="",1,V1042),"Performance","Qualité"))))</f>
        <v/>
      </c>
      <c r="AA1042" s="59" t="str">
        <f>IF(AC1042=1,N(H1042)*N(IFERROR(INDEX(art_cost,MATCH(E1042,art_ref,0)),0)),"")</f>
        <v/>
      </c>
      <c r="AB1042" s="58" t="str">
        <f>IF(COUNTA(A1042:I1042)=0,"",IF(N(A1042)&lt;=0,"Date manquante ou invalide",IF(B1042="","Équipe manquante",IF(ISNA(MATCH(B1042,eq_code,0)),"Équipe inconnue",IF(INDEX(eq_check,MATCH(B1042,eq_code,0))&lt;&gt;"OK","Équipe à corriger dans Paramètres",IF(C1042="","Poste manquant",IF(ISNA(MATCH(C1042,po_code,0)),"Poste inconnu",IF(AND(E1042&lt;&gt;"",ISNA(MATCH(E1042,art_ref,0))),"Article inconnu",IF(IF(E1042="",FALSE,INDEX(art_check,MATCH(E1042,art_ref,0))&lt;&gt;"OK"),"Article à corriger (feuille Articles)",IF(COUNTIFS(sj_date,A1042,sj_eq,B1042,sj_po,C1042)&gt;1,"Ligne en double (même jour, équipe et poste)",IF(OR(NOT(ISNUMBER(K1042)),N(K1042)&lt;=0,N(K1042)&gt;1440),"Temps d'ouverture invalide",IF(OR(AND(G1042&lt;&gt;"",NOT(ISNUMBER(G1042))),N(G1042)&lt;0,N(G1042)&lt;&gt;INT(N(G1042)),AND(H1042&lt;&gt;"",NOT(ISNUMBER(H1042))),N(H1042)&lt;0,N(H1042)&lt;&gt;INT(N(H1042)),AND(I1042&lt;&gt;"",NOT(ISNUMBER(I1042))),N(I1042)&lt;0,N(I1042)&lt;&gt;INT(N(I1042))),"Quantité invalide",IF(Q1042&lt;=0,"Cadence manquante (poste ou article)",IF(M1042&lt;=0,"Arrêts planifiés supérieurs au temps d'ouverture",IF(O1042&lt;0,"Arrêts supérieurs au temps requis",IF(AND(P1042&gt;0,O1042=0),"Pièces déclarées sans temps de marche",IF(AND(P1042=0,O1042&gt;0),"Aucune pièce déclarée",IF(P1042*60/Q1042&gt;O1042+0.001,"Cadence dépassée : vérifiez la cadence","OK"))))))))))))))))))</f>
        <v/>
      </c>
      <c r="AC1042">
        <f>IF(OR(AB1042="OK",AB1042="Aucune pièce déclarée",AB1042="Cadence dépassée : vérifiez la cadence"),1,0)</f>
        <v>0.0</v>
      </c>
      <c r="AD1042">
        <f>IF(AND(AC1042=1,A1042&gt;=p_from,A1042&lt;=p_to),1,0)</f>
        <v>0.0</v>
      </c>
      <c r="AE1042">
        <f>IF(AD1042=1,IF(COUNTIFS($A$6:A1042,A1042,$AD$6:AD1042,1)=1,1,0),0)</f>
        <v>0.0</v>
      </c>
      <c r="AF1042" t="str">
        <f>IF(AE1042=1,COUNTIFS(sj_first,1,sj_date,"&lt;"&amp;A1042)+1,"")</f>
        <v/>
      </c>
      <c r="AG1042" t="str">
        <f>IF(AND(AD1042=1,N(W1042)&lt;p_alert),ROUND(W1042,4),"")</f>
        <v/>
      </c>
      <c r="AH1042" t="str">
        <f>IF(AG1042="","",COUNTIF(sj_akey,"&lt;"&amp;AG1042)+COUNTIF($AG$6:AG1042,AG1042))</f>
        <v/>
      </c>
    </row>
    <row r="1043">
      <c r="A1043" s="51" t="n"/>
      <c r="B1043" s="52" t="n"/>
      <c r="C1043" s="52" t="n"/>
      <c r="D1043" s="53" t="n"/>
      <c r="E1043" s="53" t="n"/>
      <c r="F1043" s="54" t="n"/>
      <c r="G1043" s="54" t="n"/>
      <c r="H1043" s="54" t="n"/>
      <c r="I1043" s="54" t="n"/>
      <c r="J1043" s="53" t="n"/>
      <c r="K1043" s="55" t="str">
        <f>IF(COUNTA(A1043:I1043)=0,"",IF(F1043="",IFERROR(INDEX(eq_dur,MATCH(B1043,eq_code,0)),""),F1043))</f>
        <v/>
      </c>
      <c r="L1043" s="55" t="str">
        <f>IF(ISNUMBER(K1043),N(IFERROR(INDEX(eq_pause,MATCH(B1043,eq_code,0)),0))+SUMIFS(st_min,st_date,A1043,st_eq,B1043,st_po,C1043,st_type,"Planifié"),"")</f>
        <v/>
      </c>
      <c r="M1043" s="55" t="str">
        <f>IF(ISNUMBER(K1043),K1043-L1043,"")</f>
        <v/>
      </c>
      <c r="N1043" s="55" t="str">
        <f>IF(ISNUMBER(K1043),SUMIFS(st_min,st_date,A1043,st_eq,B1043,st_po,C1043,st_type,"Non planifié"),"")</f>
        <v/>
      </c>
      <c r="O1043" s="55" t="str">
        <f>IF(ISNUMBER(K1043),M1043-N1043,"")</f>
        <v/>
      </c>
      <c r="P1043" s="55" t="str">
        <f>IF(COUNTA(A1043:I1043)=0,"",N(G1043)+N(H1043)+N(I1043))</f>
        <v/>
      </c>
      <c r="Q1043" s="56" t="str">
        <f>IF(COUNTA(A1043:I1043)=0,"",IF(N(IFERROR(INDEX(art_rate,MATCH(E1043,art_ref,0)),0))&gt;0,N(IFERROR(INDEX(art_rate,MATCH(E1043,art_ref,0)),0)),N(IFERROR(INDEX(po_rate,MATCH(C1043,po_code,0)),0))))</f>
        <v/>
      </c>
      <c r="R1043" s="55" t="str">
        <f>IF(AC1043=1,P1043*60/Q1043,"")</f>
        <v/>
      </c>
      <c r="S1043" s="55" t="str">
        <f>IF(AC1043=1,N(G1043)*60/Q1043,"")</f>
        <v/>
      </c>
      <c r="T1043" s="57" t="str">
        <f>IF(AC1043=1,O1043/M1043,"")</f>
        <v/>
      </c>
      <c r="U1043" s="57" t="str">
        <f>IF(AC1043=1,IF(O1043&gt;0,R1043/O1043,""),"")</f>
        <v/>
      </c>
      <c r="V1043" s="57" t="str">
        <f>IF(AC1043=1,IF(P1043&gt;0,N(G1043)/P1043,""),"")</f>
        <v/>
      </c>
      <c r="W1043" s="57" t="str">
        <f>IF(AC1043=1,S1043/M1043,"")</f>
        <v/>
      </c>
      <c r="X1043" s="57" t="str">
        <f>IF(AC1043=1,S1043/K1043,"")</f>
        <v/>
      </c>
      <c r="Y1043" s="58" t="str">
        <f>IF(W1043="","",IF(W1043&gt;=p_target,"Bon",IF(W1043&gt;=p_alert,"À surveiller","Faible")))</f>
        <v/>
      </c>
      <c r="Z1043" s="58" t="str">
        <f>IF(W1043="","",IF(MIN(IF(T1043="",1,T1043),IF(U1043="",1,U1043),IF(V1043="",1,V1043))&gt;=1,"Aucune",IF(IF(T1043="",1,T1043)&lt;=MIN(IF(U1043="",1,U1043),IF(V1043="",1,V1043)),"Disponibilité",IF(IF(U1043="",1,U1043)&lt;=IF(V1043="",1,V1043),"Performance","Qualité"))))</f>
        <v/>
      </c>
      <c r="AA1043" s="59" t="str">
        <f>IF(AC1043=1,N(H1043)*N(IFERROR(INDEX(art_cost,MATCH(E1043,art_ref,0)),0)),"")</f>
        <v/>
      </c>
      <c r="AB1043" s="58" t="str">
        <f>IF(COUNTA(A1043:I1043)=0,"",IF(N(A1043)&lt;=0,"Date manquante ou invalide",IF(B1043="","Équipe manquante",IF(ISNA(MATCH(B1043,eq_code,0)),"Équipe inconnue",IF(INDEX(eq_check,MATCH(B1043,eq_code,0))&lt;&gt;"OK","Équipe à corriger dans Paramètres",IF(C1043="","Poste manquant",IF(ISNA(MATCH(C1043,po_code,0)),"Poste inconnu",IF(AND(E1043&lt;&gt;"",ISNA(MATCH(E1043,art_ref,0))),"Article inconnu",IF(IF(E1043="",FALSE,INDEX(art_check,MATCH(E1043,art_ref,0))&lt;&gt;"OK"),"Article à corriger (feuille Articles)",IF(COUNTIFS(sj_date,A1043,sj_eq,B1043,sj_po,C1043)&gt;1,"Ligne en double (même jour, équipe et poste)",IF(OR(NOT(ISNUMBER(K1043)),N(K1043)&lt;=0,N(K1043)&gt;1440),"Temps d'ouverture invalide",IF(OR(AND(G1043&lt;&gt;"",NOT(ISNUMBER(G1043))),N(G1043)&lt;0,N(G1043)&lt;&gt;INT(N(G1043)),AND(H1043&lt;&gt;"",NOT(ISNUMBER(H1043))),N(H1043)&lt;0,N(H1043)&lt;&gt;INT(N(H1043)),AND(I1043&lt;&gt;"",NOT(ISNUMBER(I1043))),N(I1043)&lt;0,N(I1043)&lt;&gt;INT(N(I1043))),"Quantité invalide",IF(Q1043&lt;=0,"Cadence manquante (poste ou article)",IF(M1043&lt;=0,"Arrêts planifiés supérieurs au temps d'ouverture",IF(O1043&lt;0,"Arrêts supérieurs au temps requis",IF(AND(P1043&gt;0,O1043=0),"Pièces déclarées sans temps de marche",IF(AND(P1043=0,O1043&gt;0),"Aucune pièce déclarée",IF(P1043*60/Q1043&gt;O1043+0.001,"Cadence dépassée : vérifiez la cadence","OK"))))))))))))))))))</f>
        <v/>
      </c>
      <c r="AC1043">
        <f>IF(OR(AB1043="OK",AB1043="Aucune pièce déclarée",AB1043="Cadence dépassée : vérifiez la cadence"),1,0)</f>
        <v>0.0</v>
      </c>
      <c r="AD1043">
        <f>IF(AND(AC1043=1,A1043&gt;=p_from,A1043&lt;=p_to),1,0)</f>
        <v>0.0</v>
      </c>
      <c r="AE1043">
        <f>IF(AD1043=1,IF(COUNTIFS($A$6:A1043,A1043,$AD$6:AD1043,1)=1,1,0),0)</f>
        <v>0.0</v>
      </c>
      <c r="AF1043" t="str">
        <f>IF(AE1043=1,COUNTIFS(sj_first,1,sj_date,"&lt;"&amp;A1043)+1,"")</f>
        <v/>
      </c>
      <c r="AG1043" t="str">
        <f>IF(AND(AD1043=1,N(W1043)&lt;p_alert),ROUND(W1043,4),"")</f>
        <v/>
      </c>
      <c r="AH1043" t="str">
        <f>IF(AG1043="","",COUNTIF(sj_akey,"&lt;"&amp;AG1043)+COUNTIF($AG$6:AG1043,AG1043))</f>
        <v/>
      </c>
    </row>
    <row r="1044">
      <c r="A1044" s="51" t="n"/>
      <c r="B1044" s="52" t="n"/>
      <c r="C1044" s="52" t="n"/>
      <c r="D1044" s="53" t="n"/>
      <c r="E1044" s="53" t="n"/>
      <c r="F1044" s="54" t="n"/>
      <c r="G1044" s="54" t="n"/>
      <c r="H1044" s="54" t="n"/>
      <c r="I1044" s="54" t="n"/>
      <c r="J1044" s="53" t="n"/>
      <c r="K1044" s="55" t="str">
        <f>IF(COUNTA(A1044:I1044)=0,"",IF(F1044="",IFERROR(INDEX(eq_dur,MATCH(B1044,eq_code,0)),""),F1044))</f>
        <v/>
      </c>
      <c r="L1044" s="55" t="str">
        <f>IF(ISNUMBER(K1044),N(IFERROR(INDEX(eq_pause,MATCH(B1044,eq_code,0)),0))+SUMIFS(st_min,st_date,A1044,st_eq,B1044,st_po,C1044,st_type,"Planifié"),"")</f>
        <v/>
      </c>
      <c r="M1044" s="55" t="str">
        <f>IF(ISNUMBER(K1044),K1044-L1044,"")</f>
        <v/>
      </c>
      <c r="N1044" s="55" t="str">
        <f>IF(ISNUMBER(K1044),SUMIFS(st_min,st_date,A1044,st_eq,B1044,st_po,C1044,st_type,"Non planifié"),"")</f>
        <v/>
      </c>
      <c r="O1044" s="55" t="str">
        <f>IF(ISNUMBER(K1044),M1044-N1044,"")</f>
        <v/>
      </c>
      <c r="P1044" s="55" t="str">
        <f>IF(COUNTA(A1044:I1044)=0,"",N(G1044)+N(H1044)+N(I1044))</f>
        <v/>
      </c>
      <c r="Q1044" s="56" t="str">
        <f>IF(COUNTA(A1044:I1044)=0,"",IF(N(IFERROR(INDEX(art_rate,MATCH(E1044,art_ref,0)),0))&gt;0,N(IFERROR(INDEX(art_rate,MATCH(E1044,art_ref,0)),0)),N(IFERROR(INDEX(po_rate,MATCH(C1044,po_code,0)),0))))</f>
        <v/>
      </c>
      <c r="R1044" s="55" t="str">
        <f>IF(AC1044=1,P1044*60/Q1044,"")</f>
        <v/>
      </c>
      <c r="S1044" s="55" t="str">
        <f>IF(AC1044=1,N(G1044)*60/Q1044,"")</f>
        <v/>
      </c>
      <c r="T1044" s="57" t="str">
        <f>IF(AC1044=1,O1044/M1044,"")</f>
        <v/>
      </c>
      <c r="U1044" s="57" t="str">
        <f>IF(AC1044=1,IF(O1044&gt;0,R1044/O1044,""),"")</f>
        <v/>
      </c>
      <c r="V1044" s="57" t="str">
        <f>IF(AC1044=1,IF(P1044&gt;0,N(G1044)/P1044,""),"")</f>
        <v/>
      </c>
      <c r="W1044" s="57" t="str">
        <f>IF(AC1044=1,S1044/M1044,"")</f>
        <v/>
      </c>
      <c r="X1044" s="57" t="str">
        <f>IF(AC1044=1,S1044/K1044,"")</f>
        <v/>
      </c>
      <c r="Y1044" s="58" t="str">
        <f>IF(W1044="","",IF(W1044&gt;=p_target,"Bon",IF(W1044&gt;=p_alert,"À surveiller","Faible")))</f>
        <v/>
      </c>
      <c r="Z1044" s="58" t="str">
        <f>IF(W1044="","",IF(MIN(IF(T1044="",1,T1044),IF(U1044="",1,U1044),IF(V1044="",1,V1044))&gt;=1,"Aucune",IF(IF(T1044="",1,T1044)&lt;=MIN(IF(U1044="",1,U1044),IF(V1044="",1,V1044)),"Disponibilité",IF(IF(U1044="",1,U1044)&lt;=IF(V1044="",1,V1044),"Performance","Qualité"))))</f>
        <v/>
      </c>
      <c r="AA1044" s="59" t="str">
        <f>IF(AC1044=1,N(H1044)*N(IFERROR(INDEX(art_cost,MATCH(E1044,art_ref,0)),0)),"")</f>
        <v/>
      </c>
      <c r="AB1044" s="58" t="str">
        <f>IF(COUNTA(A1044:I1044)=0,"",IF(N(A1044)&lt;=0,"Date manquante ou invalide",IF(B1044="","Équipe manquante",IF(ISNA(MATCH(B1044,eq_code,0)),"Équipe inconnue",IF(INDEX(eq_check,MATCH(B1044,eq_code,0))&lt;&gt;"OK","Équipe à corriger dans Paramètres",IF(C1044="","Poste manquant",IF(ISNA(MATCH(C1044,po_code,0)),"Poste inconnu",IF(AND(E1044&lt;&gt;"",ISNA(MATCH(E1044,art_ref,0))),"Article inconnu",IF(IF(E1044="",FALSE,INDEX(art_check,MATCH(E1044,art_ref,0))&lt;&gt;"OK"),"Article à corriger (feuille Articles)",IF(COUNTIFS(sj_date,A1044,sj_eq,B1044,sj_po,C1044)&gt;1,"Ligne en double (même jour, équipe et poste)",IF(OR(NOT(ISNUMBER(K1044)),N(K1044)&lt;=0,N(K1044)&gt;1440),"Temps d'ouverture invalide",IF(OR(AND(G1044&lt;&gt;"",NOT(ISNUMBER(G1044))),N(G1044)&lt;0,N(G1044)&lt;&gt;INT(N(G1044)),AND(H1044&lt;&gt;"",NOT(ISNUMBER(H1044))),N(H1044)&lt;0,N(H1044)&lt;&gt;INT(N(H1044)),AND(I1044&lt;&gt;"",NOT(ISNUMBER(I1044))),N(I1044)&lt;0,N(I1044)&lt;&gt;INT(N(I1044))),"Quantité invalide",IF(Q1044&lt;=0,"Cadence manquante (poste ou article)",IF(M1044&lt;=0,"Arrêts planifiés supérieurs au temps d'ouverture",IF(O1044&lt;0,"Arrêts supérieurs au temps requis",IF(AND(P1044&gt;0,O1044=0),"Pièces déclarées sans temps de marche",IF(AND(P1044=0,O1044&gt;0),"Aucune pièce déclarée",IF(P1044*60/Q1044&gt;O1044+0.001,"Cadence dépassée : vérifiez la cadence","OK"))))))))))))))))))</f>
        <v/>
      </c>
      <c r="AC1044">
        <f>IF(OR(AB1044="OK",AB1044="Aucune pièce déclarée",AB1044="Cadence dépassée : vérifiez la cadence"),1,0)</f>
        <v>0.0</v>
      </c>
      <c r="AD1044">
        <f>IF(AND(AC1044=1,A1044&gt;=p_from,A1044&lt;=p_to),1,0)</f>
        <v>0.0</v>
      </c>
      <c r="AE1044">
        <f>IF(AD1044=1,IF(COUNTIFS($A$6:A1044,A1044,$AD$6:AD1044,1)=1,1,0),0)</f>
        <v>0.0</v>
      </c>
      <c r="AF1044" t="str">
        <f>IF(AE1044=1,COUNTIFS(sj_first,1,sj_date,"&lt;"&amp;A1044)+1,"")</f>
        <v/>
      </c>
      <c r="AG1044" t="str">
        <f>IF(AND(AD1044=1,N(W1044)&lt;p_alert),ROUND(W1044,4),"")</f>
        <v/>
      </c>
      <c r="AH1044" t="str">
        <f>IF(AG1044="","",COUNTIF(sj_akey,"&lt;"&amp;AG1044)+COUNTIF($AG$6:AG1044,AG1044))</f>
        <v/>
      </c>
    </row>
    <row r="1045">
      <c r="A1045" s="51" t="n"/>
      <c r="B1045" s="52" t="n"/>
      <c r="C1045" s="52" t="n"/>
      <c r="D1045" s="53" t="n"/>
      <c r="E1045" s="53" t="n"/>
      <c r="F1045" s="54" t="n"/>
      <c r="G1045" s="54" t="n"/>
      <c r="H1045" s="54" t="n"/>
      <c r="I1045" s="54" t="n"/>
      <c r="J1045" s="53" t="n"/>
      <c r="K1045" s="55" t="str">
        <f>IF(COUNTA(A1045:I1045)=0,"",IF(F1045="",IFERROR(INDEX(eq_dur,MATCH(B1045,eq_code,0)),""),F1045))</f>
        <v/>
      </c>
      <c r="L1045" s="55" t="str">
        <f>IF(ISNUMBER(K1045),N(IFERROR(INDEX(eq_pause,MATCH(B1045,eq_code,0)),0))+SUMIFS(st_min,st_date,A1045,st_eq,B1045,st_po,C1045,st_type,"Planifié"),"")</f>
        <v/>
      </c>
      <c r="M1045" s="55" t="str">
        <f>IF(ISNUMBER(K1045),K1045-L1045,"")</f>
        <v/>
      </c>
      <c r="N1045" s="55" t="str">
        <f>IF(ISNUMBER(K1045),SUMIFS(st_min,st_date,A1045,st_eq,B1045,st_po,C1045,st_type,"Non planifié"),"")</f>
        <v/>
      </c>
      <c r="O1045" s="55" t="str">
        <f>IF(ISNUMBER(K1045),M1045-N1045,"")</f>
        <v/>
      </c>
      <c r="P1045" s="55" t="str">
        <f>IF(COUNTA(A1045:I1045)=0,"",N(G1045)+N(H1045)+N(I1045))</f>
        <v/>
      </c>
      <c r="Q1045" s="56" t="str">
        <f>IF(COUNTA(A1045:I1045)=0,"",IF(N(IFERROR(INDEX(art_rate,MATCH(E1045,art_ref,0)),0))&gt;0,N(IFERROR(INDEX(art_rate,MATCH(E1045,art_ref,0)),0)),N(IFERROR(INDEX(po_rate,MATCH(C1045,po_code,0)),0))))</f>
        <v/>
      </c>
      <c r="R1045" s="55" t="str">
        <f>IF(AC1045=1,P1045*60/Q1045,"")</f>
        <v/>
      </c>
      <c r="S1045" s="55" t="str">
        <f>IF(AC1045=1,N(G1045)*60/Q1045,"")</f>
        <v/>
      </c>
      <c r="T1045" s="57" t="str">
        <f>IF(AC1045=1,O1045/M1045,"")</f>
        <v/>
      </c>
      <c r="U1045" s="57" t="str">
        <f>IF(AC1045=1,IF(O1045&gt;0,R1045/O1045,""),"")</f>
        <v/>
      </c>
      <c r="V1045" s="57" t="str">
        <f>IF(AC1045=1,IF(P1045&gt;0,N(G1045)/P1045,""),"")</f>
        <v/>
      </c>
      <c r="W1045" s="57" t="str">
        <f>IF(AC1045=1,S1045/M1045,"")</f>
        <v/>
      </c>
      <c r="X1045" s="57" t="str">
        <f>IF(AC1045=1,S1045/K1045,"")</f>
        <v/>
      </c>
      <c r="Y1045" s="58" t="str">
        <f>IF(W1045="","",IF(W1045&gt;=p_target,"Bon",IF(W1045&gt;=p_alert,"À surveiller","Faible")))</f>
        <v/>
      </c>
      <c r="Z1045" s="58" t="str">
        <f>IF(W1045="","",IF(MIN(IF(T1045="",1,T1045),IF(U1045="",1,U1045),IF(V1045="",1,V1045))&gt;=1,"Aucune",IF(IF(T1045="",1,T1045)&lt;=MIN(IF(U1045="",1,U1045),IF(V1045="",1,V1045)),"Disponibilité",IF(IF(U1045="",1,U1045)&lt;=IF(V1045="",1,V1045),"Performance","Qualité"))))</f>
        <v/>
      </c>
      <c r="AA1045" s="59" t="str">
        <f>IF(AC1045=1,N(H1045)*N(IFERROR(INDEX(art_cost,MATCH(E1045,art_ref,0)),0)),"")</f>
        <v/>
      </c>
      <c r="AB1045" s="58" t="str">
        <f>IF(COUNTA(A1045:I1045)=0,"",IF(N(A1045)&lt;=0,"Date manquante ou invalide",IF(B1045="","Équipe manquante",IF(ISNA(MATCH(B1045,eq_code,0)),"Équipe inconnue",IF(INDEX(eq_check,MATCH(B1045,eq_code,0))&lt;&gt;"OK","Équipe à corriger dans Paramètres",IF(C1045="","Poste manquant",IF(ISNA(MATCH(C1045,po_code,0)),"Poste inconnu",IF(AND(E1045&lt;&gt;"",ISNA(MATCH(E1045,art_ref,0))),"Article inconnu",IF(IF(E1045="",FALSE,INDEX(art_check,MATCH(E1045,art_ref,0))&lt;&gt;"OK"),"Article à corriger (feuille Articles)",IF(COUNTIFS(sj_date,A1045,sj_eq,B1045,sj_po,C1045)&gt;1,"Ligne en double (même jour, équipe et poste)",IF(OR(NOT(ISNUMBER(K1045)),N(K1045)&lt;=0,N(K1045)&gt;1440),"Temps d'ouverture invalide",IF(OR(AND(G1045&lt;&gt;"",NOT(ISNUMBER(G1045))),N(G1045)&lt;0,N(G1045)&lt;&gt;INT(N(G1045)),AND(H1045&lt;&gt;"",NOT(ISNUMBER(H1045))),N(H1045)&lt;0,N(H1045)&lt;&gt;INT(N(H1045)),AND(I1045&lt;&gt;"",NOT(ISNUMBER(I1045))),N(I1045)&lt;0,N(I1045)&lt;&gt;INT(N(I1045))),"Quantité invalide",IF(Q1045&lt;=0,"Cadence manquante (poste ou article)",IF(M1045&lt;=0,"Arrêts planifiés supérieurs au temps d'ouverture",IF(O1045&lt;0,"Arrêts supérieurs au temps requis",IF(AND(P1045&gt;0,O1045=0),"Pièces déclarées sans temps de marche",IF(AND(P1045=0,O1045&gt;0),"Aucune pièce déclarée",IF(P1045*60/Q1045&gt;O1045+0.001,"Cadence dépassée : vérifiez la cadence","OK"))))))))))))))))))</f>
        <v/>
      </c>
      <c r="AC1045">
        <f>IF(OR(AB1045="OK",AB1045="Aucune pièce déclarée",AB1045="Cadence dépassée : vérifiez la cadence"),1,0)</f>
        <v>0.0</v>
      </c>
      <c r="AD1045">
        <f>IF(AND(AC1045=1,A1045&gt;=p_from,A1045&lt;=p_to),1,0)</f>
        <v>0.0</v>
      </c>
      <c r="AE1045">
        <f>IF(AD1045=1,IF(COUNTIFS($A$6:A1045,A1045,$AD$6:AD1045,1)=1,1,0),0)</f>
        <v>0.0</v>
      </c>
      <c r="AF1045" t="str">
        <f>IF(AE1045=1,COUNTIFS(sj_first,1,sj_date,"&lt;"&amp;A1045)+1,"")</f>
        <v/>
      </c>
      <c r="AG1045" t="str">
        <f>IF(AND(AD1045=1,N(W1045)&lt;p_alert),ROUND(W1045,4),"")</f>
        <v/>
      </c>
      <c r="AH1045" t="str">
        <f>IF(AG1045="","",COUNTIF(sj_akey,"&lt;"&amp;AG1045)+COUNTIF($AG$6:AG1045,AG1045))</f>
        <v/>
      </c>
    </row>
    <row r="1046">
      <c r="A1046" s="51" t="n"/>
      <c r="B1046" s="52" t="n"/>
      <c r="C1046" s="52" t="n"/>
      <c r="D1046" s="53" t="n"/>
      <c r="E1046" s="53" t="n"/>
      <c r="F1046" s="54" t="n"/>
      <c r="G1046" s="54" t="n"/>
      <c r="H1046" s="54" t="n"/>
      <c r="I1046" s="54" t="n"/>
      <c r="J1046" s="53" t="n"/>
      <c r="K1046" s="55" t="str">
        <f>IF(COUNTA(A1046:I1046)=0,"",IF(F1046="",IFERROR(INDEX(eq_dur,MATCH(B1046,eq_code,0)),""),F1046))</f>
        <v/>
      </c>
      <c r="L1046" s="55" t="str">
        <f>IF(ISNUMBER(K1046),N(IFERROR(INDEX(eq_pause,MATCH(B1046,eq_code,0)),0))+SUMIFS(st_min,st_date,A1046,st_eq,B1046,st_po,C1046,st_type,"Planifié"),"")</f>
        <v/>
      </c>
      <c r="M1046" s="55" t="str">
        <f>IF(ISNUMBER(K1046),K1046-L1046,"")</f>
        <v/>
      </c>
      <c r="N1046" s="55" t="str">
        <f>IF(ISNUMBER(K1046),SUMIFS(st_min,st_date,A1046,st_eq,B1046,st_po,C1046,st_type,"Non planifié"),"")</f>
        <v/>
      </c>
      <c r="O1046" s="55" t="str">
        <f>IF(ISNUMBER(K1046),M1046-N1046,"")</f>
        <v/>
      </c>
      <c r="P1046" s="55" t="str">
        <f>IF(COUNTA(A1046:I1046)=0,"",N(G1046)+N(H1046)+N(I1046))</f>
        <v/>
      </c>
      <c r="Q1046" s="56" t="str">
        <f>IF(COUNTA(A1046:I1046)=0,"",IF(N(IFERROR(INDEX(art_rate,MATCH(E1046,art_ref,0)),0))&gt;0,N(IFERROR(INDEX(art_rate,MATCH(E1046,art_ref,0)),0)),N(IFERROR(INDEX(po_rate,MATCH(C1046,po_code,0)),0))))</f>
        <v/>
      </c>
      <c r="R1046" s="55" t="str">
        <f>IF(AC1046=1,P1046*60/Q1046,"")</f>
        <v/>
      </c>
      <c r="S1046" s="55" t="str">
        <f>IF(AC1046=1,N(G1046)*60/Q1046,"")</f>
        <v/>
      </c>
      <c r="T1046" s="57" t="str">
        <f>IF(AC1046=1,O1046/M1046,"")</f>
        <v/>
      </c>
      <c r="U1046" s="57" t="str">
        <f>IF(AC1046=1,IF(O1046&gt;0,R1046/O1046,""),"")</f>
        <v/>
      </c>
      <c r="V1046" s="57" t="str">
        <f>IF(AC1046=1,IF(P1046&gt;0,N(G1046)/P1046,""),"")</f>
        <v/>
      </c>
      <c r="W1046" s="57" t="str">
        <f>IF(AC1046=1,S1046/M1046,"")</f>
        <v/>
      </c>
      <c r="X1046" s="57" t="str">
        <f>IF(AC1046=1,S1046/K1046,"")</f>
        <v/>
      </c>
      <c r="Y1046" s="58" t="str">
        <f>IF(W1046="","",IF(W1046&gt;=p_target,"Bon",IF(W1046&gt;=p_alert,"À surveiller","Faible")))</f>
        <v/>
      </c>
      <c r="Z1046" s="58" t="str">
        <f>IF(W1046="","",IF(MIN(IF(T1046="",1,T1046),IF(U1046="",1,U1046),IF(V1046="",1,V1046))&gt;=1,"Aucune",IF(IF(T1046="",1,T1046)&lt;=MIN(IF(U1046="",1,U1046),IF(V1046="",1,V1046)),"Disponibilité",IF(IF(U1046="",1,U1046)&lt;=IF(V1046="",1,V1046),"Performance","Qualité"))))</f>
        <v/>
      </c>
      <c r="AA1046" s="59" t="str">
        <f>IF(AC1046=1,N(H1046)*N(IFERROR(INDEX(art_cost,MATCH(E1046,art_ref,0)),0)),"")</f>
        <v/>
      </c>
      <c r="AB1046" s="58" t="str">
        <f>IF(COUNTA(A1046:I1046)=0,"",IF(N(A1046)&lt;=0,"Date manquante ou invalide",IF(B1046="","Équipe manquante",IF(ISNA(MATCH(B1046,eq_code,0)),"Équipe inconnue",IF(INDEX(eq_check,MATCH(B1046,eq_code,0))&lt;&gt;"OK","Équipe à corriger dans Paramètres",IF(C1046="","Poste manquant",IF(ISNA(MATCH(C1046,po_code,0)),"Poste inconnu",IF(AND(E1046&lt;&gt;"",ISNA(MATCH(E1046,art_ref,0))),"Article inconnu",IF(IF(E1046="",FALSE,INDEX(art_check,MATCH(E1046,art_ref,0))&lt;&gt;"OK"),"Article à corriger (feuille Articles)",IF(COUNTIFS(sj_date,A1046,sj_eq,B1046,sj_po,C1046)&gt;1,"Ligne en double (même jour, équipe et poste)",IF(OR(NOT(ISNUMBER(K1046)),N(K1046)&lt;=0,N(K1046)&gt;1440),"Temps d'ouverture invalide",IF(OR(AND(G1046&lt;&gt;"",NOT(ISNUMBER(G1046))),N(G1046)&lt;0,N(G1046)&lt;&gt;INT(N(G1046)),AND(H1046&lt;&gt;"",NOT(ISNUMBER(H1046))),N(H1046)&lt;0,N(H1046)&lt;&gt;INT(N(H1046)),AND(I1046&lt;&gt;"",NOT(ISNUMBER(I1046))),N(I1046)&lt;0,N(I1046)&lt;&gt;INT(N(I1046))),"Quantité invalide",IF(Q1046&lt;=0,"Cadence manquante (poste ou article)",IF(M1046&lt;=0,"Arrêts planifiés supérieurs au temps d'ouverture",IF(O1046&lt;0,"Arrêts supérieurs au temps requis",IF(AND(P1046&gt;0,O1046=0),"Pièces déclarées sans temps de marche",IF(AND(P1046=0,O1046&gt;0),"Aucune pièce déclarée",IF(P1046*60/Q1046&gt;O1046+0.001,"Cadence dépassée : vérifiez la cadence","OK"))))))))))))))))))</f>
        <v/>
      </c>
      <c r="AC1046">
        <f>IF(OR(AB1046="OK",AB1046="Aucune pièce déclarée",AB1046="Cadence dépassée : vérifiez la cadence"),1,0)</f>
        <v>0.0</v>
      </c>
      <c r="AD1046">
        <f>IF(AND(AC1046=1,A1046&gt;=p_from,A1046&lt;=p_to),1,0)</f>
        <v>0.0</v>
      </c>
      <c r="AE1046">
        <f>IF(AD1046=1,IF(COUNTIFS($A$6:A1046,A1046,$AD$6:AD1046,1)=1,1,0),0)</f>
        <v>0.0</v>
      </c>
      <c r="AF1046" t="str">
        <f>IF(AE1046=1,COUNTIFS(sj_first,1,sj_date,"&lt;"&amp;A1046)+1,"")</f>
        <v/>
      </c>
      <c r="AG1046" t="str">
        <f>IF(AND(AD1046=1,N(W1046)&lt;p_alert),ROUND(W1046,4),"")</f>
        <v/>
      </c>
      <c r="AH1046" t="str">
        <f>IF(AG1046="","",COUNTIF(sj_akey,"&lt;"&amp;AG1046)+COUNTIF($AG$6:AG1046,AG1046))</f>
        <v/>
      </c>
    </row>
    <row r="1047">
      <c r="A1047" s="51" t="n"/>
      <c r="B1047" s="52" t="n"/>
      <c r="C1047" s="52" t="n"/>
      <c r="D1047" s="53" t="n"/>
      <c r="E1047" s="53" t="n"/>
      <c r="F1047" s="54" t="n"/>
      <c r="G1047" s="54" t="n"/>
      <c r="H1047" s="54" t="n"/>
      <c r="I1047" s="54" t="n"/>
      <c r="J1047" s="53" t="n"/>
      <c r="K1047" s="55" t="str">
        <f>IF(COUNTA(A1047:I1047)=0,"",IF(F1047="",IFERROR(INDEX(eq_dur,MATCH(B1047,eq_code,0)),""),F1047))</f>
        <v/>
      </c>
      <c r="L1047" s="55" t="str">
        <f>IF(ISNUMBER(K1047),N(IFERROR(INDEX(eq_pause,MATCH(B1047,eq_code,0)),0))+SUMIFS(st_min,st_date,A1047,st_eq,B1047,st_po,C1047,st_type,"Planifié"),"")</f>
        <v/>
      </c>
      <c r="M1047" s="55" t="str">
        <f>IF(ISNUMBER(K1047),K1047-L1047,"")</f>
        <v/>
      </c>
      <c r="N1047" s="55" t="str">
        <f>IF(ISNUMBER(K1047),SUMIFS(st_min,st_date,A1047,st_eq,B1047,st_po,C1047,st_type,"Non planifié"),"")</f>
        <v/>
      </c>
      <c r="O1047" s="55" t="str">
        <f>IF(ISNUMBER(K1047),M1047-N1047,"")</f>
        <v/>
      </c>
      <c r="P1047" s="55" t="str">
        <f>IF(COUNTA(A1047:I1047)=0,"",N(G1047)+N(H1047)+N(I1047))</f>
        <v/>
      </c>
      <c r="Q1047" s="56" t="str">
        <f>IF(COUNTA(A1047:I1047)=0,"",IF(N(IFERROR(INDEX(art_rate,MATCH(E1047,art_ref,0)),0))&gt;0,N(IFERROR(INDEX(art_rate,MATCH(E1047,art_ref,0)),0)),N(IFERROR(INDEX(po_rate,MATCH(C1047,po_code,0)),0))))</f>
        <v/>
      </c>
      <c r="R1047" s="55" t="str">
        <f>IF(AC1047=1,P1047*60/Q1047,"")</f>
        <v/>
      </c>
      <c r="S1047" s="55" t="str">
        <f>IF(AC1047=1,N(G1047)*60/Q1047,"")</f>
        <v/>
      </c>
      <c r="T1047" s="57" t="str">
        <f>IF(AC1047=1,O1047/M1047,"")</f>
        <v/>
      </c>
      <c r="U1047" s="57" t="str">
        <f>IF(AC1047=1,IF(O1047&gt;0,R1047/O1047,""),"")</f>
        <v/>
      </c>
      <c r="V1047" s="57" t="str">
        <f>IF(AC1047=1,IF(P1047&gt;0,N(G1047)/P1047,""),"")</f>
        <v/>
      </c>
      <c r="W1047" s="57" t="str">
        <f>IF(AC1047=1,S1047/M1047,"")</f>
        <v/>
      </c>
      <c r="X1047" s="57" t="str">
        <f>IF(AC1047=1,S1047/K1047,"")</f>
        <v/>
      </c>
      <c r="Y1047" s="58" t="str">
        <f>IF(W1047="","",IF(W1047&gt;=p_target,"Bon",IF(W1047&gt;=p_alert,"À surveiller","Faible")))</f>
        <v/>
      </c>
      <c r="Z1047" s="58" t="str">
        <f>IF(W1047="","",IF(MIN(IF(T1047="",1,T1047),IF(U1047="",1,U1047),IF(V1047="",1,V1047))&gt;=1,"Aucune",IF(IF(T1047="",1,T1047)&lt;=MIN(IF(U1047="",1,U1047),IF(V1047="",1,V1047)),"Disponibilité",IF(IF(U1047="",1,U1047)&lt;=IF(V1047="",1,V1047),"Performance","Qualité"))))</f>
        <v/>
      </c>
      <c r="AA1047" s="59" t="str">
        <f>IF(AC1047=1,N(H1047)*N(IFERROR(INDEX(art_cost,MATCH(E1047,art_ref,0)),0)),"")</f>
        <v/>
      </c>
      <c r="AB1047" s="58" t="str">
        <f>IF(COUNTA(A1047:I1047)=0,"",IF(N(A1047)&lt;=0,"Date manquante ou invalide",IF(B1047="","Équipe manquante",IF(ISNA(MATCH(B1047,eq_code,0)),"Équipe inconnue",IF(INDEX(eq_check,MATCH(B1047,eq_code,0))&lt;&gt;"OK","Équipe à corriger dans Paramètres",IF(C1047="","Poste manquant",IF(ISNA(MATCH(C1047,po_code,0)),"Poste inconnu",IF(AND(E1047&lt;&gt;"",ISNA(MATCH(E1047,art_ref,0))),"Article inconnu",IF(IF(E1047="",FALSE,INDEX(art_check,MATCH(E1047,art_ref,0))&lt;&gt;"OK"),"Article à corriger (feuille Articles)",IF(COUNTIFS(sj_date,A1047,sj_eq,B1047,sj_po,C1047)&gt;1,"Ligne en double (même jour, équipe et poste)",IF(OR(NOT(ISNUMBER(K1047)),N(K1047)&lt;=0,N(K1047)&gt;1440),"Temps d'ouverture invalide",IF(OR(AND(G1047&lt;&gt;"",NOT(ISNUMBER(G1047))),N(G1047)&lt;0,N(G1047)&lt;&gt;INT(N(G1047)),AND(H1047&lt;&gt;"",NOT(ISNUMBER(H1047))),N(H1047)&lt;0,N(H1047)&lt;&gt;INT(N(H1047)),AND(I1047&lt;&gt;"",NOT(ISNUMBER(I1047))),N(I1047)&lt;0,N(I1047)&lt;&gt;INT(N(I1047))),"Quantité invalide",IF(Q1047&lt;=0,"Cadence manquante (poste ou article)",IF(M1047&lt;=0,"Arrêts planifiés supérieurs au temps d'ouverture",IF(O1047&lt;0,"Arrêts supérieurs au temps requis",IF(AND(P1047&gt;0,O1047=0),"Pièces déclarées sans temps de marche",IF(AND(P1047=0,O1047&gt;0),"Aucune pièce déclarée",IF(P1047*60/Q1047&gt;O1047+0.001,"Cadence dépassée : vérifiez la cadence","OK"))))))))))))))))))</f>
        <v/>
      </c>
      <c r="AC1047">
        <f>IF(OR(AB1047="OK",AB1047="Aucune pièce déclarée",AB1047="Cadence dépassée : vérifiez la cadence"),1,0)</f>
        <v>0.0</v>
      </c>
      <c r="AD1047">
        <f>IF(AND(AC1047=1,A1047&gt;=p_from,A1047&lt;=p_to),1,0)</f>
        <v>0.0</v>
      </c>
      <c r="AE1047">
        <f>IF(AD1047=1,IF(COUNTIFS($A$6:A1047,A1047,$AD$6:AD1047,1)=1,1,0),0)</f>
        <v>0.0</v>
      </c>
      <c r="AF1047" t="str">
        <f>IF(AE1047=1,COUNTIFS(sj_first,1,sj_date,"&lt;"&amp;A1047)+1,"")</f>
        <v/>
      </c>
      <c r="AG1047" t="str">
        <f>IF(AND(AD1047=1,N(W1047)&lt;p_alert),ROUND(W1047,4),"")</f>
        <v/>
      </c>
      <c r="AH1047" t="str">
        <f>IF(AG1047="","",COUNTIF(sj_akey,"&lt;"&amp;AG1047)+COUNTIF($AG$6:AG1047,AG1047))</f>
        <v/>
      </c>
    </row>
    <row r="1048">
      <c r="A1048" s="51" t="n"/>
      <c r="B1048" s="52" t="n"/>
      <c r="C1048" s="52" t="n"/>
      <c r="D1048" s="53" t="n"/>
      <c r="E1048" s="53" t="n"/>
      <c r="F1048" s="54" t="n"/>
      <c r="G1048" s="54" t="n"/>
      <c r="H1048" s="54" t="n"/>
      <c r="I1048" s="54" t="n"/>
      <c r="J1048" s="53" t="n"/>
      <c r="K1048" s="55" t="str">
        <f>IF(COUNTA(A1048:I1048)=0,"",IF(F1048="",IFERROR(INDEX(eq_dur,MATCH(B1048,eq_code,0)),""),F1048))</f>
        <v/>
      </c>
      <c r="L1048" s="55" t="str">
        <f>IF(ISNUMBER(K1048),N(IFERROR(INDEX(eq_pause,MATCH(B1048,eq_code,0)),0))+SUMIFS(st_min,st_date,A1048,st_eq,B1048,st_po,C1048,st_type,"Planifié"),"")</f>
        <v/>
      </c>
      <c r="M1048" s="55" t="str">
        <f>IF(ISNUMBER(K1048),K1048-L1048,"")</f>
        <v/>
      </c>
      <c r="N1048" s="55" t="str">
        <f>IF(ISNUMBER(K1048),SUMIFS(st_min,st_date,A1048,st_eq,B1048,st_po,C1048,st_type,"Non planifié"),"")</f>
        <v/>
      </c>
      <c r="O1048" s="55" t="str">
        <f>IF(ISNUMBER(K1048),M1048-N1048,"")</f>
        <v/>
      </c>
      <c r="P1048" s="55" t="str">
        <f>IF(COUNTA(A1048:I1048)=0,"",N(G1048)+N(H1048)+N(I1048))</f>
        <v/>
      </c>
      <c r="Q1048" s="56" t="str">
        <f>IF(COUNTA(A1048:I1048)=0,"",IF(N(IFERROR(INDEX(art_rate,MATCH(E1048,art_ref,0)),0))&gt;0,N(IFERROR(INDEX(art_rate,MATCH(E1048,art_ref,0)),0)),N(IFERROR(INDEX(po_rate,MATCH(C1048,po_code,0)),0))))</f>
        <v/>
      </c>
      <c r="R1048" s="55" t="str">
        <f>IF(AC1048=1,P1048*60/Q1048,"")</f>
        <v/>
      </c>
      <c r="S1048" s="55" t="str">
        <f>IF(AC1048=1,N(G1048)*60/Q1048,"")</f>
        <v/>
      </c>
      <c r="T1048" s="57" t="str">
        <f>IF(AC1048=1,O1048/M1048,"")</f>
        <v/>
      </c>
      <c r="U1048" s="57" t="str">
        <f>IF(AC1048=1,IF(O1048&gt;0,R1048/O1048,""),"")</f>
        <v/>
      </c>
      <c r="V1048" s="57" t="str">
        <f>IF(AC1048=1,IF(P1048&gt;0,N(G1048)/P1048,""),"")</f>
        <v/>
      </c>
      <c r="W1048" s="57" t="str">
        <f>IF(AC1048=1,S1048/M1048,"")</f>
        <v/>
      </c>
      <c r="X1048" s="57" t="str">
        <f>IF(AC1048=1,S1048/K1048,"")</f>
        <v/>
      </c>
      <c r="Y1048" s="58" t="str">
        <f>IF(W1048="","",IF(W1048&gt;=p_target,"Bon",IF(W1048&gt;=p_alert,"À surveiller","Faible")))</f>
        <v/>
      </c>
      <c r="Z1048" s="58" t="str">
        <f>IF(W1048="","",IF(MIN(IF(T1048="",1,T1048),IF(U1048="",1,U1048),IF(V1048="",1,V1048))&gt;=1,"Aucune",IF(IF(T1048="",1,T1048)&lt;=MIN(IF(U1048="",1,U1048),IF(V1048="",1,V1048)),"Disponibilité",IF(IF(U1048="",1,U1048)&lt;=IF(V1048="",1,V1048),"Performance","Qualité"))))</f>
        <v/>
      </c>
      <c r="AA1048" s="59" t="str">
        <f>IF(AC1048=1,N(H1048)*N(IFERROR(INDEX(art_cost,MATCH(E1048,art_ref,0)),0)),"")</f>
        <v/>
      </c>
      <c r="AB1048" s="58" t="str">
        <f>IF(COUNTA(A1048:I1048)=0,"",IF(N(A1048)&lt;=0,"Date manquante ou invalide",IF(B1048="","Équipe manquante",IF(ISNA(MATCH(B1048,eq_code,0)),"Équipe inconnue",IF(INDEX(eq_check,MATCH(B1048,eq_code,0))&lt;&gt;"OK","Équipe à corriger dans Paramètres",IF(C1048="","Poste manquant",IF(ISNA(MATCH(C1048,po_code,0)),"Poste inconnu",IF(AND(E1048&lt;&gt;"",ISNA(MATCH(E1048,art_ref,0))),"Article inconnu",IF(IF(E1048="",FALSE,INDEX(art_check,MATCH(E1048,art_ref,0))&lt;&gt;"OK"),"Article à corriger (feuille Articles)",IF(COUNTIFS(sj_date,A1048,sj_eq,B1048,sj_po,C1048)&gt;1,"Ligne en double (même jour, équipe et poste)",IF(OR(NOT(ISNUMBER(K1048)),N(K1048)&lt;=0,N(K1048)&gt;1440),"Temps d'ouverture invalide",IF(OR(AND(G1048&lt;&gt;"",NOT(ISNUMBER(G1048))),N(G1048)&lt;0,N(G1048)&lt;&gt;INT(N(G1048)),AND(H1048&lt;&gt;"",NOT(ISNUMBER(H1048))),N(H1048)&lt;0,N(H1048)&lt;&gt;INT(N(H1048)),AND(I1048&lt;&gt;"",NOT(ISNUMBER(I1048))),N(I1048)&lt;0,N(I1048)&lt;&gt;INT(N(I1048))),"Quantité invalide",IF(Q1048&lt;=0,"Cadence manquante (poste ou article)",IF(M1048&lt;=0,"Arrêts planifiés supérieurs au temps d'ouverture",IF(O1048&lt;0,"Arrêts supérieurs au temps requis",IF(AND(P1048&gt;0,O1048=0),"Pièces déclarées sans temps de marche",IF(AND(P1048=0,O1048&gt;0),"Aucune pièce déclarée",IF(P1048*60/Q1048&gt;O1048+0.001,"Cadence dépassée : vérifiez la cadence","OK"))))))))))))))))))</f>
        <v/>
      </c>
      <c r="AC1048">
        <f>IF(OR(AB1048="OK",AB1048="Aucune pièce déclarée",AB1048="Cadence dépassée : vérifiez la cadence"),1,0)</f>
        <v>0.0</v>
      </c>
      <c r="AD1048">
        <f>IF(AND(AC1048=1,A1048&gt;=p_from,A1048&lt;=p_to),1,0)</f>
        <v>0.0</v>
      </c>
      <c r="AE1048">
        <f>IF(AD1048=1,IF(COUNTIFS($A$6:A1048,A1048,$AD$6:AD1048,1)=1,1,0),0)</f>
        <v>0.0</v>
      </c>
      <c r="AF1048" t="str">
        <f>IF(AE1048=1,COUNTIFS(sj_first,1,sj_date,"&lt;"&amp;A1048)+1,"")</f>
        <v/>
      </c>
      <c r="AG1048" t="str">
        <f>IF(AND(AD1048=1,N(W1048)&lt;p_alert),ROUND(W1048,4),"")</f>
        <v/>
      </c>
      <c r="AH1048" t="str">
        <f>IF(AG1048="","",COUNTIF(sj_akey,"&lt;"&amp;AG1048)+COUNTIF($AG$6:AG1048,AG1048))</f>
        <v/>
      </c>
    </row>
    <row r="1049">
      <c r="A1049" s="51" t="n"/>
      <c r="B1049" s="52" t="n"/>
      <c r="C1049" s="52" t="n"/>
      <c r="D1049" s="53" t="n"/>
      <c r="E1049" s="53" t="n"/>
      <c r="F1049" s="54" t="n"/>
      <c r="G1049" s="54" t="n"/>
      <c r="H1049" s="54" t="n"/>
      <c r="I1049" s="54" t="n"/>
      <c r="J1049" s="53" t="n"/>
      <c r="K1049" s="55" t="str">
        <f>IF(COUNTA(A1049:I1049)=0,"",IF(F1049="",IFERROR(INDEX(eq_dur,MATCH(B1049,eq_code,0)),""),F1049))</f>
        <v/>
      </c>
      <c r="L1049" s="55" t="str">
        <f>IF(ISNUMBER(K1049),N(IFERROR(INDEX(eq_pause,MATCH(B1049,eq_code,0)),0))+SUMIFS(st_min,st_date,A1049,st_eq,B1049,st_po,C1049,st_type,"Planifié"),"")</f>
        <v/>
      </c>
      <c r="M1049" s="55" t="str">
        <f>IF(ISNUMBER(K1049),K1049-L1049,"")</f>
        <v/>
      </c>
      <c r="N1049" s="55" t="str">
        <f>IF(ISNUMBER(K1049),SUMIFS(st_min,st_date,A1049,st_eq,B1049,st_po,C1049,st_type,"Non planifié"),"")</f>
        <v/>
      </c>
      <c r="O1049" s="55" t="str">
        <f>IF(ISNUMBER(K1049),M1049-N1049,"")</f>
        <v/>
      </c>
      <c r="P1049" s="55" t="str">
        <f>IF(COUNTA(A1049:I1049)=0,"",N(G1049)+N(H1049)+N(I1049))</f>
        <v/>
      </c>
      <c r="Q1049" s="56" t="str">
        <f>IF(COUNTA(A1049:I1049)=0,"",IF(N(IFERROR(INDEX(art_rate,MATCH(E1049,art_ref,0)),0))&gt;0,N(IFERROR(INDEX(art_rate,MATCH(E1049,art_ref,0)),0)),N(IFERROR(INDEX(po_rate,MATCH(C1049,po_code,0)),0))))</f>
        <v/>
      </c>
      <c r="R1049" s="55" t="str">
        <f>IF(AC1049=1,P1049*60/Q1049,"")</f>
        <v/>
      </c>
      <c r="S1049" s="55" t="str">
        <f>IF(AC1049=1,N(G1049)*60/Q1049,"")</f>
        <v/>
      </c>
      <c r="T1049" s="57" t="str">
        <f>IF(AC1049=1,O1049/M1049,"")</f>
        <v/>
      </c>
      <c r="U1049" s="57" t="str">
        <f>IF(AC1049=1,IF(O1049&gt;0,R1049/O1049,""),"")</f>
        <v/>
      </c>
      <c r="V1049" s="57" t="str">
        <f>IF(AC1049=1,IF(P1049&gt;0,N(G1049)/P1049,""),"")</f>
        <v/>
      </c>
      <c r="W1049" s="57" t="str">
        <f>IF(AC1049=1,S1049/M1049,"")</f>
        <v/>
      </c>
      <c r="X1049" s="57" t="str">
        <f>IF(AC1049=1,S1049/K1049,"")</f>
        <v/>
      </c>
      <c r="Y1049" s="58" t="str">
        <f>IF(W1049="","",IF(W1049&gt;=p_target,"Bon",IF(W1049&gt;=p_alert,"À surveiller","Faible")))</f>
        <v/>
      </c>
      <c r="Z1049" s="58" t="str">
        <f>IF(W1049="","",IF(MIN(IF(T1049="",1,T1049),IF(U1049="",1,U1049),IF(V1049="",1,V1049))&gt;=1,"Aucune",IF(IF(T1049="",1,T1049)&lt;=MIN(IF(U1049="",1,U1049),IF(V1049="",1,V1049)),"Disponibilité",IF(IF(U1049="",1,U1049)&lt;=IF(V1049="",1,V1049),"Performance","Qualité"))))</f>
        <v/>
      </c>
      <c r="AA1049" s="59" t="str">
        <f>IF(AC1049=1,N(H1049)*N(IFERROR(INDEX(art_cost,MATCH(E1049,art_ref,0)),0)),"")</f>
        <v/>
      </c>
      <c r="AB1049" s="58" t="str">
        <f>IF(COUNTA(A1049:I1049)=0,"",IF(N(A1049)&lt;=0,"Date manquante ou invalide",IF(B1049="","Équipe manquante",IF(ISNA(MATCH(B1049,eq_code,0)),"Équipe inconnue",IF(INDEX(eq_check,MATCH(B1049,eq_code,0))&lt;&gt;"OK","Équipe à corriger dans Paramètres",IF(C1049="","Poste manquant",IF(ISNA(MATCH(C1049,po_code,0)),"Poste inconnu",IF(AND(E1049&lt;&gt;"",ISNA(MATCH(E1049,art_ref,0))),"Article inconnu",IF(IF(E1049="",FALSE,INDEX(art_check,MATCH(E1049,art_ref,0))&lt;&gt;"OK"),"Article à corriger (feuille Articles)",IF(COUNTIFS(sj_date,A1049,sj_eq,B1049,sj_po,C1049)&gt;1,"Ligne en double (même jour, équipe et poste)",IF(OR(NOT(ISNUMBER(K1049)),N(K1049)&lt;=0,N(K1049)&gt;1440),"Temps d'ouverture invalide",IF(OR(AND(G1049&lt;&gt;"",NOT(ISNUMBER(G1049))),N(G1049)&lt;0,N(G1049)&lt;&gt;INT(N(G1049)),AND(H1049&lt;&gt;"",NOT(ISNUMBER(H1049))),N(H1049)&lt;0,N(H1049)&lt;&gt;INT(N(H1049)),AND(I1049&lt;&gt;"",NOT(ISNUMBER(I1049))),N(I1049)&lt;0,N(I1049)&lt;&gt;INT(N(I1049))),"Quantité invalide",IF(Q1049&lt;=0,"Cadence manquante (poste ou article)",IF(M1049&lt;=0,"Arrêts planifiés supérieurs au temps d'ouverture",IF(O1049&lt;0,"Arrêts supérieurs au temps requis",IF(AND(P1049&gt;0,O1049=0),"Pièces déclarées sans temps de marche",IF(AND(P1049=0,O1049&gt;0),"Aucune pièce déclarée",IF(P1049*60/Q1049&gt;O1049+0.001,"Cadence dépassée : vérifiez la cadence","OK"))))))))))))))))))</f>
        <v/>
      </c>
      <c r="AC1049">
        <f>IF(OR(AB1049="OK",AB1049="Aucune pièce déclarée",AB1049="Cadence dépassée : vérifiez la cadence"),1,0)</f>
        <v>0.0</v>
      </c>
      <c r="AD1049">
        <f>IF(AND(AC1049=1,A1049&gt;=p_from,A1049&lt;=p_to),1,0)</f>
        <v>0.0</v>
      </c>
      <c r="AE1049">
        <f>IF(AD1049=1,IF(COUNTIFS($A$6:A1049,A1049,$AD$6:AD1049,1)=1,1,0),0)</f>
        <v>0.0</v>
      </c>
      <c r="AF1049" t="str">
        <f>IF(AE1049=1,COUNTIFS(sj_first,1,sj_date,"&lt;"&amp;A1049)+1,"")</f>
        <v/>
      </c>
      <c r="AG1049" t="str">
        <f>IF(AND(AD1049=1,N(W1049)&lt;p_alert),ROUND(W1049,4),"")</f>
        <v/>
      </c>
      <c r="AH1049" t="str">
        <f>IF(AG1049="","",COUNTIF(sj_akey,"&lt;"&amp;AG1049)+COUNTIF($AG$6:AG1049,AG1049))</f>
        <v/>
      </c>
    </row>
    <row r="1050">
      <c r="A1050" s="51" t="n"/>
      <c r="B1050" s="52" t="n"/>
      <c r="C1050" s="52" t="n"/>
      <c r="D1050" s="53" t="n"/>
      <c r="E1050" s="53" t="n"/>
      <c r="F1050" s="54" t="n"/>
      <c r="G1050" s="54" t="n"/>
      <c r="H1050" s="54" t="n"/>
      <c r="I1050" s="54" t="n"/>
      <c r="J1050" s="53" t="n"/>
      <c r="K1050" s="55" t="str">
        <f>IF(COUNTA(A1050:I1050)=0,"",IF(F1050="",IFERROR(INDEX(eq_dur,MATCH(B1050,eq_code,0)),""),F1050))</f>
        <v/>
      </c>
      <c r="L1050" s="55" t="str">
        <f>IF(ISNUMBER(K1050),N(IFERROR(INDEX(eq_pause,MATCH(B1050,eq_code,0)),0))+SUMIFS(st_min,st_date,A1050,st_eq,B1050,st_po,C1050,st_type,"Planifié"),"")</f>
        <v/>
      </c>
      <c r="M1050" s="55" t="str">
        <f>IF(ISNUMBER(K1050),K1050-L1050,"")</f>
        <v/>
      </c>
      <c r="N1050" s="55" t="str">
        <f>IF(ISNUMBER(K1050),SUMIFS(st_min,st_date,A1050,st_eq,B1050,st_po,C1050,st_type,"Non planifié"),"")</f>
        <v/>
      </c>
      <c r="O1050" s="55" t="str">
        <f>IF(ISNUMBER(K1050),M1050-N1050,"")</f>
        <v/>
      </c>
      <c r="P1050" s="55" t="str">
        <f>IF(COUNTA(A1050:I1050)=0,"",N(G1050)+N(H1050)+N(I1050))</f>
        <v/>
      </c>
      <c r="Q1050" s="56" t="str">
        <f>IF(COUNTA(A1050:I1050)=0,"",IF(N(IFERROR(INDEX(art_rate,MATCH(E1050,art_ref,0)),0))&gt;0,N(IFERROR(INDEX(art_rate,MATCH(E1050,art_ref,0)),0)),N(IFERROR(INDEX(po_rate,MATCH(C1050,po_code,0)),0))))</f>
        <v/>
      </c>
      <c r="R1050" s="55" t="str">
        <f>IF(AC1050=1,P1050*60/Q1050,"")</f>
        <v/>
      </c>
      <c r="S1050" s="55" t="str">
        <f>IF(AC1050=1,N(G1050)*60/Q1050,"")</f>
        <v/>
      </c>
      <c r="T1050" s="57" t="str">
        <f>IF(AC1050=1,O1050/M1050,"")</f>
        <v/>
      </c>
      <c r="U1050" s="57" t="str">
        <f>IF(AC1050=1,IF(O1050&gt;0,R1050/O1050,""),"")</f>
        <v/>
      </c>
      <c r="V1050" s="57" t="str">
        <f>IF(AC1050=1,IF(P1050&gt;0,N(G1050)/P1050,""),"")</f>
        <v/>
      </c>
      <c r="W1050" s="57" t="str">
        <f>IF(AC1050=1,S1050/M1050,"")</f>
        <v/>
      </c>
      <c r="X1050" s="57" t="str">
        <f>IF(AC1050=1,S1050/K1050,"")</f>
        <v/>
      </c>
      <c r="Y1050" s="58" t="str">
        <f>IF(W1050="","",IF(W1050&gt;=p_target,"Bon",IF(W1050&gt;=p_alert,"À surveiller","Faible")))</f>
        <v/>
      </c>
      <c r="Z1050" s="58" t="str">
        <f>IF(W1050="","",IF(MIN(IF(T1050="",1,T1050),IF(U1050="",1,U1050),IF(V1050="",1,V1050))&gt;=1,"Aucune",IF(IF(T1050="",1,T1050)&lt;=MIN(IF(U1050="",1,U1050),IF(V1050="",1,V1050)),"Disponibilité",IF(IF(U1050="",1,U1050)&lt;=IF(V1050="",1,V1050),"Performance","Qualité"))))</f>
        <v/>
      </c>
      <c r="AA1050" s="59" t="str">
        <f>IF(AC1050=1,N(H1050)*N(IFERROR(INDEX(art_cost,MATCH(E1050,art_ref,0)),0)),"")</f>
        <v/>
      </c>
      <c r="AB1050" s="58" t="str">
        <f>IF(COUNTA(A1050:I1050)=0,"",IF(N(A1050)&lt;=0,"Date manquante ou invalide",IF(B1050="","Équipe manquante",IF(ISNA(MATCH(B1050,eq_code,0)),"Équipe inconnue",IF(INDEX(eq_check,MATCH(B1050,eq_code,0))&lt;&gt;"OK","Équipe à corriger dans Paramètres",IF(C1050="","Poste manquant",IF(ISNA(MATCH(C1050,po_code,0)),"Poste inconnu",IF(AND(E1050&lt;&gt;"",ISNA(MATCH(E1050,art_ref,0))),"Article inconnu",IF(IF(E1050="",FALSE,INDEX(art_check,MATCH(E1050,art_ref,0))&lt;&gt;"OK"),"Article à corriger (feuille Articles)",IF(COUNTIFS(sj_date,A1050,sj_eq,B1050,sj_po,C1050)&gt;1,"Ligne en double (même jour, équipe et poste)",IF(OR(NOT(ISNUMBER(K1050)),N(K1050)&lt;=0,N(K1050)&gt;1440),"Temps d'ouverture invalide",IF(OR(AND(G1050&lt;&gt;"",NOT(ISNUMBER(G1050))),N(G1050)&lt;0,N(G1050)&lt;&gt;INT(N(G1050)),AND(H1050&lt;&gt;"",NOT(ISNUMBER(H1050))),N(H1050)&lt;0,N(H1050)&lt;&gt;INT(N(H1050)),AND(I1050&lt;&gt;"",NOT(ISNUMBER(I1050))),N(I1050)&lt;0,N(I1050)&lt;&gt;INT(N(I1050))),"Quantité invalide",IF(Q1050&lt;=0,"Cadence manquante (poste ou article)",IF(M1050&lt;=0,"Arrêts planifiés supérieurs au temps d'ouverture",IF(O1050&lt;0,"Arrêts supérieurs au temps requis",IF(AND(P1050&gt;0,O1050=0),"Pièces déclarées sans temps de marche",IF(AND(P1050=0,O1050&gt;0),"Aucune pièce déclarée",IF(P1050*60/Q1050&gt;O1050+0.001,"Cadence dépassée : vérifiez la cadence","OK"))))))))))))))))))</f>
        <v/>
      </c>
      <c r="AC1050">
        <f>IF(OR(AB1050="OK",AB1050="Aucune pièce déclarée",AB1050="Cadence dépassée : vérifiez la cadence"),1,0)</f>
        <v>0.0</v>
      </c>
      <c r="AD1050">
        <f>IF(AND(AC1050=1,A1050&gt;=p_from,A1050&lt;=p_to),1,0)</f>
        <v>0.0</v>
      </c>
      <c r="AE1050">
        <f>IF(AD1050=1,IF(COUNTIFS($A$6:A1050,A1050,$AD$6:AD1050,1)=1,1,0),0)</f>
        <v>0.0</v>
      </c>
      <c r="AF1050" t="str">
        <f>IF(AE1050=1,COUNTIFS(sj_first,1,sj_date,"&lt;"&amp;A1050)+1,"")</f>
        <v/>
      </c>
      <c r="AG1050" t="str">
        <f>IF(AND(AD1050=1,N(W1050)&lt;p_alert),ROUND(W1050,4),"")</f>
        <v/>
      </c>
      <c r="AH1050" t="str">
        <f>IF(AG1050="","",COUNTIF(sj_akey,"&lt;"&amp;AG1050)+COUNTIF($AG$6:AG1050,AG1050))</f>
        <v/>
      </c>
    </row>
    <row r="1051">
      <c r="A1051" s="51" t="n"/>
      <c r="B1051" s="52" t="n"/>
      <c r="C1051" s="52" t="n"/>
      <c r="D1051" s="53" t="n"/>
      <c r="E1051" s="53" t="n"/>
      <c r="F1051" s="54" t="n"/>
      <c r="G1051" s="54" t="n"/>
      <c r="H1051" s="54" t="n"/>
      <c r="I1051" s="54" t="n"/>
      <c r="J1051" s="53" t="n"/>
      <c r="K1051" s="55" t="str">
        <f>IF(COUNTA(A1051:I1051)=0,"",IF(F1051="",IFERROR(INDEX(eq_dur,MATCH(B1051,eq_code,0)),""),F1051))</f>
        <v/>
      </c>
      <c r="L1051" s="55" t="str">
        <f>IF(ISNUMBER(K1051),N(IFERROR(INDEX(eq_pause,MATCH(B1051,eq_code,0)),0))+SUMIFS(st_min,st_date,A1051,st_eq,B1051,st_po,C1051,st_type,"Planifié"),"")</f>
        <v/>
      </c>
      <c r="M1051" s="55" t="str">
        <f>IF(ISNUMBER(K1051),K1051-L1051,"")</f>
        <v/>
      </c>
      <c r="N1051" s="55" t="str">
        <f>IF(ISNUMBER(K1051),SUMIFS(st_min,st_date,A1051,st_eq,B1051,st_po,C1051,st_type,"Non planifié"),"")</f>
        <v/>
      </c>
      <c r="O1051" s="55" t="str">
        <f>IF(ISNUMBER(K1051),M1051-N1051,"")</f>
        <v/>
      </c>
      <c r="P1051" s="55" t="str">
        <f>IF(COUNTA(A1051:I1051)=0,"",N(G1051)+N(H1051)+N(I1051))</f>
        <v/>
      </c>
      <c r="Q1051" s="56" t="str">
        <f>IF(COUNTA(A1051:I1051)=0,"",IF(N(IFERROR(INDEX(art_rate,MATCH(E1051,art_ref,0)),0))&gt;0,N(IFERROR(INDEX(art_rate,MATCH(E1051,art_ref,0)),0)),N(IFERROR(INDEX(po_rate,MATCH(C1051,po_code,0)),0))))</f>
        <v/>
      </c>
      <c r="R1051" s="55" t="str">
        <f>IF(AC1051=1,P1051*60/Q1051,"")</f>
        <v/>
      </c>
      <c r="S1051" s="55" t="str">
        <f>IF(AC1051=1,N(G1051)*60/Q1051,"")</f>
        <v/>
      </c>
      <c r="T1051" s="57" t="str">
        <f>IF(AC1051=1,O1051/M1051,"")</f>
        <v/>
      </c>
      <c r="U1051" s="57" t="str">
        <f>IF(AC1051=1,IF(O1051&gt;0,R1051/O1051,""),"")</f>
        <v/>
      </c>
      <c r="V1051" s="57" t="str">
        <f>IF(AC1051=1,IF(P1051&gt;0,N(G1051)/P1051,""),"")</f>
        <v/>
      </c>
      <c r="W1051" s="57" t="str">
        <f>IF(AC1051=1,S1051/M1051,"")</f>
        <v/>
      </c>
      <c r="X1051" s="57" t="str">
        <f>IF(AC1051=1,S1051/K1051,"")</f>
        <v/>
      </c>
      <c r="Y1051" s="58" t="str">
        <f>IF(W1051="","",IF(W1051&gt;=p_target,"Bon",IF(W1051&gt;=p_alert,"À surveiller","Faible")))</f>
        <v/>
      </c>
      <c r="Z1051" s="58" t="str">
        <f>IF(W1051="","",IF(MIN(IF(T1051="",1,T1051),IF(U1051="",1,U1051),IF(V1051="",1,V1051))&gt;=1,"Aucune",IF(IF(T1051="",1,T1051)&lt;=MIN(IF(U1051="",1,U1051),IF(V1051="",1,V1051)),"Disponibilité",IF(IF(U1051="",1,U1051)&lt;=IF(V1051="",1,V1051),"Performance","Qualité"))))</f>
        <v/>
      </c>
      <c r="AA1051" s="59" t="str">
        <f>IF(AC1051=1,N(H1051)*N(IFERROR(INDEX(art_cost,MATCH(E1051,art_ref,0)),0)),"")</f>
        <v/>
      </c>
      <c r="AB1051" s="58" t="str">
        <f>IF(COUNTA(A1051:I1051)=0,"",IF(N(A1051)&lt;=0,"Date manquante ou invalide",IF(B1051="","Équipe manquante",IF(ISNA(MATCH(B1051,eq_code,0)),"Équipe inconnue",IF(INDEX(eq_check,MATCH(B1051,eq_code,0))&lt;&gt;"OK","Équipe à corriger dans Paramètres",IF(C1051="","Poste manquant",IF(ISNA(MATCH(C1051,po_code,0)),"Poste inconnu",IF(AND(E1051&lt;&gt;"",ISNA(MATCH(E1051,art_ref,0))),"Article inconnu",IF(IF(E1051="",FALSE,INDEX(art_check,MATCH(E1051,art_ref,0))&lt;&gt;"OK"),"Article à corriger (feuille Articles)",IF(COUNTIFS(sj_date,A1051,sj_eq,B1051,sj_po,C1051)&gt;1,"Ligne en double (même jour, équipe et poste)",IF(OR(NOT(ISNUMBER(K1051)),N(K1051)&lt;=0,N(K1051)&gt;1440),"Temps d'ouverture invalide",IF(OR(AND(G1051&lt;&gt;"",NOT(ISNUMBER(G1051))),N(G1051)&lt;0,N(G1051)&lt;&gt;INT(N(G1051)),AND(H1051&lt;&gt;"",NOT(ISNUMBER(H1051))),N(H1051)&lt;0,N(H1051)&lt;&gt;INT(N(H1051)),AND(I1051&lt;&gt;"",NOT(ISNUMBER(I1051))),N(I1051)&lt;0,N(I1051)&lt;&gt;INT(N(I1051))),"Quantité invalide",IF(Q1051&lt;=0,"Cadence manquante (poste ou article)",IF(M1051&lt;=0,"Arrêts planifiés supérieurs au temps d'ouverture",IF(O1051&lt;0,"Arrêts supérieurs au temps requis",IF(AND(P1051&gt;0,O1051=0),"Pièces déclarées sans temps de marche",IF(AND(P1051=0,O1051&gt;0),"Aucune pièce déclarée",IF(P1051*60/Q1051&gt;O1051+0.001,"Cadence dépassée : vérifiez la cadence","OK"))))))))))))))))))</f>
        <v/>
      </c>
      <c r="AC1051">
        <f>IF(OR(AB1051="OK",AB1051="Aucune pièce déclarée",AB1051="Cadence dépassée : vérifiez la cadence"),1,0)</f>
        <v>0.0</v>
      </c>
      <c r="AD1051">
        <f>IF(AND(AC1051=1,A1051&gt;=p_from,A1051&lt;=p_to),1,0)</f>
        <v>0.0</v>
      </c>
      <c r="AE1051">
        <f>IF(AD1051=1,IF(COUNTIFS($A$6:A1051,A1051,$AD$6:AD1051,1)=1,1,0),0)</f>
        <v>0.0</v>
      </c>
      <c r="AF1051" t="str">
        <f>IF(AE1051=1,COUNTIFS(sj_first,1,sj_date,"&lt;"&amp;A1051)+1,"")</f>
        <v/>
      </c>
      <c r="AG1051" t="str">
        <f>IF(AND(AD1051=1,N(W1051)&lt;p_alert),ROUND(W1051,4),"")</f>
        <v/>
      </c>
      <c r="AH1051" t="str">
        <f>IF(AG1051="","",COUNTIF(sj_akey,"&lt;"&amp;AG1051)+COUNTIF($AG$6:AG1051,AG1051))</f>
        <v/>
      </c>
    </row>
    <row r="1052">
      <c r="A1052" s="51" t="n"/>
      <c r="B1052" s="52" t="n"/>
      <c r="C1052" s="52" t="n"/>
      <c r="D1052" s="53" t="n"/>
      <c r="E1052" s="53" t="n"/>
      <c r="F1052" s="54" t="n"/>
      <c r="G1052" s="54" t="n"/>
      <c r="H1052" s="54" t="n"/>
      <c r="I1052" s="54" t="n"/>
      <c r="J1052" s="53" t="n"/>
      <c r="K1052" s="55" t="str">
        <f>IF(COUNTA(A1052:I1052)=0,"",IF(F1052="",IFERROR(INDEX(eq_dur,MATCH(B1052,eq_code,0)),""),F1052))</f>
        <v/>
      </c>
      <c r="L1052" s="55" t="str">
        <f>IF(ISNUMBER(K1052),N(IFERROR(INDEX(eq_pause,MATCH(B1052,eq_code,0)),0))+SUMIFS(st_min,st_date,A1052,st_eq,B1052,st_po,C1052,st_type,"Planifié"),"")</f>
        <v/>
      </c>
      <c r="M1052" s="55" t="str">
        <f>IF(ISNUMBER(K1052),K1052-L1052,"")</f>
        <v/>
      </c>
      <c r="N1052" s="55" t="str">
        <f>IF(ISNUMBER(K1052),SUMIFS(st_min,st_date,A1052,st_eq,B1052,st_po,C1052,st_type,"Non planifié"),"")</f>
        <v/>
      </c>
      <c r="O1052" s="55" t="str">
        <f>IF(ISNUMBER(K1052),M1052-N1052,"")</f>
        <v/>
      </c>
      <c r="P1052" s="55" t="str">
        <f>IF(COUNTA(A1052:I1052)=0,"",N(G1052)+N(H1052)+N(I1052))</f>
        <v/>
      </c>
      <c r="Q1052" s="56" t="str">
        <f>IF(COUNTA(A1052:I1052)=0,"",IF(N(IFERROR(INDEX(art_rate,MATCH(E1052,art_ref,0)),0))&gt;0,N(IFERROR(INDEX(art_rate,MATCH(E1052,art_ref,0)),0)),N(IFERROR(INDEX(po_rate,MATCH(C1052,po_code,0)),0))))</f>
        <v/>
      </c>
      <c r="R1052" s="55" t="str">
        <f>IF(AC1052=1,P1052*60/Q1052,"")</f>
        <v/>
      </c>
      <c r="S1052" s="55" t="str">
        <f>IF(AC1052=1,N(G1052)*60/Q1052,"")</f>
        <v/>
      </c>
      <c r="T1052" s="57" t="str">
        <f>IF(AC1052=1,O1052/M1052,"")</f>
        <v/>
      </c>
      <c r="U1052" s="57" t="str">
        <f>IF(AC1052=1,IF(O1052&gt;0,R1052/O1052,""),"")</f>
        <v/>
      </c>
      <c r="V1052" s="57" t="str">
        <f>IF(AC1052=1,IF(P1052&gt;0,N(G1052)/P1052,""),"")</f>
        <v/>
      </c>
      <c r="W1052" s="57" t="str">
        <f>IF(AC1052=1,S1052/M1052,"")</f>
        <v/>
      </c>
      <c r="X1052" s="57" t="str">
        <f>IF(AC1052=1,S1052/K1052,"")</f>
        <v/>
      </c>
      <c r="Y1052" s="58" t="str">
        <f>IF(W1052="","",IF(W1052&gt;=p_target,"Bon",IF(W1052&gt;=p_alert,"À surveiller","Faible")))</f>
        <v/>
      </c>
      <c r="Z1052" s="58" t="str">
        <f>IF(W1052="","",IF(MIN(IF(T1052="",1,T1052),IF(U1052="",1,U1052),IF(V1052="",1,V1052))&gt;=1,"Aucune",IF(IF(T1052="",1,T1052)&lt;=MIN(IF(U1052="",1,U1052),IF(V1052="",1,V1052)),"Disponibilité",IF(IF(U1052="",1,U1052)&lt;=IF(V1052="",1,V1052),"Performance","Qualité"))))</f>
        <v/>
      </c>
      <c r="AA1052" s="59" t="str">
        <f>IF(AC1052=1,N(H1052)*N(IFERROR(INDEX(art_cost,MATCH(E1052,art_ref,0)),0)),"")</f>
        <v/>
      </c>
      <c r="AB1052" s="58" t="str">
        <f>IF(COUNTA(A1052:I1052)=0,"",IF(N(A1052)&lt;=0,"Date manquante ou invalide",IF(B1052="","Équipe manquante",IF(ISNA(MATCH(B1052,eq_code,0)),"Équipe inconnue",IF(INDEX(eq_check,MATCH(B1052,eq_code,0))&lt;&gt;"OK","Équipe à corriger dans Paramètres",IF(C1052="","Poste manquant",IF(ISNA(MATCH(C1052,po_code,0)),"Poste inconnu",IF(AND(E1052&lt;&gt;"",ISNA(MATCH(E1052,art_ref,0))),"Article inconnu",IF(IF(E1052="",FALSE,INDEX(art_check,MATCH(E1052,art_ref,0))&lt;&gt;"OK"),"Article à corriger (feuille Articles)",IF(COUNTIFS(sj_date,A1052,sj_eq,B1052,sj_po,C1052)&gt;1,"Ligne en double (même jour, équipe et poste)",IF(OR(NOT(ISNUMBER(K1052)),N(K1052)&lt;=0,N(K1052)&gt;1440),"Temps d'ouverture invalide",IF(OR(AND(G1052&lt;&gt;"",NOT(ISNUMBER(G1052))),N(G1052)&lt;0,N(G1052)&lt;&gt;INT(N(G1052)),AND(H1052&lt;&gt;"",NOT(ISNUMBER(H1052))),N(H1052)&lt;0,N(H1052)&lt;&gt;INT(N(H1052)),AND(I1052&lt;&gt;"",NOT(ISNUMBER(I1052))),N(I1052)&lt;0,N(I1052)&lt;&gt;INT(N(I1052))),"Quantité invalide",IF(Q1052&lt;=0,"Cadence manquante (poste ou article)",IF(M1052&lt;=0,"Arrêts planifiés supérieurs au temps d'ouverture",IF(O1052&lt;0,"Arrêts supérieurs au temps requis",IF(AND(P1052&gt;0,O1052=0),"Pièces déclarées sans temps de marche",IF(AND(P1052=0,O1052&gt;0),"Aucune pièce déclarée",IF(P1052*60/Q1052&gt;O1052+0.001,"Cadence dépassée : vérifiez la cadence","OK"))))))))))))))))))</f>
        <v/>
      </c>
      <c r="AC1052">
        <f>IF(OR(AB1052="OK",AB1052="Aucune pièce déclarée",AB1052="Cadence dépassée : vérifiez la cadence"),1,0)</f>
        <v>0.0</v>
      </c>
      <c r="AD1052">
        <f>IF(AND(AC1052=1,A1052&gt;=p_from,A1052&lt;=p_to),1,0)</f>
        <v>0.0</v>
      </c>
      <c r="AE1052">
        <f>IF(AD1052=1,IF(COUNTIFS($A$6:A1052,A1052,$AD$6:AD1052,1)=1,1,0),0)</f>
        <v>0.0</v>
      </c>
      <c r="AF1052" t="str">
        <f>IF(AE1052=1,COUNTIFS(sj_first,1,sj_date,"&lt;"&amp;A1052)+1,"")</f>
        <v/>
      </c>
      <c r="AG1052" t="str">
        <f>IF(AND(AD1052=1,N(W1052)&lt;p_alert),ROUND(W1052,4),"")</f>
        <v/>
      </c>
      <c r="AH1052" t="str">
        <f>IF(AG1052="","",COUNTIF(sj_akey,"&lt;"&amp;AG1052)+COUNTIF($AG$6:AG1052,AG1052))</f>
        <v/>
      </c>
    </row>
    <row r="1053">
      <c r="A1053" s="51" t="n"/>
      <c r="B1053" s="52" t="n"/>
      <c r="C1053" s="52" t="n"/>
      <c r="D1053" s="53" t="n"/>
      <c r="E1053" s="53" t="n"/>
      <c r="F1053" s="54" t="n"/>
      <c r="G1053" s="54" t="n"/>
      <c r="H1053" s="54" t="n"/>
      <c r="I1053" s="54" t="n"/>
      <c r="J1053" s="53" t="n"/>
      <c r="K1053" s="55" t="str">
        <f>IF(COUNTA(A1053:I1053)=0,"",IF(F1053="",IFERROR(INDEX(eq_dur,MATCH(B1053,eq_code,0)),""),F1053))</f>
        <v/>
      </c>
      <c r="L1053" s="55" t="str">
        <f>IF(ISNUMBER(K1053),N(IFERROR(INDEX(eq_pause,MATCH(B1053,eq_code,0)),0))+SUMIFS(st_min,st_date,A1053,st_eq,B1053,st_po,C1053,st_type,"Planifié"),"")</f>
        <v/>
      </c>
      <c r="M1053" s="55" t="str">
        <f>IF(ISNUMBER(K1053),K1053-L1053,"")</f>
        <v/>
      </c>
      <c r="N1053" s="55" t="str">
        <f>IF(ISNUMBER(K1053),SUMIFS(st_min,st_date,A1053,st_eq,B1053,st_po,C1053,st_type,"Non planifié"),"")</f>
        <v/>
      </c>
      <c r="O1053" s="55" t="str">
        <f>IF(ISNUMBER(K1053),M1053-N1053,"")</f>
        <v/>
      </c>
      <c r="P1053" s="55" t="str">
        <f>IF(COUNTA(A1053:I1053)=0,"",N(G1053)+N(H1053)+N(I1053))</f>
        <v/>
      </c>
      <c r="Q1053" s="56" t="str">
        <f>IF(COUNTA(A1053:I1053)=0,"",IF(N(IFERROR(INDEX(art_rate,MATCH(E1053,art_ref,0)),0))&gt;0,N(IFERROR(INDEX(art_rate,MATCH(E1053,art_ref,0)),0)),N(IFERROR(INDEX(po_rate,MATCH(C1053,po_code,0)),0))))</f>
        <v/>
      </c>
      <c r="R1053" s="55" t="str">
        <f>IF(AC1053=1,P1053*60/Q1053,"")</f>
        <v/>
      </c>
      <c r="S1053" s="55" t="str">
        <f>IF(AC1053=1,N(G1053)*60/Q1053,"")</f>
        <v/>
      </c>
      <c r="T1053" s="57" t="str">
        <f>IF(AC1053=1,O1053/M1053,"")</f>
        <v/>
      </c>
      <c r="U1053" s="57" t="str">
        <f>IF(AC1053=1,IF(O1053&gt;0,R1053/O1053,""),"")</f>
        <v/>
      </c>
      <c r="V1053" s="57" t="str">
        <f>IF(AC1053=1,IF(P1053&gt;0,N(G1053)/P1053,""),"")</f>
        <v/>
      </c>
      <c r="W1053" s="57" t="str">
        <f>IF(AC1053=1,S1053/M1053,"")</f>
        <v/>
      </c>
      <c r="X1053" s="57" t="str">
        <f>IF(AC1053=1,S1053/K1053,"")</f>
        <v/>
      </c>
      <c r="Y1053" s="58" t="str">
        <f>IF(W1053="","",IF(W1053&gt;=p_target,"Bon",IF(W1053&gt;=p_alert,"À surveiller","Faible")))</f>
        <v/>
      </c>
      <c r="Z1053" s="58" t="str">
        <f>IF(W1053="","",IF(MIN(IF(T1053="",1,T1053),IF(U1053="",1,U1053),IF(V1053="",1,V1053))&gt;=1,"Aucune",IF(IF(T1053="",1,T1053)&lt;=MIN(IF(U1053="",1,U1053),IF(V1053="",1,V1053)),"Disponibilité",IF(IF(U1053="",1,U1053)&lt;=IF(V1053="",1,V1053),"Performance","Qualité"))))</f>
        <v/>
      </c>
      <c r="AA1053" s="59" t="str">
        <f>IF(AC1053=1,N(H1053)*N(IFERROR(INDEX(art_cost,MATCH(E1053,art_ref,0)),0)),"")</f>
        <v/>
      </c>
      <c r="AB1053" s="58" t="str">
        <f>IF(COUNTA(A1053:I1053)=0,"",IF(N(A1053)&lt;=0,"Date manquante ou invalide",IF(B1053="","Équipe manquante",IF(ISNA(MATCH(B1053,eq_code,0)),"Équipe inconnue",IF(INDEX(eq_check,MATCH(B1053,eq_code,0))&lt;&gt;"OK","Équipe à corriger dans Paramètres",IF(C1053="","Poste manquant",IF(ISNA(MATCH(C1053,po_code,0)),"Poste inconnu",IF(AND(E1053&lt;&gt;"",ISNA(MATCH(E1053,art_ref,0))),"Article inconnu",IF(IF(E1053="",FALSE,INDEX(art_check,MATCH(E1053,art_ref,0))&lt;&gt;"OK"),"Article à corriger (feuille Articles)",IF(COUNTIFS(sj_date,A1053,sj_eq,B1053,sj_po,C1053)&gt;1,"Ligne en double (même jour, équipe et poste)",IF(OR(NOT(ISNUMBER(K1053)),N(K1053)&lt;=0,N(K1053)&gt;1440),"Temps d'ouverture invalide",IF(OR(AND(G1053&lt;&gt;"",NOT(ISNUMBER(G1053))),N(G1053)&lt;0,N(G1053)&lt;&gt;INT(N(G1053)),AND(H1053&lt;&gt;"",NOT(ISNUMBER(H1053))),N(H1053)&lt;0,N(H1053)&lt;&gt;INT(N(H1053)),AND(I1053&lt;&gt;"",NOT(ISNUMBER(I1053))),N(I1053)&lt;0,N(I1053)&lt;&gt;INT(N(I1053))),"Quantité invalide",IF(Q1053&lt;=0,"Cadence manquante (poste ou article)",IF(M1053&lt;=0,"Arrêts planifiés supérieurs au temps d'ouverture",IF(O1053&lt;0,"Arrêts supérieurs au temps requis",IF(AND(P1053&gt;0,O1053=0),"Pièces déclarées sans temps de marche",IF(AND(P1053=0,O1053&gt;0),"Aucune pièce déclarée",IF(P1053*60/Q1053&gt;O1053+0.001,"Cadence dépassée : vérifiez la cadence","OK"))))))))))))))))))</f>
        <v/>
      </c>
      <c r="AC1053">
        <f>IF(OR(AB1053="OK",AB1053="Aucune pièce déclarée",AB1053="Cadence dépassée : vérifiez la cadence"),1,0)</f>
        <v>0.0</v>
      </c>
      <c r="AD1053">
        <f>IF(AND(AC1053=1,A1053&gt;=p_from,A1053&lt;=p_to),1,0)</f>
        <v>0.0</v>
      </c>
      <c r="AE1053">
        <f>IF(AD1053=1,IF(COUNTIFS($A$6:A1053,A1053,$AD$6:AD1053,1)=1,1,0),0)</f>
        <v>0.0</v>
      </c>
      <c r="AF1053" t="str">
        <f>IF(AE1053=1,COUNTIFS(sj_first,1,sj_date,"&lt;"&amp;A1053)+1,"")</f>
        <v/>
      </c>
      <c r="AG1053" t="str">
        <f>IF(AND(AD1053=1,N(W1053)&lt;p_alert),ROUND(W1053,4),"")</f>
        <v/>
      </c>
      <c r="AH1053" t="str">
        <f>IF(AG1053="","",COUNTIF(sj_akey,"&lt;"&amp;AG1053)+COUNTIF($AG$6:AG1053,AG1053))</f>
        <v/>
      </c>
    </row>
    <row r="1054">
      <c r="A1054" s="51" t="n"/>
      <c r="B1054" s="52" t="n"/>
      <c r="C1054" s="52" t="n"/>
      <c r="D1054" s="53" t="n"/>
      <c r="E1054" s="53" t="n"/>
      <c r="F1054" s="54" t="n"/>
      <c r="G1054" s="54" t="n"/>
      <c r="H1054" s="54" t="n"/>
      <c r="I1054" s="54" t="n"/>
      <c r="J1054" s="53" t="n"/>
      <c r="K1054" s="55" t="str">
        <f>IF(COUNTA(A1054:I1054)=0,"",IF(F1054="",IFERROR(INDEX(eq_dur,MATCH(B1054,eq_code,0)),""),F1054))</f>
        <v/>
      </c>
      <c r="L1054" s="55" t="str">
        <f>IF(ISNUMBER(K1054),N(IFERROR(INDEX(eq_pause,MATCH(B1054,eq_code,0)),0))+SUMIFS(st_min,st_date,A1054,st_eq,B1054,st_po,C1054,st_type,"Planifié"),"")</f>
        <v/>
      </c>
      <c r="M1054" s="55" t="str">
        <f>IF(ISNUMBER(K1054),K1054-L1054,"")</f>
        <v/>
      </c>
      <c r="N1054" s="55" t="str">
        <f>IF(ISNUMBER(K1054),SUMIFS(st_min,st_date,A1054,st_eq,B1054,st_po,C1054,st_type,"Non planifié"),"")</f>
        <v/>
      </c>
      <c r="O1054" s="55" t="str">
        <f>IF(ISNUMBER(K1054),M1054-N1054,"")</f>
        <v/>
      </c>
      <c r="P1054" s="55" t="str">
        <f>IF(COUNTA(A1054:I1054)=0,"",N(G1054)+N(H1054)+N(I1054))</f>
        <v/>
      </c>
      <c r="Q1054" s="56" t="str">
        <f>IF(COUNTA(A1054:I1054)=0,"",IF(N(IFERROR(INDEX(art_rate,MATCH(E1054,art_ref,0)),0))&gt;0,N(IFERROR(INDEX(art_rate,MATCH(E1054,art_ref,0)),0)),N(IFERROR(INDEX(po_rate,MATCH(C1054,po_code,0)),0))))</f>
        <v/>
      </c>
      <c r="R1054" s="55" t="str">
        <f>IF(AC1054=1,P1054*60/Q1054,"")</f>
        <v/>
      </c>
      <c r="S1054" s="55" t="str">
        <f>IF(AC1054=1,N(G1054)*60/Q1054,"")</f>
        <v/>
      </c>
      <c r="T1054" s="57" t="str">
        <f>IF(AC1054=1,O1054/M1054,"")</f>
        <v/>
      </c>
      <c r="U1054" s="57" t="str">
        <f>IF(AC1054=1,IF(O1054&gt;0,R1054/O1054,""),"")</f>
        <v/>
      </c>
      <c r="V1054" s="57" t="str">
        <f>IF(AC1054=1,IF(P1054&gt;0,N(G1054)/P1054,""),"")</f>
        <v/>
      </c>
      <c r="W1054" s="57" t="str">
        <f>IF(AC1054=1,S1054/M1054,"")</f>
        <v/>
      </c>
      <c r="X1054" s="57" t="str">
        <f>IF(AC1054=1,S1054/K1054,"")</f>
        <v/>
      </c>
      <c r="Y1054" s="58" t="str">
        <f>IF(W1054="","",IF(W1054&gt;=p_target,"Bon",IF(W1054&gt;=p_alert,"À surveiller","Faible")))</f>
        <v/>
      </c>
      <c r="Z1054" s="58" t="str">
        <f>IF(W1054="","",IF(MIN(IF(T1054="",1,T1054),IF(U1054="",1,U1054),IF(V1054="",1,V1054))&gt;=1,"Aucune",IF(IF(T1054="",1,T1054)&lt;=MIN(IF(U1054="",1,U1054),IF(V1054="",1,V1054)),"Disponibilité",IF(IF(U1054="",1,U1054)&lt;=IF(V1054="",1,V1054),"Performance","Qualité"))))</f>
        <v/>
      </c>
      <c r="AA1054" s="59" t="str">
        <f>IF(AC1054=1,N(H1054)*N(IFERROR(INDEX(art_cost,MATCH(E1054,art_ref,0)),0)),"")</f>
        <v/>
      </c>
      <c r="AB1054" s="58" t="str">
        <f>IF(COUNTA(A1054:I1054)=0,"",IF(N(A1054)&lt;=0,"Date manquante ou invalide",IF(B1054="","Équipe manquante",IF(ISNA(MATCH(B1054,eq_code,0)),"Équipe inconnue",IF(INDEX(eq_check,MATCH(B1054,eq_code,0))&lt;&gt;"OK","Équipe à corriger dans Paramètres",IF(C1054="","Poste manquant",IF(ISNA(MATCH(C1054,po_code,0)),"Poste inconnu",IF(AND(E1054&lt;&gt;"",ISNA(MATCH(E1054,art_ref,0))),"Article inconnu",IF(IF(E1054="",FALSE,INDEX(art_check,MATCH(E1054,art_ref,0))&lt;&gt;"OK"),"Article à corriger (feuille Articles)",IF(COUNTIFS(sj_date,A1054,sj_eq,B1054,sj_po,C1054)&gt;1,"Ligne en double (même jour, équipe et poste)",IF(OR(NOT(ISNUMBER(K1054)),N(K1054)&lt;=0,N(K1054)&gt;1440),"Temps d'ouverture invalide",IF(OR(AND(G1054&lt;&gt;"",NOT(ISNUMBER(G1054))),N(G1054)&lt;0,N(G1054)&lt;&gt;INT(N(G1054)),AND(H1054&lt;&gt;"",NOT(ISNUMBER(H1054))),N(H1054)&lt;0,N(H1054)&lt;&gt;INT(N(H1054)),AND(I1054&lt;&gt;"",NOT(ISNUMBER(I1054))),N(I1054)&lt;0,N(I1054)&lt;&gt;INT(N(I1054))),"Quantité invalide",IF(Q1054&lt;=0,"Cadence manquante (poste ou article)",IF(M1054&lt;=0,"Arrêts planifiés supérieurs au temps d'ouverture",IF(O1054&lt;0,"Arrêts supérieurs au temps requis",IF(AND(P1054&gt;0,O1054=0),"Pièces déclarées sans temps de marche",IF(AND(P1054=0,O1054&gt;0),"Aucune pièce déclarée",IF(P1054*60/Q1054&gt;O1054+0.001,"Cadence dépassée : vérifiez la cadence","OK"))))))))))))))))))</f>
        <v/>
      </c>
      <c r="AC1054">
        <f>IF(OR(AB1054="OK",AB1054="Aucune pièce déclarée",AB1054="Cadence dépassée : vérifiez la cadence"),1,0)</f>
        <v>0.0</v>
      </c>
      <c r="AD1054">
        <f>IF(AND(AC1054=1,A1054&gt;=p_from,A1054&lt;=p_to),1,0)</f>
        <v>0.0</v>
      </c>
      <c r="AE1054">
        <f>IF(AD1054=1,IF(COUNTIFS($A$6:A1054,A1054,$AD$6:AD1054,1)=1,1,0),0)</f>
        <v>0.0</v>
      </c>
      <c r="AF1054" t="str">
        <f>IF(AE1054=1,COUNTIFS(sj_first,1,sj_date,"&lt;"&amp;A1054)+1,"")</f>
        <v/>
      </c>
      <c r="AG1054" t="str">
        <f>IF(AND(AD1054=1,N(W1054)&lt;p_alert),ROUND(W1054,4),"")</f>
        <v/>
      </c>
      <c r="AH1054" t="str">
        <f>IF(AG1054="","",COUNTIF(sj_akey,"&lt;"&amp;AG1054)+COUNTIF($AG$6:AG1054,AG1054))</f>
        <v/>
      </c>
    </row>
    <row r="1055">
      <c r="A1055" s="51" t="n"/>
      <c r="B1055" s="52" t="n"/>
      <c r="C1055" s="52" t="n"/>
      <c r="D1055" s="53" t="n"/>
      <c r="E1055" s="53" t="n"/>
      <c r="F1055" s="54" t="n"/>
      <c r="G1055" s="54" t="n"/>
      <c r="H1055" s="54" t="n"/>
      <c r="I1055" s="54" t="n"/>
      <c r="J1055" s="53" t="n"/>
      <c r="K1055" s="55" t="str">
        <f>IF(COUNTA(A1055:I1055)=0,"",IF(F1055="",IFERROR(INDEX(eq_dur,MATCH(B1055,eq_code,0)),""),F1055))</f>
        <v/>
      </c>
      <c r="L1055" s="55" t="str">
        <f>IF(ISNUMBER(K1055),N(IFERROR(INDEX(eq_pause,MATCH(B1055,eq_code,0)),0))+SUMIFS(st_min,st_date,A1055,st_eq,B1055,st_po,C1055,st_type,"Planifié"),"")</f>
        <v/>
      </c>
      <c r="M1055" s="55" t="str">
        <f>IF(ISNUMBER(K1055),K1055-L1055,"")</f>
        <v/>
      </c>
      <c r="N1055" s="55" t="str">
        <f>IF(ISNUMBER(K1055),SUMIFS(st_min,st_date,A1055,st_eq,B1055,st_po,C1055,st_type,"Non planifié"),"")</f>
        <v/>
      </c>
      <c r="O1055" s="55" t="str">
        <f>IF(ISNUMBER(K1055),M1055-N1055,"")</f>
        <v/>
      </c>
      <c r="P1055" s="55" t="str">
        <f>IF(COUNTA(A1055:I1055)=0,"",N(G1055)+N(H1055)+N(I1055))</f>
        <v/>
      </c>
      <c r="Q1055" s="56" t="str">
        <f>IF(COUNTA(A1055:I1055)=0,"",IF(N(IFERROR(INDEX(art_rate,MATCH(E1055,art_ref,0)),0))&gt;0,N(IFERROR(INDEX(art_rate,MATCH(E1055,art_ref,0)),0)),N(IFERROR(INDEX(po_rate,MATCH(C1055,po_code,0)),0))))</f>
        <v/>
      </c>
      <c r="R1055" s="55" t="str">
        <f>IF(AC1055=1,P1055*60/Q1055,"")</f>
        <v/>
      </c>
      <c r="S1055" s="55" t="str">
        <f>IF(AC1055=1,N(G1055)*60/Q1055,"")</f>
        <v/>
      </c>
      <c r="T1055" s="57" t="str">
        <f>IF(AC1055=1,O1055/M1055,"")</f>
        <v/>
      </c>
      <c r="U1055" s="57" t="str">
        <f>IF(AC1055=1,IF(O1055&gt;0,R1055/O1055,""),"")</f>
        <v/>
      </c>
      <c r="V1055" s="57" t="str">
        <f>IF(AC1055=1,IF(P1055&gt;0,N(G1055)/P1055,""),"")</f>
        <v/>
      </c>
      <c r="W1055" s="57" t="str">
        <f>IF(AC1055=1,S1055/M1055,"")</f>
        <v/>
      </c>
      <c r="X1055" s="57" t="str">
        <f>IF(AC1055=1,S1055/K1055,"")</f>
        <v/>
      </c>
      <c r="Y1055" s="58" t="str">
        <f>IF(W1055="","",IF(W1055&gt;=p_target,"Bon",IF(W1055&gt;=p_alert,"À surveiller","Faible")))</f>
        <v/>
      </c>
      <c r="Z1055" s="58" t="str">
        <f>IF(W1055="","",IF(MIN(IF(T1055="",1,T1055),IF(U1055="",1,U1055),IF(V1055="",1,V1055))&gt;=1,"Aucune",IF(IF(T1055="",1,T1055)&lt;=MIN(IF(U1055="",1,U1055),IF(V1055="",1,V1055)),"Disponibilité",IF(IF(U1055="",1,U1055)&lt;=IF(V1055="",1,V1055),"Performance","Qualité"))))</f>
        <v/>
      </c>
      <c r="AA1055" s="59" t="str">
        <f>IF(AC1055=1,N(H1055)*N(IFERROR(INDEX(art_cost,MATCH(E1055,art_ref,0)),0)),"")</f>
        <v/>
      </c>
      <c r="AB1055" s="58" t="str">
        <f>IF(COUNTA(A1055:I1055)=0,"",IF(N(A1055)&lt;=0,"Date manquante ou invalide",IF(B1055="","Équipe manquante",IF(ISNA(MATCH(B1055,eq_code,0)),"Équipe inconnue",IF(INDEX(eq_check,MATCH(B1055,eq_code,0))&lt;&gt;"OK","Équipe à corriger dans Paramètres",IF(C1055="","Poste manquant",IF(ISNA(MATCH(C1055,po_code,0)),"Poste inconnu",IF(AND(E1055&lt;&gt;"",ISNA(MATCH(E1055,art_ref,0))),"Article inconnu",IF(IF(E1055="",FALSE,INDEX(art_check,MATCH(E1055,art_ref,0))&lt;&gt;"OK"),"Article à corriger (feuille Articles)",IF(COUNTIFS(sj_date,A1055,sj_eq,B1055,sj_po,C1055)&gt;1,"Ligne en double (même jour, équipe et poste)",IF(OR(NOT(ISNUMBER(K1055)),N(K1055)&lt;=0,N(K1055)&gt;1440),"Temps d'ouverture invalide",IF(OR(AND(G1055&lt;&gt;"",NOT(ISNUMBER(G1055))),N(G1055)&lt;0,N(G1055)&lt;&gt;INT(N(G1055)),AND(H1055&lt;&gt;"",NOT(ISNUMBER(H1055))),N(H1055)&lt;0,N(H1055)&lt;&gt;INT(N(H1055)),AND(I1055&lt;&gt;"",NOT(ISNUMBER(I1055))),N(I1055)&lt;0,N(I1055)&lt;&gt;INT(N(I1055))),"Quantité invalide",IF(Q1055&lt;=0,"Cadence manquante (poste ou article)",IF(M1055&lt;=0,"Arrêts planifiés supérieurs au temps d'ouverture",IF(O1055&lt;0,"Arrêts supérieurs au temps requis",IF(AND(P1055&gt;0,O1055=0),"Pièces déclarées sans temps de marche",IF(AND(P1055=0,O1055&gt;0),"Aucune pièce déclarée",IF(P1055*60/Q1055&gt;O1055+0.001,"Cadence dépassée : vérifiez la cadence","OK"))))))))))))))))))</f>
        <v/>
      </c>
      <c r="AC1055">
        <f>IF(OR(AB1055="OK",AB1055="Aucune pièce déclarée",AB1055="Cadence dépassée : vérifiez la cadence"),1,0)</f>
        <v>0.0</v>
      </c>
      <c r="AD1055">
        <f>IF(AND(AC1055=1,A1055&gt;=p_from,A1055&lt;=p_to),1,0)</f>
        <v>0.0</v>
      </c>
      <c r="AE1055">
        <f>IF(AD1055=1,IF(COUNTIFS($A$6:A1055,A1055,$AD$6:AD1055,1)=1,1,0),0)</f>
        <v>0.0</v>
      </c>
      <c r="AF1055" t="str">
        <f>IF(AE1055=1,COUNTIFS(sj_first,1,sj_date,"&lt;"&amp;A1055)+1,"")</f>
        <v/>
      </c>
      <c r="AG1055" t="str">
        <f>IF(AND(AD1055=1,N(W1055)&lt;p_alert),ROUND(W1055,4),"")</f>
        <v/>
      </c>
      <c r="AH1055" t="str">
        <f>IF(AG1055="","",COUNTIF(sj_akey,"&lt;"&amp;AG1055)+COUNTIF($AG$6:AG1055,AG1055))</f>
        <v/>
      </c>
    </row>
    <row r="1056">
      <c r="A1056" s="51" t="n"/>
      <c r="B1056" s="52" t="n"/>
      <c r="C1056" s="52" t="n"/>
      <c r="D1056" s="53" t="n"/>
      <c r="E1056" s="53" t="n"/>
      <c r="F1056" s="54" t="n"/>
      <c r="G1056" s="54" t="n"/>
      <c r="H1056" s="54" t="n"/>
      <c r="I1056" s="54" t="n"/>
      <c r="J1056" s="53" t="n"/>
      <c r="K1056" s="55" t="str">
        <f>IF(COUNTA(A1056:I1056)=0,"",IF(F1056="",IFERROR(INDEX(eq_dur,MATCH(B1056,eq_code,0)),""),F1056))</f>
        <v/>
      </c>
      <c r="L1056" s="55" t="str">
        <f>IF(ISNUMBER(K1056),N(IFERROR(INDEX(eq_pause,MATCH(B1056,eq_code,0)),0))+SUMIFS(st_min,st_date,A1056,st_eq,B1056,st_po,C1056,st_type,"Planifié"),"")</f>
        <v/>
      </c>
      <c r="M1056" s="55" t="str">
        <f>IF(ISNUMBER(K1056),K1056-L1056,"")</f>
        <v/>
      </c>
      <c r="N1056" s="55" t="str">
        <f>IF(ISNUMBER(K1056),SUMIFS(st_min,st_date,A1056,st_eq,B1056,st_po,C1056,st_type,"Non planifié"),"")</f>
        <v/>
      </c>
      <c r="O1056" s="55" t="str">
        <f>IF(ISNUMBER(K1056),M1056-N1056,"")</f>
        <v/>
      </c>
      <c r="P1056" s="55" t="str">
        <f>IF(COUNTA(A1056:I1056)=0,"",N(G1056)+N(H1056)+N(I1056))</f>
        <v/>
      </c>
      <c r="Q1056" s="56" t="str">
        <f>IF(COUNTA(A1056:I1056)=0,"",IF(N(IFERROR(INDEX(art_rate,MATCH(E1056,art_ref,0)),0))&gt;0,N(IFERROR(INDEX(art_rate,MATCH(E1056,art_ref,0)),0)),N(IFERROR(INDEX(po_rate,MATCH(C1056,po_code,0)),0))))</f>
        <v/>
      </c>
      <c r="R1056" s="55" t="str">
        <f>IF(AC1056=1,P1056*60/Q1056,"")</f>
        <v/>
      </c>
      <c r="S1056" s="55" t="str">
        <f>IF(AC1056=1,N(G1056)*60/Q1056,"")</f>
        <v/>
      </c>
      <c r="T1056" s="57" t="str">
        <f>IF(AC1056=1,O1056/M1056,"")</f>
        <v/>
      </c>
      <c r="U1056" s="57" t="str">
        <f>IF(AC1056=1,IF(O1056&gt;0,R1056/O1056,""),"")</f>
        <v/>
      </c>
      <c r="V1056" s="57" t="str">
        <f>IF(AC1056=1,IF(P1056&gt;0,N(G1056)/P1056,""),"")</f>
        <v/>
      </c>
      <c r="W1056" s="57" t="str">
        <f>IF(AC1056=1,S1056/M1056,"")</f>
        <v/>
      </c>
      <c r="X1056" s="57" t="str">
        <f>IF(AC1056=1,S1056/K1056,"")</f>
        <v/>
      </c>
      <c r="Y1056" s="58" t="str">
        <f>IF(W1056="","",IF(W1056&gt;=p_target,"Bon",IF(W1056&gt;=p_alert,"À surveiller","Faible")))</f>
        <v/>
      </c>
      <c r="Z1056" s="58" t="str">
        <f>IF(W1056="","",IF(MIN(IF(T1056="",1,T1056),IF(U1056="",1,U1056),IF(V1056="",1,V1056))&gt;=1,"Aucune",IF(IF(T1056="",1,T1056)&lt;=MIN(IF(U1056="",1,U1056),IF(V1056="",1,V1056)),"Disponibilité",IF(IF(U1056="",1,U1056)&lt;=IF(V1056="",1,V1056),"Performance","Qualité"))))</f>
        <v/>
      </c>
      <c r="AA1056" s="59" t="str">
        <f>IF(AC1056=1,N(H1056)*N(IFERROR(INDEX(art_cost,MATCH(E1056,art_ref,0)),0)),"")</f>
        <v/>
      </c>
      <c r="AB1056" s="58" t="str">
        <f>IF(COUNTA(A1056:I1056)=0,"",IF(N(A1056)&lt;=0,"Date manquante ou invalide",IF(B1056="","Équipe manquante",IF(ISNA(MATCH(B1056,eq_code,0)),"Équipe inconnue",IF(INDEX(eq_check,MATCH(B1056,eq_code,0))&lt;&gt;"OK","Équipe à corriger dans Paramètres",IF(C1056="","Poste manquant",IF(ISNA(MATCH(C1056,po_code,0)),"Poste inconnu",IF(AND(E1056&lt;&gt;"",ISNA(MATCH(E1056,art_ref,0))),"Article inconnu",IF(IF(E1056="",FALSE,INDEX(art_check,MATCH(E1056,art_ref,0))&lt;&gt;"OK"),"Article à corriger (feuille Articles)",IF(COUNTIFS(sj_date,A1056,sj_eq,B1056,sj_po,C1056)&gt;1,"Ligne en double (même jour, équipe et poste)",IF(OR(NOT(ISNUMBER(K1056)),N(K1056)&lt;=0,N(K1056)&gt;1440),"Temps d'ouverture invalide",IF(OR(AND(G1056&lt;&gt;"",NOT(ISNUMBER(G1056))),N(G1056)&lt;0,N(G1056)&lt;&gt;INT(N(G1056)),AND(H1056&lt;&gt;"",NOT(ISNUMBER(H1056))),N(H1056)&lt;0,N(H1056)&lt;&gt;INT(N(H1056)),AND(I1056&lt;&gt;"",NOT(ISNUMBER(I1056))),N(I1056)&lt;0,N(I1056)&lt;&gt;INT(N(I1056))),"Quantité invalide",IF(Q1056&lt;=0,"Cadence manquante (poste ou article)",IF(M1056&lt;=0,"Arrêts planifiés supérieurs au temps d'ouverture",IF(O1056&lt;0,"Arrêts supérieurs au temps requis",IF(AND(P1056&gt;0,O1056=0),"Pièces déclarées sans temps de marche",IF(AND(P1056=0,O1056&gt;0),"Aucune pièce déclarée",IF(P1056*60/Q1056&gt;O1056+0.001,"Cadence dépassée : vérifiez la cadence","OK"))))))))))))))))))</f>
        <v/>
      </c>
      <c r="AC1056">
        <f>IF(OR(AB1056="OK",AB1056="Aucune pièce déclarée",AB1056="Cadence dépassée : vérifiez la cadence"),1,0)</f>
        <v>0.0</v>
      </c>
      <c r="AD1056">
        <f>IF(AND(AC1056=1,A1056&gt;=p_from,A1056&lt;=p_to),1,0)</f>
        <v>0.0</v>
      </c>
      <c r="AE1056">
        <f>IF(AD1056=1,IF(COUNTIFS($A$6:A1056,A1056,$AD$6:AD1056,1)=1,1,0),0)</f>
        <v>0.0</v>
      </c>
      <c r="AF1056" t="str">
        <f>IF(AE1056=1,COUNTIFS(sj_first,1,sj_date,"&lt;"&amp;A1056)+1,"")</f>
        <v/>
      </c>
      <c r="AG1056" t="str">
        <f>IF(AND(AD1056=1,N(W1056)&lt;p_alert),ROUND(W1056,4),"")</f>
        <v/>
      </c>
      <c r="AH1056" t="str">
        <f>IF(AG1056="","",COUNTIF(sj_akey,"&lt;"&amp;AG1056)+COUNTIF($AG$6:AG1056,AG1056))</f>
        <v/>
      </c>
    </row>
    <row r="1057">
      <c r="A1057" s="51" t="n"/>
      <c r="B1057" s="52" t="n"/>
      <c r="C1057" s="52" t="n"/>
      <c r="D1057" s="53" t="n"/>
      <c r="E1057" s="53" t="n"/>
      <c r="F1057" s="54" t="n"/>
      <c r="G1057" s="54" t="n"/>
      <c r="H1057" s="54" t="n"/>
      <c r="I1057" s="54" t="n"/>
      <c r="J1057" s="53" t="n"/>
      <c r="K1057" s="55" t="str">
        <f>IF(COUNTA(A1057:I1057)=0,"",IF(F1057="",IFERROR(INDEX(eq_dur,MATCH(B1057,eq_code,0)),""),F1057))</f>
        <v/>
      </c>
      <c r="L1057" s="55" t="str">
        <f>IF(ISNUMBER(K1057),N(IFERROR(INDEX(eq_pause,MATCH(B1057,eq_code,0)),0))+SUMIFS(st_min,st_date,A1057,st_eq,B1057,st_po,C1057,st_type,"Planifié"),"")</f>
        <v/>
      </c>
      <c r="M1057" s="55" t="str">
        <f>IF(ISNUMBER(K1057),K1057-L1057,"")</f>
        <v/>
      </c>
      <c r="N1057" s="55" t="str">
        <f>IF(ISNUMBER(K1057),SUMIFS(st_min,st_date,A1057,st_eq,B1057,st_po,C1057,st_type,"Non planifié"),"")</f>
        <v/>
      </c>
      <c r="O1057" s="55" t="str">
        <f>IF(ISNUMBER(K1057),M1057-N1057,"")</f>
        <v/>
      </c>
      <c r="P1057" s="55" t="str">
        <f>IF(COUNTA(A1057:I1057)=0,"",N(G1057)+N(H1057)+N(I1057))</f>
        <v/>
      </c>
      <c r="Q1057" s="56" t="str">
        <f>IF(COUNTA(A1057:I1057)=0,"",IF(N(IFERROR(INDEX(art_rate,MATCH(E1057,art_ref,0)),0))&gt;0,N(IFERROR(INDEX(art_rate,MATCH(E1057,art_ref,0)),0)),N(IFERROR(INDEX(po_rate,MATCH(C1057,po_code,0)),0))))</f>
        <v/>
      </c>
      <c r="R1057" s="55" t="str">
        <f>IF(AC1057=1,P1057*60/Q1057,"")</f>
        <v/>
      </c>
      <c r="S1057" s="55" t="str">
        <f>IF(AC1057=1,N(G1057)*60/Q1057,"")</f>
        <v/>
      </c>
      <c r="T1057" s="57" t="str">
        <f>IF(AC1057=1,O1057/M1057,"")</f>
        <v/>
      </c>
      <c r="U1057" s="57" t="str">
        <f>IF(AC1057=1,IF(O1057&gt;0,R1057/O1057,""),"")</f>
        <v/>
      </c>
      <c r="V1057" s="57" t="str">
        <f>IF(AC1057=1,IF(P1057&gt;0,N(G1057)/P1057,""),"")</f>
        <v/>
      </c>
      <c r="W1057" s="57" t="str">
        <f>IF(AC1057=1,S1057/M1057,"")</f>
        <v/>
      </c>
      <c r="X1057" s="57" t="str">
        <f>IF(AC1057=1,S1057/K1057,"")</f>
        <v/>
      </c>
      <c r="Y1057" s="58" t="str">
        <f>IF(W1057="","",IF(W1057&gt;=p_target,"Bon",IF(W1057&gt;=p_alert,"À surveiller","Faible")))</f>
        <v/>
      </c>
      <c r="Z1057" s="58" t="str">
        <f>IF(W1057="","",IF(MIN(IF(T1057="",1,T1057),IF(U1057="",1,U1057),IF(V1057="",1,V1057))&gt;=1,"Aucune",IF(IF(T1057="",1,T1057)&lt;=MIN(IF(U1057="",1,U1057),IF(V1057="",1,V1057)),"Disponibilité",IF(IF(U1057="",1,U1057)&lt;=IF(V1057="",1,V1057),"Performance","Qualité"))))</f>
        <v/>
      </c>
      <c r="AA1057" s="59" t="str">
        <f>IF(AC1057=1,N(H1057)*N(IFERROR(INDEX(art_cost,MATCH(E1057,art_ref,0)),0)),"")</f>
        <v/>
      </c>
      <c r="AB1057" s="58" t="str">
        <f>IF(COUNTA(A1057:I1057)=0,"",IF(N(A1057)&lt;=0,"Date manquante ou invalide",IF(B1057="","Équipe manquante",IF(ISNA(MATCH(B1057,eq_code,0)),"Équipe inconnue",IF(INDEX(eq_check,MATCH(B1057,eq_code,0))&lt;&gt;"OK","Équipe à corriger dans Paramètres",IF(C1057="","Poste manquant",IF(ISNA(MATCH(C1057,po_code,0)),"Poste inconnu",IF(AND(E1057&lt;&gt;"",ISNA(MATCH(E1057,art_ref,0))),"Article inconnu",IF(IF(E1057="",FALSE,INDEX(art_check,MATCH(E1057,art_ref,0))&lt;&gt;"OK"),"Article à corriger (feuille Articles)",IF(COUNTIFS(sj_date,A1057,sj_eq,B1057,sj_po,C1057)&gt;1,"Ligne en double (même jour, équipe et poste)",IF(OR(NOT(ISNUMBER(K1057)),N(K1057)&lt;=0,N(K1057)&gt;1440),"Temps d'ouverture invalide",IF(OR(AND(G1057&lt;&gt;"",NOT(ISNUMBER(G1057))),N(G1057)&lt;0,N(G1057)&lt;&gt;INT(N(G1057)),AND(H1057&lt;&gt;"",NOT(ISNUMBER(H1057))),N(H1057)&lt;0,N(H1057)&lt;&gt;INT(N(H1057)),AND(I1057&lt;&gt;"",NOT(ISNUMBER(I1057))),N(I1057)&lt;0,N(I1057)&lt;&gt;INT(N(I1057))),"Quantité invalide",IF(Q1057&lt;=0,"Cadence manquante (poste ou article)",IF(M1057&lt;=0,"Arrêts planifiés supérieurs au temps d'ouverture",IF(O1057&lt;0,"Arrêts supérieurs au temps requis",IF(AND(P1057&gt;0,O1057=0),"Pièces déclarées sans temps de marche",IF(AND(P1057=0,O1057&gt;0),"Aucune pièce déclarée",IF(P1057*60/Q1057&gt;O1057+0.001,"Cadence dépassée : vérifiez la cadence","OK"))))))))))))))))))</f>
        <v/>
      </c>
      <c r="AC1057">
        <f>IF(OR(AB1057="OK",AB1057="Aucune pièce déclarée",AB1057="Cadence dépassée : vérifiez la cadence"),1,0)</f>
        <v>0.0</v>
      </c>
      <c r="AD1057">
        <f>IF(AND(AC1057=1,A1057&gt;=p_from,A1057&lt;=p_to),1,0)</f>
        <v>0.0</v>
      </c>
      <c r="AE1057">
        <f>IF(AD1057=1,IF(COUNTIFS($A$6:A1057,A1057,$AD$6:AD1057,1)=1,1,0),0)</f>
        <v>0.0</v>
      </c>
      <c r="AF1057" t="str">
        <f>IF(AE1057=1,COUNTIFS(sj_first,1,sj_date,"&lt;"&amp;A1057)+1,"")</f>
        <v/>
      </c>
      <c r="AG1057" t="str">
        <f>IF(AND(AD1057=1,N(W1057)&lt;p_alert),ROUND(W1057,4),"")</f>
        <v/>
      </c>
      <c r="AH1057" t="str">
        <f>IF(AG1057="","",COUNTIF(sj_akey,"&lt;"&amp;AG1057)+COUNTIF($AG$6:AG1057,AG1057))</f>
        <v/>
      </c>
    </row>
    <row r="1058">
      <c r="A1058" s="51" t="n"/>
      <c r="B1058" s="52" t="n"/>
      <c r="C1058" s="52" t="n"/>
      <c r="D1058" s="53" t="n"/>
      <c r="E1058" s="53" t="n"/>
      <c r="F1058" s="54" t="n"/>
      <c r="G1058" s="54" t="n"/>
      <c r="H1058" s="54" t="n"/>
      <c r="I1058" s="54" t="n"/>
      <c r="J1058" s="53" t="n"/>
      <c r="K1058" s="55" t="str">
        <f>IF(COUNTA(A1058:I1058)=0,"",IF(F1058="",IFERROR(INDEX(eq_dur,MATCH(B1058,eq_code,0)),""),F1058))</f>
        <v/>
      </c>
      <c r="L1058" s="55" t="str">
        <f>IF(ISNUMBER(K1058),N(IFERROR(INDEX(eq_pause,MATCH(B1058,eq_code,0)),0))+SUMIFS(st_min,st_date,A1058,st_eq,B1058,st_po,C1058,st_type,"Planifié"),"")</f>
        <v/>
      </c>
      <c r="M1058" s="55" t="str">
        <f>IF(ISNUMBER(K1058),K1058-L1058,"")</f>
        <v/>
      </c>
      <c r="N1058" s="55" t="str">
        <f>IF(ISNUMBER(K1058),SUMIFS(st_min,st_date,A1058,st_eq,B1058,st_po,C1058,st_type,"Non planifié"),"")</f>
        <v/>
      </c>
      <c r="O1058" s="55" t="str">
        <f>IF(ISNUMBER(K1058),M1058-N1058,"")</f>
        <v/>
      </c>
      <c r="P1058" s="55" t="str">
        <f>IF(COUNTA(A1058:I1058)=0,"",N(G1058)+N(H1058)+N(I1058))</f>
        <v/>
      </c>
      <c r="Q1058" s="56" t="str">
        <f>IF(COUNTA(A1058:I1058)=0,"",IF(N(IFERROR(INDEX(art_rate,MATCH(E1058,art_ref,0)),0))&gt;0,N(IFERROR(INDEX(art_rate,MATCH(E1058,art_ref,0)),0)),N(IFERROR(INDEX(po_rate,MATCH(C1058,po_code,0)),0))))</f>
        <v/>
      </c>
      <c r="R1058" s="55" t="str">
        <f>IF(AC1058=1,P1058*60/Q1058,"")</f>
        <v/>
      </c>
      <c r="S1058" s="55" t="str">
        <f>IF(AC1058=1,N(G1058)*60/Q1058,"")</f>
        <v/>
      </c>
      <c r="T1058" s="57" t="str">
        <f>IF(AC1058=1,O1058/M1058,"")</f>
        <v/>
      </c>
      <c r="U1058" s="57" t="str">
        <f>IF(AC1058=1,IF(O1058&gt;0,R1058/O1058,""),"")</f>
        <v/>
      </c>
      <c r="V1058" s="57" t="str">
        <f>IF(AC1058=1,IF(P1058&gt;0,N(G1058)/P1058,""),"")</f>
        <v/>
      </c>
      <c r="W1058" s="57" t="str">
        <f>IF(AC1058=1,S1058/M1058,"")</f>
        <v/>
      </c>
      <c r="X1058" s="57" t="str">
        <f>IF(AC1058=1,S1058/K1058,"")</f>
        <v/>
      </c>
      <c r="Y1058" s="58" t="str">
        <f>IF(W1058="","",IF(W1058&gt;=p_target,"Bon",IF(W1058&gt;=p_alert,"À surveiller","Faible")))</f>
        <v/>
      </c>
      <c r="Z1058" s="58" t="str">
        <f>IF(W1058="","",IF(MIN(IF(T1058="",1,T1058),IF(U1058="",1,U1058),IF(V1058="",1,V1058))&gt;=1,"Aucune",IF(IF(T1058="",1,T1058)&lt;=MIN(IF(U1058="",1,U1058),IF(V1058="",1,V1058)),"Disponibilité",IF(IF(U1058="",1,U1058)&lt;=IF(V1058="",1,V1058),"Performance","Qualité"))))</f>
        <v/>
      </c>
      <c r="AA1058" s="59" t="str">
        <f>IF(AC1058=1,N(H1058)*N(IFERROR(INDEX(art_cost,MATCH(E1058,art_ref,0)),0)),"")</f>
        <v/>
      </c>
      <c r="AB1058" s="58" t="str">
        <f>IF(COUNTA(A1058:I1058)=0,"",IF(N(A1058)&lt;=0,"Date manquante ou invalide",IF(B1058="","Équipe manquante",IF(ISNA(MATCH(B1058,eq_code,0)),"Équipe inconnue",IF(INDEX(eq_check,MATCH(B1058,eq_code,0))&lt;&gt;"OK","Équipe à corriger dans Paramètres",IF(C1058="","Poste manquant",IF(ISNA(MATCH(C1058,po_code,0)),"Poste inconnu",IF(AND(E1058&lt;&gt;"",ISNA(MATCH(E1058,art_ref,0))),"Article inconnu",IF(IF(E1058="",FALSE,INDEX(art_check,MATCH(E1058,art_ref,0))&lt;&gt;"OK"),"Article à corriger (feuille Articles)",IF(COUNTIFS(sj_date,A1058,sj_eq,B1058,sj_po,C1058)&gt;1,"Ligne en double (même jour, équipe et poste)",IF(OR(NOT(ISNUMBER(K1058)),N(K1058)&lt;=0,N(K1058)&gt;1440),"Temps d'ouverture invalide",IF(OR(AND(G1058&lt;&gt;"",NOT(ISNUMBER(G1058))),N(G1058)&lt;0,N(G1058)&lt;&gt;INT(N(G1058)),AND(H1058&lt;&gt;"",NOT(ISNUMBER(H1058))),N(H1058)&lt;0,N(H1058)&lt;&gt;INT(N(H1058)),AND(I1058&lt;&gt;"",NOT(ISNUMBER(I1058))),N(I1058)&lt;0,N(I1058)&lt;&gt;INT(N(I1058))),"Quantité invalide",IF(Q1058&lt;=0,"Cadence manquante (poste ou article)",IF(M1058&lt;=0,"Arrêts planifiés supérieurs au temps d'ouverture",IF(O1058&lt;0,"Arrêts supérieurs au temps requis",IF(AND(P1058&gt;0,O1058=0),"Pièces déclarées sans temps de marche",IF(AND(P1058=0,O1058&gt;0),"Aucune pièce déclarée",IF(P1058*60/Q1058&gt;O1058+0.001,"Cadence dépassée : vérifiez la cadence","OK"))))))))))))))))))</f>
        <v/>
      </c>
      <c r="AC1058">
        <f>IF(OR(AB1058="OK",AB1058="Aucune pièce déclarée",AB1058="Cadence dépassée : vérifiez la cadence"),1,0)</f>
        <v>0.0</v>
      </c>
      <c r="AD1058">
        <f>IF(AND(AC1058=1,A1058&gt;=p_from,A1058&lt;=p_to),1,0)</f>
        <v>0.0</v>
      </c>
      <c r="AE1058">
        <f>IF(AD1058=1,IF(COUNTIFS($A$6:A1058,A1058,$AD$6:AD1058,1)=1,1,0),0)</f>
        <v>0.0</v>
      </c>
      <c r="AF1058" t="str">
        <f>IF(AE1058=1,COUNTIFS(sj_first,1,sj_date,"&lt;"&amp;A1058)+1,"")</f>
        <v/>
      </c>
      <c r="AG1058" t="str">
        <f>IF(AND(AD1058=1,N(W1058)&lt;p_alert),ROUND(W1058,4),"")</f>
        <v/>
      </c>
      <c r="AH1058" t="str">
        <f>IF(AG1058="","",COUNTIF(sj_akey,"&lt;"&amp;AG1058)+COUNTIF($AG$6:AG1058,AG1058))</f>
        <v/>
      </c>
    </row>
    <row r="1059">
      <c r="A1059" s="51" t="n"/>
      <c r="B1059" s="52" t="n"/>
      <c r="C1059" s="52" t="n"/>
      <c r="D1059" s="53" t="n"/>
      <c r="E1059" s="53" t="n"/>
      <c r="F1059" s="54" t="n"/>
      <c r="G1059" s="54" t="n"/>
      <c r="H1059" s="54" t="n"/>
      <c r="I1059" s="54" t="n"/>
      <c r="J1059" s="53" t="n"/>
      <c r="K1059" s="55" t="str">
        <f>IF(COUNTA(A1059:I1059)=0,"",IF(F1059="",IFERROR(INDEX(eq_dur,MATCH(B1059,eq_code,0)),""),F1059))</f>
        <v/>
      </c>
      <c r="L1059" s="55" t="str">
        <f>IF(ISNUMBER(K1059),N(IFERROR(INDEX(eq_pause,MATCH(B1059,eq_code,0)),0))+SUMIFS(st_min,st_date,A1059,st_eq,B1059,st_po,C1059,st_type,"Planifié"),"")</f>
        <v/>
      </c>
      <c r="M1059" s="55" t="str">
        <f>IF(ISNUMBER(K1059),K1059-L1059,"")</f>
        <v/>
      </c>
      <c r="N1059" s="55" t="str">
        <f>IF(ISNUMBER(K1059),SUMIFS(st_min,st_date,A1059,st_eq,B1059,st_po,C1059,st_type,"Non planifié"),"")</f>
        <v/>
      </c>
      <c r="O1059" s="55" t="str">
        <f>IF(ISNUMBER(K1059),M1059-N1059,"")</f>
        <v/>
      </c>
      <c r="P1059" s="55" t="str">
        <f>IF(COUNTA(A1059:I1059)=0,"",N(G1059)+N(H1059)+N(I1059))</f>
        <v/>
      </c>
      <c r="Q1059" s="56" t="str">
        <f>IF(COUNTA(A1059:I1059)=0,"",IF(N(IFERROR(INDEX(art_rate,MATCH(E1059,art_ref,0)),0))&gt;0,N(IFERROR(INDEX(art_rate,MATCH(E1059,art_ref,0)),0)),N(IFERROR(INDEX(po_rate,MATCH(C1059,po_code,0)),0))))</f>
        <v/>
      </c>
      <c r="R1059" s="55" t="str">
        <f>IF(AC1059=1,P1059*60/Q1059,"")</f>
        <v/>
      </c>
      <c r="S1059" s="55" t="str">
        <f>IF(AC1059=1,N(G1059)*60/Q1059,"")</f>
        <v/>
      </c>
      <c r="T1059" s="57" t="str">
        <f>IF(AC1059=1,O1059/M1059,"")</f>
        <v/>
      </c>
      <c r="U1059" s="57" t="str">
        <f>IF(AC1059=1,IF(O1059&gt;0,R1059/O1059,""),"")</f>
        <v/>
      </c>
      <c r="V1059" s="57" t="str">
        <f>IF(AC1059=1,IF(P1059&gt;0,N(G1059)/P1059,""),"")</f>
        <v/>
      </c>
      <c r="W1059" s="57" t="str">
        <f>IF(AC1059=1,S1059/M1059,"")</f>
        <v/>
      </c>
      <c r="X1059" s="57" t="str">
        <f>IF(AC1059=1,S1059/K1059,"")</f>
        <v/>
      </c>
      <c r="Y1059" s="58" t="str">
        <f>IF(W1059="","",IF(W1059&gt;=p_target,"Bon",IF(W1059&gt;=p_alert,"À surveiller","Faible")))</f>
        <v/>
      </c>
      <c r="Z1059" s="58" t="str">
        <f>IF(W1059="","",IF(MIN(IF(T1059="",1,T1059),IF(U1059="",1,U1059),IF(V1059="",1,V1059))&gt;=1,"Aucune",IF(IF(T1059="",1,T1059)&lt;=MIN(IF(U1059="",1,U1059),IF(V1059="",1,V1059)),"Disponibilité",IF(IF(U1059="",1,U1059)&lt;=IF(V1059="",1,V1059),"Performance","Qualité"))))</f>
        <v/>
      </c>
      <c r="AA1059" s="59" t="str">
        <f>IF(AC1059=1,N(H1059)*N(IFERROR(INDEX(art_cost,MATCH(E1059,art_ref,0)),0)),"")</f>
        <v/>
      </c>
      <c r="AB1059" s="58" t="str">
        <f>IF(COUNTA(A1059:I1059)=0,"",IF(N(A1059)&lt;=0,"Date manquante ou invalide",IF(B1059="","Équipe manquante",IF(ISNA(MATCH(B1059,eq_code,0)),"Équipe inconnue",IF(INDEX(eq_check,MATCH(B1059,eq_code,0))&lt;&gt;"OK","Équipe à corriger dans Paramètres",IF(C1059="","Poste manquant",IF(ISNA(MATCH(C1059,po_code,0)),"Poste inconnu",IF(AND(E1059&lt;&gt;"",ISNA(MATCH(E1059,art_ref,0))),"Article inconnu",IF(IF(E1059="",FALSE,INDEX(art_check,MATCH(E1059,art_ref,0))&lt;&gt;"OK"),"Article à corriger (feuille Articles)",IF(COUNTIFS(sj_date,A1059,sj_eq,B1059,sj_po,C1059)&gt;1,"Ligne en double (même jour, équipe et poste)",IF(OR(NOT(ISNUMBER(K1059)),N(K1059)&lt;=0,N(K1059)&gt;1440),"Temps d'ouverture invalide",IF(OR(AND(G1059&lt;&gt;"",NOT(ISNUMBER(G1059))),N(G1059)&lt;0,N(G1059)&lt;&gt;INT(N(G1059)),AND(H1059&lt;&gt;"",NOT(ISNUMBER(H1059))),N(H1059)&lt;0,N(H1059)&lt;&gt;INT(N(H1059)),AND(I1059&lt;&gt;"",NOT(ISNUMBER(I1059))),N(I1059)&lt;0,N(I1059)&lt;&gt;INT(N(I1059))),"Quantité invalide",IF(Q1059&lt;=0,"Cadence manquante (poste ou article)",IF(M1059&lt;=0,"Arrêts planifiés supérieurs au temps d'ouverture",IF(O1059&lt;0,"Arrêts supérieurs au temps requis",IF(AND(P1059&gt;0,O1059=0),"Pièces déclarées sans temps de marche",IF(AND(P1059=0,O1059&gt;0),"Aucune pièce déclarée",IF(P1059*60/Q1059&gt;O1059+0.001,"Cadence dépassée : vérifiez la cadence","OK"))))))))))))))))))</f>
        <v/>
      </c>
      <c r="AC1059">
        <f>IF(OR(AB1059="OK",AB1059="Aucune pièce déclarée",AB1059="Cadence dépassée : vérifiez la cadence"),1,0)</f>
        <v>0.0</v>
      </c>
      <c r="AD1059">
        <f>IF(AND(AC1059=1,A1059&gt;=p_from,A1059&lt;=p_to),1,0)</f>
        <v>0.0</v>
      </c>
      <c r="AE1059">
        <f>IF(AD1059=1,IF(COUNTIFS($A$6:A1059,A1059,$AD$6:AD1059,1)=1,1,0),0)</f>
        <v>0.0</v>
      </c>
      <c r="AF1059" t="str">
        <f>IF(AE1059=1,COUNTIFS(sj_first,1,sj_date,"&lt;"&amp;A1059)+1,"")</f>
        <v/>
      </c>
      <c r="AG1059" t="str">
        <f>IF(AND(AD1059=1,N(W1059)&lt;p_alert),ROUND(W1059,4),"")</f>
        <v/>
      </c>
      <c r="AH1059" t="str">
        <f>IF(AG1059="","",COUNTIF(sj_akey,"&lt;"&amp;AG1059)+COUNTIF($AG$6:AG1059,AG1059))</f>
        <v/>
      </c>
    </row>
    <row r="1060">
      <c r="A1060" s="51" t="n"/>
      <c r="B1060" s="52" t="n"/>
      <c r="C1060" s="52" t="n"/>
      <c r="D1060" s="53" t="n"/>
      <c r="E1060" s="53" t="n"/>
      <c r="F1060" s="54" t="n"/>
      <c r="G1060" s="54" t="n"/>
      <c r="H1060" s="54" t="n"/>
      <c r="I1060" s="54" t="n"/>
      <c r="J1060" s="53" t="n"/>
      <c r="K1060" s="55" t="str">
        <f>IF(COUNTA(A1060:I1060)=0,"",IF(F1060="",IFERROR(INDEX(eq_dur,MATCH(B1060,eq_code,0)),""),F1060))</f>
        <v/>
      </c>
      <c r="L1060" s="55" t="str">
        <f>IF(ISNUMBER(K1060),N(IFERROR(INDEX(eq_pause,MATCH(B1060,eq_code,0)),0))+SUMIFS(st_min,st_date,A1060,st_eq,B1060,st_po,C1060,st_type,"Planifié"),"")</f>
        <v/>
      </c>
      <c r="M1060" s="55" t="str">
        <f>IF(ISNUMBER(K1060),K1060-L1060,"")</f>
        <v/>
      </c>
      <c r="N1060" s="55" t="str">
        <f>IF(ISNUMBER(K1060),SUMIFS(st_min,st_date,A1060,st_eq,B1060,st_po,C1060,st_type,"Non planifié"),"")</f>
        <v/>
      </c>
      <c r="O1060" s="55" t="str">
        <f>IF(ISNUMBER(K1060),M1060-N1060,"")</f>
        <v/>
      </c>
      <c r="P1060" s="55" t="str">
        <f>IF(COUNTA(A1060:I1060)=0,"",N(G1060)+N(H1060)+N(I1060))</f>
        <v/>
      </c>
      <c r="Q1060" s="56" t="str">
        <f>IF(COUNTA(A1060:I1060)=0,"",IF(N(IFERROR(INDEX(art_rate,MATCH(E1060,art_ref,0)),0))&gt;0,N(IFERROR(INDEX(art_rate,MATCH(E1060,art_ref,0)),0)),N(IFERROR(INDEX(po_rate,MATCH(C1060,po_code,0)),0))))</f>
        <v/>
      </c>
      <c r="R1060" s="55" t="str">
        <f>IF(AC1060=1,P1060*60/Q1060,"")</f>
        <v/>
      </c>
      <c r="S1060" s="55" t="str">
        <f>IF(AC1060=1,N(G1060)*60/Q1060,"")</f>
        <v/>
      </c>
      <c r="T1060" s="57" t="str">
        <f>IF(AC1060=1,O1060/M1060,"")</f>
        <v/>
      </c>
      <c r="U1060" s="57" t="str">
        <f>IF(AC1060=1,IF(O1060&gt;0,R1060/O1060,""),"")</f>
        <v/>
      </c>
      <c r="V1060" s="57" t="str">
        <f>IF(AC1060=1,IF(P1060&gt;0,N(G1060)/P1060,""),"")</f>
        <v/>
      </c>
      <c r="W1060" s="57" t="str">
        <f>IF(AC1060=1,S1060/M1060,"")</f>
        <v/>
      </c>
      <c r="X1060" s="57" t="str">
        <f>IF(AC1060=1,S1060/K1060,"")</f>
        <v/>
      </c>
      <c r="Y1060" s="58" t="str">
        <f>IF(W1060="","",IF(W1060&gt;=p_target,"Bon",IF(W1060&gt;=p_alert,"À surveiller","Faible")))</f>
        <v/>
      </c>
      <c r="Z1060" s="58" t="str">
        <f>IF(W1060="","",IF(MIN(IF(T1060="",1,T1060),IF(U1060="",1,U1060),IF(V1060="",1,V1060))&gt;=1,"Aucune",IF(IF(T1060="",1,T1060)&lt;=MIN(IF(U1060="",1,U1060),IF(V1060="",1,V1060)),"Disponibilité",IF(IF(U1060="",1,U1060)&lt;=IF(V1060="",1,V1060),"Performance","Qualité"))))</f>
        <v/>
      </c>
      <c r="AA1060" s="59" t="str">
        <f>IF(AC1060=1,N(H1060)*N(IFERROR(INDEX(art_cost,MATCH(E1060,art_ref,0)),0)),"")</f>
        <v/>
      </c>
      <c r="AB1060" s="58" t="str">
        <f>IF(COUNTA(A1060:I1060)=0,"",IF(N(A1060)&lt;=0,"Date manquante ou invalide",IF(B1060="","Équipe manquante",IF(ISNA(MATCH(B1060,eq_code,0)),"Équipe inconnue",IF(INDEX(eq_check,MATCH(B1060,eq_code,0))&lt;&gt;"OK","Équipe à corriger dans Paramètres",IF(C1060="","Poste manquant",IF(ISNA(MATCH(C1060,po_code,0)),"Poste inconnu",IF(AND(E1060&lt;&gt;"",ISNA(MATCH(E1060,art_ref,0))),"Article inconnu",IF(IF(E1060="",FALSE,INDEX(art_check,MATCH(E1060,art_ref,0))&lt;&gt;"OK"),"Article à corriger (feuille Articles)",IF(COUNTIFS(sj_date,A1060,sj_eq,B1060,sj_po,C1060)&gt;1,"Ligne en double (même jour, équipe et poste)",IF(OR(NOT(ISNUMBER(K1060)),N(K1060)&lt;=0,N(K1060)&gt;1440),"Temps d'ouverture invalide",IF(OR(AND(G1060&lt;&gt;"",NOT(ISNUMBER(G1060))),N(G1060)&lt;0,N(G1060)&lt;&gt;INT(N(G1060)),AND(H1060&lt;&gt;"",NOT(ISNUMBER(H1060))),N(H1060)&lt;0,N(H1060)&lt;&gt;INT(N(H1060)),AND(I1060&lt;&gt;"",NOT(ISNUMBER(I1060))),N(I1060)&lt;0,N(I1060)&lt;&gt;INT(N(I1060))),"Quantité invalide",IF(Q1060&lt;=0,"Cadence manquante (poste ou article)",IF(M1060&lt;=0,"Arrêts planifiés supérieurs au temps d'ouverture",IF(O1060&lt;0,"Arrêts supérieurs au temps requis",IF(AND(P1060&gt;0,O1060=0),"Pièces déclarées sans temps de marche",IF(AND(P1060=0,O1060&gt;0),"Aucune pièce déclarée",IF(P1060*60/Q1060&gt;O1060+0.001,"Cadence dépassée : vérifiez la cadence","OK"))))))))))))))))))</f>
        <v/>
      </c>
      <c r="AC1060">
        <f>IF(OR(AB1060="OK",AB1060="Aucune pièce déclarée",AB1060="Cadence dépassée : vérifiez la cadence"),1,0)</f>
        <v>0.0</v>
      </c>
      <c r="AD1060">
        <f>IF(AND(AC1060=1,A1060&gt;=p_from,A1060&lt;=p_to),1,0)</f>
        <v>0.0</v>
      </c>
      <c r="AE1060">
        <f>IF(AD1060=1,IF(COUNTIFS($A$6:A1060,A1060,$AD$6:AD1060,1)=1,1,0),0)</f>
        <v>0.0</v>
      </c>
      <c r="AF1060" t="str">
        <f>IF(AE1060=1,COUNTIFS(sj_first,1,sj_date,"&lt;"&amp;A1060)+1,"")</f>
        <v/>
      </c>
      <c r="AG1060" t="str">
        <f>IF(AND(AD1060=1,N(W1060)&lt;p_alert),ROUND(W1060,4),"")</f>
        <v/>
      </c>
      <c r="AH1060" t="str">
        <f>IF(AG1060="","",COUNTIF(sj_akey,"&lt;"&amp;AG1060)+COUNTIF($AG$6:AG1060,AG1060))</f>
        <v/>
      </c>
    </row>
    <row r="1061">
      <c r="A1061" s="51" t="n"/>
      <c r="B1061" s="52" t="n"/>
      <c r="C1061" s="52" t="n"/>
      <c r="D1061" s="53" t="n"/>
      <c r="E1061" s="53" t="n"/>
      <c r="F1061" s="54" t="n"/>
      <c r="G1061" s="54" t="n"/>
      <c r="H1061" s="54" t="n"/>
      <c r="I1061" s="54" t="n"/>
      <c r="J1061" s="53" t="n"/>
      <c r="K1061" s="55" t="str">
        <f>IF(COUNTA(A1061:I1061)=0,"",IF(F1061="",IFERROR(INDEX(eq_dur,MATCH(B1061,eq_code,0)),""),F1061))</f>
        <v/>
      </c>
      <c r="L1061" s="55" t="str">
        <f>IF(ISNUMBER(K1061),N(IFERROR(INDEX(eq_pause,MATCH(B1061,eq_code,0)),0))+SUMIFS(st_min,st_date,A1061,st_eq,B1061,st_po,C1061,st_type,"Planifié"),"")</f>
        <v/>
      </c>
      <c r="M1061" s="55" t="str">
        <f>IF(ISNUMBER(K1061),K1061-L1061,"")</f>
        <v/>
      </c>
      <c r="N1061" s="55" t="str">
        <f>IF(ISNUMBER(K1061),SUMIFS(st_min,st_date,A1061,st_eq,B1061,st_po,C1061,st_type,"Non planifié"),"")</f>
        <v/>
      </c>
      <c r="O1061" s="55" t="str">
        <f>IF(ISNUMBER(K1061),M1061-N1061,"")</f>
        <v/>
      </c>
      <c r="P1061" s="55" t="str">
        <f>IF(COUNTA(A1061:I1061)=0,"",N(G1061)+N(H1061)+N(I1061))</f>
        <v/>
      </c>
      <c r="Q1061" s="56" t="str">
        <f>IF(COUNTA(A1061:I1061)=0,"",IF(N(IFERROR(INDEX(art_rate,MATCH(E1061,art_ref,0)),0))&gt;0,N(IFERROR(INDEX(art_rate,MATCH(E1061,art_ref,0)),0)),N(IFERROR(INDEX(po_rate,MATCH(C1061,po_code,0)),0))))</f>
        <v/>
      </c>
      <c r="R1061" s="55" t="str">
        <f>IF(AC1061=1,P1061*60/Q1061,"")</f>
        <v/>
      </c>
      <c r="S1061" s="55" t="str">
        <f>IF(AC1061=1,N(G1061)*60/Q1061,"")</f>
        <v/>
      </c>
      <c r="T1061" s="57" t="str">
        <f>IF(AC1061=1,O1061/M1061,"")</f>
        <v/>
      </c>
      <c r="U1061" s="57" t="str">
        <f>IF(AC1061=1,IF(O1061&gt;0,R1061/O1061,""),"")</f>
        <v/>
      </c>
      <c r="V1061" s="57" t="str">
        <f>IF(AC1061=1,IF(P1061&gt;0,N(G1061)/P1061,""),"")</f>
        <v/>
      </c>
      <c r="W1061" s="57" t="str">
        <f>IF(AC1061=1,S1061/M1061,"")</f>
        <v/>
      </c>
      <c r="X1061" s="57" t="str">
        <f>IF(AC1061=1,S1061/K1061,"")</f>
        <v/>
      </c>
      <c r="Y1061" s="58" t="str">
        <f>IF(W1061="","",IF(W1061&gt;=p_target,"Bon",IF(W1061&gt;=p_alert,"À surveiller","Faible")))</f>
        <v/>
      </c>
      <c r="Z1061" s="58" t="str">
        <f>IF(W1061="","",IF(MIN(IF(T1061="",1,T1061),IF(U1061="",1,U1061),IF(V1061="",1,V1061))&gt;=1,"Aucune",IF(IF(T1061="",1,T1061)&lt;=MIN(IF(U1061="",1,U1061),IF(V1061="",1,V1061)),"Disponibilité",IF(IF(U1061="",1,U1061)&lt;=IF(V1061="",1,V1061),"Performance","Qualité"))))</f>
        <v/>
      </c>
      <c r="AA1061" s="59" t="str">
        <f>IF(AC1061=1,N(H1061)*N(IFERROR(INDEX(art_cost,MATCH(E1061,art_ref,0)),0)),"")</f>
        <v/>
      </c>
      <c r="AB1061" s="58" t="str">
        <f>IF(COUNTA(A1061:I1061)=0,"",IF(N(A1061)&lt;=0,"Date manquante ou invalide",IF(B1061="","Équipe manquante",IF(ISNA(MATCH(B1061,eq_code,0)),"Équipe inconnue",IF(INDEX(eq_check,MATCH(B1061,eq_code,0))&lt;&gt;"OK","Équipe à corriger dans Paramètres",IF(C1061="","Poste manquant",IF(ISNA(MATCH(C1061,po_code,0)),"Poste inconnu",IF(AND(E1061&lt;&gt;"",ISNA(MATCH(E1061,art_ref,0))),"Article inconnu",IF(IF(E1061="",FALSE,INDEX(art_check,MATCH(E1061,art_ref,0))&lt;&gt;"OK"),"Article à corriger (feuille Articles)",IF(COUNTIFS(sj_date,A1061,sj_eq,B1061,sj_po,C1061)&gt;1,"Ligne en double (même jour, équipe et poste)",IF(OR(NOT(ISNUMBER(K1061)),N(K1061)&lt;=0,N(K1061)&gt;1440),"Temps d'ouverture invalide",IF(OR(AND(G1061&lt;&gt;"",NOT(ISNUMBER(G1061))),N(G1061)&lt;0,N(G1061)&lt;&gt;INT(N(G1061)),AND(H1061&lt;&gt;"",NOT(ISNUMBER(H1061))),N(H1061)&lt;0,N(H1061)&lt;&gt;INT(N(H1061)),AND(I1061&lt;&gt;"",NOT(ISNUMBER(I1061))),N(I1061)&lt;0,N(I1061)&lt;&gt;INT(N(I1061))),"Quantité invalide",IF(Q1061&lt;=0,"Cadence manquante (poste ou article)",IF(M1061&lt;=0,"Arrêts planifiés supérieurs au temps d'ouverture",IF(O1061&lt;0,"Arrêts supérieurs au temps requis",IF(AND(P1061&gt;0,O1061=0),"Pièces déclarées sans temps de marche",IF(AND(P1061=0,O1061&gt;0),"Aucune pièce déclarée",IF(P1061*60/Q1061&gt;O1061+0.001,"Cadence dépassée : vérifiez la cadence","OK"))))))))))))))))))</f>
        <v/>
      </c>
      <c r="AC1061">
        <f>IF(OR(AB1061="OK",AB1061="Aucune pièce déclarée",AB1061="Cadence dépassée : vérifiez la cadence"),1,0)</f>
        <v>0.0</v>
      </c>
      <c r="AD1061">
        <f>IF(AND(AC1061=1,A1061&gt;=p_from,A1061&lt;=p_to),1,0)</f>
        <v>0.0</v>
      </c>
      <c r="AE1061">
        <f>IF(AD1061=1,IF(COUNTIFS($A$6:A1061,A1061,$AD$6:AD1061,1)=1,1,0),0)</f>
        <v>0.0</v>
      </c>
      <c r="AF1061" t="str">
        <f>IF(AE1061=1,COUNTIFS(sj_first,1,sj_date,"&lt;"&amp;A1061)+1,"")</f>
        <v/>
      </c>
      <c r="AG1061" t="str">
        <f>IF(AND(AD1061=1,N(W1061)&lt;p_alert),ROUND(W1061,4),"")</f>
        <v/>
      </c>
      <c r="AH1061" t="str">
        <f>IF(AG1061="","",COUNTIF(sj_akey,"&lt;"&amp;AG1061)+COUNTIF($AG$6:AG1061,AG1061))</f>
        <v/>
      </c>
    </row>
    <row r="1062">
      <c r="A1062" s="51" t="n"/>
      <c r="B1062" s="52" t="n"/>
      <c r="C1062" s="52" t="n"/>
      <c r="D1062" s="53" t="n"/>
      <c r="E1062" s="53" t="n"/>
      <c r="F1062" s="54" t="n"/>
      <c r="G1062" s="54" t="n"/>
      <c r="H1062" s="54" t="n"/>
      <c r="I1062" s="54" t="n"/>
      <c r="J1062" s="53" t="n"/>
      <c r="K1062" s="55" t="str">
        <f>IF(COUNTA(A1062:I1062)=0,"",IF(F1062="",IFERROR(INDEX(eq_dur,MATCH(B1062,eq_code,0)),""),F1062))</f>
        <v/>
      </c>
      <c r="L1062" s="55" t="str">
        <f>IF(ISNUMBER(K1062),N(IFERROR(INDEX(eq_pause,MATCH(B1062,eq_code,0)),0))+SUMIFS(st_min,st_date,A1062,st_eq,B1062,st_po,C1062,st_type,"Planifié"),"")</f>
        <v/>
      </c>
      <c r="M1062" s="55" t="str">
        <f>IF(ISNUMBER(K1062),K1062-L1062,"")</f>
        <v/>
      </c>
      <c r="N1062" s="55" t="str">
        <f>IF(ISNUMBER(K1062),SUMIFS(st_min,st_date,A1062,st_eq,B1062,st_po,C1062,st_type,"Non planifié"),"")</f>
        <v/>
      </c>
      <c r="O1062" s="55" t="str">
        <f>IF(ISNUMBER(K1062),M1062-N1062,"")</f>
        <v/>
      </c>
      <c r="P1062" s="55" t="str">
        <f>IF(COUNTA(A1062:I1062)=0,"",N(G1062)+N(H1062)+N(I1062))</f>
        <v/>
      </c>
      <c r="Q1062" s="56" t="str">
        <f>IF(COUNTA(A1062:I1062)=0,"",IF(N(IFERROR(INDEX(art_rate,MATCH(E1062,art_ref,0)),0))&gt;0,N(IFERROR(INDEX(art_rate,MATCH(E1062,art_ref,0)),0)),N(IFERROR(INDEX(po_rate,MATCH(C1062,po_code,0)),0))))</f>
        <v/>
      </c>
      <c r="R1062" s="55" t="str">
        <f>IF(AC1062=1,P1062*60/Q1062,"")</f>
        <v/>
      </c>
      <c r="S1062" s="55" t="str">
        <f>IF(AC1062=1,N(G1062)*60/Q1062,"")</f>
        <v/>
      </c>
      <c r="T1062" s="57" t="str">
        <f>IF(AC1062=1,O1062/M1062,"")</f>
        <v/>
      </c>
      <c r="U1062" s="57" t="str">
        <f>IF(AC1062=1,IF(O1062&gt;0,R1062/O1062,""),"")</f>
        <v/>
      </c>
      <c r="V1062" s="57" t="str">
        <f>IF(AC1062=1,IF(P1062&gt;0,N(G1062)/P1062,""),"")</f>
        <v/>
      </c>
      <c r="W1062" s="57" t="str">
        <f>IF(AC1062=1,S1062/M1062,"")</f>
        <v/>
      </c>
      <c r="X1062" s="57" t="str">
        <f>IF(AC1062=1,S1062/K1062,"")</f>
        <v/>
      </c>
      <c r="Y1062" s="58" t="str">
        <f>IF(W1062="","",IF(W1062&gt;=p_target,"Bon",IF(W1062&gt;=p_alert,"À surveiller","Faible")))</f>
        <v/>
      </c>
      <c r="Z1062" s="58" t="str">
        <f>IF(W1062="","",IF(MIN(IF(T1062="",1,T1062),IF(U1062="",1,U1062),IF(V1062="",1,V1062))&gt;=1,"Aucune",IF(IF(T1062="",1,T1062)&lt;=MIN(IF(U1062="",1,U1062),IF(V1062="",1,V1062)),"Disponibilité",IF(IF(U1062="",1,U1062)&lt;=IF(V1062="",1,V1062),"Performance","Qualité"))))</f>
        <v/>
      </c>
      <c r="AA1062" s="59" t="str">
        <f>IF(AC1062=1,N(H1062)*N(IFERROR(INDEX(art_cost,MATCH(E1062,art_ref,0)),0)),"")</f>
        <v/>
      </c>
      <c r="AB1062" s="58" t="str">
        <f>IF(COUNTA(A1062:I1062)=0,"",IF(N(A1062)&lt;=0,"Date manquante ou invalide",IF(B1062="","Équipe manquante",IF(ISNA(MATCH(B1062,eq_code,0)),"Équipe inconnue",IF(INDEX(eq_check,MATCH(B1062,eq_code,0))&lt;&gt;"OK","Équipe à corriger dans Paramètres",IF(C1062="","Poste manquant",IF(ISNA(MATCH(C1062,po_code,0)),"Poste inconnu",IF(AND(E1062&lt;&gt;"",ISNA(MATCH(E1062,art_ref,0))),"Article inconnu",IF(IF(E1062="",FALSE,INDEX(art_check,MATCH(E1062,art_ref,0))&lt;&gt;"OK"),"Article à corriger (feuille Articles)",IF(COUNTIFS(sj_date,A1062,sj_eq,B1062,sj_po,C1062)&gt;1,"Ligne en double (même jour, équipe et poste)",IF(OR(NOT(ISNUMBER(K1062)),N(K1062)&lt;=0,N(K1062)&gt;1440),"Temps d'ouverture invalide",IF(OR(AND(G1062&lt;&gt;"",NOT(ISNUMBER(G1062))),N(G1062)&lt;0,N(G1062)&lt;&gt;INT(N(G1062)),AND(H1062&lt;&gt;"",NOT(ISNUMBER(H1062))),N(H1062)&lt;0,N(H1062)&lt;&gt;INT(N(H1062)),AND(I1062&lt;&gt;"",NOT(ISNUMBER(I1062))),N(I1062)&lt;0,N(I1062)&lt;&gt;INT(N(I1062))),"Quantité invalide",IF(Q1062&lt;=0,"Cadence manquante (poste ou article)",IF(M1062&lt;=0,"Arrêts planifiés supérieurs au temps d'ouverture",IF(O1062&lt;0,"Arrêts supérieurs au temps requis",IF(AND(P1062&gt;0,O1062=0),"Pièces déclarées sans temps de marche",IF(AND(P1062=0,O1062&gt;0),"Aucune pièce déclarée",IF(P1062*60/Q1062&gt;O1062+0.001,"Cadence dépassée : vérifiez la cadence","OK"))))))))))))))))))</f>
        <v/>
      </c>
      <c r="AC1062">
        <f>IF(OR(AB1062="OK",AB1062="Aucune pièce déclarée",AB1062="Cadence dépassée : vérifiez la cadence"),1,0)</f>
        <v>0.0</v>
      </c>
      <c r="AD1062">
        <f>IF(AND(AC1062=1,A1062&gt;=p_from,A1062&lt;=p_to),1,0)</f>
        <v>0.0</v>
      </c>
      <c r="AE1062">
        <f>IF(AD1062=1,IF(COUNTIFS($A$6:A1062,A1062,$AD$6:AD1062,1)=1,1,0),0)</f>
        <v>0.0</v>
      </c>
      <c r="AF1062" t="str">
        <f>IF(AE1062=1,COUNTIFS(sj_first,1,sj_date,"&lt;"&amp;A1062)+1,"")</f>
        <v/>
      </c>
      <c r="AG1062" t="str">
        <f>IF(AND(AD1062=1,N(W1062)&lt;p_alert),ROUND(W1062,4),"")</f>
        <v/>
      </c>
      <c r="AH1062" t="str">
        <f>IF(AG1062="","",COUNTIF(sj_akey,"&lt;"&amp;AG1062)+COUNTIF($AG$6:AG1062,AG1062))</f>
        <v/>
      </c>
    </row>
    <row r="1063">
      <c r="A1063" s="51" t="n"/>
      <c r="B1063" s="52" t="n"/>
      <c r="C1063" s="52" t="n"/>
      <c r="D1063" s="53" t="n"/>
      <c r="E1063" s="53" t="n"/>
      <c r="F1063" s="54" t="n"/>
      <c r="G1063" s="54" t="n"/>
      <c r="H1063" s="54" t="n"/>
      <c r="I1063" s="54" t="n"/>
      <c r="J1063" s="53" t="n"/>
      <c r="K1063" s="55" t="str">
        <f>IF(COUNTA(A1063:I1063)=0,"",IF(F1063="",IFERROR(INDEX(eq_dur,MATCH(B1063,eq_code,0)),""),F1063))</f>
        <v/>
      </c>
      <c r="L1063" s="55" t="str">
        <f>IF(ISNUMBER(K1063),N(IFERROR(INDEX(eq_pause,MATCH(B1063,eq_code,0)),0))+SUMIFS(st_min,st_date,A1063,st_eq,B1063,st_po,C1063,st_type,"Planifié"),"")</f>
        <v/>
      </c>
      <c r="M1063" s="55" t="str">
        <f>IF(ISNUMBER(K1063),K1063-L1063,"")</f>
        <v/>
      </c>
      <c r="N1063" s="55" t="str">
        <f>IF(ISNUMBER(K1063),SUMIFS(st_min,st_date,A1063,st_eq,B1063,st_po,C1063,st_type,"Non planifié"),"")</f>
        <v/>
      </c>
      <c r="O1063" s="55" t="str">
        <f>IF(ISNUMBER(K1063),M1063-N1063,"")</f>
        <v/>
      </c>
      <c r="P1063" s="55" t="str">
        <f>IF(COUNTA(A1063:I1063)=0,"",N(G1063)+N(H1063)+N(I1063))</f>
        <v/>
      </c>
      <c r="Q1063" s="56" t="str">
        <f>IF(COUNTA(A1063:I1063)=0,"",IF(N(IFERROR(INDEX(art_rate,MATCH(E1063,art_ref,0)),0))&gt;0,N(IFERROR(INDEX(art_rate,MATCH(E1063,art_ref,0)),0)),N(IFERROR(INDEX(po_rate,MATCH(C1063,po_code,0)),0))))</f>
        <v/>
      </c>
      <c r="R1063" s="55" t="str">
        <f>IF(AC1063=1,P1063*60/Q1063,"")</f>
        <v/>
      </c>
      <c r="S1063" s="55" t="str">
        <f>IF(AC1063=1,N(G1063)*60/Q1063,"")</f>
        <v/>
      </c>
      <c r="T1063" s="57" t="str">
        <f>IF(AC1063=1,O1063/M1063,"")</f>
        <v/>
      </c>
      <c r="U1063" s="57" t="str">
        <f>IF(AC1063=1,IF(O1063&gt;0,R1063/O1063,""),"")</f>
        <v/>
      </c>
      <c r="V1063" s="57" t="str">
        <f>IF(AC1063=1,IF(P1063&gt;0,N(G1063)/P1063,""),"")</f>
        <v/>
      </c>
      <c r="W1063" s="57" t="str">
        <f>IF(AC1063=1,S1063/M1063,"")</f>
        <v/>
      </c>
      <c r="X1063" s="57" t="str">
        <f>IF(AC1063=1,S1063/K1063,"")</f>
        <v/>
      </c>
      <c r="Y1063" s="58" t="str">
        <f>IF(W1063="","",IF(W1063&gt;=p_target,"Bon",IF(W1063&gt;=p_alert,"À surveiller","Faible")))</f>
        <v/>
      </c>
      <c r="Z1063" s="58" t="str">
        <f>IF(W1063="","",IF(MIN(IF(T1063="",1,T1063),IF(U1063="",1,U1063),IF(V1063="",1,V1063))&gt;=1,"Aucune",IF(IF(T1063="",1,T1063)&lt;=MIN(IF(U1063="",1,U1063),IF(V1063="",1,V1063)),"Disponibilité",IF(IF(U1063="",1,U1063)&lt;=IF(V1063="",1,V1063),"Performance","Qualité"))))</f>
        <v/>
      </c>
      <c r="AA1063" s="59" t="str">
        <f>IF(AC1063=1,N(H1063)*N(IFERROR(INDEX(art_cost,MATCH(E1063,art_ref,0)),0)),"")</f>
        <v/>
      </c>
      <c r="AB1063" s="58" t="str">
        <f>IF(COUNTA(A1063:I1063)=0,"",IF(N(A1063)&lt;=0,"Date manquante ou invalide",IF(B1063="","Équipe manquante",IF(ISNA(MATCH(B1063,eq_code,0)),"Équipe inconnue",IF(INDEX(eq_check,MATCH(B1063,eq_code,0))&lt;&gt;"OK","Équipe à corriger dans Paramètres",IF(C1063="","Poste manquant",IF(ISNA(MATCH(C1063,po_code,0)),"Poste inconnu",IF(AND(E1063&lt;&gt;"",ISNA(MATCH(E1063,art_ref,0))),"Article inconnu",IF(IF(E1063="",FALSE,INDEX(art_check,MATCH(E1063,art_ref,0))&lt;&gt;"OK"),"Article à corriger (feuille Articles)",IF(COUNTIFS(sj_date,A1063,sj_eq,B1063,sj_po,C1063)&gt;1,"Ligne en double (même jour, équipe et poste)",IF(OR(NOT(ISNUMBER(K1063)),N(K1063)&lt;=0,N(K1063)&gt;1440),"Temps d'ouverture invalide",IF(OR(AND(G1063&lt;&gt;"",NOT(ISNUMBER(G1063))),N(G1063)&lt;0,N(G1063)&lt;&gt;INT(N(G1063)),AND(H1063&lt;&gt;"",NOT(ISNUMBER(H1063))),N(H1063)&lt;0,N(H1063)&lt;&gt;INT(N(H1063)),AND(I1063&lt;&gt;"",NOT(ISNUMBER(I1063))),N(I1063)&lt;0,N(I1063)&lt;&gt;INT(N(I1063))),"Quantité invalide",IF(Q1063&lt;=0,"Cadence manquante (poste ou article)",IF(M1063&lt;=0,"Arrêts planifiés supérieurs au temps d'ouverture",IF(O1063&lt;0,"Arrêts supérieurs au temps requis",IF(AND(P1063&gt;0,O1063=0),"Pièces déclarées sans temps de marche",IF(AND(P1063=0,O1063&gt;0),"Aucune pièce déclarée",IF(P1063*60/Q1063&gt;O1063+0.001,"Cadence dépassée : vérifiez la cadence","OK"))))))))))))))))))</f>
        <v/>
      </c>
      <c r="AC1063">
        <f>IF(OR(AB1063="OK",AB1063="Aucune pièce déclarée",AB1063="Cadence dépassée : vérifiez la cadence"),1,0)</f>
        <v>0.0</v>
      </c>
      <c r="AD1063">
        <f>IF(AND(AC1063=1,A1063&gt;=p_from,A1063&lt;=p_to),1,0)</f>
        <v>0.0</v>
      </c>
      <c r="AE1063">
        <f>IF(AD1063=1,IF(COUNTIFS($A$6:A1063,A1063,$AD$6:AD1063,1)=1,1,0),0)</f>
        <v>0.0</v>
      </c>
      <c r="AF1063" t="str">
        <f>IF(AE1063=1,COUNTIFS(sj_first,1,sj_date,"&lt;"&amp;A1063)+1,"")</f>
        <v/>
      </c>
      <c r="AG1063" t="str">
        <f>IF(AND(AD1063=1,N(W1063)&lt;p_alert),ROUND(W1063,4),"")</f>
        <v/>
      </c>
      <c r="AH1063" t="str">
        <f>IF(AG1063="","",COUNTIF(sj_akey,"&lt;"&amp;AG1063)+COUNTIF($AG$6:AG1063,AG1063))</f>
        <v/>
      </c>
    </row>
    <row r="1064">
      <c r="A1064" s="51" t="n"/>
      <c r="B1064" s="52" t="n"/>
      <c r="C1064" s="52" t="n"/>
      <c r="D1064" s="53" t="n"/>
      <c r="E1064" s="53" t="n"/>
      <c r="F1064" s="54" t="n"/>
      <c r="G1064" s="54" t="n"/>
      <c r="H1064" s="54" t="n"/>
      <c r="I1064" s="54" t="n"/>
      <c r="J1064" s="53" t="n"/>
      <c r="K1064" s="55" t="str">
        <f>IF(COUNTA(A1064:I1064)=0,"",IF(F1064="",IFERROR(INDEX(eq_dur,MATCH(B1064,eq_code,0)),""),F1064))</f>
        <v/>
      </c>
      <c r="L1064" s="55" t="str">
        <f>IF(ISNUMBER(K1064),N(IFERROR(INDEX(eq_pause,MATCH(B1064,eq_code,0)),0))+SUMIFS(st_min,st_date,A1064,st_eq,B1064,st_po,C1064,st_type,"Planifié"),"")</f>
        <v/>
      </c>
      <c r="M1064" s="55" t="str">
        <f>IF(ISNUMBER(K1064),K1064-L1064,"")</f>
        <v/>
      </c>
      <c r="N1064" s="55" t="str">
        <f>IF(ISNUMBER(K1064),SUMIFS(st_min,st_date,A1064,st_eq,B1064,st_po,C1064,st_type,"Non planifié"),"")</f>
        <v/>
      </c>
      <c r="O1064" s="55" t="str">
        <f>IF(ISNUMBER(K1064),M1064-N1064,"")</f>
        <v/>
      </c>
      <c r="P1064" s="55" t="str">
        <f>IF(COUNTA(A1064:I1064)=0,"",N(G1064)+N(H1064)+N(I1064))</f>
        <v/>
      </c>
      <c r="Q1064" s="56" t="str">
        <f>IF(COUNTA(A1064:I1064)=0,"",IF(N(IFERROR(INDEX(art_rate,MATCH(E1064,art_ref,0)),0))&gt;0,N(IFERROR(INDEX(art_rate,MATCH(E1064,art_ref,0)),0)),N(IFERROR(INDEX(po_rate,MATCH(C1064,po_code,0)),0))))</f>
        <v/>
      </c>
      <c r="R1064" s="55" t="str">
        <f>IF(AC1064=1,P1064*60/Q1064,"")</f>
        <v/>
      </c>
      <c r="S1064" s="55" t="str">
        <f>IF(AC1064=1,N(G1064)*60/Q1064,"")</f>
        <v/>
      </c>
      <c r="T1064" s="57" t="str">
        <f>IF(AC1064=1,O1064/M1064,"")</f>
        <v/>
      </c>
      <c r="U1064" s="57" t="str">
        <f>IF(AC1064=1,IF(O1064&gt;0,R1064/O1064,""),"")</f>
        <v/>
      </c>
      <c r="V1064" s="57" t="str">
        <f>IF(AC1064=1,IF(P1064&gt;0,N(G1064)/P1064,""),"")</f>
        <v/>
      </c>
      <c r="W1064" s="57" t="str">
        <f>IF(AC1064=1,S1064/M1064,"")</f>
        <v/>
      </c>
      <c r="X1064" s="57" t="str">
        <f>IF(AC1064=1,S1064/K1064,"")</f>
        <v/>
      </c>
      <c r="Y1064" s="58" t="str">
        <f>IF(W1064="","",IF(W1064&gt;=p_target,"Bon",IF(W1064&gt;=p_alert,"À surveiller","Faible")))</f>
        <v/>
      </c>
      <c r="Z1064" s="58" t="str">
        <f>IF(W1064="","",IF(MIN(IF(T1064="",1,T1064),IF(U1064="",1,U1064),IF(V1064="",1,V1064))&gt;=1,"Aucune",IF(IF(T1064="",1,T1064)&lt;=MIN(IF(U1064="",1,U1064),IF(V1064="",1,V1064)),"Disponibilité",IF(IF(U1064="",1,U1064)&lt;=IF(V1064="",1,V1064),"Performance","Qualité"))))</f>
        <v/>
      </c>
      <c r="AA1064" s="59" t="str">
        <f>IF(AC1064=1,N(H1064)*N(IFERROR(INDEX(art_cost,MATCH(E1064,art_ref,0)),0)),"")</f>
        <v/>
      </c>
      <c r="AB1064" s="58" t="str">
        <f>IF(COUNTA(A1064:I1064)=0,"",IF(N(A1064)&lt;=0,"Date manquante ou invalide",IF(B1064="","Équipe manquante",IF(ISNA(MATCH(B1064,eq_code,0)),"Équipe inconnue",IF(INDEX(eq_check,MATCH(B1064,eq_code,0))&lt;&gt;"OK","Équipe à corriger dans Paramètres",IF(C1064="","Poste manquant",IF(ISNA(MATCH(C1064,po_code,0)),"Poste inconnu",IF(AND(E1064&lt;&gt;"",ISNA(MATCH(E1064,art_ref,0))),"Article inconnu",IF(IF(E1064="",FALSE,INDEX(art_check,MATCH(E1064,art_ref,0))&lt;&gt;"OK"),"Article à corriger (feuille Articles)",IF(COUNTIFS(sj_date,A1064,sj_eq,B1064,sj_po,C1064)&gt;1,"Ligne en double (même jour, équipe et poste)",IF(OR(NOT(ISNUMBER(K1064)),N(K1064)&lt;=0,N(K1064)&gt;1440),"Temps d'ouverture invalide",IF(OR(AND(G1064&lt;&gt;"",NOT(ISNUMBER(G1064))),N(G1064)&lt;0,N(G1064)&lt;&gt;INT(N(G1064)),AND(H1064&lt;&gt;"",NOT(ISNUMBER(H1064))),N(H1064)&lt;0,N(H1064)&lt;&gt;INT(N(H1064)),AND(I1064&lt;&gt;"",NOT(ISNUMBER(I1064))),N(I1064)&lt;0,N(I1064)&lt;&gt;INT(N(I1064))),"Quantité invalide",IF(Q1064&lt;=0,"Cadence manquante (poste ou article)",IF(M1064&lt;=0,"Arrêts planifiés supérieurs au temps d'ouverture",IF(O1064&lt;0,"Arrêts supérieurs au temps requis",IF(AND(P1064&gt;0,O1064=0),"Pièces déclarées sans temps de marche",IF(AND(P1064=0,O1064&gt;0),"Aucune pièce déclarée",IF(P1064*60/Q1064&gt;O1064+0.001,"Cadence dépassée : vérifiez la cadence","OK"))))))))))))))))))</f>
        <v/>
      </c>
      <c r="AC1064">
        <f>IF(OR(AB1064="OK",AB1064="Aucune pièce déclarée",AB1064="Cadence dépassée : vérifiez la cadence"),1,0)</f>
        <v>0.0</v>
      </c>
      <c r="AD1064">
        <f>IF(AND(AC1064=1,A1064&gt;=p_from,A1064&lt;=p_to),1,0)</f>
        <v>0.0</v>
      </c>
      <c r="AE1064">
        <f>IF(AD1064=1,IF(COUNTIFS($A$6:A1064,A1064,$AD$6:AD1064,1)=1,1,0),0)</f>
        <v>0.0</v>
      </c>
      <c r="AF1064" t="str">
        <f>IF(AE1064=1,COUNTIFS(sj_first,1,sj_date,"&lt;"&amp;A1064)+1,"")</f>
        <v/>
      </c>
      <c r="AG1064" t="str">
        <f>IF(AND(AD1064=1,N(W1064)&lt;p_alert),ROUND(W1064,4),"")</f>
        <v/>
      </c>
      <c r="AH1064" t="str">
        <f>IF(AG1064="","",COUNTIF(sj_akey,"&lt;"&amp;AG1064)+COUNTIF($AG$6:AG1064,AG1064))</f>
        <v/>
      </c>
    </row>
    <row r="1065">
      <c r="A1065" s="51" t="n"/>
      <c r="B1065" s="52" t="n"/>
      <c r="C1065" s="52" t="n"/>
      <c r="D1065" s="53" t="n"/>
      <c r="E1065" s="53" t="n"/>
      <c r="F1065" s="54" t="n"/>
      <c r="G1065" s="54" t="n"/>
      <c r="H1065" s="54" t="n"/>
      <c r="I1065" s="54" t="n"/>
      <c r="J1065" s="53" t="n"/>
      <c r="K1065" s="55" t="str">
        <f>IF(COUNTA(A1065:I1065)=0,"",IF(F1065="",IFERROR(INDEX(eq_dur,MATCH(B1065,eq_code,0)),""),F1065))</f>
        <v/>
      </c>
      <c r="L1065" s="55" t="str">
        <f>IF(ISNUMBER(K1065),N(IFERROR(INDEX(eq_pause,MATCH(B1065,eq_code,0)),0))+SUMIFS(st_min,st_date,A1065,st_eq,B1065,st_po,C1065,st_type,"Planifié"),"")</f>
        <v/>
      </c>
      <c r="M1065" s="55" t="str">
        <f>IF(ISNUMBER(K1065),K1065-L1065,"")</f>
        <v/>
      </c>
      <c r="N1065" s="55" t="str">
        <f>IF(ISNUMBER(K1065),SUMIFS(st_min,st_date,A1065,st_eq,B1065,st_po,C1065,st_type,"Non planifié"),"")</f>
        <v/>
      </c>
      <c r="O1065" s="55" t="str">
        <f>IF(ISNUMBER(K1065),M1065-N1065,"")</f>
        <v/>
      </c>
      <c r="P1065" s="55" t="str">
        <f>IF(COUNTA(A1065:I1065)=0,"",N(G1065)+N(H1065)+N(I1065))</f>
        <v/>
      </c>
      <c r="Q1065" s="56" t="str">
        <f>IF(COUNTA(A1065:I1065)=0,"",IF(N(IFERROR(INDEX(art_rate,MATCH(E1065,art_ref,0)),0))&gt;0,N(IFERROR(INDEX(art_rate,MATCH(E1065,art_ref,0)),0)),N(IFERROR(INDEX(po_rate,MATCH(C1065,po_code,0)),0))))</f>
        <v/>
      </c>
      <c r="R1065" s="55" t="str">
        <f>IF(AC1065=1,P1065*60/Q1065,"")</f>
        <v/>
      </c>
      <c r="S1065" s="55" t="str">
        <f>IF(AC1065=1,N(G1065)*60/Q1065,"")</f>
        <v/>
      </c>
      <c r="T1065" s="57" t="str">
        <f>IF(AC1065=1,O1065/M1065,"")</f>
        <v/>
      </c>
      <c r="U1065" s="57" t="str">
        <f>IF(AC1065=1,IF(O1065&gt;0,R1065/O1065,""),"")</f>
        <v/>
      </c>
      <c r="V1065" s="57" t="str">
        <f>IF(AC1065=1,IF(P1065&gt;0,N(G1065)/P1065,""),"")</f>
        <v/>
      </c>
      <c r="W1065" s="57" t="str">
        <f>IF(AC1065=1,S1065/M1065,"")</f>
        <v/>
      </c>
      <c r="X1065" s="57" t="str">
        <f>IF(AC1065=1,S1065/K1065,"")</f>
        <v/>
      </c>
      <c r="Y1065" s="58" t="str">
        <f>IF(W1065="","",IF(W1065&gt;=p_target,"Bon",IF(W1065&gt;=p_alert,"À surveiller","Faible")))</f>
        <v/>
      </c>
      <c r="Z1065" s="58" t="str">
        <f>IF(W1065="","",IF(MIN(IF(T1065="",1,T1065),IF(U1065="",1,U1065),IF(V1065="",1,V1065))&gt;=1,"Aucune",IF(IF(T1065="",1,T1065)&lt;=MIN(IF(U1065="",1,U1065),IF(V1065="",1,V1065)),"Disponibilité",IF(IF(U1065="",1,U1065)&lt;=IF(V1065="",1,V1065),"Performance","Qualité"))))</f>
        <v/>
      </c>
      <c r="AA1065" s="59" t="str">
        <f>IF(AC1065=1,N(H1065)*N(IFERROR(INDEX(art_cost,MATCH(E1065,art_ref,0)),0)),"")</f>
        <v/>
      </c>
      <c r="AB1065" s="58" t="str">
        <f>IF(COUNTA(A1065:I1065)=0,"",IF(N(A1065)&lt;=0,"Date manquante ou invalide",IF(B1065="","Équipe manquante",IF(ISNA(MATCH(B1065,eq_code,0)),"Équipe inconnue",IF(INDEX(eq_check,MATCH(B1065,eq_code,0))&lt;&gt;"OK","Équipe à corriger dans Paramètres",IF(C1065="","Poste manquant",IF(ISNA(MATCH(C1065,po_code,0)),"Poste inconnu",IF(AND(E1065&lt;&gt;"",ISNA(MATCH(E1065,art_ref,0))),"Article inconnu",IF(IF(E1065="",FALSE,INDEX(art_check,MATCH(E1065,art_ref,0))&lt;&gt;"OK"),"Article à corriger (feuille Articles)",IF(COUNTIFS(sj_date,A1065,sj_eq,B1065,sj_po,C1065)&gt;1,"Ligne en double (même jour, équipe et poste)",IF(OR(NOT(ISNUMBER(K1065)),N(K1065)&lt;=0,N(K1065)&gt;1440),"Temps d'ouverture invalide",IF(OR(AND(G1065&lt;&gt;"",NOT(ISNUMBER(G1065))),N(G1065)&lt;0,N(G1065)&lt;&gt;INT(N(G1065)),AND(H1065&lt;&gt;"",NOT(ISNUMBER(H1065))),N(H1065)&lt;0,N(H1065)&lt;&gt;INT(N(H1065)),AND(I1065&lt;&gt;"",NOT(ISNUMBER(I1065))),N(I1065)&lt;0,N(I1065)&lt;&gt;INT(N(I1065))),"Quantité invalide",IF(Q1065&lt;=0,"Cadence manquante (poste ou article)",IF(M1065&lt;=0,"Arrêts planifiés supérieurs au temps d'ouverture",IF(O1065&lt;0,"Arrêts supérieurs au temps requis",IF(AND(P1065&gt;0,O1065=0),"Pièces déclarées sans temps de marche",IF(AND(P1065=0,O1065&gt;0),"Aucune pièce déclarée",IF(P1065*60/Q1065&gt;O1065+0.001,"Cadence dépassée : vérifiez la cadence","OK"))))))))))))))))))</f>
        <v/>
      </c>
      <c r="AC1065">
        <f>IF(OR(AB1065="OK",AB1065="Aucune pièce déclarée",AB1065="Cadence dépassée : vérifiez la cadence"),1,0)</f>
        <v>0.0</v>
      </c>
      <c r="AD1065">
        <f>IF(AND(AC1065=1,A1065&gt;=p_from,A1065&lt;=p_to),1,0)</f>
        <v>0.0</v>
      </c>
      <c r="AE1065">
        <f>IF(AD1065=1,IF(COUNTIFS($A$6:A1065,A1065,$AD$6:AD1065,1)=1,1,0),0)</f>
        <v>0.0</v>
      </c>
      <c r="AF1065" t="str">
        <f>IF(AE1065=1,COUNTIFS(sj_first,1,sj_date,"&lt;"&amp;A1065)+1,"")</f>
        <v/>
      </c>
      <c r="AG1065" t="str">
        <f>IF(AND(AD1065=1,N(W1065)&lt;p_alert),ROUND(W1065,4),"")</f>
        <v/>
      </c>
      <c r="AH1065" t="str">
        <f>IF(AG1065="","",COUNTIF(sj_akey,"&lt;"&amp;AG1065)+COUNTIF($AG$6:AG1065,AG1065))</f>
        <v/>
      </c>
    </row>
    <row r="1066">
      <c r="A1066" s="51" t="n"/>
      <c r="B1066" s="52" t="n"/>
      <c r="C1066" s="52" t="n"/>
      <c r="D1066" s="53" t="n"/>
      <c r="E1066" s="53" t="n"/>
      <c r="F1066" s="54" t="n"/>
      <c r="G1066" s="54" t="n"/>
      <c r="H1066" s="54" t="n"/>
      <c r="I1066" s="54" t="n"/>
      <c r="J1066" s="53" t="n"/>
      <c r="K1066" s="55" t="str">
        <f>IF(COUNTA(A1066:I1066)=0,"",IF(F1066="",IFERROR(INDEX(eq_dur,MATCH(B1066,eq_code,0)),""),F1066))</f>
        <v/>
      </c>
      <c r="L1066" s="55" t="str">
        <f>IF(ISNUMBER(K1066),N(IFERROR(INDEX(eq_pause,MATCH(B1066,eq_code,0)),0))+SUMIFS(st_min,st_date,A1066,st_eq,B1066,st_po,C1066,st_type,"Planifié"),"")</f>
        <v/>
      </c>
      <c r="M1066" s="55" t="str">
        <f>IF(ISNUMBER(K1066),K1066-L1066,"")</f>
        <v/>
      </c>
      <c r="N1066" s="55" t="str">
        <f>IF(ISNUMBER(K1066),SUMIFS(st_min,st_date,A1066,st_eq,B1066,st_po,C1066,st_type,"Non planifié"),"")</f>
        <v/>
      </c>
      <c r="O1066" s="55" t="str">
        <f>IF(ISNUMBER(K1066),M1066-N1066,"")</f>
        <v/>
      </c>
      <c r="P1066" s="55" t="str">
        <f>IF(COUNTA(A1066:I1066)=0,"",N(G1066)+N(H1066)+N(I1066))</f>
        <v/>
      </c>
      <c r="Q1066" s="56" t="str">
        <f>IF(COUNTA(A1066:I1066)=0,"",IF(N(IFERROR(INDEX(art_rate,MATCH(E1066,art_ref,0)),0))&gt;0,N(IFERROR(INDEX(art_rate,MATCH(E1066,art_ref,0)),0)),N(IFERROR(INDEX(po_rate,MATCH(C1066,po_code,0)),0))))</f>
        <v/>
      </c>
      <c r="R1066" s="55" t="str">
        <f>IF(AC1066=1,P1066*60/Q1066,"")</f>
        <v/>
      </c>
      <c r="S1066" s="55" t="str">
        <f>IF(AC1066=1,N(G1066)*60/Q1066,"")</f>
        <v/>
      </c>
      <c r="T1066" s="57" t="str">
        <f>IF(AC1066=1,O1066/M1066,"")</f>
        <v/>
      </c>
      <c r="U1066" s="57" t="str">
        <f>IF(AC1066=1,IF(O1066&gt;0,R1066/O1066,""),"")</f>
        <v/>
      </c>
      <c r="V1066" s="57" t="str">
        <f>IF(AC1066=1,IF(P1066&gt;0,N(G1066)/P1066,""),"")</f>
        <v/>
      </c>
      <c r="W1066" s="57" t="str">
        <f>IF(AC1066=1,S1066/M1066,"")</f>
        <v/>
      </c>
      <c r="X1066" s="57" t="str">
        <f>IF(AC1066=1,S1066/K1066,"")</f>
        <v/>
      </c>
      <c r="Y1066" s="58" t="str">
        <f>IF(W1066="","",IF(W1066&gt;=p_target,"Bon",IF(W1066&gt;=p_alert,"À surveiller","Faible")))</f>
        <v/>
      </c>
      <c r="Z1066" s="58" t="str">
        <f>IF(W1066="","",IF(MIN(IF(T1066="",1,T1066),IF(U1066="",1,U1066),IF(V1066="",1,V1066))&gt;=1,"Aucune",IF(IF(T1066="",1,T1066)&lt;=MIN(IF(U1066="",1,U1066),IF(V1066="",1,V1066)),"Disponibilité",IF(IF(U1066="",1,U1066)&lt;=IF(V1066="",1,V1066),"Performance","Qualité"))))</f>
        <v/>
      </c>
      <c r="AA1066" s="59" t="str">
        <f>IF(AC1066=1,N(H1066)*N(IFERROR(INDEX(art_cost,MATCH(E1066,art_ref,0)),0)),"")</f>
        <v/>
      </c>
      <c r="AB1066" s="58" t="str">
        <f>IF(COUNTA(A1066:I1066)=0,"",IF(N(A1066)&lt;=0,"Date manquante ou invalide",IF(B1066="","Équipe manquante",IF(ISNA(MATCH(B1066,eq_code,0)),"Équipe inconnue",IF(INDEX(eq_check,MATCH(B1066,eq_code,0))&lt;&gt;"OK","Équipe à corriger dans Paramètres",IF(C1066="","Poste manquant",IF(ISNA(MATCH(C1066,po_code,0)),"Poste inconnu",IF(AND(E1066&lt;&gt;"",ISNA(MATCH(E1066,art_ref,0))),"Article inconnu",IF(IF(E1066="",FALSE,INDEX(art_check,MATCH(E1066,art_ref,0))&lt;&gt;"OK"),"Article à corriger (feuille Articles)",IF(COUNTIFS(sj_date,A1066,sj_eq,B1066,sj_po,C1066)&gt;1,"Ligne en double (même jour, équipe et poste)",IF(OR(NOT(ISNUMBER(K1066)),N(K1066)&lt;=0,N(K1066)&gt;1440),"Temps d'ouverture invalide",IF(OR(AND(G1066&lt;&gt;"",NOT(ISNUMBER(G1066))),N(G1066)&lt;0,N(G1066)&lt;&gt;INT(N(G1066)),AND(H1066&lt;&gt;"",NOT(ISNUMBER(H1066))),N(H1066)&lt;0,N(H1066)&lt;&gt;INT(N(H1066)),AND(I1066&lt;&gt;"",NOT(ISNUMBER(I1066))),N(I1066)&lt;0,N(I1066)&lt;&gt;INT(N(I1066))),"Quantité invalide",IF(Q1066&lt;=0,"Cadence manquante (poste ou article)",IF(M1066&lt;=0,"Arrêts planifiés supérieurs au temps d'ouverture",IF(O1066&lt;0,"Arrêts supérieurs au temps requis",IF(AND(P1066&gt;0,O1066=0),"Pièces déclarées sans temps de marche",IF(AND(P1066=0,O1066&gt;0),"Aucune pièce déclarée",IF(P1066*60/Q1066&gt;O1066+0.001,"Cadence dépassée : vérifiez la cadence","OK"))))))))))))))))))</f>
        <v/>
      </c>
      <c r="AC1066">
        <f>IF(OR(AB1066="OK",AB1066="Aucune pièce déclarée",AB1066="Cadence dépassée : vérifiez la cadence"),1,0)</f>
        <v>0.0</v>
      </c>
      <c r="AD1066">
        <f>IF(AND(AC1066=1,A1066&gt;=p_from,A1066&lt;=p_to),1,0)</f>
        <v>0.0</v>
      </c>
      <c r="AE1066">
        <f>IF(AD1066=1,IF(COUNTIFS($A$6:A1066,A1066,$AD$6:AD1066,1)=1,1,0),0)</f>
        <v>0.0</v>
      </c>
      <c r="AF1066" t="str">
        <f>IF(AE1066=1,COUNTIFS(sj_first,1,sj_date,"&lt;"&amp;A1066)+1,"")</f>
        <v/>
      </c>
      <c r="AG1066" t="str">
        <f>IF(AND(AD1066=1,N(W1066)&lt;p_alert),ROUND(W1066,4),"")</f>
        <v/>
      </c>
      <c r="AH1066" t="str">
        <f>IF(AG1066="","",COUNTIF(sj_akey,"&lt;"&amp;AG1066)+COUNTIF($AG$6:AG1066,AG1066))</f>
        <v/>
      </c>
    </row>
    <row r="1067">
      <c r="A1067" s="51" t="n"/>
      <c r="B1067" s="52" t="n"/>
      <c r="C1067" s="52" t="n"/>
      <c r="D1067" s="53" t="n"/>
      <c r="E1067" s="53" t="n"/>
      <c r="F1067" s="54" t="n"/>
      <c r="G1067" s="54" t="n"/>
      <c r="H1067" s="54" t="n"/>
      <c r="I1067" s="54" t="n"/>
      <c r="J1067" s="53" t="n"/>
      <c r="K1067" s="55" t="str">
        <f>IF(COUNTA(A1067:I1067)=0,"",IF(F1067="",IFERROR(INDEX(eq_dur,MATCH(B1067,eq_code,0)),""),F1067))</f>
        <v/>
      </c>
      <c r="L1067" s="55" t="str">
        <f>IF(ISNUMBER(K1067),N(IFERROR(INDEX(eq_pause,MATCH(B1067,eq_code,0)),0))+SUMIFS(st_min,st_date,A1067,st_eq,B1067,st_po,C1067,st_type,"Planifié"),"")</f>
        <v/>
      </c>
      <c r="M1067" s="55" t="str">
        <f>IF(ISNUMBER(K1067),K1067-L1067,"")</f>
        <v/>
      </c>
      <c r="N1067" s="55" t="str">
        <f>IF(ISNUMBER(K1067),SUMIFS(st_min,st_date,A1067,st_eq,B1067,st_po,C1067,st_type,"Non planifié"),"")</f>
        <v/>
      </c>
      <c r="O1067" s="55" t="str">
        <f>IF(ISNUMBER(K1067),M1067-N1067,"")</f>
        <v/>
      </c>
      <c r="P1067" s="55" t="str">
        <f>IF(COUNTA(A1067:I1067)=0,"",N(G1067)+N(H1067)+N(I1067))</f>
        <v/>
      </c>
      <c r="Q1067" s="56" t="str">
        <f>IF(COUNTA(A1067:I1067)=0,"",IF(N(IFERROR(INDEX(art_rate,MATCH(E1067,art_ref,0)),0))&gt;0,N(IFERROR(INDEX(art_rate,MATCH(E1067,art_ref,0)),0)),N(IFERROR(INDEX(po_rate,MATCH(C1067,po_code,0)),0))))</f>
        <v/>
      </c>
      <c r="R1067" s="55" t="str">
        <f>IF(AC1067=1,P1067*60/Q1067,"")</f>
        <v/>
      </c>
      <c r="S1067" s="55" t="str">
        <f>IF(AC1067=1,N(G1067)*60/Q1067,"")</f>
        <v/>
      </c>
      <c r="T1067" s="57" t="str">
        <f>IF(AC1067=1,O1067/M1067,"")</f>
        <v/>
      </c>
      <c r="U1067" s="57" t="str">
        <f>IF(AC1067=1,IF(O1067&gt;0,R1067/O1067,""),"")</f>
        <v/>
      </c>
      <c r="V1067" s="57" t="str">
        <f>IF(AC1067=1,IF(P1067&gt;0,N(G1067)/P1067,""),"")</f>
        <v/>
      </c>
      <c r="W1067" s="57" t="str">
        <f>IF(AC1067=1,S1067/M1067,"")</f>
        <v/>
      </c>
      <c r="X1067" s="57" t="str">
        <f>IF(AC1067=1,S1067/K1067,"")</f>
        <v/>
      </c>
      <c r="Y1067" s="58" t="str">
        <f>IF(W1067="","",IF(W1067&gt;=p_target,"Bon",IF(W1067&gt;=p_alert,"À surveiller","Faible")))</f>
        <v/>
      </c>
      <c r="Z1067" s="58" t="str">
        <f>IF(W1067="","",IF(MIN(IF(T1067="",1,T1067),IF(U1067="",1,U1067),IF(V1067="",1,V1067))&gt;=1,"Aucune",IF(IF(T1067="",1,T1067)&lt;=MIN(IF(U1067="",1,U1067),IF(V1067="",1,V1067)),"Disponibilité",IF(IF(U1067="",1,U1067)&lt;=IF(V1067="",1,V1067),"Performance","Qualité"))))</f>
        <v/>
      </c>
      <c r="AA1067" s="59" t="str">
        <f>IF(AC1067=1,N(H1067)*N(IFERROR(INDEX(art_cost,MATCH(E1067,art_ref,0)),0)),"")</f>
        <v/>
      </c>
      <c r="AB1067" s="58" t="str">
        <f>IF(COUNTA(A1067:I1067)=0,"",IF(N(A1067)&lt;=0,"Date manquante ou invalide",IF(B1067="","Équipe manquante",IF(ISNA(MATCH(B1067,eq_code,0)),"Équipe inconnue",IF(INDEX(eq_check,MATCH(B1067,eq_code,0))&lt;&gt;"OK","Équipe à corriger dans Paramètres",IF(C1067="","Poste manquant",IF(ISNA(MATCH(C1067,po_code,0)),"Poste inconnu",IF(AND(E1067&lt;&gt;"",ISNA(MATCH(E1067,art_ref,0))),"Article inconnu",IF(IF(E1067="",FALSE,INDEX(art_check,MATCH(E1067,art_ref,0))&lt;&gt;"OK"),"Article à corriger (feuille Articles)",IF(COUNTIFS(sj_date,A1067,sj_eq,B1067,sj_po,C1067)&gt;1,"Ligne en double (même jour, équipe et poste)",IF(OR(NOT(ISNUMBER(K1067)),N(K1067)&lt;=0,N(K1067)&gt;1440),"Temps d'ouverture invalide",IF(OR(AND(G1067&lt;&gt;"",NOT(ISNUMBER(G1067))),N(G1067)&lt;0,N(G1067)&lt;&gt;INT(N(G1067)),AND(H1067&lt;&gt;"",NOT(ISNUMBER(H1067))),N(H1067)&lt;0,N(H1067)&lt;&gt;INT(N(H1067)),AND(I1067&lt;&gt;"",NOT(ISNUMBER(I1067))),N(I1067)&lt;0,N(I1067)&lt;&gt;INT(N(I1067))),"Quantité invalide",IF(Q1067&lt;=0,"Cadence manquante (poste ou article)",IF(M1067&lt;=0,"Arrêts planifiés supérieurs au temps d'ouverture",IF(O1067&lt;0,"Arrêts supérieurs au temps requis",IF(AND(P1067&gt;0,O1067=0),"Pièces déclarées sans temps de marche",IF(AND(P1067=0,O1067&gt;0),"Aucune pièce déclarée",IF(P1067*60/Q1067&gt;O1067+0.001,"Cadence dépassée : vérifiez la cadence","OK"))))))))))))))))))</f>
        <v/>
      </c>
      <c r="AC1067">
        <f>IF(OR(AB1067="OK",AB1067="Aucune pièce déclarée",AB1067="Cadence dépassée : vérifiez la cadence"),1,0)</f>
        <v>0.0</v>
      </c>
      <c r="AD1067">
        <f>IF(AND(AC1067=1,A1067&gt;=p_from,A1067&lt;=p_to),1,0)</f>
        <v>0.0</v>
      </c>
      <c r="AE1067">
        <f>IF(AD1067=1,IF(COUNTIFS($A$6:A1067,A1067,$AD$6:AD1067,1)=1,1,0),0)</f>
        <v>0.0</v>
      </c>
      <c r="AF1067" t="str">
        <f>IF(AE1067=1,COUNTIFS(sj_first,1,sj_date,"&lt;"&amp;A1067)+1,"")</f>
        <v/>
      </c>
      <c r="AG1067" t="str">
        <f>IF(AND(AD1067=1,N(W1067)&lt;p_alert),ROUND(W1067,4),"")</f>
        <v/>
      </c>
      <c r="AH1067" t="str">
        <f>IF(AG1067="","",COUNTIF(sj_akey,"&lt;"&amp;AG1067)+COUNTIF($AG$6:AG1067,AG1067))</f>
        <v/>
      </c>
    </row>
    <row r="1068">
      <c r="A1068" s="51" t="n"/>
      <c r="B1068" s="52" t="n"/>
      <c r="C1068" s="52" t="n"/>
      <c r="D1068" s="53" t="n"/>
      <c r="E1068" s="53" t="n"/>
      <c r="F1068" s="54" t="n"/>
      <c r="G1068" s="54" t="n"/>
      <c r="H1068" s="54" t="n"/>
      <c r="I1068" s="54" t="n"/>
      <c r="J1068" s="53" t="n"/>
      <c r="K1068" s="55" t="str">
        <f>IF(COUNTA(A1068:I1068)=0,"",IF(F1068="",IFERROR(INDEX(eq_dur,MATCH(B1068,eq_code,0)),""),F1068))</f>
        <v/>
      </c>
      <c r="L1068" s="55" t="str">
        <f>IF(ISNUMBER(K1068),N(IFERROR(INDEX(eq_pause,MATCH(B1068,eq_code,0)),0))+SUMIFS(st_min,st_date,A1068,st_eq,B1068,st_po,C1068,st_type,"Planifié"),"")</f>
        <v/>
      </c>
      <c r="M1068" s="55" t="str">
        <f>IF(ISNUMBER(K1068),K1068-L1068,"")</f>
        <v/>
      </c>
      <c r="N1068" s="55" t="str">
        <f>IF(ISNUMBER(K1068),SUMIFS(st_min,st_date,A1068,st_eq,B1068,st_po,C1068,st_type,"Non planifié"),"")</f>
        <v/>
      </c>
      <c r="O1068" s="55" t="str">
        <f>IF(ISNUMBER(K1068),M1068-N1068,"")</f>
        <v/>
      </c>
      <c r="P1068" s="55" t="str">
        <f>IF(COUNTA(A1068:I1068)=0,"",N(G1068)+N(H1068)+N(I1068))</f>
        <v/>
      </c>
      <c r="Q1068" s="56" t="str">
        <f>IF(COUNTA(A1068:I1068)=0,"",IF(N(IFERROR(INDEX(art_rate,MATCH(E1068,art_ref,0)),0))&gt;0,N(IFERROR(INDEX(art_rate,MATCH(E1068,art_ref,0)),0)),N(IFERROR(INDEX(po_rate,MATCH(C1068,po_code,0)),0))))</f>
        <v/>
      </c>
      <c r="R1068" s="55" t="str">
        <f>IF(AC1068=1,P1068*60/Q1068,"")</f>
        <v/>
      </c>
      <c r="S1068" s="55" t="str">
        <f>IF(AC1068=1,N(G1068)*60/Q1068,"")</f>
        <v/>
      </c>
      <c r="T1068" s="57" t="str">
        <f>IF(AC1068=1,O1068/M1068,"")</f>
        <v/>
      </c>
      <c r="U1068" s="57" t="str">
        <f>IF(AC1068=1,IF(O1068&gt;0,R1068/O1068,""),"")</f>
        <v/>
      </c>
      <c r="V1068" s="57" t="str">
        <f>IF(AC1068=1,IF(P1068&gt;0,N(G1068)/P1068,""),"")</f>
        <v/>
      </c>
      <c r="W1068" s="57" t="str">
        <f>IF(AC1068=1,S1068/M1068,"")</f>
        <v/>
      </c>
      <c r="X1068" s="57" t="str">
        <f>IF(AC1068=1,S1068/K1068,"")</f>
        <v/>
      </c>
      <c r="Y1068" s="58" t="str">
        <f>IF(W1068="","",IF(W1068&gt;=p_target,"Bon",IF(W1068&gt;=p_alert,"À surveiller","Faible")))</f>
        <v/>
      </c>
      <c r="Z1068" s="58" t="str">
        <f>IF(W1068="","",IF(MIN(IF(T1068="",1,T1068),IF(U1068="",1,U1068),IF(V1068="",1,V1068))&gt;=1,"Aucune",IF(IF(T1068="",1,T1068)&lt;=MIN(IF(U1068="",1,U1068),IF(V1068="",1,V1068)),"Disponibilité",IF(IF(U1068="",1,U1068)&lt;=IF(V1068="",1,V1068),"Performance","Qualité"))))</f>
        <v/>
      </c>
      <c r="AA1068" s="59" t="str">
        <f>IF(AC1068=1,N(H1068)*N(IFERROR(INDEX(art_cost,MATCH(E1068,art_ref,0)),0)),"")</f>
        <v/>
      </c>
      <c r="AB1068" s="58" t="str">
        <f>IF(COUNTA(A1068:I1068)=0,"",IF(N(A1068)&lt;=0,"Date manquante ou invalide",IF(B1068="","Équipe manquante",IF(ISNA(MATCH(B1068,eq_code,0)),"Équipe inconnue",IF(INDEX(eq_check,MATCH(B1068,eq_code,0))&lt;&gt;"OK","Équipe à corriger dans Paramètres",IF(C1068="","Poste manquant",IF(ISNA(MATCH(C1068,po_code,0)),"Poste inconnu",IF(AND(E1068&lt;&gt;"",ISNA(MATCH(E1068,art_ref,0))),"Article inconnu",IF(IF(E1068="",FALSE,INDEX(art_check,MATCH(E1068,art_ref,0))&lt;&gt;"OK"),"Article à corriger (feuille Articles)",IF(COUNTIFS(sj_date,A1068,sj_eq,B1068,sj_po,C1068)&gt;1,"Ligne en double (même jour, équipe et poste)",IF(OR(NOT(ISNUMBER(K1068)),N(K1068)&lt;=0,N(K1068)&gt;1440),"Temps d'ouverture invalide",IF(OR(AND(G1068&lt;&gt;"",NOT(ISNUMBER(G1068))),N(G1068)&lt;0,N(G1068)&lt;&gt;INT(N(G1068)),AND(H1068&lt;&gt;"",NOT(ISNUMBER(H1068))),N(H1068)&lt;0,N(H1068)&lt;&gt;INT(N(H1068)),AND(I1068&lt;&gt;"",NOT(ISNUMBER(I1068))),N(I1068)&lt;0,N(I1068)&lt;&gt;INT(N(I1068))),"Quantité invalide",IF(Q1068&lt;=0,"Cadence manquante (poste ou article)",IF(M1068&lt;=0,"Arrêts planifiés supérieurs au temps d'ouverture",IF(O1068&lt;0,"Arrêts supérieurs au temps requis",IF(AND(P1068&gt;0,O1068=0),"Pièces déclarées sans temps de marche",IF(AND(P1068=0,O1068&gt;0),"Aucune pièce déclarée",IF(P1068*60/Q1068&gt;O1068+0.001,"Cadence dépassée : vérifiez la cadence","OK"))))))))))))))))))</f>
        <v/>
      </c>
      <c r="AC1068">
        <f>IF(OR(AB1068="OK",AB1068="Aucune pièce déclarée",AB1068="Cadence dépassée : vérifiez la cadence"),1,0)</f>
        <v>0.0</v>
      </c>
      <c r="AD1068">
        <f>IF(AND(AC1068=1,A1068&gt;=p_from,A1068&lt;=p_to),1,0)</f>
        <v>0.0</v>
      </c>
      <c r="AE1068">
        <f>IF(AD1068=1,IF(COUNTIFS($A$6:A1068,A1068,$AD$6:AD1068,1)=1,1,0),0)</f>
        <v>0.0</v>
      </c>
      <c r="AF1068" t="str">
        <f>IF(AE1068=1,COUNTIFS(sj_first,1,sj_date,"&lt;"&amp;A1068)+1,"")</f>
        <v/>
      </c>
      <c r="AG1068" t="str">
        <f>IF(AND(AD1068=1,N(W1068)&lt;p_alert),ROUND(W1068,4),"")</f>
        <v/>
      </c>
      <c r="AH1068" t="str">
        <f>IF(AG1068="","",COUNTIF(sj_akey,"&lt;"&amp;AG1068)+COUNTIF($AG$6:AG1068,AG1068))</f>
        <v/>
      </c>
    </row>
    <row r="1069">
      <c r="A1069" s="51" t="n"/>
      <c r="B1069" s="52" t="n"/>
      <c r="C1069" s="52" t="n"/>
      <c r="D1069" s="53" t="n"/>
      <c r="E1069" s="53" t="n"/>
      <c r="F1069" s="54" t="n"/>
      <c r="G1069" s="54" t="n"/>
      <c r="H1069" s="54" t="n"/>
      <c r="I1069" s="54" t="n"/>
      <c r="J1069" s="53" t="n"/>
      <c r="K1069" s="55" t="str">
        <f>IF(COUNTA(A1069:I1069)=0,"",IF(F1069="",IFERROR(INDEX(eq_dur,MATCH(B1069,eq_code,0)),""),F1069))</f>
        <v/>
      </c>
      <c r="L1069" s="55" t="str">
        <f>IF(ISNUMBER(K1069),N(IFERROR(INDEX(eq_pause,MATCH(B1069,eq_code,0)),0))+SUMIFS(st_min,st_date,A1069,st_eq,B1069,st_po,C1069,st_type,"Planifié"),"")</f>
        <v/>
      </c>
      <c r="M1069" s="55" t="str">
        <f>IF(ISNUMBER(K1069),K1069-L1069,"")</f>
        <v/>
      </c>
      <c r="N1069" s="55" t="str">
        <f>IF(ISNUMBER(K1069),SUMIFS(st_min,st_date,A1069,st_eq,B1069,st_po,C1069,st_type,"Non planifié"),"")</f>
        <v/>
      </c>
      <c r="O1069" s="55" t="str">
        <f>IF(ISNUMBER(K1069),M1069-N1069,"")</f>
        <v/>
      </c>
      <c r="P1069" s="55" t="str">
        <f>IF(COUNTA(A1069:I1069)=0,"",N(G1069)+N(H1069)+N(I1069))</f>
        <v/>
      </c>
      <c r="Q1069" s="56" t="str">
        <f>IF(COUNTA(A1069:I1069)=0,"",IF(N(IFERROR(INDEX(art_rate,MATCH(E1069,art_ref,0)),0))&gt;0,N(IFERROR(INDEX(art_rate,MATCH(E1069,art_ref,0)),0)),N(IFERROR(INDEX(po_rate,MATCH(C1069,po_code,0)),0))))</f>
        <v/>
      </c>
      <c r="R1069" s="55" t="str">
        <f>IF(AC1069=1,P1069*60/Q1069,"")</f>
        <v/>
      </c>
      <c r="S1069" s="55" t="str">
        <f>IF(AC1069=1,N(G1069)*60/Q1069,"")</f>
        <v/>
      </c>
      <c r="T1069" s="57" t="str">
        <f>IF(AC1069=1,O1069/M1069,"")</f>
        <v/>
      </c>
      <c r="U1069" s="57" t="str">
        <f>IF(AC1069=1,IF(O1069&gt;0,R1069/O1069,""),"")</f>
        <v/>
      </c>
      <c r="V1069" s="57" t="str">
        <f>IF(AC1069=1,IF(P1069&gt;0,N(G1069)/P1069,""),"")</f>
        <v/>
      </c>
      <c r="W1069" s="57" t="str">
        <f>IF(AC1069=1,S1069/M1069,"")</f>
        <v/>
      </c>
      <c r="X1069" s="57" t="str">
        <f>IF(AC1069=1,S1069/K1069,"")</f>
        <v/>
      </c>
      <c r="Y1069" s="58" t="str">
        <f>IF(W1069="","",IF(W1069&gt;=p_target,"Bon",IF(W1069&gt;=p_alert,"À surveiller","Faible")))</f>
        <v/>
      </c>
      <c r="Z1069" s="58" t="str">
        <f>IF(W1069="","",IF(MIN(IF(T1069="",1,T1069),IF(U1069="",1,U1069),IF(V1069="",1,V1069))&gt;=1,"Aucune",IF(IF(T1069="",1,T1069)&lt;=MIN(IF(U1069="",1,U1069),IF(V1069="",1,V1069)),"Disponibilité",IF(IF(U1069="",1,U1069)&lt;=IF(V1069="",1,V1069),"Performance","Qualité"))))</f>
        <v/>
      </c>
      <c r="AA1069" s="59" t="str">
        <f>IF(AC1069=1,N(H1069)*N(IFERROR(INDEX(art_cost,MATCH(E1069,art_ref,0)),0)),"")</f>
        <v/>
      </c>
      <c r="AB1069" s="58" t="str">
        <f>IF(COUNTA(A1069:I1069)=0,"",IF(N(A1069)&lt;=0,"Date manquante ou invalide",IF(B1069="","Équipe manquante",IF(ISNA(MATCH(B1069,eq_code,0)),"Équipe inconnue",IF(INDEX(eq_check,MATCH(B1069,eq_code,0))&lt;&gt;"OK","Équipe à corriger dans Paramètres",IF(C1069="","Poste manquant",IF(ISNA(MATCH(C1069,po_code,0)),"Poste inconnu",IF(AND(E1069&lt;&gt;"",ISNA(MATCH(E1069,art_ref,0))),"Article inconnu",IF(IF(E1069="",FALSE,INDEX(art_check,MATCH(E1069,art_ref,0))&lt;&gt;"OK"),"Article à corriger (feuille Articles)",IF(COUNTIFS(sj_date,A1069,sj_eq,B1069,sj_po,C1069)&gt;1,"Ligne en double (même jour, équipe et poste)",IF(OR(NOT(ISNUMBER(K1069)),N(K1069)&lt;=0,N(K1069)&gt;1440),"Temps d'ouverture invalide",IF(OR(AND(G1069&lt;&gt;"",NOT(ISNUMBER(G1069))),N(G1069)&lt;0,N(G1069)&lt;&gt;INT(N(G1069)),AND(H1069&lt;&gt;"",NOT(ISNUMBER(H1069))),N(H1069)&lt;0,N(H1069)&lt;&gt;INT(N(H1069)),AND(I1069&lt;&gt;"",NOT(ISNUMBER(I1069))),N(I1069)&lt;0,N(I1069)&lt;&gt;INT(N(I1069))),"Quantité invalide",IF(Q1069&lt;=0,"Cadence manquante (poste ou article)",IF(M1069&lt;=0,"Arrêts planifiés supérieurs au temps d'ouverture",IF(O1069&lt;0,"Arrêts supérieurs au temps requis",IF(AND(P1069&gt;0,O1069=0),"Pièces déclarées sans temps de marche",IF(AND(P1069=0,O1069&gt;0),"Aucune pièce déclarée",IF(P1069*60/Q1069&gt;O1069+0.001,"Cadence dépassée : vérifiez la cadence","OK"))))))))))))))))))</f>
        <v/>
      </c>
      <c r="AC1069">
        <f>IF(OR(AB1069="OK",AB1069="Aucune pièce déclarée",AB1069="Cadence dépassée : vérifiez la cadence"),1,0)</f>
        <v>0.0</v>
      </c>
      <c r="AD1069">
        <f>IF(AND(AC1069=1,A1069&gt;=p_from,A1069&lt;=p_to),1,0)</f>
        <v>0.0</v>
      </c>
      <c r="AE1069">
        <f>IF(AD1069=1,IF(COUNTIFS($A$6:A1069,A1069,$AD$6:AD1069,1)=1,1,0),0)</f>
        <v>0.0</v>
      </c>
      <c r="AF1069" t="str">
        <f>IF(AE1069=1,COUNTIFS(sj_first,1,sj_date,"&lt;"&amp;A1069)+1,"")</f>
        <v/>
      </c>
      <c r="AG1069" t="str">
        <f>IF(AND(AD1069=1,N(W1069)&lt;p_alert),ROUND(W1069,4),"")</f>
        <v/>
      </c>
      <c r="AH1069" t="str">
        <f>IF(AG1069="","",COUNTIF(sj_akey,"&lt;"&amp;AG1069)+COUNTIF($AG$6:AG1069,AG1069))</f>
        <v/>
      </c>
    </row>
    <row r="1070">
      <c r="A1070" s="51" t="n"/>
      <c r="B1070" s="52" t="n"/>
      <c r="C1070" s="52" t="n"/>
      <c r="D1070" s="53" t="n"/>
      <c r="E1070" s="53" t="n"/>
      <c r="F1070" s="54" t="n"/>
      <c r="G1070" s="54" t="n"/>
      <c r="H1070" s="54" t="n"/>
      <c r="I1070" s="54" t="n"/>
      <c r="J1070" s="53" t="n"/>
      <c r="K1070" s="55" t="str">
        <f>IF(COUNTA(A1070:I1070)=0,"",IF(F1070="",IFERROR(INDEX(eq_dur,MATCH(B1070,eq_code,0)),""),F1070))</f>
        <v/>
      </c>
      <c r="L1070" s="55" t="str">
        <f>IF(ISNUMBER(K1070),N(IFERROR(INDEX(eq_pause,MATCH(B1070,eq_code,0)),0))+SUMIFS(st_min,st_date,A1070,st_eq,B1070,st_po,C1070,st_type,"Planifié"),"")</f>
        <v/>
      </c>
      <c r="M1070" s="55" t="str">
        <f>IF(ISNUMBER(K1070),K1070-L1070,"")</f>
        <v/>
      </c>
      <c r="N1070" s="55" t="str">
        <f>IF(ISNUMBER(K1070),SUMIFS(st_min,st_date,A1070,st_eq,B1070,st_po,C1070,st_type,"Non planifié"),"")</f>
        <v/>
      </c>
      <c r="O1070" s="55" t="str">
        <f>IF(ISNUMBER(K1070),M1070-N1070,"")</f>
        <v/>
      </c>
      <c r="P1070" s="55" t="str">
        <f>IF(COUNTA(A1070:I1070)=0,"",N(G1070)+N(H1070)+N(I1070))</f>
        <v/>
      </c>
      <c r="Q1070" s="56" t="str">
        <f>IF(COUNTA(A1070:I1070)=0,"",IF(N(IFERROR(INDEX(art_rate,MATCH(E1070,art_ref,0)),0))&gt;0,N(IFERROR(INDEX(art_rate,MATCH(E1070,art_ref,0)),0)),N(IFERROR(INDEX(po_rate,MATCH(C1070,po_code,0)),0))))</f>
        <v/>
      </c>
      <c r="R1070" s="55" t="str">
        <f>IF(AC1070=1,P1070*60/Q1070,"")</f>
        <v/>
      </c>
      <c r="S1070" s="55" t="str">
        <f>IF(AC1070=1,N(G1070)*60/Q1070,"")</f>
        <v/>
      </c>
      <c r="T1070" s="57" t="str">
        <f>IF(AC1070=1,O1070/M1070,"")</f>
        <v/>
      </c>
      <c r="U1070" s="57" t="str">
        <f>IF(AC1070=1,IF(O1070&gt;0,R1070/O1070,""),"")</f>
        <v/>
      </c>
      <c r="V1070" s="57" t="str">
        <f>IF(AC1070=1,IF(P1070&gt;0,N(G1070)/P1070,""),"")</f>
        <v/>
      </c>
      <c r="W1070" s="57" t="str">
        <f>IF(AC1070=1,S1070/M1070,"")</f>
        <v/>
      </c>
      <c r="X1070" s="57" t="str">
        <f>IF(AC1070=1,S1070/K1070,"")</f>
        <v/>
      </c>
      <c r="Y1070" s="58" t="str">
        <f>IF(W1070="","",IF(W1070&gt;=p_target,"Bon",IF(W1070&gt;=p_alert,"À surveiller","Faible")))</f>
        <v/>
      </c>
      <c r="Z1070" s="58" t="str">
        <f>IF(W1070="","",IF(MIN(IF(T1070="",1,T1070),IF(U1070="",1,U1070),IF(V1070="",1,V1070))&gt;=1,"Aucune",IF(IF(T1070="",1,T1070)&lt;=MIN(IF(U1070="",1,U1070),IF(V1070="",1,V1070)),"Disponibilité",IF(IF(U1070="",1,U1070)&lt;=IF(V1070="",1,V1070),"Performance","Qualité"))))</f>
        <v/>
      </c>
      <c r="AA1070" s="59" t="str">
        <f>IF(AC1070=1,N(H1070)*N(IFERROR(INDEX(art_cost,MATCH(E1070,art_ref,0)),0)),"")</f>
        <v/>
      </c>
      <c r="AB1070" s="58" t="str">
        <f>IF(COUNTA(A1070:I1070)=0,"",IF(N(A1070)&lt;=0,"Date manquante ou invalide",IF(B1070="","Équipe manquante",IF(ISNA(MATCH(B1070,eq_code,0)),"Équipe inconnue",IF(INDEX(eq_check,MATCH(B1070,eq_code,0))&lt;&gt;"OK","Équipe à corriger dans Paramètres",IF(C1070="","Poste manquant",IF(ISNA(MATCH(C1070,po_code,0)),"Poste inconnu",IF(AND(E1070&lt;&gt;"",ISNA(MATCH(E1070,art_ref,0))),"Article inconnu",IF(IF(E1070="",FALSE,INDEX(art_check,MATCH(E1070,art_ref,0))&lt;&gt;"OK"),"Article à corriger (feuille Articles)",IF(COUNTIFS(sj_date,A1070,sj_eq,B1070,sj_po,C1070)&gt;1,"Ligne en double (même jour, équipe et poste)",IF(OR(NOT(ISNUMBER(K1070)),N(K1070)&lt;=0,N(K1070)&gt;1440),"Temps d'ouverture invalide",IF(OR(AND(G1070&lt;&gt;"",NOT(ISNUMBER(G1070))),N(G1070)&lt;0,N(G1070)&lt;&gt;INT(N(G1070)),AND(H1070&lt;&gt;"",NOT(ISNUMBER(H1070))),N(H1070)&lt;0,N(H1070)&lt;&gt;INT(N(H1070)),AND(I1070&lt;&gt;"",NOT(ISNUMBER(I1070))),N(I1070)&lt;0,N(I1070)&lt;&gt;INT(N(I1070))),"Quantité invalide",IF(Q1070&lt;=0,"Cadence manquante (poste ou article)",IF(M1070&lt;=0,"Arrêts planifiés supérieurs au temps d'ouverture",IF(O1070&lt;0,"Arrêts supérieurs au temps requis",IF(AND(P1070&gt;0,O1070=0),"Pièces déclarées sans temps de marche",IF(AND(P1070=0,O1070&gt;0),"Aucune pièce déclarée",IF(P1070*60/Q1070&gt;O1070+0.001,"Cadence dépassée : vérifiez la cadence","OK"))))))))))))))))))</f>
        <v/>
      </c>
      <c r="AC1070">
        <f>IF(OR(AB1070="OK",AB1070="Aucune pièce déclarée",AB1070="Cadence dépassée : vérifiez la cadence"),1,0)</f>
        <v>0.0</v>
      </c>
      <c r="AD1070">
        <f>IF(AND(AC1070=1,A1070&gt;=p_from,A1070&lt;=p_to),1,0)</f>
        <v>0.0</v>
      </c>
      <c r="AE1070">
        <f>IF(AD1070=1,IF(COUNTIFS($A$6:A1070,A1070,$AD$6:AD1070,1)=1,1,0),0)</f>
        <v>0.0</v>
      </c>
      <c r="AF1070" t="str">
        <f>IF(AE1070=1,COUNTIFS(sj_first,1,sj_date,"&lt;"&amp;A1070)+1,"")</f>
        <v/>
      </c>
      <c r="AG1070" t="str">
        <f>IF(AND(AD1070=1,N(W1070)&lt;p_alert),ROUND(W1070,4),"")</f>
        <v/>
      </c>
      <c r="AH1070" t="str">
        <f>IF(AG1070="","",COUNTIF(sj_akey,"&lt;"&amp;AG1070)+COUNTIF($AG$6:AG1070,AG1070))</f>
        <v/>
      </c>
    </row>
    <row r="1071">
      <c r="A1071" s="51" t="n"/>
      <c r="B1071" s="52" t="n"/>
      <c r="C1071" s="52" t="n"/>
      <c r="D1071" s="53" t="n"/>
      <c r="E1071" s="53" t="n"/>
      <c r="F1071" s="54" t="n"/>
      <c r="G1071" s="54" t="n"/>
      <c r="H1071" s="54" t="n"/>
      <c r="I1071" s="54" t="n"/>
      <c r="J1071" s="53" t="n"/>
      <c r="K1071" s="55" t="str">
        <f>IF(COUNTA(A1071:I1071)=0,"",IF(F1071="",IFERROR(INDEX(eq_dur,MATCH(B1071,eq_code,0)),""),F1071))</f>
        <v/>
      </c>
      <c r="L1071" s="55" t="str">
        <f>IF(ISNUMBER(K1071),N(IFERROR(INDEX(eq_pause,MATCH(B1071,eq_code,0)),0))+SUMIFS(st_min,st_date,A1071,st_eq,B1071,st_po,C1071,st_type,"Planifié"),"")</f>
        <v/>
      </c>
      <c r="M1071" s="55" t="str">
        <f>IF(ISNUMBER(K1071),K1071-L1071,"")</f>
        <v/>
      </c>
      <c r="N1071" s="55" t="str">
        <f>IF(ISNUMBER(K1071),SUMIFS(st_min,st_date,A1071,st_eq,B1071,st_po,C1071,st_type,"Non planifié"),"")</f>
        <v/>
      </c>
      <c r="O1071" s="55" t="str">
        <f>IF(ISNUMBER(K1071),M1071-N1071,"")</f>
        <v/>
      </c>
      <c r="P1071" s="55" t="str">
        <f>IF(COUNTA(A1071:I1071)=0,"",N(G1071)+N(H1071)+N(I1071))</f>
        <v/>
      </c>
      <c r="Q1071" s="56" t="str">
        <f>IF(COUNTA(A1071:I1071)=0,"",IF(N(IFERROR(INDEX(art_rate,MATCH(E1071,art_ref,0)),0))&gt;0,N(IFERROR(INDEX(art_rate,MATCH(E1071,art_ref,0)),0)),N(IFERROR(INDEX(po_rate,MATCH(C1071,po_code,0)),0))))</f>
        <v/>
      </c>
      <c r="R1071" s="55" t="str">
        <f>IF(AC1071=1,P1071*60/Q1071,"")</f>
        <v/>
      </c>
      <c r="S1071" s="55" t="str">
        <f>IF(AC1071=1,N(G1071)*60/Q1071,"")</f>
        <v/>
      </c>
      <c r="T1071" s="57" t="str">
        <f>IF(AC1071=1,O1071/M1071,"")</f>
        <v/>
      </c>
      <c r="U1071" s="57" t="str">
        <f>IF(AC1071=1,IF(O1071&gt;0,R1071/O1071,""),"")</f>
        <v/>
      </c>
      <c r="V1071" s="57" t="str">
        <f>IF(AC1071=1,IF(P1071&gt;0,N(G1071)/P1071,""),"")</f>
        <v/>
      </c>
      <c r="W1071" s="57" t="str">
        <f>IF(AC1071=1,S1071/M1071,"")</f>
        <v/>
      </c>
      <c r="X1071" s="57" t="str">
        <f>IF(AC1071=1,S1071/K1071,"")</f>
        <v/>
      </c>
      <c r="Y1071" s="58" t="str">
        <f>IF(W1071="","",IF(W1071&gt;=p_target,"Bon",IF(W1071&gt;=p_alert,"À surveiller","Faible")))</f>
        <v/>
      </c>
      <c r="Z1071" s="58" t="str">
        <f>IF(W1071="","",IF(MIN(IF(T1071="",1,T1071),IF(U1071="",1,U1071),IF(V1071="",1,V1071))&gt;=1,"Aucune",IF(IF(T1071="",1,T1071)&lt;=MIN(IF(U1071="",1,U1071),IF(V1071="",1,V1071)),"Disponibilité",IF(IF(U1071="",1,U1071)&lt;=IF(V1071="",1,V1071),"Performance","Qualité"))))</f>
        <v/>
      </c>
      <c r="AA1071" s="59" t="str">
        <f>IF(AC1071=1,N(H1071)*N(IFERROR(INDEX(art_cost,MATCH(E1071,art_ref,0)),0)),"")</f>
        <v/>
      </c>
      <c r="AB1071" s="58" t="str">
        <f>IF(COUNTA(A1071:I1071)=0,"",IF(N(A1071)&lt;=0,"Date manquante ou invalide",IF(B1071="","Équipe manquante",IF(ISNA(MATCH(B1071,eq_code,0)),"Équipe inconnue",IF(INDEX(eq_check,MATCH(B1071,eq_code,0))&lt;&gt;"OK","Équipe à corriger dans Paramètres",IF(C1071="","Poste manquant",IF(ISNA(MATCH(C1071,po_code,0)),"Poste inconnu",IF(AND(E1071&lt;&gt;"",ISNA(MATCH(E1071,art_ref,0))),"Article inconnu",IF(IF(E1071="",FALSE,INDEX(art_check,MATCH(E1071,art_ref,0))&lt;&gt;"OK"),"Article à corriger (feuille Articles)",IF(COUNTIFS(sj_date,A1071,sj_eq,B1071,sj_po,C1071)&gt;1,"Ligne en double (même jour, équipe et poste)",IF(OR(NOT(ISNUMBER(K1071)),N(K1071)&lt;=0,N(K1071)&gt;1440),"Temps d'ouverture invalide",IF(OR(AND(G1071&lt;&gt;"",NOT(ISNUMBER(G1071))),N(G1071)&lt;0,N(G1071)&lt;&gt;INT(N(G1071)),AND(H1071&lt;&gt;"",NOT(ISNUMBER(H1071))),N(H1071)&lt;0,N(H1071)&lt;&gt;INT(N(H1071)),AND(I1071&lt;&gt;"",NOT(ISNUMBER(I1071))),N(I1071)&lt;0,N(I1071)&lt;&gt;INT(N(I1071))),"Quantité invalide",IF(Q1071&lt;=0,"Cadence manquante (poste ou article)",IF(M1071&lt;=0,"Arrêts planifiés supérieurs au temps d'ouverture",IF(O1071&lt;0,"Arrêts supérieurs au temps requis",IF(AND(P1071&gt;0,O1071=0),"Pièces déclarées sans temps de marche",IF(AND(P1071=0,O1071&gt;0),"Aucune pièce déclarée",IF(P1071*60/Q1071&gt;O1071+0.001,"Cadence dépassée : vérifiez la cadence","OK"))))))))))))))))))</f>
        <v/>
      </c>
      <c r="AC1071">
        <f>IF(OR(AB1071="OK",AB1071="Aucune pièce déclarée",AB1071="Cadence dépassée : vérifiez la cadence"),1,0)</f>
        <v>0.0</v>
      </c>
      <c r="AD1071">
        <f>IF(AND(AC1071=1,A1071&gt;=p_from,A1071&lt;=p_to),1,0)</f>
        <v>0.0</v>
      </c>
      <c r="AE1071">
        <f>IF(AD1071=1,IF(COUNTIFS($A$6:A1071,A1071,$AD$6:AD1071,1)=1,1,0),0)</f>
        <v>0.0</v>
      </c>
      <c r="AF1071" t="str">
        <f>IF(AE1071=1,COUNTIFS(sj_first,1,sj_date,"&lt;"&amp;A1071)+1,"")</f>
        <v/>
      </c>
      <c r="AG1071" t="str">
        <f>IF(AND(AD1071=1,N(W1071)&lt;p_alert),ROUND(W1071,4),"")</f>
        <v/>
      </c>
      <c r="AH1071" t="str">
        <f>IF(AG1071="","",COUNTIF(sj_akey,"&lt;"&amp;AG1071)+COUNTIF($AG$6:AG1071,AG1071))</f>
        <v/>
      </c>
    </row>
    <row r="1072">
      <c r="A1072" s="51" t="n"/>
      <c r="B1072" s="52" t="n"/>
      <c r="C1072" s="52" t="n"/>
      <c r="D1072" s="53" t="n"/>
      <c r="E1072" s="53" t="n"/>
      <c r="F1072" s="54" t="n"/>
      <c r="G1072" s="54" t="n"/>
      <c r="H1072" s="54" t="n"/>
      <c r="I1072" s="54" t="n"/>
      <c r="J1072" s="53" t="n"/>
      <c r="K1072" s="55" t="str">
        <f>IF(COUNTA(A1072:I1072)=0,"",IF(F1072="",IFERROR(INDEX(eq_dur,MATCH(B1072,eq_code,0)),""),F1072))</f>
        <v/>
      </c>
      <c r="L1072" s="55" t="str">
        <f>IF(ISNUMBER(K1072),N(IFERROR(INDEX(eq_pause,MATCH(B1072,eq_code,0)),0))+SUMIFS(st_min,st_date,A1072,st_eq,B1072,st_po,C1072,st_type,"Planifié"),"")</f>
        <v/>
      </c>
      <c r="M1072" s="55" t="str">
        <f>IF(ISNUMBER(K1072),K1072-L1072,"")</f>
        <v/>
      </c>
      <c r="N1072" s="55" t="str">
        <f>IF(ISNUMBER(K1072),SUMIFS(st_min,st_date,A1072,st_eq,B1072,st_po,C1072,st_type,"Non planifié"),"")</f>
        <v/>
      </c>
      <c r="O1072" s="55" t="str">
        <f>IF(ISNUMBER(K1072),M1072-N1072,"")</f>
        <v/>
      </c>
      <c r="P1072" s="55" t="str">
        <f>IF(COUNTA(A1072:I1072)=0,"",N(G1072)+N(H1072)+N(I1072))</f>
        <v/>
      </c>
      <c r="Q1072" s="56" t="str">
        <f>IF(COUNTA(A1072:I1072)=0,"",IF(N(IFERROR(INDEX(art_rate,MATCH(E1072,art_ref,0)),0))&gt;0,N(IFERROR(INDEX(art_rate,MATCH(E1072,art_ref,0)),0)),N(IFERROR(INDEX(po_rate,MATCH(C1072,po_code,0)),0))))</f>
        <v/>
      </c>
      <c r="R1072" s="55" t="str">
        <f>IF(AC1072=1,P1072*60/Q1072,"")</f>
        <v/>
      </c>
      <c r="S1072" s="55" t="str">
        <f>IF(AC1072=1,N(G1072)*60/Q1072,"")</f>
        <v/>
      </c>
      <c r="T1072" s="57" t="str">
        <f>IF(AC1072=1,O1072/M1072,"")</f>
        <v/>
      </c>
      <c r="U1072" s="57" t="str">
        <f>IF(AC1072=1,IF(O1072&gt;0,R1072/O1072,""),"")</f>
        <v/>
      </c>
      <c r="V1072" s="57" t="str">
        <f>IF(AC1072=1,IF(P1072&gt;0,N(G1072)/P1072,""),"")</f>
        <v/>
      </c>
      <c r="W1072" s="57" t="str">
        <f>IF(AC1072=1,S1072/M1072,"")</f>
        <v/>
      </c>
      <c r="X1072" s="57" t="str">
        <f>IF(AC1072=1,S1072/K1072,"")</f>
        <v/>
      </c>
      <c r="Y1072" s="58" t="str">
        <f>IF(W1072="","",IF(W1072&gt;=p_target,"Bon",IF(W1072&gt;=p_alert,"À surveiller","Faible")))</f>
        <v/>
      </c>
      <c r="Z1072" s="58" t="str">
        <f>IF(W1072="","",IF(MIN(IF(T1072="",1,T1072),IF(U1072="",1,U1072),IF(V1072="",1,V1072))&gt;=1,"Aucune",IF(IF(T1072="",1,T1072)&lt;=MIN(IF(U1072="",1,U1072),IF(V1072="",1,V1072)),"Disponibilité",IF(IF(U1072="",1,U1072)&lt;=IF(V1072="",1,V1072),"Performance","Qualité"))))</f>
        <v/>
      </c>
      <c r="AA1072" s="59" t="str">
        <f>IF(AC1072=1,N(H1072)*N(IFERROR(INDEX(art_cost,MATCH(E1072,art_ref,0)),0)),"")</f>
        <v/>
      </c>
      <c r="AB1072" s="58" t="str">
        <f>IF(COUNTA(A1072:I1072)=0,"",IF(N(A1072)&lt;=0,"Date manquante ou invalide",IF(B1072="","Équipe manquante",IF(ISNA(MATCH(B1072,eq_code,0)),"Équipe inconnue",IF(INDEX(eq_check,MATCH(B1072,eq_code,0))&lt;&gt;"OK","Équipe à corriger dans Paramètres",IF(C1072="","Poste manquant",IF(ISNA(MATCH(C1072,po_code,0)),"Poste inconnu",IF(AND(E1072&lt;&gt;"",ISNA(MATCH(E1072,art_ref,0))),"Article inconnu",IF(IF(E1072="",FALSE,INDEX(art_check,MATCH(E1072,art_ref,0))&lt;&gt;"OK"),"Article à corriger (feuille Articles)",IF(COUNTIFS(sj_date,A1072,sj_eq,B1072,sj_po,C1072)&gt;1,"Ligne en double (même jour, équipe et poste)",IF(OR(NOT(ISNUMBER(K1072)),N(K1072)&lt;=0,N(K1072)&gt;1440),"Temps d'ouverture invalide",IF(OR(AND(G1072&lt;&gt;"",NOT(ISNUMBER(G1072))),N(G1072)&lt;0,N(G1072)&lt;&gt;INT(N(G1072)),AND(H1072&lt;&gt;"",NOT(ISNUMBER(H1072))),N(H1072)&lt;0,N(H1072)&lt;&gt;INT(N(H1072)),AND(I1072&lt;&gt;"",NOT(ISNUMBER(I1072))),N(I1072)&lt;0,N(I1072)&lt;&gt;INT(N(I1072))),"Quantité invalide",IF(Q1072&lt;=0,"Cadence manquante (poste ou article)",IF(M1072&lt;=0,"Arrêts planifiés supérieurs au temps d'ouverture",IF(O1072&lt;0,"Arrêts supérieurs au temps requis",IF(AND(P1072&gt;0,O1072=0),"Pièces déclarées sans temps de marche",IF(AND(P1072=0,O1072&gt;0),"Aucune pièce déclarée",IF(P1072*60/Q1072&gt;O1072+0.001,"Cadence dépassée : vérifiez la cadence","OK"))))))))))))))))))</f>
        <v/>
      </c>
      <c r="AC1072">
        <f>IF(OR(AB1072="OK",AB1072="Aucune pièce déclarée",AB1072="Cadence dépassée : vérifiez la cadence"),1,0)</f>
        <v>0.0</v>
      </c>
      <c r="AD1072">
        <f>IF(AND(AC1072=1,A1072&gt;=p_from,A1072&lt;=p_to),1,0)</f>
        <v>0.0</v>
      </c>
      <c r="AE1072">
        <f>IF(AD1072=1,IF(COUNTIFS($A$6:A1072,A1072,$AD$6:AD1072,1)=1,1,0),0)</f>
        <v>0.0</v>
      </c>
      <c r="AF1072" t="str">
        <f>IF(AE1072=1,COUNTIFS(sj_first,1,sj_date,"&lt;"&amp;A1072)+1,"")</f>
        <v/>
      </c>
      <c r="AG1072" t="str">
        <f>IF(AND(AD1072=1,N(W1072)&lt;p_alert),ROUND(W1072,4),"")</f>
        <v/>
      </c>
      <c r="AH1072" t="str">
        <f>IF(AG1072="","",COUNTIF(sj_akey,"&lt;"&amp;AG1072)+COUNTIF($AG$6:AG1072,AG1072))</f>
        <v/>
      </c>
    </row>
    <row r="1073">
      <c r="A1073" s="51" t="n"/>
      <c r="B1073" s="52" t="n"/>
      <c r="C1073" s="52" t="n"/>
      <c r="D1073" s="53" t="n"/>
      <c r="E1073" s="53" t="n"/>
      <c r="F1073" s="54" t="n"/>
      <c r="G1073" s="54" t="n"/>
      <c r="H1073" s="54" t="n"/>
      <c r="I1073" s="54" t="n"/>
      <c r="J1073" s="53" t="n"/>
      <c r="K1073" s="55" t="str">
        <f>IF(COUNTA(A1073:I1073)=0,"",IF(F1073="",IFERROR(INDEX(eq_dur,MATCH(B1073,eq_code,0)),""),F1073))</f>
        <v/>
      </c>
      <c r="L1073" s="55" t="str">
        <f>IF(ISNUMBER(K1073),N(IFERROR(INDEX(eq_pause,MATCH(B1073,eq_code,0)),0))+SUMIFS(st_min,st_date,A1073,st_eq,B1073,st_po,C1073,st_type,"Planifié"),"")</f>
        <v/>
      </c>
      <c r="M1073" s="55" t="str">
        <f>IF(ISNUMBER(K1073),K1073-L1073,"")</f>
        <v/>
      </c>
      <c r="N1073" s="55" t="str">
        <f>IF(ISNUMBER(K1073),SUMIFS(st_min,st_date,A1073,st_eq,B1073,st_po,C1073,st_type,"Non planifié"),"")</f>
        <v/>
      </c>
      <c r="O1073" s="55" t="str">
        <f>IF(ISNUMBER(K1073),M1073-N1073,"")</f>
        <v/>
      </c>
      <c r="P1073" s="55" t="str">
        <f>IF(COUNTA(A1073:I1073)=0,"",N(G1073)+N(H1073)+N(I1073))</f>
        <v/>
      </c>
      <c r="Q1073" s="56" t="str">
        <f>IF(COUNTA(A1073:I1073)=0,"",IF(N(IFERROR(INDEX(art_rate,MATCH(E1073,art_ref,0)),0))&gt;0,N(IFERROR(INDEX(art_rate,MATCH(E1073,art_ref,0)),0)),N(IFERROR(INDEX(po_rate,MATCH(C1073,po_code,0)),0))))</f>
        <v/>
      </c>
      <c r="R1073" s="55" t="str">
        <f>IF(AC1073=1,P1073*60/Q1073,"")</f>
        <v/>
      </c>
      <c r="S1073" s="55" t="str">
        <f>IF(AC1073=1,N(G1073)*60/Q1073,"")</f>
        <v/>
      </c>
      <c r="T1073" s="57" t="str">
        <f>IF(AC1073=1,O1073/M1073,"")</f>
        <v/>
      </c>
      <c r="U1073" s="57" t="str">
        <f>IF(AC1073=1,IF(O1073&gt;0,R1073/O1073,""),"")</f>
        <v/>
      </c>
      <c r="V1073" s="57" t="str">
        <f>IF(AC1073=1,IF(P1073&gt;0,N(G1073)/P1073,""),"")</f>
        <v/>
      </c>
      <c r="W1073" s="57" t="str">
        <f>IF(AC1073=1,S1073/M1073,"")</f>
        <v/>
      </c>
      <c r="X1073" s="57" t="str">
        <f>IF(AC1073=1,S1073/K1073,"")</f>
        <v/>
      </c>
      <c r="Y1073" s="58" t="str">
        <f>IF(W1073="","",IF(W1073&gt;=p_target,"Bon",IF(W1073&gt;=p_alert,"À surveiller","Faible")))</f>
        <v/>
      </c>
      <c r="Z1073" s="58" t="str">
        <f>IF(W1073="","",IF(MIN(IF(T1073="",1,T1073),IF(U1073="",1,U1073),IF(V1073="",1,V1073))&gt;=1,"Aucune",IF(IF(T1073="",1,T1073)&lt;=MIN(IF(U1073="",1,U1073),IF(V1073="",1,V1073)),"Disponibilité",IF(IF(U1073="",1,U1073)&lt;=IF(V1073="",1,V1073),"Performance","Qualité"))))</f>
        <v/>
      </c>
      <c r="AA1073" s="59" t="str">
        <f>IF(AC1073=1,N(H1073)*N(IFERROR(INDEX(art_cost,MATCH(E1073,art_ref,0)),0)),"")</f>
        <v/>
      </c>
      <c r="AB1073" s="58" t="str">
        <f>IF(COUNTA(A1073:I1073)=0,"",IF(N(A1073)&lt;=0,"Date manquante ou invalide",IF(B1073="","Équipe manquante",IF(ISNA(MATCH(B1073,eq_code,0)),"Équipe inconnue",IF(INDEX(eq_check,MATCH(B1073,eq_code,0))&lt;&gt;"OK","Équipe à corriger dans Paramètres",IF(C1073="","Poste manquant",IF(ISNA(MATCH(C1073,po_code,0)),"Poste inconnu",IF(AND(E1073&lt;&gt;"",ISNA(MATCH(E1073,art_ref,0))),"Article inconnu",IF(IF(E1073="",FALSE,INDEX(art_check,MATCH(E1073,art_ref,0))&lt;&gt;"OK"),"Article à corriger (feuille Articles)",IF(COUNTIFS(sj_date,A1073,sj_eq,B1073,sj_po,C1073)&gt;1,"Ligne en double (même jour, équipe et poste)",IF(OR(NOT(ISNUMBER(K1073)),N(K1073)&lt;=0,N(K1073)&gt;1440),"Temps d'ouverture invalide",IF(OR(AND(G1073&lt;&gt;"",NOT(ISNUMBER(G1073))),N(G1073)&lt;0,N(G1073)&lt;&gt;INT(N(G1073)),AND(H1073&lt;&gt;"",NOT(ISNUMBER(H1073))),N(H1073)&lt;0,N(H1073)&lt;&gt;INT(N(H1073)),AND(I1073&lt;&gt;"",NOT(ISNUMBER(I1073))),N(I1073)&lt;0,N(I1073)&lt;&gt;INT(N(I1073))),"Quantité invalide",IF(Q1073&lt;=0,"Cadence manquante (poste ou article)",IF(M1073&lt;=0,"Arrêts planifiés supérieurs au temps d'ouverture",IF(O1073&lt;0,"Arrêts supérieurs au temps requis",IF(AND(P1073&gt;0,O1073=0),"Pièces déclarées sans temps de marche",IF(AND(P1073=0,O1073&gt;0),"Aucune pièce déclarée",IF(P1073*60/Q1073&gt;O1073+0.001,"Cadence dépassée : vérifiez la cadence","OK"))))))))))))))))))</f>
        <v/>
      </c>
      <c r="AC1073">
        <f>IF(OR(AB1073="OK",AB1073="Aucune pièce déclarée",AB1073="Cadence dépassée : vérifiez la cadence"),1,0)</f>
        <v>0.0</v>
      </c>
      <c r="AD1073">
        <f>IF(AND(AC1073=1,A1073&gt;=p_from,A1073&lt;=p_to),1,0)</f>
        <v>0.0</v>
      </c>
      <c r="AE1073">
        <f>IF(AD1073=1,IF(COUNTIFS($A$6:A1073,A1073,$AD$6:AD1073,1)=1,1,0),0)</f>
        <v>0.0</v>
      </c>
      <c r="AF1073" t="str">
        <f>IF(AE1073=1,COUNTIFS(sj_first,1,sj_date,"&lt;"&amp;A1073)+1,"")</f>
        <v/>
      </c>
      <c r="AG1073" t="str">
        <f>IF(AND(AD1073=1,N(W1073)&lt;p_alert),ROUND(W1073,4),"")</f>
        <v/>
      </c>
      <c r="AH1073" t="str">
        <f>IF(AG1073="","",COUNTIF(sj_akey,"&lt;"&amp;AG1073)+COUNTIF($AG$6:AG1073,AG1073))</f>
        <v/>
      </c>
    </row>
    <row r="1074">
      <c r="A1074" s="51" t="n"/>
      <c r="B1074" s="52" t="n"/>
      <c r="C1074" s="52" t="n"/>
      <c r="D1074" s="53" t="n"/>
      <c r="E1074" s="53" t="n"/>
      <c r="F1074" s="54" t="n"/>
      <c r="G1074" s="54" t="n"/>
      <c r="H1074" s="54" t="n"/>
      <c r="I1074" s="54" t="n"/>
      <c r="J1074" s="53" t="n"/>
      <c r="K1074" s="55" t="str">
        <f>IF(COUNTA(A1074:I1074)=0,"",IF(F1074="",IFERROR(INDEX(eq_dur,MATCH(B1074,eq_code,0)),""),F1074))</f>
        <v/>
      </c>
      <c r="L1074" s="55" t="str">
        <f>IF(ISNUMBER(K1074),N(IFERROR(INDEX(eq_pause,MATCH(B1074,eq_code,0)),0))+SUMIFS(st_min,st_date,A1074,st_eq,B1074,st_po,C1074,st_type,"Planifié"),"")</f>
        <v/>
      </c>
      <c r="M1074" s="55" t="str">
        <f>IF(ISNUMBER(K1074),K1074-L1074,"")</f>
        <v/>
      </c>
      <c r="N1074" s="55" t="str">
        <f>IF(ISNUMBER(K1074),SUMIFS(st_min,st_date,A1074,st_eq,B1074,st_po,C1074,st_type,"Non planifié"),"")</f>
        <v/>
      </c>
      <c r="O1074" s="55" t="str">
        <f>IF(ISNUMBER(K1074),M1074-N1074,"")</f>
        <v/>
      </c>
      <c r="P1074" s="55" t="str">
        <f>IF(COUNTA(A1074:I1074)=0,"",N(G1074)+N(H1074)+N(I1074))</f>
        <v/>
      </c>
      <c r="Q1074" s="56" t="str">
        <f>IF(COUNTA(A1074:I1074)=0,"",IF(N(IFERROR(INDEX(art_rate,MATCH(E1074,art_ref,0)),0))&gt;0,N(IFERROR(INDEX(art_rate,MATCH(E1074,art_ref,0)),0)),N(IFERROR(INDEX(po_rate,MATCH(C1074,po_code,0)),0))))</f>
        <v/>
      </c>
      <c r="R1074" s="55" t="str">
        <f>IF(AC1074=1,P1074*60/Q1074,"")</f>
        <v/>
      </c>
      <c r="S1074" s="55" t="str">
        <f>IF(AC1074=1,N(G1074)*60/Q1074,"")</f>
        <v/>
      </c>
      <c r="T1074" s="57" t="str">
        <f>IF(AC1074=1,O1074/M1074,"")</f>
        <v/>
      </c>
      <c r="U1074" s="57" t="str">
        <f>IF(AC1074=1,IF(O1074&gt;0,R1074/O1074,""),"")</f>
        <v/>
      </c>
      <c r="V1074" s="57" t="str">
        <f>IF(AC1074=1,IF(P1074&gt;0,N(G1074)/P1074,""),"")</f>
        <v/>
      </c>
      <c r="W1074" s="57" t="str">
        <f>IF(AC1074=1,S1074/M1074,"")</f>
        <v/>
      </c>
      <c r="X1074" s="57" t="str">
        <f>IF(AC1074=1,S1074/K1074,"")</f>
        <v/>
      </c>
      <c r="Y1074" s="58" t="str">
        <f>IF(W1074="","",IF(W1074&gt;=p_target,"Bon",IF(W1074&gt;=p_alert,"À surveiller","Faible")))</f>
        <v/>
      </c>
      <c r="Z1074" s="58" t="str">
        <f>IF(W1074="","",IF(MIN(IF(T1074="",1,T1074),IF(U1074="",1,U1074),IF(V1074="",1,V1074))&gt;=1,"Aucune",IF(IF(T1074="",1,T1074)&lt;=MIN(IF(U1074="",1,U1074),IF(V1074="",1,V1074)),"Disponibilité",IF(IF(U1074="",1,U1074)&lt;=IF(V1074="",1,V1074),"Performance","Qualité"))))</f>
        <v/>
      </c>
      <c r="AA1074" s="59" t="str">
        <f>IF(AC1074=1,N(H1074)*N(IFERROR(INDEX(art_cost,MATCH(E1074,art_ref,0)),0)),"")</f>
        <v/>
      </c>
      <c r="AB1074" s="58" t="str">
        <f>IF(COUNTA(A1074:I1074)=0,"",IF(N(A1074)&lt;=0,"Date manquante ou invalide",IF(B1074="","Équipe manquante",IF(ISNA(MATCH(B1074,eq_code,0)),"Équipe inconnue",IF(INDEX(eq_check,MATCH(B1074,eq_code,0))&lt;&gt;"OK","Équipe à corriger dans Paramètres",IF(C1074="","Poste manquant",IF(ISNA(MATCH(C1074,po_code,0)),"Poste inconnu",IF(AND(E1074&lt;&gt;"",ISNA(MATCH(E1074,art_ref,0))),"Article inconnu",IF(IF(E1074="",FALSE,INDEX(art_check,MATCH(E1074,art_ref,0))&lt;&gt;"OK"),"Article à corriger (feuille Articles)",IF(COUNTIFS(sj_date,A1074,sj_eq,B1074,sj_po,C1074)&gt;1,"Ligne en double (même jour, équipe et poste)",IF(OR(NOT(ISNUMBER(K1074)),N(K1074)&lt;=0,N(K1074)&gt;1440),"Temps d'ouverture invalide",IF(OR(AND(G1074&lt;&gt;"",NOT(ISNUMBER(G1074))),N(G1074)&lt;0,N(G1074)&lt;&gt;INT(N(G1074)),AND(H1074&lt;&gt;"",NOT(ISNUMBER(H1074))),N(H1074)&lt;0,N(H1074)&lt;&gt;INT(N(H1074)),AND(I1074&lt;&gt;"",NOT(ISNUMBER(I1074))),N(I1074)&lt;0,N(I1074)&lt;&gt;INT(N(I1074))),"Quantité invalide",IF(Q1074&lt;=0,"Cadence manquante (poste ou article)",IF(M1074&lt;=0,"Arrêts planifiés supérieurs au temps d'ouverture",IF(O1074&lt;0,"Arrêts supérieurs au temps requis",IF(AND(P1074&gt;0,O1074=0),"Pièces déclarées sans temps de marche",IF(AND(P1074=0,O1074&gt;0),"Aucune pièce déclarée",IF(P1074*60/Q1074&gt;O1074+0.001,"Cadence dépassée : vérifiez la cadence","OK"))))))))))))))))))</f>
        <v/>
      </c>
      <c r="AC1074">
        <f>IF(OR(AB1074="OK",AB1074="Aucune pièce déclarée",AB1074="Cadence dépassée : vérifiez la cadence"),1,0)</f>
        <v>0.0</v>
      </c>
      <c r="AD1074">
        <f>IF(AND(AC1074=1,A1074&gt;=p_from,A1074&lt;=p_to),1,0)</f>
        <v>0.0</v>
      </c>
      <c r="AE1074">
        <f>IF(AD1074=1,IF(COUNTIFS($A$6:A1074,A1074,$AD$6:AD1074,1)=1,1,0),0)</f>
        <v>0.0</v>
      </c>
      <c r="AF1074" t="str">
        <f>IF(AE1074=1,COUNTIFS(sj_first,1,sj_date,"&lt;"&amp;A1074)+1,"")</f>
        <v/>
      </c>
      <c r="AG1074" t="str">
        <f>IF(AND(AD1074=1,N(W1074)&lt;p_alert),ROUND(W1074,4),"")</f>
        <v/>
      </c>
      <c r="AH1074" t="str">
        <f>IF(AG1074="","",COUNTIF(sj_akey,"&lt;"&amp;AG1074)+COUNTIF($AG$6:AG1074,AG1074))</f>
        <v/>
      </c>
    </row>
    <row r="1075">
      <c r="A1075" s="51" t="n"/>
      <c r="B1075" s="52" t="n"/>
      <c r="C1075" s="52" t="n"/>
      <c r="D1075" s="53" t="n"/>
      <c r="E1075" s="53" t="n"/>
      <c r="F1075" s="54" t="n"/>
      <c r="G1075" s="54" t="n"/>
      <c r="H1075" s="54" t="n"/>
      <c r="I1075" s="54" t="n"/>
      <c r="J1075" s="53" t="n"/>
      <c r="K1075" s="55" t="str">
        <f>IF(COUNTA(A1075:I1075)=0,"",IF(F1075="",IFERROR(INDEX(eq_dur,MATCH(B1075,eq_code,0)),""),F1075))</f>
        <v/>
      </c>
      <c r="L1075" s="55" t="str">
        <f>IF(ISNUMBER(K1075),N(IFERROR(INDEX(eq_pause,MATCH(B1075,eq_code,0)),0))+SUMIFS(st_min,st_date,A1075,st_eq,B1075,st_po,C1075,st_type,"Planifié"),"")</f>
        <v/>
      </c>
      <c r="M1075" s="55" t="str">
        <f>IF(ISNUMBER(K1075),K1075-L1075,"")</f>
        <v/>
      </c>
      <c r="N1075" s="55" t="str">
        <f>IF(ISNUMBER(K1075),SUMIFS(st_min,st_date,A1075,st_eq,B1075,st_po,C1075,st_type,"Non planifié"),"")</f>
        <v/>
      </c>
      <c r="O1075" s="55" t="str">
        <f>IF(ISNUMBER(K1075),M1075-N1075,"")</f>
        <v/>
      </c>
      <c r="P1075" s="55" t="str">
        <f>IF(COUNTA(A1075:I1075)=0,"",N(G1075)+N(H1075)+N(I1075))</f>
        <v/>
      </c>
      <c r="Q1075" s="56" t="str">
        <f>IF(COUNTA(A1075:I1075)=0,"",IF(N(IFERROR(INDEX(art_rate,MATCH(E1075,art_ref,0)),0))&gt;0,N(IFERROR(INDEX(art_rate,MATCH(E1075,art_ref,0)),0)),N(IFERROR(INDEX(po_rate,MATCH(C1075,po_code,0)),0))))</f>
        <v/>
      </c>
      <c r="R1075" s="55" t="str">
        <f>IF(AC1075=1,P1075*60/Q1075,"")</f>
        <v/>
      </c>
      <c r="S1075" s="55" t="str">
        <f>IF(AC1075=1,N(G1075)*60/Q1075,"")</f>
        <v/>
      </c>
      <c r="T1075" s="57" t="str">
        <f>IF(AC1075=1,O1075/M1075,"")</f>
        <v/>
      </c>
      <c r="U1075" s="57" t="str">
        <f>IF(AC1075=1,IF(O1075&gt;0,R1075/O1075,""),"")</f>
        <v/>
      </c>
      <c r="V1075" s="57" t="str">
        <f>IF(AC1075=1,IF(P1075&gt;0,N(G1075)/P1075,""),"")</f>
        <v/>
      </c>
      <c r="W1075" s="57" t="str">
        <f>IF(AC1075=1,S1075/M1075,"")</f>
        <v/>
      </c>
      <c r="X1075" s="57" t="str">
        <f>IF(AC1075=1,S1075/K1075,"")</f>
        <v/>
      </c>
      <c r="Y1075" s="58" t="str">
        <f>IF(W1075="","",IF(W1075&gt;=p_target,"Bon",IF(W1075&gt;=p_alert,"À surveiller","Faible")))</f>
        <v/>
      </c>
      <c r="Z1075" s="58" t="str">
        <f>IF(W1075="","",IF(MIN(IF(T1075="",1,T1075),IF(U1075="",1,U1075),IF(V1075="",1,V1075))&gt;=1,"Aucune",IF(IF(T1075="",1,T1075)&lt;=MIN(IF(U1075="",1,U1075),IF(V1075="",1,V1075)),"Disponibilité",IF(IF(U1075="",1,U1075)&lt;=IF(V1075="",1,V1075),"Performance","Qualité"))))</f>
        <v/>
      </c>
      <c r="AA1075" s="59" t="str">
        <f>IF(AC1075=1,N(H1075)*N(IFERROR(INDEX(art_cost,MATCH(E1075,art_ref,0)),0)),"")</f>
        <v/>
      </c>
      <c r="AB1075" s="58" t="str">
        <f>IF(COUNTA(A1075:I1075)=0,"",IF(N(A1075)&lt;=0,"Date manquante ou invalide",IF(B1075="","Équipe manquante",IF(ISNA(MATCH(B1075,eq_code,0)),"Équipe inconnue",IF(INDEX(eq_check,MATCH(B1075,eq_code,0))&lt;&gt;"OK","Équipe à corriger dans Paramètres",IF(C1075="","Poste manquant",IF(ISNA(MATCH(C1075,po_code,0)),"Poste inconnu",IF(AND(E1075&lt;&gt;"",ISNA(MATCH(E1075,art_ref,0))),"Article inconnu",IF(IF(E1075="",FALSE,INDEX(art_check,MATCH(E1075,art_ref,0))&lt;&gt;"OK"),"Article à corriger (feuille Articles)",IF(COUNTIFS(sj_date,A1075,sj_eq,B1075,sj_po,C1075)&gt;1,"Ligne en double (même jour, équipe et poste)",IF(OR(NOT(ISNUMBER(K1075)),N(K1075)&lt;=0,N(K1075)&gt;1440),"Temps d'ouverture invalide",IF(OR(AND(G1075&lt;&gt;"",NOT(ISNUMBER(G1075))),N(G1075)&lt;0,N(G1075)&lt;&gt;INT(N(G1075)),AND(H1075&lt;&gt;"",NOT(ISNUMBER(H1075))),N(H1075)&lt;0,N(H1075)&lt;&gt;INT(N(H1075)),AND(I1075&lt;&gt;"",NOT(ISNUMBER(I1075))),N(I1075)&lt;0,N(I1075)&lt;&gt;INT(N(I1075))),"Quantité invalide",IF(Q1075&lt;=0,"Cadence manquante (poste ou article)",IF(M1075&lt;=0,"Arrêts planifiés supérieurs au temps d'ouverture",IF(O1075&lt;0,"Arrêts supérieurs au temps requis",IF(AND(P1075&gt;0,O1075=0),"Pièces déclarées sans temps de marche",IF(AND(P1075=0,O1075&gt;0),"Aucune pièce déclarée",IF(P1075*60/Q1075&gt;O1075+0.001,"Cadence dépassée : vérifiez la cadence","OK"))))))))))))))))))</f>
        <v/>
      </c>
      <c r="AC1075">
        <f>IF(OR(AB1075="OK",AB1075="Aucune pièce déclarée",AB1075="Cadence dépassée : vérifiez la cadence"),1,0)</f>
        <v>0.0</v>
      </c>
      <c r="AD1075">
        <f>IF(AND(AC1075=1,A1075&gt;=p_from,A1075&lt;=p_to),1,0)</f>
        <v>0.0</v>
      </c>
      <c r="AE1075">
        <f>IF(AD1075=1,IF(COUNTIFS($A$6:A1075,A1075,$AD$6:AD1075,1)=1,1,0),0)</f>
        <v>0.0</v>
      </c>
      <c r="AF1075" t="str">
        <f>IF(AE1075=1,COUNTIFS(sj_first,1,sj_date,"&lt;"&amp;A1075)+1,"")</f>
        <v/>
      </c>
      <c r="AG1075" t="str">
        <f>IF(AND(AD1075=1,N(W1075)&lt;p_alert),ROUND(W1075,4),"")</f>
        <v/>
      </c>
      <c r="AH1075" t="str">
        <f>IF(AG1075="","",COUNTIF(sj_akey,"&lt;"&amp;AG1075)+COUNTIF($AG$6:AG1075,AG1075))</f>
        <v/>
      </c>
    </row>
    <row r="1076">
      <c r="A1076" s="51" t="n"/>
      <c r="B1076" s="52" t="n"/>
      <c r="C1076" s="52" t="n"/>
      <c r="D1076" s="53" t="n"/>
      <c r="E1076" s="53" t="n"/>
      <c r="F1076" s="54" t="n"/>
      <c r="G1076" s="54" t="n"/>
      <c r="H1076" s="54" t="n"/>
      <c r="I1076" s="54" t="n"/>
      <c r="J1076" s="53" t="n"/>
      <c r="K1076" s="55" t="str">
        <f>IF(COUNTA(A1076:I1076)=0,"",IF(F1076="",IFERROR(INDEX(eq_dur,MATCH(B1076,eq_code,0)),""),F1076))</f>
        <v/>
      </c>
      <c r="L1076" s="55" t="str">
        <f>IF(ISNUMBER(K1076),N(IFERROR(INDEX(eq_pause,MATCH(B1076,eq_code,0)),0))+SUMIFS(st_min,st_date,A1076,st_eq,B1076,st_po,C1076,st_type,"Planifié"),"")</f>
        <v/>
      </c>
      <c r="M1076" s="55" t="str">
        <f>IF(ISNUMBER(K1076),K1076-L1076,"")</f>
        <v/>
      </c>
      <c r="N1076" s="55" t="str">
        <f>IF(ISNUMBER(K1076),SUMIFS(st_min,st_date,A1076,st_eq,B1076,st_po,C1076,st_type,"Non planifié"),"")</f>
        <v/>
      </c>
      <c r="O1076" s="55" t="str">
        <f>IF(ISNUMBER(K1076),M1076-N1076,"")</f>
        <v/>
      </c>
      <c r="P1076" s="55" t="str">
        <f>IF(COUNTA(A1076:I1076)=0,"",N(G1076)+N(H1076)+N(I1076))</f>
        <v/>
      </c>
      <c r="Q1076" s="56" t="str">
        <f>IF(COUNTA(A1076:I1076)=0,"",IF(N(IFERROR(INDEX(art_rate,MATCH(E1076,art_ref,0)),0))&gt;0,N(IFERROR(INDEX(art_rate,MATCH(E1076,art_ref,0)),0)),N(IFERROR(INDEX(po_rate,MATCH(C1076,po_code,0)),0))))</f>
        <v/>
      </c>
      <c r="R1076" s="55" t="str">
        <f>IF(AC1076=1,P1076*60/Q1076,"")</f>
        <v/>
      </c>
      <c r="S1076" s="55" t="str">
        <f>IF(AC1076=1,N(G1076)*60/Q1076,"")</f>
        <v/>
      </c>
      <c r="T1076" s="57" t="str">
        <f>IF(AC1076=1,O1076/M1076,"")</f>
        <v/>
      </c>
      <c r="U1076" s="57" t="str">
        <f>IF(AC1076=1,IF(O1076&gt;0,R1076/O1076,""),"")</f>
        <v/>
      </c>
      <c r="V1076" s="57" t="str">
        <f>IF(AC1076=1,IF(P1076&gt;0,N(G1076)/P1076,""),"")</f>
        <v/>
      </c>
      <c r="W1076" s="57" t="str">
        <f>IF(AC1076=1,S1076/M1076,"")</f>
        <v/>
      </c>
      <c r="X1076" s="57" t="str">
        <f>IF(AC1076=1,S1076/K1076,"")</f>
        <v/>
      </c>
      <c r="Y1076" s="58" t="str">
        <f>IF(W1076="","",IF(W1076&gt;=p_target,"Bon",IF(W1076&gt;=p_alert,"À surveiller","Faible")))</f>
        <v/>
      </c>
      <c r="Z1076" s="58" t="str">
        <f>IF(W1076="","",IF(MIN(IF(T1076="",1,T1076),IF(U1076="",1,U1076),IF(V1076="",1,V1076))&gt;=1,"Aucune",IF(IF(T1076="",1,T1076)&lt;=MIN(IF(U1076="",1,U1076),IF(V1076="",1,V1076)),"Disponibilité",IF(IF(U1076="",1,U1076)&lt;=IF(V1076="",1,V1076),"Performance","Qualité"))))</f>
        <v/>
      </c>
      <c r="AA1076" s="59" t="str">
        <f>IF(AC1076=1,N(H1076)*N(IFERROR(INDEX(art_cost,MATCH(E1076,art_ref,0)),0)),"")</f>
        <v/>
      </c>
      <c r="AB1076" s="58" t="str">
        <f>IF(COUNTA(A1076:I1076)=0,"",IF(N(A1076)&lt;=0,"Date manquante ou invalide",IF(B1076="","Équipe manquante",IF(ISNA(MATCH(B1076,eq_code,0)),"Équipe inconnue",IF(INDEX(eq_check,MATCH(B1076,eq_code,0))&lt;&gt;"OK","Équipe à corriger dans Paramètres",IF(C1076="","Poste manquant",IF(ISNA(MATCH(C1076,po_code,0)),"Poste inconnu",IF(AND(E1076&lt;&gt;"",ISNA(MATCH(E1076,art_ref,0))),"Article inconnu",IF(IF(E1076="",FALSE,INDEX(art_check,MATCH(E1076,art_ref,0))&lt;&gt;"OK"),"Article à corriger (feuille Articles)",IF(COUNTIFS(sj_date,A1076,sj_eq,B1076,sj_po,C1076)&gt;1,"Ligne en double (même jour, équipe et poste)",IF(OR(NOT(ISNUMBER(K1076)),N(K1076)&lt;=0,N(K1076)&gt;1440),"Temps d'ouverture invalide",IF(OR(AND(G1076&lt;&gt;"",NOT(ISNUMBER(G1076))),N(G1076)&lt;0,N(G1076)&lt;&gt;INT(N(G1076)),AND(H1076&lt;&gt;"",NOT(ISNUMBER(H1076))),N(H1076)&lt;0,N(H1076)&lt;&gt;INT(N(H1076)),AND(I1076&lt;&gt;"",NOT(ISNUMBER(I1076))),N(I1076)&lt;0,N(I1076)&lt;&gt;INT(N(I1076))),"Quantité invalide",IF(Q1076&lt;=0,"Cadence manquante (poste ou article)",IF(M1076&lt;=0,"Arrêts planifiés supérieurs au temps d'ouverture",IF(O1076&lt;0,"Arrêts supérieurs au temps requis",IF(AND(P1076&gt;0,O1076=0),"Pièces déclarées sans temps de marche",IF(AND(P1076=0,O1076&gt;0),"Aucune pièce déclarée",IF(P1076*60/Q1076&gt;O1076+0.001,"Cadence dépassée : vérifiez la cadence","OK"))))))))))))))))))</f>
        <v/>
      </c>
      <c r="AC1076">
        <f>IF(OR(AB1076="OK",AB1076="Aucune pièce déclarée",AB1076="Cadence dépassée : vérifiez la cadence"),1,0)</f>
        <v>0.0</v>
      </c>
      <c r="AD1076">
        <f>IF(AND(AC1076=1,A1076&gt;=p_from,A1076&lt;=p_to),1,0)</f>
        <v>0.0</v>
      </c>
      <c r="AE1076">
        <f>IF(AD1076=1,IF(COUNTIFS($A$6:A1076,A1076,$AD$6:AD1076,1)=1,1,0),0)</f>
        <v>0.0</v>
      </c>
      <c r="AF1076" t="str">
        <f>IF(AE1076=1,COUNTIFS(sj_first,1,sj_date,"&lt;"&amp;A1076)+1,"")</f>
        <v/>
      </c>
      <c r="AG1076" t="str">
        <f>IF(AND(AD1076=1,N(W1076)&lt;p_alert),ROUND(W1076,4),"")</f>
        <v/>
      </c>
      <c r="AH1076" t="str">
        <f>IF(AG1076="","",COUNTIF(sj_akey,"&lt;"&amp;AG1076)+COUNTIF($AG$6:AG1076,AG1076))</f>
        <v/>
      </c>
    </row>
    <row r="1077">
      <c r="A1077" s="51" t="n"/>
      <c r="B1077" s="52" t="n"/>
      <c r="C1077" s="52" t="n"/>
      <c r="D1077" s="53" t="n"/>
      <c r="E1077" s="53" t="n"/>
      <c r="F1077" s="54" t="n"/>
      <c r="G1077" s="54" t="n"/>
      <c r="H1077" s="54" t="n"/>
      <c r="I1077" s="54" t="n"/>
      <c r="J1077" s="53" t="n"/>
      <c r="K1077" s="55" t="str">
        <f>IF(COUNTA(A1077:I1077)=0,"",IF(F1077="",IFERROR(INDEX(eq_dur,MATCH(B1077,eq_code,0)),""),F1077))</f>
        <v/>
      </c>
      <c r="L1077" s="55" t="str">
        <f>IF(ISNUMBER(K1077),N(IFERROR(INDEX(eq_pause,MATCH(B1077,eq_code,0)),0))+SUMIFS(st_min,st_date,A1077,st_eq,B1077,st_po,C1077,st_type,"Planifié"),"")</f>
        <v/>
      </c>
      <c r="M1077" s="55" t="str">
        <f>IF(ISNUMBER(K1077),K1077-L1077,"")</f>
        <v/>
      </c>
      <c r="N1077" s="55" t="str">
        <f>IF(ISNUMBER(K1077),SUMIFS(st_min,st_date,A1077,st_eq,B1077,st_po,C1077,st_type,"Non planifié"),"")</f>
        <v/>
      </c>
      <c r="O1077" s="55" t="str">
        <f>IF(ISNUMBER(K1077),M1077-N1077,"")</f>
        <v/>
      </c>
      <c r="P1077" s="55" t="str">
        <f>IF(COUNTA(A1077:I1077)=0,"",N(G1077)+N(H1077)+N(I1077))</f>
        <v/>
      </c>
      <c r="Q1077" s="56" t="str">
        <f>IF(COUNTA(A1077:I1077)=0,"",IF(N(IFERROR(INDEX(art_rate,MATCH(E1077,art_ref,0)),0))&gt;0,N(IFERROR(INDEX(art_rate,MATCH(E1077,art_ref,0)),0)),N(IFERROR(INDEX(po_rate,MATCH(C1077,po_code,0)),0))))</f>
        <v/>
      </c>
      <c r="R1077" s="55" t="str">
        <f>IF(AC1077=1,P1077*60/Q1077,"")</f>
        <v/>
      </c>
      <c r="S1077" s="55" t="str">
        <f>IF(AC1077=1,N(G1077)*60/Q1077,"")</f>
        <v/>
      </c>
      <c r="T1077" s="57" t="str">
        <f>IF(AC1077=1,O1077/M1077,"")</f>
        <v/>
      </c>
      <c r="U1077" s="57" t="str">
        <f>IF(AC1077=1,IF(O1077&gt;0,R1077/O1077,""),"")</f>
        <v/>
      </c>
      <c r="V1077" s="57" t="str">
        <f>IF(AC1077=1,IF(P1077&gt;0,N(G1077)/P1077,""),"")</f>
        <v/>
      </c>
      <c r="W1077" s="57" t="str">
        <f>IF(AC1077=1,S1077/M1077,"")</f>
        <v/>
      </c>
      <c r="X1077" s="57" t="str">
        <f>IF(AC1077=1,S1077/K1077,"")</f>
        <v/>
      </c>
      <c r="Y1077" s="58" t="str">
        <f>IF(W1077="","",IF(W1077&gt;=p_target,"Bon",IF(W1077&gt;=p_alert,"À surveiller","Faible")))</f>
        <v/>
      </c>
      <c r="Z1077" s="58" t="str">
        <f>IF(W1077="","",IF(MIN(IF(T1077="",1,T1077),IF(U1077="",1,U1077),IF(V1077="",1,V1077))&gt;=1,"Aucune",IF(IF(T1077="",1,T1077)&lt;=MIN(IF(U1077="",1,U1077),IF(V1077="",1,V1077)),"Disponibilité",IF(IF(U1077="",1,U1077)&lt;=IF(V1077="",1,V1077),"Performance","Qualité"))))</f>
        <v/>
      </c>
      <c r="AA1077" s="59" t="str">
        <f>IF(AC1077=1,N(H1077)*N(IFERROR(INDEX(art_cost,MATCH(E1077,art_ref,0)),0)),"")</f>
        <v/>
      </c>
      <c r="AB1077" s="58" t="str">
        <f>IF(COUNTA(A1077:I1077)=0,"",IF(N(A1077)&lt;=0,"Date manquante ou invalide",IF(B1077="","Équipe manquante",IF(ISNA(MATCH(B1077,eq_code,0)),"Équipe inconnue",IF(INDEX(eq_check,MATCH(B1077,eq_code,0))&lt;&gt;"OK","Équipe à corriger dans Paramètres",IF(C1077="","Poste manquant",IF(ISNA(MATCH(C1077,po_code,0)),"Poste inconnu",IF(AND(E1077&lt;&gt;"",ISNA(MATCH(E1077,art_ref,0))),"Article inconnu",IF(IF(E1077="",FALSE,INDEX(art_check,MATCH(E1077,art_ref,0))&lt;&gt;"OK"),"Article à corriger (feuille Articles)",IF(COUNTIFS(sj_date,A1077,sj_eq,B1077,sj_po,C1077)&gt;1,"Ligne en double (même jour, équipe et poste)",IF(OR(NOT(ISNUMBER(K1077)),N(K1077)&lt;=0,N(K1077)&gt;1440),"Temps d'ouverture invalide",IF(OR(AND(G1077&lt;&gt;"",NOT(ISNUMBER(G1077))),N(G1077)&lt;0,N(G1077)&lt;&gt;INT(N(G1077)),AND(H1077&lt;&gt;"",NOT(ISNUMBER(H1077))),N(H1077)&lt;0,N(H1077)&lt;&gt;INT(N(H1077)),AND(I1077&lt;&gt;"",NOT(ISNUMBER(I1077))),N(I1077)&lt;0,N(I1077)&lt;&gt;INT(N(I1077))),"Quantité invalide",IF(Q1077&lt;=0,"Cadence manquante (poste ou article)",IF(M1077&lt;=0,"Arrêts planifiés supérieurs au temps d'ouverture",IF(O1077&lt;0,"Arrêts supérieurs au temps requis",IF(AND(P1077&gt;0,O1077=0),"Pièces déclarées sans temps de marche",IF(AND(P1077=0,O1077&gt;0),"Aucune pièce déclarée",IF(P1077*60/Q1077&gt;O1077+0.001,"Cadence dépassée : vérifiez la cadence","OK"))))))))))))))))))</f>
        <v/>
      </c>
      <c r="AC1077">
        <f>IF(OR(AB1077="OK",AB1077="Aucune pièce déclarée",AB1077="Cadence dépassée : vérifiez la cadence"),1,0)</f>
        <v>0.0</v>
      </c>
      <c r="AD1077">
        <f>IF(AND(AC1077=1,A1077&gt;=p_from,A1077&lt;=p_to),1,0)</f>
        <v>0.0</v>
      </c>
      <c r="AE1077">
        <f>IF(AD1077=1,IF(COUNTIFS($A$6:A1077,A1077,$AD$6:AD1077,1)=1,1,0),0)</f>
        <v>0.0</v>
      </c>
      <c r="AF1077" t="str">
        <f>IF(AE1077=1,COUNTIFS(sj_first,1,sj_date,"&lt;"&amp;A1077)+1,"")</f>
        <v/>
      </c>
      <c r="AG1077" t="str">
        <f>IF(AND(AD1077=1,N(W1077)&lt;p_alert),ROUND(W1077,4),"")</f>
        <v/>
      </c>
      <c r="AH1077" t="str">
        <f>IF(AG1077="","",COUNTIF(sj_akey,"&lt;"&amp;AG1077)+COUNTIF($AG$6:AG1077,AG1077))</f>
        <v/>
      </c>
    </row>
    <row r="1078">
      <c r="A1078" s="51" t="n"/>
      <c r="B1078" s="52" t="n"/>
      <c r="C1078" s="52" t="n"/>
      <c r="D1078" s="53" t="n"/>
      <c r="E1078" s="53" t="n"/>
      <c r="F1078" s="54" t="n"/>
      <c r="G1078" s="54" t="n"/>
      <c r="H1078" s="54" t="n"/>
      <c r="I1078" s="54" t="n"/>
      <c r="J1078" s="53" t="n"/>
      <c r="K1078" s="55" t="str">
        <f>IF(COUNTA(A1078:I1078)=0,"",IF(F1078="",IFERROR(INDEX(eq_dur,MATCH(B1078,eq_code,0)),""),F1078))</f>
        <v/>
      </c>
      <c r="L1078" s="55" t="str">
        <f>IF(ISNUMBER(K1078),N(IFERROR(INDEX(eq_pause,MATCH(B1078,eq_code,0)),0))+SUMIFS(st_min,st_date,A1078,st_eq,B1078,st_po,C1078,st_type,"Planifié"),"")</f>
        <v/>
      </c>
      <c r="M1078" s="55" t="str">
        <f>IF(ISNUMBER(K1078),K1078-L1078,"")</f>
        <v/>
      </c>
      <c r="N1078" s="55" t="str">
        <f>IF(ISNUMBER(K1078),SUMIFS(st_min,st_date,A1078,st_eq,B1078,st_po,C1078,st_type,"Non planifié"),"")</f>
        <v/>
      </c>
      <c r="O1078" s="55" t="str">
        <f>IF(ISNUMBER(K1078),M1078-N1078,"")</f>
        <v/>
      </c>
      <c r="P1078" s="55" t="str">
        <f>IF(COUNTA(A1078:I1078)=0,"",N(G1078)+N(H1078)+N(I1078))</f>
        <v/>
      </c>
      <c r="Q1078" s="56" t="str">
        <f>IF(COUNTA(A1078:I1078)=0,"",IF(N(IFERROR(INDEX(art_rate,MATCH(E1078,art_ref,0)),0))&gt;0,N(IFERROR(INDEX(art_rate,MATCH(E1078,art_ref,0)),0)),N(IFERROR(INDEX(po_rate,MATCH(C1078,po_code,0)),0))))</f>
        <v/>
      </c>
      <c r="R1078" s="55" t="str">
        <f>IF(AC1078=1,P1078*60/Q1078,"")</f>
        <v/>
      </c>
      <c r="S1078" s="55" t="str">
        <f>IF(AC1078=1,N(G1078)*60/Q1078,"")</f>
        <v/>
      </c>
      <c r="T1078" s="57" t="str">
        <f>IF(AC1078=1,O1078/M1078,"")</f>
        <v/>
      </c>
      <c r="U1078" s="57" t="str">
        <f>IF(AC1078=1,IF(O1078&gt;0,R1078/O1078,""),"")</f>
        <v/>
      </c>
      <c r="V1078" s="57" t="str">
        <f>IF(AC1078=1,IF(P1078&gt;0,N(G1078)/P1078,""),"")</f>
        <v/>
      </c>
      <c r="W1078" s="57" t="str">
        <f>IF(AC1078=1,S1078/M1078,"")</f>
        <v/>
      </c>
      <c r="X1078" s="57" t="str">
        <f>IF(AC1078=1,S1078/K1078,"")</f>
        <v/>
      </c>
      <c r="Y1078" s="58" t="str">
        <f>IF(W1078="","",IF(W1078&gt;=p_target,"Bon",IF(W1078&gt;=p_alert,"À surveiller","Faible")))</f>
        <v/>
      </c>
      <c r="Z1078" s="58" t="str">
        <f>IF(W1078="","",IF(MIN(IF(T1078="",1,T1078),IF(U1078="",1,U1078),IF(V1078="",1,V1078))&gt;=1,"Aucune",IF(IF(T1078="",1,T1078)&lt;=MIN(IF(U1078="",1,U1078),IF(V1078="",1,V1078)),"Disponibilité",IF(IF(U1078="",1,U1078)&lt;=IF(V1078="",1,V1078),"Performance","Qualité"))))</f>
        <v/>
      </c>
      <c r="AA1078" s="59" t="str">
        <f>IF(AC1078=1,N(H1078)*N(IFERROR(INDEX(art_cost,MATCH(E1078,art_ref,0)),0)),"")</f>
        <v/>
      </c>
      <c r="AB1078" s="58" t="str">
        <f>IF(COUNTA(A1078:I1078)=0,"",IF(N(A1078)&lt;=0,"Date manquante ou invalide",IF(B1078="","Équipe manquante",IF(ISNA(MATCH(B1078,eq_code,0)),"Équipe inconnue",IF(INDEX(eq_check,MATCH(B1078,eq_code,0))&lt;&gt;"OK","Équipe à corriger dans Paramètres",IF(C1078="","Poste manquant",IF(ISNA(MATCH(C1078,po_code,0)),"Poste inconnu",IF(AND(E1078&lt;&gt;"",ISNA(MATCH(E1078,art_ref,0))),"Article inconnu",IF(IF(E1078="",FALSE,INDEX(art_check,MATCH(E1078,art_ref,0))&lt;&gt;"OK"),"Article à corriger (feuille Articles)",IF(COUNTIFS(sj_date,A1078,sj_eq,B1078,sj_po,C1078)&gt;1,"Ligne en double (même jour, équipe et poste)",IF(OR(NOT(ISNUMBER(K1078)),N(K1078)&lt;=0,N(K1078)&gt;1440),"Temps d'ouverture invalide",IF(OR(AND(G1078&lt;&gt;"",NOT(ISNUMBER(G1078))),N(G1078)&lt;0,N(G1078)&lt;&gt;INT(N(G1078)),AND(H1078&lt;&gt;"",NOT(ISNUMBER(H1078))),N(H1078)&lt;0,N(H1078)&lt;&gt;INT(N(H1078)),AND(I1078&lt;&gt;"",NOT(ISNUMBER(I1078))),N(I1078)&lt;0,N(I1078)&lt;&gt;INT(N(I1078))),"Quantité invalide",IF(Q1078&lt;=0,"Cadence manquante (poste ou article)",IF(M1078&lt;=0,"Arrêts planifiés supérieurs au temps d'ouverture",IF(O1078&lt;0,"Arrêts supérieurs au temps requis",IF(AND(P1078&gt;0,O1078=0),"Pièces déclarées sans temps de marche",IF(AND(P1078=0,O1078&gt;0),"Aucune pièce déclarée",IF(P1078*60/Q1078&gt;O1078+0.001,"Cadence dépassée : vérifiez la cadence","OK"))))))))))))))))))</f>
        <v/>
      </c>
      <c r="AC1078">
        <f>IF(OR(AB1078="OK",AB1078="Aucune pièce déclarée",AB1078="Cadence dépassée : vérifiez la cadence"),1,0)</f>
        <v>0.0</v>
      </c>
      <c r="AD1078">
        <f>IF(AND(AC1078=1,A1078&gt;=p_from,A1078&lt;=p_to),1,0)</f>
        <v>0.0</v>
      </c>
      <c r="AE1078">
        <f>IF(AD1078=1,IF(COUNTIFS($A$6:A1078,A1078,$AD$6:AD1078,1)=1,1,0),0)</f>
        <v>0.0</v>
      </c>
      <c r="AF1078" t="str">
        <f>IF(AE1078=1,COUNTIFS(sj_first,1,sj_date,"&lt;"&amp;A1078)+1,"")</f>
        <v/>
      </c>
      <c r="AG1078" t="str">
        <f>IF(AND(AD1078=1,N(W1078)&lt;p_alert),ROUND(W1078,4),"")</f>
        <v/>
      </c>
      <c r="AH1078" t="str">
        <f>IF(AG1078="","",COUNTIF(sj_akey,"&lt;"&amp;AG1078)+COUNTIF($AG$6:AG1078,AG1078))</f>
        <v/>
      </c>
    </row>
    <row r="1079">
      <c r="A1079" s="51" t="n"/>
      <c r="B1079" s="52" t="n"/>
      <c r="C1079" s="52" t="n"/>
      <c r="D1079" s="53" t="n"/>
      <c r="E1079" s="53" t="n"/>
      <c r="F1079" s="54" t="n"/>
      <c r="G1079" s="54" t="n"/>
      <c r="H1079" s="54" t="n"/>
      <c r="I1079" s="54" t="n"/>
      <c r="J1079" s="53" t="n"/>
      <c r="K1079" s="55" t="str">
        <f>IF(COUNTA(A1079:I1079)=0,"",IF(F1079="",IFERROR(INDEX(eq_dur,MATCH(B1079,eq_code,0)),""),F1079))</f>
        <v/>
      </c>
      <c r="L1079" s="55" t="str">
        <f>IF(ISNUMBER(K1079),N(IFERROR(INDEX(eq_pause,MATCH(B1079,eq_code,0)),0))+SUMIFS(st_min,st_date,A1079,st_eq,B1079,st_po,C1079,st_type,"Planifié"),"")</f>
        <v/>
      </c>
      <c r="M1079" s="55" t="str">
        <f>IF(ISNUMBER(K1079),K1079-L1079,"")</f>
        <v/>
      </c>
      <c r="N1079" s="55" t="str">
        <f>IF(ISNUMBER(K1079),SUMIFS(st_min,st_date,A1079,st_eq,B1079,st_po,C1079,st_type,"Non planifié"),"")</f>
        <v/>
      </c>
      <c r="O1079" s="55" t="str">
        <f>IF(ISNUMBER(K1079),M1079-N1079,"")</f>
        <v/>
      </c>
      <c r="P1079" s="55" t="str">
        <f>IF(COUNTA(A1079:I1079)=0,"",N(G1079)+N(H1079)+N(I1079))</f>
        <v/>
      </c>
      <c r="Q1079" s="56" t="str">
        <f>IF(COUNTA(A1079:I1079)=0,"",IF(N(IFERROR(INDEX(art_rate,MATCH(E1079,art_ref,0)),0))&gt;0,N(IFERROR(INDEX(art_rate,MATCH(E1079,art_ref,0)),0)),N(IFERROR(INDEX(po_rate,MATCH(C1079,po_code,0)),0))))</f>
        <v/>
      </c>
      <c r="R1079" s="55" t="str">
        <f>IF(AC1079=1,P1079*60/Q1079,"")</f>
        <v/>
      </c>
      <c r="S1079" s="55" t="str">
        <f>IF(AC1079=1,N(G1079)*60/Q1079,"")</f>
        <v/>
      </c>
      <c r="T1079" s="57" t="str">
        <f>IF(AC1079=1,O1079/M1079,"")</f>
        <v/>
      </c>
      <c r="U1079" s="57" t="str">
        <f>IF(AC1079=1,IF(O1079&gt;0,R1079/O1079,""),"")</f>
        <v/>
      </c>
      <c r="V1079" s="57" t="str">
        <f>IF(AC1079=1,IF(P1079&gt;0,N(G1079)/P1079,""),"")</f>
        <v/>
      </c>
      <c r="W1079" s="57" t="str">
        <f>IF(AC1079=1,S1079/M1079,"")</f>
        <v/>
      </c>
      <c r="X1079" s="57" t="str">
        <f>IF(AC1079=1,S1079/K1079,"")</f>
        <v/>
      </c>
      <c r="Y1079" s="58" t="str">
        <f>IF(W1079="","",IF(W1079&gt;=p_target,"Bon",IF(W1079&gt;=p_alert,"À surveiller","Faible")))</f>
        <v/>
      </c>
      <c r="Z1079" s="58" t="str">
        <f>IF(W1079="","",IF(MIN(IF(T1079="",1,T1079),IF(U1079="",1,U1079),IF(V1079="",1,V1079))&gt;=1,"Aucune",IF(IF(T1079="",1,T1079)&lt;=MIN(IF(U1079="",1,U1079),IF(V1079="",1,V1079)),"Disponibilité",IF(IF(U1079="",1,U1079)&lt;=IF(V1079="",1,V1079),"Performance","Qualité"))))</f>
        <v/>
      </c>
      <c r="AA1079" s="59" t="str">
        <f>IF(AC1079=1,N(H1079)*N(IFERROR(INDEX(art_cost,MATCH(E1079,art_ref,0)),0)),"")</f>
        <v/>
      </c>
      <c r="AB1079" s="58" t="str">
        <f>IF(COUNTA(A1079:I1079)=0,"",IF(N(A1079)&lt;=0,"Date manquante ou invalide",IF(B1079="","Équipe manquante",IF(ISNA(MATCH(B1079,eq_code,0)),"Équipe inconnue",IF(INDEX(eq_check,MATCH(B1079,eq_code,0))&lt;&gt;"OK","Équipe à corriger dans Paramètres",IF(C1079="","Poste manquant",IF(ISNA(MATCH(C1079,po_code,0)),"Poste inconnu",IF(AND(E1079&lt;&gt;"",ISNA(MATCH(E1079,art_ref,0))),"Article inconnu",IF(IF(E1079="",FALSE,INDEX(art_check,MATCH(E1079,art_ref,0))&lt;&gt;"OK"),"Article à corriger (feuille Articles)",IF(COUNTIFS(sj_date,A1079,sj_eq,B1079,sj_po,C1079)&gt;1,"Ligne en double (même jour, équipe et poste)",IF(OR(NOT(ISNUMBER(K1079)),N(K1079)&lt;=0,N(K1079)&gt;1440),"Temps d'ouverture invalide",IF(OR(AND(G1079&lt;&gt;"",NOT(ISNUMBER(G1079))),N(G1079)&lt;0,N(G1079)&lt;&gt;INT(N(G1079)),AND(H1079&lt;&gt;"",NOT(ISNUMBER(H1079))),N(H1079)&lt;0,N(H1079)&lt;&gt;INT(N(H1079)),AND(I1079&lt;&gt;"",NOT(ISNUMBER(I1079))),N(I1079)&lt;0,N(I1079)&lt;&gt;INT(N(I1079))),"Quantité invalide",IF(Q1079&lt;=0,"Cadence manquante (poste ou article)",IF(M1079&lt;=0,"Arrêts planifiés supérieurs au temps d'ouverture",IF(O1079&lt;0,"Arrêts supérieurs au temps requis",IF(AND(P1079&gt;0,O1079=0),"Pièces déclarées sans temps de marche",IF(AND(P1079=0,O1079&gt;0),"Aucune pièce déclarée",IF(P1079*60/Q1079&gt;O1079+0.001,"Cadence dépassée : vérifiez la cadence","OK"))))))))))))))))))</f>
        <v/>
      </c>
      <c r="AC1079">
        <f>IF(OR(AB1079="OK",AB1079="Aucune pièce déclarée",AB1079="Cadence dépassée : vérifiez la cadence"),1,0)</f>
        <v>0.0</v>
      </c>
      <c r="AD1079">
        <f>IF(AND(AC1079=1,A1079&gt;=p_from,A1079&lt;=p_to),1,0)</f>
        <v>0.0</v>
      </c>
      <c r="AE1079">
        <f>IF(AD1079=1,IF(COUNTIFS($A$6:A1079,A1079,$AD$6:AD1079,1)=1,1,0),0)</f>
        <v>0.0</v>
      </c>
      <c r="AF1079" t="str">
        <f>IF(AE1079=1,COUNTIFS(sj_first,1,sj_date,"&lt;"&amp;A1079)+1,"")</f>
        <v/>
      </c>
      <c r="AG1079" t="str">
        <f>IF(AND(AD1079=1,N(W1079)&lt;p_alert),ROUND(W1079,4),"")</f>
        <v/>
      </c>
      <c r="AH1079" t="str">
        <f>IF(AG1079="","",COUNTIF(sj_akey,"&lt;"&amp;AG1079)+COUNTIF($AG$6:AG1079,AG1079))</f>
        <v/>
      </c>
    </row>
    <row r="1080">
      <c r="A1080" s="51" t="n"/>
      <c r="B1080" s="52" t="n"/>
      <c r="C1080" s="52" t="n"/>
      <c r="D1080" s="53" t="n"/>
      <c r="E1080" s="53" t="n"/>
      <c r="F1080" s="54" t="n"/>
      <c r="G1080" s="54" t="n"/>
      <c r="H1080" s="54" t="n"/>
      <c r="I1080" s="54" t="n"/>
      <c r="J1080" s="53" t="n"/>
      <c r="K1080" s="55" t="str">
        <f>IF(COUNTA(A1080:I1080)=0,"",IF(F1080="",IFERROR(INDEX(eq_dur,MATCH(B1080,eq_code,0)),""),F1080))</f>
        <v/>
      </c>
      <c r="L1080" s="55" t="str">
        <f>IF(ISNUMBER(K1080),N(IFERROR(INDEX(eq_pause,MATCH(B1080,eq_code,0)),0))+SUMIFS(st_min,st_date,A1080,st_eq,B1080,st_po,C1080,st_type,"Planifié"),"")</f>
        <v/>
      </c>
      <c r="M1080" s="55" t="str">
        <f>IF(ISNUMBER(K1080),K1080-L1080,"")</f>
        <v/>
      </c>
      <c r="N1080" s="55" t="str">
        <f>IF(ISNUMBER(K1080),SUMIFS(st_min,st_date,A1080,st_eq,B1080,st_po,C1080,st_type,"Non planifié"),"")</f>
        <v/>
      </c>
      <c r="O1080" s="55" t="str">
        <f>IF(ISNUMBER(K1080),M1080-N1080,"")</f>
        <v/>
      </c>
      <c r="P1080" s="55" t="str">
        <f>IF(COUNTA(A1080:I1080)=0,"",N(G1080)+N(H1080)+N(I1080))</f>
        <v/>
      </c>
      <c r="Q1080" s="56" t="str">
        <f>IF(COUNTA(A1080:I1080)=0,"",IF(N(IFERROR(INDEX(art_rate,MATCH(E1080,art_ref,0)),0))&gt;0,N(IFERROR(INDEX(art_rate,MATCH(E1080,art_ref,0)),0)),N(IFERROR(INDEX(po_rate,MATCH(C1080,po_code,0)),0))))</f>
        <v/>
      </c>
      <c r="R1080" s="55" t="str">
        <f>IF(AC1080=1,P1080*60/Q1080,"")</f>
        <v/>
      </c>
      <c r="S1080" s="55" t="str">
        <f>IF(AC1080=1,N(G1080)*60/Q1080,"")</f>
        <v/>
      </c>
      <c r="T1080" s="57" t="str">
        <f>IF(AC1080=1,O1080/M1080,"")</f>
        <v/>
      </c>
      <c r="U1080" s="57" t="str">
        <f>IF(AC1080=1,IF(O1080&gt;0,R1080/O1080,""),"")</f>
        <v/>
      </c>
      <c r="V1080" s="57" t="str">
        <f>IF(AC1080=1,IF(P1080&gt;0,N(G1080)/P1080,""),"")</f>
        <v/>
      </c>
      <c r="W1080" s="57" t="str">
        <f>IF(AC1080=1,S1080/M1080,"")</f>
        <v/>
      </c>
      <c r="X1080" s="57" t="str">
        <f>IF(AC1080=1,S1080/K1080,"")</f>
        <v/>
      </c>
      <c r="Y1080" s="58" t="str">
        <f>IF(W1080="","",IF(W1080&gt;=p_target,"Bon",IF(W1080&gt;=p_alert,"À surveiller","Faible")))</f>
        <v/>
      </c>
      <c r="Z1080" s="58" t="str">
        <f>IF(W1080="","",IF(MIN(IF(T1080="",1,T1080),IF(U1080="",1,U1080),IF(V1080="",1,V1080))&gt;=1,"Aucune",IF(IF(T1080="",1,T1080)&lt;=MIN(IF(U1080="",1,U1080),IF(V1080="",1,V1080)),"Disponibilité",IF(IF(U1080="",1,U1080)&lt;=IF(V1080="",1,V1080),"Performance","Qualité"))))</f>
        <v/>
      </c>
      <c r="AA1080" s="59" t="str">
        <f>IF(AC1080=1,N(H1080)*N(IFERROR(INDEX(art_cost,MATCH(E1080,art_ref,0)),0)),"")</f>
        <v/>
      </c>
      <c r="AB1080" s="58" t="str">
        <f>IF(COUNTA(A1080:I1080)=0,"",IF(N(A1080)&lt;=0,"Date manquante ou invalide",IF(B1080="","Équipe manquante",IF(ISNA(MATCH(B1080,eq_code,0)),"Équipe inconnue",IF(INDEX(eq_check,MATCH(B1080,eq_code,0))&lt;&gt;"OK","Équipe à corriger dans Paramètres",IF(C1080="","Poste manquant",IF(ISNA(MATCH(C1080,po_code,0)),"Poste inconnu",IF(AND(E1080&lt;&gt;"",ISNA(MATCH(E1080,art_ref,0))),"Article inconnu",IF(IF(E1080="",FALSE,INDEX(art_check,MATCH(E1080,art_ref,0))&lt;&gt;"OK"),"Article à corriger (feuille Articles)",IF(COUNTIFS(sj_date,A1080,sj_eq,B1080,sj_po,C1080)&gt;1,"Ligne en double (même jour, équipe et poste)",IF(OR(NOT(ISNUMBER(K1080)),N(K1080)&lt;=0,N(K1080)&gt;1440),"Temps d'ouverture invalide",IF(OR(AND(G1080&lt;&gt;"",NOT(ISNUMBER(G1080))),N(G1080)&lt;0,N(G1080)&lt;&gt;INT(N(G1080)),AND(H1080&lt;&gt;"",NOT(ISNUMBER(H1080))),N(H1080)&lt;0,N(H1080)&lt;&gt;INT(N(H1080)),AND(I1080&lt;&gt;"",NOT(ISNUMBER(I1080))),N(I1080)&lt;0,N(I1080)&lt;&gt;INT(N(I1080))),"Quantité invalide",IF(Q1080&lt;=0,"Cadence manquante (poste ou article)",IF(M1080&lt;=0,"Arrêts planifiés supérieurs au temps d'ouverture",IF(O1080&lt;0,"Arrêts supérieurs au temps requis",IF(AND(P1080&gt;0,O1080=0),"Pièces déclarées sans temps de marche",IF(AND(P1080=0,O1080&gt;0),"Aucune pièce déclarée",IF(P1080*60/Q1080&gt;O1080+0.001,"Cadence dépassée : vérifiez la cadence","OK"))))))))))))))))))</f>
        <v/>
      </c>
      <c r="AC1080">
        <f>IF(OR(AB1080="OK",AB1080="Aucune pièce déclarée",AB1080="Cadence dépassée : vérifiez la cadence"),1,0)</f>
        <v>0.0</v>
      </c>
      <c r="AD1080">
        <f>IF(AND(AC1080=1,A1080&gt;=p_from,A1080&lt;=p_to),1,0)</f>
        <v>0.0</v>
      </c>
      <c r="AE1080">
        <f>IF(AD1080=1,IF(COUNTIFS($A$6:A1080,A1080,$AD$6:AD1080,1)=1,1,0),0)</f>
        <v>0.0</v>
      </c>
      <c r="AF1080" t="str">
        <f>IF(AE1080=1,COUNTIFS(sj_first,1,sj_date,"&lt;"&amp;A1080)+1,"")</f>
        <v/>
      </c>
      <c r="AG1080" t="str">
        <f>IF(AND(AD1080=1,N(W1080)&lt;p_alert),ROUND(W1080,4),"")</f>
        <v/>
      </c>
      <c r="AH1080" t="str">
        <f>IF(AG1080="","",COUNTIF(sj_akey,"&lt;"&amp;AG1080)+COUNTIF($AG$6:AG1080,AG1080))</f>
        <v/>
      </c>
    </row>
    <row r="1081">
      <c r="A1081" s="51" t="n"/>
      <c r="B1081" s="52" t="n"/>
      <c r="C1081" s="52" t="n"/>
      <c r="D1081" s="53" t="n"/>
      <c r="E1081" s="53" t="n"/>
      <c r="F1081" s="54" t="n"/>
      <c r="G1081" s="54" t="n"/>
      <c r="H1081" s="54" t="n"/>
      <c r="I1081" s="54" t="n"/>
      <c r="J1081" s="53" t="n"/>
      <c r="K1081" s="55" t="str">
        <f>IF(COUNTA(A1081:I1081)=0,"",IF(F1081="",IFERROR(INDEX(eq_dur,MATCH(B1081,eq_code,0)),""),F1081))</f>
        <v/>
      </c>
      <c r="L1081" s="55" t="str">
        <f>IF(ISNUMBER(K1081),N(IFERROR(INDEX(eq_pause,MATCH(B1081,eq_code,0)),0))+SUMIFS(st_min,st_date,A1081,st_eq,B1081,st_po,C1081,st_type,"Planifié"),"")</f>
        <v/>
      </c>
      <c r="M1081" s="55" t="str">
        <f>IF(ISNUMBER(K1081),K1081-L1081,"")</f>
        <v/>
      </c>
      <c r="N1081" s="55" t="str">
        <f>IF(ISNUMBER(K1081),SUMIFS(st_min,st_date,A1081,st_eq,B1081,st_po,C1081,st_type,"Non planifié"),"")</f>
        <v/>
      </c>
      <c r="O1081" s="55" t="str">
        <f>IF(ISNUMBER(K1081),M1081-N1081,"")</f>
        <v/>
      </c>
      <c r="P1081" s="55" t="str">
        <f>IF(COUNTA(A1081:I1081)=0,"",N(G1081)+N(H1081)+N(I1081))</f>
        <v/>
      </c>
      <c r="Q1081" s="56" t="str">
        <f>IF(COUNTA(A1081:I1081)=0,"",IF(N(IFERROR(INDEX(art_rate,MATCH(E1081,art_ref,0)),0))&gt;0,N(IFERROR(INDEX(art_rate,MATCH(E1081,art_ref,0)),0)),N(IFERROR(INDEX(po_rate,MATCH(C1081,po_code,0)),0))))</f>
        <v/>
      </c>
      <c r="R1081" s="55" t="str">
        <f>IF(AC1081=1,P1081*60/Q1081,"")</f>
        <v/>
      </c>
      <c r="S1081" s="55" t="str">
        <f>IF(AC1081=1,N(G1081)*60/Q1081,"")</f>
        <v/>
      </c>
      <c r="T1081" s="57" t="str">
        <f>IF(AC1081=1,O1081/M1081,"")</f>
        <v/>
      </c>
      <c r="U1081" s="57" t="str">
        <f>IF(AC1081=1,IF(O1081&gt;0,R1081/O1081,""),"")</f>
        <v/>
      </c>
      <c r="V1081" s="57" t="str">
        <f>IF(AC1081=1,IF(P1081&gt;0,N(G1081)/P1081,""),"")</f>
        <v/>
      </c>
      <c r="W1081" s="57" t="str">
        <f>IF(AC1081=1,S1081/M1081,"")</f>
        <v/>
      </c>
      <c r="X1081" s="57" t="str">
        <f>IF(AC1081=1,S1081/K1081,"")</f>
        <v/>
      </c>
      <c r="Y1081" s="58" t="str">
        <f>IF(W1081="","",IF(W1081&gt;=p_target,"Bon",IF(W1081&gt;=p_alert,"À surveiller","Faible")))</f>
        <v/>
      </c>
      <c r="Z1081" s="58" t="str">
        <f>IF(W1081="","",IF(MIN(IF(T1081="",1,T1081),IF(U1081="",1,U1081),IF(V1081="",1,V1081))&gt;=1,"Aucune",IF(IF(T1081="",1,T1081)&lt;=MIN(IF(U1081="",1,U1081),IF(V1081="",1,V1081)),"Disponibilité",IF(IF(U1081="",1,U1081)&lt;=IF(V1081="",1,V1081),"Performance","Qualité"))))</f>
        <v/>
      </c>
      <c r="AA1081" s="59" t="str">
        <f>IF(AC1081=1,N(H1081)*N(IFERROR(INDEX(art_cost,MATCH(E1081,art_ref,0)),0)),"")</f>
        <v/>
      </c>
      <c r="AB1081" s="58" t="str">
        <f>IF(COUNTA(A1081:I1081)=0,"",IF(N(A1081)&lt;=0,"Date manquante ou invalide",IF(B1081="","Équipe manquante",IF(ISNA(MATCH(B1081,eq_code,0)),"Équipe inconnue",IF(INDEX(eq_check,MATCH(B1081,eq_code,0))&lt;&gt;"OK","Équipe à corriger dans Paramètres",IF(C1081="","Poste manquant",IF(ISNA(MATCH(C1081,po_code,0)),"Poste inconnu",IF(AND(E1081&lt;&gt;"",ISNA(MATCH(E1081,art_ref,0))),"Article inconnu",IF(IF(E1081="",FALSE,INDEX(art_check,MATCH(E1081,art_ref,0))&lt;&gt;"OK"),"Article à corriger (feuille Articles)",IF(COUNTIFS(sj_date,A1081,sj_eq,B1081,sj_po,C1081)&gt;1,"Ligne en double (même jour, équipe et poste)",IF(OR(NOT(ISNUMBER(K1081)),N(K1081)&lt;=0,N(K1081)&gt;1440),"Temps d'ouverture invalide",IF(OR(AND(G1081&lt;&gt;"",NOT(ISNUMBER(G1081))),N(G1081)&lt;0,N(G1081)&lt;&gt;INT(N(G1081)),AND(H1081&lt;&gt;"",NOT(ISNUMBER(H1081))),N(H1081)&lt;0,N(H1081)&lt;&gt;INT(N(H1081)),AND(I1081&lt;&gt;"",NOT(ISNUMBER(I1081))),N(I1081)&lt;0,N(I1081)&lt;&gt;INT(N(I1081))),"Quantité invalide",IF(Q1081&lt;=0,"Cadence manquante (poste ou article)",IF(M1081&lt;=0,"Arrêts planifiés supérieurs au temps d'ouverture",IF(O1081&lt;0,"Arrêts supérieurs au temps requis",IF(AND(P1081&gt;0,O1081=0),"Pièces déclarées sans temps de marche",IF(AND(P1081=0,O1081&gt;0),"Aucune pièce déclarée",IF(P1081*60/Q1081&gt;O1081+0.001,"Cadence dépassée : vérifiez la cadence","OK"))))))))))))))))))</f>
        <v/>
      </c>
      <c r="AC1081">
        <f>IF(OR(AB1081="OK",AB1081="Aucune pièce déclarée",AB1081="Cadence dépassée : vérifiez la cadence"),1,0)</f>
        <v>0.0</v>
      </c>
      <c r="AD1081">
        <f>IF(AND(AC1081=1,A1081&gt;=p_from,A1081&lt;=p_to),1,0)</f>
        <v>0.0</v>
      </c>
      <c r="AE1081">
        <f>IF(AD1081=1,IF(COUNTIFS($A$6:A1081,A1081,$AD$6:AD1081,1)=1,1,0),0)</f>
        <v>0.0</v>
      </c>
      <c r="AF1081" t="str">
        <f>IF(AE1081=1,COUNTIFS(sj_first,1,sj_date,"&lt;"&amp;A1081)+1,"")</f>
        <v/>
      </c>
      <c r="AG1081" t="str">
        <f>IF(AND(AD1081=1,N(W1081)&lt;p_alert),ROUND(W1081,4),"")</f>
        <v/>
      </c>
      <c r="AH1081" t="str">
        <f>IF(AG1081="","",COUNTIF(sj_akey,"&lt;"&amp;AG1081)+COUNTIF($AG$6:AG1081,AG1081))</f>
        <v/>
      </c>
    </row>
    <row r="1082">
      <c r="A1082" s="51" t="n"/>
      <c r="B1082" s="52" t="n"/>
      <c r="C1082" s="52" t="n"/>
      <c r="D1082" s="53" t="n"/>
      <c r="E1082" s="53" t="n"/>
      <c r="F1082" s="54" t="n"/>
      <c r="G1082" s="54" t="n"/>
      <c r="H1082" s="54" t="n"/>
      <c r="I1082" s="54" t="n"/>
      <c r="J1082" s="53" t="n"/>
      <c r="K1082" s="55" t="str">
        <f>IF(COUNTA(A1082:I1082)=0,"",IF(F1082="",IFERROR(INDEX(eq_dur,MATCH(B1082,eq_code,0)),""),F1082))</f>
        <v/>
      </c>
      <c r="L1082" s="55" t="str">
        <f>IF(ISNUMBER(K1082),N(IFERROR(INDEX(eq_pause,MATCH(B1082,eq_code,0)),0))+SUMIFS(st_min,st_date,A1082,st_eq,B1082,st_po,C1082,st_type,"Planifié"),"")</f>
        <v/>
      </c>
      <c r="M1082" s="55" t="str">
        <f>IF(ISNUMBER(K1082),K1082-L1082,"")</f>
        <v/>
      </c>
      <c r="N1082" s="55" t="str">
        <f>IF(ISNUMBER(K1082),SUMIFS(st_min,st_date,A1082,st_eq,B1082,st_po,C1082,st_type,"Non planifié"),"")</f>
        <v/>
      </c>
      <c r="O1082" s="55" t="str">
        <f>IF(ISNUMBER(K1082),M1082-N1082,"")</f>
        <v/>
      </c>
      <c r="P1082" s="55" t="str">
        <f>IF(COUNTA(A1082:I1082)=0,"",N(G1082)+N(H1082)+N(I1082))</f>
        <v/>
      </c>
      <c r="Q1082" s="56" t="str">
        <f>IF(COUNTA(A1082:I1082)=0,"",IF(N(IFERROR(INDEX(art_rate,MATCH(E1082,art_ref,0)),0))&gt;0,N(IFERROR(INDEX(art_rate,MATCH(E1082,art_ref,0)),0)),N(IFERROR(INDEX(po_rate,MATCH(C1082,po_code,0)),0))))</f>
        <v/>
      </c>
      <c r="R1082" s="55" t="str">
        <f>IF(AC1082=1,P1082*60/Q1082,"")</f>
        <v/>
      </c>
      <c r="S1082" s="55" t="str">
        <f>IF(AC1082=1,N(G1082)*60/Q1082,"")</f>
        <v/>
      </c>
      <c r="T1082" s="57" t="str">
        <f>IF(AC1082=1,O1082/M1082,"")</f>
        <v/>
      </c>
      <c r="U1082" s="57" t="str">
        <f>IF(AC1082=1,IF(O1082&gt;0,R1082/O1082,""),"")</f>
        <v/>
      </c>
      <c r="V1082" s="57" t="str">
        <f>IF(AC1082=1,IF(P1082&gt;0,N(G1082)/P1082,""),"")</f>
        <v/>
      </c>
      <c r="W1082" s="57" t="str">
        <f>IF(AC1082=1,S1082/M1082,"")</f>
        <v/>
      </c>
      <c r="X1082" s="57" t="str">
        <f>IF(AC1082=1,S1082/K1082,"")</f>
        <v/>
      </c>
      <c r="Y1082" s="58" t="str">
        <f>IF(W1082="","",IF(W1082&gt;=p_target,"Bon",IF(W1082&gt;=p_alert,"À surveiller","Faible")))</f>
        <v/>
      </c>
      <c r="Z1082" s="58" t="str">
        <f>IF(W1082="","",IF(MIN(IF(T1082="",1,T1082),IF(U1082="",1,U1082),IF(V1082="",1,V1082))&gt;=1,"Aucune",IF(IF(T1082="",1,T1082)&lt;=MIN(IF(U1082="",1,U1082),IF(V1082="",1,V1082)),"Disponibilité",IF(IF(U1082="",1,U1082)&lt;=IF(V1082="",1,V1082),"Performance","Qualité"))))</f>
        <v/>
      </c>
      <c r="AA1082" s="59" t="str">
        <f>IF(AC1082=1,N(H1082)*N(IFERROR(INDEX(art_cost,MATCH(E1082,art_ref,0)),0)),"")</f>
        <v/>
      </c>
      <c r="AB1082" s="58" t="str">
        <f>IF(COUNTA(A1082:I1082)=0,"",IF(N(A1082)&lt;=0,"Date manquante ou invalide",IF(B1082="","Équipe manquante",IF(ISNA(MATCH(B1082,eq_code,0)),"Équipe inconnue",IF(INDEX(eq_check,MATCH(B1082,eq_code,0))&lt;&gt;"OK","Équipe à corriger dans Paramètres",IF(C1082="","Poste manquant",IF(ISNA(MATCH(C1082,po_code,0)),"Poste inconnu",IF(AND(E1082&lt;&gt;"",ISNA(MATCH(E1082,art_ref,0))),"Article inconnu",IF(IF(E1082="",FALSE,INDEX(art_check,MATCH(E1082,art_ref,0))&lt;&gt;"OK"),"Article à corriger (feuille Articles)",IF(COUNTIFS(sj_date,A1082,sj_eq,B1082,sj_po,C1082)&gt;1,"Ligne en double (même jour, équipe et poste)",IF(OR(NOT(ISNUMBER(K1082)),N(K1082)&lt;=0,N(K1082)&gt;1440),"Temps d'ouverture invalide",IF(OR(AND(G1082&lt;&gt;"",NOT(ISNUMBER(G1082))),N(G1082)&lt;0,N(G1082)&lt;&gt;INT(N(G1082)),AND(H1082&lt;&gt;"",NOT(ISNUMBER(H1082))),N(H1082)&lt;0,N(H1082)&lt;&gt;INT(N(H1082)),AND(I1082&lt;&gt;"",NOT(ISNUMBER(I1082))),N(I1082)&lt;0,N(I1082)&lt;&gt;INT(N(I1082))),"Quantité invalide",IF(Q1082&lt;=0,"Cadence manquante (poste ou article)",IF(M1082&lt;=0,"Arrêts planifiés supérieurs au temps d'ouverture",IF(O1082&lt;0,"Arrêts supérieurs au temps requis",IF(AND(P1082&gt;0,O1082=0),"Pièces déclarées sans temps de marche",IF(AND(P1082=0,O1082&gt;0),"Aucune pièce déclarée",IF(P1082*60/Q1082&gt;O1082+0.001,"Cadence dépassée : vérifiez la cadence","OK"))))))))))))))))))</f>
        <v/>
      </c>
      <c r="AC1082">
        <f>IF(OR(AB1082="OK",AB1082="Aucune pièce déclarée",AB1082="Cadence dépassée : vérifiez la cadence"),1,0)</f>
        <v>0.0</v>
      </c>
      <c r="AD1082">
        <f>IF(AND(AC1082=1,A1082&gt;=p_from,A1082&lt;=p_to),1,0)</f>
        <v>0.0</v>
      </c>
      <c r="AE1082">
        <f>IF(AD1082=1,IF(COUNTIFS($A$6:A1082,A1082,$AD$6:AD1082,1)=1,1,0),0)</f>
        <v>0.0</v>
      </c>
      <c r="AF1082" t="str">
        <f>IF(AE1082=1,COUNTIFS(sj_first,1,sj_date,"&lt;"&amp;A1082)+1,"")</f>
        <v/>
      </c>
      <c r="AG1082" t="str">
        <f>IF(AND(AD1082=1,N(W1082)&lt;p_alert),ROUND(W1082,4),"")</f>
        <v/>
      </c>
      <c r="AH1082" t="str">
        <f>IF(AG1082="","",COUNTIF(sj_akey,"&lt;"&amp;AG1082)+COUNTIF($AG$6:AG1082,AG1082))</f>
        <v/>
      </c>
    </row>
    <row r="1083">
      <c r="A1083" s="51" t="n"/>
      <c r="B1083" s="52" t="n"/>
      <c r="C1083" s="52" t="n"/>
      <c r="D1083" s="53" t="n"/>
      <c r="E1083" s="53" t="n"/>
      <c r="F1083" s="54" t="n"/>
      <c r="G1083" s="54" t="n"/>
      <c r="H1083" s="54" t="n"/>
      <c r="I1083" s="54" t="n"/>
      <c r="J1083" s="53" t="n"/>
      <c r="K1083" s="55" t="str">
        <f>IF(COUNTA(A1083:I1083)=0,"",IF(F1083="",IFERROR(INDEX(eq_dur,MATCH(B1083,eq_code,0)),""),F1083))</f>
        <v/>
      </c>
      <c r="L1083" s="55" t="str">
        <f>IF(ISNUMBER(K1083),N(IFERROR(INDEX(eq_pause,MATCH(B1083,eq_code,0)),0))+SUMIFS(st_min,st_date,A1083,st_eq,B1083,st_po,C1083,st_type,"Planifié"),"")</f>
        <v/>
      </c>
      <c r="M1083" s="55" t="str">
        <f>IF(ISNUMBER(K1083),K1083-L1083,"")</f>
        <v/>
      </c>
      <c r="N1083" s="55" t="str">
        <f>IF(ISNUMBER(K1083),SUMIFS(st_min,st_date,A1083,st_eq,B1083,st_po,C1083,st_type,"Non planifié"),"")</f>
        <v/>
      </c>
      <c r="O1083" s="55" t="str">
        <f>IF(ISNUMBER(K1083),M1083-N1083,"")</f>
        <v/>
      </c>
      <c r="P1083" s="55" t="str">
        <f>IF(COUNTA(A1083:I1083)=0,"",N(G1083)+N(H1083)+N(I1083))</f>
        <v/>
      </c>
      <c r="Q1083" s="56" t="str">
        <f>IF(COUNTA(A1083:I1083)=0,"",IF(N(IFERROR(INDEX(art_rate,MATCH(E1083,art_ref,0)),0))&gt;0,N(IFERROR(INDEX(art_rate,MATCH(E1083,art_ref,0)),0)),N(IFERROR(INDEX(po_rate,MATCH(C1083,po_code,0)),0))))</f>
        <v/>
      </c>
      <c r="R1083" s="55" t="str">
        <f>IF(AC1083=1,P1083*60/Q1083,"")</f>
        <v/>
      </c>
      <c r="S1083" s="55" t="str">
        <f>IF(AC1083=1,N(G1083)*60/Q1083,"")</f>
        <v/>
      </c>
      <c r="T1083" s="57" t="str">
        <f>IF(AC1083=1,O1083/M1083,"")</f>
        <v/>
      </c>
      <c r="U1083" s="57" t="str">
        <f>IF(AC1083=1,IF(O1083&gt;0,R1083/O1083,""),"")</f>
        <v/>
      </c>
      <c r="V1083" s="57" t="str">
        <f>IF(AC1083=1,IF(P1083&gt;0,N(G1083)/P1083,""),"")</f>
        <v/>
      </c>
      <c r="W1083" s="57" t="str">
        <f>IF(AC1083=1,S1083/M1083,"")</f>
        <v/>
      </c>
      <c r="X1083" s="57" t="str">
        <f>IF(AC1083=1,S1083/K1083,"")</f>
        <v/>
      </c>
      <c r="Y1083" s="58" t="str">
        <f>IF(W1083="","",IF(W1083&gt;=p_target,"Bon",IF(W1083&gt;=p_alert,"À surveiller","Faible")))</f>
        <v/>
      </c>
      <c r="Z1083" s="58" t="str">
        <f>IF(W1083="","",IF(MIN(IF(T1083="",1,T1083),IF(U1083="",1,U1083),IF(V1083="",1,V1083))&gt;=1,"Aucune",IF(IF(T1083="",1,T1083)&lt;=MIN(IF(U1083="",1,U1083),IF(V1083="",1,V1083)),"Disponibilité",IF(IF(U1083="",1,U1083)&lt;=IF(V1083="",1,V1083),"Performance","Qualité"))))</f>
        <v/>
      </c>
      <c r="AA1083" s="59" t="str">
        <f>IF(AC1083=1,N(H1083)*N(IFERROR(INDEX(art_cost,MATCH(E1083,art_ref,0)),0)),"")</f>
        <v/>
      </c>
      <c r="AB1083" s="58" t="str">
        <f>IF(COUNTA(A1083:I1083)=0,"",IF(N(A1083)&lt;=0,"Date manquante ou invalide",IF(B1083="","Équipe manquante",IF(ISNA(MATCH(B1083,eq_code,0)),"Équipe inconnue",IF(INDEX(eq_check,MATCH(B1083,eq_code,0))&lt;&gt;"OK","Équipe à corriger dans Paramètres",IF(C1083="","Poste manquant",IF(ISNA(MATCH(C1083,po_code,0)),"Poste inconnu",IF(AND(E1083&lt;&gt;"",ISNA(MATCH(E1083,art_ref,0))),"Article inconnu",IF(IF(E1083="",FALSE,INDEX(art_check,MATCH(E1083,art_ref,0))&lt;&gt;"OK"),"Article à corriger (feuille Articles)",IF(COUNTIFS(sj_date,A1083,sj_eq,B1083,sj_po,C1083)&gt;1,"Ligne en double (même jour, équipe et poste)",IF(OR(NOT(ISNUMBER(K1083)),N(K1083)&lt;=0,N(K1083)&gt;1440),"Temps d'ouverture invalide",IF(OR(AND(G1083&lt;&gt;"",NOT(ISNUMBER(G1083))),N(G1083)&lt;0,N(G1083)&lt;&gt;INT(N(G1083)),AND(H1083&lt;&gt;"",NOT(ISNUMBER(H1083))),N(H1083)&lt;0,N(H1083)&lt;&gt;INT(N(H1083)),AND(I1083&lt;&gt;"",NOT(ISNUMBER(I1083))),N(I1083)&lt;0,N(I1083)&lt;&gt;INT(N(I1083))),"Quantité invalide",IF(Q1083&lt;=0,"Cadence manquante (poste ou article)",IF(M1083&lt;=0,"Arrêts planifiés supérieurs au temps d'ouverture",IF(O1083&lt;0,"Arrêts supérieurs au temps requis",IF(AND(P1083&gt;0,O1083=0),"Pièces déclarées sans temps de marche",IF(AND(P1083=0,O1083&gt;0),"Aucune pièce déclarée",IF(P1083*60/Q1083&gt;O1083+0.001,"Cadence dépassée : vérifiez la cadence","OK"))))))))))))))))))</f>
        <v/>
      </c>
      <c r="AC1083">
        <f>IF(OR(AB1083="OK",AB1083="Aucune pièce déclarée",AB1083="Cadence dépassée : vérifiez la cadence"),1,0)</f>
        <v>0.0</v>
      </c>
      <c r="AD1083">
        <f>IF(AND(AC1083=1,A1083&gt;=p_from,A1083&lt;=p_to),1,0)</f>
        <v>0.0</v>
      </c>
      <c r="AE1083">
        <f>IF(AD1083=1,IF(COUNTIFS($A$6:A1083,A1083,$AD$6:AD1083,1)=1,1,0),0)</f>
        <v>0.0</v>
      </c>
      <c r="AF1083" t="str">
        <f>IF(AE1083=1,COUNTIFS(sj_first,1,sj_date,"&lt;"&amp;A1083)+1,"")</f>
        <v/>
      </c>
      <c r="AG1083" t="str">
        <f>IF(AND(AD1083=1,N(W1083)&lt;p_alert),ROUND(W1083,4),"")</f>
        <v/>
      </c>
      <c r="AH1083" t="str">
        <f>IF(AG1083="","",COUNTIF(sj_akey,"&lt;"&amp;AG1083)+COUNTIF($AG$6:AG1083,AG1083))</f>
        <v/>
      </c>
    </row>
    <row r="1084">
      <c r="A1084" s="51" t="n"/>
      <c r="B1084" s="52" t="n"/>
      <c r="C1084" s="52" t="n"/>
      <c r="D1084" s="53" t="n"/>
      <c r="E1084" s="53" t="n"/>
      <c r="F1084" s="54" t="n"/>
      <c r="G1084" s="54" t="n"/>
      <c r="H1084" s="54" t="n"/>
      <c r="I1084" s="54" t="n"/>
      <c r="J1084" s="53" t="n"/>
      <c r="K1084" s="55" t="str">
        <f>IF(COUNTA(A1084:I1084)=0,"",IF(F1084="",IFERROR(INDEX(eq_dur,MATCH(B1084,eq_code,0)),""),F1084))</f>
        <v/>
      </c>
      <c r="L1084" s="55" t="str">
        <f>IF(ISNUMBER(K1084),N(IFERROR(INDEX(eq_pause,MATCH(B1084,eq_code,0)),0))+SUMIFS(st_min,st_date,A1084,st_eq,B1084,st_po,C1084,st_type,"Planifié"),"")</f>
        <v/>
      </c>
      <c r="M1084" s="55" t="str">
        <f>IF(ISNUMBER(K1084),K1084-L1084,"")</f>
        <v/>
      </c>
      <c r="N1084" s="55" t="str">
        <f>IF(ISNUMBER(K1084),SUMIFS(st_min,st_date,A1084,st_eq,B1084,st_po,C1084,st_type,"Non planifié"),"")</f>
        <v/>
      </c>
      <c r="O1084" s="55" t="str">
        <f>IF(ISNUMBER(K1084),M1084-N1084,"")</f>
        <v/>
      </c>
      <c r="P1084" s="55" t="str">
        <f>IF(COUNTA(A1084:I1084)=0,"",N(G1084)+N(H1084)+N(I1084))</f>
        <v/>
      </c>
      <c r="Q1084" s="56" t="str">
        <f>IF(COUNTA(A1084:I1084)=0,"",IF(N(IFERROR(INDEX(art_rate,MATCH(E1084,art_ref,0)),0))&gt;0,N(IFERROR(INDEX(art_rate,MATCH(E1084,art_ref,0)),0)),N(IFERROR(INDEX(po_rate,MATCH(C1084,po_code,0)),0))))</f>
        <v/>
      </c>
      <c r="R1084" s="55" t="str">
        <f>IF(AC1084=1,P1084*60/Q1084,"")</f>
        <v/>
      </c>
      <c r="S1084" s="55" t="str">
        <f>IF(AC1084=1,N(G1084)*60/Q1084,"")</f>
        <v/>
      </c>
      <c r="T1084" s="57" t="str">
        <f>IF(AC1084=1,O1084/M1084,"")</f>
        <v/>
      </c>
      <c r="U1084" s="57" t="str">
        <f>IF(AC1084=1,IF(O1084&gt;0,R1084/O1084,""),"")</f>
        <v/>
      </c>
      <c r="V1084" s="57" t="str">
        <f>IF(AC1084=1,IF(P1084&gt;0,N(G1084)/P1084,""),"")</f>
        <v/>
      </c>
      <c r="W1084" s="57" t="str">
        <f>IF(AC1084=1,S1084/M1084,"")</f>
        <v/>
      </c>
      <c r="X1084" s="57" t="str">
        <f>IF(AC1084=1,S1084/K1084,"")</f>
        <v/>
      </c>
      <c r="Y1084" s="58" t="str">
        <f>IF(W1084="","",IF(W1084&gt;=p_target,"Bon",IF(W1084&gt;=p_alert,"À surveiller","Faible")))</f>
        <v/>
      </c>
      <c r="Z1084" s="58" t="str">
        <f>IF(W1084="","",IF(MIN(IF(T1084="",1,T1084),IF(U1084="",1,U1084),IF(V1084="",1,V1084))&gt;=1,"Aucune",IF(IF(T1084="",1,T1084)&lt;=MIN(IF(U1084="",1,U1084),IF(V1084="",1,V1084)),"Disponibilité",IF(IF(U1084="",1,U1084)&lt;=IF(V1084="",1,V1084),"Performance","Qualité"))))</f>
        <v/>
      </c>
      <c r="AA1084" s="59" t="str">
        <f>IF(AC1084=1,N(H1084)*N(IFERROR(INDEX(art_cost,MATCH(E1084,art_ref,0)),0)),"")</f>
        <v/>
      </c>
      <c r="AB1084" s="58" t="str">
        <f>IF(COUNTA(A1084:I1084)=0,"",IF(N(A1084)&lt;=0,"Date manquante ou invalide",IF(B1084="","Équipe manquante",IF(ISNA(MATCH(B1084,eq_code,0)),"Équipe inconnue",IF(INDEX(eq_check,MATCH(B1084,eq_code,0))&lt;&gt;"OK","Équipe à corriger dans Paramètres",IF(C1084="","Poste manquant",IF(ISNA(MATCH(C1084,po_code,0)),"Poste inconnu",IF(AND(E1084&lt;&gt;"",ISNA(MATCH(E1084,art_ref,0))),"Article inconnu",IF(IF(E1084="",FALSE,INDEX(art_check,MATCH(E1084,art_ref,0))&lt;&gt;"OK"),"Article à corriger (feuille Articles)",IF(COUNTIFS(sj_date,A1084,sj_eq,B1084,sj_po,C1084)&gt;1,"Ligne en double (même jour, équipe et poste)",IF(OR(NOT(ISNUMBER(K1084)),N(K1084)&lt;=0,N(K1084)&gt;1440),"Temps d'ouverture invalide",IF(OR(AND(G1084&lt;&gt;"",NOT(ISNUMBER(G1084))),N(G1084)&lt;0,N(G1084)&lt;&gt;INT(N(G1084)),AND(H1084&lt;&gt;"",NOT(ISNUMBER(H1084))),N(H1084)&lt;0,N(H1084)&lt;&gt;INT(N(H1084)),AND(I1084&lt;&gt;"",NOT(ISNUMBER(I1084))),N(I1084)&lt;0,N(I1084)&lt;&gt;INT(N(I1084))),"Quantité invalide",IF(Q1084&lt;=0,"Cadence manquante (poste ou article)",IF(M1084&lt;=0,"Arrêts planifiés supérieurs au temps d'ouverture",IF(O1084&lt;0,"Arrêts supérieurs au temps requis",IF(AND(P1084&gt;0,O1084=0),"Pièces déclarées sans temps de marche",IF(AND(P1084=0,O1084&gt;0),"Aucune pièce déclarée",IF(P1084*60/Q1084&gt;O1084+0.001,"Cadence dépassée : vérifiez la cadence","OK"))))))))))))))))))</f>
        <v/>
      </c>
      <c r="AC1084">
        <f>IF(OR(AB1084="OK",AB1084="Aucune pièce déclarée",AB1084="Cadence dépassée : vérifiez la cadence"),1,0)</f>
        <v>0.0</v>
      </c>
      <c r="AD1084">
        <f>IF(AND(AC1084=1,A1084&gt;=p_from,A1084&lt;=p_to),1,0)</f>
        <v>0.0</v>
      </c>
      <c r="AE1084">
        <f>IF(AD1084=1,IF(COUNTIFS($A$6:A1084,A1084,$AD$6:AD1084,1)=1,1,0),0)</f>
        <v>0.0</v>
      </c>
      <c r="AF1084" t="str">
        <f>IF(AE1084=1,COUNTIFS(sj_first,1,sj_date,"&lt;"&amp;A1084)+1,"")</f>
        <v/>
      </c>
      <c r="AG1084" t="str">
        <f>IF(AND(AD1084=1,N(W1084)&lt;p_alert),ROUND(W1084,4),"")</f>
        <v/>
      </c>
      <c r="AH1084" t="str">
        <f>IF(AG1084="","",COUNTIF(sj_akey,"&lt;"&amp;AG1084)+COUNTIF($AG$6:AG1084,AG1084))</f>
        <v/>
      </c>
    </row>
    <row r="1085">
      <c r="A1085" s="51" t="n"/>
      <c r="B1085" s="52" t="n"/>
      <c r="C1085" s="52" t="n"/>
      <c r="D1085" s="53" t="n"/>
      <c r="E1085" s="53" t="n"/>
      <c r="F1085" s="54" t="n"/>
      <c r="G1085" s="54" t="n"/>
      <c r="H1085" s="54" t="n"/>
      <c r="I1085" s="54" t="n"/>
      <c r="J1085" s="53" t="n"/>
      <c r="K1085" s="55" t="str">
        <f>IF(COUNTA(A1085:I1085)=0,"",IF(F1085="",IFERROR(INDEX(eq_dur,MATCH(B1085,eq_code,0)),""),F1085))</f>
        <v/>
      </c>
      <c r="L1085" s="55" t="str">
        <f>IF(ISNUMBER(K1085),N(IFERROR(INDEX(eq_pause,MATCH(B1085,eq_code,0)),0))+SUMIFS(st_min,st_date,A1085,st_eq,B1085,st_po,C1085,st_type,"Planifié"),"")</f>
        <v/>
      </c>
      <c r="M1085" s="55" t="str">
        <f>IF(ISNUMBER(K1085),K1085-L1085,"")</f>
        <v/>
      </c>
      <c r="N1085" s="55" t="str">
        <f>IF(ISNUMBER(K1085),SUMIFS(st_min,st_date,A1085,st_eq,B1085,st_po,C1085,st_type,"Non planifié"),"")</f>
        <v/>
      </c>
      <c r="O1085" s="55" t="str">
        <f>IF(ISNUMBER(K1085),M1085-N1085,"")</f>
        <v/>
      </c>
      <c r="P1085" s="55" t="str">
        <f>IF(COUNTA(A1085:I1085)=0,"",N(G1085)+N(H1085)+N(I1085))</f>
        <v/>
      </c>
      <c r="Q1085" s="56" t="str">
        <f>IF(COUNTA(A1085:I1085)=0,"",IF(N(IFERROR(INDEX(art_rate,MATCH(E1085,art_ref,0)),0))&gt;0,N(IFERROR(INDEX(art_rate,MATCH(E1085,art_ref,0)),0)),N(IFERROR(INDEX(po_rate,MATCH(C1085,po_code,0)),0))))</f>
        <v/>
      </c>
      <c r="R1085" s="55" t="str">
        <f>IF(AC1085=1,P1085*60/Q1085,"")</f>
        <v/>
      </c>
      <c r="S1085" s="55" t="str">
        <f>IF(AC1085=1,N(G1085)*60/Q1085,"")</f>
        <v/>
      </c>
      <c r="T1085" s="57" t="str">
        <f>IF(AC1085=1,O1085/M1085,"")</f>
        <v/>
      </c>
      <c r="U1085" s="57" t="str">
        <f>IF(AC1085=1,IF(O1085&gt;0,R1085/O1085,""),"")</f>
        <v/>
      </c>
      <c r="V1085" s="57" t="str">
        <f>IF(AC1085=1,IF(P1085&gt;0,N(G1085)/P1085,""),"")</f>
        <v/>
      </c>
      <c r="W1085" s="57" t="str">
        <f>IF(AC1085=1,S1085/M1085,"")</f>
        <v/>
      </c>
      <c r="X1085" s="57" t="str">
        <f>IF(AC1085=1,S1085/K1085,"")</f>
        <v/>
      </c>
      <c r="Y1085" s="58" t="str">
        <f>IF(W1085="","",IF(W1085&gt;=p_target,"Bon",IF(W1085&gt;=p_alert,"À surveiller","Faible")))</f>
        <v/>
      </c>
      <c r="Z1085" s="58" t="str">
        <f>IF(W1085="","",IF(MIN(IF(T1085="",1,T1085),IF(U1085="",1,U1085),IF(V1085="",1,V1085))&gt;=1,"Aucune",IF(IF(T1085="",1,T1085)&lt;=MIN(IF(U1085="",1,U1085),IF(V1085="",1,V1085)),"Disponibilité",IF(IF(U1085="",1,U1085)&lt;=IF(V1085="",1,V1085),"Performance","Qualité"))))</f>
        <v/>
      </c>
      <c r="AA1085" s="59" t="str">
        <f>IF(AC1085=1,N(H1085)*N(IFERROR(INDEX(art_cost,MATCH(E1085,art_ref,0)),0)),"")</f>
        <v/>
      </c>
      <c r="AB1085" s="58" t="str">
        <f>IF(COUNTA(A1085:I1085)=0,"",IF(N(A1085)&lt;=0,"Date manquante ou invalide",IF(B1085="","Équipe manquante",IF(ISNA(MATCH(B1085,eq_code,0)),"Équipe inconnue",IF(INDEX(eq_check,MATCH(B1085,eq_code,0))&lt;&gt;"OK","Équipe à corriger dans Paramètres",IF(C1085="","Poste manquant",IF(ISNA(MATCH(C1085,po_code,0)),"Poste inconnu",IF(AND(E1085&lt;&gt;"",ISNA(MATCH(E1085,art_ref,0))),"Article inconnu",IF(IF(E1085="",FALSE,INDEX(art_check,MATCH(E1085,art_ref,0))&lt;&gt;"OK"),"Article à corriger (feuille Articles)",IF(COUNTIFS(sj_date,A1085,sj_eq,B1085,sj_po,C1085)&gt;1,"Ligne en double (même jour, équipe et poste)",IF(OR(NOT(ISNUMBER(K1085)),N(K1085)&lt;=0,N(K1085)&gt;1440),"Temps d'ouverture invalide",IF(OR(AND(G1085&lt;&gt;"",NOT(ISNUMBER(G1085))),N(G1085)&lt;0,N(G1085)&lt;&gt;INT(N(G1085)),AND(H1085&lt;&gt;"",NOT(ISNUMBER(H1085))),N(H1085)&lt;0,N(H1085)&lt;&gt;INT(N(H1085)),AND(I1085&lt;&gt;"",NOT(ISNUMBER(I1085))),N(I1085)&lt;0,N(I1085)&lt;&gt;INT(N(I1085))),"Quantité invalide",IF(Q1085&lt;=0,"Cadence manquante (poste ou article)",IF(M1085&lt;=0,"Arrêts planifiés supérieurs au temps d'ouverture",IF(O1085&lt;0,"Arrêts supérieurs au temps requis",IF(AND(P1085&gt;0,O1085=0),"Pièces déclarées sans temps de marche",IF(AND(P1085=0,O1085&gt;0),"Aucune pièce déclarée",IF(P1085*60/Q1085&gt;O1085+0.001,"Cadence dépassée : vérifiez la cadence","OK"))))))))))))))))))</f>
        <v/>
      </c>
      <c r="AC1085">
        <f>IF(OR(AB1085="OK",AB1085="Aucune pièce déclarée",AB1085="Cadence dépassée : vérifiez la cadence"),1,0)</f>
        <v>0.0</v>
      </c>
      <c r="AD1085">
        <f>IF(AND(AC1085=1,A1085&gt;=p_from,A1085&lt;=p_to),1,0)</f>
        <v>0.0</v>
      </c>
      <c r="AE1085">
        <f>IF(AD1085=1,IF(COUNTIFS($A$6:A1085,A1085,$AD$6:AD1085,1)=1,1,0),0)</f>
        <v>0.0</v>
      </c>
      <c r="AF1085" t="str">
        <f>IF(AE1085=1,COUNTIFS(sj_first,1,sj_date,"&lt;"&amp;A1085)+1,"")</f>
        <v/>
      </c>
      <c r="AG1085" t="str">
        <f>IF(AND(AD1085=1,N(W1085)&lt;p_alert),ROUND(W1085,4),"")</f>
        <v/>
      </c>
      <c r="AH1085" t="str">
        <f>IF(AG1085="","",COUNTIF(sj_akey,"&lt;"&amp;AG1085)+COUNTIF($AG$6:AG1085,AG1085))</f>
        <v/>
      </c>
    </row>
    <row r="1086">
      <c r="A1086" s="51" t="n"/>
      <c r="B1086" s="52" t="n"/>
      <c r="C1086" s="52" t="n"/>
      <c r="D1086" s="53" t="n"/>
      <c r="E1086" s="53" t="n"/>
      <c r="F1086" s="54" t="n"/>
      <c r="G1086" s="54" t="n"/>
      <c r="H1086" s="54" t="n"/>
      <c r="I1086" s="54" t="n"/>
      <c r="J1086" s="53" t="n"/>
      <c r="K1086" s="55" t="str">
        <f>IF(COUNTA(A1086:I1086)=0,"",IF(F1086="",IFERROR(INDEX(eq_dur,MATCH(B1086,eq_code,0)),""),F1086))</f>
        <v/>
      </c>
      <c r="L1086" s="55" t="str">
        <f>IF(ISNUMBER(K1086),N(IFERROR(INDEX(eq_pause,MATCH(B1086,eq_code,0)),0))+SUMIFS(st_min,st_date,A1086,st_eq,B1086,st_po,C1086,st_type,"Planifié"),"")</f>
        <v/>
      </c>
      <c r="M1086" s="55" t="str">
        <f>IF(ISNUMBER(K1086),K1086-L1086,"")</f>
        <v/>
      </c>
      <c r="N1086" s="55" t="str">
        <f>IF(ISNUMBER(K1086),SUMIFS(st_min,st_date,A1086,st_eq,B1086,st_po,C1086,st_type,"Non planifié"),"")</f>
        <v/>
      </c>
      <c r="O1086" s="55" t="str">
        <f>IF(ISNUMBER(K1086),M1086-N1086,"")</f>
        <v/>
      </c>
      <c r="P1086" s="55" t="str">
        <f>IF(COUNTA(A1086:I1086)=0,"",N(G1086)+N(H1086)+N(I1086))</f>
        <v/>
      </c>
      <c r="Q1086" s="56" t="str">
        <f>IF(COUNTA(A1086:I1086)=0,"",IF(N(IFERROR(INDEX(art_rate,MATCH(E1086,art_ref,0)),0))&gt;0,N(IFERROR(INDEX(art_rate,MATCH(E1086,art_ref,0)),0)),N(IFERROR(INDEX(po_rate,MATCH(C1086,po_code,0)),0))))</f>
        <v/>
      </c>
      <c r="R1086" s="55" t="str">
        <f>IF(AC1086=1,P1086*60/Q1086,"")</f>
        <v/>
      </c>
      <c r="S1086" s="55" t="str">
        <f>IF(AC1086=1,N(G1086)*60/Q1086,"")</f>
        <v/>
      </c>
      <c r="T1086" s="57" t="str">
        <f>IF(AC1086=1,O1086/M1086,"")</f>
        <v/>
      </c>
      <c r="U1086" s="57" t="str">
        <f>IF(AC1086=1,IF(O1086&gt;0,R1086/O1086,""),"")</f>
        <v/>
      </c>
      <c r="V1086" s="57" t="str">
        <f>IF(AC1086=1,IF(P1086&gt;0,N(G1086)/P1086,""),"")</f>
        <v/>
      </c>
      <c r="W1086" s="57" t="str">
        <f>IF(AC1086=1,S1086/M1086,"")</f>
        <v/>
      </c>
      <c r="X1086" s="57" t="str">
        <f>IF(AC1086=1,S1086/K1086,"")</f>
        <v/>
      </c>
      <c r="Y1086" s="58" t="str">
        <f>IF(W1086="","",IF(W1086&gt;=p_target,"Bon",IF(W1086&gt;=p_alert,"À surveiller","Faible")))</f>
        <v/>
      </c>
      <c r="Z1086" s="58" t="str">
        <f>IF(W1086="","",IF(MIN(IF(T1086="",1,T1086),IF(U1086="",1,U1086),IF(V1086="",1,V1086))&gt;=1,"Aucune",IF(IF(T1086="",1,T1086)&lt;=MIN(IF(U1086="",1,U1086),IF(V1086="",1,V1086)),"Disponibilité",IF(IF(U1086="",1,U1086)&lt;=IF(V1086="",1,V1086),"Performance","Qualité"))))</f>
        <v/>
      </c>
      <c r="AA1086" s="59" t="str">
        <f>IF(AC1086=1,N(H1086)*N(IFERROR(INDEX(art_cost,MATCH(E1086,art_ref,0)),0)),"")</f>
        <v/>
      </c>
      <c r="AB1086" s="58" t="str">
        <f>IF(COUNTA(A1086:I1086)=0,"",IF(N(A1086)&lt;=0,"Date manquante ou invalide",IF(B1086="","Équipe manquante",IF(ISNA(MATCH(B1086,eq_code,0)),"Équipe inconnue",IF(INDEX(eq_check,MATCH(B1086,eq_code,0))&lt;&gt;"OK","Équipe à corriger dans Paramètres",IF(C1086="","Poste manquant",IF(ISNA(MATCH(C1086,po_code,0)),"Poste inconnu",IF(AND(E1086&lt;&gt;"",ISNA(MATCH(E1086,art_ref,0))),"Article inconnu",IF(IF(E1086="",FALSE,INDEX(art_check,MATCH(E1086,art_ref,0))&lt;&gt;"OK"),"Article à corriger (feuille Articles)",IF(COUNTIFS(sj_date,A1086,sj_eq,B1086,sj_po,C1086)&gt;1,"Ligne en double (même jour, équipe et poste)",IF(OR(NOT(ISNUMBER(K1086)),N(K1086)&lt;=0,N(K1086)&gt;1440),"Temps d'ouverture invalide",IF(OR(AND(G1086&lt;&gt;"",NOT(ISNUMBER(G1086))),N(G1086)&lt;0,N(G1086)&lt;&gt;INT(N(G1086)),AND(H1086&lt;&gt;"",NOT(ISNUMBER(H1086))),N(H1086)&lt;0,N(H1086)&lt;&gt;INT(N(H1086)),AND(I1086&lt;&gt;"",NOT(ISNUMBER(I1086))),N(I1086)&lt;0,N(I1086)&lt;&gt;INT(N(I1086))),"Quantité invalide",IF(Q1086&lt;=0,"Cadence manquante (poste ou article)",IF(M1086&lt;=0,"Arrêts planifiés supérieurs au temps d'ouverture",IF(O1086&lt;0,"Arrêts supérieurs au temps requis",IF(AND(P1086&gt;0,O1086=0),"Pièces déclarées sans temps de marche",IF(AND(P1086=0,O1086&gt;0),"Aucune pièce déclarée",IF(P1086*60/Q1086&gt;O1086+0.001,"Cadence dépassée : vérifiez la cadence","OK"))))))))))))))))))</f>
        <v/>
      </c>
      <c r="AC1086">
        <f>IF(OR(AB1086="OK",AB1086="Aucune pièce déclarée",AB1086="Cadence dépassée : vérifiez la cadence"),1,0)</f>
        <v>0.0</v>
      </c>
      <c r="AD1086">
        <f>IF(AND(AC1086=1,A1086&gt;=p_from,A1086&lt;=p_to),1,0)</f>
        <v>0.0</v>
      </c>
      <c r="AE1086">
        <f>IF(AD1086=1,IF(COUNTIFS($A$6:A1086,A1086,$AD$6:AD1086,1)=1,1,0),0)</f>
        <v>0.0</v>
      </c>
      <c r="AF1086" t="str">
        <f>IF(AE1086=1,COUNTIFS(sj_first,1,sj_date,"&lt;"&amp;A1086)+1,"")</f>
        <v/>
      </c>
      <c r="AG1086" t="str">
        <f>IF(AND(AD1086=1,N(W1086)&lt;p_alert),ROUND(W1086,4),"")</f>
        <v/>
      </c>
      <c r="AH1086" t="str">
        <f>IF(AG1086="","",COUNTIF(sj_akey,"&lt;"&amp;AG1086)+COUNTIF($AG$6:AG1086,AG1086))</f>
        <v/>
      </c>
    </row>
    <row r="1087">
      <c r="A1087" s="51" t="n"/>
      <c r="B1087" s="52" t="n"/>
      <c r="C1087" s="52" t="n"/>
      <c r="D1087" s="53" t="n"/>
      <c r="E1087" s="53" t="n"/>
      <c r="F1087" s="54" t="n"/>
      <c r="G1087" s="54" t="n"/>
      <c r="H1087" s="54" t="n"/>
      <c r="I1087" s="54" t="n"/>
      <c r="J1087" s="53" t="n"/>
      <c r="K1087" s="55" t="str">
        <f>IF(COUNTA(A1087:I1087)=0,"",IF(F1087="",IFERROR(INDEX(eq_dur,MATCH(B1087,eq_code,0)),""),F1087))</f>
        <v/>
      </c>
      <c r="L1087" s="55" t="str">
        <f>IF(ISNUMBER(K1087),N(IFERROR(INDEX(eq_pause,MATCH(B1087,eq_code,0)),0))+SUMIFS(st_min,st_date,A1087,st_eq,B1087,st_po,C1087,st_type,"Planifié"),"")</f>
        <v/>
      </c>
      <c r="M1087" s="55" t="str">
        <f>IF(ISNUMBER(K1087),K1087-L1087,"")</f>
        <v/>
      </c>
      <c r="N1087" s="55" t="str">
        <f>IF(ISNUMBER(K1087),SUMIFS(st_min,st_date,A1087,st_eq,B1087,st_po,C1087,st_type,"Non planifié"),"")</f>
        <v/>
      </c>
      <c r="O1087" s="55" t="str">
        <f>IF(ISNUMBER(K1087),M1087-N1087,"")</f>
        <v/>
      </c>
      <c r="P1087" s="55" t="str">
        <f>IF(COUNTA(A1087:I1087)=0,"",N(G1087)+N(H1087)+N(I1087))</f>
        <v/>
      </c>
      <c r="Q1087" s="56" t="str">
        <f>IF(COUNTA(A1087:I1087)=0,"",IF(N(IFERROR(INDEX(art_rate,MATCH(E1087,art_ref,0)),0))&gt;0,N(IFERROR(INDEX(art_rate,MATCH(E1087,art_ref,0)),0)),N(IFERROR(INDEX(po_rate,MATCH(C1087,po_code,0)),0))))</f>
        <v/>
      </c>
      <c r="R1087" s="55" t="str">
        <f>IF(AC1087=1,P1087*60/Q1087,"")</f>
        <v/>
      </c>
      <c r="S1087" s="55" t="str">
        <f>IF(AC1087=1,N(G1087)*60/Q1087,"")</f>
        <v/>
      </c>
      <c r="T1087" s="57" t="str">
        <f>IF(AC1087=1,O1087/M1087,"")</f>
        <v/>
      </c>
      <c r="U1087" s="57" t="str">
        <f>IF(AC1087=1,IF(O1087&gt;0,R1087/O1087,""),"")</f>
        <v/>
      </c>
      <c r="V1087" s="57" t="str">
        <f>IF(AC1087=1,IF(P1087&gt;0,N(G1087)/P1087,""),"")</f>
        <v/>
      </c>
      <c r="W1087" s="57" t="str">
        <f>IF(AC1087=1,S1087/M1087,"")</f>
        <v/>
      </c>
      <c r="X1087" s="57" t="str">
        <f>IF(AC1087=1,S1087/K1087,"")</f>
        <v/>
      </c>
      <c r="Y1087" s="58" t="str">
        <f>IF(W1087="","",IF(W1087&gt;=p_target,"Bon",IF(W1087&gt;=p_alert,"À surveiller","Faible")))</f>
        <v/>
      </c>
      <c r="Z1087" s="58" t="str">
        <f>IF(W1087="","",IF(MIN(IF(T1087="",1,T1087),IF(U1087="",1,U1087),IF(V1087="",1,V1087))&gt;=1,"Aucune",IF(IF(T1087="",1,T1087)&lt;=MIN(IF(U1087="",1,U1087),IF(V1087="",1,V1087)),"Disponibilité",IF(IF(U1087="",1,U1087)&lt;=IF(V1087="",1,V1087),"Performance","Qualité"))))</f>
        <v/>
      </c>
      <c r="AA1087" s="59" t="str">
        <f>IF(AC1087=1,N(H1087)*N(IFERROR(INDEX(art_cost,MATCH(E1087,art_ref,0)),0)),"")</f>
        <v/>
      </c>
      <c r="AB1087" s="58" t="str">
        <f>IF(COUNTA(A1087:I1087)=0,"",IF(N(A1087)&lt;=0,"Date manquante ou invalide",IF(B1087="","Équipe manquante",IF(ISNA(MATCH(B1087,eq_code,0)),"Équipe inconnue",IF(INDEX(eq_check,MATCH(B1087,eq_code,0))&lt;&gt;"OK","Équipe à corriger dans Paramètres",IF(C1087="","Poste manquant",IF(ISNA(MATCH(C1087,po_code,0)),"Poste inconnu",IF(AND(E1087&lt;&gt;"",ISNA(MATCH(E1087,art_ref,0))),"Article inconnu",IF(IF(E1087="",FALSE,INDEX(art_check,MATCH(E1087,art_ref,0))&lt;&gt;"OK"),"Article à corriger (feuille Articles)",IF(COUNTIFS(sj_date,A1087,sj_eq,B1087,sj_po,C1087)&gt;1,"Ligne en double (même jour, équipe et poste)",IF(OR(NOT(ISNUMBER(K1087)),N(K1087)&lt;=0,N(K1087)&gt;1440),"Temps d'ouverture invalide",IF(OR(AND(G1087&lt;&gt;"",NOT(ISNUMBER(G1087))),N(G1087)&lt;0,N(G1087)&lt;&gt;INT(N(G1087)),AND(H1087&lt;&gt;"",NOT(ISNUMBER(H1087))),N(H1087)&lt;0,N(H1087)&lt;&gt;INT(N(H1087)),AND(I1087&lt;&gt;"",NOT(ISNUMBER(I1087))),N(I1087)&lt;0,N(I1087)&lt;&gt;INT(N(I1087))),"Quantité invalide",IF(Q1087&lt;=0,"Cadence manquante (poste ou article)",IF(M1087&lt;=0,"Arrêts planifiés supérieurs au temps d'ouverture",IF(O1087&lt;0,"Arrêts supérieurs au temps requis",IF(AND(P1087&gt;0,O1087=0),"Pièces déclarées sans temps de marche",IF(AND(P1087=0,O1087&gt;0),"Aucune pièce déclarée",IF(P1087*60/Q1087&gt;O1087+0.001,"Cadence dépassée : vérifiez la cadence","OK"))))))))))))))))))</f>
        <v/>
      </c>
      <c r="AC1087">
        <f>IF(OR(AB1087="OK",AB1087="Aucune pièce déclarée",AB1087="Cadence dépassée : vérifiez la cadence"),1,0)</f>
        <v>0.0</v>
      </c>
      <c r="AD1087">
        <f>IF(AND(AC1087=1,A1087&gt;=p_from,A1087&lt;=p_to),1,0)</f>
        <v>0.0</v>
      </c>
      <c r="AE1087">
        <f>IF(AD1087=1,IF(COUNTIFS($A$6:A1087,A1087,$AD$6:AD1087,1)=1,1,0),0)</f>
        <v>0.0</v>
      </c>
      <c r="AF1087" t="str">
        <f>IF(AE1087=1,COUNTIFS(sj_first,1,sj_date,"&lt;"&amp;A1087)+1,"")</f>
        <v/>
      </c>
      <c r="AG1087" t="str">
        <f>IF(AND(AD1087=1,N(W1087)&lt;p_alert),ROUND(W1087,4),"")</f>
        <v/>
      </c>
      <c r="AH1087" t="str">
        <f>IF(AG1087="","",COUNTIF(sj_akey,"&lt;"&amp;AG1087)+COUNTIF($AG$6:AG1087,AG1087))</f>
        <v/>
      </c>
    </row>
    <row r="1088">
      <c r="A1088" s="51" t="n"/>
      <c r="B1088" s="52" t="n"/>
      <c r="C1088" s="52" t="n"/>
      <c r="D1088" s="53" t="n"/>
      <c r="E1088" s="53" t="n"/>
      <c r="F1088" s="54" t="n"/>
      <c r="G1088" s="54" t="n"/>
      <c r="H1088" s="54" t="n"/>
      <c r="I1088" s="54" t="n"/>
      <c r="J1088" s="53" t="n"/>
      <c r="K1088" s="55" t="str">
        <f>IF(COUNTA(A1088:I1088)=0,"",IF(F1088="",IFERROR(INDEX(eq_dur,MATCH(B1088,eq_code,0)),""),F1088))</f>
        <v/>
      </c>
      <c r="L1088" s="55" t="str">
        <f>IF(ISNUMBER(K1088),N(IFERROR(INDEX(eq_pause,MATCH(B1088,eq_code,0)),0))+SUMIFS(st_min,st_date,A1088,st_eq,B1088,st_po,C1088,st_type,"Planifié"),"")</f>
        <v/>
      </c>
      <c r="M1088" s="55" t="str">
        <f>IF(ISNUMBER(K1088),K1088-L1088,"")</f>
        <v/>
      </c>
      <c r="N1088" s="55" t="str">
        <f>IF(ISNUMBER(K1088),SUMIFS(st_min,st_date,A1088,st_eq,B1088,st_po,C1088,st_type,"Non planifié"),"")</f>
        <v/>
      </c>
      <c r="O1088" s="55" t="str">
        <f>IF(ISNUMBER(K1088),M1088-N1088,"")</f>
        <v/>
      </c>
      <c r="P1088" s="55" t="str">
        <f>IF(COUNTA(A1088:I1088)=0,"",N(G1088)+N(H1088)+N(I1088))</f>
        <v/>
      </c>
      <c r="Q1088" s="56" t="str">
        <f>IF(COUNTA(A1088:I1088)=0,"",IF(N(IFERROR(INDEX(art_rate,MATCH(E1088,art_ref,0)),0))&gt;0,N(IFERROR(INDEX(art_rate,MATCH(E1088,art_ref,0)),0)),N(IFERROR(INDEX(po_rate,MATCH(C1088,po_code,0)),0))))</f>
        <v/>
      </c>
      <c r="R1088" s="55" t="str">
        <f>IF(AC1088=1,P1088*60/Q1088,"")</f>
        <v/>
      </c>
      <c r="S1088" s="55" t="str">
        <f>IF(AC1088=1,N(G1088)*60/Q1088,"")</f>
        <v/>
      </c>
      <c r="T1088" s="57" t="str">
        <f>IF(AC1088=1,O1088/M1088,"")</f>
        <v/>
      </c>
      <c r="U1088" s="57" t="str">
        <f>IF(AC1088=1,IF(O1088&gt;0,R1088/O1088,""),"")</f>
        <v/>
      </c>
      <c r="V1088" s="57" t="str">
        <f>IF(AC1088=1,IF(P1088&gt;0,N(G1088)/P1088,""),"")</f>
        <v/>
      </c>
      <c r="W1088" s="57" t="str">
        <f>IF(AC1088=1,S1088/M1088,"")</f>
        <v/>
      </c>
      <c r="X1088" s="57" t="str">
        <f>IF(AC1088=1,S1088/K1088,"")</f>
        <v/>
      </c>
      <c r="Y1088" s="58" t="str">
        <f>IF(W1088="","",IF(W1088&gt;=p_target,"Bon",IF(W1088&gt;=p_alert,"À surveiller","Faible")))</f>
        <v/>
      </c>
      <c r="Z1088" s="58" t="str">
        <f>IF(W1088="","",IF(MIN(IF(T1088="",1,T1088),IF(U1088="",1,U1088),IF(V1088="",1,V1088))&gt;=1,"Aucune",IF(IF(T1088="",1,T1088)&lt;=MIN(IF(U1088="",1,U1088),IF(V1088="",1,V1088)),"Disponibilité",IF(IF(U1088="",1,U1088)&lt;=IF(V1088="",1,V1088),"Performance","Qualité"))))</f>
        <v/>
      </c>
      <c r="AA1088" s="59" t="str">
        <f>IF(AC1088=1,N(H1088)*N(IFERROR(INDEX(art_cost,MATCH(E1088,art_ref,0)),0)),"")</f>
        <v/>
      </c>
      <c r="AB1088" s="58" t="str">
        <f>IF(COUNTA(A1088:I1088)=0,"",IF(N(A1088)&lt;=0,"Date manquante ou invalide",IF(B1088="","Équipe manquante",IF(ISNA(MATCH(B1088,eq_code,0)),"Équipe inconnue",IF(INDEX(eq_check,MATCH(B1088,eq_code,0))&lt;&gt;"OK","Équipe à corriger dans Paramètres",IF(C1088="","Poste manquant",IF(ISNA(MATCH(C1088,po_code,0)),"Poste inconnu",IF(AND(E1088&lt;&gt;"",ISNA(MATCH(E1088,art_ref,0))),"Article inconnu",IF(IF(E1088="",FALSE,INDEX(art_check,MATCH(E1088,art_ref,0))&lt;&gt;"OK"),"Article à corriger (feuille Articles)",IF(COUNTIFS(sj_date,A1088,sj_eq,B1088,sj_po,C1088)&gt;1,"Ligne en double (même jour, équipe et poste)",IF(OR(NOT(ISNUMBER(K1088)),N(K1088)&lt;=0,N(K1088)&gt;1440),"Temps d'ouverture invalide",IF(OR(AND(G1088&lt;&gt;"",NOT(ISNUMBER(G1088))),N(G1088)&lt;0,N(G1088)&lt;&gt;INT(N(G1088)),AND(H1088&lt;&gt;"",NOT(ISNUMBER(H1088))),N(H1088)&lt;0,N(H1088)&lt;&gt;INT(N(H1088)),AND(I1088&lt;&gt;"",NOT(ISNUMBER(I1088))),N(I1088)&lt;0,N(I1088)&lt;&gt;INT(N(I1088))),"Quantité invalide",IF(Q1088&lt;=0,"Cadence manquante (poste ou article)",IF(M1088&lt;=0,"Arrêts planifiés supérieurs au temps d'ouverture",IF(O1088&lt;0,"Arrêts supérieurs au temps requis",IF(AND(P1088&gt;0,O1088=0),"Pièces déclarées sans temps de marche",IF(AND(P1088=0,O1088&gt;0),"Aucune pièce déclarée",IF(P1088*60/Q1088&gt;O1088+0.001,"Cadence dépassée : vérifiez la cadence","OK"))))))))))))))))))</f>
        <v/>
      </c>
      <c r="AC1088">
        <f>IF(OR(AB1088="OK",AB1088="Aucune pièce déclarée",AB1088="Cadence dépassée : vérifiez la cadence"),1,0)</f>
        <v>0.0</v>
      </c>
      <c r="AD1088">
        <f>IF(AND(AC1088=1,A1088&gt;=p_from,A1088&lt;=p_to),1,0)</f>
        <v>0.0</v>
      </c>
      <c r="AE1088">
        <f>IF(AD1088=1,IF(COUNTIFS($A$6:A1088,A1088,$AD$6:AD1088,1)=1,1,0),0)</f>
        <v>0.0</v>
      </c>
      <c r="AF1088" t="str">
        <f>IF(AE1088=1,COUNTIFS(sj_first,1,sj_date,"&lt;"&amp;A1088)+1,"")</f>
        <v/>
      </c>
      <c r="AG1088" t="str">
        <f>IF(AND(AD1088=1,N(W1088)&lt;p_alert),ROUND(W1088,4),"")</f>
        <v/>
      </c>
      <c r="AH1088" t="str">
        <f>IF(AG1088="","",COUNTIF(sj_akey,"&lt;"&amp;AG1088)+COUNTIF($AG$6:AG1088,AG1088))</f>
        <v/>
      </c>
    </row>
    <row r="1089">
      <c r="A1089" s="51" t="n"/>
      <c r="B1089" s="52" t="n"/>
      <c r="C1089" s="52" t="n"/>
      <c r="D1089" s="53" t="n"/>
      <c r="E1089" s="53" t="n"/>
      <c r="F1089" s="54" t="n"/>
      <c r="G1089" s="54" t="n"/>
      <c r="H1089" s="54" t="n"/>
      <c r="I1089" s="54" t="n"/>
      <c r="J1089" s="53" t="n"/>
      <c r="K1089" s="55" t="str">
        <f>IF(COUNTA(A1089:I1089)=0,"",IF(F1089="",IFERROR(INDEX(eq_dur,MATCH(B1089,eq_code,0)),""),F1089))</f>
        <v/>
      </c>
      <c r="L1089" s="55" t="str">
        <f>IF(ISNUMBER(K1089),N(IFERROR(INDEX(eq_pause,MATCH(B1089,eq_code,0)),0))+SUMIFS(st_min,st_date,A1089,st_eq,B1089,st_po,C1089,st_type,"Planifié"),"")</f>
        <v/>
      </c>
      <c r="M1089" s="55" t="str">
        <f>IF(ISNUMBER(K1089),K1089-L1089,"")</f>
        <v/>
      </c>
      <c r="N1089" s="55" t="str">
        <f>IF(ISNUMBER(K1089),SUMIFS(st_min,st_date,A1089,st_eq,B1089,st_po,C1089,st_type,"Non planifié"),"")</f>
        <v/>
      </c>
      <c r="O1089" s="55" t="str">
        <f>IF(ISNUMBER(K1089),M1089-N1089,"")</f>
        <v/>
      </c>
      <c r="P1089" s="55" t="str">
        <f>IF(COUNTA(A1089:I1089)=0,"",N(G1089)+N(H1089)+N(I1089))</f>
        <v/>
      </c>
      <c r="Q1089" s="56" t="str">
        <f>IF(COUNTA(A1089:I1089)=0,"",IF(N(IFERROR(INDEX(art_rate,MATCH(E1089,art_ref,0)),0))&gt;0,N(IFERROR(INDEX(art_rate,MATCH(E1089,art_ref,0)),0)),N(IFERROR(INDEX(po_rate,MATCH(C1089,po_code,0)),0))))</f>
        <v/>
      </c>
      <c r="R1089" s="55" t="str">
        <f>IF(AC1089=1,P1089*60/Q1089,"")</f>
        <v/>
      </c>
      <c r="S1089" s="55" t="str">
        <f>IF(AC1089=1,N(G1089)*60/Q1089,"")</f>
        <v/>
      </c>
      <c r="T1089" s="57" t="str">
        <f>IF(AC1089=1,O1089/M1089,"")</f>
        <v/>
      </c>
      <c r="U1089" s="57" t="str">
        <f>IF(AC1089=1,IF(O1089&gt;0,R1089/O1089,""),"")</f>
        <v/>
      </c>
      <c r="V1089" s="57" t="str">
        <f>IF(AC1089=1,IF(P1089&gt;0,N(G1089)/P1089,""),"")</f>
        <v/>
      </c>
      <c r="W1089" s="57" t="str">
        <f>IF(AC1089=1,S1089/M1089,"")</f>
        <v/>
      </c>
      <c r="X1089" s="57" t="str">
        <f>IF(AC1089=1,S1089/K1089,"")</f>
        <v/>
      </c>
      <c r="Y1089" s="58" t="str">
        <f>IF(W1089="","",IF(W1089&gt;=p_target,"Bon",IF(W1089&gt;=p_alert,"À surveiller","Faible")))</f>
        <v/>
      </c>
      <c r="Z1089" s="58" t="str">
        <f>IF(W1089="","",IF(MIN(IF(T1089="",1,T1089),IF(U1089="",1,U1089),IF(V1089="",1,V1089))&gt;=1,"Aucune",IF(IF(T1089="",1,T1089)&lt;=MIN(IF(U1089="",1,U1089),IF(V1089="",1,V1089)),"Disponibilité",IF(IF(U1089="",1,U1089)&lt;=IF(V1089="",1,V1089),"Performance","Qualité"))))</f>
        <v/>
      </c>
      <c r="AA1089" s="59" t="str">
        <f>IF(AC1089=1,N(H1089)*N(IFERROR(INDEX(art_cost,MATCH(E1089,art_ref,0)),0)),"")</f>
        <v/>
      </c>
      <c r="AB1089" s="58" t="str">
        <f>IF(COUNTA(A1089:I1089)=0,"",IF(N(A1089)&lt;=0,"Date manquante ou invalide",IF(B1089="","Équipe manquante",IF(ISNA(MATCH(B1089,eq_code,0)),"Équipe inconnue",IF(INDEX(eq_check,MATCH(B1089,eq_code,0))&lt;&gt;"OK","Équipe à corriger dans Paramètres",IF(C1089="","Poste manquant",IF(ISNA(MATCH(C1089,po_code,0)),"Poste inconnu",IF(AND(E1089&lt;&gt;"",ISNA(MATCH(E1089,art_ref,0))),"Article inconnu",IF(IF(E1089="",FALSE,INDEX(art_check,MATCH(E1089,art_ref,0))&lt;&gt;"OK"),"Article à corriger (feuille Articles)",IF(COUNTIFS(sj_date,A1089,sj_eq,B1089,sj_po,C1089)&gt;1,"Ligne en double (même jour, équipe et poste)",IF(OR(NOT(ISNUMBER(K1089)),N(K1089)&lt;=0,N(K1089)&gt;1440),"Temps d'ouverture invalide",IF(OR(AND(G1089&lt;&gt;"",NOT(ISNUMBER(G1089))),N(G1089)&lt;0,N(G1089)&lt;&gt;INT(N(G1089)),AND(H1089&lt;&gt;"",NOT(ISNUMBER(H1089))),N(H1089)&lt;0,N(H1089)&lt;&gt;INT(N(H1089)),AND(I1089&lt;&gt;"",NOT(ISNUMBER(I1089))),N(I1089)&lt;0,N(I1089)&lt;&gt;INT(N(I1089))),"Quantité invalide",IF(Q1089&lt;=0,"Cadence manquante (poste ou article)",IF(M1089&lt;=0,"Arrêts planifiés supérieurs au temps d'ouverture",IF(O1089&lt;0,"Arrêts supérieurs au temps requis",IF(AND(P1089&gt;0,O1089=0),"Pièces déclarées sans temps de marche",IF(AND(P1089=0,O1089&gt;0),"Aucune pièce déclarée",IF(P1089*60/Q1089&gt;O1089+0.001,"Cadence dépassée : vérifiez la cadence","OK"))))))))))))))))))</f>
        <v/>
      </c>
      <c r="AC1089">
        <f>IF(OR(AB1089="OK",AB1089="Aucune pièce déclarée",AB1089="Cadence dépassée : vérifiez la cadence"),1,0)</f>
        <v>0.0</v>
      </c>
      <c r="AD1089">
        <f>IF(AND(AC1089=1,A1089&gt;=p_from,A1089&lt;=p_to),1,0)</f>
        <v>0.0</v>
      </c>
      <c r="AE1089">
        <f>IF(AD1089=1,IF(COUNTIFS($A$6:A1089,A1089,$AD$6:AD1089,1)=1,1,0),0)</f>
        <v>0.0</v>
      </c>
      <c r="AF1089" t="str">
        <f>IF(AE1089=1,COUNTIFS(sj_first,1,sj_date,"&lt;"&amp;A1089)+1,"")</f>
        <v/>
      </c>
      <c r="AG1089" t="str">
        <f>IF(AND(AD1089=1,N(W1089)&lt;p_alert),ROUND(W1089,4),"")</f>
        <v/>
      </c>
      <c r="AH1089" t="str">
        <f>IF(AG1089="","",COUNTIF(sj_akey,"&lt;"&amp;AG1089)+COUNTIF($AG$6:AG1089,AG1089))</f>
        <v/>
      </c>
    </row>
    <row r="1090">
      <c r="A1090" s="51" t="n"/>
      <c r="B1090" s="52" t="n"/>
      <c r="C1090" s="52" t="n"/>
      <c r="D1090" s="53" t="n"/>
      <c r="E1090" s="53" t="n"/>
      <c r="F1090" s="54" t="n"/>
      <c r="G1090" s="54" t="n"/>
      <c r="H1090" s="54" t="n"/>
      <c r="I1090" s="54" t="n"/>
      <c r="J1090" s="53" t="n"/>
      <c r="K1090" s="55" t="str">
        <f>IF(COUNTA(A1090:I1090)=0,"",IF(F1090="",IFERROR(INDEX(eq_dur,MATCH(B1090,eq_code,0)),""),F1090))</f>
        <v/>
      </c>
      <c r="L1090" s="55" t="str">
        <f>IF(ISNUMBER(K1090),N(IFERROR(INDEX(eq_pause,MATCH(B1090,eq_code,0)),0))+SUMIFS(st_min,st_date,A1090,st_eq,B1090,st_po,C1090,st_type,"Planifié"),"")</f>
        <v/>
      </c>
      <c r="M1090" s="55" t="str">
        <f>IF(ISNUMBER(K1090),K1090-L1090,"")</f>
        <v/>
      </c>
      <c r="N1090" s="55" t="str">
        <f>IF(ISNUMBER(K1090),SUMIFS(st_min,st_date,A1090,st_eq,B1090,st_po,C1090,st_type,"Non planifié"),"")</f>
        <v/>
      </c>
      <c r="O1090" s="55" t="str">
        <f>IF(ISNUMBER(K1090),M1090-N1090,"")</f>
        <v/>
      </c>
      <c r="P1090" s="55" t="str">
        <f>IF(COUNTA(A1090:I1090)=0,"",N(G1090)+N(H1090)+N(I1090))</f>
        <v/>
      </c>
      <c r="Q1090" s="56" t="str">
        <f>IF(COUNTA(A1090:I1090)=0,"",IF(N(IFERROR(INDEX(art_rate,MATCH(E1090,art_ref,0)),0))&gt;0,N(IFERROR(INDEX(art_rate,MATCH(E1090,art_ref,0)),0)),N(IFERROR(INDEX(po_rate,MATCH(C1090,po_code,0)),0))))</f>
        <v/>
      </c>
      <c r="R1090" s="55" t="str">
        <f>IF(AC1090=1,P1090*60/Q1090,"")</f>
        <v/>
      </c>
      <c r="S1090" s="55" t="str">
        <f>IF(AC1090=1,N(G1090)*60/Q1090,"")</f>
        <v/>
      </c>
      <c r="T1090" s="57" t="str">
        <f>IF(AC1090=1,O1090/M1090,"")</f>
        <v/>
      </c>
      <c r="U1090" s="57" t="str">
        <f>IF(AC1090=1,IF(O1090&gt;0,R1090/O1090,""),"")</f>
        <v/>
      </c>
      <c r="V1090" s="57" t="str">
        <f>IF(AC1090=1,IF(P1090&gt;0,N(G1090)/P1090,""),"")</f>
        <v/>
      </c>
      <c r="W1090" s="57" t="str">
        <f>IF(AC1090=1,S1090/M1090,"")</f>
        <v/>
      </c>
      <c r="X1090" s="57" t="str">
        <f>IF(AC1090=1,S1090/K1090,"")</f>
        <v/>
      </c>
      <c r="Y1090" s="58" t="str">
        <f>IF(W1090="","",IF(W1090&gt;=p_target,"Bon",IF(W1090&gt;=p_alert,"À surveiller","Faible")))</f>
        <v/>
      </c>
      <c r="Z1090" s="58" t="str">
        <f>IF(W1090="","",IF(MIN(IF(T1090="",1,T1090),IF(U1090="",1,U1090),IF(V1090="",1,V1090))&gt;=1,"Aucune",IF(IF(T1090="",1,T1090)&lt;=MIN(IF(U1090="",1,U1090),IF(V1090="",1,V1090)),"Disponibilité",IF(IF(U1090="",1,U1090)&lt;=IF(V1090="",1,V1090),"Performance","Qualité"))))</f>
        <v/>
      </c>
      <c r="AA1090" s="59" t="str">
        <f>IF(AC1090=1,N(H1090)*N(IFERROR(INDEX(art_cost,MATCH(E1090,art_ref,0)),0)),"")</f>
        <v/>
      </c>
      <c r="AB1090" s="58" t="str">
        <f>IF(COUNTA(A1090:I1090)=0,"",IF(N(A1090)&lt;=0,"Date manquante ou invalide",IF(B1090="","Équipe manquante",IF(ISNA(MATCH(B1090,eq_code,0)),"Équipe inconnue",IF(INDEX(eq_check,MATCH(B1090,eq_code,0))&lt;&gt;"OK","Équipe à corriger dans Paramètres",IF(C1090="","Poste manquant",IF(ISNA(MATCH(C1090,po_code,0)),"Poste inconnu",IF(AND(E1090&lt;&gt;"",ISNA(MATCH(E1090,art_ref,0))),"Article inconnu",IF(IF(E1090="",FALSE,INDEX(art_check,MATCH(E1090,art_ref,0))&lt;&gt;"OK"),"Article à corriger (feuille Articles)",IF(COUNTIFS(sj_date,A1090,sj_eq,B1090,sj_po,C1090)&gt;1,"Ligne en double (même jour, équipe et poste)",IF(OR(NOT(ISNUMBER(K1090)),N(K1090)&lt;=0,N(K1090)&gt;1440),"Temps d'ouverture invalide",IF(OR(AND(G1090&lt;&gt;"",NOT(ISNUMBER(G1090))),N(G1090)&lt;0,N(G1090)&lt;&gt;INT(N(G1090)),AND(H1090&lt;&gt;"",NOT(ISNUMBER(H1090))),N(H1090)&lt;0,N(H1090)&lt;&gt;INT(N(H1090)),AND(I1090&lt;&gt;"",NOT(ISNUMBER(I1090))),N(I1090)&lt;0,N(I1090)&lt;&gt;INT(N(I1090))),"Quantité invalide",IF(Q1090&lt;=0,"Cadence manquante (poste ou article)",IF(M1090&lt;=0,"Arrêts planifiés supérieurs au temps d'ouverture",IF(O1090&lt;0,"Arrêts supérieurs au temps requis",IF(AND(P1090&gt;0,O1090=0),"Pièces déclarées sans temps de marche",IF(AND(P1090=0,O1090&gt;0),"Aucune pièce déclarée",IF(P1090*60/Q1090&gt;O1090+0.001,"Cadence dépassée : vérifiez la cadence","OK"))))))))))))))))))</f>
        <v/>
      </c>
      <c r="AC1090">
        <f>IF(OR(AB1090="OK",AB1090="Aucune pièce déclarée",AB1090="Cadence dépassée : vérifiez la cadence"),1,0)</f>
        <v>0.0</v>
      </c>
      <c r="AD1090">
        <f>IF(AND(AC1090=1,A1090&gt;=p_from,A1090&lt;=p_to),1,0)</f>
        <v>0.0</v>
      </c>
      <c r="AE1090">
        <f>IF(AD1090=1,IF(COUNTIFS($A$6:A1090,A1090,$AD$6:AD1090,1)=1,1,0),0)</f>
        <v>0.0</v>
      </c>
      <c r="AF1090" t="str">
        <f>IF(AE1090=1,COUNTIFS(sj_first,1,sj_date,"&lt;"&amp;A1090)+1,"")</f>
        <v/>
      </c>
      <c r="AG1090" t="str">
        <f>IF(AND(AD1090=1,N(W1090)&lt;p_alert),ROUND(W1090,4),"")</f>
        <v/>
      </c>
      <c r="AH1090" t="str">
        <f>IF(AG1090="","",COUNTIF(sj_akey,"&lt;"&amp;AG1090)+COUNTIF($AG$6:AG1090,AG1090))</f>
        <v/>
      </c>
    </row>
    <row r="1091">
      <c r="A1091" s="51" t="n"/>
      <c r="B1091" s="52" t="n"/>
      <c r="C1091" s="52" t="n"/>
      <c r="D1091" s="53" t="n"/>
      <c r="E1091" s="53" t="n"/>
      <c r="F1091" s="54" t="n"/>
      <c r="G1091" s="54" t="n"/>
      <c r="H1091" s="54" t="n"/>
      <c r="I1091" s="54" t="n"/>
      <c r="J1091" s="53" t="n"/>
      <c r="K1091" s="55" t="str">
        <f>IF(COUNTA(A1091:I1091)=0,"",IF(F1091="",IFERROR(INDEX(eq_dur,MATCH(B1091,eq_code,0)),""),F1091))</f>
        <v/>
      </c>
      <c r="L1091" s="55" t="str">
        <f>IF(ISNUMBER(K1091),N(IFERROR(INDEX(eq_pause,MATCH(B1091,eq_code,0)),0))+SUMIFS(st_min,st_date,A1091,st_eq,B1091,st_po,C1091,st_type,"Planifié"),"")</f>
        <v/>
      </c>
      <c r="M1091" s="55" t="str">
        <f>IF(ISNUMBER(K1091),K1091-L1091,"")</f>
        <v/>
      </c>
      <c r="N1091" s="55" t="str">
        <f>IF(ISNUMBER(K1091),SUMIFS(st_min,st_date,A1091,st_eq,B1091,st_po,C1091,st_type,"Non planifié"),"")</f>
        <v/>
      </c>
      <c r="O1091" s="55" t="str">
        <f>IF(ISNUMBER(K1091),M1091-N1091,"")</f>
        <v/>
      </c>
      <c r="P1091" s="55" t="str">
        <f>IF(COUNTA(A1091:I1091)=0,"",N(G1091)+N(H1091)+N(I1091))</f>
        <v/>
      </c>
      <c r="Q1091" s="56" t="str">
        <f>IF(COUNTA(A1091:I1091)=0,"",IF(N(IFERROR(INDEX(art_rate,MATCH(E1091,art_ref,0)),0))&gt;0,N(IFERROR(INDEX(art_rate,MATCH(E1091,art_ref,0)),0)),N(IFERROR(INDEX(po_rate,MATCH(C1091,po_code,0)),0))))</f>
        <v/>
      </c>
      <c r="R1091" s="55" t="str">
        <f>IF(AC1091=1,P1091*60/Q1091,"")</f>
        <v/>
      </c>
      <c r="S1091" s="55" t="str">
        <f>IF(AC1091=1,N(G1091)*60/Q1091,"")</f>
        <v/>
      </c>
      <c r="T1091" s="57" t="str">
        <f>IF(AC1091=1,O1091/M1091,"")</f>
        <v/>
      </c>
      <c r="U1091" s="57" t="str">
        <f>IF(AC1091=1,IF(O1091&gt;0,R1091/O1091,""),"")</f>
        <v/>
      </c>
      <c r="V1091" s="57" t="str">
        <f>IF(AC1091=1,IF(P1091&gt;0,N(G1091)/P1091,""),"")</f>
        <v/>
      </c>
      <c r="W1091" s="57" t="str">
        <f>IF(AC1091=1,S1091/M1091,"")</f>
        <v/>
      </c>
      <c r="X1091" s="57" t="str">
        <f>IF(AC1091=1,S1091/K1091,"")</f>
        <v/>
      </c>
      <c r="Y1091" s="58" t="str">
        <f>IF(W1091="","",IF(W1091&gt;=p_target,"Bon",IF(W1091&gt;=p_alert,"À surveiller","Faible")))</f>
        <v/>
      </c>
      <c r="Z1091" s="58" t="str">
        <f>IF(W1091="","",IF(MIN(IF(T1091="",1,T1091),IF(U1091="",1,U1091),IF(V1091="",1,V1091))&gt;=1,"Aucune",IF(IF(T1091="",1,T1091)&lt;=MIN(IF(U1091="",1,U1091),IF(V1091="",1,V1091)),"Disponibilité",IF(IF(U1091="",1,U1091)&lt;=IF(V1091="",1,V1091),"Performance","Qualité"))))</f>
        <v/>
      </c>
      <c r="AA1091" s="59" t="str">
        <f>IF(AC1091=1,N(H1091)*N(IFERROR(INDEX(art_cost,MATCH(E1091,art_ref,0)),0)),"")</f>
        <v/>
      </c>
      <c r="AB1091" s="58" t="str">
        <f>IF(COUNTA(A1091:I1091)=0,"",IF(N(A1091)&lt;=0,"Date manquante ou invalide",IF(B1091="","Équipe manquante",IF(ISNA(MATCH(B1091,eq_code,0)),"Équipe inconnue",IF(INDEX(eq_check,MATCH(B1091,eq_code,0))&lt;&gt;"OK","Équipe à corriger dans Paramètres",IF(C1091="","Poste manquant",IF(ISNA(MATCH(C1091,po_code,0)),"Poste inconnu",IF(AND(E1091&lt;&gt;"",ISNA(MATCH(E1091,art_ref,0))),"Article inconnu",IF(IF(E1091="",FALSE,INDEX(art_check,MATCH(E1091,art_ref,0))&lt;&gt;"OK"),"Article à corriger (feuille Articles)",IF(COUNTIFS(sj_date,A1091,sj_eq,B1091,sj_po,C1091)&gt;1,"Ligne en double (même jour, équipe et poste)",IF(OR(NOT(ISNUMBER(K1091)),N(K1091)&lt;=0,N(K1091)&gt;1440),"Temps d'ouverture invalide",IF(OR(AND(G1091&lt;&gt;"",NOT(ISNUMBER(G1091))),N(G1091)&lt;0,N(G1091)&lt;&gt;INT(N(G1091)),AND(H1091&lt;&gt;"",NOT(ISNUMBER(H1091))),N(H1091)&lt;0,N(H1091)&lt;&gt;INT(N(H1091)),AND(I1091&lt;&gt;"",NOT(ISNUMBER(I1091))),N(I1091)&lt;0,N(I1091)&lt;&gt;INT(N(I1091))),"Quantité invalide",IF(Q1091&lt;=0,"Cadence manquante (poste ou article)",IF(M1091&lt;=0,"Arrêts planifiés supérieurs au temps d'ouverture",IF(O1091&lt;0,"Arrêts supérieurs au temps requis",IF(AND(P1091&gt;0,O1091=0),"Pièces déclarées sans temps de marche",IF(AND(P1091=0,O1091&gt;0),"Aucune pièce déclarée",IF(P1091*60/Q1091&gt;O1091+0.001,"Cadence dépassée : vérifiez la cadence","OK"))))))))))))))))))</f>
        <v/>
      </c>
      <c r="AC1091">
        <f>IF(OR(AB1091="OK",AB1091="Aucune pièce déclarée",AB1091="Cadence dépassée : vérifiez la cadence"),1,0)</f>
        <v>0.0</v>
      </c>
      <c r="AD1091">
        <f>IF(AND(AC1091=1,A1091&gt;=p_from,A1091&lt;=p_to),1,0)</f>
        <v>0.0</v>
      </c>
      <c r="AE1091">
        <f>IF(AD1091=1,IF(COUNTIFS($A$6:A1091,A1091,$AD$6:AD1091,1)=1,1,0),0)</f>
        <v>0.0</v>
      </c>
      <c r="AF1091" t="str">
        <f>IF(AE1091=1,COUNTIFS(sj_first,1,sj_date,"&lt;"&amp;A1091)+1,"")</f>
        <v/>
      </c>
      <c r="AG1091" t="str">
        <f>IF(AND(AD1091=1,N(W1091)&lt;p_alert),ROUND(W1091,4),"")</f>
        <v/>
      </c>
      <c r="AH1091" t="str">
        <f>IF(AG1091="","",COUNTIF(sj_akey,"&lt;"&amp;AG1091)+COUNTIF($AG$6:AG1091,AG1091))</f>
        <v/>
      </c>
    </row>
    <row r="1092">
      <c r="A1092" s="51" t="n"/>
      <c r="B1092" s="52" t="n"/>
      <c r="C1092" s="52" t="n"/>
      <c r="D1092" s="53" t="n"/>
      <c r="E1092" s="53" t="n"/>
      <c r="F1092" s="54" t="n"/>
      <c r="G1092" s="54" t="n"/>
      <c r="H1092" s="54" t="n"/>
      <c r="I1092" s="54" t="n"/>
      <c r="J1092" s="53" t="n"/>
      <c r="K1092" s="55" t="str">
        <f>IF(COUNTA(A1092:I1092)=0,"",IF(F1092="",IFERROR(INDEX(eq_dur,MATCH(B1092,eq_code,0)),""),F1092))</f>
        <v/>
      </c>
      <c r="L1092" s="55" t="str">
        <f>IF(ISNUMBER(K1092),N(IFERROR(INDEX(eq_pause,MATCH(B1092,eq_code,0)),0))+SUMIFS(st_min,st_date,A1092,st_eq,B1092,st_po,C1092,st_type,"Planifié"),"")</f>
        <v/>
      </c>
      <c r="M1092" s="55" t="str">
        <f>IF(ISNUMBER(K1092),K1092-L1092,"")</f>
        <v/>
      </c>
      <c r="N1092" s="55" t="str">
        <f>IF(ISNUMBER(K1092),SUMIFS(st_min,st_date,A1092,st_eq,B1092,st_po,C1092,st_type,"Non planifié"),"")</f>
        <v/>
      </c>
      <c r="O1092" s="55" t="str">
        <f>IF(ISNUMBER(K1092),M1092-N1092,"")</f>
        <v/>
      </c>
      <c r="P1092" s="55" t="str">
        <f>IF(COUNTA(A1092:I1092)=0,"",N(G1092)+N(H1092)+N(I1092))</f>
        <v/>
      </c>
      <c r="Q1092" s="56" t="str">
        <f>IF(COUNTA(A1092:I1092)=0,"",IF(N(IFERROR(INDEX(art_rate,MATCH(E1092,art_ref,0)),0))&gt;0,N(IFERROR(INDEX(art_rate,MATCH(E1092,art_ref,0)),0)),N(IFERROR(INDEX(po_rate,MATCH(C1092,po_code,0)),0))))</f>
        <v/>
      </c>
      <c r="R1092" s="55" t="str">
        <f>IF(AC1092=1,P1092*60/Q1092,"")</f>
        <v/>
      </c>
      <c r="S1092" s="55" t="str">
        <f>IF(AC1092=1,N(G1092)*60/Q1092,"")</f>
        <v/>
      </c>
      <c r="T1092" s="57" t="str">
        <f>IF(AC1092=1,O1092/M1092,"")</f>
        <v/>
      </c>
      <c r="U1092" s="57" t="str">
        <f>IF(AC1092=1,IF(O1092&gt;0,R1092/O1092,""),"")</f>
        <v/>
      </c>
      <c r="V1092" s="57" t="str">
        <f>IF(AC1092=1,IF(P1092&gt;0,N(G1092)/P1092,""),"")</f>
        <v/>
      </c>
      <c r="W1092" s="57" t="str">
        <f>IF(AC1092=1,S1092/M1092,"")</f>
        <v/>
      </c>
      <c r="X1092" s="57" t="str">
        <f>IF(AC1092=1,S1092/K1092,"")</f>
        <v/>
      </c>
      <c r="Y1092" s="58" t="str">
        <f>IF(W1092="","",IF(W1092&gt;=p_target,"Bon",IF(W1092&gt;=p_alert,"À surveiller","Faible")))</f>
        <v/>
      </c>
      <c r="Z1092" s="58" t="str">
        <f>IF(W1092="","",IF(MIN(IF(T1092="",1,T1092),IF(U1092="",1,U1092),IF(V1092="",1,V1092))&gt;=1,"Aucune",IF(IF(T1092="",1,T1092)&lt;=MIN(IF(U1092="",1,U1092),IF(V1092="",1,V1092)),"Disponibilité",IF(IF(U1092="",1,U1092)&lt;=IF(V1092="",1,V1092),"Performance","Qualité"))))</f>
        <v/>
      </c>
      <c r="AA1092" s="59" t="str">
        <f>IF(AC1092=1,N(H1092)*N(IFERROR(INDEX(art_cost,MATCH(E1092,art_ref,0)),0)),"")</f>
        <v/>
      </c>
      <c r="AB1092" s="58" t="str">
        <f>IF(COUNTA(A1092:I1092)=0,"",IF(N(A1092)&lt;=0,"Date manquante ou invalide",IF(B1092="","Équipe manquante",IF(ISNA(MATCH(B1092,eq_code,0)),"Équipe inconnue",IF(INDEX(eq_check,MATCH(B1092,eq_code,0))&lt;&gt;"OK","Équipe à corriger dans Paramètres",IF(C1092="","Poste manquant",IF(ISNA(MATCH(C1092,po_code,0)),"Poste inconnu",IF(AND(E1092&lt;&gt;"",ISNA(MATCH(E1092,art_ref,0))),"Article inconnu",IF(IF(E1092="",FALSE,INDEX(art_check,MATCH(E1092,art_ref,0))&lt;&gt;"OK"),"Article à corriger (feuille Articles)",IF(COUNTIFS(sj_date,A1092,sj_eq,B1092,sj_po,C1092)&gt;1,"Ligne en double (même jour, équipe et poste)",IF(OR(NOT(ISNUMBER(K1092)),N(K1092)&lt;=0,N(K1092)&gt;1440),"Temps d'ouverture invalide",IF(OR(AND(G1092&lt;&gt;"",NOT(ISNUMBER(G1092))),N(G1092)&lt;0,N(G1092)&lt;&gt;INT(N(G1092)),AND(H1092&lt;&gt;"",NOT(ISNUMBER(H1092))),N(H1092)&lt;0,N(H1092)&lt;&gt;INT(N(H1092)),AND(I1092&lt;&gt;"",NOT(ISNUMBER(I1092))),N(I1092)&lt;0,N(I1092)&lt;&gt;INT(N(I1092))),"Quantité invalide",IF(Q1092&lt;=0,"Cadence manquante (poste ou article)",IF(M1092&lt;=0,"Arrêts planifiés supérieurs au temps d'ouverture",IF(O1092&lt;0,"Arrêts supérieurs au temps requis",IF(AND(P1092&gt;0,O1092=0),"Pièces déclarées sans temps de marche",IF(AND(P1092=0,O1092&gt;0),"Aucune pièce déclarée",IF(P1092*60/Q1092&gt;O1092+0.001,"Cadence dépassée : vérifiez la cadence","OK"))))))))))))))))))</f>
        <v/>
      </c>
      <c r="AC1092">
        <f>IF(OR(AB1092="OK",AB1092="Aucune pièce déclarée",AB1092="Cadence dépassée : vérifiez la cadence"),1,0)</f>
        <v>0.0</v>
      </c>
      <c r="AD1092">
        <f>IF(AND(AC1092=1,A1092&gt;=p_from,A1092&lt;=p_to),1,0)</f>
        <v>0.0</v>
      </c>
      <c r="AE1092">
        <f>IF(AD1092=1,IF(COUNTIFS($A$6:A1092,A1092,$AD$6:AD1092,1)=1,1,0),0)</f>
        <v>0.0</v>
      </c>
      <c r="AF1092" t="str">
        <f>IF(AE1092=1,COUNTIFS(sj_first,1,sj_date,"&lt;"&amp;A1092)+1,"")</f>
        <v/>
      </c>
      <c r="AG1092" t="str">
        <f>IF(AND(AD1092=1,N(W1092)&lt;p_alert),ROUND(W1092,4),"")</f>
        <v/>
      </c>
      <c r="AH1092" t="str">
        <f>IF(AG1092="","",COUNTIF(sj_akey,"&lt;"&amp;AG1092)+COUNTIF($AG$6:AG1092,AG1092))</f>
        <v/>
      </c>
    </row>
    <row r="1093">
      <c r="A1093" s="51" t="n"/>
      <c r="B1093" s="52" t="n"/>
      <c r="C1093" s="52" t="n"/>
      <c r="D1093" s="53" t="n"/>
      <c r="E1093" s="53" t="n"/>
      <c r="F1093" s="54" t="n"/>
      <c r="G1093" s="54" t="n"/>
      <c r="H1093" s="54" t="n"/>
      <c r="I1093" s="54" t="n"/>
      <c r="J1093" s="53" t="n"/>
      <c r="K1093" s="55" t="str">
        <f>IF(COUNTA(A1093:I1093)=0,"",IF(F1093="",IFERROR(INDEX(eq_dur,MATCH(B1093,eq_code,0)),""),F1093))</f>
        <v/>
      </c>
      <c r="L1093" s="55" t="str">
        <f>IF(ISNUMBER(K1093),N(IFERROR(INDEX(eq_pause,MATCH(B1093,eq_code,0)),0))+SUMIFS(st_min,st_date,A1093,st_eq,B1093,st_po,C1093,st_type,"Planifié"),"")</f>
        <v/>
      </c>
      <c r="M1093" s="55" t="str">
        <f>IF(ISNUMBER(K1093),K1093-L1093,"")</f>
        <v/>
      </c>
      <c r="N1093" s="55" t="str">
        <f>IF(ISNUMBER(K1093),SUMIFS(st_min,st_date,A1093,st_eq,B1093,st_po,C1093,st_type,"Non planifié"),"")</f>
        <v/>
      </c>
      <c r="O1093" s="55" t="str">
        <f>IF(ISNUMBER(K1093),M1093-N1093,"")</f>
        <v/>
      </c>
      <c r="P1093" s="55" t="str">
        <f>IF(COUNTA(A1093:I1093)=0,"",N(G1093)+N(H1093)+N(I1093))</f>
        <v/>
      </c>
      <c r="Q1093" s="56" t="str">
        <f>IF(COUNTA(A1093:I1093)=0,"",IF(N(IFERROR(INDEX(art_rate,MATCH(E1093,art_ref,0)),0))&gt;0,N(IFERROR(INDEX(art_rate,MATCH(E1093,art_ref,0)),0)),N(IFERROR(INDEX(po_rate,MATCH(C1093,po_code,0)),0))))</f>
        <v/>
      </c>
      <c r="R1093" s="55" t="str">
        <f>IF(AC1093=1,P1093*60/Q1093,"")</f>
        <v/>
      </c>
      <c r="S1093" s="55" t="str">
        <f>IF(AC1093=1,N(G1093)*60/Q1093,"")</f>
        <v/>
      </c>
      <c r="T1093" s="57" t="str">
        <f>IF(AC1093=1,O1093/M1093,"")</f>
        <v/>
      </c>
      <c r="U1093" s="57" t="str">
        <f>IF(AC1093=1,IF(O1093&gt;0,R1093/O1093,""),"")</f>
        <v/>
      </c>
      <c r="V1093" s="57" t="str">
        <f>IF(AC1093=1,IF(P1093&gt;0,N(G1093)/P1093,""),"")</f>
        <v/>
      </c>
      <c r="W1093" s="57" t="str">
        <f>IF(AC1093=1,S1093/M1093,"")</f>
        <v/>
      </c>
      <c r="X1093" s="57" t="str">
        <f>IF(AC1093=1,S1093/K1093,"")</f>
        <v/>
      </c>
      <c r="Y1093" s="58" t="str">
        <f>IF(W1093="","",IF(W1093&gt;=p_target,"Bon",IF(W1093&gt;=p_alert,"À surveiller","Faible")))</f>
        <v/>
      </c>
      <c r="Z1093" s="58" t="str">
        <f>IF(W1093="","",IF(MIN(IF(T1093="",1,T1093),IF(U1093="",1,U1093),IF(V1093="",1,V1093))&gt;=1,"Aucune",IF(IF(T1093="",1,T1093)&lt;=MIN(IF(U1093="",1,U1093),IF(V1093="",1,V1093)),"Disponibilité",IF(IF(U1093="",1,U1093)&lt;=IF(V1093="",1,V1093),"Performance","Qualité"))))</f>
        <v/>
      </c>
      <c r="AA1093" s="59" t="str">
        <f>IF(AC1093=1,N(H1093)*N(IFERROR(INDEX(art_cost,MATCH(E1093,art_ref,0)),0)),"")</f>
        <v/>
      </c>
      <c r="AB1093" s="58" t="str">
        <f>IF(COUNTA(A1093:I1093)=0,"",IF(N(A1093)&lt;=0,"Date manquante ou invalide",IF(B1093="","Équipe manquante",IF(ISNA(MATCH(B1093,eq_code,0)),"Équipe inconnue",IF(INDEX(eq_check,MATCH(B1093,eq_code,0))&lt;&gt;"OK","Équipe à corriger dans Paramètres",IF(C1093="","Poste manquant",IF(ISNA(MATCH(C1093,po_code,0)),"Poste inconnu",IF(AND(E1093&lt;&gt;"",ISNA(MATCH(E1093,art_ref,0))),"Article inconnu",IF(IF(E1093="",FALSE,INDEX(art_check,MATCH(E1093,art_ref,0))&lt;&gt;"OK"),"Article à corriger (feuille Articles)",IF(COUNTIFS(sj_date,A1093,sj_eq,B1093,sj_po,C1093)&gt;1,"Ligne en double (même jour, équipe et poste)",IF(OR(NOT(ISNUMBER(K1093)),N(K1093)&lt;=0,N(K1093)&gt;1440),"Temps d'ouverture invalide",IF(OR(AND(G1093&lt;&gt;"",NOT(ISNUMBER(G1093))),N(G1093)&lt;0,N(G1093)&lt;&gt;INT(N(G1093)),AND(H1093&lt;&gt;"",NOT(ISNUMBER(H1093))),N(H1093)&lt;0,N(H1093)&lt;&gt;INT(N(H1093)),AND(I1093&lt;&gt;"",NOT(ISNUMBER(I1093))),N(I1093)&lt;0,N(I1093)&lt;&gt;INT(N(I1093))),"Quantité invalide",IF(Q1093&lt;=0,"Cadence manquante (poste ou article)",IF(M1093&lt;=0,"Arrêts planifiés supérieurs au temps d'ouverture",IF(O1093&lt;0,"Arrêts supérieurs au temps requis",IF(AND(P1093&gt;0,O1093=0),"Pièces déclarées sans temps de marche",IF(AND(P1093=0,O1093&gt;0),"Aucune pièce déclarée",IF(P1093*60/Q1093&gt;O1093+0.001,"Cadence dépassée : vérifiez la cadence","OK"))))))))))))))))))</f>
        <v/>
      </c>
      <c r="AC1093">
        <f>IF(OR(AB1093="OK",AB1093="Aucune pièce déclarée",AB1093="Cadence dépassée : vérifiez la cadence"),1,0)</f>
        <v>0.0</v>
      </c>
      <c r="AD1093">
        <f>IF(AND(AC1093=1,A1093&gt;=p_from,A1093&lt;=p_to),1,0)</f>
        <v>0.0</v>
      </c>
      <c r="AE1093">
        <f>IF(AD1093=1,IF(COUNTIFS($A$6:A1093,A1093,$AD$6:AD1093,1)=1,1,0),0)</f>
        <v>0.0</v>
      </c>
      <c r="AF1093" t="str">
        <f>IF(AE1093=1,COUNTIFS(sj_first,1,sj_date,"&lt;"&amp;A1093)+1,"")</f>
        <v/>
      </c>
      <c r="AG1093" t="str">
        <f>IF(AND(AD1093=1,N(W1093)&lt;p_alert),ROUND(W1093,4),"")</f>
        <v/>
      </c>
      <c r="AH1093" t="str">
        <f>IF(AG1093="","",COUNTIF(sj_akey,"&lt;"&amp;AG1093)+COUNTIF($AG$6:AG1093,AG1093))</f>
        <v/>
      </c>
    </row>
    <row r="1094">
      <c r="A1094" s="51" t="n"/>
      <c r="B1094" s="52" t="n"/>
      <c r="C1094" s="52" t="n"/>
      <c r="D1094" s="53" t="n"/>
      <c r="E1094" s="53" t="n"/>
      <c r="F1094" s="54" t="n"/>
      <c r="G1094" s="54" t="n"/>
      <c r="H1094" s="54" t="n"/>
      <c r="I1094" s="54" t="n"/>
      <c r="J1094" s="53" t="n"/>
      <c r="K1094" s="55" t="str">
        <f>IF(COUNTA(A1094:I1094)=0,"",IF(F1094="",IFERROR(INDEX(eq_dur,MATCH(B1094,eq_code,0)),""),F1094))</f>
        <v/>
      </c>
      <c r="L1094" s="55" t="str">
        <f>IF(ISNUMBER(K1094),N(IFERROR(INDEX(eq_pause,MATCH(B1094,eq_code,0)),0))+SUMIFS(st_min,st_date,A1094,st_eq,B1094,st_po,C1094,st_type,"Planifié"),"")</f>
        <v/>
      </c>
      <c r="M1094" s="55" t="str">
        <f>IF(ISNUMBER(K1094),K1094-L1094,"")</f>
        <v/>
      </c>
      <c r="N1094" s="55" t="str">
        <f>IF(ISNUMBER(K1094),SUMIFS(st_min,st_date,A1094,st_eq,B1094,st_po,C1094,st_type,"Non planifié"),"")</f>
        <v/>
      </c>
      <c r="O1094" s="55" t="str">
        <f>IF(ISNUMBER(K1094),M1094-N1094,"")</f>
        <v/>
      </c>
      <c r="P1094" s="55" t="str">
        <f>IF(COUNTA(A1094:I1094)=0,"",N(G1094)+N(H1094)+N(I1094))</f>
        <v/>
      </c>
      <c r="Q1094" s="56" t="str">
        <f>IF(COUNTA(A1094:I1094)=0,"",IF(N(IFERROR(INDEX(art_rate,MATCH(E1094,art_ref,0)),0))&gt;0,N(IFERROR(INDEX(art_rate,MATCH(E1094,art_ref,0)),0)),N(IFERROR(INDEX(po_rate,MATCH(C1094,po_code,0)),0))))</f>
        <v/>
      </c>
      <c r="R1094" s="55" t="str">
        <f>IF(AC1094=1,P1094*60/Q1094,"")</f>
        <v/>
      </c>
      <c r="S1094" s="55" t="str">
        <f>IF(AC1094=1,N(G1094)*60/Q1094,"")</f>
        <v/>
      </c>
      <c r="T1094" s="57" t="str">
        <f>IF(AC1094=1,O1094/M1094,"")</f>
        <v/>
      </c>
      <c r="U1094" s="57" t="str">
        <f>IF(AC1094=1,IF(O1094&gt;0,R1094/O1094,""),"")</f>
        <v/>
      </c>
      <c r="V1094" s="57" t="str">
        <f>IF(AC1094=1,IF(P1094&gt;0,N(G1094)/P1094,""),"")</f>
        <v/>
      </c>
      <c r="W1094" s="57" t="str">
        <f>IF(AC1094=1,S1094/M1094,"")</f>
        <v/>
      </c>
      <c r="X1094" s="57" t="str">
        <f>IF(AC1094=1,S1094/K1094,"")</f>
        <v/>
      </c>
      <c r="Y1094" s="58" t="str">
        <f>IF(W1094="","",IF(W1094&gt;=p_target,"Bon",IF(W1094&gt;=p_alert,"À surveiller","Faible")))</f>
        <v/>
      </c>
      <c r="Z1094" s="58" t="str">
        <f>IF(W1094="","",IF(MIN(IF(T1094="",1,T1094),IF(U1094="",1,U1094),IF(V1094="",1,V1094))&gt;=1,"Aucune",IF(IF(T1094="",1,T1094)&lt;=MIN(IF(U1094="",1,U1094),IF(V1094="",1,V1094)),"Disponibilité",IF(IF(U1094="",1,U1094)&lt;=IF(V1094="",1,V1094),"Performance","Qualité"))))</f>
        <v/>
      </c>
      <c r="AA1094" s="59" t="str">
        <f>IF(AC1094=1,N(H1094)*N(IFERROR(INDEX(art_cost,MATCH(E1094,art_ref,0)),0)),"")</f>
        <v/>
      </c>
      <c r="AB1094" s="58" t="str">
        <f>IF(COUNTA(A1094:I1094)=0,"",IF(N(A1094)&lt;=0,"Date manquante ou invalide",IF(B1094="","Équipe manquante",IF(ISNA(MATCH(B1094,eq_code,0)),"Équipe inconnue",IF(INDEX(eq_check,MATCH(B1094,eq_code,0))&lt;&gt;"OK","Équipe à corriger dans Paramètres",IF(C1094="","Poste manquant",IF(ISNA(MATCH(C1094,po_code,0)),"Poste inconnu",IF(AND(E1094&lt;&gt;"",ISNA(MATCH(E1094,art_ref,0))),"Article inconnu",IF(IF(E1094="",FALSE,INDEX(art_check,MATCH(E1094,art_ref,0))&lt;&gt;"OK"),"Article à corriger (feuille Articles)",IF(COUNTIFS(sj_date,A1094,sj_eq,B1094,sj_po,C1094)&gt;1,"Ligne en double (même jour, équipe et poste)",IF(OR(NOT(ISNUMBER(K1094)),N(K1094)&lt;=0,N(K1094)&gt;1440),"Temps d'ouverture invalide",IF(OR(AND(G1094&lt;&gt;"",NOT(ISNUMBER(G1094))),N(G1094)&lt;0,N(G1094)&lt;&gt;INT(N(G1094)),AND(H1094&lt;&gt;"",NOT(ISNUMBER(H1094))),N(H1094)&lt;0,N(H1094)&lt;&gt;INT(N(H1094)),AND(I1094&lt;&gt;"",NOT(ISNUMBER(I1094))),N(I1094)&lt;0,N(I1094)&lt;&gt;INT(N(I1094))),"Quantité invalide",IF(Q1094&lt;=0,"Cadence manquante (poste ou article)",IF(M1094&lt;=0,"Arrêts planifiés supérieurs au temps d'ouverture",IF(O1094&lt;0,"Arrêts supérieurs au temps requis",IF(AND(P1094&gt;0,O1094=0),"Pièces déclarées sans temps de marche",IF(AND(P1094=0,O1094&gt;0),"Aucune pièce déclarée",IF(P1094*60/Q1094&gt;O1094+0.001,"Cadence dépassée : vérifiez la cadence","OK"))))))))))))))))))</f>
        <v/>
      </c>
      <c r="AC1094">
        <f>IF(OR(AB1094="OK",AB1094="Aucune pièce déclarée",AB1094="Cadence dépassée : vérifiez la cadence"),1,0)</f>
        <v>0.0</v>
      </c>
      <c r="AD1094">
        <f>IF(AND(AC1094=1,A1094&gt;=p_from,A1094&lt;=p_to),1,0)</f>
        <v>0.0</v>
      </c>
      <c r="AE1094">
        <f>IF(AD1094=1,IF(COUNTIFS($A$6:A1094,A1094,$AD$6:AD1094,1)=1,1,0),0)</f>
        <v>0.0</v>
      </c>
      <c r="AF1094" t="str">
        <f>IF(AE1094=1,COUNTIFS(sj_first,1,sj_date,"&lt;"&amp;A1094)+1,"")</f>
        <v/>
      </c>
      <c r="AG1094" t="str">
        <f>IF(AND(AD1094=1,N(W1094)&lt;p_alert),ROUND(W1094,4),"")</f>
        <v/>
      </c>
      <c r="AH1094" t="str">
        <f>IF(AG1094="","",COUNTIF(sj_akey,"&lt;"&amp;AG1094)+COUNTIF($AG$6:AG1094,AG1094))</f>
        <v/>
      </c>
    </row>
    <row r="1095">
      <c r="A1095" s="51" t="n"/>
      <c r="B1095" s="52" t="n"/>
      <c r="C1095" s="52" t="n"/>
      <c r="D1095" s="53" t="n"/>
      <c r="E1095" s="53" t="n"/>
      <c r="F1095" s="54" t="n"/>
      <c r="G1095" s="54" t="n"/>
      <c r="H1095" s="54" t="n"/>
      <c r="I1095" s="54" t="n"/>
      <c r="J1095" s="53" t="n"/>
      <c r="K1095" s="55" t="str">
        <f>IF(COUNTA(A1095:I1095)=0,"",IF(F1095="",IFERROR(INDEX(eq_dur,MATCH(B1095,eq_code,0)),""),F1095))</f>
        <v/>
      </c>
      <c r="L1095" s="55" t="str">
        <f>IF(ISNUMBER(K1095),N(IFERROR(INDEX(eq_pause,MATCH(B1095,eq_code,0)),0))+SUMIFS(st_min,st_date,A1095,st_eq,B1095,st_po,C1095,st_type,"Planifié"),"")</f>
        <v/>
      </c>
      <c r="M1095" s="55" t="str">
        <f>IF(ISNUMBER(K1095),K1095-L1095,"")</f>
        <v/>
      </c>
      <c r="N1095" s="55" t="str">
        <f>IF(ISNUMBER(K1095),SUMIFS(st_min,st_date,A1095,st_eq,B1095,st_po,C1095,st_type,"Non planifié"),"")</f>
        <v/>
      </c>
      <c r="O1095" s="55" t="str">
        <f>IF(ISNUMBER(K1095),M1095-N1095,"")</f>
        <v/>
      </c>
      <c r="P1095" s="55" t="str">
        <f>IF(COUNTA(A1095:I1095)=0,"",N(G1095)+N(H1095)+N(I1095))</f>
        <v/>
      </c>
      <c r="Q1095" s="56" t="str">
        <f>IF(COUNTA(A1095:I1095)=0,"",IF(N(IFERROR(INDEX(art_rate,MATCH(E1095,art_ref,0)),0))&gt;0,N(IFERROR(INDEX(art_rate,MATCH(E1095,art_ref,0)),0)),N(IFERROR(INDEX(po_rate,MATCH(C1095,po_code,0)),0))))</f>
        <v/>
      </c>
      <c r="R1095" s="55" t="str">
        <f>IF(AC1095=1,P1095*60/Q1095,"")</f>
        <v/>
      </c>
      <c r="S1095" s="55" t="str">
        <f>IF(AC1095=1,N(G1095)*60/Q1095,"")</f>
        <v/>
      </c>
      <c r="T1095" s="57" t="str">
        <f>IF(AC1095=1,O1095/M1095,"")</f>
        <v/>
      </c>
      <c r="U1095" s="57" t="str">
        <f>IF(AC1095=1,IF(O1095&gt;0,R1095/O1095,""),"")</f>
        <v/>
      </c>
      <c r="V1095" s="57" t="str">
        <f>IF(AC1095=1,IF(P1095&gt;0,N(G1095)/P1095,""),"")</f>
        <v/>
      </c>
      <c r="W1095" s="57" t="str">
        <f>IF(AC1095=1,S1095/M1095,"")</f>
        <v/>
      </c>
      <c r="X1095" s="57" t="str">
        <f>IF(AC1095=1,S1095/K1095,"")</f>
        <v/>
      </c>
      <c r="Y1095" s="58" t="str">
        <f>IF(W1095="","",IF(W1095&gt;=p_target,"Bon",IF(W1095&gt;=p_alert,"À surveiller","Faible")))</f>
        <v/>
      </c>
      <c r="Z1095" s="58" t="str">
        <f>IF(W1095="","",IF(MIN(IF(T1095="",1,T1095),IF(U1095="",1,U1095),IF(V1095="",1,V1095))&gt;=1,"Aucune",IF(IF(T1095="",1,T1095)&lt;=MIN(IF(U1095="",1,U1095),IF(V1095="",1,V1095)),"Disponibilité",IF(IF(U1095="",1,U1095)&lt;=IF(V1095="",1,V1095),"Performance","Qualité"))))</f>
        <v/>
      </c>
      <c r="AA1095" s="59" t="str">
        <f>IF(AC1095=1,N(H1095)*N(IFERROR(INDEX(art_cost,MATCH(E1095,art_ref,0)),0)),"")</f>
        <v/>
      </c>
      <c r="AB1095" s="58" t="str">
        <f>IF(COUNTA(A1095:I1095)=0,"",IF(N(A1095)&lt;=0,"Date manquante ou invalide",IF(B1095="","Équipe manquante",IF(ISNA(MATCH(B1095,eq_code,0)),"Équipe inconnue",IF(INDEX(eq_check,MATCH(B1095,eq_code,0))&lt;&gt;"OK","Équipe à corriger dans Paramètres",IF(C1095="","Poste manquant",IF(ISNA(MATCH(C1095,po_code,0)),"Poste inconnu",IF(AND(E1095&lt;&gt;"",ISNA(MATCH(E1095,art_ref,0))),"Article inconnu",IF(IF(E1095="",FALSE,INDEX(art_check,MATCH(E1095,art_ref,0))&lt;&gt;"OK"),"Article à corriger (feuille Articles)",IF(COUNTIFS(sj_date,A1095,sj_eq,B1095,sj_po,C1095)&gt;1,"Ligne en double (même jour, équipe et poste)",IF(OR(NOT(ISNUMBER(K1095)),N(K1095)&lt;=0,N(K1095)&gt;1440),"Temps d'ouverture invalide",IF(OR(AND(G1095&lt;&gt;"",NOT(ISNUMBER(G1095))),N(G1095)&lt;0,N(G1095)&lt;&gt;INT(N(G1095)),AND(H1095&lt;&gt;"",NOT(ISNUMBER(H1095))),N(H1095)&lt;0,N(H1095)&lt;&gt;INT(N(H1095)),AND(I1095&lt;&gt;"",NOT(ISNUMBER(I1095))),N(I1095)&lt;0,N(I1095)&lt;&gt;INT(N(I1095))),"Quantité invalide",IF(Q1095&lt;=0,"Cadence manquante (poste ou article)",IF(M1095&lt;=0,"Arrêts planifiés supérieurs au temps d'ouverture",IF(O1095&lt;0,"Arrêts supérieurs au temps requis",IF(AND(P1095&gt;0,O1095=0),"Pièces déclarées sans temps de marche",IF(AND(P1095=0,O1095&gt;0),"Aucune pièce déclarée",IF(P1095*60/Q1095&gt;O1095+0.001,"Cadence dépassée : vérifiez la cadence","OK"))))))))))))))))))</f>
        <v/>
      </c>
      <c r="AC1095">
        <f>IF(OR(AB1095="OK",AB1095="Aucune pièce déclarée",AB1095="Cadence dépassée : vérifiez la cadence"),1,0)</f>
        <v>0.0</v>
      </c>
      <c r="AD1095">
        <f>IF(AND(AC1095=1,A1095&gt;=p_from,A1095&lt;=p_to),1,0)</f>
        <v>0.0</v>
      </c>
      <c r="AE1095">
        <f>IF(AD1095=1,IF(COUNTIFS($A$6:A1095,A1095,$AD$6:AD1095,1)=1,1,0),0)</f>
        <v>0.0</v>
      </c>
      <c r="AF1095" t="str">
        <f>IF(AE1095=1,COUNTIFS(sj_first,1,sj_date,"&lt;"&amp;A1095)+1,"")</f>
        <v/>
      </c>
      <c r="AG1095" t="str">
        <f>IF(AND(AD1095=1,N(W1095)&lt;p_alert),ROUND(W1095,4),"")</f>
        <v/>
      </c>
      <c r="AH1095" t="str">
        <f>IF(AG1095="","",COUNTIF(sj_akey,"&lt;"&amp;AG1095)+COUNTIF($AG$6:AG1095,AG1095))</f>
        <v/>
      </c>
    </row>
    <row r="1096">
      <c r="A1096" s="51" t="n"/>
      <c r="B1096" s="52" t="n"/>
      <c r="C1096" s="52" t="n"/>
      <c r="D1096" s="53" t="n"/>
      <c r="E1096" s="53" t="n"/>
      <c r="F1096" s="54" t="n"/>
      <c r="G1096" s="54" t="n"/>
      <c r="H1096" s="54" t="n"/>
      <c r="I1096" s="54" t="n"/>
      <c r="J1096" s="53" t="n"/>
      <c r="K1096" s="55" t="str">
        <f>IF(COUNTA(A1096:I1096)=0,"",IF(F1096="",IFERROR(INDEX(eq_dur,MATCH(B1096,eq_code,0)),""),F1096))</f>
        <v/>
      </c>
      <c r="L1096" s="55" t="str">
        <f>IF(ISNUMBER(K1096),N(IFERROR(INDEX(eq_pause,MATCH(B1096,eq_code,0)),0))+SUMIFS(st_min,st_date,A1096,st_eq,B1096,st_po,C1096,st_type,"Planifié"),"")</f>
        <v/>
      </c>
      <c r="M1096" s="55" t="str">
        <f>IF(ISNUMBER(K1096),K1096-L1096,"")</f>
        <v/>
      </c>
      <c r="N1096" s="55" t="str">
        <f>IF(ISNUMBER(K1096),SUMIFS(st_min,st_date,A1096,st_eq,B1096,st_po,C1096,st_type,"Non planifié"),"")</f>
        <v/>
      </c>
      <c r="O1096" s="55" t="str">
        <f>IF(ISNUMBER(K1096),M1096-N1096,"")</f>
        <v/>
      </c>
      <c r="P1096" s="55" t="str">
        <f>IF(COUNTA(A1096:I1096)=0,"",N(G1096)+N(H1096)+N(I1096))</f>
        <v/>
      </c>
      <c r="Q1096" s="56" t="str">
        <f>IF(COUNTA(A1096:I1096)=0,"",IF(N(IFERROR(INDEX(art_rate,MATCH(E1096,art_ref,0)),0))&gt;0,N(IFERROR(INDEX(art_rate,MATCH(E1096,art_ref,0)),0)),N(IFERROR(INDEX(po_rate,MATCH(C1096,po_code,0)),0))))</f>
        <v/>
      </c>
      <c r="R1096" s="55" t="str">
        <f>IF(AC1096=1,P1096*60/Q1096,"")</f>
        <v/>
      </c>
      <c r="S1096" s="55" t="str">
        <f>IF(AC1096=1,N(G1096)*60/Q1096,"")</f>
        <v/>
      </c>
      <c r="T1096" s="57" t="str">
        <f>IF(AC1096=1,O1096/M1096,"")</f>
        <v/>
      </c>
      <c r="U1096" s="57" t="str">
        <f>IF(AC1096=1,IF(O1096&gt;0,R1096/O1096,""),"")</f>
        <v/>
      </c>
      <c r="V1096" s="57" t="str">
        <f>IF(AC1096=1,IF(P1096&gt;0,N(G1096)/P1096,""),"")</f>
        <v/>
      </c>
      <c r="W1096" s="57" t="str">
        <f>IF(AC1096=1,S1096/M1096,"")</f>
        <v/>
      </c>
      <c r="X1096" s="57" t="str">
        <f>IF(AC1096=1,S1096/K1096,"")</f>
        <v/>
      </c>
      <c r="Y1096" s="58" t="str">
        <f>IF(W1096="","",IF(W1096&gt;=p_target,"Bon",IF(W1096&gt;=p_alert,"À surveiller","Faible")))</f>
        <v/>
      </c>
      <c r="Z1096" s="58" t="str">
        <f>IF(W1096="","",IF(MIN(IF(T1096="",1,T1096),IF(U1096="",1,U1096),IF(V1096="",1,V1096))&gt;=1,"Aucune",IF(IF(T1096="",1,T1096)&lt;=MIN(IF(U1096="",1,U1096),IF(V1096="",1,V1096)),"Disponibilité",IF(IF(U1096="",1,U1096)&lt;=IF(V1096="",1,V1096),"Performance","Qualité"))))</f>
        <v/>
      </c>
      <c r="AA1096" s="59" t="str">
        <f>IF(AC1096=1,N(H1096)*N(IFERROR(INDEX(art_cost,MATCH(E1096,art_ref,0)),0)),"")</f>
        <v/>
      </c>
      <c r="AB1096" s="58" t="str">
        <f>IF(COUNTA(A1096:I1096)=0,"",IF(N(A1096)&lt;=0,"Date manquante ou invalide",IF(B1096="","Équipe manquante",IF(ISNA(MATCH(B1096,eq_code,0)),"Équipe inconnue",IF(INDEX(eq_check,MATCH(B1096,eq_code,0))&lt;&gt;"OK","Équipe à corriger dans Paramètres",IF(C1096="","Poste manquant",IF(ISNA(MATCH(C1096,po_code,0)),"Poste inconnu",IF(AND(E1096&lt;&gt;"",ISNA(MATCH(E1096,art_ref,0))),"Article inconnu",IF(IF(E1096="",FALSE,INDEX(art_check,MATCH(E1096,art_ref,0))&lt;&gt;"OK"),"Article à corriger (feuille Articles)",IF(COUNTIFS(sj_date,A1096,sj_eq,B1096,sj_po,C1096)&gt;1,"Ligne en double (même jour, équipe et poste)",IF(OR(NOT(ISNUMBER(K1096)),N(K1096)&lt;=0,N(K1096)&gt;1440),"Temps d'ouverture invalide",IF(OR(AND(G1096&lt;&gt;"",NOT(ISNUMBER(G1096))),N(G1096)&lt;0,N(G1096)&lt;&gt;INT(N(G1096)),AND(H1096&lt;&gt;"",NOT(ISNUMBER(H1096))),N(H1096)&lt;0,N(H1096)&lt;&gt;INT(N(H1096)),AND(I1096&lt;&gt;"",NOT(ISNUMBER(I1096))),N(I1096)&lt;0,N(I1096)&lt;&gt;INT(N(I1096))),"Quantité invalide",IF(Q1096&lt;=0,"Cadence manquante (poste ou article)",IF(M1096&lt;=0,"Arrêts planifiés supérieurs au temps d'ouverture",IF(O1096&lt;0,"Arrêts supérieurs au temps requis",IF(AND(P1096&gt;0,O1096=0),"Pièces déclarées sans temps de marche",IF(AND(P1096=0,O1096&gt;0),"Aucune pièce déclarée",IF(P1096*60/Q1096&gt;O1096+0.001,"Cadence dépassée : vérifiez la cadence","OK"))))))))))))))))))</f>
        <v/>
      </c>
      <c r="AC1096">
        <f>IF(OR(AB1096="OK",AB1096="Aucune pièce déclarée",AB1096="Cadence dépassée : vérifiez la cadence"),1,0)</f>
        <v>0.0</v>
      </c>
      <c r="AD1096">
        <f>IF(AND(AC1096=1,A1096&gt;=p_from,A1096&lt;=p_to),1,0)</f>
        <v>0.0</v>
      </c>
      <c r="AE1096">
        <f>IF(AD1096=1,IF(COUNTIFS($A$6:A1096,A1096,$AD$6:AD1096,1)=1,1,0),0)</f>
        <v>0.0</v>
      </c>
      <c r="AF1096" t="str">
        <f>IF(AE1096=1,COUNTIFS(sj_first,1,sj_date,"&lt;"&amp;A1096)+1,"")</f>
        <v/>
      </c>
      <c r="AG1096" t="str">
        <f>IF(AND(AD1096=1,N(W1096)&lt;p_alert),ROUND(W1096,4),"")</f>
        <v/>
      </c>
      <c r="AH1096" t="str">
        <f>IF(AG1096="","",COUNTIF(sj_akey,"&lt;"&amp;AG1096)+COUNTIF($AG$6:AG1096,AG1096))</f>
        <v/>
      </c>
    </row>
    <row r="1097">
      <c r="A1097" s="51" t="n"/>
      <c r="B1097" s="52" t="n"/>
      <c r="C1097" s="52" t="n"/>
      <c r="D1097" s="53" t="n"/>
      <c r="E1097" s="53" t="n"/>
      <c r="F1097" s="54" t="n"/>
      <c r="G1097" s="54" t="n"/>
      <c r="H1097" s="54" t="n"/>
      <c r="I1097" s="54" t="n"/>
      <c r="J1097" s="53" t="n"/>
      <c r="K1097" s="55" t="str">
        <f>IF(COUNTA(A1097:I1097)=0,"",IF(F1097="",IFERROR(INDEX(eq_dur,MATCH(B1097,eq_code,0)),""),F1097))</f>
        <v/>
      </c>
      <c r="L1097" s="55" t="str">
        <f>IF(ISNUMBER(K1097),N(IFERROR(INDEX(eq_pause,MATCH(B1097,eq_code,0)),0))+SUMIFS(st_min,st_date,A1097,st_eq,B1097,st_po,C1097,st_type,"Planifié"),"")</f>
        <v/>
      </c>
      <c r="M1097" s="55" t="str">
        <f>IF(ISNUMBER(K1097),K1097-L1097,"")</f>
        <v/>
      </c>
      <c r="N1097" s="55" t="str">
        <f>IF(ISNUMBER(K1097),SUMIFS(st_min,st_date,A1097,st_eq,B1097,st_po,C1097,st_type,"Non planifié"),"")</f>
        <v/>
      </c>
      <c r="O1097" s="55" t="str">
        <f>IF(ISNUMBER(K1097),M1097-N1097,"")</f>
        <v/>
      </c>
      <c r="P1097" s="55" t="str">
        <f>IF(COUNTA(A1097:I1097)=0,"",N(G1097)+N(H1097)+N(I1097))</f>
        <v/>
      </c>
      <c r="Q1097" s="56" t="str">
        <f>IF(COUNTA(A1097:I1097)=0,"",IF(N(IFERROR(INDEX(art_rate,MATCH(E1097,art_ref,0)),0))&gt;0,N(IFERROR(INDEX(art_rate,MATCH(E1097,art_ref,0)),0)),N(IFERROR(INDEX(po_rate,MATCH(C1097,po_code,0)),0))))</f>
        <v/>
      </c>
      <c r="R1097" s="55" t="str">
        <f>IF(AC1097=1,P1097*60/Q1097,"")</f>
        <v/>
      </c>
      <c r="S1097" s="55" t="str">
        <f>IF(AC1097=1,N(G1097)*60/Q1097,"")</f>
        <v/>
      </c>
      <c r="T1097" s="57" t="str">
        <f>IF(AC1097=1,O1097/M1097,"")</f>
        <v/>
      </c>
      <c r="U1097" s="57" t="str">
        <f>IF(AC1097=1,IF(O1097&gt;0,R1097/O1097,""),"")</f>
        <v/>
      </c>
      <c r="V1097" s="57" t="str">
        <f>IF(AC1097=1,IF(P1097&gt;0,N(G1097)/P1097,""),"")</f>
        <v/>
      </c>
      <c r="W1097" s="57" t="str">
        <f>IF(AC1097=1,S1097/M1097,"")</f>
        <v/>
      </c>
      <c r="X1097" s="57" t="str">
        <f>IF(AC1097=1,S1097/K1097,"")</f>
        <v/>
      </c>
      <c r="Y1097" s="58" t="str">
        <f>IF(W1097="","",IF(W1097&gt;=p_target,"Bon",IF(W1097&gt;=p_alert,"À surveiller","Faible")))</f>
        <v/>
      </c>
      <c r="Z1097" s="58" t="str">
        <f>IF(W1097="","",IF(MIN(IF(T1097="",1,T1097),IF(U1097="",1,U1097),IF(V1097="",1,V1097))&gt;=1,"Aucune",IF(IF(T1097="",1,T1097)&lt;=MIN(IF(U1097="",1,U1097),IF(V1097="",1,V1097)),"Disponibilité",IF(IF(U1097="",1,U1097)&lt;=IF(V1097="",1,V1097),"Performance","Qualité"))))</f>
        <v/>
      </c>
      <c r="AA1097" s="59" t="str">
        <f>IF(AC1097=1,N(H1097)*N(IFERROR(INDEX(art_cost,MATCH(E1097,art_ref,0)),0)),"")</f>
        <v/>
      </c>
      <c r="AB1097" s="58" t="str">
        <f>IF(COUNTA(A1097:I1097)=0,"",IF(N(A1097)&lt;=0,"Date manquante ou invalide",IF(B1097="","Équipe manquante",IF(ISNA(MATCH(B1097,eq_code,0)),"Équipe inconnue",IF(INDEX(eq_check,MATCH(B1097,eq_code,0))&lt;&gt;"OK","Équipe à corriger dans Paramètres",IF(C1097="","Poste manquant",IF(ISNA(MATCH(C1097,po_code,0)),"Poste inconnu",IF(AND(E1097&lt;&gt;"",ISNA(MATCH(E1097,art_ref,0))),"Article inconnu",IF(IF(E1097="",FALSE,INDEX(art_check,MATCH(E1097,art_ref,0))&lt;&gt;"OK"),"Article à corriger (feuille Articles)",IF(COUNTIFS(sj_date,A1097,sj_eq,B1097,sj_po,C1097)&gt;1,"Ligne en double (même jour, équipe et poste)",IF(OR(NOT(ISNUMBER(K1097)),N(K1097)&lt;=0,N(K1097)&gt;1440),"Temps d'ouverture invalide",IF(OR(AND(G1097&lt;&gt;"",NOT(ISNUMBER(G1097))),N(G1097)&lt;0,N(G1097)&lt;&gt;INT(N(G1097)),AND(H1097&lt;&gt;"",NOT(ISNUMBER(H1097))),N(H1097)&lt;0,N(H1097)&lt;&gt;INT(N(H1097)),AND(I1097&lt;&gt;"",NOT(ISNUMBER(I1097))),N(I1097)&lt;0,N(I1097)&lt;&gt;INT(N(I1097))),"Quantité invalide",IF(Q1097&lt;=0,"Cadence manquante (poste ou article)",IF(M1097&lt;=0,"Arrêts planifiés supérieurs au temps d'ouverture",IF(O1097&lt;0,"Arrêts supérieurs au temps requis",IF(AND(P1097&gt;0,O1097=0),"Pièces déclarées sans temps de marche",IF(AND(P1097=0,O1097&gt;0),"Aucune pièce déclarée",IF(P1097*60/Q1097&gt;O1097+0.001,"Cadence dépassée : vérifiez la cadence","OK"))))))))))))))))))</f>
        <v/>
      </c>
      <c r="AC1097">
        <f>IF(OR(AB1097="OK",AB1097="Aucune pièce déclarée",AB1097="Cadence dépassée : vérifiez la cadence"),1,0)</f>
        <v>0.0</v>
      </c>
      <c r="AD1097">
        <f>IF(AND(AC1097=1,A1097&gt;=p_from,A1097&lt;=p_to),1,0)</f>
        <v>0.0</v>
      </c>
      <c r="AE1097">
        <f>IF(AD1097=1,IF(COUNTIFS($A$6:A1097,A1097,$AD$6:AD1097,1)=1,1,0),0)</f>
        <v>0.0</v>
      </c>
      <c r="AF1097" t="str">
        <f>IF(AE1097=1,COUNTIFS(sj_first,1,sj_date,"&lt;"&amp;A1097)+1,"")</f>
        <v/>
      </c>
      <c r="AG1097" t="str">
        <f>IF(AND(AD1097=1,N(W1097)&lt;p_alert),ROUND(W1097,4),"")</f>
        <v/>
      </c>
      <c r="AH1097" t="str">
        <f>IF(AG1097="","",COUNTIF(sj_akey,"&lt;"&amp;AG1097)+COUNTIF($AG$6:AG1097,AG1097))</f>
        <v/>
      </c>
    </row>
    <row r="1098">
      <c r="A1098" s="51" t="n"/>
      <c r="B1098" s="52" t="n"/>
      <c r="C1098" s="52" t="n"/>
      <c r="D1098" s="53" t="n"/>
      <c r="E1098" s="53" t="n"/>
      <c r="F1098" s="54" t="n"/>
      <c r="G1098" s="54" t="n"/>
      <c r="H1098" s="54" t="n"/>
      <c r="I1098" s="54" t="n"/>
      <c r="J1098" s="53" t="n"/>
      <c r="K1098" s="55" t="str">
        <f>IF(COUNTA(A1098:I1098)=0,"",IF(F1098="",IFERROR(INDEX(eq_dur,MATCH(B1098,eq_code,0)),""),F1098))</f>
        <v/>
      </c>
      <c r="L1098" s="55" t="str">
        <f>IF(ISNUMBER(K1098),N(IFERROR(INDEX(eq_pause,MATCH(B1098,eq_code,0)),0))+SUMIFS(st_min,st_date,A1098,st_eq,B1098,st_po,C1098,st_type,"Planifié"),"")</f>
        <v/>
      </c>
      <c r="M1098" s="55" t="str">
        <f>IF(ISNUMBER(K1098),K1098-L1098,"")</f>
        <v/>
      </c>
      <c r="N1098" s="55" t="str">
        <f>IF(ISNUMBER(K1098),SUMIFS(st_min,st_date,A1098,st_eq,B1098,st_po,C1098,st_type,"Non planifié"),"")</f>
        <v/>
      </c>
      <c r="O1098" s="55" t="str">
        <f>IF(ISNUMBER(K1098),M1098-N1098,"")</f>
        <v/>
      </c>
      <c r="P1098" s="55" t="str">
        <f>IF(COUNTA(A1098:I1098)=0,"",N(G1098)+N(H1098)+N(I1098))</f>
        <v/>
      </c>
      <c r="Q1098" s="56" t="str">
        <f>IF(COUNTA(A1098:I1098)=0,"",IF(N(IFERROR(INDEX(art_rate,MATCH(E1098,art_ref,0)),0))&gt;0,N(IFERROR(INDEX(art_rate,MATCH(E1098,art_ref,0)),0)),N(IFERROR(INDEX(po_rate,MATCH(C1098,po_code,0)),0))))</f>
        <v/>
      </c>
      <c r="R1098" s="55" t="str">
        <f>IF(AC1098=1,P1098*60/Q1098,"")</f>
        <v/>
      </c>
      <c r="S1098" s="55" t="str">
        <f>IF(AC1098=1,N(G1098)*60/Q1098,"")</f>
        <v/>
      </c>
      <c r="T1098" s="57" t="str">
        <f>IF(AC1098=1,O1098/M1098,"")</f>
        <v/>
      </c>
      <c r="U1098" s="57" t="str">
        <f>IF(AC1098=1,IF(O1098&gt;0,R1098/O1098,""),"")</f>
        <v/>
      </c>
      <c r="V1098" s="57" t="str">
        <f>IF(AC1098=1,IF(P1098&gt;0,N(G1098)/P1098,""),"")</f>
        <v/>
      </c>
      <c r="W1098" s="57" t="str">
        <f>IF(AC1098=1,S1098/M1098,"")</f>
        <v/>
      </c>
      <c r="X1098" s="57" t="str">
        <f>IF(AC1098=1,S1098/K1098,"")</f>
        <v/>
      </c>
      <c r="Y1098" s="58" t="str">
        <f>IF(W1098="","",IF(W1098&gt;=p_target,"Bon",IF(W1098&gt;=p_alert,"À surveiller","Faible")))</f>
        <v/>
      </c>
      <c r="Z1098" s="58" t="str">
        <f>IF(W1098="","",IF(MIN(IF(T1098="",1,T1098),IF(U1098="",1,U1098),IF(V1098="",1,V1098))&gt;=1,"Aucune",IF(IF(T1098="",1,T1098)&lt;=MIN(IF(U1098="",1,U1098),IF(V1098="",1,V1098)),"Disponibilité",IF(IF(U1098="",1,U1098)&lt;=IF(V1098="",1,V1098),"Performance","Qualité"))))</f>
        <v/>
      </c>
      <c r="AA1098" s="59" t="str">
        <f>IF(AC1098=1,N(H1098)*N(IFERROR(INDEX(art_cost,MATCH(E1098,art_ref,0)),0)),"")</f>
        <v/>
      </c>
      <c r="AB1098" s="58" t="str">
        <f>IF(COUNTA(A1098:I1098)=0,"",IF(N(A1098)&lt;=0,"Date manquante ou invalide",IF(B1098="","Équipe manquante",IF(ISNA(MATCH(B1098,eq_code,0)),"Équipe inconnue",IF(INDEX(eq_check,MATCH(B1098,eq_code,0))&lt;&gt;"OK","Équipe à corriger dans Paramètres",IF(C1098="","Poste manquant",IF(ISNA(MATCH(C1098,po_code,0)),"Poste inconnu",IF(AND(E1098&lt;&gt;"",ISNA(MATCH(E1098,art_ref,0))),"Article inconnu",IF(IF(E1098="",FALSE,INDEX(art_check,MATCH(E1098,art_ref,0))&lt;&gt;"OK"),"Article à corriger (feuille Articles)",IF(COUNTIFS(sj_date,A1098,sj_eq,B1098,sj_po,C1098)&gt;1,"Ligne en double (même jour, équipe et poste)",IF(OR(NOT(ISNUMBER(K1098)),N(K1098)&lt;=0,N(K1098)&gt;1440),"Temps d'ouverture invalide",IF(OR(AND(G1098&lt;&gt;"",NOT(ISNUMBER(G1098))),N(G1098)&lt;0,N(G1098)&lt;&gt;INT(N(G1098)),AND(H1098&lt;&gt;"",NOT(ISNUMBER(H1098))),N(H1098)&lt;0,N(H1098)&lt;&gt;INT(N(H1098)),AND(I1098&lt;&gt;"",NOT(ISNUMBER(I1098))),N(I1098)&lt;0,N(I1098)&lt;&gt;INT(N(I1098))),"Quantité invalide",IF(Q1098&lt;=0,"Cadence manquante (poste ou article)",IF(M1098&lt;=0,"Arrêts planifiés supérieurs au temps d'ouverture",IF(O1098&lt;0,"Arrêts supérieurs au temps requis",IF(AND(P1098&gt;0,O1098=0),"Pièces déclarées sans temps de marche",IF(AND(P1098=0,O1098&gt;0),"Aucune pièce déclarée",IF(P1098*60/Q1098&gt;O1098+0.001,"Cadence dépassée : vérifiez la cadence","OK"))))))))))))))))))</f>
        <v/>
      </c>
      <c r="AC1098">
        <f>IF(OR(AB1098="OK",AB1098="Aucune pièce déclarée",AB1098="Cadence dépassée : vérifiez la cadence"),1,0)</f>
        <v>0.0</v>
      </c>
      <c r="AD1098">
        <f>IF(AND(AC1098=1,A1098&gt;=p_from,A1098&lt;=p_to),1,0)</f>
        <v>0.0</v>
      </c>
      <c r="AE1098">
        <f>IF(AD1098=1,IF(COUNTIFS($A$6:A1098,A1098,$AD$6:AD1098,1)=1,1,0),0)</f>
        <v>0.0</v>
      </c>
      <c r="AF1098" t="str">
        <f>IF(AE1098=1,COUNTIFS(sj_first,1,sj_date,"&lt;"&amp;A1098)+1,"")</f>
        <v/>
      </c>
      <c r="AG1098" t="str">
        <f>IF(AND(AD1098=1,N(W1098)&lt;p_alert),ROUND(W1098,4),"")</f>
        <v/>
      </c>
      <c r="AH1098" t="str">
        <f>IF(AG1098="","",COUNTIF(sj_akey,"&lt;"&amp;AG1098)+COUNTIF($AG$6:AG1098,AG1098))</f>
        <v/>
      </c>
    </row>
    <row r="1099">
      <c r="A1099" s="51" t="n"/>
      <c r="B1099" s="52" t="n"/>
      <c r="C1099" s="52" t="n"/>
      <c r="D1099" s="53" t="n"/>
      <c r="E1099" s="53" t="n"/>
      <c r="F1099" s="54" t="n"/>
      <c r="G1099" s="54" t="n"/>
      <c r="H1099" s="54" t="n"/>
      <c r="I1099" s="54" t="n"/>
      <c r="J1099" s="53" t="n"/>
      <c r="K1099" s="55" t="str">
        <f>IF(COUNTA(A1099:I1099)=0,"",IF(F1099="",IFERROR(INDEX(eq_dur,MATCH(B1099,eq_code,0)),""),F1099))</f>
        <v/>
      </c>
      <c r="L1099" s="55" t="str">
        <f>IF(ISNUMBER(K1099),N(IFERROR(INDEX(eq_pause,MATCH(B1099,eq_code,0)),0))+SUMIFS(st_min,st_date,A1099,st_eq,B1099,st_po,C1099,st_type,"Planifié"),"")</f>
        <v/>
      </c>
      <c r="M1099" s="55" t="str">
        <f>IF(ISNUMBER(K1099),K1099-L1099,"")</f>
        <v/>
      </c>
      <c r="N1099" s="55" t="str">
        <f>IF(ISNUMBER(K1099),SUMIFS(st_min,st_date,A1099,st_eq,B1099,st_po,C1099,st_type,"Non planifié"),"")</f>
        <v/>
      </c>
      <c r="O1099" s="55" t="str">
        <f>IF(ISNUMBER(K1099),M1099-N1099,"")</f>
        <v/>
      </c>
      <c r="P1099" s="55" t="str">
        <f>IF(COUNTA(A1099:I1099)=0,"",N(G1099)+N(H1099)+N(I1099))</f>
        <v/>
      </c>
      <c r="Q1099" s="56" t="str">
        <f>IF(COUNTA(A1099:I1099)=0,"",IF(N(IFERROR(INDEX(art_rate,MATCH(E1099,art_ref,0)),0))&gt;0,N(IFERROR(INDEX(art_rate,MATCH(E1099,art_ref,0)),0)),N(IFERROR(INDEX(po_rate,MATCH(C1099,po_code,0)),0))))</f>
        <v/>
      </c>
      <c r="R1099" s="55" t="str">
        <f>IF(AC1099=1,P1099*60/Q1099,"")</f>
        <v/>
      </c>
      <c r="S1099" s="55" t="str">
        <f>IF(AC1099=1,N(G1099)*60/Q1099,"")</f>
        <v/>
      </c>
      <c r="T1099" s="57" t="str">
        <f>IF(AC1099=1,O1099/M1099,"")</f>
        <v/>
      </c>
      <c r="U1099" s="57" t="str">
        <f>IF(AC1099=1,IF(O1099&gt;0,R1099/O1099,""),"")</f>
        <v/>
      </c>
      <c r="V1099" s="57" t="str">
        <f>IF(AC1099=1,IF(P1099&gt;0,N(G1099)/P1099,""),"")</f>
        <v/>
      </c>
      <c r="W1099" s="57" t="str">
        <f>IF(AC1099=1,S1099/M1099,"")</f>
        <v/>
      </c>
      <c r="X1099" s="57" t="str">
        <f>IF(AC1099=1,S1099/K1099,"")</f>
        <v/>
      </c>
      <c r="Y1099" s="58" t="str">
        <f>IF(W1099="","",IF(W1099&gt;=p_target,"Bon",IF(W1099&gt;=p_alert,"À surveiller","Faible")))</f>
        <v/>
      </c>
      <c r="Z1099" s="58" t="str">
        <f>IF(W1099="","",IF(MIN(IF(T1099="",1,T1099),IF(U1099="",1,U1099),IF(V1099="",1,V1099))&gt;=1,"Aucune",IF(IF(T1099="",1,T1099)&lt;=MIN(IF(U1099="",1,U1099),IF(V1099="",1,V1099)),"Disponibilité",IF(IF(U1099="",1,U1099)&lt;=IF(V1099="",1,V1099),"Performance","Qualité"))))</f>
        <v/>
      </c>
      <c r="AA1099" s="59" t="str">
        <f>IF(AC1099=1,N(H1099)*N(IFERROR(INDEX(art_cost,MATCH(E1099,art_ref,0)),0)),"")</f>
        <v/>
      </c>
      <c r="AB1099" s="58" t="str">
        <f>IF(COUNTA(A1099:I1099)=0,"",IF(N(A1099)&lt;=0,"Date manquante ou invalide",IF(B1099="","Équipe manquante",IF(ISNA(MATCH(B1099,eq_code,0)),"Équipe inconnue",IF(INDEX(eq_check,MATCH(B1099,eq_code,0))&lt;&gt;"OK","Équipe à corriger dans Paramètres",IF(C1099="","Poste manquant",IF(ISNA(MATCH(C1099,po_code,0)),"Poste inconnu",IF(AND(E1099&lt;&gt;"",ISNA(MATCH(E1099,art_ref,0))),"Article inconnu",IF(IF(E1099="",FALSE,INDEX(art_check,MATCH(E1099,art_ref,0))&lt;&gt;"OK"),"Article à corriger (feuille Articles)",IF(COUNTIFS(sj_date,A1099,sj_eq,B1099,sj_po,C1099)&gt;1,"Ligne en double (même jour, équipe et poste)",IF(OR(NOT(ISNUMBER(K1099)),N(K1099)&lt;=0,N(K1099)&gt;1440),"Temps d'ouverture invalide",IF(OR(AND(G1099&lt;&gt;"",NOT(ISNUMBER(G1099))),N(G1099)&lt;0,N(G1099)&lt;&gt;INT(N(G1099)),AND(H1099&lt;&gt;"",NOT(ISNUMBER(H1099))),N(H1099)&lt;0,N(H1099)&lt;&gt;INT(N(H1099)),AND(I1099&lt;&gt;"",NOT(ISNUMBER(I1099))),N(I1099)&lt;0,N(I1099)&lt;&gt;INT(N(I1099))),"Quantité invalide",IF(Q1099&lt;=0,"Cadence manquante (poste ou article)",IF(M1099&lt;=0,"Arrêts planifiés supérieurs au temps d'ouverture",IF(O1099&lt;0,"Arrêts supérieurs au temps requis",IF(AND(P1099&gt;0,O1099=0),"Pièces déclarées sans temps de marche",IF(AND(P1099=0,O1099&gt;0),"Aucune pièce déclarée",IF(P1099*60/Q1099&gt;O1099+0.001,"Cadence dépassée : vérifiez la cadence","OK"))))))))))))))))))</f>
        <v/>
      </c>
      <c r="AC1099">
        <f>IF(OR(AB1099="OK",AB1099="Aucune pièce déclarée",AB1099="Cadence dépassée : vérifiez la cadence"),1,0)</f>
        <v>0.0</v>
      </c>
      <c r="AD1099">
        <f>IF(AND(AC1099=1,A1099&gt;=p_from,A1099&lt;=p_to),1,0)</f>
        <v>0.0</v>
      </c>
      <c r="AE1099">
        <f>IF(AD1099=1,IF(COUNTIFS($A$6:A1099,A1099,$AD$6:AD1099,1)=1,1,0),0)</f>
        <v>0.0</v>
      </c>
      <c r="AF1099" t="str">
        <f>IF(AE1099=1,COUNTIFS(sj_first,1,sj_date,"&lt;"&amp;A1099)+1,"")</f>
        <v/>
      </c>
      <c r="AG1099" t="str">
        <f>IF(AND(AD1099=1,N(W1099)&lt;p_alert),ROUND(W1099,4),"")</f>
        <v/>
      </c>
      <c r="AH1099" t="str">
        <f>IF(AG1099="","",COUNTIF(sj_akey,"&lt;"&amp;AG1099)+COUNTIF($AG$6:AG1099,AG1099))</f>
        <v/>
      </c>
    </row>
    <row r="1100">
      <c r="A1100" s="51" t="n"/>
      <c r="B1100" s="52" t="n"/>
      <c r="C1100" s="52" t="n"/>
      <c r="D1100" s="53" t="n"/>
      <c r="E1100" s="53" t="n"/>
      <c r="F1100" s="54" t="n"/>
      <c r="G1100" s="54" t="n"/>
      <c r="H1100" s="54" t="n"/>
      <c r="I1100" s="54" t="n"/>
      <c r="J1100" s="53" t="n"/>
      <c r="K1100" s="55" t="str">
        <f>IF(COUNTA(A1100:I1100)=0,"",IF(F1100="",IFERROR(INDEX(eq_dur,MATCH(B1100,eq_code,0)),""),F1100))</f>
        <v/>
      </c>
      <c r="L1100" s="55" t="str">
        <f>IF(ISNUMBER(K1100),N(IFERROR(INDEX(eq_pause,MATCH(B1100,eq_code,0)),0))+SUMIFS(st_min,st_date,A1100,st_eq,B1100,st_po,C1100,st_type,"Planifié"),"")</f>
        <v/>
      </c>
      <c r="M1100" s="55" t="str">
        <f>IF(ISNUMBER(K1100),K1100-L1100,"")</f>
        <v/>
      </c>
      <c r="N1100" s="55" t="str">
        <f>IF(ISNUMBER(K1100),SUMIFS(st_min,st_date,A1100,st_eq,B1100,st_po,C1100,st_type,"Non planifié"),"")</f>
        <v/>
      </c>
      <c r="O1100" s="55" t="str">
        <f>IF(ISNUMBER(K1100),M1100-N1100,"")</f>
        <v/>
      </c>
      <c r="P1100" s="55" t="str">
        <f>IF(COUNTA(A1100:I1100)=0,"",N(G1100)+N(H1100)+N(I1100))</f>
        <v/>
      </c>
      <c r="Q1100" s="56" t="str">
        <f>IF(COUNTA(A1100:I1100)=0,"",IF(N(IFERROR(INDEX(art_rate,MATCH(E1100,art_ref,0)),0))&gt;0,N(IFERROR(INDEX(art_rate,MATCH(E1100,art_ref,0)),0)),N(IFERROR(INDEX(po_rate,MATCH(C1100,po_code,0)),0))))</f>
        <v/>
      </c>
      <c r="R1100" s="55" t="str">
        <f>IF(AC1100=1,P1100*60/Q1100,"")</f>
        <v/>
      </c>
      <c r="S1100" s="55" t="str">
        <f>IF(AC1100=1,N(G1100)*60/Q1100,"")</f>
        <v/>
      </c>
      <c r="T1100" s="57" t="str">
        <f>IF(AC1100=1,O1100/M1100,"")</f>
        <v/>
      </c>
      <c r="U1100" s="57" t="str">
        <f>IF(AC1100=1,IF(O1100&gt;0,R1100/O1100,""),"")</f>
        <v/>
      </c>
      <c r="V1100" s="57" t="str">
        <f>IF(AC1100=1,IF(P1100&gt;0,N(G1100)/P1100,""),"")</f>
        <v/>
      </c>
      <c r="W1100" s="57" t="str">
        <f>IF(AC1100=1,S1100/M1100,"")</f>
        <v/>
      </c>
      <c r="X1100" s="57" t="str">
        <f>IF(AC1100=1,S1100/K1100,"")</f>
        <v/>
      </c>
      <c r="Y1100" s="58" t="str">
        <f>IF(W1100="","",IF(W1100&gt;=p_target,"Bon",IF(W1100&gt;=p_alert,"À surveiller","Faible")))</f>
        <v/>
      </c>
      <c r="Z1100" s="58" t="str">
        <f>IF(W1100="","",IF(MIN(IF(T1100="",1,T1100),IF(U1100="",1,U1100),IF(V1100="",1,V1100))&gt;=1,"Aucune",IF(IF(T1100="",1,T1100)&lt;=MIN(IF(U1100="",1,U1100),IF(V1100="",1,V1100)),"Disponibilité",IF(IF(U1100="",1,U1100)&lt;=IF(V1100="",1,V1100),"Performance","Qualité"))))</f>
        <v/>
      </c>
      <c r="AA1100" s="59" t="str">
        <f>IF(AC1100=1,N(H1100)*N(IFERROR(INDEX(art_cost,MATCH(E1100,art_ref,0)),0)),"")</f>
        <v/>
      </c>
      <c r="AB1100" s="58" t="str">
        <f>IF(COUNTA(A1100:I1100)=0,"",IF(N(A1100)&lt;=0,"Date manquante ou invalide",IF(B1100="","Équipe manquante",IF(ISNA(MATCH(B1100,eq_code,0)),"Équipe inconnue",IF(INDEX(eq_check,MATCH(B1100,eq_code,0))&lt;&gt;"OK","Équipe à corriger dans Paramètres",IF(C1100="","Poste manquant",IF(ISNA(MATCH(C1100,po_code,0)),"Poste inconnu",IF(AND(E1100&lt;&gt;"",ISNA(MATCH(E1100,art_ref,0))),"Article inconnu",IF(IF(E1100="",FALSE,INDEX(art_check,MATCH(E1100,art_ref,0))&lt;&gt;"OK"),"Article à corriger (feuille Articles)",IF(COUNTIFS(sj_date,A1100,sj_eq,B1100,sj_po,C1100)&gt;1,"Ligne en double (même jour, équipe et poste)",IF(OR(NOT(ISNUMBER(K1100)),N(K1100)&lt;=0,N(K1100)&gt;1440),"Temps d'ouverture invalide",IF(OR(AND(G1100&lt;&gt;"",NOT(ISNUMBER(G1100))),N(G1100)&lt;0,N(G1100)&lt;&gt;INT(N(G1100)),AND(H1100&lt;&gt;"",NOT(ISNUMBER(H1100))),N(H1100)&lt;0,N(H1100)&lt;&gt;INT(N(H1100)),AND(I1100&lt;&gt;"",NOT(ISNUMBER(I1100))),N(I1100)&lt;0,N(I1100)&lt;&gt;INT(N(I1100))),"Quantité invalide",IF(Q1100&lt;=0,"Cadence manquante (poste ou article)",IF(M1100&lt;=0,"Arrêts planifiés supérieurs au temps d'ouverture",IF(O1100&lt;0,"Arrêts supérieurs au temps requis",IF(AND(P1100&gt;0,O1100=0),"Pièces déclarées sans temps de marche",IF(AND(P1100=0,O1100&gt;0),"Aucune pièce déclarée",IF(P1100*60/Q1100&gt;O1100+0.001,"Cadence dépassée : vérifiez la cadence","OK"))))))))))))))))))</f>
        <v/>
      </c>
      <c r="AC1100">
        <f>IF(OR(AB1100="OK",AB1100="Aucune pièce déclarée",AB1100="Cadence dépassée : vérifiez la cadence"),1,0)</f>
        <v>0.0</v>
      </c>
      <c r="AD1100">
        <f>IF(AND(AC1100=1,A1100&gt;=p_from,A1100&lt;=p_to),1,0)</f>
        <v>0.0</v>
      </c>
      <c r="AE1100">
        <f>IF(AD1100=1,IF(COUNTIFS($A$6:A1100,A1100,$AD$6:AD1100,1)=1,1,0),0)</f>
        <v>0.0</v>
      </c>
      <c r="AF1100" t="str">
        <f>IF(AE1100=1,COUNTIFS(sj_first,1,sj_date,"&lt;"&amp;A1100)+1,"")</f>
        <v/>
      </c>
      <c r="AG1100" t="str">
        <f>IF(AND(AD1100=1,N(W1100)&lt;p_alert),ROUND(W1100,4),"")</f>
        <v/>
      </c>
      <c r="AH1100" t="str">
        <f>IF(AG1100="","",COUNTIF(sj_akey,"&lt;"&amp;AG1100)+COUNTIF($AG$6:AG1100,AG1100))</f>
        <v/>
      </c>
    </row>
    <row r="1101">
      <c r="A1101" s="51" t="n"/>
      <c r="B1101" s="52" t="n"/>
      <c r="C1101" s="52" t="n"/>
      <c r="D1101" s="53" t="n"/>
      <c r="E1101" s="53" t="n"/>
      <c r="F1101" s="54" t="n"/>
      <c r="G1101" s="54" t="n"/>
      <c r="H1101" s="54" t="n"/>
      <c r="I1101" s="54" t="n"/>
      <c r="J1101" s="53" t="n"/>
      <c r="K1101" s="55" t="str">
        <f>IF(COUNTA(A1101:I1101)=0,"",IF(F1101="",IFERROR(INDEX(eq_dur,MATCH(B1101,eq_code,0)),""),F1101))</f>
        <v/>
      </c>
      <c r="L1101" s="55" t="str">
        <f>IF(ISNUMBER(K1101),N(IFERROR(INDEX(eq_pause,MATCH(B1101,eq_code,0)),0))+SUMIFS(st_min,st_date,A1101,st_eq,B1101,st_po,C1101,st_type,"Planifié"),"")</f>
        <v/>
      </c>
      <c r="M1101" s="55" t="str">
        <f>IF(ISNUMBER(K1101),K1101-L1101,"")</f>
        <v/>
      </c>
      <c r="N1101" s="55" t="str">
        <f>IF(ISNUMBER(K1101),SUMIFS(st_min,st_date,A1101,st_eq,B1101,st_po,C1101,st_type,"Non planifié"),"")</f>
        <v/>
      </c>
      <c r="O1101" s="55" t="str">
        <f>IF(ISNUMBER(K1101),M1101-N1101,"")</f>
        <v/>
      </c>
      <c r="P1101" s="55" t="str">
        <f>IF(COUNTA(A1101:I1101)=0,"",N(G1101)+N(H1101)+N(I1101))</f>
        <v/>
      </c>
      <c r="Q1101" s="56" t="str">
        <f>IF(COUNTA(A1101:I1101)=0,"",IF(N(IFERROR(INDEX(art_rate,MATCH(E1101,art_ref,0)),0))&gt;0,N(IFERROR(INDEX(art_rate,MATCH(E1101,art_ref,0)),0)),N(IFERROR(INDEX(po_rate,MATCH(C1101,po_code,0)),0))))</f>
        <v/>
      </c>
      <c r="R1101" s="55" t="str">
        <f>IF(AC1101=1,P1101*60/Q1101,"")</f>
        <v/>
      </c>
      <c r="S1101" s="55" t="str">
        <f>IF(AC1101=1,N(G1101)*60/Q1101,"")</f>
        <v/>
      </c>
      <c r="T1101" s="57" t="str">
        <f>IF(AC1101=1,O1101/M1101,"")</f>
        <v/>
      </c>
      <c r="U1101" s="57" t="str">
        <f>IF(AC1101=1,IF(O1101&gt;0,R1101/O1101,""),"")</f>
        <v/>
      </c>
      <c r="V1101" s="57" t="str">
        <f>IF(AC1101=1,IF(P1101&gt;0,N(G1101)/P1101,""),"")</f>
        <v/>
      </c>
      <c r="W1101" s="57" t="str">
        <f>IF(AC1101=1,S1101/M1101,"")</f>
        <v/>
      </c>
      <c r="X1101" s="57" t="str">
        <f>IF(AC1101=1,S1101/K1101,"")</f>
        <v/>
      </c>
      <c r="Y1101" s="58" t="str">
        <f>IF(W1101="","",IF(W1101&gt;=p_target,"Bon",IF(W1101&gt;=p_alert,"À surveiller","Faible")))</f>
        <v/>
      </c>
      <c r="Z1101" s="58" t="str">
        <f>IF(W1101="","",IF(MIN(IF(T1101="",1,T1101),IF(U1101="",1,U1101),IF(V1101="",1,V1101))&gt;=1,"Aucune",IF(IF(T1101="",1,T1101)&lt;=MIN(IF(U1101="",1,U1101),IF(V1101="",1,V1101)),"Disponibilité",IF(IF(U1101="",1,U1101)&lt;=IF(V1101="",1,V1101),"Performance","Qualité"))))</f>
        <v/>
      </c>
      <c r="AA1101" s="59" t="str">
        <f>IF(AC1101=1,N(H1101)*N(IFERROR(INDEX(art_cost,MATCH(E1101,art_ref,0)),0)),"")</f>
        <v/>
      </c>
      <c r="AB1101" s="58" t="str">
        <f>IF(COUNTA(A1101:I1101)=0,"",IF(N(A1101)&lt;=0,"Date manquante ou invalide",IF(B1101="","Équipe manquante",IF(ISNA(MATCH(B1101,eq_code,0)),"Équipe inconnue",IF(INDEX(eq_check,MATCH(B1101,eq_code,0))&lt;&gt;"OK","Équipe à corriger dans Paramètres",IF(C1101="","Poste manquant",IF(ISNA(MATCH(C1101,po_code,0)),"Poste inconnu",IF(AND(E1101&lt;&gt;"",ISNA(MATCH(E1101,art_ref,0))),"Article inconnu",IF(IF(E1101="",FALSE,INDEX(art_check,MATCH(E1101,art_ref,0))&lt;&gt;"OK"),"Article à corriger (feuille Articles)",IF(COUNTIFS(sj_date,A1101,sj_eq,B1101,sj_po,C1101)&gt;1,"Ligne en double (même jour, équipe et poste)",IF(OR(NOT(ISNUMBER(K1101)),N(K1101)&lt;=0,N(K1101)&gt;1440),"Temps d'ouverture invalide",IF(OR(AND(G1101&lt;&gt;"",NOT(ISNUMBER(G1101))),N(G1101)&lt;0,N(G1101)&lt;&gt;INT(N(G1101)),AND(H1101&lt;&gt;"",NOT(ISNUMBER(H1101))),N(H1101)&lt;0,N(H1101)&lt;&gt;INT(N(H1101)),AND(I1101&lt;&gt;"",NOT(ISNUMBER(I1101))),N(I1101)&lt;0,N(I1101)&lt;&gt;INT(N(I1101))),"Quantité invalide",IF(Q1101&lt;=0,"Cadence manquante (poste ou article)",IF(M1101&lt;=0,"Arrêts planifiés supérieurs au temps d'ouverture",IF(O1101&lt;0,"Arrêts supérieurs au temps requis",IF(AND(P1101&gt;0,O1101=0),"Pièces déclarées sans temps de marche",IF(AND(P1101=0,O1101&gt;0),"Aucune pièce déclarée",IF(P1101*60/Q1101&gt;O1101+0.001,"Cadence dépassée : vérifiez la cadence","OK"))))))))))))))))))</f>
        <v/>
      </c>
      <c r="AC1101">
        <f>IF(OR(AB1101="OK",AB1101="Aucune pièce déclarée",AB1101="Cadence dépassée : vérifiez la cadence"),1,0)</f>
        <v>0.0</v>
      </c>
      <c r="AD1101">
        <f>IF(AND(AC1101=1,A1101&gt;=p_from,A1101&lt;=p_to),1,0)</f>
        <v>0.0</v>
      </c>
      <c r="AE1101">
        <f>IF(AD1101=1,IF(COUNTIFS($A$6:A1101,A1101,$AD$6:AD1101,1)=1,1,0),0)</f>
        <v>0.0</v>
      </c>
      <c r="AF1101" t="str">
        <f>IF(AE1101=1,COUNTIFS(sj_first,1,sj_date,"&lt;"&amp;A1101)+1,"")</f>
        <v/>
      </c>
      <c r="AG1101" t="str">
        <f>IF(AND(AD1101=1,N(W1101)&lt;p_alert),ROUND(W1101,4),"")</f>
        <v/>
      </c>
      <c r="AH1101" t="str">
        <f>IF(AG1101="","",COUNTIF(sj_akey,"&lt;"&amp;AG1101)+COUNTIF($AG$6:AG1101,AG1101))</f>
        <v/>
      </c>
    </row>
    <row r="1102">
      <c r="A1102" s="51" t="n"/>
      <c r="B1102" s="52" t="n"/>
      <c r="C1102" s="52" t="n"/>
      <c r="D1102" s="53" t="n"/>
      <c r="E1102" s="53" t="n"/>
      <c r="F1102" s="54" t="n"/>
      <c r="G1102" s="54" t="n"/>
      <c r="H1102" s="54" t="n"/>
      <c r="I1102" s="54" t="n"/>
      <c r="J1102" s="53" t="n"/>
      <c r="K1102" s="55" t="str">
        <f>IF(COUNTA(A1102:I1102)=0,"",IF(F1102="",IFERROR(INDEX(eq_dur,MATCH(B1102,eq_code,0)),""),F1102))</f>
        <v/>
      </c>
      <c r="L1102" s="55" t="str">
        <f>IF(ISNUMBER(K1102),N(IFERROR(INDEX(eq_pause,MATCH(B1102,eq_code,0)),0))+SUMIFS(st_min,st_date,A1102,st_eq,B1102,st_po,C1102,st_type,"Planifié"),"")</f>
        <v/>
      </c>
      <c r="M1102" s="55" t="str">
        <f>IF(ISNUMBER(K1102),K1102-L1102,"")</f>
        <v/>
      </c>
      <c r="N1102" s="55" t="str">
        <f>IF(ISNUMBER(K1102),SUMIFS(st_min,st_date,A1102,st_eq,B1102,st_po,C1102,st_type,"Non planifié"),"")</f>
        <v/>
      </c>
      <c r="O1102" s="55" t="str">
        <f>IF(ISNUMBER(K1102),M1102-N1102,"")</f>
        <v/>
      </c>
      <c r="P1102" s="55" t="str">
        <f>IF(COUNTA(A1102:I1102)=0,"",N(G1102)+N(H1102)+N(I1102))</f>
        <v/>
      </c>
      <c r="Q1102" s="56" t="str">
        <f>IF(COUNTA(A1102:I1102)=0,"",IF(N(IFERROR(INDEX(art_rate,MATCH(E1102,art_ref,0)),0))&gt;0,N(IFERROR(INDEX(art_rate,MATCH(E1102,art_ref,0)),0)),N(IFERROR(INDEX(po_rate,MATCH(C1102,po_code,0)),0))))</f>
        <v/>
      </c>
      <c r="R1102" s="55" t="str">
        <f>IF(AC1102=1,P1102*60/Q1102,"")</f>
        <v/>
      </c>
      <c r="S1102" s="55" t="str">
        <f>IF(AC1102=1,N(G1102)*60/Q1102,"")</f>
        <v/>
      </c>
      <c r="T1102" s="57" t="str">
        <f>IF(AC1102=1,O1102/M1102,"")</f>
        <v/>
      </c>
      <c r="U1102" s="57" t="str">
        <f>IF(AC1102=1,IF(O1102&gt;0,R1102/O1102,""),"")</f>
        <v/>
      </c>
      <c r="V1102" s="57" t="str">
        <f>IF(AC1102=1,IF(P1102&gt;0,N(G1102)/P1102,""),"")</f>
        <v/>
      </c>
      <c r="W1102" s="57" t="str">
        <f>IF(AC1102=1,S1102/M1102,"")</f>
        <v/>
      </c>
      <c r="X1102" s="57" t="str">
        <f>IF(AC1102=1,S1102/K1102,"")</f>
        <v/>
      </c>
      <c r="Y1102" s="58" t="str">
        <f>IF(W1102="","",IF(W1102&gt;=p_target,"Bon",IF(W1102&gt;=p_alert,"À surveiller","Faible")))</f>
        <v/>
      </c>
      <c r="Z1102" s="58" t="str">
        <f>IF(W1102="","",IF(MIN(IF(T1102="",1,T1102),IF(U1102="",1,U1102),IF(V1102="",1,V1102))&gt;=1,"Aucune",IF(IF(T1102="",1,T1102)&lt;=MIN(IF(U1102="",1,U1102),IF(V1102="",1,V1102)),"Disponibilité",IF(IF(U1102="",1,U1102)&lt;=IF(V1102="",1,V1102),"Performance","Qualité"))))</f>
        <v/>
      </c>
      <c r="AA1102" s="59" t="str">
        <f>IF(AC1102=1,N(H1102)*N(IFERROR(INDEX(art_cost,MATCH(E1102,art_ref,0)),0)),"")</f>
        <v/>
      </c>
      <c r="AB1102" s="58" t="str">
        <f>IF(COUNTA(A1102:I1102)=0,"",IF(N(A1102)&lt;=0,"Date manquante ou invalide",IF(B1102="","Équipe manquante",IF(ISNA(MATCH(B1102,eq_code,0)),"Équipe inconnue",IF(INDEX(eq_check,MATCH(B1102,eq_code,0))&lt;&gt;"OK","Équipe à corriger dans Paramètres",IF(C1102="","Poste manquant",IF(ISNA(MATCH(C1102,po_code,0)),"Poste inconnu",IF(AND(E1102&lt;&gt;"",ISNA(MATCH(E1102,art_ref,0))),"Article inconnu",IF(IF(E1102="",FALSE,INDEX(art_check,MATCH(E1102,art_ref,0))&lt;&gt;"OK"),"Article à corriger (feuille Articles)",IF(COUNTIFS(sj_date,A1102,sj_eq,B1102,sj_po,C1102)&gt;1,"Ligne en double (même jour, équipe et poste)",IF(OR(NOT(ISNUMBER(K1102)),N(K1102)&lt;=0,N(K1102)&gt;1440),"Temps d'ouverture invalide",IF(OR(AND(G1102&lt;&gt;"",NOT(ISNUMBER(G1102))),N(G1102)&lt;0,N(G1102)&lt;&gt;INT(N(G1102)),AND(H1102&lt;&gt;"",NOT(ISNUMBER(H1102))),N(H1102)&lt;0,N(H1102)&lt;&gt;INT(N(H1102)),AND(I1102&lt;&gt;"",NOT(ISNUMBER(I1102))),N(I1102)&lt;0,N(I1102)&lt;&gt;INT(N(I1102))),"Quantité invalide",IF(Q1102&lt;=0,"Cadence manquante (poste ou article)",IF(M1102&lt;=0,"Arrêts planifiés supérieurs au temps d'ouverture",IF(O1102&lt;0,"Arrêts supérieurs au temps requis",IF(AND(P1102&gt;0,O1102=0),"Pièces déclarées sans temps de marche",IF(AND(P1102=0,O1102&gt;0),"Aucune pièce déclarée",IF(P1102*60/Q1102&gt;O1102+0.001,"Cadence dépassée : vérifiez la cadence","OK"))))))))))))))))))</f>
        <v/>
      </c>
      <c r="AC1102">
        <f>IF(OR(AB1102="OK",AB1102="Aucune pièce déclarée",AB1102="Cadence dépassée : vérifiez la cadence"),1,0)</f>
        <v>0.0</v>
      </c>
      <c r="AD1102">
        <f>IF(AND(AC1102=1,A1102&gt;=p_from,A1102&lt;=p_to),1,0)</f>
        <v>0.0</v>
      </c>
      <c r="AE1102">
        <f>IF(AD1102=1,IF(COUNTIFS($A$6:A1102,A1102,$AD$6:AD1102,1)=1,1,0),0)</f>
        <v>0.0</v>
      </c>
      <c r="AF1102" t="str">
        <f>IF(AE1102=1,COUNTIFS(sj_first,1,sj_date,"&lt;"&amp;A1102)+1,"")</f>
        <v/>
      </c>
      <c r="AG1102" t="str">
        <f>IF(AND(AD1102=1,N(W1102)&lt;p_alert),ROUND(W1102,4),"")</f>
        <v/>
      </c>
      <c r="AH1102" t="str">
        <f>IF(AG1102="","",COUNTIF(sj_akey,"&lt;"&amp;AG1102)+COUNTIF($AG$6:AG1102,AG1102))</f>
        <v/>
      </c>
    </row>
    <row r="1103">
      <c r="A1103" s="51" t="n"/>
      <c r="B1103" s="52" t="n"/>
      <c r="C1103" s="52" t="n"/>
      <c r="D1103" s="53" t="n"/>
      <c r="E1103" s="53" t="n"/>
      <c r="F1103" s="54" t="n"/>
      <c r="G1103" s="54" t="n"/>
      <c r="H1103" s="54" t="n"/>
      <c r="I1103" s="54" t="n"/>
      <c r="J1103" s="53" t="n"/>
      <c r="K1103" s="55" t="str">
        <f>IF(COUNTA(A1103:I1103)=0,"",IF(F1103="",IFERROR(INDEX(eq_dur,MATCH(B1103,eq_code,0)),""),F1103))</f>
        <v/>
      </c>
      <c r="L1103" s="55" t="str">
        <f>IF(ISNUMBER(K1103),N(IFERROR(INDEX(eq_pause,MATCH(B1103,eq_code,0)),0))+SUMIFS(st_min,st_date,A1103,st_eq,B1103,st_po,C1103,st_type,"Planifié"),"")</f>
        <v/>
      </c>
      <c r="M1103" s="55" t="str">
        <f>IF(ISNUMBER(K1103),K1103-L1103,"")</f>
        <v/>
      </c>
      <c r="N1103" s="55" t="str">
        <f>IF(ISNUMBER(K1103),SUMIFS(st_min,st_date,A1103,st_eq,B1103,st_po,C1103,st_type,"Non planifié"),"")</f>
        <v/>
      </c>
      <c r="O1103" s="55" t="str">
        <f>IF(ISNUMBER(K1103),M1103-N1103,"")</f>
        <v/>
      </c>
      <c r="P1103" s="55" t="str">
        <f>IF(COUNTA(A1103:I1103)=0,"",N(G1103)+N(H1103)+N(I1103))</f>
        <v/>
      </c>
      <c r="Q1103" s="56" t="str">
        <f>IF(COUNTA(A1103:I1103)=0,"",IF(N(IFERROR(INDEX(art_rate,MATCH(E1103,art_ref,0)),0))&gt;0,N(IFERROR(INDEX(art_rate,MATCH(E1103,art_ref,0)),0)),N(IFERROR(INDEX(po_rate,MATCH(C1103,po_code,0)),0))))</f>
        <v/>
      </c>
      <c r="R1103" s="55" t="str">
        <f>IF(AC1103=1,P1103*60/Q1103,"")</f>
        <v/>
      </c>
      <c r="S1103" s="55" t="str">
        <f>IF(AC1103=1,N(G1103)*60/Q1103,"")</f>
        <v/>
      </c>
      <c r="T1103" s="57" t="str">
        <f>IF(AC1103=1,O1103/M1103,"")</f>
        <v/>
      </c>
      <c r="U1103" s="57" t="str">
        <f>IF(AC1103=1,IF(O1103&gt;0,R1103/O1103,""),"")</f>
        <v/>
      </c>
      <c r="V1103" s="57" t="str">
        <f>IF(AC1103=1,IF(P1103&gt;0,N(G1103)/P1103,""),"")</f>
        <v/>
      </c>
      <c r="W1103" s="57" t="str">
        <f>IF(AC1103=1,S1103/M1103,"")</f>
        <v/>
      </c>
      <c r="X1103" s="57" t="str">
        <f>IF(AC1103=1,S1103/K1103,"")</f>
        <v/>
      </c>
      <c r="Y1103" s="58" t="str">
        <f>IF(W1103="","",IF(W1103&gt;=p_target,"Bon",IF(W1103&gt;=p_alert,"À surveiller","Faible")))</f>
        <v/>
      </c>
      <c r="Z1103" s="58" t="str">
        <f>IF(W1103="","",IF(MIN(IF(T1103="",1,T1103),IF(U1103="",1,U1103),IF(V1103="",1,V1103))&gt;=1,"Aucune",IF(IF(T1103="",1,T1103)&lt;=MIN(IF(U1103="",1,U1103),IF(V1103="",1,V1103)),"Disponibilité",IF(IF(U1103="",1,U1103)&lt;=IF(V1103="",1,V1103),"Performance","Qualité"))))</f>
        <v/>
      </c>
      <c r="AA1103" s="59" t="str">
        <f>IF(AC1103=1,N(H1103)*N(IFERROR(INDEX(art_cost,MATCH(E1103,art_ref,0)),0)),"")</f>
        <v/>
      </c>
      <c r="AB1103" s="58" t="str">
        <f>IF(COUNTA(A1103:I1103)=0,"",IF(N(A1103)&lt;=0,"Date manquante ou invalide",IF(B1103="","Équipe manquante",IF(ISNA(MATCH(B1103,eq_code,0)),"Équipe inconnue",IF(INDEX(eq_check,MATCH(B1103,eq_code,0))&lt;&gt;"OK","Équipe à corriger dans Paramètres",IF(C1103="","Poste manquant",IF(ISNA(MATCH(C1103,po_code,0)),"Poste inconnu",IF(AND(E1103&lt;&gt;"",ISNA(MATCH(E1103,art_ref,0))),"Article inconnu",IF(IF(E1103="",FALSE,INDEX(art_check,MATCH(E1103,art_ref,0))&lt;&gt;"OK"),"Article à corriger (feuille Articles)",IF(COUNTIFS(sj_date,A1103,sj_eq,B1103,sj_po,C1103)&gt;1,"Ligne en double (même jour, équipe et poste)",IF(OR(NOT(ISNUMBER(K1103)),N(K1103)&lt;=0,N(K1103)&gt;1440),"Temps d'ouverture invalide",IF(OR(AND(G1103&lt;&gt;"",NOT(ISNUMBER(G1103))),N(G1103)&lt;0,N(G1103)&lt;&gt;INT(N(G1103)),AND(H1103&lt;&gt;"",NOT(ISNUMBER(H1103))),N(H1103)&lt;0,N(H1103)&lt;&gt;INT(N(H1103)),AND(I1103&lt;&gt;"",NOT(ISNUMBER(I1103))),N(I1103)&lt;0,N(I1103)&lt;&gt;INT(N(I1103))),"Quantité invalide",IF(Q1103&lt;=0,"Cadence manquante (poste ou article)",IF(M1103&lt;=0,"Arrêts planifiés supérieurs au temps d'ouverture",IF(O1103&lt;0,"Arrêts supérieurs au temps requis",IF(AND(P1103&gt;0,O1103=0),"Pièces déclarées sans temps de marche",IF(AND(P1103=0,O1103&gt;0),"Aucune pièce déclarée",IF(P1103*60/Q1103&gt;O1103+0.001,"Cadence dépassée : vérifiez la cadence","OK"))))))))))))))))))</f>
        <v/>
      </c>
      <c r="AC1103">
        <f>IF(OR(AB1103="OK",AB1103="Aucune pièce déclarée",AB1103="Cadence dépassée : vérifiez la cadence"),1,0)</f>
        <v>0.0</v>
      </c>
      <c r="AD1103">
        <f>IF(AND(AC1103=1,A1103&gt;=p_from,A1103&lt;=p_to),1,0)</f>
        <v>0.0</v>
      </c>
      <c r="AE1103">
        <f>IF(AD1103=1,IF(COUNTIFS($A$6:A1103,A1103,$AD$6:AD1103,1)=1,1,0),0)</f>
        <v>0.0</v>
      </c>
      <c r="AF1103" t="str">
        <f>IF(AE1103=1,COUNTIFS(sj_first,1,sj_date,"&lt;"&amp;A1103)+1,"")</f>
        <v/>
      </c>
      <c r="AG1103" t="str">
        <f>IF(AND(AD1103=1,N(W1103)&lt;p_alert),ROUND(W1103,4),"")</f>
        <v/>
      </c>
      <c r="AH1103" t="str">
        <f>IF(AG1103="","",COUNTIF(sj_akey,"&lt;"&amp;AG1103)+COUNTIF($AG$6:AG1103,AG1103))</f>
        <v/>
      </c>
    </row>
    <row r="1104">
      <c r="A1104" s="51" t="n"/>
      <c r="B1104" s="52" t="n"/>
      <c r="C1104" s="52" t="n"/>
      <c r="D1104" s="53" t="n"/>
      <c r="E1104" s="53" t="n"/>
      <c r="F1104" s="54" t="n"/>
      <c r="G1104" s="54" t="n"/>
      <c r="H1104" s="54" t="n"/>
      <c r="I1104" s="54" t="n"/>
      <c r="J1104" s="53" t="n"/>
      <c r="K1104" s="55" t="str">
        <f>IF(COUNTA(A1104:I1104)=0,"",IF(F1104="",IFERROR(INDEX(eq_dur,MATCH(B1104,eq_code,0)),""),F1104))</f>
        <v/>
      </c>
      <c r="L1104" s="55" t="str">
        <f>IF(ISNUMBER(K1104),N(IFERROR(INDEX(eq_pause,MATCH(B1104,eq_code,0)),0))+SUMIFS(st_min,st_date,A1104,st_eq,B1104,st_po,C1104,st_type,"Planifié"),"")</f>
        <v/>
      </c>
      <c r="M1104" s="55" t="str">
        <f>IF(ISNUMBER(K1104),K1104-L1104,"")</f>
        <v/>
      </c>
      <c r="N1104" s="55" t="str">
        <f>IF(ISNUMBER(K1104),SUMIFS(st_min,st_date,A1104,st_eq,B1104,st_po,C1104,st_type,"Non planifié"),"")</f>
        <v/>
      </c>
      <c r="O1104" s="55" t="str">
        <f>IF(ISNUMBER(K1104),M1104-N1104,"")</f>
        <v/>
      </c>
      <c r="P1104" s="55" t="str">
        <f>IF(COUNTA(A1104:I1104)=0,"",N(G1104)+N(H1104)+N(I1104))</f>
        <v/>
      </c>
      <c r="Q1104" s="56" t="str">
        <f>IF(COUNTA(A1104:I1104)=0,"",IF(N(IFERROR(INDEX(art_rate,MATCH(E1104,art_ref,0)),0))&gt;0,N(IFERROR(INDEX(art_rate,MATCH(E1104,art_ref,0)),0)),N(IFERROR(INDEX(po_rate,MATCH(C1104,po_code,0)),0))))</f>
        <v/>
      </c>
      <c r="R1104" s="55" t="str">
        <f>IF(AC1104=1,P1104*60/Q1104,"")</f>
        <v/>
      </c>
      <c r="S1104" s="55" t="str">
        <f>IF(AC1104=1,N(G1104)*60/Q1104,"")</f>
        <v/>
      </c>
      <c r="T1104" s="57" t="str">
        <f>IF(AC1104=1,O1104/M1104,"")</f>
        <v/>
      </c>
      <c r="U1104" s="57" t="str">
        <f>IF(AC1104=1,IF(O1104&gt;0,R1104/O1104,""),"")</f>
        <v/>
      </c>
      <c r="V1104" s="57" t="str">
        <f>IF(AC1104=1,IF(P1104&gt;0,N(G1104)/P1104,""),"")</f>
        <v/>
      </c>
      <c r="W1104" s="57" t="str">
        <f>IF(AC1104=1,S1104/M1104,"")</f>
        <v/>
      </c>
      <c r="X1104" s="57" t="str">
        <f>IF(AC1104=1,S1104/K1104,"")</f>
        <v/>
      </c>
      <c r="Y1104" s="58" t="str">
        <f>IF(W1104="","",IF(W1104&gt;=p_target,"Bon",IF(W1104&gt;=p_alert,"À surveiller","Faible")))</f>
        <v/>
      </c>
      <c r="Z1104" s="58" t="str">
        <f>IF(W1104="","",IF(MIN(IF(T1104="",1,T1104),IF(U1104="",1,U1104),IF(V1104="",1,V1104))&gt;=1,"Aucune",IF(IF(T1104="",1,T1104)&lt;=MIN(IF(U1104="",1,U1104),IF(V1104="",1,V1104)),"Disponibilité",IF(IF(U1104="",1,U1104)&lt;=IF(V1104="",1,V1104),"Performance","Qualité"))))</f>
        <v/>
      </c>
      <c r="AA1104" s="59" t="str">
        <f>IF(AC1104=1,N(H1104)*N(IFERROR(INDEX(art_cost,MATCH(E1104,art_ref,0)),0)),"")</f>
        <v/>
      </c>
      <c r="AB1104" s="58" t="str">
        <f>IF(COUNTA(A1104:I1104)=0,"",IF(N(A1104)&lt;=0,"Date manquante ou invalide",IF(B1104="","Équipe manquante",IF(ISNA(MATCH(B1104,eq_code,0)),"Équipe inconnue",IF(INDEX(eq_check,MATCH(B1104,eq_code,0))&lt;&gt;"OK","Équipe à corriger dans Paramètres",IF(C1104="","Poste manquant",IF(ISNA(MATCH(C1104,po_code,0)),"Poste inconnu",IF(AND(E1104&lt;&gt;"",ISNA(MATCH(E1104,art_ref,0))),"Article inconnu",IF(IF(E1104="",FALSE,INDEX(art_check,MATCH(E1104,art_ref,0))&lt;&gt;"OK"),"Article à corriger (feuille Articles)",IF(COUNTIFS(sj_date,A1104,sj_eq,B1104,sj_po,C1104)&gt;1,"Ligne en double (même jour, équipe et poste)",IF(OR(NOT(ISNUMBER(K1104)),N(K1104)&lt;=0,N(K1104)&gt;1440),"Temps d'ouverture invalide",IF(OR(AND(G1104&lt;&gt;"",NOT(ISNUMBER(G1104))),N(G1104)&lt;0,N(G1104)&lt;&gt;INT(N(G1104)),AND(H1104&lt;&gt;"",NOT(ISNUMBER(H1104))),N(H1104)&lt;0,N(H1104)&lt;&gt;INT(N(H1104)),AND(I1104&lt;&gt;"",NOT(ISNUMBER(I1104))),N(I1104)&lt;0,N(I1104)&lt;&gt;INT(N(I1104))),"Quantité invalide",IF(Q1104&lt;=0,"Cadence manquante (poste ou article)",IF(M1104&lt;=0,"Arrêts planifiés supérieurs au temps d'ouverture",IF(O1104&lt;0,"Arrêts supérieurs au temps requis",IF(AND(P1104&gt;0,O1104=0),"Pièces déclarées sans temps de marche",IF(AND(P1104=0,O1104&gt;0),"Aucune pièce déclarée",IF(P1104*60/Q1104&gt;O1104+0.001,"Cadence dépassée : vérifiez la cadence","OK"))))))))))))))))))</f>
        <v/>
      </c>
      <c r="AC1104">
        <f>IF(OR(AB1104="OK",AB1104="Aucune pièce déclarée",AB1104="Cadence dépassée : vérifiez la cadence"),1,0)</f>
        <v>0.0</v>
      </c>
      <c r="AD1104">
        <f>IF(AND(AC1104=1,A1104&gt;=p_from,A1104&lt;=p_to),1,0)</f>
        <v>0.0</v>
      </c>
      <c r="AE1104">
        <f>IF(AD1104=1,IF(COUNTIFS($A$6:A1104,A1104,$AD$6:AD1104,1)=1,1,0),0)</f>
        <v>0.0</v>
      </c>
      <c r="AF1104" t="str">
        <f>IF(AE1104=1,COUNTIFS(sj_first,1,sj_date,"&lt;"&amp;A1104)+1,"")</f>
        <v/>
      </c>
      <c r="AG1104" t="str">
        <f>IF(AND(AD1104=1,N(W1104)&lt;p_alert),ROUND(W1104,4),"")</f>
        <v/>
      </c>
      <c r="AH1104" t="str">
        <f>IF(AG1104="","",COUNTIF(sj_akey,"&lt;"&amp;AG1104)+COUNTIF($AG$6:AG1104,AG1104))</f>
        <v/>
      </c>
    </row>
    <row r="1105">
      <c r="A1105" s="51" t="n"/>
      <c r="B1105" s="52" t="n"/>
      <c r="C1105" s="52" t="n"/>
      <c r="D1105" s="53" t="n"/>
      <c r="E1105" s="53" t="n"/>
      <c r="F1105" s="54" t="n"/>
      <c r="G1105" s="54" t="n"/>
      <c r="H1105" s="54" t="n"/>
      <c r="I1105" s="54" t="n"/>
      <c r="J1105" s="53" t="n"/>
      <c r="K1105" s="55" t="str">
        <f>IF(COUNTA(A1105:I1105)=0,"",IF(F1105="",IFERROR(INDEX(eq_dur,MATCH(B1105,eq_code,0)),""),F1105))</f>
        <v/>
      </c>
      <c r="L1105" s="55" t="str">
        <f>IF(ISNUMBER(K1105),N(IFERROR(INDEX(eq_pause,MATCH(B1105,eq_code,0)),0))+SUMIFS(st_min,st_date,A1105,st_eq,B1105,st_po,C1105,st_type,"Planifié"),"")</f>
        <v/>
      </c>
      <c r="M1105" s="55" t="str">
        <f>IF(ISNUMBER(K1105),K1105-L1105,"")</f>
        <v/>
      </c>
      <c r="N1105" s="55" t="str">
        <f>IF(ISNUMBER(K1105),SUMIFS(st_min,st_date,A1105,st_eq,B1105,st_po,C1105,st_type,"Non planifié"),"")</f>
        <v/>
      </c>
      <c r="O1105" s="55" t="str">
        <f>IF(ISNUMBER(K1105),M1105-N1105,"")</f>
        <v/>
      </c>
      <c r="P1105" s="55" t="str">
        <f>IF(COUNTA(A1105:I1105)=0,"",N(G1105)+N(H1105)+N(I1105))</f>
        <v/>
      </c>
      <c r="Q1105" s="56" t="str">
        <f>IF(COUNTA(A1105:I1105)=0,"",IF(N(IFERROR(INDEX(art_rate,MATCH(E1105,art_ref,0)),0))&gt;0,N(IFERROR(INDEX(art_rate,MATCH(E1105,art_ref,0)),0)),N(IFERROR(INDEX(po_rate,MATCH(C1105,po_code,0)),0))))</f>
        <v/>
      </c>
      <c r="R1105" s="55" t="str">
        <f>IF(AC1105=1,P1105*60/Q1105,"")</f>
        <v/>
      </c>
      <c r="S1105" s="55" t="str">
        <f>IF(AC1105=1,N(G1105)*60/Q1105,"")</f>
        <v/>
      </c>
      <c r="T1105" s="57" t="str">
        <f>IF(AC1105=1,O1105/M1105,"")</f>
        <v/>
      </c>
      <c r="U1105" s="57" t="str">
        <f>IF(AC1105=1,IF(O1105&gt;0,R1105/O1105,""),"")</f>
        <v/>
      </c>
      <c r="V1105" s="57" t="str">
        <f>IF(AC1105=1,IF(P1105&gt;0,N(G1105)/P1105,""),"")</f>
        <v/>
      </c>
      <c r="W1105" s="57" t="str">
        <f>IF(AC1105=1,S1105/M1105,"")</f>
        <v/>
      </c>
      <c r="X1105" s="57" t="str">
        <f>IF(AC1105=1,S1105/K1105,"")</f>
        <v/>
      </c>
      <c r="Y1105" s="58" t="str">
        <f>IF(W1105="","",IF(W1105&gt;=p_target,"Bon",IF(W1105&gt;=p_alert,"À surveiller","Faible")))</f>
        <v/>
      </c>
      <c r="Z1105" s="58" t="str">
        <f>IF(W1105="","",IF(MIN(IF(T1105="",1,T1105),IF(U1105="",1,U1105),IF(V1105="",1,V1105))&gt;=1,"Aucune",IF(IF(T1105="",1,T1105)&lt;=MIN(IF(U1105="",1,U1105),IF(V1105="",1,V1105)),"Disponibilité",IF(IF(U1105="",1,U1105)&lt;=IF(V1105="",1,V1105),"Performance","Qualité"))))</f>
        <v/>
      </c>
      <c r="AA1105" s="59" t="str">
        <f>IF(AC1105=1,N(H1105)*N(IFERROR(INDEX(art_cost,MATCH(E1105,art_ref,0)),0)),"")</f>
        <v/>
      </c>
      <c r="AB1105" s="58" t="str">
        <f>IF(COUNTA(A1105:I1105)=0,"",IF(N(A1105)&lt;=0,"Date manquante ou invalide",IF(B1105="","Équipe manquante",IF(ISNA(MATCH(B1105,eq_code,0)),"Équipe inconnue",IF(INDEX(eq_check,MATCH(B1105,eq_code,0))&lt;&gt;"OK","Équipe à corriger dans Paramètres",IF(C1105="","Poste manquant",IF(ISNA(MATCH(C1105,po_code,0)),"Poste inconnu",IF(AND(E1105&lt;&gt;"",ISNA(MATCH(E1105,art_ref,0))),"Article inconnu",IF(IF(E1105="",FALSE,INDEX(art_check,MATCH(E1105,art_ref,0))&lt;&gt;"OK"),"Article à corriger (feuille Articles)",IF(COUNTIFS(sj_date,A1105,sj_eq,B1105,sj_po,C1105)&gt;1,"Ligne en double (même jour, équipe et poste)",IF(OR(NOT(ISNUMBER(K1105)),N(K1105)&lt;=0,N(K1105)&gt;1440),"Temps d'ouverture invalide",IF(OR(AND(G1105&lt;&gt;"",NOT(ISNUMBER(G1105))),N(G1105)&lt;0,N(G1105)&lt;&gt;INT(N(G1105)),AND(H1105&lt;&gt;"",NOT(ISNUMBER(H1105))),N(H1105)&lt;0,N(H1105)&lt;&gt;INT(N(H1105)),AND(I1105&lt;&gt;"",NOT(ISNUMBER(I1105))),N(I1105)&lt;0,N(I1105)&lt;&gt;INT(N(I1105))),"Quantité invalide",IF(Q1105&lt;=0,"Cadence manquante (poste ou article)",IF(M1105&lt;=0,"Arrêts planifiés supérieurs au temps d'ouverture",IF(O1105&lt;0,"Arrêts supérieurs au temps requis",IF(AND(P1105&gt;0,O1105=0),"Pièces déclarées sans temps de marche",IF(AND(P1105=0,O1105&gt;0),"Aucune pièce déclarée",IF(P1105*60/Q1105&gt;O1105+0.001,"Cadence dépassée : vérifiez la cadence","OK"))))))))))))))))))</f>
        <v/>
      </c>
      <c r="AC1105">
        <f>IF(OR(AB1105="OK",AB1105="Aucune pièce déclarée",AB1105="Cadence dépassée : vérifiez la cadence"),1,0)</f>
        <v>0.0</v>
      </c>
      <c r="AD1105">
        <f>IF(AND(AC1105=1,A1105&gt;=p_from,A1105&lt;=p_to),1,0)</f>
        <v>0.0</v>
      </c>
      <c r="AE1105">
        <f>IF(AD1105=1,IF(COUNTIFS($A$6:A1105,A1105,$AD$6:AD1105,1)=1,1,0),0)</f>
        <v>0.0</v>
      </c>
      <c r="AF1105" t="str">
        <f>IF(AE1105=1,COUNTIFS(sj_first,1,sj_date,"&lt;"&amp;A1105)+1,"")</f>
        <v/>
      </c>
      <c r="AG1105" t="str">
        <f>IF(AND(AD1105=1,N(W1105)&lt;p_alert),ROUND(W1105,4),"")</f>
        <v/>
      </c>
      <c r="AH1105" t="str">
        <f>IF(AG1105="","",COUNTIF(sj_akey,"&lt;"&amp;AG1105)+COUNTIF($AG$6:AG1105,AG1105))</f>
        <v/>
      </c>
    </row>
    <row r="1106">
      <c r="A1106" s="51" t="n"/>
      <c r="B1106" s="52" t="n"/>
      <c r="C1106" s="52" t="n"/>
      <c r="D1106" s="53" t="n"/>
      <c r="E1106" s="53" t="n"/>
      <c r="F1106" s="54" t="n"/>
      <c r="G1106" s="54" t="n"/>
      <c r="H1106" s="54" t="n"/>
      <c r="I1106" s="54" t="n"/>
      <c r="J1106" s="53" t="n"/>
      <c r="K1106" s="55" t="str">
        <f>IF(COUNTA(A1106:I1106)=0,"",IF(F1106="",IFERROR(INDEX(eq_dur,MATCH(B1106,eq_code,0)),""),F1106))</f>
        <v/>
      </c>
      <c r="L1106" s="55" t="str">
        <f>IF(ISNUMBER(K1106),N(IFERROR(INDEX(eq_pause,MATCH(B1106,eq_code,0)),0))+SUMIFS(st_min,st_date,A1106,st_eq,B1106,st_po,C1106,st_type,"Planifié"),"")</f>
        <v/>
      </c>
      <c r="M1106" s="55" t="str">
        <f>IF(ISNUMBER(K1106),K1106-L1106,"")</f>
        <v/>
      </c>
      <c r="N1106" s="55" t="str">
        <f>IF(ISNUMBER(K1106),SUMIFS(st_min,st_date,A1106,st_eq,B1106,st_po,C1106,st_type,"Non planifié"),"")</f>
        <v/>
      </c>
      <c r="O1106" s="55" t="str">
        <f>IF(ISNUMBER(K1106),M1106-N1106,"")</f>
        <v/>
      </c>
      <c r="P1106" s="55" t="str">
        <f>IF(COUNTA(A1106:I1106)=0,"",N(G1106)+N(H1106)+N(I1106))</f>
        <v/>
      </c>
      <c r="Q1106" s="56" t="str">
        <f>IF(COUNTA(A1106:I1106)=0,"",IF(N(IFERROR(INDEX(art_rate,MATCH(E1106,art_ref,0)),0))&gt;0,N(IFERROR(INDEX(art_rate,MATCH(E1106,art_ref,0)),0)),N(IFERROR(INDEX(po_rate,MATCH(C1106,po_code,0)),0))))</f>
        <v/>
      </c>
      <c r="R1106" s="55" t="str">
        <f>IF(AC1106=1,P1106*60/Q1106,"")</f>
        <v/>
      </c>
      <c r="S1106" s="55" t="str">
        <f>IF(AC1106=1,N(G1106)*60/Q1106,"")</f>
        <v/>
      </c>
      <c r="T1106" s="57" t="str">
        <f>IF(AC1106=1,O1106/M1106,"")</f>
        <v/>
      </c>
      <c r="U1106" s="57" t="str">
        <f>IF(AC1106=1,IF(O1106&gt;0,R1106/O1106,""),"")</f>
        <v/>
      </c>
      <c r="V1106" s="57" t="str">
        <f>IF(AC1106=1,IF(P1106&gt;0,N(G1106)/P1106,""),"")</f>
        <v/>
      </c>
      <c r="W1106" s="57" t="str">
        <f>IF(AC1106=1,S1106/M1106,"")</f>
        <v/>
      </c>
      <c r="X1106" s="57" t="str">
        <f>IF(AC1106=1,S1106/K1106,"")</f>
        <v/>
      </c>
      <c r="Y1106" s="58" t="str">
        <f>IF(W1106="","",IF(W1106&gt;=p_target,"Bon",IF(W1106&gt;=p_alert,"À surveiller","Faible")))</f>
        <v/>
      </c>
      <c r="Z1106" s="58" t="str">
        <f>IF(W1106="","",IF(MIN(IF(T1106="",1,T1106),IF(U1106="",1,U1106),IF(V1106="",1,V1106))&gt;=1,"Aucune",IF(IF(T1106="",1,T1106)&lt;=MIN(IF(U1106="",1,U1106),IF(V1106="",1,V1106)),"Disponibilité",IF(IF(U1106="",1,U1106)&lt;=IF(V1106="",1,V1106),"Performance","Qualité"))))</f>
        <v/>
      </c>
      <c r="AA1106" s="59" t="str">
        <f>IF(AC1106=1,N(H1106)*N(IFERROR(INDEX(art_cost,MATCH(E1106,art_ref,0)),0)),"")</f>
        <v/>
      </c>
      <c r="AB1106" s="58" t="str">
        <f>IF(COUNTA(A1106:I1106)=0,"",IF(N(A1106)&lt;=0,"Date manquante ou invalide",IF(B1106="","Équipe manquante",IF(ISNA(MATCH(B1106,eq_code,0)),"Équipe inconnue",IF(INDEX(eq_check,MATCH(B1106,eq_code,0))&lt;&gt;"OK","Équipe à corriger dans Paramètres",IF(C1106="","Poste manquant",IF(ISNA(MATCH(C1106,po_code,0)),"Poste inconnu",IF(AND(E1106&lt;&gt;"",ISNA(MATCH(E1106,art_ref,0))),"Article inconnu",IF(IF(E1106="",FALSE,INDEX(art_check,MATCH(E1106,art_ref,0))&lt;&gt;"OK"),"Article à corriger (feuille Articles)",IF(COUNTIFS(sj_date,A1106,sj_eq,B1106,sj_po,C1106)&gt;1,"Ligne en double (même jour, équipe et poste)",IF(OR(NOT(ISNUMBER(K1106)),N(K1106)&lt;=0,N(K1106)&gt;1440),"Temps d'ouverture invalide",IF(OR(AND(G1106&lt;&gt;"",NOT(ISNUMBER(G1106))),N(G1106)&lt;0,N(G1106)&lt;&gt;INT(N(G1106)),AND(H1106&lt;&gt;"",NOT(ISNUMBER(H1106))),N(H1106)&lt;0,N(H1106)&lt;&gt;INT(N(H1106)),AND(I1106&lt;&gt;"",NOT(ISNUMBER(I1106))),N(I1106)&lt;0,N(I1106)&lt;&gt;INT(N(I1106))),"Quantité invalide",IF(Q1106&lt;=0,"Cadence manquante (poste ou article)",IF(M1106&lt;=0,"Arrêts planifiés supérieurs au temps d'ouverture",IF(O1106&lt;0,"Arrêts supérieurs au temps requis",IF(AND(P1106&gt;0,O1106=0),"Pièces déclarées sans temps de marche",IF(AND(P1106=0,O1106&gt;0),"Aucune pièce déclarée",IF(P1106*60/Q1106&gt;O1106+0.001,"Cadence dépassée : vérifiez la cadence","OK"))))))))))))))))))</f>
        <v/>
      </c>
      <c r="AC1106">
        <f>IF(OR(AB1106="OK",AB1106="Aucune pièce déclarée",AB1106="Cadence dépassée : vérifiez la cadence"),1,0)</f>
        <v>0.0</v>
      </c>
      <c r="AD1106">
        <f>IF(AND(AC1106=1,A1106&gt;=p_from,A1106&lt;=p_to),1,0)</f>
        <v>0.0</v>
      </c>
      <c r="AE1106">
        <f>IF(AD1106=1,IF(COUNTIFS($A$6:A1106,A1106,$AD$6:AD1106,1)=1,1,0),0)</f>
        <v>0.0</v>
      </c>
      <c r="AF1106" t="str">
        <f>IF(AE1106=1,COUNTIFS(sj_first,1,sj_date,"&lt;"&amp;A1106)+1,"")</f>
        <v/>
      </c>
      <c r="AG1106" t="str">
        <f>IF(AND(AD1106=1,N(W1106)&lt;p_alert),ROUND(W1106,4),"")</f>
        <v/>
      </c>
      <c r="AH1106" t="str">
        <f>IF(AG1106="","",COUNTIF(sj_akey,"&lt;"&amp;AG1106)+COUNTIF($AG$6:AG1106,AG1106))</f>
        <v/>
      </c>
    </row>
    <row r="1107">
      <c r="A1107" s="51" t="n"/>
      <c r="B1107" s="52" t="n"/>
      <c r="C1107" s="52" t="n"/>
      <c r="D1107" s="53" t="n"/>
      <c r="E1107" s="53" t="n"/>
      <c r="F1107" s="54" t="n"/>
      <c r="G1107" s="54" t="n"/>
      <c r="H1107" s="54" t="n"/>
      <c r="I1107" s="54" t="n"/>
      <c r="J1107" s="53" t="n"/>
      <c r="K1107" s="55" t="str">
        <f>IF(COUNTA(A1107:I1107)=0,"",IF(F1107="",IFERROR(INDEX(eq_dur,MATCH(B1107,eq_code,0)),""),F1107))</f>
        <v/>
      </c>
      <c r="L1107" s="55" t="str">
        <f>IF(ISNUMBER(K1107),N(IFERROR(INDEX(eq_pause,MATCH(B1107,eq_code,0)),0))+SUMIFS(st_min,st_date,A1107,st_eq,B1107,st_po,C1107,st_type,"Planifié"),"")</f>
        <v/>
      </c>
      <c r="M1107" s="55" t="str">
        <f>IF(ISNUMBER(K1107),K1107-L1107,"")</f>
        <v/>
      </c>
      <c r="N1107" s="55" t="str">
        <f>IF(ISNUMBER(K1107),SUMIFS(st_min,st_date,A1107,st_eq,B1107,st_po,C1107,st_type,"Non planifié"),"")</f>
        <v/>
      </c>
      <c r="O1107" s="55" t="str">
        <f>IF(ISNUMBER(K1107),M1107-N1107,"")</f>
        <v/>
      </c>
      <c r="P1107" s="55" t="str">
        <f>IF(COUNTA(A1107:I1107)=0,"",N(G1107)+N(H1107)+N(I1107))</f>
        <v/>
      </c>
      <c r="Q1107" s="56" t="str">
        <f>IF(COUNTA(A1107:I1107)=0,"",IF(N(IFERROR(INDEX(art_rate,MATCH(E1107,art_ref,0)),0))&gt;0,N(IFERROR(INDEX(art_rate,MATCH(E1107,art_ref,0)),0)),N(IFERROR(INDEX(po_rate,MATCH(C1107,po_code,0)),0))))</f>
        <v/>
      </c>
      <c r="R1107" s="55" t="str">
        <f>IF(AC1107=1,P1107*60/Q1107,"")</f>
        <v/>
      </c>
      <c r="S1107" s="55" t="str">
        <f>IF(AC1107=1,N(G1107)*60/Q1107,"")</f>
        <v/>
      </c>
      <c r="T1107" s="57" t="str">
        <f>IF(AC1107=1,O1107/M1107,"")</f>
        <v/>
      </c>
      <c r="U1107" s="57" t="str">
        <f>IF(AC1107=1,IF(O1107&gt;0,R1107/O1107,""),"")</f>
        <v/>
      </c>
      <c r="V1107" s="57" t="str">
        <f>IF(AC1107=1,IF(P1107&gt;0,N(G1107)/P1107,""),"")</f>
        <v/>
      </c>
      <c r="W1107" s="57" t="str">
        <f>IF(AC1107=1,S1107/M1107,"")</f>
        <v/>
      </c>
      <c r="X1107" s="57" t="str">
        <f>IF(AC1107=1,S1107/K1107,"")</f>
        <v/>
      </c>
      <c r="Y1107" s="58" t="str">
        <f>IF(W1107="","",IF(W1107&gt;=p_target,"Bon",IF(W1107&gt;=p_alert,"À surveiller","Faible")))</f>
        <v/>
      </c>
      <c r="Z1107" s="58" t="str">
        <f>IF(W1107="","",IF(MIN(IF(T1107="",1,T1107),IF(U1107="",1,U1107),IF(V1107="",1,V1107))&gt;=1,"Aucune",IF(IF(T1107="",1,T1107)&lt;=MIN(IF(U1107="",1,U1107),IF(V1107="",1,V1107)),"Disponibilité",IF(IF(U1107="",1,U1107)&lt;=IF(V1107="",1,V1107),"Performance","Qualité"))))</f>
        <v/>
      </c>
      <c r="AA1107" s="59" t="str">
        <f>IF(AC1107=1,N(H1107)*N(IFERROR(INDEX(art_cost,MATCH(E1107,art_ref,0)),0)),"")</f>
        <v/>
      </c>
      <c r="AB1107" s="58" t="str">
        <f>IF(COUNTA(A1107:I1107)=0,"",IF(N(A1107)&lt;=0,"Date manquante ou invalide",IF(B1107="","Équipe manquante",IF(ISNA(MATCH(B1107,eq_code,0)),"Équipe inconnue",IF(INDEX(eq_check,MATCH(B1107,eq_code,0))&lt;&gt;"OK","Équipe à corriger dans Paramètres",IF(C1107="","Poste manquant",IF(ISNA(MATCH(C1107,po_code,0)),"Poste inconnu",IF(AND(E1107&lt;&gt;"",ISNA(MATCH(E1107,art_ref,0))),"Article inconnu",IF(IF(E1107="",FALSE,INDEX(art_check,MATCH(E1107,art_ref,0))&lt;&gt;"OK"),"Article à corriger (feuille Articles)",IF(COUNTIFS(sj_date,A1107,sj_eq,B1107,sj_po,C1107)&gt;1,"Ligne en double (même jour, équipe et poste)",IF(OR(NOT(ISNUMBER(K1107)),N(K1107)&lt;=0,N(K1107)&gt;1440),"Temps d'ouverture invalide",IF(OR(AND(G1107&lt;&gt;"",NOT(ISNUMBER(G1107))),N(G1107)&lt;0,N(G1107)&lt;&gt;INT(N(G1107)),AND(H1107&lt;&gt;"",NOT(ISNUMBER(H1107))),N(H1107)&lt;0,N(H1107)&lt;&gt;INT(N(H1107)),AND(I1107&lt;&gt;"",NOT(ISNUMBER(I1107))),N(I1107)&lt;0,N(I1107)&lt;&gt;INT(N(I1107))),"Quantité invalide",IF(Q1107&lt;=0,"Cadence manquante (poste ou article)",IF(M1107&lt;=0,"Arrêts planifiés supérieurs au temps d'ouverture",IF(O1107&lt;0,"Arrêts supérieurs au temps requis",IF(AND(P1107&gt;0,O1107=0),"Pièces déclarées sans temps de marche",IF(AND(P1107=0,O1107&gt;0),"Aucune pièce déclarée",IF(P1107*60/Q1107&gt;O1107+0.001,"Cadence dépassée : vérifiez la cadence","OK"))))))))))))))))))</f>
        <v/>
      </c>
      <c r="AC1107">
        <f>IF(OR(AB1107="OK",AB1107="Aucune pièce déclarée",AB1107="Cadence dépassée : vérifiez la cadence"),1,0)</f>
        <v>0.0</v>
      </c>
      <c r="AD1107">
        <f>IF(AND(AC1107=1,A1107&gt;=p_from,A1107&lt;=p_to),1,0)</f>
        <v>0.0</v>
      </c>
      <c r="AE1107">
        <f>IF(AD1107=1,IF(COUNTIFS($A$6:A1107,A1107,$AD$6:AD1107,1)=1,1,0),0)</f>
        <v>0.0</v>
      </c>
      <c r="AF1107" t="str">
        <f>IF(AE1107=1,COUNTIFS(sj_first,1,sj_date,"&lt;"&amp;A1107)+1,"")</f>
        <v/>
      </c>
      <c r="AG1107" t="str">
        <f>IF(AND(AD1107=1,N(W1107)&lt;p_alert),ROUND(W1107,4),"")</f>
        <v/>
      </c>
      <c r="AH1107" t="str">
        <f>IF(AG1107="","",COUNTIF(sj_akey,"&lt;"&amp;AG1107)+COUNTIF($AG$6:AG1107,AG1107))</f>
        <v/>
      </c>
    </row>
    <row r="1108">
      <c r="A1108" s="51" t="n"/>
      <c r="B1108" s="52" t="n"/>
      <c r="C1108" s="52" t="n"/>
      <c r="D1108" s="53" t="n"/>
      <c r="E1108" s="53" t="n"/>
      <c r="F1108" s="54" t="n"/>
      <c r="G1108" s="54" t="n"/>
      <c r="H1108" s="54" t="n"/>
      <c r="I1108" s="54" t="n"/>
      <c r="J1108" s="53" t="n"/>
      <c r="K1108" s="55" t="str">
        <f>IF(COUNTA(A1108:I1108)=0,"",IF(F1108="",IFERROR(INDEX(eq_dur,MATCH(B1108,eq_code,0)),""),F1108))</f>
        <v/>
      </c>
      <c r="L1108" s="55" t="str">
        <f>IF(ISNUMBER(K1108),N(IFERROR(INDEX(eq_pause,MATCH(B1108,eq_code,0)),0))+SUMIFS(st_min,st_date,A1108,st_eq,B1108,st_po,C1108,st_type,"Planifié"),"")</f>
        <v/>
      </c>
      <c r="M1108" s="55" t="str">
        <f>IF(ISNUMBER(K1108),K1108-L1108,"")</f>
        <v/>
      </c>
      <c r="N1108" s="55" t="str">
        <f>IF(ISNUMBER(K1108),SUMIFS(st_min,st_date,A1108,st_eq,B1108,st_po,C1108,st_type,"Non planifié"),"")</f>
        <v/>
      </c>
      <c r="O1108" s="55" t="str">
        <f>IF(ISNUMBER(K1108),M1108-N1108,"")</f>
        <v/>
      </c>
      <c r="P1108" s="55" t="str">
        <f>IF(COUNTA(A1108:I1108)=0,"",N(G1108)+N(H1108)+N(I1108))</f>
        <v/>
      </c>
      <c r="Q1108" s="56" t="str">
        <f>IF(COUNTA(A1108:I1108)=0,"",IF(N(IFERROR(INDEX(art_rate,MATCH(E1108,art_ref,0)),0))&gt;0,N(IFERROR(INDEX(art_rate,MATCH(E1108,art_ref,0)),0)),N(IFERROR(INDEX(po_rate,MATCH(C1108,po_code,0)),0))))</f>
        <v/>
      </c>
      <c r="R1108" s="55" t="str">
        <f>IF(AC1108=1,P1108*60/Q1108,"")</f>
        <v/>
      </c>
      <c r="S1108" s="55" t="str">
        <f>IF(AC1108=1,N(G1108)*60/Q1108,"")</f>
        <v/>
      </c>
      <c r="T1108" s="57" t="str">
        <f>IF(AC1108=1,O1108/M1108,"")</f>
        <v/>
      </c>
      <c r="U1108" s="57" t="str">
        <f>IF(AC1108=1,IF(O1108&gt;0,R1108/O1108,""),"")</f>
        <v/>
      </c>
      <c r="V1108" s="57" t="str">
        <f>IF(AC1108=1,IF(P1108&gt;0,N(G1108)/P1108,""),"")</f>
        <v/>
      </c>
      <c r="W1108" s="57" t="str">
        <f>IF(AC1108=1,S1108/M1108,"")</f>
        <v/>
      </c>
      <c r="X1108" s="57" t="str">
        <f>IF(AC1108=1,S1108/K1108,"")</f>
        <v/>
      </c>
      <c r="Y1108" s="58" t="str">
        <f>IF(W1108="","",IF(W1108&gt;=p_target,"Bon",IF(W1108&gt;=p_alert,"À surveiller","Faible")))</f>
        <v/>
      </c>
      <c r="Z1108" s="58" t="str">
        <f>IF(W1108="","",IF(MIN(IF(T1108="",1,T1108),IF(U1108="",1,U1108),IF(V1108="",1,V1108))&gt;=1,"Aucune",IF(IF(T1108="",1,T1108)&lt;=MIN(IF(U1108="",1,U1108),IF(V1108="",1,V1108)),"Disponibilité",IF(IF(U1108="",1,U1108)&lt;=IF(V1108="",1,V1108),"Performance","Qualité"))))</f>
        <v/>
      </c>
      <c r="AA1108" s="59" t="str">
        <f>IF(AC1108=1,N(H1108)*N(IFERROR(INDEX(art_cost,MATCH(E1108,art_ref,0)),0)),"")</f>
        <v/>
      </c>
      <c r="AB1108" s="58" t="str">
        <f>IF(COUNTA(A1108:I1108)=0,"",IF(N(A1108)&lt;=0,"Date manquante ou invalide",IF(B1108="","Équipe manquante",IF(ISNA(MATCH(B1108,eq_code,0)),"Équipe inconnue",IF(INDEX(eq_check,MATCH(B1108,eq_code,0))&lt;&gt;"OK","Équipe à corriger dans Paramètres",IF(C1108="","Poste manquant",IF(ISNA(MATCH(C1108,po_code,0)),"Poste inconnu",IF(AND(E1108&lt;&gt;"",ISNA(MATCH(E1108,art_ref,0))),"Article inconnu",IF(IF(E1108="",FALSE,INDEX(art_check,MATCH(E1108,art_ref,0))&lt;&gt;"OK"),"Article à corriger (feuille Articles)",IF(COUNTIFS(sj_date,A1108,sj_eq,B1108,sj_po,C1108)&gt;1,"Ligne en double (même jour, équipe et poste)",IF(OR(NOT(ISNUMBER(K1108)),N(K1108)&lt;=0,N(K1108)&gt;1440),"Temps d'ouverture invalide",IF(OR(AND(G1108&lt;&gt;"",NOT(ISNUMBER(G1108))),N(G1108)&lt;0,N(G1108)&lt;&gt;INT(N(G1108)),AND(H1108&lt;&gt;"",NOT(ISNUMBER(H1108))),N(H1108)&lt;0,N(H1108)&lt;&gt;INT(N(H1108)),AND(I1108&lt;&gt;"",NOT(ISNUMBER(I1108))),N(I1108)&lt;0,N(I1108)&lt;&gt;INT(N(I1108))),"Quantité invalide",IF(Q1108&lt;=0,"Cadence manquante (poste ou article)",IF(M1108&lt;=0,"Arrêts planifiés supérieurs au temps d'ouverture",IF(O1108&lt;0,"Arrêts supérieurs au temps requis",IF(AND(P1108&gt;0,O1108=0),"Pièces déclarées sans temps de marche",IF(AND(P1108=0,O1108&gt;0),"Aucune pièce déclarée",IF(P1108*60/Q1108&gt;O1108+0.001,"Cadence dépassée : vérifiez la cadence","OK"))))))))))))))))))</f>
        <v/>
      </c>
      <c r="AC1108">
        <f>IF(OR(AB1108="OK",AB1108="Aucune pièce déclarée",AB1108="Cadence dépassée : vérifiez la cadence"),1,0)</f>
        <v>0.0</v>
      </c>
      <c r="AD1108">
        <f>IF(AND(AC1108=1,A1108&gt;=p_from,A1108&lt;=p_to),1,0)</f>
        <v>0.0</v>
      </c>
      <c r="AE1108">
        <f>IF(AD1108=1,IF(COUNTIFS($A$6:A1108,A1108,$AD$6:AD1108,1)=1,1,0),0)</f>
        <v>0.0</v>
      </c>
      <c r="AF1108" t="str">
        <f>IF(AE1108=1,COUNTIFS(sj_first,1,sj_date,"&lt;"&amp;A1108)+1,"")</f>
        <v/>
      </c>
      <c r="AG1108" t="str">
        <f>IF(AND(AD1108=1,N(W1108)&lt;p_alert),ROUND(W1108,4),"")</f>
        <v/>
      </c>
      <c r="AH1108" t="str">
        <f>IF(AG1108="","",COUNTIF(sj_akey,"&lt;"&amp;AG1108)+COUNTIF($AG$6:AG1108,AG1108))</f>
        <v/>
      </c>
    </row>
    <row r="1109">
      <c r="A1109" s="51" t="n"/>
      <c r="B1109" s="52" t="n"/>
      <c r="C1109" s="52" t="n"/>
      <c r="D1109" s="53" t="n"/>
      <c r="E1109" s="53" t="n"/>
      <c r="F1109" s="54" t="n"/>
      <c r="G1109" s="54" t="n"/>
      <c r="H1109" s="54" t="n"/>
      <c r="I1109" s="54" t="n"/>
      <c r="J1109" s="53" t="n"/>
      <c r="K1109" s="55" t="str">
        <f>IF(COUNTA(A1109:I1109)=0,"",IF(F1109="",IFERROR(INDEX(eq_dur,MATCH(B1109,eq_code,0)),""),F1109))</f>
        <v/>
      </c>
      <c r="L1109" s="55" t="str">
        <f>IF(ISNUMBER(K1109),N(IFERROR(INDEX(eq_pause,MATCH(B1109,eq_code,0)),0))+SUMIFS(st_min,st_date,A1109,st_eq,B1109,st_po,C1109,st_type,"Planifié"),"")</f>
        <v/>
      </c>
      <c r="M1109" s="55" t="str">
        <f>IF(ISNUMBER(K1109),K1109-L1109,"")</f>
        <v/>
      </c>
      <c r="N1109" s="55" t="str">
        <f>IF(ISNUMBER(K1109),SUMIFS(st_min,st_date,A1109,st_eq,B1109,st_po,C1109,st_type,"Non planifié"),"")</f>
        <v/>
      </c>
      <c r="O1109" s="55" t="str">
        <f>IF(ISNUMBER(K1109),M1109-N1109,"")</f>
        <v/>
      </c>
      <c r="P1109" s="55" t="str">
        <f>IF(COUNTA(A1109:I1109)=0,"",N(G1109)+N(H1109)+N(I1109))</f>
        <v/>
      </c>
      <c r="Q1109" s="56" t="str">
        <f>IF(COUNTA(A1109:I1109)=0,"",IF(N(IFERROR(INDEX(art_rate,MATCH(E1109,art_ref,0)),0))&gt;0,N(IFERROR(INDEX(art_rate,MATCH(E1109,art_ref,0)),0)),N(IFERROR(INDEX(po_rate,MATCH(C1109,po_code,0)),0))))</f>
        <v/>
      </c>
      <c r="R1109" s="55" t="str">
        <f>IF(AC1109=1,P1109*60/Q1109,"")</f>
        <v/>
      </c>
      <c r="S1109" s="55" t="str">
        <f>IF(AC1109=1,N(G1109)*60/Q1109,"")</f>
        <v/>
      </c>
      <c r="T1109" s="57" t="str">
        <f>IF(AC1109=1,O1109/M1109,"")</f>
        <v/>
      </c>
      <c r="U1109" s="57" t="str">
        <f>IF(AC1109=1,IF(O1109&gt;0,R1109/O1109,""),"")</f>
        <v/>
      </c>
      <c r="V1109" s="57" t="str">
        <f>IF(AC1109=1,IF(P1109&gt;0,N(G1109)/P1109,""),"")</f>
        <v/>
      </c>
      <c r="W1109" s="57" t="str">
        <f>IF(AC1109=1,S1109/M1109,"")</f>
        <v/>
      </c>
      <c r="X1109" s="57" t="str">
        <f>IF(AC1109=1,S1109/K1109,"")</f>
        <v/>
      </c>
      <c r="Y1109" s="58" t="str">
        <f>IF(W1109="","",IF(W1109&gt;=p_target,"Bon",IF(W1109&gt;=p_alert,"À surveiller","Faible")))</f>
        <v/>
      </c>
      <c r="Z1109" s="58" t="str">
        <f>IF(W1109="","",IF(MIN(IF(T1109="",1,T1109),IF(U1109="",1,U1109),IF(V1109="",1,V1109))&gt;=1,"Aucune",IF(IF(T1109="",1,T1109)&lt;=MIN(IF(U1109="",1,U1109),IF(V1109="",1,V1109)),"Disponibilité",IF(IF(U1109="",1,U1109)&lt;=IF(V1109="",1,V1109),"Performance","Qualité"))))</f>
        <v/>
      </c>
      <c r="AA1109" s="59" t="str">
        <f>IF(AC1109=1,N(H1109)*N(IFERROR(INDEX(art_cost,MATCH(E1109,art_ref,0)),0)),"")</f>
        <v/>
      </c>
      <c r="AB1109" s="58" t="str">
        <f>IF(COUNTA(A1109:I1109)=0,"",IF(N(A1109)&lt;=0,"Date manquante ou invalide",IF(B1109="","Équipe manquante",IF(ISNA(MATCH(B1109,eq_code,0)),"Équipe inconnue",IF(INDEX(eq_check,MATCH(B1109,eq_code,0))&lt;&gt;"OK","Équipe à corriger dans Paramètres",IF(C1109="","Poste manquant",IF(ISNA(MATCH(C1109,po_code,0)),"Poste inconnu",IF(AND(E1109&lt;&gt;"",ISNA(MATCH(E1109,art_ref,0))),"Article inconnu",IF(IF(E1109="",FALSE,INDEX(art_check,MATCH(E1109,art_ref,0))&lt;&gt;"OK"),"Article à corriger (feuille Articles)",IF(COUNTIFS(sj_date,A1109,sj_eq,B1109,sj_po,C1109)&gt;1,"Ligne en double (même jour, équipe et poste)",IF(OR(NOT(ISNUMBER(K1109)),N(K1109)&lt;=0,N(K1109)&gt;1440),"Temps d'ouverture invalide",IF(OR(AND(G1109&lt;&gt;"",NOT(ISNUMBER(G1109))),N(G1109)&lt;0,N(G1109)&lt;&gt;INT(N(G1109)),AND(H1109&lt;&gt;"",NOT(ISNUMBER(H1109))),N(H1109)&lt;0,N(H1109)&lt;&gt;INT(N(H1109)),AND(I1109&lt;&gt;"",NOT(ISNUMBER(I1109))),N(I1109)&lt;0,N(I1109)&lt;&gt;INT(N(I1109))),"Quantité invalide",IF(Q1109&lt;=0,"Cadence manquante (poste ou article)",IF(M1109&lt;=0,"Arrêts planifiés supérieurs au temps d'ouverture",IF(O1109&lt;0,"Arrêts supérieurs au temps requis",IF(AND(P1109&gt;0,O1109=0),"Pièces déclarées sans temps de marche",IF(AND(P1109=0,O1109&gt;0),"Aucune pièce déclarée",IF(P1109*60/Q1109&gt;O1109+0.001,"Cadence dépassée : vérifiez la cadence","OK"))))))))))))))))))</f>
        <v/>
      </c>
      <c r="AC1109">
        <f>IF(OR(AB1109="OK",AB1109="Aucune pièce déclarée",AB1109="Cadence dépassée : vérifiez la cadence"),1,0)</f>
        <v>0.0</v>
      </c>
      <c r="AD1109">
        <f>IF(AND(AC1109=1,A1109&gt;=p_from,A1109&lt;=p_to),1,0)</f>
        <v>0.0</v>
      </c>
      <c r="AE1109">
        <f>IF(AD1109=1,IF(COUNTIFS($A$6:A1109,A1109,$AD$6:AD1109,1)=1,1,0),0)</f>
        <v>0.0</v>
      </c>
      <c r="AF1109" t="str">
        <f>IF(AE1109=1,COUNTIFS(sj_first,1,sj_date,"&lt;"&amp;A1109)+1,"")</f>
        <v/>
      </c>
      <c r="AG1109" t="str">
        <f>IF(AND(AD1109=1,N(W1109)&lt;p_alert),ROUND(W1109,4),"")</f>
        <v/>
      </c>
      <c r="AH1109" t="str">
        <f>IF(AG1109="","",COUNTIF(sj_akey,"&lt;"&amp;AG1109)+COUNTIF($AG$6:AG1109,AG1109))</f>
        <v/>
      </c>
    </row>
    <row r="1110">
      <c r="A1110" s="51" t="n"/>
      <c r="B1110" s="52" t="n"/>
      <c r="C1110" s="52" t="n"/>
      <c r="D1110" s="53" t="n"/>
      <c r="E1110" s="53" t="n"/>
      <c r="F1110" s="54" t="n"/>
      <c r="G1110" s="54" t="n"/>
      <c r="H1110" s="54" t="n"/>
      <c r="I1110" s="54" t="n"/>
      <c r="J1110" s="53" t="n"/>
      <c r="K1110" s="55" t="str">
        <f>IF(COUNTA(A1110:I1110)=0,"",IF(F1110="",IFERROR(INDEX(eq_dur,MATCH(B1110,eq_code,0)),""),F1110))</f>
        <v/>
      </c>
      <c r="L1110" s="55" t="str">
        <f>IF(ISNUMBER(K1110),N(IFERROR(INDEX(eq_pause,MATCH(B1110,eq_code,0)),0))+SUMIFS(st_min,st_date,A1110,st_eq,B1110,st_po,C1110,st_type,"Planifié"),"")</f>
        <v/>
      </c>
      <c r="M1110" s="55" t="str">
        <f>IF(ISNUMBER(K1110),K1110-L1110,"")</f>
        <v/>
      </c>
      <c r="N1110" s="55" t="str">
        <f>IF(ISNUMBER(K1110),SUMIFS(st_min,st_date,A1110,st_eq,B1110,st_po,C1110,st_type,"Non planifié"),"")</f>
        <v/>
      </c>
      <c r="O1110" s="55" t="str">
        <f>IF(ISNUMBER(K1110),M1110-N1110,"")</f>
        <v/>
      </c>
      <c r="P1110" s="55" t="str">
        <f>IF(COUNTA(A1110:I1110)=0,"",N(G1110)+N(H1110)+N(I1110))</f>
        <v/>
      </c>
      <c r="Q1110" s="56" t="str">
        <f>IF(COUNTA(A1110:I1110)=0,"",IF(N(IFERROR(INDEX(art_rate,MATCH(E1110,art_ref,0)),0))&gt;0,N(IFERROR(INDEX(art_rate,MATCH(E1110,art_ref,0)),0)),N(IFERROR(INDEX(po_rate,MATCH(C1110,po_code,0)),0))))</f>
        <v/>
      </c>
      <c r="R1110" s="55" t="str">
        <f>IF(AC1110=1,P1110*60/Q1110,"")</f>
        <v/>
      </c>
      <c r="S1110" s="55" t="str">
        <f>IF(AC1110=1,N(G1110)*60/Q1110,"")</f>
        <v/>
      </c>
      <c r="T1110" s="57" t="str">
        <f>IF(AC1110=1,O1110/M1110,"")</f>
        <v/>
      </c>
      <c r="U1110" s="57" t="str">
        <f>IF(AC1110=1,IF(O1110&gt;0,R1110/O1110,""),"")</f>
        <v/>
      </c>
      <c r="V1110" s="57" t="str">
        <f>IF(AC1110=1,IF(P1110&gt;0,N(G1110)/P1110,""),"")</f>
        <v/>
      </c>
      <c r="W1110" s="57" t="str">
        <f>IF(AC1110=1,S1110/M1110,"")</f>
        <v/>
      </c>
      <c r="X1110" s="57" t="str">
        <f>IF(AC1110=1,S1110/K1110,"")</f>
        <v/>
      </c>
      <c r="Y1110" s="58" t="str">
        <f>IF(W1110="","",IF(W1110&gt;=p_target,"Bon",IF(W1110&gt;=p_alert,"À surveiller","Faible")))</f>
        <v/>
      </c>
      <c r="Z1110" s="58" t="str">
        <f>IF(W1110="","",IF(MIN(IF(T1110="",1,T1110),IF(U1110="",1,U1110),IF(V1110="",1,V1110))&gt;=1,"Aucune",IF(IF(T1110="",1,T1110)&lt;=MIN(IF(U1110="",1,U1110),IF(V1110="",1,V1110)),"Disponibilité",IF(IF(U1110="",1,U1110)&lt;=IF(V1110="",1,V1110),"Performance","Qualité"))))</f>
        <v/>
      </c>
      <c r="AA1110" s="59" t="str">
        <f>IF(AC1110=1,N(H1110)*N(IFERROR(INDEX(art_cost,MATCH(E1110,art_ref,0)),0)),"")</f>
        <v/>
      </c>
      <c r="AB1110" s="58" t="str">
        <f>IF(COUNTA(A1110:I1110)=0,"",IF(N(A1110)&lt;=0,"Date manquante ou invalide",IF(B1110="","Équipe manquante",IF(ISNA(MATCH(B1110,eq_code,0)),"Équipe inconnue",IF(INDEX(eq_check,MATCH(B1110,eq_code,0))&lt;&gt;"OK","Équipe à corriger dans Paramètres",IF(C1110="","Poste manquant",IF(ISNA(MATCH(C1110,po_code,0)),"Poste inconnu",IF(AND(E1110&lt;&gt;"",ISNA(MATCH(E1110,art_ref,0))),"Article inconnu",IF(IF(E1110="",FALSE,INDEX(art_check,MATCH(E1110,art_ref,0))&lt;&gt;"OK"),"Article à corriger (feuille Articles)",IF(COUNTIFS(sj_date,A1110,sj_eq,B1110,sj_po,C1110)&gt;1,"Ligne en double (même jour, équipe et poste)",IF(OR(NOT(ISNUMBER(K1110)),N(K1110)&lt;=0,N(K1110)&gt;1440),"Temps d'ouverture invalide",IF(OR(AND(G1110&lt;&gt;"",NOT(ISNUMBER(G1110))),N(G1110)&lt;0,N(G1110)&lt;&gt;INT(N(G1110)),AND(H1110&lt;&gt;"",NOT(ISNUMBER(H1110))),N(H1110)&lt;0,N(H1110)&lt;&gt;INT(N(H1110)),AND(I1110&lt;&gt;"",NOT(ISNUMBER(I1110))),N(I1110)&lt;0,N(I1110)&lt;&gt;INT(N(I1110))),"Quantité invalide",IF(Q1110&lt;=0,"Cadence manquante (poste ou article)",IF(M1110&lt;=0,"Arrêts planifiés supérieurs au temps d'ouverture",IF(O1110&lt;0,"Arrêts supérieurs au temps requis",IF(AND(P1110&gt;0,O1110=0),"Pièces déclarées sans temps de marche",IF(AND(P1110=0,O1110&gt;0),"Aucune pièce déclarée",IF(P1110*60/Q1110&gt;O1110+0.001,"Cadence dépassée : vérifiez la cadence","OK"))))))))))))))))))</f>
        <v/>
      </c>
      <c r="AC1110">
        <f>IF(OR(AB1110="OK",AB1110="Aucune pièce déclarée",AB1110="Cadence dépassée : vérifiez la cadence"),1,0)</f>
        <v>0.0</v>
      </c>
      <c r="AD1110">
        <f>IF(AND(AC1110=1,A1110&gt;=p_from,A1110&lt;=p_to),1,0)</f>
        <v>0.0</v>
      </c>
      <c r="AE1110">
        <f>IF(AD1110=1,IF(COUNTIFS($A$6:A1110,A1110,$AD$6:AD1110,1)=1,1,0),0)</f>
        <v>0.0</v>
      </c>
      <c r="AF1110" t="str">
        <f>IF(AE1110=1,COUNTIFS(sj_first,1,sj_date,"&lt;"&amp;A1110)+1,"")</f>
        <v/>
      </c>
      <c r="AG1110" t="str">
        <f>IF(AND(AD1110=1,N(W1110)&lt;p_alert),ROUND(W1110,4),"")</f>
        <v/>
      </c>
      <c r="AH1110" t="str">
        <f>IF(AG1110="","",COUNTIF(sj_akey,"&lt;"&amp;AG1110)+COUNTIF($AG$6:AG1110,AG1110))</f>
        <v/>
      </c>
    </row>
    <row r="1111">
      <c r="A1111" s="51" t="n"/>
      <c r="B1111" s="52" t="n"/>
      <c r="C1111" s="52" t="n"/>
      <c r="D1111" s="53" t="n"/>
      <c r="E1111" s="53" t="n"/>
      <c r="F1111" s="54" t="n"/>
      <c r="G1111" s="54" t="n"/>
      <c r="H1111" s="54" t="n"/>
      <c r="I1111" s="54" t="n"/>
      <c r="J1111" s="53" t="n"/>
      <c r="K1111" s="55" t="str">
        <f>IF(COUNTA(A1111:I1111)=0,"",IF(F1111="",IFERROR(INDEX(eq_dur,MATCH(B1111,eq_code,0)),""),F1111))</f>
        <v/>
      </c>
      <c r="L1111" s="55" t="str">
        <f>IF(ISNUMBER(K1111),N(IFERROR(INDEX(eq_pause,MATCH(B1111,eq_code,0)),0))+SUMIFS(st_min,st_date,A1111,st_eq,B1111,st_po,C1111,st_type,"Planifié"),"")</f>
        <v/>
      </c>
      <c r="M1111" s="55" t="str">
        <f>IF(ISNUMBER(K1111),K1111-L1111,"")</f>
        <v/>
      </c>
      <c r="N1111" s="55" t="str">
        <f>IF(ISNUMBER(K1111),SUMIFS(st_min,st_date,A1111,st_eq,B1111,st_po,C1111,st_type,"Non planifié"),"")</f>
        <v/>
      </c>
      <c r="O1111" s="55" t="str">
        <f>IF(ISNUMBER(K1111),M1111-N1111,"")</f>
        <v/>
      </c>
      <c r="P1111" s="55" t="str">
        <f>IF(COUNTA(A1111:I1111)=0,"",N(G1111)+N(H1111)+N(I1111))</f>
        <v/>
      </c>
      <c r="Q1111" s="56" t="str">
        <f>IF(COUNTA(A1111:I1111)=0,"",IF(N(IFERROR(INDEX(art_rate,MATCH(E1111,art_ref,0)),0))&gt;0,N(IFERROR(INDEX(art_rate,MATCH(E1111,art_ref,0)),0)),N(IFERROR(INDEX(po_rate,MATCH(C1111,po_code,0)),0))))</f>
        <v/>
      </c>
      <c r="R1111" s="55" t="str">
        <f>IF(AC1111=1,P1111*60/Q1111,"")</f>
        <v/>
      </c>
      <c r="S1111" s="55" t="str">
        <f>IF(AC1111=1,N(G1111)*60/Q1111,"")</f>
        <v/>
      </c>
      <c r="T1111" s="57" t="str">
        <f>IF(AC1111=1,O1111/M1111,"")</f>
        <v/>
      </c>
      <c r="U1111" s="57" t="str">
        <f>IF(AC1111=1,IF(O1111&gt;0,R1111/O1111,""),"")</f>
        <v/>
      </c>
      <c r="V1111" s="57" t="str">
        <f>IF(AC1111=1,IF(P1111&gt;0,N(G1111)/P1111,""),"")</f>
        <v/>
      </c>
      <c r="W1111" s="57" t="str">
        <f>IF(AC1111=1,S1111/M1111,"")</f>
        <v/>
      </c>
      <c r="X1111" s="57" t="str">
        <f>IF(AC1111=1,S1111/K1111,"")</f>
        <v/>
      </c>
      <c r="Y1111" s="58" t="str">
        <f>IF(W1111="","",IF(W1111&gt;=p_target,"Bon",IF(W1111&gt;=p_alert,"À surveiller","Faible")))</f>
        <v/>
      </c>
      <c r="Z1111" s="58" t="str">
        <f>IF(W1111="","",IF(MIN(IF(T1111="",1,T1111),IF(U1111="",1,U1111),IF(V1111="",1,V1111))&gt;=1,"Aucune",IF(IF(T1111="",1,T1111)&lt;=MIN(IF(U1111="",1,U1111),IF(V1111="",1,V1111)),"Disponibilité",IF(IF(U1111="",1,U1111)&lt;=IF(V1111="",1,V1111),"Performance","Qualité"))))</f>
        <v/>
      </c>
      <c r="AA1111" s="59" t="str">
        <f>IF(AC1111=1,N(H1111)*N(IFERROR(INDEX(art_cost,MATCH(E1111,art_ref,0)),0)),"")</f>
        <v/>
      </c>
      <c r="AB1111" s="58" t="str">
        <f>IF(COUNTA(A1111:I1111)=0,"",IF(N(A1111)&lt;=0,"Date manquante ou invalide",IF(B1111="","Équipe manquante",IF(ISNA(MATCH(B1111,eq_code,0)),"Équipe inconnue",IF(INDEX(eq_check,MATCH(B1111,eq_code,0))&lt;&gt;"OK","Équipe à corriger dans Paramètres",IF(C1111="","Poste manquant",IF(ISNA(MATCH(C1111,po_code,0)),"Poste inconnu",IF(AND(E1111&lt;&gt;"",ISNA(MATCH(E1111,art_ref,0))),"Article inconnu",IF(IF(E1111="",FALSE,INDEX(art_check,MATCH(E1111,art_ref,0))&lt;&gt;"OK"),"Article à corriger (feuille Articles)",IF(COUNTIFS(sj_date,A1111,sj_eq,B1111,sj_po,C1111)&gt;1,"Ligne en double (même jour, équipe et poste)",IF(OR(NOT(ISNUMBER(K1111)),N(K1111)&lt;=0,N(K1111)&gt;1440),"Temps d'ouverture invalide",IF(OR(AND(G1111&lt;&gt;"",NOT(ISNUMBER(G1111))),N(G1111)&lt;0,N(G1111)&lt;&gt;INT(N(G1111)),AND(H1111&lt;&gt;"",NOT(ISNUMBER(H1111))),N(H1111)&lt;0,N(H1111)&lt;&gt;INT(N(H1111)),AND(I1111&lt;&gt;"",NOT(ISNUMBER(I1111))),N(I1111)&lt;0,N(I1111)&lt;&gt;INT(N(I1111))),"Quantité invalide",IF(Q1111&lt;=0,"Cadence manquante (poste ou article)",IF(M1111&lt;=0,"Arrêts planifiés supérieurs au temps d'ouverture",IF(O1111&lt;0,"Arrêts supérieurs au temps requis",IF(AND(P1111&gt;0,O1111=0),"Pièces déclarées sans temps de marche",IF(AND(P1111=0,O1111&gt;0),"Aucune pièce déclarée",IF(P1111*60/Q1111&gt;O1111+0.001,"Cadence dépassée : vérifiez la cadence","OK"))))))))))))))))))</f>
        <v/>
      </c>
      <c r="AC1111">
        <f>IF(OR(AB1111="OK",AB1111="Aucune pièce déclarée",AB1111="Cadence dépassée : vérifiez la cadence"),1,0)</f>
        <v>0.0</v>
      </c>
      <c r="AD1111">
        <f>IF(AND(AC1111=1,A1111&gt;=p_from,A1111&lt;=p_to),1,0)</f>
        <v>0.0</v>
      </c>
      <c r="AE1111">
        <f>IF(AD1111=1,IF(COUNTIFS($A$6:A1111,A1111,$AD$6:AD1111,1)=1,1,0),0)</f>
        <v>0.0</v>
      </c>
      <c r="AF1111" t="str">
        <f>IF(AE1111=1,COUNTIFS(sj_first,1,sj_date,"&lt;"&amp;A1111)+1,"")</f>
        <v/>
      </c>
      <c r="AG1111" t="str">
        <f>IF(AND(AD1111=1,N(W1111)&lt;p_alert),ROUND(W1111,4),"")</f>
        <v/>
      </c>
      <c r="AH1111" t="str">
        <f>IF(AG1111="","",COUNTIF(sj_akey,"&lt;"&amp;AG1111)+COUNTIF($AG$6:AG1111,AG1111))</f>
        <v/>
      </c>
    </row>
    <row r="1112">
      <c r="A1112" s="51" t="n"/>
      <c r="B1112" s="52" t="n"/>
      <c r="C1112" s="52" t="n"/>
      <c r="D1112" s="53" t="n"/>
      <c r="E1112" s="53" t="n"/>
      <c r="F1112" s="54" t="n"/>
      <c r="G1112" s="54" t="n"/>
      <c r="H1112" s="54" t="n"/>
      <c r="I1112" s="54" t="n"/>
      <c r="J1112" s="53" t="n"/>
      <c r="K1112" s="55" t="str">
        <f>IF(COUNTA(A1112:I1112)=0,"",IF(F1112="",IFERROR(INDEX(eq_dur,MATCH(B1112,eq_code,0)),""),F1112))</f>
        <v/>
      </c>
      <c r="L1112" s="55" t="str">
        <f>IF(ISNUMBER(K1112),N(IFERROR(INDEX(eq_pause,MATCH(B1112,eq_code,0)),0))+SUMIFS(st_min,st_date,A1112,st_eq,B1112,st_po,C1112,st_type,"Planifié"),"")</f>
        <v/>
      </c>
      <c r="M1112" s="55" t="str">
        <f>IF(ISNUMBER(K1112),K1112-L1112,"")</f>
        <v/>
      </c>
      <c r="N1112" s="55" t="str">
        <f>IF(ISNUMBER(K1112),SUMIFS(st_min,st_date,A1112,st_eq,B1112,st_po,C1112,st_type,"Non planifié"),"")</f>
        <v/>
      </c>
      <c r="O1112" s="55" t="str">
        <f>IF(ISNUMBER(K1112),M1112-N1112,"")</f>
        <v/>
      </c>
      <c r="P1112" s="55" t="str">
        <f>IF(COUNTA(A1112:I1112)=0,"",N(G1112)+N(H1112)+N(I1112))</f>
        <v/>
      </c>
      <c r="Q1112" s="56" t="str">
        <f>IF(COUNTA(A1112:I1112)=0,"",IF(N(IFERROR(INDEX(art_rate,MATCH(E1112,art_ref,0)),0))&gt;0,N(IFERROR(INDEX(art_rate,MATCH(E1112,art_ref,0)),0)),N(IFERROR(INDEX(po_rate,MATCH(C1112,po_code,0)),0))))</f>
        <v/>
      </c>
      <c r="R1112" s="55" t="str">
        <f>IF(AC1112=1,P1112*60/Q1112,"")</f>
        <v/>
      </c>
      <c r="S1112" s="55" t="str">
        <f>IF(AC1112=1,N(G1112)*60/Q1112,"")</f>
        <v/>
      </c>
      <c r="T1112" s="57" t="str">
        <f>IF(AC1112=1,O1112/M1112,"")</f>
        <v/>
      </c>
      <c r="U1112" s="57" t="str">
        <f>IF(AC1112=1,IF(O1112&gt;0,R1112/O1112,""),"")</f>
        <v/>
      </c>
      <c r="V1112" s="57" t="str">
        <f>IF(AC1112=1,IF(P1112&gt;0,N(G1112)/P1112,""),"")</f>
        <v/>
      </c>
      <c r="W1112" s="57" t="str">
        <f>IF(AC1112=1,S1112/M1112,"")</f>
        <v/>
      </c>
      <c r="X1112" s="57" t="str">
        <f>IF(AC1112=1,S1112/K1112,"")</f>
        <v/>
      </c>
      <c r="Y1112" s="58" t="str">
        <f>IF(W1112="","",IF(W1112&gt;=p_target,"Bon",IF(W1112&gt;=p_alert,"À surveiller","Faible")))</f>
        <v/>
      </c>
      <c r="Z1112" s="58" t="str">
        <f>IF(W1112="","",IF(MIN(IF(T1112="",1,T1112),IF(U1112="",1,U1112),IF(V1112="",1,V1112))&gt;=1,"Aucune",IF(IF(T1112="",1,T1112)&lt;=MIN(IF(U1112="",1,U1112),IF(V1112="",1,V1112)),"Disponibilité",IF(IF(U1112="",1,U1112)&lt;=IF(V1112="",1,V1112),"Performance","Qualité"))))</f>
        <v/>
      </c>
      <c r="AA1112" s="59" t="str">
        <f>IF(AC1112=1,N(H1112)*N(IFERROR(INDEX(art_cost,MATCH(E1112,art_ref,0)),0)),"")</f>
        <v/>
      </c>
      <c r="AB1112" s="58" t="str">
        <f>IF(COUNTA(A1112:I1112)=0,"",IF(N(A1112)&lt;=0,"Date manquante ou invalide",IF(B1112="","Équipe manquante",IF(ISNA(MATCH(B1112,eq_code,0)),"Équipe inconnue",IF(INDEX(eq_check,MATCH(B1112,eq_code,0))&lt;&gt;"OK","Équipe à corriger dans Paramètres",IF(C1112="","Poste manquant",IF(ISNA(MATCH(C1112,po_code,0)),"Poste inconnu",IF(AND(E1112&lt;&gt;"",ISNA(MATCH(E1112,art_ref,0))),"Article inconnu",IF(IF(E1112="",FALSE,INDEX(art_check,MATCH(E1112,art_ref,0))&lt;&gt;"OK"),"Article à corriger (feuille Articles)",IF(COUNTIFS(sj_date,A1112,sj_eq,B1112,sj_po,C1112)&gt;1,"Ligne en double (même jour, équipe et poste)",IF(OR(NOT(ISNUMBER(K1112)),N(K1112)&lt;=0,N(K1112)&gt;1440),"Temps d'ouverture invalide",IF(OR(AND(G1112&lt;&gt;"",NOT(ISNUMBER(G1112))),N(G1112)&lt;0,N(G1112)&lt;&gt;INT(N(G1112)),AND(H1112&lt;&gt;"",NOT(ISNUMBER(H1112))),N(H1112)&lt;0,N(H1112)&lt;&gt;INT(N(H1112)),AND(I1112&lt;&gt;"",NOT(ISNUMBER(I1112))),N(I1112)&lt;0,N(I1112)&lt;&gt;INT(N(I1112))),"Quantité invalide",IF(Q1112&lt;=0,"Cadence manquante (poste ou article)",IF(M1112&lt;=0,"Arrêts planifiés supérieurs au temps d'ouverture",IF(O1112&lt;0,"Arrêts supérieurs au temps requis",IF(AND(P1112&gt;0,O1112=0),"Pièces déclarées sans temps de marche",IF(AND(P1112=0,O1112&gt;0),"Aucune pièce déclarée",IF(P1112*60/Q1112&gt;O1112+0.001,"Cadence dépassée : vérifiez la cadence","OK"))))))))))))))))))</f>
        <v/>
      </c>
      <c r="AC1112">
        <f>IF(OR(AB1112="OK",AB1112="Aucune pièce déclarée",AB1112="Cadence dépassée : vérifiez la cadence"),1,0)</f>
        <v>0.0</v>
      </c>
      <c r="AD1112">
        <f>IF(AND(AC1112=1,A1112&gt;=p_from,A1112&lt;=p_to),1,0)</f>
        <v>0.0</v>
      </c>
      <c r="AE1112">
        <f>IF(AD1112=1,IF(COUNTIFS($A$6:A1112,A1112,$AD$6:AD1112,1)=1,1,0),0)</f>
        <v>0.0</v>
      </c>
      <c r="AF1112" t="str">
        <f>IF(AE1112=1,COUNTIFS(sj_first,1,sj_date,"&lt;"&amp;A1112)+1,"")</f>
        <v/>
      </c>
      <c r="AG1112" t="str">
        <f>IF(AND(AD1112=1,N(W1112)&lt;p_alert),ROUND(W1112,4),"")</f>
        <v/>
      </c>
      <c r="AH1112" t="str">
        <f>IF(AG1112="","",COUNTIF(sj_akey,"&lt;"&amp;AG1112)+COUNTIF($AG$6:AG1112,AG1112))</f>
        <v/>
      </c>
    </row>
    <row r="1113">
      <c r="A1113" s="51" t="n"/>
      <c r="B1113" s="52" t="n"/>
      <c r="C1113" s="52" t="n"/>
      <c r="D1113" s="53" t="n"/>
      <c r="E1113" s="53" t="n"/>
      <c r="F1113" s="54" t="n"/>
      <c r="G1113" s="54" t="n"/>
      <c r="H1113" s="54" t="n"/>
      <c r="I1113" s="54" t="n"/>
      <c r="J1113" s="53" t="n"/>
      <c r="K1113" s="55" t="str">
        <f>IF(COUNTA(A1113:I1113)=0,"",IF(F1113="",IFERROR(INDEX(eq_dur,MATCH(B1113,eq_code,0)),""),F1113))</f>
        <v/>
      </c>
      <c r="L1113" s="55" t="str">
        <f>IF(ISNUMBER(K1113),N(IFERROR(INDEX(eq_pause,MATCH(B1113,eq_code,0)),0))+SUMIFS(st_min,st_date,A1113,st_eq,B1113,st_po,C1113,st_type,"Planifié"),"")</f>
        <v/>
      </c>
      <c r="M1113" s="55" t="str">
        <f>IF(ISNUMBER(K1113),K1113-L1113,"")</f>
        <v/>
      </c>
      <c r="N1113" s="55" t="str">
        <f>IF(ISNUMBER(K1113),SUMIFS(st_min,st_date,A1113,st_eq,B1113,st_po,C1113,st_type,"Non planifié"),"")</f>
        <v/>
      </c>
      <c r="O1113" s="55" t="str">
        <f>IF(ISNUMBER(K1113),M1113-N1113,"")</f>
        <v/>
      </c>
      <c r="P1113" s="55" t="str">
        <f>IF(COUNTA(A1113:I1113)=0,"",N(G1113)+N(H1113)+N(I1113))</f>
        <v/>
      </c>
      <c r="Q1113" s="56" t="str">
        <f>IF(COUNTA(A1113:I1113)=0,"",IF(N(IFERROR(INDEX(art_rate,MATCH(E1113,art_ref,0)),0))&gt;0,N(IFERROR(INDEX(art_rate,MATCH(E1113,art_ref,0)),0)),N(IFERROR(INDEX(po_rate,MATCH(C1113,po_code,0)),0))))</f>
        <v/>
      </c>
      <c r="R1113" s="55" t="str">
        <f>IF(AC1113=1,P1113*60/Q1113,"")</f>
        <v/>
      </c>
      <c r="S1113" s="55" t="str">
        <f>IF(AC1113=1,N(G1113)*60/Q1113,"")</f>
        <v/>
      </c>
      <c r="T1113" s="57" t="str">
        <f>IF(AC1113=1,O1113/M1113,"")</f>
        <v/>
      </c>
      <c r="U1113" s="57" t="str">
        <f>IF(AC1113=1,IF(O1113&gt;0,R1113/O1113,""),"")</f>
        <v/>
      </c>
      <c r="V1113" s="57" t="str">
        <f>IF(AC1113=1,IF(P1113&gt;0,N(G1113)/P1113,""),"")</f>
        <v/>
      </c>
      <c r="W1113" s="57" t="str">
        <f>IF(AC1113=1,S1113/M1113,"")</f>
        <v/>
      </c>
      <c r="X1113" s="57" t="str">
        <f>IF(AC1113=1,S1113/K1113,"")</f>
        <v/>
      </c>
      <c r="Y1113" s="58" t="str">
        <f>IF(W1113="","",IF(W1113&gt;=p_target,"Bon",IF(W1113&gt;=p_alert,"À surveiller","Faible")))</f>
        <v/>
      </c>
      <c r="Z1113" s="58" t="str">
        <f>IF(W1113="","",IF(MIN(IF(T1113="",1,T1113),IF(U1113="",1,U1113),IF(V1113="",1,V1113))&gt;=1,"Aucune",IF(IF(T1113="",1,T1113)&lt;=MIN(IF(U1113="",1,U1113),IF(V1113="",1,V1113)),"Disponibilité",IF(IF(U1113="",1,U1113)&lt;=IF(V1113="",1,V1113),"Performance","Qualité"))))</f>
        <v/>
      </c>
      <c r="AA1113" s="59" t="str">
        <f>IF(AC1113=1,N(H1113)*N(IFERROR(INDEX(art_cost,MATCH(E1113,art_ref,0)),0)),"")</f>
        <v/>
      </c>
      <c r="AB1113" s="58" t="str">
        <f>IF(COUNTA(A1113:I1113)=0,"",IF(N(A1113)&lt;=0,"Date manquante ou invalide",IF(B1113="","Équipe manquante",IF(ISNA(MATCH(B1113,eq_code,0)),"Équipe inconnue",IF(INDEX(eq_check,MATCH(B1113,eq_code,0))&lt;&gt;"OK","Équipe à corriger dans Paramètres",IF(C1113="","Poste manquant",IF(ISNA(MATCH(C1113,po_code,0)),"Poste inconnu",IF(AND(E1113&lt;&gt;"",ISNA(MATCH(E1113,art_ref,0))),"Article inconnu",IF(IF(E1113="",FALSE,INDEX(art_check,MATCH(E1113,art_ref,0))&lt;&gt;"OK"),"Article à corriger (feuille Articles)",IF(COUNTIFS(sj_date,A1113,sj_eq,B1113,sj_po,C1113)&gt;1,"Ligne en double (même jour, équipe et poste)",IF(OR(NOT(ISNUMBER(K1113)),N(K1113)&lt;=0,N(K1113)&gt;1440),"Temps d'ouverture invalide",IF(OR(AND(G1113&lt;&gt;"",NOT(ISNUMBER(G1113))),N(G1113)&lt;0,N(G1113)&lt;&gt;INT(N(G1113)),AND(H1113&lt;&gt;"",NOT(ISNUMBER(H1113))),N(H1113)&lt;0,N(H1113)&lt;&gt;INT(N(H1113)),AND(I1113&lt;&gt;"",NOT(ISNUMBER(I1113))),N(I1113)&lt;0,N(I1113)&lt;&gt;INT(N(I1113))),"Quantité invalide",IF(Q1113&lt;=0,"Cadence manquante (poste ou article)",IF(M1113&lt;=0,"Arrêts planifiés supérieurs au temps d'ouverture",IF(O1113&lt;0,"Arrêts supérieurs au temps requis",IF(AND(P1113&gt;0,O1113=0),"Pièces déclarées sans temps de marche",IF(AND(P1113=0,O1113&gt;0),"Aucune pièce déclarée",IF(P1113*60/Q1113&gt;O1113+0.001,"Cadence dépassée : vérifiez la cadence","OK"))))))))))))))))))</f>
        <v/>
      </c>
      <c r="AC1113">
        <f>IF(OR(AB1113="OK",AB1113="Aucune pièce déclarée",AB1113="Cadence dépassée : vérifiez la cadence"),1,0)</f>
        <v>0.0</v>
      </c>
      <c r="AD1113">
        <f>IF(AND(AC1113=1,A1113&gt;=p_from,A1113&lt;=p_to),1,0)</f>
        <v>0.0</v>
      </c>
      <c r="AE1113">
        <f>IF(AD1113=1,IF(COUNTIFS($A$6:A1113,A1113,$AD$6:AD1113,1)=1,1,0),0)</f>
        <v>0.0</v>
      </c>
      <c r="AF1113" t="str">
        <f>IF(AE1113=1,COUNTIFS(sj_first,1,sj_date,"&lt;"&amp;A1113)+1,"")</f>
        <v/>
      </c>
      <c r="AG1113" t="str">
        <f>IF(AND(AD1113=1,N(W1113)&lt;p_alert),ROUND(W1113,4),"")</f>
        <v/>
      </c>
      <c r="AH1113" t="str">
        <f>IF(AG1113="","",COUNTIF(sj_akey,"&lt;"&amp;AG1113)+COUNTIF($AG$6:AG1113,AG1113))</f>
        <v/>
      </c>
    </row>
    <row r="1114">
      <c r="A1114" s="51" t="n"/>
      <c r="B1114" s="52" t="n"/>
      <c r="C1114" s="52" t="n"/>
      <c r="D1114" s="53" t="n"/>
      <c r="E1114" s="53" t="n"/>
      <c r="F1114" s="54" t="n"/>
      <c r="G1114" s="54" t="n"/>
      <c r="H1114" s="54" t="n"/>
      <c r="I1114" s="54" t="n"/>
      <c r="J1114" s="53" t="n"/>
      <c r="K1114" s="55" t="str">
        <f>IF(COUNTA(A1114:I1114)=0,"",IF(F1114="",IFERROR(INDEX(eq_dur,MATCH(B1114,eq_code,0)),""),F1114))</f>
        <v/>
      </c>
      <c r="L1114" s="55" t="str">
        <f>IF(ISNUMBER(K1114),N(IFERROR(INDEX(eq_pause,MATCH(B1114,eq_code,0)),0))+SUMIFS(st_min,st_date,A1114,st_eq,B1114,st_po,C1114,st_type,"Planifié"),"")</f>
        <v/>
      </c>
      <c r="M1114" s="55" t="str">
        <f>IF(ISNUMBER(K1114),K1114-L1114,"")</f>
        <v/>
      </c>
      <c r="N1114" s="55" t="str">
        <f>IF(ISNUMBER(K1114),SUMIFS(st_min,st_date,A1114,st_eq,B1114,st_po,C1114,st_type,"Non planifié"),"")</f>
        <v/>
      </c>
      <c r="O1114" s="55" t="str">
        <f>IF(ISNUMBER(K1114),M1114-N1114,"")</f>
        <v/>
      </c>
      <c r="P1114" s="55" t="str">
        <f>IF(COUNTA(A1114:I1114)=0,"",N(G1114)+N(H1114)+N(I1114))</f>
        <v/>
      </c>
      <c r="Q1114" s="56" t="str">
        <f>IF(COUNTA(A1114:I1114)=0,"",IF(N(IFERROR(INDEX(art_rate,MATCH(E1114,art_ref,0)),0))&gt;0,N(IFERROR(INDEX(art_rate,MATCH(E1114,art_ref,0)),0)),N(IFERROR(INDEX(po_rate,MATCH(C1114,po_code,0)),0))))</f>
        <v/>
      </c>
      <c r="R1114" s="55" t="str">
        <f>IF(AC1114=1,P1114*60/Q1114,"")</f>
        <v/>
      </c>
      <c r="S1114" s="55" t="str">
        <f>IF(AC1114=1,N(G1114)*60/Q1114,"")</f>
        <v/>
      </c>
      <c r="T1114" s="57" t="str">
        <f>IF(AC1114=1,O1114/M1114,"")</f>
        <v/>
      </c>
      <c r="U1114" s="57" t="str">
        <f>IF(AC1114=1,IF(O1114&gt;0,R1114/O1114,""),"")</f>
        <v/>
      </c>
      <c r="V1114" s="57" t="str">
        <f>IF(AC1114=1,IF(P1114&gt;0,N(G1114)/P1114,""),"")</f>
        <v/>
      </c>
      <c r="W1114" s="57" t="str">
        <f>IF(AC1114=1,S1114/M1114,"")</f>
        <v/>
      </c>
      <c r="X1114" s="57" t="str">
        <f>IF(AC1114=1,S1114/K1114,"")</f>
        <v/>
      </c>
      <c r="Y1114" s="58" t="str">
        <f>IF(W1114="","",IF(W1114&gt;=p_target,"Bon",IF(W1114&gt;=p_alert,"À surveiller","Faible")))</f>
        <v/>
      </c>
      <c r="Z1114" s="58" t="str">
        <f>IF(W1114="","",IF(MIN(IF(T1114="",1,T1114),IF(U1114="",1,U1114),IF(V1114="",1,V1114))&gt;=1,"Aucune",IF(IF(T1114="",1,T1114)&lt;=MIN(IF(U1114="",1,U1114),IF(V1114="",1,V1114)),"Disponibilité",IF(IF(U1114="",1,U1114)&lt;=IF(V1114="",1,V1114),"Performance","Qualité"))))</f>
        <v/>
      </c>
      <c r="AA1114" s="59" t="str">
        <f>IF(AC1114=1,N(H1114)*N(IFERROR(INDEX(art_cost,MATCH(E1114,art_ref,0)),0)),"")</f>
        <v/>
      </c>
      <c r="AB1114" s="58" t="str">
        <f>IF(COUNTA(A1114:I1114)=0,"",IF(N(A1114)&lt;=0,"Date manquante ou invalide",IF(B1114="","Équipe manquante",IF(ISNA(MATCH(B1114,eq_code,0)),"Équipe inconnue",IF(INDEX(eq_check,MATCH(B1114,eq_code,0))&lt;&gt;"OK","Équipe à corriger dans Paramètres",IF(C1114="","Poste manquant",IF(ISNA(MATCH(C1114,po_code,0)),"Poste inconnu",IF(AND(E1114&lt;&gt;"",ISNA(MATCH(E1114,art_ref,0))),"Article inconnu",IF(IF(E1114="",FALSE,INDEX(art_check,MATCH(E1114,art_ref,0))&lt;&gt;"OK"),"Article à corriger (feuille Articles)",IF(COUNTIFS(sj_date,A1114,sj_eq,B1114,sj_po,C1114)&gt;1,"Ligne en double (même jour, équipe et poste)",IF(OR(NOT(ISNUMBER(K1114)),N(K1114)&lt;=0,N(K1114)&gt;1440),"Temps d'ouverture invalide",IF(OR(AND(G1114&lt;&gt;"",NOT(ISNUMBER(G1114))),N(G1114)&lt;0,N(G1114)&lt;&gt;INT(N(G1114)),AND(H1114&lt;&gt;"",NOT(ISNUMBER(H1114))),N(H1114)&lt;0,N(H1114)&lt;&gt;INT(N(H1114)),AND(I1114&lt;&gt;"",NOT(ISNUMBER(I1114))),N(I1114)&lt;0,N(I1114)&lt;&gt;INT(N(I1114))),"Quantité invalide",IF(Q1114&lt;=0,"Cadence manquante (poste ou article)",IF(M1114&lt;=0,"Arrêts planifiés supérieurs au temps d'ouverture",IF(O1114&lt;0,"Arrêts supérieurs au temps requis",IF(AND(P1114&gt;0,O1114=0),"Pièces déclarées sans temps de marche",IF(AND(P1114=0,O1114&gt;0),"Aucune pièce déclarée",IF(P1114*60/Q1114&gt;O1114+0.001,"Cadence dépassée : vérifiez la cadence","OK"))))))))))))))))))</f>
        <v/>
      </c>
      <c r="AC1114">
        <f>IF(OR(AB1114="OK",AB1114="Aucune pièce déclarée",AB1114="Cadence dépassée : vérifiez la cadence"),1,0)</f>
        <v>0.0</v>
      </c>
      <c r="AD1114">
        <f>IF(AND(AC1114=1,A1114&gt;=p_from,A1114&lt;=p_to),1,0)</f>
        <v>0.0</v>
      </c>
      <c r="AE1114">
        <f>IF(AD1114=1,IF(COUNTIFS($A$6:A1114,A1114,$AD$6:AD1114,1)=1,1,0),0)</f>
        <v>0.0</v>
      </c>
      <c r="AF1114" t="str">
        <f>IF(AE1114=1,COUNTIFS(sj_first,1,sj_date,"&lt;"&amp;A1114)+1,"")</f>
        <v/>
      </c>
      <c r="AG1114" t="str">
        <f>IF(AND(AD1114=1,N(W1114)&lt;p_alert),ROUND(W1114,4),"")</f>
        <v/>
      </c>
      <c r="AH1114" t="str">
        <f>IF(AG1114="","",COUNTIF(sj_akey,"&lt;"&amp;AG1114)+COUNTIF($AG$6:AG1114,AG1114))</f>
        <v/>
      </c>
    </row>
    <row r="1115">
      <c r="A1115" s="51" t="n"/>
      <c r="B1115" s="52" t="n"/>
      <c r="C1115" s="52" t="n"/>
      <c r="D1115" s="53" t="n"/>
      <c r="E1115" s="53" t="n"/>
      <c r="F1115" s="54" t="n"/>
      <c r="G1115" s="54" t="n"/>
      <c r="H1115" s="54" t="n"/>
      <c r="I1115" s="54" t="n"/>
      <c r="J1115" s="53" t="n"/>
      <c r="K1115" s="55" t="str">
        <f>IF(COUNTA(A1115:I1115)=0,"",IF(F1115="",IFERROR(INDEX(eq_dur,MATCH(B1115,eq_code,0)),""),F1115))</f>
        <v/>
      </c>
      <c r="L1115" s="55" t="str">
        <f>IF(ISNUMBER(K1115),N(IFERROR(INDEX(eq_pause,MATCH(B1115,eq_code,0)),0))+SUMIFS(st_min,st_date,A1115,st_eq,B1115,st_po,C1115,st_type,"Planifié"),"")</f>
        <v/>
      </c>
      <c r="M1115" s="55" t="str">
        <f>IF(ISNUMBER(K1115),K1115-L1115,"")</f>
        <v/>
      </c>
      <c r="N1115" s="55" t="str">
        <f>IF(ISNUMBER(K1115),SUMIFS(st_min,st_date,A1115,st_eq,B1115,st_po,C1115,st_type,"Non planifié"),"")</f>
        <v/>
      </c>
      <c r="O1115" s="55" t="str">
        <f>IF(ISNUMBER(K1115),M1115-N1115,"")</f>
        <v/>
      </c>
      <c r="P1115" s="55" t="str">
        <f>IF(COUNTA(A1115:I1115)=0,"",N(G1115)+N(H1115)+N(I1115))</f>
        <v/>
      </c>
      <c r="Q1115" s="56" t="str">
        <f>IF(COUNTA(A1115:I1115)=0,"",IF(N(IFERROR(INDEX(art_rate,MATCH(E1115,art_ref,0)),0))&gt;0,N(IFERROR(INDEX(art_rate,MATCH(E1115,art_ref,0)),0)),N(IFERROR(INDEX(po_rate,MATCH(C1115,po_code,0)),0))))</f>
        <v/>
      </c>
      <c r="R1115" s="55" t="str">
        <f>IF(AC1115=1,P1115*60/Q1115,"")</f>
        <v/>
      </c>
      <c r="S1115" s="55" t="str">
        <f>IF(AC1115=1,N(G1115)*60/Q1115,"")</f>
        <v/>
      </c>
      <c r="T1115" s="57" t="str">
        <f>IF(AC1115=1,O1115/M1115,"")</f>
        <v/>
      </c>
      <c r="U1115" s="57" t="str">
        <f>IF(AC1115=1,IF(O1115&gt;0,R1115/O1115,""),"")</f>
        <v/>
      </c>
      <c r="V1115" s="57" t="str">
        <f>IF(AC1115=1,IF(P1115&gt;0,N(G1115)/P1115,""),"")</f>
        <v/>
      </c>
      <c r="W1115" s="57" t="str">
        <f>IF(AC1115=1,S1115/M1115,"")</f>
        <v/>
      </c>
      <c r="X1115" s="57" t="str">
        <f>IF(AC1115=1,S1115/K1115,"")</f>
        <v/>
      </c>
      <c r="Y1115" s="58" t="str">
        <f>IF(W1115="","",IF(W1115&gt;=p_target,"Bon",IF(W1115&gt;=p_alert,"À surveiller","Faible")))</f>
        <v/>
      </c>
      <c r="Z1115" s="58" t="str">
        <f>IF(W1115="","",IF(MIN(IF(T1115="",1,T1115),IF(U1115="",1,U1115),IF(V1115="",1,V1115))&gt;=1,"Aucune",IF(IF(T1115="",1,T1115)&lt;=MIN(IF(U1115="",1,U1115),IF(V1115="",1,V1115)),"Disponibilité",IF(IF(U1115="",1,U1115)&lt;=IF(V1115="",1,V1115),"Performance","Qualité"))))</f>
        <v/>
      </c>
      <c r="AA1115" s="59" t="str">
        <f>IF(AC1115=1,N(H1115)*N(IFERROR(INDEX(art_cost,MATCH(E1115,art_ref,0)),0)),"")</f>
        <v/>
      </c>
      <c r="AB1115" s="58" t="str">
        <f>IF(COUNTA(A1115:I1115)=0,"",IF(N(A1115)&lt;=0,"Date manquante ou invalide",IF(B1115="","Équipe manquante",IF(ISNA(MATCH(B1115,eq_code,0)),"Équipe inconnue",IF(INDEX(eq_check,MATCH(B1115,eq_code,0))&lt;&gt;"OK","Équipe à corriger dans Paramètres",IF(C1115="","Poste manquant",IF(ISNA(MATCH(C1115,po_code,0)),"Poste inconnu",IF(AND(E1115&lt;&gt;"",ISNA(MATCH(E1115,art_ref,0))),"Article inconnu",IF(IF(E1115="",FALSE,INDEX(art_check,MATCH(E1115,art_ref,0))&lt;&gt;"OK"),"Article à corriger (feuille Articles)",IF(COUNTIFS(sj_date,A1115,sj_eq,B1115,sj_po,C1115)&gt;1,"Ligne en double (même jour, équipe et poste)",IF(OR(NOT(ISNUMBER(K1115)),N(K1115)&lt;=0,N(K1115)&gt;1440),"Temps d'ouverture invalide",IF(OR(AND(G1115&lt;&gt;"",NOT(ISNUMBER(G1115))),N(G1115)&lt;0,N(G1115)&lt;&gt;INT(N(G1115)),AND(H1115&lt;&gt;"",NOT(ISNUMBER(H1115))),N(H1115)&lt;0,N(H1115)&lt;&gt;INT(N(H1115)),AND(I1115&lt;&gt;"",NOT(ISNUMBER(I1115))),N(I1115)&lt;0,N(I1115)&lt;&gt;INT(N(I1115))),"Quantité invalide",IF(Q1115&lt;=0,"Cadence manquante (poste ou article)",IF(M1115&lt;=0,"Arrêts planifiés supérieurs au temps d'ouverture",IF(O1115&lt;0,"Arrêts supérieurs au temps requis",IF(AND(P1115&gt;0,O1115=0),"Pièces déclarées sans temps de marche",IF(AND(P1115=0,O1115&gt;0),"Aucune pièce déclarée",IF(P1115*60/Q1115&gt;O1115+0.001,"Cadence dépassée : vérifiez la cadence","OK"))))))))))))))))))</f>
        <v/>
      </c>
      <c r="AC1115">
        <f>IF(OR(AB1115="OK",AB1115="Aucune pièce déclarée",AB1115="Cadence dépassée : vérifiez la cadence"),1,0)</f>
        <v>0.0</v>
      </c>
      <c r="AD1115">
        <f>IF(AND(AC1115=1,A1115&gt;=p_from,A1115&lt;=p_to),1,0)</f>
        <v>0.0</v>
      </c>
      <c r="AE1115">
        <f>IF(AD1115=1,IF(COUNTIFS($A$6:A1115,A1115,$AD$6:AD1115,1)=1,1,0),0)</f>
        <v>0.0</v>
      </c>
      <c r="AF1115" t="str">
        <f>IF(AE1115=1,COUNTIFS(sj_first,1,sj_date,"&lt;"&amp;A1115)+1,"")</f>
        <v/>
      </c>
      <c r="AG1115" t="str">
        <f>IF(AND(AD1115=1,N(W1115)&lt;p_alert),ROUND(W1115,4),"")</f>
        <v/>
      </c>
      <c r="AH1115" t="str">
        <f>IF(AG1115="","",COUNTIF(sj_akey,"&lt;"&amp;AG1115)+COUNTIF($AG$6:AG1115,AG1115))</f>
        <v/>
      </c>
    </row>
    <row r="1116">
      <c r="A1116" s="51" t="n"/>
      <c r="B1116" s="52" t="n"/>
      <c r="C1116" s="52" t="n"/>
      <c r="D1116" s="53" t="n"/>
      <c r="E1116" s="53" t="n"/>
      <c r="F1116" s="54" t="n"/>
      <c r="G1116" s="54" t="n"/>
      <c r="H1116" s="54" t="n"/>
      <c r="I1116" s="54" t="n"/>
      <c r="J1116" s="53" t="n"/>
      <c r="K1116" s="55" t="str">
        <f>IF(COUNTA(A1116:I1116)=0,"",IF(F1116="",IFERROR(INDEX(eq_dur,MATCH(B1116,eq_code,0)),""),F1116))</f>
        <v/>
      </c>
      <c r="L1116" s="55" t="str">
        <f>IF(ISNUMBER(K1116),N(IFERROR(INDEX(eq_pause,MATCH(B1116,eq_code,0)),0))+SUMIFS(st_min,st_date,A1116,st_eq,B1116,st_po,C1116,st_type,"Planifié"),"")</f>
        <v/>
      </c>
      <c r="M1116" s="55" t="str">
        <f>IF(ISNUMBER(K1116),K1116-L1116,"")</f>
        <v/>
      </c>
      <c r="N1116" s="55" t="str">
        <f>IF(ISNUMBER(K1116),SUMIFS(st_min,st_date,A1116,st_eq,B1116,st_po,C1116,st_type,"Non planifié"),"")</f>
        <v/>
      </c>
      <c r="O1116" s="55" t="str">
        <f>IF(ISNUMBER(K1116),M1116-N1116,"")</f>
        <v/>
      </c>
      <c r="P1116" s="55" t="str">
        <f>IF(COUNTA(A1116:I1116)=0,"",N(G1116)+N(H1116)+N(I1116))</f>
        <v/>
      </c>
      <c r="Q1116" s="56" t="str">
        <f>IF(COUNTA(A1116:I1116)=0,"",IF(N(IFERROR(INDEX(art_rate,MATCH(E1116,art_ref,0)),0))&gt;0,N(IFERROR(INDEX(art_rate,MATCH(E1116,art_ref,0)),0)),N(IFERROR(INDEX(po_rate,MATCH(C1116,po_code,0)),0))))</f>
        <v/>
      </c>
      <c r="R1116" s="55" t="str">
        <f>IF(AC1116=1,P1116*60/Q1116,"")</f>
        <v/>
      </c>
      <c r="S1116" s="55" t="str">
        <f>IF(AC1116=1,N(G1116)*60/Q1116,"")</f>
        <v/>
      </c>
      <c r="T1116" s="57" t="str">
        <f>IF(AC1116=1,O1116/M1116,"")</f>
        <v/>
      </c>
      <c r="U1116" s="57" t="str">
        <f>IF(AC1116=1,IF(O1116&gt;0,R1116/O1116,""),"")</f>
        <v/>
      </c>
      <c r="V1116" s="57" t="str">
        <f>IF(AC1116=1,IF(P1116&gt;0,N(G1116)/P1116,""),"")</f>
        <v/>
      </c>
      <c r="W1116" s="57" t="str">
        <f>IF(AC1116=1,S1116/M1116,"")</f>
        <v/>
      </c>
      <c r="X1116" s="57" t="str">
        <f>IF(AC1116=1,S1116/K1116,"")</f>
        <v/>
      </c>
      <c r="Y1116" s="58" t="str">
        <f>IF(W1116="","",IF(W1116&gt;=p_target,"Bon",IF(W1116&gt;=p_alert,"À surveiller","Faible")))</f>
        <v/>
      </c>
      <c r="Z1116" s="58" t="str">
        <f>IF(W1116="","",IF(MIN(IF(T1116="",1,T1116),IF(U1116="",1,U1116),IF(V1116="",1,V1116))&gt;=1,"Aucune",IF(IF(T1116="",1,T1116)&lt;=MIN(IF(U1116="",1,U1116),IF(V1116="",1,V1116)),"Disponibilité",IF(IF(U1116="",1,U1116)&lt;=IF(V1116="",1,V1116),"Performance","Qualité"))))</f>
        <v/>
      </c>
      <c r="AA1116" s="59" t="str">
        <f>IF(AC1116=1,N(H1116)*N(IFERROR(INDEX(art_cost,MATCH(E1116,art_ref,0)),0)),"")</f>
        <v/>
      </c>
      <c r="AB1116" s="58" t="str">
        <f>IF(COUNTA(A1116:I1116)=0,"",IF(N(A1116)&lt;=0,"Date manquante ou invalide",IF(B1116="","Équipe manquante",IF(ISNA(MATCH(B1116,eq_code,0)),"Équipe inconnue",IF(INDEX(eq_check,MATCH(B1116,eq_code,0))&lt;&gt;"OK","Équipe à corriger dans Paramètres",IF(C1116="","Poste manquant",IF(ISNA(MATCH(C1116,po_code,0)),"Poste inconnu",IF(AND(E1116&lt;&gt;"",ISNA(MATCH(E1116,art_ref,0))),"Article inconnu",IF(IF(E1116="",FALSE,INDEX(art_check,MATCH(E1116,art_ref,0))&lt;&gt;"OK"),"Article à corriger (feuille Articles)",IF(COUNTIFS(sj_date,A1116,sj_eq,B1116,sj_po,C1116)&gt;1,"Ligne en double (même jour, équipe et poste)",IF(OR(NOT(ISNUMBER(K1116)),N(K1116)&lt;=0,N(K1116)&gt;1440),"Temps d'ouverture invalide",IF(OR(AND(G1116&lt;&gt;"",NOT(ISNUMBER(G1116))),N(G1116)&lt;0,N(G1116)&lt;&gt;INT(N(G1116)),AND(H1116&lt;&gt;"",NOT(ISNUMBER(H1116))),N(H1116)&lt;0,N(H1116)&lt;&gt;INT(N(H1116)),AND(I1116&lt;&gt;"",NOT(ISNUMBER(I1116))),N(I1116)&lt;0,N(I1116)&lt;&gt;INT(N(I1116))),"Quantité invalide",IF(Q1116&lt;=0,"Cadence manquante (poste ou article)",IF(M1116&lt;=0,"Arrêts planifiés supérieurs au temps d'ouverture",IF(O1116&lt;0,"Arrêts supérieurs au temps requis",IF(AND(P1116&gt;0,O1116=0),"Pièces déclarées sans temps de marche",IF(AND(P1116=0,O1116&gt;0),"Aucune pièce déclarée",IF(P1116*60/Q1116&gt;O1116+0.001,"Cadence dépassée : vérifiez la cadence","OK"))))))))))))))))))</f>
        <v/>
      </c>
      <c r="AC1116">
        <f>IF(OR(AB1116="OK",AB1116="Aucune pièce déclarée",AB1116="Cadence dépassée : vérifiez la cadence"),1,0)</f>
        <v>0.0</v>
      </c>
      <c r="AD1116">
        <f>IF(AND(AC1116=1,A1116&gt;=p_from,A1116&lt;=p_to),1,0)</f>
        <v>0.0</v>
      </c>
      <c r="AE1116">
        <f>IF(AD1116=1,IF(COUNTIFS($A$6:A1116,A1116,$AD$6:AD1116,1)=1,1,0),0)</f>
        <v>0.0</v>
      </c>
      <c r="AF1116" t="str">
        <f>IF(AE1116=1,COUNTIFS(sj_first,1,sj_date,"&lt;"&amp;A1116)+1,"")</f>
        <v/>
      </c>
      <c r="AG1116" t="str">
        <f>IF(AND(AD1116=1,N(W1116)&lt;p_alert),ROUND(W1116,4),"")</f>
        <v/>
      </c>
      <c r="AH1116" t="str">
        <f>IF(AG1116="","",COUNTIF(sj_akey,"&lt;"&amp;AG1116)+COUNTIF($AG$6:AG1116,AG1116))</f>
        <v/>
      </c>
    </row>
    <row r="1117">
      <c r="A1117" s="51" t="n"/>
      <c r="B1117" s="52" t="n"/>
      <c r="C1117" s="52" t="n"/>
      <c r="D1117" s="53" t="n"/>
      <c r="E1117" s="53" t="n"/>
      <c r="F1117" s="54" t="n"/>
      <c r="G1117" s="54" t="n"/>
      <c r="H1117" s="54" t="n"/>
      <c r="I1117" s="54" t="n"/>
      <c r="J1117" s="53" t="n"/>
      <c r="K1117" s="55" t="str">
        <f>IF(COUNTA(A1117:I1117)=0,"",IF(F1117="",IFERROR(INDEX(eq_dur,MATCH(B1117,eq_code,0)),""),F1117))</f>
        <v/>
      </c>
      <c r="L1117" s="55" t="str">
        <f>IF(ISNUMBER(K1117),N(IFERROR(INDEX(eq_pause,MATCH(B1117,eq_code,0)),0))+SUMIFS(st_min,st_date,A1117,st_eq,B1117,st_po,C1117,st_type,"Planifié"),"")</f>
        <v/>
      </c>
      <c r="M1117" s="55" t="str">
        <f>IF(ISNUMBER(K1117),K1117-L1117,"")</f>
        <v/>
      </c>
      <c r="N1117" s="55" t="str">
        <f>IF(ISNUMBER(K1117),SUMIFS(st_min,st_date,A1117,st_eq,B1117,st_po,C1117,st_type,"Non planifié"),"")</f>
        <v/>
      </c>
      <c r="O1117" s="55" t="str">
        <f>IF(ISNUMBER(K1117),M1117-N1117,"")</f>
        <v/>
      </c>
      <c r="P1117" s="55" t="str">
        <f>IF(COUNTA(A1117:I1117)=0,"",N(G1117)+N(H1117)+N(I1117))</f>
        <v/>
      </c>
      <c r="Q1117" s="56" t="str">
        <f>IF(COUNTA(A1117:I1117)=0,"",IF(N(IFERROR(INDEX(art_rate,MATCH(E1117,art_ref,0)),0))&gt;0,N(IFERROR(INDEX(art_rate,MATCH(E1117,art_ref,0)),0)),N(IFERROR(INDEX(po_rate,MATCH(C1117,po_code,0)),0))))</f>
        <v/>
      </c>
      <c r="R1117" s="55" t="str">
        <f>IF(AC1117=1,P1117*60/Q1117,"")</f>
        <v/>
      </c>
      <c r="S1117" s="55" t="str">
        <f>IF(AC1117=1,N(G1117)*60/Q1117,"")</f>
        <v/>
      </c>
      <c r="T1117" s="57" t="str">
        <f>IF(AC1117=1,O1117/M1117,"")</f>
        <v/>
      </c>
      <c r="U1117" s="57" t="str">
        <f>IF(AC1117=1,IF(O1117&gt;0,R1117/O1117,""),"")</f>
        <v/>
      </c>
      <c r="V1117" s="57" t="str">
        <f>IF(AC1117=1,IF(P1117&gt;0,N(G1117)/P1117,""),"")</f>
        <v/>
      </c>
      <c r="W1117" s="57" t="str">
        <f>IF(AC1117=1,S1117/M1117,"")</f>
        <v/>
      </c>
      <c r="X1117" s="57" t="str">
        <f>IF(AC1117=1,S1117/K1117,"")</f>
        <v/>
      </c>
      <c r="Y1117" s="58" t="str">
        <f>IF(W1117="","",IF(W1117&gt;=p_target,"Bon",IF(W1117&gt;=p_alert,"À surveiller","Faible")))</f>
        <v/>
      </c>
      <c r="Z1117" s="58" t="str">
        <f>IF(W1117="","",IF(MIN(IF(T1117="",1,T1117),IF(U1117="",1,U1117),IF(V1117="",1,V1117))&gt;=1,"Aucune",IF(IF(T1117="",1,T1117)&lt;=MIN(IF(U1117="",1,U1117),IF(V1117="",1,V1117)),"Disponibilité",IF(IF(U1117="",1,U1117)&lt;=IF(V1117="",1,V1117),"Performance","Qualité"))))</f>
        <v/>
      </c>
      <c r="AA1117" s="59" t="str">
        <f>IF(AC1117=1,N(H1117)*N(IFERROR(INDEX(art_cost,MATCH(E1117,art_ref,0)),0)),"")</f>
        <v/>
      </c>
      <c r="AB1117" s="58" t="str">
        <f>IF(COUNTA(A1117:I1117)=0,"",IF(N(A1117)&lt;=0,"Date manquante ou invalide",IF(B1117="","Équipe manquante",IF(ISNA(MATCH(B1117,eq_code,0)),"Équipe inconnue",IF(INDEX(eq_check,MATCH(B1117,eq_code,0))&lt;&gt;"OK","Équipe à corriger dans Paramètres",IF(C1117="","Poste manquant",IF(ISNA(MATCH(C1117,po_code,0)),"Poste inconnu",IF(AND(E1117&lt;&gt;"",ISNA(MATCH(E1117,art_ref,0))),"Article inconnu",IF(IF(E1117="",FALSE,INDEX(art_check,MATCH(E1117,art_ref,0))&lt;&gt;"OK"),"Article à corriger (feuille Articles)",IF(COUNTIFS(sj_date,A1117,sj_eq,B1117,sj_po,C1117)&gt;1,"Ligne en double (même jour, équipe et poste)",IF(OR(NOT(ISNUMBER(K1117)),N(K1117)&lt;=0,N(K1117)&gt;1440),"Temps d'ouverture invalide",IF(OR(AND(G1117&lt;&gt;"",NOT(ISNUMBER(G1117))),N(G1117)&lt;0,N(G1117)&lt;&gt;INT(N(G1117)),AND(H1117&lt;&gt;"",NOT(ISNUMBER(H1117))),N(H1117)&lt;0,N(H1117)&lt;&gt;INT(N(H1117)),AND(I1117&lt;&gt;"",NOT(ISNUMBER(I1117))),N(I1117)&lt;0,N(I1117)&lt;&gt;INT(N(I1117))),"Quantité invalide",IF(Q1117&lt;=0,"Cadence manquante (poste ou article)",IF(M1117&lt;=0,"Arrêts planifiés supérieurs au temps d'ouverture",IF(O1117&lt;0,"Arrêts supérieurs au temps requis",IF(AND(P1117&gt;0,O1117=0),"Pièces déclarées sans temps de marche",IF(AND(P1117=0,O1117&gt;0),"Aucune pièce déclarée",IF(P1117*60/Q1117&gt;O1117+0.001,"Cadence dépassée : vérifiez la cadence","OK"))))))))))))))))))</f>
        <v/>
      </c>
      <c r="AC1117">
        <f>IF(OR(AB1117="OK",AB1117="Aucune pièce déclarée",AB1117="Cadence dépassée : vérifiez la cadence"),1,0)</f>
        <v>0.0</v>
      </c>
      <c r="AD1117">
        <f>IF(AND(AC1117=1,A1117&gt;=p_from,A1117&lt;=p_to),1,0)</f>
        <v>0.0</v>
      </c>
      <c r="AE1117">
        <f>IF(AD1117=1,IF(COUNTIFS($A$6:A1117,A1117,$AD$6:AD1117,1)=1,1,0),0)</f>
        <v>0.0</v>
      </c>
      <c r="AF1117" t="str">
        <f>IF(AE1117=1,COUNTIFS(sj_first,1,sj_date,"&lt;"&amp;A1117)+1,"")</f>
        <v/>
      </c>
      <c r="AG1117" t="str">
        <f>IF(AND(AD1117=1,N(W1117)&lt;p_alert),ROUND(W1117,4),"")</f>
        <v/>
      </c>
      <c r="AH1117" t="str">
        <f>IF(AG1117="","",COUNTIF(sj_akey,"&lt;"&amp;AG1117)+COUNTIF($AG$6:AG1117,AG1117))</f>
        <v/>
      </c>
    </row>
    <row r="1118">
      <c r="A1118" s="51" t="n"/>
      <c r="B1118" s="52" t="n"/>
      <c r="C1118" s="52" t="n"/>
      <c r="D1118" s="53" t="n"/>
      <c r="E1118" s="53" t="n"/>
      <c r="F1118" s="54" t="n"/>
      <c r="G1118" s="54" t="n"/>
      <c r="H1118" s="54" t="n"/>
      <c r="I1118" s="54" t="n"/>
      <c r="J1118" s="53" t="n"/>
      <c r="K1118" s="55" t="str">
        <f>IF(COUNTA(A1118:I1118)=0,"",IF(F1118="",IFERROR(INDEX(eq_dur,MATCH(B1118,eq_code,0)),""),F1118))</f>
        <v/>
      </c>
      <c r="L1118" s="55" t="str">
        <f>IF(ISNUMBER(K1118),N(IFERROR(INDEX(eq_pause,MATCH(B1118,eq_code,0)),0))+SUMIFS(st_min,st_date,A1118,st_eq,B1118,st_po,C1118,st_type,"Planifié"),"")</f>
        <v/>
      </c>
      <c r="M1118" s="55" t="str">
        <f>IF(ISNUMBER(K1118),K1118-L1118,"")</f>
        <v/>
      </c>
      <c r="N1118" s="55" t="str">
        <f>IF(ISNUMBER(K1118),SUMIFS(st_min,st_date,A1118,st_eq,B1118,st_po,C1118,st_type,"Non planifié"),"")</f>
        <v/>
      </c>
      <c r="O1118" s="55" t="str">
        <f>IF(ISNUMBER(K1118),M1118-N1118,"")</f>
        <v/>
      </c>
      <c r="P1118" s="55" t="str">
        <f>IF(COUNTA(A1118:I1118)=0,"",N(G1118)+N(H1118)+N(I1118))</f>
        <v/>
      </c>
      <c r="Q1118" s="56" t="str">
        <f>IF(COUNTA(A1118:I1118)=0,"",IF(N(IFERROR(INDEX(art_rate,MATCH(E1118,art_ref,0)),0))&gt;0,N(IFERROR(INDEX(art_rate,MATCH(E1118,art_ref,0)),0)),N(IFERROR(INDEX(po_rate,MATCH(C1118,po_code,0)),0))))</f>
        <v/>
      </c>
      <c r="R1118" s="55" t="str">
        <f>IF(AC1118=1,P1118*60/Q1118,"")</f>
        <v/>
      </c>
      <c r="S1118" s="55" t="str">
        <f>IF(AC1118=1,N(G1118)*60/Q1118,"")</f>
        <v/>
      </c>
      <c r="T1118" s="57" t="str">
        <f>IF(AC1118=1,O1118/M1118,"")</f>
        <v/>
      </c>
      <c r="U1118" s="57" t="str">
        <f>IF(AC1118=1,IF(O1118&gt;0,R1118/O1118,""),"")</f>
        <v/>
      </c>
      <c r="V1118" s="57" t="str">
        <f>IF(AC1118=1,IF(P1118&gt;0,N(G1118)/P1118,""),"")</f>
        <v/>
      </c>
      <c r="W1118" s="57" t="str">
        <f>IF(AC1118=1,S1118/M1118,"")</f>
        <v/>
      </c>
      <c r="X1118" s="57" t="str">
        <f>IF(AC1118=1,S1118/K1118,"")</f>
        <v/>
      </c>
      <c r="Y1118" s="58" t="str">
        <f>IF(W1118="","",IF(W1118&gt;=p_target,"Bon",IF(W1118&gt;=p_alert,"À surveiller","Faible")))</f>
        <v/>
      </c>
      <c r="Z1118" s="58" t="str">
        <f>IF(W1118="","",IF(MIN(IF(T1118="",1,T1118),IF(U1118="",1,U1118),IF(V1118="",1,V1118))&gt;=1,"Aucune",IF(IF(T1118="",1,T1118)&lt;=MIN(IF(U1118="",1,U1118),IF(V1118="",1,V1118)),"Disponibilité",IF(IF(U1118="",1,U1118)&lt;=IF(V1118="",1,V1118),"Performance","Qualité"))))</f>
        <v/>
      </c>
      <c r="AA1118" s="59" t="str">
        <f>IF(AC1118=1,N(H1118)*N(IFERROR(INDEX(art_cost,MATCH(E1118,art_ref,0)),0)),"")</f>
        <v/>
      </c>
      <c r="AB1118" s="58" t="str">
        <f>IF(COUNTA(A1118:I1118)=0,"",IF(N(A1118)&lt;=0,"Date manquante ou invalide",IF(B1118="","Équipe manquante",IF(ISNA(MATCH(B1118,eq_code,0)),"Équipe inconnue",IF(INDEX(eq_check,MATCH(B1118,eq_code,0))&lt;&gt;"OK","Équipe à corriger dans Paramètres",IF(C1118="","Poste manquant",IF(ISNA(MATCH(C1118,po_code,0)),"Poste inconnu",IF(AND(E1118&lt;&gt;"",ISNA(MATCH(E1118,art_ref,0))),"Article inconnu",IF(IF(E1118="",FALSE,INDEX(art_check,MATCH(E1118,art_ref,0))&lt;&gt;"OK"),"Article à corriger (feuille Articles)",IF(COUNTIFS(sj_date,A1118,sj_eq,B1118,sj_po,C1118)&gt;1,"Ligne en double (même jour, équipe et poste)",IF(OR(NOT(ISNUMBER(K1118)),N(K1118)&lt;=0,N(K1118)&gt;1440),"Temps d'ouverture invalide",IF(OR(AND(G1118&lt;&gt;"",NOT(ISNUMBER(G1118))),N(G1118)&lt;0,N(G1118)&lt;&gt;INT(N(G1118)),AND(H1118&lt;&gt;"",NOT(ISNUMBER(H1118))),N(H1118)&lt;0,N(H1118)&lt;&gt;INT(N(H1118)),AND(I1118&lt;&gt;"",NOT(ISNUMBER(I1118))),N(I1118)&lt;0,N(I1118)&lt;&gt;INT(N(I1118))),"Quantité invalide",IF(Q1118&lt;=0,"Cadence manquante (poste ou article)",IF(M1118&lt;=0,"Arrêts planifiés supérieurs au temps d'ouverture",IF(O1118&lt;0,"Arrêts supérieurs au temps requis",IF(AND(P1118&gt;0,O1118=0),"Pièces déclarées sans temps de marche",IF(AND(P1118=0,O1118&gt;0),"Aucune pièce déclarée",IF(P1118*60/Q1118&gt;O1118+0.001,"Cadence dépassée : vérifiez la cadence","OK"))))))))))))))))))</f>
        <v/>
      </c>
      <c r="AC1118">
        <f>IF(OR(AB1118="OK",AB1118="Aucune pièce déclarée",AB1118="Cadence dépassée : vérifiez la cadence"),1,0)</f>
        <v>0.0</v>
      </c>
      <c r="AD1118">
        <f>IF(AND(AC1118=1,A1118&gt;=p_from,A1118&lt;=p_to),1,0)</f>
        <v>0.0</v>
      </c>
      <c r="AE1118">
        <f>IF(AD1118=1,IF(COUNTIFS($A$6:A1118,A1118,$AD$6:AD1118,1)=1,1,0),0)</f>
        <v>0.0</v>
      </c>
      <c r="AF1118" t="str">
        <f>IF(AE1118=1,COUNTIFS(sj_first,1,sj_date,"&lt;"&amp;A1118)+1,"")</f>
        <v/>
      </c>
      <c r="AG1118" t="str">
        <f>IF(AND(AD1118=1,N(W1118)&lt;p_alert),ROUND(W1118,4),"")</f>
        <v/>
      </c>
      <c r="AH1118" t="str">
        <f>IF(AG1118="","",COUNTIF(sj_akey,"&lt;"&amp;AG1118)+COUNTIF($AG$6:AG1118,AG1118))</f>
        <v/>
      </c>
    </row>
    <row r="1119">
      <c r="A1119" s="51" t="n"/>
      <c r="B1119" s="52" t="n"/>
      <c r="C1119" s="52" t="n"/>
      <c r="D1119" s="53" t="n"/>
      <c r="E1119" s="53" t="n"/>
      <c r="F1119" s="54" t="n"/>
      <c r="G1119" s="54" t="n"/>
      <c r="H1119" s="54" t="n"/>
      <c r="I1119" s="54" t="n"/>
      <c r="J1119" s="53" t="n"/>
      <c r="K1119" s="55" t="str">
        <f>IF(COUNTA(A1119:I1119)=0,"",IF(F1119="",IFERROR(INDEX(eq_dur,MATCH(B1119,eq_code,0)),""),F1119))</f>
        <v/>
      </c>
      <c r="L1119" s="55" t="str">
        <f>IF(ISNUMBER(K1119),N(IFERROR(INDEX(eq_pause,MATCH(B1119,eq_code,0)),0))+SUMIFS(st_min,st_date,A1119,st_eq,B1119,st_po,C1119,st_type,"Planifié"),"")</f>
        <v/>
      </c>
      <c r="M1119" s="55" t="str">
        <f>IF(ISNUMBER(K1119),K1119-L1119,"")</f>
        <v/>
      </c>
      <c r="N1119" s="55" t="str">
        <f>IF(ISNUMBER(K1119),SUMIFS(st_min,st_date,A1119,st_eq,B1119,st_po,C1119,st_type,"Non planifié"),"")</f>
        <v/>
      </c>
      <c r="O1119" s="55" t="str">
        <f>IF(ISNUMBER(K1119),M1119-N1119,"")</f>
        <v/>
      </c>
      <c r="P1119" s="55" t="str">
        <f>IF(COUNTA(A1119:I1119)=0,"",N(G1119)+N(H1119)+N(I1119))</f>
        <v/>
      </c>
      <c r="Q1119" s="56" t="str">
        <f>IF(COUNTA(A1119:I1119)=0,"",IF(N(IFERROR(INDEX(art_rate,MATCH(E1119,art_ref,0)),0))&gt;0,N(IFERROR(INDEX(art_rate,MATCH(E1119,art_ref,0)),0)),N(IFERROR(INDEX(po_rate,MATCH(C1119,po_code,0)),0))))</f>
        <v/>
      </c>
      <c r="R1119" s="55" t="str">
        <f>IF(AC1119=1,P1119*60/Q1119,"")</f>
        <v/>
      </c>
      <c r="S1119" s="55" t="str">
        <f>IF(AC1119=1,N(G1119)*60/Q1119,"")</f>
        <v/>
      </c>
      <c r="T1119" s="57" t="str">
        <f>IF(AC1119=1,O1119/M1119,"")</f>
        <v/>
      </c>
      <c r="U1119" s="57" t="str">
        <f>IF(AC1119=1,IF(O1119&gt;0,R1119/O1119,""),"")</f>
        <v/>
      </c>
      <c r="V1119" s="57" t="str">
        <f>IF(AC1119=1,IF(P1119&gt;0,N(G1119)/P1119,""),"")</f>
        <v/>
      </c>
      <c r="W1119" s="57" t="str">
        <f>IF(AC1119=1,S1119/M1119,"")</f>
        <v/>
      </c>
      <c r="X1119" s="57" t="str">
        <f>IF(AC1119=1,S1119/K1119,"")</f>
        <v/>
      </c>
      <c r="Y1119" s="58" t="str">
        <f>IF(W1119="","",IF(W1119&gt;=p_target,"Bon",IF(W1119&gt;=p_alert,"À surveiller","Faible")))</f>
        <v/>
      </c>
      <c r="Z1119" s="58" t="str">
        <f>IF(W1119="","",IF(MIN(IF(T1119="",1,T1119),IF(U1119="",1,U1119),IF(V1119="",1,V1119))&gt;=1,"Aucune",IF(IF(T1119="",1,T1119)&lt;=MIN(IF(U1119="",1,U1119),IF(V1119="",1,V1119)),"Disponibilité",IF(IF(U1119="",1,U1119)&lt;=IF(V1119="",1,V1119),"Performance","Qualité"))))</f>
        <v/>
      </c>
      <c r="AA1119" s="59" t="str">
        <f>IF(AC1119=1,N(H1119)*N(IFERROR(INDEX(art_cost,MATCH(E1119,art_ref,0)),0)),"")</f>
        <v/>
      </c>
      <c r="AB1119" s="58" t="str">
        <f>IF(COUNTA(A1119:I1119)=0,"",IF(N(A1119)&lt;=0,"Date manquante ou invalide",IF(B1119="","Équipe manquante",IF(ISNA(MATCH(B1119,eq_code,0)),"Équipe inconnue",IF(INDEX(eq_check,MATCH(B1119,eq_code,0))&lt;&gt;"OK","Équipe à corriger dans Paramètres",IF(C1119="","Poste manquant",IF(ISNA(MATCH(C1119,po_code,0)),"Poste inconnu",IF(AND(E1119&lt;&gt;"",ISNA(MATCH(E1119,art_ref,0))),"Article inconnu",IF(IF(E1119="",FALSE,INDEX(art_check,MATCH(E1119,art_ref,0))&lt;&gt;"OK"),"Article à corriger (feuille Articles)",IF(COUNTIFS(sj_date,A1119,sj_eq,B1119,sj_po,C1119)&gt;1,"Ligne en double (même jour, équipe et poste)",IF(OR(NOT(ISNUMBER(K1119)),N(K1119)&lt;=0,N(K1119)&gt;1440),"Temps d'ouverture invalide",IF(OR(AND(G1119&lt;&gt;"",NOT(ISNUMBER(G1119))),N(G1119)&lt;0,N(G1119)&lt;&gt;INT(N(G1119)),AND(H1119&lt;&gt;"",NOT(ISNUMBER(H1119))),N(H1119)&lt;0,N(H1119)&lt;&gt;INT(N(H1119)),AND(I1119&lt;&gt;"",NOT(ISNUMBER(I1119))),N(I1119)&lt;0,N(I1119)&lt;&gt;INT(N(I1119))),"Quantité invalide",IF(Q1119&lt;=0,"Cadence manquante (poste ou article)",IF(M1119&lt;=0,"Arrêts planifiés supérieurs au temps d'ouverture",IF(O1119&lt;0,"Arrêts supérieurs au temps requis",IF(AND(P1119&gt;0,O1119=0),"Pièces déclarées sans temps de marche",IF(AND(P1119=0,O1119&gt;0),"Aucune pièce déclarée",IF(P1119*60/Q1119&gt;O1119+0.001,"Cadence dépassée : vérifiez la cadence","OK"))))))))))))))))))</f>
        <v/>
      </c>
      <c r="AC1119">
        <f>IF(OR(AB1119="OK",AB1119="Aucune pièce déclarée",AB1119="Cadence dépassée : vérifiez la cadence"),1,0)</f>
        <v>0.0</v>
      </c>
      <c r="AD1119">
        <f>IF(AND(AC1119=1,A1119&gt;=p_from,A1119&lt;=p_to),1,0)</f>
        <v>0.0</v>
      </c>
      <c r="AE1119">
        <f>IF(AD1119=1,IF(COUNTIFS($A$6:A1119,A1119,$AD$6:AD1119,1)=1,1,0),0)</f>
        <v>0.0</v>
      </c>
      <c r="AF1119" t="str">
        <f>IF(AE1119=1,COUNTIFS(sj_first,1,sj_date,"&lt;"&amp;A1119)+1,"")</f>
        <v/>
      </c>
      <c r="AG1119" t="str">
        <f>IF(AND(AD1119=1,N(W1119)&lt;p_alert),ROUND(W1119,4),"")</f>
        <v/>
      </c>
      <c r="AH1119" t="str">
        <f>IF(AG1119="","",COUNTIF(sj_akey,"&lt;"&amp;AG1119)+COUNTIF($AG$6:AG1119,AG1119))</f>
        <v/>
      </c>
    </row>
    <row r="1120">
      <c r="A1120" s="51" t="n"/>
      <c r="B1120" s="52" t="n"/>
      <c r="C1120" s="52" t="n"/>
      <c r="D1120" s="53" t="n"/>
      <c r="E1120" s="53" t="n"/>
      <c r="F1120" s="54" t="n"/>
      <c r="G1120" s="54" t="n"/>
      <c r="H1120" s="54" t="n"/>
      <c r="I1120" s="54" t="n"/>
      <c r="J1120" s="53" t="n"/>
      <c r="K1120" s="55" t="str">
        <f>IF(COUNTA(A1120:I1120)=0,"",IF(F1120="",IFERROR(INDEX(eq_dur,MATCH(B1120,eq_code,0)),""),F1120))</f>
        <v/>
      </c>
      <c r="L1120" s="55" t="str">
        <f>IF(ISNUMBER(K1120),N(IFERROR(INDEX(eq_pause,MATCH(B1120,eq_code,0)),0))+SUMIFS(st_min,st_date,A1120,st_eq,B1120,st_po,C1120,st_type,"Planifié"),"")</f>
        <v/>
      </c>
      <c r="M1120" s="55" t="str">
        <f>IF(ISNUMBER(K1120),K1120-L1120,"")</f>
        <v/>
      </c>
      <c r="N1120" s="55" t="str">
        <f>IF(ISNUMBER(K1120),SUMIFS(st_min,st_date,A1120,st_eq,B1120,st_po,C1120,st_type,"Non planifié"),"")</f>
        <v/>
      </c>
      <c r="O1120" s="55" t="str">
        <f>IF(ISNUMBER(K1120),M1120-N1120,"")</f>
        <v/>
      </c>
      <c r="P1120" s="55" t="str">
        <f>IF(COUNTA(A1120:I1120)=0,"",N(G1120)+N(H1120)+N(I1120))</f>
        <v/>
      </c>
      <c r="Q1120" s="56" t="str">
        <f>IF(COUNTA(A1120:I1120)=0,"",IF(N(IFERROR(INDEX(art_rate,MATCH(E1120,art_ref,0)),0))&gt;0,N(IFERROR(INDEX(art_rate,MATCH(E1120,art_ref,0)),0)),N(IFERROR(INDEX(po_rate,MATCH(C1120,po_code,0)),0))))</f>
        <v/>
      </c>
      <c r="R1120" s="55" t="str">
        <f>IF(AC1120=1,P1120*60/Q1120,"")</f>
        <v/>
      </c>
      <c r="S1120" s="55" t="str">
        <f>IF(AC1120=1,N(G1120)*60/Q1120,"")</f>
        <v/>
      </c>
      <c r="T1120" s="57" t="str">
        <f>IF(AC1120=1,O1120/M1120,"")</f>
        <v/>
      </c>
      <c r="U1120" s="57" t="str">
        <f>IF(AC1120=1,IF(O1120&gt;0,R1120/O1120,""),"")</f>
        <v/>
      </c>
      <c r="V1120" s="57" t="str">
        <f>IF(AC1120=1,IF(P1120&gt;0,N(G1120)/P1120,""),"")</f>
        <v/>
      </c>
      <c r="W1120" s="57" t="str">
        <f>IF(AC1120=1,S1120/M1120,"")</f>
        <v/>
      </c>
      <c r="X1120" s="57" t="str">
        <f>IF(AC1120=1,S1120/K1120,"")</f>
        <v/>
      </c>
      <c r="Y1120" s="58" t="str">
        <f>IF(W1120="","",IF(W1120&gt;=p_target,"Bon",IF(W1120&gt;=p_alert,"À surveiller","Faible")))</f>
        <v/>
      </c>
      <c r="Z1120" s="58" t="str">
        <f>IF(W1120="","",IF(MIN(IF(T1120="",1,T1120),IF(U1120="",1,U1120),IF(V1120="",1,V1120))&gt;=1,"Aucune",IF(IF(T1120="",1,T1120)&lt;=MIN(IF(U1120="",1,U1120),IF(V1120="",1,V1120)),"Disponibilité",IF(IF(U1120="",1,U1120)&lt;=IF(V1120="",1,V1120),"Performance","Qualité"))))</f>
        <v/>
      </c>
      <c r="AA1120" s="59" t="str">
        <f>IF(AC1120=1,N(H1120)*N(IFERROR(INDEX(art_cost,MATCH(E1120,art_ref,0)),0)),"")</f>
        <v/>
      </c>
      <c r="AB1120" s="58" t="str">
        <f>IF(COUNTA(A1120:I1120)=0,"",IF(N(A1120)&lt;=0,"Date manquante ou invalide",IF(B1120="","Équipe manquante",IF(ISNA(MATCH(B1120,eq_code,0)),"Équipe inconnue",IF(INDEX(eq_check,MATCH(B1120,eq_code,0))&lt;&gt;"OK","Équipe à corriger dans Paramètres",IF(C1120="","Poste manquant",IF(ISNA(MATCH(C1120,po_code,0)),"Poste inconnu",IF(AND(E1120&lt;&gt;"",ISNA(MATCH(E1120,art_ref,0))),"Article inconnu",IF(IF(E1120="",FALSE,INDEX(art_check,MATCH(E1120,art_ref,0))&lt;&gt;"OK"),"Article à corriger (feuille Articles)",IF(COUNTIFS(sj_date,A1120,sj_eq,B1120,sj_po,C1120)&gt;1,"Ligne en double (même jour, équipe et poste)",IF(OR(NOT(ISNUMBER(K1120)),N(K1120)&lt;=0,N(K1120)&gt;1440),"Temps d'ouverture invalide",IF(OR(AND(G1120&lt;&gt;"",NOT(ISNUMBER(G1120))),N(G1120)&lt;0,N(G1120)&lt;&gt;INT(N(G1120)),AND(H1120&lt;&gt;"",NOT(ISNUMBER(H1120))),N(H1120)&lt;0,N(H1120)&lt;&gt;INT(N(H1120)),AND(I1120&lt;&gt;"",NOT(ISNUMBER(I1120))),N(I1120)&lt;0,N(I1120)&lt;&gt;INT(N(I1120))),"Quantité invalide",IF(Q1120&lt;=0,"Cadence manquante (poste ou article)",IF(M1120&lt;=0,"Arrêts planifiés supérieurs au temps d'ouverture",IF(O1120&lt;0,"Arrêts supérieurs au temps requis",IF(AND(P1120&gt;0,O1120=0),"Pièces déclarées sans temps de marche",IF(AND(P1120=0,O1120&gt;0),"Aucune pièce déclarée",IF(P1120*60/Q1120&gt;O1120+0.001,"Cadence dépassée : vérifiez la cadence","OK"))))))))))))))))))</f>
        <v/>
      </c>
      <c r="AC1120">
        <f>IF(OR(AB1120="OK",AB1120="Aucune pièce déclarée",AB1120="Cadence dépassée : vérifiez la cadence"),1,0)</f>
        <v>0.0</v>
      </c>
      <c r="AD1120">
        <f>IF(AND(AC1120=1,A1120&gt;=p_from,A1120&lt;=p_to),1,0)</f>
        <v>0.0</v>
      </c>
      <c r="AE1120">
        <f>IF(AD1120=1,IF(COUNTIFS($A$6:A1120,A1120,$AD$6:AD1120,1)=1,1,0),0)</f>
        <v>0.0</v>
      </c>
      <c r="AF1120" t="str">
        <f>IF(AE1120=1,COUNTIFS(sj_first,1,sj_date,"&lt;"&amp;A1120)+1,"")</f>
        <v/>
      </c>
      <c r="AG1120" t="str">
        <f>IF(AND(AD1120=1,N(W1120)&lt;p_alert),ROUND(W1120,4),"")</f>
        <v/>
      </c>
      <c r="AH1120" t="str">
        <f>IF(AG1120="","",COUNTIF(sj_akey,"&lt;"&amp;AG1120)+COUNTIF($AG$6:AG1120,AG1120))</f>
        <v/>
      </c>
    </row>
    <row r="1121">
      <c r="A1121" s="51" t="n"/>
      <c r="B1121" s="52" t="n"/>
      <c r="C1121" s="52" t="n"/>
      <c r="D1121" s="53" t="n"/>
      <c r="E1121" s="53" t="n"/>
      <c r="F1121" s="54" t="n"/>
      <c r="G1121" s="54" t="n"/>
      <c r="H1121" s="54" t="n"/>
      <c r="I1121" s="54" t="n"/>
      <c r="J1121" s="53" t="n"/>
      <c r="K1121" s="55" t="str">
        <f>IF(COUNTA(A1121:I1121)=0,"",IF(F1121="",IFERROR(INDEX(eq_dur,MATCH(B1121,eq_code,0)),""),F1121))</f>
        <v/>
      </c>
      <c r="L1121" s="55" t="str">
        <f>IF(ISNUMBER(K1121),N(IFERROR(INDEX(eq_pause,MATCH(B1121,eq_code,0)),0))+SUMIFS(st_min,st_date,A1121,st_eq,B1121,st_po,C1121,st_type,"Planifié"),"")</f>
        <v/>
      </c>
      <c r="M1121" s="55" t="str">
        <f>IF(ISNUMBER(K1121),K1121-L1121,"")</f>
        <v/>
      </c>
      <c r="N1121" s="55" t="str">
        <f>IF(ISNUMBER(K1121),SUMIFS(st_min,st_date,A1121,st_eq,B1121,st_po,C1121,st_type,"Non planifié"),"")</f>
        <v/>
      </c>
      <c r="O1121" s="55" t="str">
        <f>IF(ISNUMBER(K1121),M1121-N1121,"")</f>
        <v/>
      </c>
      <c r="P1121" s="55" t="str">
        <f>IF(COUNTA(A1121:I1121)=0,"",N(G1121)+N(H1121)+N(I1121))</f>
        <v/>
      </c>
      <c r="Q1121" s="56" t="str">
        <f>IF(COUNTA(A1121:I1121)=0,"",IF(N(IFERROR(INDEX(art_rate,MATCH(E1121,art_ref,0)),0))&gt;0,N(IFERROR(INDEX(art_rate,MATCH(E1121,art_ref,0)),0)),N(IFERROR(INDEX(po_rate,MATCH(C1121,po_code,0)),0))))</f>
        <v/>
      </c>
      <c r="R1121" s="55" t="str">
        <f>IF(AC1121=1,P1121*60/Q1121,"")</f>
        <v/>
      </c>
      <c r="S1121" s="55" t="str">
        <f>IF(AC1121=1,N(G1121)*60/Q1121,"")</f>
        <v/>
      </c>
      <c r="T1121" s="57" t="str">
        <f>IF(AC1121=1,O1121/M1121,"")</f>
        <v/>
      </c>
      <c r="U1121" s="57" t="str">
        <f>IF(AC1121=1,IF(O1121&gt;0,R1121/O1121,""),"")</f>
        <v/>
      </c>
      <c r="V1121" s="57" t="str">
        <f>IF(AC1121=1,IF(P1121&gt;0,N(G1121)/P1121,""),"")</f>
        <v/>
      </c>
      <c r="W1121" s="57" t="str">
        <f>IF(AC1121=1,S1121/M1121,"")</f>
        <v/>
      </c>
      <c r="X1121" s="57" t="str">
        <f>IF(AC1121=1,S1121/K1121,"")</f>
        <v/>
      </c>
      <c r="Y1121" s="58" t="str">
        <f>IF(W1121="","",IF(W1121&gt;=p_target,"Bon",IF(W1121&gt;=p_alert,"À surveiller","Faible")))</f>
        <v/>
      </c>
      <c r="Z1121" s="58" t="str">
        <f>IF(W1121="","",IF(MIN(IF(T1121="",1,T1121),IF(U1121="",1,U1121),IF(V1121="",1,V1121))&gt;=1,"Aucune",IF(IF(T1121="",1,T1121)&lt;=MIN(IF(U1121="",1,U1121),IF(V1121="",1,V1121)),"Disponibilité",IF(IF(U1121="",1,U1121)&lt;=IF(V1121="",1,V1121),"Performance","Qualité"))))</f>
        <v/>
      </c>
      <c r="AA1121" s="59" t="str">
        <f>IF(AC1121=1,N(H1121)*N(IFERROR(INDEX(art_cost,MATCH(E1121,art_ref,0)),0)),"")</f>
        <v/>
      </c>
      <c r="AB1121" s="58" t="str">
        <f>IF(COUNTA(A1121:I1121)=0,"",IF(N(A1121)&lt;=0,"Date manquante ou invalide",IF(B1121="","Équipe manquante",IF(ISNA(MATCH(B1121,eq_code,0)),"Équipe inconnue",IF(INDEX(eq_check,MATCH(B1121,eq_code,0))&lt;&gt;"OK","Équipe à corriger dans Paramètres",IF(C1121="","Poste manquant",IF(ISNA(MATCH(C1121,po_code,0)),"Poste inconnu",IF(AND(E1121&lt;&gt;"",ISNA(MATCH(E1121,art_ref,0))),"Article inconnu",IF(IF(E1121="",FALSE,INDEX(art_check,MATCH(E1121,art_ref,0))&lt;&gt;"OK"),"Article à corriger (feuille Articles)",IF(COUNTIFS(sj_date,A1121,sj_eq,B1121,sj_po,C1121)&gt;1,"Ligne en double (même jour, équipe et poste)",IF(OR(NOT(ISNUMBER(K1121)),N(K1121)&lt;=0,N(K1121)&gt;1440),"Temps d'ouverture invalide",IF(OR(AND(G1121&lt;&gt;"",NOT(ISNUMBER(G1121))),N(G1121)&lt;0,N(G1121)&lt;&gt;INT(N(G1121)),AND(H1121&lt;&gt;"",NOT(ISNUMBER(H1121))),N(H1121)&lt;0,N(H1121)&lt;&gt;INT(N(H1121)),AND(I1121&lt;&gt;"",NOT(ISNUMBER(I1121))),N(I1121)&lt;0,N(I1121)&lt;&gt;INT(N(I1121))),"Quantité invalide",IF(Q1121&lt;=0,"Cadence manquante (poste ou article)",IF(M1121&lt;=0,"Arrêts planifiés supérieurs au temps d'ouverture",IF(O1121&lt;0,"Arrêts supérieurs au temps requis",IF(AND(P1121&gt;0,O1121=0),"Pièces déclarées sans temps de marche",IF(AND(P1121=0,O1121&gt;0),"Aucune pièce déclarée",IF(P1121*60/Q1121&gt;O1121+0.001,"Cadence dépassée : vérifiez la cadence","OK"))))))))))))))))))</f>
        <v/>
      </c>
      <c r="AC1121">
        <f>IF(OR(AB1121="OK",AB1121="Aucune pièce déclarée",AB1121="Cadence dépassée : vérifiez la cadence"),1,0)</f>
        <v>0.0</v>
      </c>
      <c r="AD1121">
        <f>IF(AND(AC1121=1,A1121&gt;=p_from,A1121&lt;=p_to),1,0)</f>
        <v>0.0</v>
      </c>
      <c r="AE1121">
        <f>IF(AD1121=1,IF(COUNTIFS($A$6:A1121,A1121,$AD$6:AD1121,1)=1,1,0),0)</f>
        <v>0.0</v>
      </c>
      <c r="AF1121" t="str">
        <f>IF(AE1121=1,COUNTIFS(sj_first,1,sj_date,"&lt;"&amp;A1121)+1,"")</f>
        <v/>
      </c>
      <c r="AG1121" t="str">
        <f>IF(AND(AD1121=1,N(W1121)&lt;p_alert),ROUND(W1121,4),"")</f>
        <v/>
      </c>
      <c r="AH1121" t="str">
        <f>IF(AG1121="","",COUNTIF(sj_akey,"&lt;"&amp;AG1121)+COUNTIF($AG$6:AG1121,AG1121))</f>
        <v/>
      </c>
    </row>
    <row r="1122">
      <c r="A1122" s="51" t="n"/>
      <c r="B1122" s="52" t="n"/>
      <c r="C1122" s="52" t="n"/>
      <c r="D1122" s="53" t="n"/>
      <c r="E1122" s="53" t="n"/>
      <c r="F1122" s="54" t="n"/>
      <c r="G1122" s="54" t="n"/>
      <c r="H1122" s="54" t="n"/>
      <c r="I1122" s="54" t="n"/>
      <c r="J1122" s="53" t="n"/>
      <c r="K1122" s="55" t="str">
        <f>IF(COUNTA(A1122:I1122)=0,"",IF(F1122="",IFERROR(INDEX(eq_dur,MATCH(B1122,eq_code,0)),""),F1122))</f>
        <v/>
      </c>
      <c r="L1122" s="55" t="str">
        <f>IF(ISNUMBER(K1122),N(IFERROR(INDEX(eq_pause,MATCH(B1122,eq_code,0)),0))+SUMIFS(st_min,st_date,A1122,st_eq,B1122,st_po,C1122,st_type,"Planifié"),"")</f>
        <v/>
      </c>
      <c r="M1122" s="55" t="str">
        <f>IF(ISNUMBER(K1122),K1122-L1122,"")</f>
        <v/>
      </c>
      <c r="N1122" s="55" t="str">
        <f>IF(ISNUMBER(K1122),SUMIFS(st_min,st_date,A1122,st_eq,B1122,st_po,C1122,st_type,"Non planifié"),"")</f>
        <v/>
      </c>
      <c r="O1122" s="55" t="str">
        <f>IF(ISNUMBER(K1122),M1122-N1122,"")</f>
        <v/>
      </c>
      <c r="P1122" s="55" t="str">
        <f>IF(COUNTA(A1122:I1122)=0,"",N(G1122)+N(H1122)+N(I1122))</f>
        <v/>
      </c>
      <c r="Q1122" s="56" t="str">
        <f>IF(COUNTA(A1122:I1122)=0,"",IF(N(IFERROR(INDEX(art_rate,MATCH(E1122,art_ref,0)),0))&gt;0,N(IFERROR(INDEX(art_rate,MATCH(E1122,art_ref,0)),0)),N(IFERROR(INDEX(po_rate,MATCH(C1122,po_code,0)),0))))</f>
        <v/>
      </c>
      <c r="R1122" s="55" t="str">
        <f>IF(AC1122=1,P1122*60/Q1122,"")</f>
        <v/>
      </c>
      <c r="S1122" s="55" t="str">
        <f>IF(AC1122=1,N(G1122)*60/Q1122,"")</f>
        <v/>
      </c>
      <c r="T1122" s="57" t="str">
        <f>IF(AC1122=1,O1122/M1122,"")</f>
        <v/>
      </c>
      <c r="U1122" s="57" t="str">
        <f>IF(AC1122=1,IF(O1122&gt;0,R1122/O1122,""),"")</f>
        <v/>
      </c>
      <c r="V1122" s="57" t="str">
        <f>IF(AC1122=1,IF(P1122&gt;0,N(G1122)/P1122,""),"")</f>
        <v/>
      </c>
      <c r="W1122" s="57" t="str">
        <f>IF(AC1122=1,S1122/M1122,"")</f>
        <v/>
      </c>
      <c r="X1122" s="57" t="str">
        <f>IF(AC1122=1,S1122/K1122,"")</f>
        <v/>
      </c>
      <c r="Y1122" s="58" t="str">
        <f>IF(W1122="","",IF(W1122&gt;=p_target,"Bon",IF(W1122&gt;=p_alert,"À surveiller","Faible")))</f>
        <v/>
      </c>
      <c r="Z1122" s="58" t="str">
        <f>IF(W1122="","",IF(MIN(IF(T1122="",1,T1122),IF(U1122="",1,U1122),IF(V1122="",1,V1122))&gt;=1,"Aucune",IF(IF(T1122="",1,T1122)&lt;=MIN(IF(U1122="",1,U1122),IF(V1122="",1,V1122)),"Disponibilité",IF(IF(U1122="",1,U1122)&lt;=IF(V1122="",1,V1122),"Performance","Qualité"))))</f>
        <v/>
      </c>
      <c r="AA1122" s="59" t="str">
        <f>IF(AC1122=1,N(H1122)*N(IFERROR(INDEX(art_cost,MATCH(E1122,art_ref,0)),0)),"")</f>
        <v/>
      </c>
      <c r="AB1122" s="58" t="str">
        <f>IF(COUNTA(A1122:I1122)=0,"",IF(N(A1122)&lt;=0,"Date manquante ou invalide",IF(B1122="","Équipe manquante",IF(ISNA(MATCH(B1122,eq_code,0)),"Équipe inconnue",IF(INDEX(eq_check,MATCH(B1122,eq_code,0))&lt;&gt;"OK","Équipe à corriger dans Paramètres",IF(C1122="","Poste manquant",IF(ISNA(MATCH(C1122,po_code,0)),"Poste inconnu",IF(AND(E1122&lt;&gt;"",ISNA(MATCH(E1122,art_ref,0))),"Article inconnu",IF(IF(E1122="",FALSE,INDEX(art_check,MATCH(E1122,art_ref,0))&lt;&gt;"OK"),"Article à corriger (feuille Articles)",IF(COUNTIFS(sj_date,A1122,sj_eq,B1122,sj_po,C1122)&gt;1,"Ligne en double (même jour, équipe et poste)",IF(OR(NOT(ISNUMBER(K1122)),N(K1122)&lt;=0,N(K1122)&gt;1440),"Temps d'ouverture invalide",IF(OR(AND(G1122&lt;&gt;"",NOT(ISNUMBER(G1122))),N(G1122)&lt;0,N(G1122)&lt;&gt;INT(N(G1122)),AND(H1122&lt;&gt;"",NOT(ISNUMBER(H1122))),N(H1122)&lt;0,N(H1122)&lt;&gt;INT(N(H1122)),AND(I1122&lt;&gt;"",NOT(ISNUMBER(I1122))),N(I1122)&lt;0,N(I1122)&lt;&gt;INT(N(I1122))),"Quantité invalide",IF(Q1122&lt;=0,"Cadence manquante (poste ou article)",IF(M1122&lt;=0,"Arrêts planifiés supérieurs au temps d'ouverture",IF(O1122&lt;0,"Arrêts supérieurs au temps requis",IF(AND(P1122&gt;0,O1122=0),"Pièces déclarées sans temps de marche",IF(AND(P1122=0,O1122&gt;0),"Aucune pièce déclarée",IF(P1122*60/Q1122&gt;O1122+0.001,"Cadence dépassée : vérifiez la cadence","OK"))))))))))))))))))</f>
        <v/>
      </c>
      <c r="AC1122">
        <f>IF(OR(AB1122="OK",AB1122="Aucune pièce déclarée",AB1122="Cadence dépassée : vérifiez la cadence"),1,0)</f>
        <v>0.0</v>
      </c>
      <c r="AD1122">
        <f>IF(AND(AC1122=1,A1122&gt;=p_from,A1122&lt;=p_to),1,0)</f>
        <v>0.0</v>
      </c>
      <c r="AE1122">
        <f>IF(AD1122=1,IF(COUNTIFS($A$6:A1122,A1122,$AD$6:AD1122,1)=1,1,0),0)</f>
        <v>0.0</v>
      </c>
      <c r="AF1122" t="str">
        <f>IF(AE1122=1,COUNTIFS(sj_first,1,sj_date,"&lt;"&amp;A1122)+1,"")</f>
        <v/>
      </c>
      <c r="AG1122" t="str">
        <f>IF(AND(AD1122=1,N(W1122)&lt;p_alert),ROUND(W1122,4),"")</f>
        <v/>
      </c>
      <c r="AH1122" t="str">
        <f>IF(AG1122="","",COUNTIF(sj_akey,"&lt;"&amp;AG1122)+COUNTIF($AG$6:AG1122,AG1122))</f>
        <v/>
      </c>
    </row>
    <row r="1123">
      <c r="A1123" s="51" t="n"/>
      <c r="B1123" s="52" t="n"/>
      <c r="C1123" s="52" t="n"/>
      <c r="D1123" s="53" t="n"/>
      <c r="E1123" s="53" t="n"/>
      <c r="F1123" s="54" t="n"/>
      <c r="G1123" s="54" t="n"/>
      <c r="H1123" s="54" t="n"/>
      <c r="I1123" s="54" t="n"/>
      <c r="J1123" s="53" t="n"/>
      <c r="K1123" s="55" t="str">
        <f>IF(COUNTA(A1123:I1123)=0,"",IF(F1123="",IFERROR(INDEX(eq_dur,MATCH(B1123,eq_code,0)),""),F1123))</f>
        <v/>
      </c>
      <c r="L1123" s="55" t="str">
        <f>IF(ISNUMBER(K1123),N(IFERROR(INDEX(eq_pause,MATCH(B1123,eq_code,0)),0))+SUMIFS(st_min,st_date,A1123,st_eq,B1123,st_po,C1123,st_type,"Planifié"),"")</f>
        <v/>
      </c>
      <c r="M1123" s="55" t="str">
        <f>IF(ISNUMBER(K1123),K1123-L1123,"")</f>
        <v/>
      </c>
      <c r="N1123" s="55" t="str">
        <f>IF(ISNUMBER(K1123),SUMIFS(st_min,st_date,A1123,st_eq,B1123,st_po,C1123,st_type,"Non planifié"),"")</f>
        <v/>
      </c>
      <c r="O1123" s="55" t="str">
        <f>IF(ISNUMBER(K1123),M1123-N1123,"")</f>
        <v/>
      </c>
      <c r="P1123" s="55" t="str">
        <f>IF(COUNTA(A1123:I1123)=0,"",N(G1123)+N(H1123)+N(I1123))</f>
        <v/>
      </c>
      <c r="Q1123" s="56" t="str">
        <f>IF(COUNTA(A1123:I1123)=0,"",IF(N(IFERROR(INDEX(art_rate,MATCH(E1123,art_ref,0)),0))&gt;0,N(IFERROR(INDEX(art_rate,MATCH(E1123,art_ref,0)),0)),N(IFERROR(INDEX(po_rate,MATCH(C1123,po_code,0)),0))))</f>
        <v/>
      </c>
      <c r="R1123" s="55" t="str">
        <f>IF(AC1123=1,P1123*60/Q1123,"")</f>
        <v/>
      </c>
      <c r="S1123" s="55" t="str">
        <f>IF(AC1123=1,N(G1123)*60/Q1123,"")</f>
        <v/>
      </c>
      <c r="T1123" s="57" t="str">
        <f>IF(AC1123=1,O1123/M1123,"")</f>
        <v/>
      </c>
      <c r="U1123" s="57" t="str">
        <f>IF(AC1123=1,IF(O1123&gt;0,R1123/O1123,""),"")</f>
        <v/>
      </c>
      <c r="V1123" s="57" t="str">
        <f>IF(AC1123=1,IF(P1123&gt;0,N(G1123)/P1123,""),"")</f>
        <v/>
      </c>
      <c r="W1123" s="57" t="str">
        <f>IF(AC1123=1,S1123/M1123,"")</f>
        <v/>
      </c>
      <c r="X1123" s="57" t="str">
        <f>IF(AC1123=1,S1123/K1123,"")</f>
        <v/>
      </c>
      <c r="Y1123" s="58" t="str">
        <f>IF(W1123="","",IF(W1123&gt;=p_target,"Bon",IF(W1123&gt;=p_alert,"À surveiller","Faible")))</f>
        <v/>
      </c>
      <c r="Z1123" s="58" t="str">
        <f>IF(W1123="","",IF(MIN(IF(T1123="",1,T1123),IF(U1123="",1,U1123),IF(V1123="",1,V1123))&gt;=1,"Aucune",IF(IF(T1123="",1,T1123)&lt;=MIN(IF(U1123="",1,U1123),IF(V1123="",1,V1123)),"Disponibilité",IF(IF(U1123="",1,U1123)&lt;=IF(V1123="",1,V1123),"Performance","Qualité"))))</f>
        <v/>
      </c>
      <c r="AA1123" s="59" t="str">
        <f>IF(AC1123=1,N(H1123)*N(IFERROR(INDEX(art_cost,MATCH(E1123,art_ref,0)),0)),"")</f>
        <v/>
      </c>
      <c r="AB1123" s="58" t="str">
        <f>IF(COUNTA(A1123:I1123)=0,"",IF(N(A1123)&lt;=0,"Date manquante ou invalide",IF(B1123="","Équipe manquante",IF(ISNA(MATCH(B1123,eq_code,0)),"Équipe inconnue",IF(INDEX(eq_check,MATCH(B1123,eq_code,0))&lt;&gt;"OK","Équipe à corriger dans Paramètres",IF(C1123="","Poste manquant",IF(ISNA(MATCH(C1123,po_code,0)),"Poste inconnu",IF(AND(E1123&lt;&gt;"",ISNA(MATCH(E1123,art_ref,0))),"Article inconnu",IF(IF(E1123="",FALSE,INDEX(art_check,MATCH(E1123,art_ref,0))&lt;&gt;"OK"),"Article à corriger (feuille Articles)",IF(COUNTIFS(sj_date,A1123,sj_eq,B1123,sj_po,C1123)&gt;1,"Ligne en double (même jour, équipe et poste)",IF(OR(NOT(ISNUMBER(K1123)),N(K1123)&lt;=0,N(K1123)&gt;1440),"Temps d'ouverture invalide",IF(OR(AND(G1123&lt;&gt;"",NOT(ISNUMBER(G1123))),N(G1123)&lt;0,N(G1123)&lt;&gt;INT(N(G1123)),AND(H1123&lt;&gt;"",NOT(ISNUMBER(H1123))),N(H1123)&lt;0,N(H1123)&lt;&gt;INT(N(H1123)),AND(I1123&lt;&gt;"",NOT(ISNUMBER(I1123))),N(I1123)&lt;0,N(I1123)&lt;&gt;INT(N(I1123))),"Quantité invalide",IF(Q1123&lt;=0,"Cadence manquante (poste ou article)",IF(M1123&lt;=0,"Arrêts planifiés supérieurs au temps d'ouverture",IF(O1123&lt;0,"Arrêts supérieurs au temps requis",IF(AND(P1123&gt;0,O1123=0),"Pièces déclarées sans temps de marche",IF(AND(P1123=0,O1123&gt;0),"Aucune pièce déclarée",IF(P1123*60/Q1123&gt;O1123+0.001,"Cadence dépassée : vérifiez la cadence","OK"))))))))))))))))))</f>
        <v/>
      </c>
      <c r="AC1123">
        <f>IF(OR(AB1123="OK",AB1123="Aucune pièce déclarée",AB1123="Cadence dépassée : vérifiez la cadence"),1,0)</f>
        <v>0.0</v>
      </c>
      <c r="AD1123">
        <f>IF(AND(AC1123=1,A1123&gt;=p_from,A1123&lt;=p_to),1,0)</f>
        <v>0.0</v>
      </c>
      <c r="AE1123">
        <f>IF(AD1123=1,IF(COUNTIFS($A$6:A1123,A1123,$AD$6:AD1123,1)=1,1,0),0)</f>
        <v>0.0</v>
      </c>
      <c r="AF1123" t="str">
        <f>IF(AE1123=1,COUNTIFS(sj_first,1,sj_date,"&lt;"&amp;A1123)+1,"")</f>
        <v/>
      </c>
      <c r="AG1123" t="str">
        <f>IF(AND(AD1123=1,N(W1123)&lt;p_alert),ROUND(W1123,4),"")</f>
        <v/>
      </c>
      <c r="AH1123" t="str">
        <f>IF(AG1123="","",COUNTIF(sj_akey,"&lt;"&amp;AG1123)+COUNTIF($AG$6:AG1123,AG1123))</f>
        <v/>
      </c>
    </row>
    <row r="1124">
      <c r="A1124" s="51" t="n"/>
      <c r="B1124" s="52" t="n"/>
      <c r="C1124" s="52" t="n"/>
      <c r="D1124" s="53" t="n"/>
      <c r="E1124" s="53" t="n"/>
      <c r="F1124" s="54" t="n"/>
      <c r="G1124" s="54" t="n"/>
      <c r="H1124" s="54" t="n"/>
      <c r="I1124" s="54" t="n"/>
      <c r="J1124" s="53" t="n"/>
      <c r="K1124" s="55" t="str">
        <f>IF(COUNTA(A1124:I1124)=0,"",IF(F1124="",IFERROR(INDEX(eq_dur,MATCH(B1124,eq_code,0)),""),F1124))</f>
        <v/>
      </c>
      <c r="L1124" s="55" t="str">
        <f>IF(ISNUMBER(K1124),N(IFERROR(INDEX(eq_pause,MATCH(B1124,eq_code,0)),0))+SUMIFS(st_min,st_date,A1124,st_eq,B1124,st_po,C1124,st_type,"Planifié"),"")</f>
        <v/>
      </c>
      <c r="M1124" s="55" t="str">
        <f>IF(ISNUMBER(K1124),K1124-L1124,"")</f>
        <v/>
      </c>
      <c r="N1124" s="55" t="str">
        <f>IF(ISNUMBER(K1124),SUMIFS(st_min,st_date,A1124,st_eq,B1124,st_po,C1124,st_type,"Non planifié"),"")</f>
        <v/>
      </c>
      <c r="O1124" s="55" t="str">
        <f>IF(ISNUMBER(K1124),M1124-N1124,"")</f>
        <v/>
      </c>
      <c r="P1124" s="55" t="str">
        <f>IF(COUNTA(A1124:I1124)=0,"",N(G1124)+N(H1124)+N(I1124))</f>
        <v/>
      </c>
      <c r="Q1124" s="56" t="str">
        <f>IF(COUNTA(A1124:I1124)=0,"",IF(N(IFERROR(INDEX(art_rate,MATCH(E1124,art_ref,0)),0))&gt;0,N(IFERROR(INDEX(art_rate,MATCH(E1124,art_ref,0)),0)),N(IFERROR(INDEX(po_rate,MATCH(C1124,po_code,0)),0))))</f>
        <v/>
      </c>
      <c r="R1124" s="55" t="str">
        <f>IF(AC1124=1,P1124*60/Q1124,"")</f>
        <v/>
      </c>
      <c r="S1124" s="55" t="str">
        <f>IF(AC1124=1,N(G1124)*60/Q1124,"")</f>
        <v/>
      </c>
      <c r="T1124" s="57" t="str">
        <f>IF(AC1124=1,O1124/M1124,"")</f>
        <v/>
      </c>
      <c r="U1124" s="57" t="str">
        <f>IF(AC1124=1,IF(O1124&gt;0,R1124/O1124,""),"")</f>
        <v/>
      </c>
      <c r="V1124" s="57" t="str">
        <f>IF(AC1124=1,IF(P1124&gt;0,N(G1124)/P1124,""),"")</f>
        <v/>
      </c>
      <c r="W1124" s="57" t="str">
        <f>IF(AC1124=1,S1124/M1124,"")</f>
        <v/>
      </c>
      <c r="X1124" s="57" t="str">
        <f>IF(AC1124=1,S1124/K1124,"")</f>
        <v/>
      </c>
      <c r="Y1124" s="58" t="str">
        <f>IF(W1124="","",IF(W1124&gt;=p_target,"Bon",IF(W1124&gt;=p_alert,"À surveiller","Faible")))</f>
        <v/>
      </c>
      <c r="Z1124" s="58" t="str">
        <f>IF(W1124="","",IF(MIN(IF(T1124="",1,T1124),IF(U1124="",1,U1124),IF(V1124="",1,V1124))&gt;=1,"Aucune",IF(IF(T1124="",1,T1124)&lt;=MIN(IF(U1124="",1,U1124),IF(V1124="",1,V1124)),"Disponibilité",IF(IF(U1124="",1,U1124)&lt;=IF(V1124="",1,V1124),"Performance","Qualité"))))</f>
        <v/>
      </c>
      <c r="AA1124" s="59" t="str">
        <f>IF(AC1124=1,N(H1124)*N(IFERROR(INDEX(art_cost,MATCH(E1124,art_ref,0)),0)),"")</f>
        <v/>
      </c>
      <c r="AB1124" s="58" t="str">
        <f>IF(COUNTA(A1124:I1124)=0,"",IF(N(A1124)&lt;=0,"Date manquante ou invalide",IF(B1124="","Équipe manquante",IF(ISNA(MATCH(B1124,eq_code,0)),"Équipe inconnue",IF(INDEX(eq_check,MATCH(B1124,eq_code,0))&lt;&gt;"OK","Équipe à corriger dans Paramètres",IF(C1124="","Poste manquant",IF(ISNA(MATCH(C1124,po_code,0)),"Poste inconnu",IF(AND(E1124&lt;&gt;"",ISNA(MATCH(E1124,art_ref,0))),"Article inconnu",IF(IF(E1124="",FALSE,INDEX(art_check,MATCH(E1124,art_ref,0))&lt;&gt;"OK"),"Article à corriger (feuille Articles)",IF(COUNTIFS(sj_date,A1124,sj_eq,B1124,sj_po,C1124)&gt;1,"Ligne en double (même jour, équipe et poste)",IF(OR(NOT(ISNUMBER(K1124)),N(K1124)&lt;=0,N(K1124)&gt;1440),"Temps d'ouverture invalide",IF(OR(AND(G1124&lt;&gt;"",NOT(ISNUMBER(G1124))),N(G1124)&lt;0,N(G1124)&lt;&gt;INT(N(G1124)),AND(H1124&lt;&gt;"",NOT(ISNUMBER(H1124))),N(H1124)&lt;0,N(H1124)&lt;&gt;INT(N(H1124)),AND(I1124&lt;&gt;"",NOT(ISNUMBER(I1124))),N(I1124)&lt;0,N(I1124)&lt;&gt;INT(N(I1124))),"Quantité invalide",IF(Q1124&lt;=0,"Cadence manquante (poste ou article)",IF(M1124&lt;=0,"Arrêts planifiés supérieurs au temps d'ouverture",IF(O1124&lt;0,"Arrêts supérieurs au temps requis",IF(AND(P1124&gt;0,O1124=0),"Pièces déclarées sans temps de marche",IF(AND(P1124=0,O1124&gt;0),"Aucune pièce déclarée",IF(P1124*60/Q1124&gt;O1124+0.001,"Cadence dépassée : vérifiez la cadence","OK"))))))))))))))))))</f>
        <v/>
      </c>
      <c r="AC1124">
        <f>IF(OR(AB1124="OK",AB1124="Aucune pièce déclarée",AB1124="Cadence dépassée : vérifiez la cadence"),1,0)</f>
        <v>0.0</v>
      </c>
      <c r="AD1124">
        <f>IF(AND(AC1124=1,A1124&gt;=p_from,A1124&lt;=p_to),1,0)</f>
        <v>0.0</v>
      </c>
      <c r="AE1124">
        <f>IF(AD1124=1,IF(COUNTIFS($A$6:A1124,A1124,$AD$6:AD1124,1)=1,1,0),0)</f>
        <v>0.0</v>
      </c>
      <c r="AF1124" t="str">
        <f>IF(AE1124=1,COUNTIFS(sj_first,1,sj_date,"&lt;"&amp;A1124)+1,"")</f>
        <v/>
      </c>
      <c r="AG1124" t="str">
        <f>IF(AND(AD1124=1,N(W1124)&lt;p_alert),ROUND(W1124,4),"")</f>
        <v/>
      </c>
      <c r="AH1124" t="str">
        <f>IF(AG1124="","",COUNTIF(sj_akey,"&lt;"&amp;AG1124)+COUNTIF($AG$6:AG1124,AG1124))</f>
        <v/>
      </c>
    </row>
    <row r="1125">
      <c r="A1125" s="51" t="n"/>
      <c r="B1125" s="52" t="n"/>
      <c r="C1125" s="52" t="n"/>
      <c r="D1125" s="53" t="n"/>
      <c r="E1125" s="53" t="n"/>
      <c r="F1125" s="54" t="n"/>
      <c r="G1125" s="54" t="n"/>
      <c r="H1125" s="54" t="n"/>
      <c r="I1125" s="54" t="n"/>
      <c r="J1125" s="53" t="n"/>
      <c r="K1125" s="55" t="str">
        <f>IF(COUNTA(A1125:I1125)=0,"",IF(F1125="",IFERROR(INDEX(eq_dur,MATCH(B1125,eq_code,0)),""),F1125))</f>
        <v/>
      </c>
      <c r="L1125" s="55" t="str">
        <f>IF(ISNUMBER(K1125),N(IFERROR(INDEX(eq_pause,MATCH(B1125,eq_code,0)),0))+SUMIFS(st_min,st_date,A1125,st_eq,B1125,st_po,C1125,st_type,"Planifié"),"")</f>
        <v/>
      </c>
      <c r="M1125" s="55" t="str">
        <f>IF(ISNUMBER(K1125),K1125-L1125,"")</f>
        <v/>
      </c>
      <c r="N1125" s="55" t="str">
        <f>IF(ISNUMBER(K1125),SUMIFS(st_min,st_date,A1125,st_eq,B1125,st_po,C1125,st_type,"Non planifié"),"")</f>
        <v/>
      </c>
      <c r="O1125" s="55" t="str">
        <f>IF(ISNUMBER(K1125),M1125-N1125,"")</f>
        <v/>
      </c>
      <c r="P1125" s="55" t="str">
        <f>IF(COUNTA(A1125:I1125)=0,"",N(G1125)+N(H1125)+N(I1125))</f>
        <v/>
      </c>
      <c r="Q1125" s="56" t="str">
        <f>IF(COUNTA(A1125:I1125)=0,"",IF(N(IFERROR(INDEX(art_rate,MATCH(E1125,art_ref,0)),0))&gt;0,N(IFERROR(INDEX(art_rate,MATCH(E1125,art_ref,0)),0)),N(IFERROR(INDEX(po_rate,MATCH(C1125,po_code,0)),0))))</f>
        <v/>
      </c>
      <c r="R1125" s="55" t="str">
        <f>IF(AC1125=1,P1125*60/Q1125,"")</f>
        <v/>
      </c>
      <c r="S1125" s="55" t="str">
        <f>IF(AC1125=1,N(G1125)*60/Q1125,"")</f>
        <v/>
      </c>
      <c r="T1125" s="57" t="str">
        <f>IF(AC1125=1,O1125/M1125,"")</f>
        <v/>
      </c>
      <c r="U1125" s="57" t="str">
        <f>IF(AC1125=1,IF(O1125&gt;0,R1125/O1125,""),"")</f>
        <v/>
      </c>
      <c r="V1125" s="57" t="str">
        <f>IF(AC1125=1,IF(P1125&gt;0,N(G1125)/P1125,""),"")</f>
        <v/>
      </c>
      <c r="W1125" s="57" t="str">
        <f>IF(AC1125=1,S1125/M1125,"")</f>
        <v/>
      </c>
      <c r="X1125" s="57" t="str">
        <f>IF(AC1125=1,S1125/K1125,"")</f>
        <v/>
      </c>
      <c r="Y1125" s="58" t="str">
        <f>IF(W1125="","",IF(W1125&gt;=p_target,"Bon",IF(W1125&gt;=p_alert,"À surveiller","Faible")))</f>
        <v/>
      </c>
      <c r="Z1125" s="58" t="str">
        <f>IF(W1125="","",IF(MIN(IF(T1125="",1,T1125),IF(U1125="",1,U1125),IF(V1125="",1,V1125))&gt;=1,"Aucune",IF(IF(T1125="",1,T1125)&lt;=MIN(IF(U1125="",1,U1125),IF(V1125="",1,V1125)),"Disponibilité",IF(IF(U1125="",1,U1125)&lt;=IF(V1125="",1,V1125),"Performance","Qualité"))))</f>
        <v/>
      </c>
      <c r="AA1125" s="59" t="str">
        <f>IF(AC1125=1,N(H1125)*N(IFERROR(INDEX(art_cost,MATCH(E1125,art_ref,0)),0)),"")</f>
        <v/>
      </c>
      <c r="AB1125" s="58" t="str">
        <f>IF(COUNTA(A1125:I1125)=0,"",IF(N(A1125)&lt;=0,"Date manquante ou invalide",IF(B1125="","Équipe manquante",IF(ISNA(MATCH(B1125,eq_code,0)),"Équipe inconnue",IF(INDEX(eq_check,MATCH(B1125,eq_code,0))&lt;&gt;"OK","Équipe à corriger dans Paramètres",IF(C1125="","Poste manquant",IF(ISNA(MATCH(C1125,po_code,0)),"Poste inconnu",IF(AND(E1125&lt;&gt;"",ISNA(MATCH(E1125,art_ref,0))),"Article inconnu",IF(IF(E1125="",FALSE,INDEX(art_check,MATCH(E1125,art_ref,0))&lt;&gt;"OK"),"Article à corriger (feuille Articles)",IF(COUNTIFS(sj_date,A1125,sj_eq,B1125,sj_po,C1125)&gt;1,"Ligne en double (même jour, équipe et poste)",IF(OR(NOT(ISNUMBER(K1125)),N(K1125)&lt;=0,N(K1125)&gt;1440),"Temps d'ouverture invalide",IF(OR(AND(G1125&lt;&gt;"",NOT(ISNUMBER(G1125))),N(G1125)&lt;0,N(G1125)&lt;&gt;INT(N(G1125)),AND(H1125&lt;&gt;"",NOT(ISNUMBER(H1125))),N(H1125)&lt;0,N(H1125)&lt;&gt;INT(N(H1125)),AND(I1125&lt;&gt;"",NOT(ISNUMBER(I1125))),N(I1125)&lt;0,N(I1125)&lt;&gt;INT(N(I1125))),"Quantité invalide",IF(Q1125&lt;=0,"Cadence manquante (poste ou article)",IF(M1125&lt;=0,"Arrêts planifiés supérieurs au temps d'ouverture",IF(O1125&lt;0,"Arrêts supérieurs au temps requis",IF(AND(P1125&gt;0,O1125=0),"Pièces déclarées sans temps de marche",IF(AND(P1125=0,O1125&gt;0),"Aucune pièce déclarée",IF(P1125*60/Q1125&gt;O1125+0.001,"Cadence dépassée : vérifiez la cadence","OK"))))))))))))))))))</f>
        <v/>
      </c>
      <c r="AC1125">
        <f>IF(OR(AB1125="OK",AB1125="Aucune pièce déclarée",AB1125="Cadence dépassée : vérifiez la cadence"),1,0)</f>
        <v>0.0</v>
      </c>
      <c r="AD1125">
        <f>IF(AND(AC1125=1,A1125&gt;=p_from,A1125&lt;=p_to),1,0)</f>
        <v>0.0</v>
      </c>
      <c r="AE1125">
        <f>IF(AD1125=1,IF(COUNTIFS($A$6:A1125,A1125,$AD$6:AD1125,1)=1,1,0),0)</f>
        <v>0.0</v>
      </c>
      <c r="AF1125" t="str">
        <f>IF(AE1125=1,COUNTIFS(sj_first,1,sj_date,"&lt;"&amp;A1125)+1,"")</f>
        <v/>
      </c>
      <c r="AG1125" t="str">
        <f>IF(AND(AD1125=1,N(W1125)&lt;p_alert),ROUND(W1125,4),"")</f>
        <v/>
      </c>
      <c r="AH1125" t="str">
        <f>IF(AG1125="","",COUNTIF(sj_akey,"&lt;"&amp;AG1125)+COUNTIF($AG$6:AG1125,AG1125))</f>
        <v/>
      </c>
    </row>
    <row r="1126">
      <c r="A1126" s="51" t="n"/>
      <c r="B1126" s="52" t="n"/>
      <c r="C1126" s="52" t="n"/>
      <c r="D1126" s="53" t="n"/>
      <c r="E1126" s="53" t="n"/>
      <c r="F1126" s="54" t="n"/>
      <c r="G1126" s="54" t="n"/>
      <c r="H1126" s="54" t="n"/>
      <c r="I1126" s="54" t="n"/>
      <c r="J1126" s="53" t="n"/>
      <c r="K1126" s="55" t="str">
        <f>IF(COUNTA(A1126:I1126)=0,"",IF(F1126="",IFERROR(INDEX(eq_dur,MATCH(B1126,eq_code,0)),""),F1126))</f>
        <v/>
      </c>
      <c r="L1126" s="55" t="str">
        <f>IF(ISNUMBER(K1126),N(IFERROR(INDEX(eq_pause,MATCH(B1126,eq_code,0)),0))+SUMIFS(st_min,st_date,A1126,st_eq,B1126,st_po,C1126,st_type,"Planifié"),"")</f>
        <v/>
      </c>
      <c r="M1126" s="55" t="str">
        <f>IF(ISNUMBER(K1126),K1126-L1126,"")</f>
        <v/>
      </c>
      <c r="N1126" s="55" t="str">
        <f>IF(ISNUMBER(K1126),SUMIFS(st_min,st_date,A1126,st_eq,B1126,st_po,C1126,st_type,"Non planifié"),"")</f>
        <v/>
      </c>
      <c r="O1126" s="55" t="str">
        <f>IF(ISNUMBER(K1126),M1126-N1126,"")</f>
        <v/>
      </c>
      <c r="P1126" s="55" t="str">
        <f>IF(COUNTA(A1126:I1126)=0,"",N(G1126)+N(H1126)+N(I1126))</f>
        <v/>
      </c>
      <c r="Q1126" s="56" t="str">
        <f>IF(COUNTA(A1126:I1126)=0,"",IF(N(IFERROR(INDEX(art_rate,MATCH(E1126,art_ref,0)),0))&gt;0,N(IFERROR(INDEX(art_rate,MATCH(E1126,art_ref,0)),0)),N(IFERROR(INDEX(po_rate,MATCH(C1126,po_code,0)),0))))</f>
        <v/>
      </c>
      <c r="R1126" s="55" t="str">
        <f>IF(AC1126=1,P1126*60/Q1126,"")</f>
        <v/>
      </c>
      <c r="S1126" s="55" t="str">
        <f>IF(AC1126=1,N(G1126)*60/Q1126,"")</f>
        <v/>
      </c>
      <c r="T1126" s="57" t="str">
        <f>IF(AC1126=1,O1126/M1126,"")</f>
        <v/>
      </c>
      <c r="U1126" s="57" t="str">
        <f>IF(AC1126=1,IF(O1126&gt;0,R1126/O1126,""),"")</f>
        <v/>
      </c>
      <c r="V1126" s="57" t="str">
        <f>IF(AC1126=1,IF(P1126&gt;0,N(G1126)/P1126,""),"")</f>
        <v/>
      </c>
      <c r="W1126" s="57" t="str">
        <f>IF(AC1126=1,S1126/M1126,"")</f>
        <v/>
      </c>
      <c r="X1126" s="57" t="str">
        <f>IF(AC1126=1,S1126/K1126,"")</f>
        <v/>
      </c>
      <c r="Y1126" s="58" t="str">
        <f>IF(W1126="","",IF(W1126&gt;=p_target,"Bon",IF(W1126&gt;=p_alert,"À surveiller","Faible")))</f>
        <v/>
      </c>
      <c r="Z1126" s="58" t="str">
        <f>IF(W1126="","",IF(MIN(IF(T1126="",1,T1126),IF(U1126="",1,U1126),IF(V1126="",1,V1126))&gt;=1,"Aucune",IF(IF(T1126="",1,T1126)&lt;=MIN(IF(U1126="",1,U1126),IF(V1126="",1,V1126)),"Disponibilité",IF(IF(U1126="",1,U1126)&lt;=IF(V1126="",1,V1126),"Performance","Qualité"))))</f>
        <v/>
      </c>
      <c r="AA1126" s="59" t="str">
        <f>IF(AC1126=1,N(H1126)*N(IFERROR(INDEX(art_cost,MATCH(E1126,art_ref,0)),0)),"")</f>
        <v/>
      </c>
      <c r="AB1126" s="58" t="str">
        <f>IF(COUNTA(A1126:I1126)=0,"",IF(N(A1126)&lt;=0,"Date manquante ou invalide",IF(B1126="","Équipe manquante",IF(ISNA(MATCH(B1126,eq_code,0)),"Équipe inconnue",IF(INDEX(eq_check,MATCH(B1126,eq_code,0))&lt;&gt;"OK","Équipe à corriger dans Paramètres",IF(C1126="","Poste manquant",IF(ISNA(MATCH(C1126,po_code,0)),"Poste inconnu",IF(AND(E1126&lt;&gt;"",ISNA(MATCH(E1126,art_ref,0))),"Article inconnu",IF(IF(E1126="",FALSE,INDEX(art_check,MATCH(E1126,art_ref,0))&lt;&gt;"OK"),"Article à corriger (feuille Articles)",IF(COUNTIFS(sj_date,A1126,sj_eq,B1126,sj_po,C1126)&gt;1,"Ligne en double (même jour, équipe et poste)",IF(OR(NOT(ISNUMBER(K1126)),N(K1126)&lt;=0,N(K1126)&gt;1440),"Temps d'ouverture invalide",IF(OR(AND(G1126&lt;&gt;"",NOT(ISNUMBER(G1126))),N(G1126)&lt;0,N(G1126)&lt;&gt;INT(N(G1126)),AND(H1126&lt;&gt;"",NOT(ISNUMBER(H1126))),N(H1126)&lt;0,N(H1126)&lt;&gt;INT(N(H1126)),AND(I1126&lt;&gt;"",NOT(ISNUMBER(I1126))),N(I1126)&lt;0,N(I1126)&lt;&gt;INT(N(I1126))),"Quantité invalide",IF(Q1126&lt;=0,"Cadence manquante (poste ou article)",IF(M1126&lt;=0,"Arrêts planifiés supérieurs au temps d'ouverture",IF(O1126&lt;0,"Arrêts supérieurs au temps requis",IF(AND(P1126&gt;0,O1126=0),"Pièces déclarées sans temps de marche",IF(AND(P1126=0,O1126&gt;0),"Aucune pièce déclarée",IF(P1126*60/Q1126&gt;O1126+0.001,"Cadence dépassée : vérifiez la cadence","OK"))))))))))))))))))</f>
        <v/>
      </c>
      <c r="AC1126">
        <f>IF(OR(AB1126="OK",AB1126="Aucune pièce déclarée",AB1126="Cadence dépassée : vérifiez la cadence"),1,0)</f>
        <v>0.0</v>
      </c>
      <c r="AD1126">
        <f>IF(AND(AC1126=1,A1126&gt;=p_from,A1126&lt;=p_to),1,0)</f>
        <v>0.0</v>
      </c>
      <c r="AE1126">
        <f>IF(AD1126=1,IF(COUNTIFS($A$6:A1126,A1126,$AD$6:AD1126,1)=1,1,0),0)</f>
        <v>0.0</v>
      </c>
      <c r="AF1126" t="str">
        <f>IF(AE1126=1,COUNTIFS(sj_first,1,sj_date,"&lt;"&amp;A1126)+1,"")</f>
        <v/>
      </c>
      <c r="AG1126" t="str">
        <f>IF(AND(AD1126=1,N(W1126)&lt;p_alert),ROUND(W1126,4),"")</f>
        <v/>
      </c>
      <c r="AH1126" t="str">
        <f>IF(AG1126="","",COUNTIF(sj_akey,"&lt;"&amp;AG1126)+COUNTIF($AG$6:AG1126,AG1126))</f>
        <v/>
      </c>
    </row>
    <row r="1127">
      <c r="A1127" s="51" t="n"/>
      <c r="B1127" s="52" t="n"/>
      <c r="C1127" s="52" t="n"/>
      <c r="D1127" s="53" t="n"/>
      <c r="E1127" s="53" t="n"/>
      <c r="F1127" s="54" t="n"/>
      <c r="G1127" s="54" t="n"/>
      <c r="H1127" s="54" t="n"/>
      <c r="I1127" s="54" t="n"/>
      <c r="J1127" s="53" t="n"/>
      <c r="K1127" s="55" t="str">
        <f>IF(COUNTA(A1127:I1127)=0,"",IF(F1127="",IFERROR(INDEX(eq_dur,MATCH(B1127,eq_code,0)),""),F1127))</f>
        <v/>
      </c>
      <c r="L1127" s="55" t="str">
        <f>IF(ISNUMBER(K1127),N(IFERROR(INDEX(eq_pause,MATCH(B1127,eq_code,0)),0))+SUMIFS(st_min,st_date,A1127,st_eq,B1127,st_po,C1127,st_type,"Planifié"),"")</f>
        <v/>
      </c>
      <c r="M1127" s="55" t="str">
        <f>IF(ISNUMBER(K1127),K1127-L1127,"")</f>
        <v/>
      </c>
      <c r="N1127" s="55" t="str">
        <f>IF(ISNUMBER(K1127),SUMIFS(st_min,st_date,A1127,st_eq,B1127,st_po,C1127,st_type,"Non planifié"),"")</f>
        <v/>
      </c>
      <c r="O1127" s="55" t="str">
        <f>IF(ISNUMBER(K1127),M1127-N1127,"")</f>
        <v/>
      </c>
      <c r="P1127" s="55" t="str">
        <f>IF(COUNTA(A1127:I1127)=0,"",N(G1127)+N(H1127)+N(I1127))</f>
        <v/>
      </c>
      <c r="Q1127" s="56" t="str">
        <f>IF(COUNTA(A1127:I1127)=0,"",IF(N(IFERROR(INDEX(art_rate,MATCH(E1127,art_ref,0)),0))&gt;0,N(IFERROR(INDEX(art_rate,MATCH(E1127,art_ref,0)),0)),N(IFERROR(INDEX(po_rate,MATCH(C1127,po_code,0)),0))))</f>
        <v/>
      </c>
      <c r="R1127" s="55" t="str">
        <f>IF(AC1127=1,P1127*60/Q1127,"")</f>
        <v/>
      </c>
      <c r="S1127" s="55" t="str">
        <f>IF(AC1127=1,N(G1127)*60/Q1127,"")</f>
        <v/>
      </c>
      <c r="T1127" s="57" t="str">
        <f>IF(AC1127=1,O1127/M1127,"")</f>
        <v/>
      </c>
      <c r="U1127" s="57" t="str">
        <f>IF(AC1127=1,IF(O1127&gt;0,R1127/O1127,""),"")</f>
        <v/>
      </c>
      <c r="V1127" s="57" t="str">
        <f>IF(AC1127=1,IF(P1127&gt;0,N(G1127)/P1127,""),"")</f>
        <v/>
      </c>
      <c r="W1127" s="57" t="str">
        <f>IF(AC1127=1,S1127/M1127,"")</f>
        <v/>
      </c>
      <c r="X1127" s="57" t="str">
        <f>IF(AC1127=1,S1127/K1127,"")</f>
        <v/>
      </c>
      <c r="Y1127" s="58" t="str">
        <f>IF(W1127="","",IF(W1127&gt;=p_target,"Bon",IF(W1127&gt;=p_alert,"À surveiller","Faible")))</f>
        <v/>
      </c>
      <c r="Z1127" s="58" t="str">
        <f>IF(W1127="","",IF(MIN(IF(T1127="",1,T1127),IF(U1127="",1,U1127),IF(V1127="",1,V1127))&gt;=1,"Aucune",IF(IF(T1127="",1,T1127)&lt;=MIN(IF(U1127="",1,U1127),IF(V1127="",1,V1127)),"Disponibilité",IF(IF(U1127="",1,U1127)&lt;=IF(V1127="",1,V1127),"Performance","Qualité"))))</f>
        <v/>
      </c>
      <c r="AA1127" s="59" t="str">
        <f>IF(AC1127=1,N(H1127)*N(IFERROR(INDEX(art_cost,MATCH(E1127,art_ref,0)),0)),"")</f>
        <v/>
      </c>
      <c r="AB1127" s="58" t="str">
        <f>IF(COUNTA(A1127:I1127)=0,"",IF(N(A1127)&lt;=0,"Date manquante ou invalide",IF(B1127="","Équipe manquante",IF(ISNA(MATCH(B1127,eq_code,0)),"Équipe inconnue",IF(INDEX(eq_check,MATCH(B1127,eq_code,0))&lt;&gt;"OK","Équipe à corriger dans Paramètres",IF(C1127="","Poste manquant",IF(ISNA(MATCH(C1127,po_code,0)),"Poste inconnu",IF(AND(E1127&lt;&gt;"",ISNA(MATCH(E1127,art_ref,0))),"Article inconnu",IF(IF(E1127="",FALSE,INDEX(art_check,MATCH(E1127,art_ref,0))&lt;&gt;"OK"),"Article à corriger (feuille Articles)",IF(COUNTIFS(sj_date,A1127,sj_eq,B1127,sj_po,C1127)&gt;1,"Ligne en double (même jour, équipe et poste)",IF(OR(NOT(ISNUMBER(K1127)),N(K1127)&lt;=0,N(K1127)&gt;1440),"Temps d'ouverture invalide",IF(OR(AND(G1127&lt;&gt;"",NOT(ISNUMBER(G1127))),N(G1127)&lt;0,N(G1127)&lt;&gt;INT(N(G1127)),AND(H1127&lt;&gt;"",NOT(ISNUMBER(H1127))),N(H1127)&lt;0,N(H1127)&lt;&gt;INT(N(H1127)),AND(I1127&lt;&gt;"",NOT(ISNUMBER(I1127))),N(I1127)&lt;0,N(I1127)&lt;&gt;INT(N(I1127))),"Quantité invalide",IF(Q1127&lt;=0,"Cadence manquante (poste ou article)",IF(M1127&lt;=0,"Arrêts planifiés supérieurs au temps d'ouverture",IF(O1127&lt;0,"Arrêts supérieurs au temps requis",IF(AND(P1127&gt;0,O1127=0),"Pièces déclarées sans temps de marche",IF(AND(P1127=0,O1127&gt;0),"Aucune pièce déclarée",IF(P1127*60/Q1127&gt;O1127+0.001,"Cadence dépassée : vérifiez la cadence","OK"))))))))))))))))))</f>
        <v/>
      </c>
      <c r="AC1127">
        <f>IF(OR(AB1127="OK",AB1127="Aucune pièce déclarée",AB1127="Cadence dépassée : vérifiez la cadence"),1,0)</f>
        <v>0.0</v>
      </c>
      <c r="AD1127">
        <f>IF(AND(AC1127=1,A1127&gt;=p_from,A1127&lt;=p_to),1,0)</f>
        <v>0.0</v>
      </c>
      <c r="AE1127">
        <f>IF(AD1127=1,IF(COUNTIFS($A$6:A1127,A1127,$AD$6:AD1127,1)=1,1,0),0)</f>
        <v>0.0</v>
      </c>
      <c r="AF1127" t="str">
        <f>IF(AE1127=1,COUNTIFS(sj_first,1,sj_date,"&lt;"&amp;A1127)+1,"")</f>
        <v/>
      </c>
      <c r="AG1127" t="str">
        <f>IF(AND(AD1127=1,N(W1127)&lt;p_alert),ROUND(W1127,4),"")</f>
        <v/>
      </c>
      <c r="AH1127" t="str">
        <f>IF(AG1127="","",COUNTIF(sj_akey,"&lt;"&amp;AG1127)+COUNTIF($AG$6:AG1127,AG1127))</f>
        <v/>
      </c>
    </row>
    <row r="1128">
      <c r="A1128" s="51" t="n"/>
      <c r="B1128" s="52" t="n"/>
      <c r="C1128" s="52" t="n"/>
      <c r="D1128" s="53" t="n"/>
      <c r="E1128" s="53" t="n"/>
      <c r="F1128" s="54" t="n"/>
      <c r="G1128" s="54" t="n"/>
      <c r="H1128" s="54" t="n"/>
      <c r="I1128" s="54" t="n"/>
      <c r="J1128" s="53" t="n"/>
      <c r="K1128" s="55" t="str">
        <f>IF(COUNTA(A1128:I1128)=0,"",IF(F1128="",IFERROR(INDEX(eq_dur,MATCH(B1128,eq_code,0)),""),F1128))</f>
        <v/>
      </c>
      <c r="L1128" s="55" t="str">
        <f>IF(ISNUMBER(K1128),N(IFERROR(INDEX(eq_pause,MATCH(B1128,eq_code,0)),0))+SUMIFS(st_min,st_date,A1128,st_eq,B1128,st_po,C1128,st_type,"Planifié"),"")</f>
        <v/>
      </c>
      <c r="M1128" s="55" t="str">
        <f>IF(ISNUMBER(K1128),K1128-L1128,"")</f>
        <v/>
      </c>
      <c r="N1128" s="55" t="str">
        <f>IF(ISNUMBER(K1128),SUMIFS(st_min,st_date,A1128,st_eq,B1128,st_po,C1128,st_type,"Non planifié"),"")</f>
        <v/>
      </c>
      <c r="O1128" s="55" t="str">
        <f>IF(ISNUMBER(K1128),M1128-N1128,"")</f>
        <v/>
      </c>
      <c r="P1128" s="55" t="str">
        <f>IF(COUNTA(A1128:I1128)=0,"",N(G1128)+N(H1128)+N(I1128))</f>
        <v/>
      </c>
      <c r="Q1128" s="56" t="str">
        <f>IF(COUNTA(A1128:I1128)=0,"",IF(N(IFERROR(INDEX(art_rate,MATCH(E1128,art_ref,0)),0))&gt;0,N(IFERROR(INDEX(art_rate,MATCH(E1128,art_ref,0)),0)),N(IFERROR(INDEX(po_rate,MATCH(C1128,po_code,0)),0))))</f>
        <v/>
      </c>
      <c r="R1128" s="55" t="str">
        <f>IF(AC1128=1,P1128*60/Q1128,"")</f>
        <v/>
      </c>
      <c r="S1128" s="55" t="str">
        <f>IF(AC1128=1,N(G1128)*60/Q1128,"")</f>
        <v/>
      </c>
      <c r="T1128" s="57" t="str">
        <f>IF(AC1128=1,O1128/M1128,"")</f>
        <v/>
      </c>
      <c r="U1128" s="57" t="str">
        <f>IF(AC1128=1,IF(O1128&gt;0,R1128/O1128,""),"")</f>
        <v/>
      </c>
      <c r="V1128" s="57" t="str">
        <f>IF(AC1128=1,IF(P1128&gt;0,N(G1128)/P1128,""),"")</f>
        <v/>
      </c>
      <c r="W1128" s="57" t="str">
        <f>IF(AC1128=1,S1128/M1128,"")</f>
        <v/>
      </c>
      <c r="X1128" s="57" t="str">
        <f>IF(AC1128=1,S1128/K1128,"")</f>
        <v/>
      </c>
      <c r="Y1128" s="58" t="str">
        <f>IF(W1128="","",IF(W1128&gt;=p_target,"Bon",IF(W1128&gt;=p_alert,"À surveiller","Faible")))</f>
        <v/>
      </c>
      <c r="Z1128" s="58" t="str">
        <f>IF(W1128="","",IF(MIN(IF(T1128="",1,T1128),IF(U1128="",1,U1128),IF(V1128="",1,V1128))&gt;=1,"Aucune",IF(IF(T1128="",1,T1128)&lt;=MIN(IF(U1128="",1,U1128),IF(V1128="",1,V1128)),"Disponibilité",IF(IF(U1128="",1,U1128)&lt;=IF(V1128="",1,V1128),"Performance","Qualité"))))</f>
        <v/>
      </c>
      <c r="AA1128" s="59" t="str">
        <f>IF(AC1128=1,N(H1128)*N(IFERROR(INDEX(art_cost,MATCH(E1128,art_ref,0)),0)),"")</f>
        <v/>
      </c>
      <c r="AB1128" s="58" t="str">
        <f>IF(COUNTA(A1128:I1128)=0,"",IF(N(A1128)&lt;=0,"Date manquante ou invalide",IF(B1128="","Équipe manquante",IF(ISNA(MATCH(B1128,eq_code,0)),"Équipe inconnue",IF(INDEX(eq_check,MATCH(B1128,eq_code,0))&lt;&gt;"OK","Équipe à corriger dans Paramètres",IF(C1128="","Poste manquant",IF(ISNA(MATCH(C1128,po_code,0)),"Poste inconnu",IF(AND(E1128&lt;&gt;"",ISNA(MATCH(E1128,art_ref,0))),"Article inconnu",IF(IF(E1128="",FALSE,INDEX(art_check,MATCH(E1128,art_ref,0))&lt;&gt;"OK"),"Article à corriger (feuille Articles)",IF(COUNTIFS(sj_date,A1128,sj_eq,B1128,sj_po,C1128)&gt;1,"Ligne en double (même jour, équipe et poste)",IF(OR(NOT(ISNUMBER(K1128)),N(K1128)&lt;=0,N(K1128)&gt;1440),"Temps d'ouverture invalide",IF(OR(AND(G1128&lt;&gt;"",NOT(ISNUMBER(G1128))),N(G1128)&lt;0,N(G1128)&lt;&gt;INT(N(G1128)),AND(H1128&lt;&gt;"",NOT(ISNUMBER(H1128))),N(H1128)&lt;0,N(H1128)&lt;&gt;INT(N(H1128)),AND(I1128&lt;&gt;"",NOT(ISNUMBER(I1128))),N(I1128)&lt;0,N(I1128)&lt;&gt;INT(N(I1128))),"Quantité invalide",IF(Q1128&lt;=0,"Cadence manquante (poste ou article)",IF(M1128&lt;=0,"Arrêts planifiés supérieurs au temps d'ouverture",IF(O1128&lt;0,"Arrêts supérieurs au temps requis",IF(AND(P1128&gt;0,O1128=0),"Pièces déclarées sans temps de marche",IF(AND(P1128=0,O1128&gt;0),"Aucune pièce déclarée",IF(P1128*60/Q1128&gt;O1128+0.001,"Cadence dépassée : vérifiez la cadence","OK"))))))))))))))))))</f>
        <v/>
      </c>
      <c r="AC1128">
        <f>IF(OR(AB1128="OK",AB1128="Aucune pièce déclarée",AB1128="Cadence dépassée : vérifiez la cadence"),1,0)</f>
        <v>0.0</v>
      </c>
      <c r="AD1128">
        <f>IF(AND(AC1128=1,A1128&gt;=p_from,A1128&lt;=p_to),1,0)</f>
        <v>0.0</v>
      </c>
      <c r="AE1128">
        <f>IF(AD1128=1,IF(COUNTIFS($A$6:A1128,A1128,$AD$6:AD1128,1)=1,1,0),0)</f>
        <v>0.0</v>
      </c>
      <c r="AF1128" t="str">
        <f>IF(AE1128=1,COUNTIFS(sj_first,1,sj_date,"&lt;"&amp;A1128)+1,"")</f>
        <v/>
      </c>
      <c r="AG1128" t="str">
        <f>IF(AND(AD1128=1,N(W1128)&lt;p_alert),ROUND(W1128,4),"")</f>
        <v/>
      </c>
      <c r="AH1128" t="str">
        <f>IF(AG1128="","",COUNTIF(sj_akey,"&lt;"&amp;AG1128)+COUNTIF($AG$6:AG1128,AG1128))</f>
        <v/>
      </c>
    </row>
    <row r="1129">
      <c r="A1129" s="51" t="n"/>
      <c r="B1129" s="52" t="n"/>
      <c r="C1129" s="52" t="n"/>
      <c r="D1129" s="53" t="n"/>
      <c r="E1129" s="53" t="n"/>
      <c r="F1129" s="54" t="n"/>
      <c r="G1129" s="54" t="n"/>
      <c r="H1129" s="54" t="n"/>
      <c r="I1129" s="54" t="n"/>
      <c r="J1129" s="53" t="n"/>
      <c r="K1129" s="55" t="str">
        <f>IF(COUNTA(A1129:I1129)=0,"",IF(F1129="",IFERROR(INDEX(eq_dur,MATCH(B1129,eq_code,0)),""),F1129))</f>
        <v/>
      </c>
      <c r="L1129" s="55" t="str">
        <f>IF(ISNUMBER(K1129),N(IFERROR(INDEX(eq_pause,MATCH(B1129,eq_code,0)),0))+SUMIFS(st_min,st_date,A1129,st_eq,B1129,st_po,C1129,st_type,"Planifié"),"")</f>
        <v/>
      </c>
      <c r="M1129" s="55" t="str">
        <f>IF(ISNUMBER(K1129),K1129-L1129,"")</f>
        <v/>
      </c>
      <c r="N1129" s="55" t="str">
        <f>IF(ISNUMBER(K1129),SUMIFS(st_min,st_date,A1129,st_eq,B1129,st_po,C1129,st_type,"Non planifié"),"")</f>
        <v/>
      </c>
      <c r="O1129" s="55" t="str">
        <f>IF(ISNUMBER(K1129),M1129-N1129,"")</f>
        <v/>
      </c>
      <c r="P1129" s="55" t="str">
        <f>IF(COUNTA(A1129:I1129)=0,"",N(G1129)+N(H1129)+N(I1129))</f>
        <v/>
      </c>
      <c r="Q1129" s="56" t="str">
        <f>IF(COUNTA(A1129:I1129)=0,"",IF(N(IFERROR(INDEX(art_rate,MATCH(E1129,art_ref,0)),0))&gt;0,N(IFERROR(INDEX(art_rate,MATCH(E1129,art_ref,0)),0)),N(IFERROR(INDEX(po_rate,MATCH(C1129,po_code,0)),0))))</f>
        <v/>
      </c>
      <c r="R1129" s="55" t="str">
        <f>IF(AC1129=1,P1129*60/Q1129,"")</f>
        <v/>
      </c>
      <c r="S1129" s="55" t="str">
        <f>IF(AC1129=1,N(G1129)*60/Q1129,"")</f>
        <v/>
      </c>
      <c r="T1129" s="57" t="str">
        <f>IF(AC1129=1,O1129/M1129,"")</f>
        <v/>
      </c>
      <c r="U1129" s="57" t="str">
        <f>IF(AC1129=1,IF(O1129&gt;0,R1129/O1129,""),"")</f>
        <v/>
      </c>
      <c r="V1129" s="57" t="str">
        <f>IF(AC1129=1,IF(P1129&gt;0,N(G1129)/P1129,""),"")</f>
        <v/>
      </c>
      <c r="W1129" s="57" t="str">
        <f>IF(AC1129=1,S1129/M1129,"")</f>
        <v/>
      </c>
      <c r="X1129" s="57" t="str">
        <f>IF(AC1129=1,S1129/K1129,"")</f>
        <v/>
      </c>
      <c r="Y1129" s="58" t="str">
        <f>IF(W1129="","",IF(W1129&gt;=p_target,"Bon",IF(W1129&gt;=p_alert,"À surveiller","Faible")))</f>
        <v/>
      </c>
      <c r="Z1129" s="58" t="str">
        <f>IF(W1129="","",IF(MIN(IF(T1129="",1,T1129),IF(U1129="",1,U1129),IF(V1129="",1,V1129))&gt;=1,"Aucune",IF(IF(T1129="",1,T1129)&lt;=MIN(IF(U1129="",1,U1129),IF(V1129="",1,V1129)),"Disponibilité",IF(IF(U1129="",1,U1129)&lt;=IF(V1129="",1,V1129),"Performance","Qualité"))))</f>
        <v/>
      </c>
      <c r="AA1129" s="59" t="str">
        <f>IF(AC1129=1,N(H1129)*N(IFERROR(INDEX(art_cost,MATCH(E1129,art_ref,0)),0)),"")</f>
        <v/>
      </c>
      <c r="AB1129" s="58" t="str">
        <f>IF(COUNTA(A1129:I1129)=0,"",IF(N(A1129)&lt;=0,"Date manquante ou invalide",IF(B1129="","Équipe manquante",IF(ISNA(MATCH(B1129,eq_code,0)),"Équipe inconnue",IF(INDEX(eq_check,MATCH(B1129,eq_code,0))&lt;&gt;"OK","Équipe à corriger dans Paramètres",IF(C1129="","Poste manquant",IF(ISNA(MATCH(C1129,po_code,0)),"Poste inconnu",IF(AND(E1129&lt;&gt;"",ISNA(MATCH(E1129,art_ref,0))),"Article inconnu",IF(IF(E1129="",FALSE,INDEX(art_check,MATCH(E1129,art_ref,0))&lt;&gt;"OK"),"Article à corriger (feuille Articles)",IF(COUNTIFS(sj_date,A1129,sj_eq,B1129,sj_po,C1129)&gt;1,"Ligne en double (même jour, équipe et poste)",IF(OR(NOT(ISNUMBER(K1129)),N(K1129)&lt;=0,N(K1129)&gt;1440),"Temps d'ouverture invalide",IF(OR(AND(G1129&lt;&gt;"",NOT(ISNUMBER(G1129))),N(G1129)&lt;0,N(G1129)&lt;&gt;INT(N(G1129)),AND(H1129&lt;&gt;"",NOT(ISNUMBER(H1129))),N(H1129)&lt;0,N(H1129)&lt;&gt;INT(N(H1129)),AND(I1129&lt;&gt;"",NOT(ISNUMBER(I1129))),N(I1129)&lt;0,N(I1129)&lt;&gt;INT(N(I1129))),"Quantité invalide",IF(Q1129&lt;=0,"Cadence manquante (poste ou article)",IF(M1129&lt;=0,"Arrêts planifiés supérieurs au temps d'ouverture",IF(O1129&lt;0,"Arrêts supérieurs au temps requis",IF(AND(P1129&gt;0,O1129=0),"Pièces déclarées sans temps de marche",IF(AND(P1129=0,O1129&gt;0),"Aucune pièce déclarée",IF(P1129*60/Q1129&gt;O1129+0.001,"Cadence dépassée : vérifiez la cadence","OK"))))))))))))))))))</f>
        <v/>
      </c>
      <c r="AC1129">
        <f>IF(OR(AB1129="OK",AB1129="Aucune pièce déclarée",AB1129="Cadence dépassée : vérifiez la cadence"),1,0)</f>
        <v>0.0</v>
      </c>
      <c r="AD1129">
        <f>IF(AND(AC1129=1,A1129&gt;=p_from,A1129&lt;=p_to),1,0)</f>
        <v>0.0</v>
      </c>
      <c r="AE1129">
        <f>IF(AD1129=1,IF(COUNTIFS($A$6:A1129,A1129,$AD$6:AD1129,1)=1,1,0),0)</f>
        <v>0.0</v>
      </c>
      <c r="AF1129" t="str">
        <f>IF(AE1129=1,COUNTIFS(sj_first,1,sj_date,"&lt;"&amp;A1129)+1,"")</f>
        <v/>
      </c>
      <c r="AG1129" t="str">
        <f>IF(AND(AD1129=1,N(W1129)&lt;p_alert),ROUND(W1129,4),"")</f>
        <v/>
      </c>
      <c r="AH1129" t="str">
        <f>IF(AG1129="","",COUNTIF(sj_akey,"&lt;"&amp;AG1129)+COUNTIF($AG$6:AG1129,AG1129))</f>
        <v/>
      </c>
    </row>
    <row r="1130">
      <c r="A1130" s="51" t="n"/>
      <c r="B1130" s="52" t="n"/>
      <c r="C1130" s="52" t="n"/>
      <c r="D1130" s="53" t="n"/>
      <c r="E1130" s="53" t="n"/>
      <c r="F1130" s="54" t="n"/>
      <c r="G1130" s="54" t="n"/>
      <c r="H1130" s="54" t="n"/>
      <c r="I1130" s="54" t="n"/>
      <c r="J1130" s="53" t="n"/>
      <c r="K1130" s="55" t="str">
        <f>IF(COUNTA(A1130:I1130)=0,"",IF(F1130="",IFERROR(INDEX(eq_dur,MATCH(B1130,eq_code,0)),""),F1130))</f>
        <v/>
      </c>
      <c r="L1130" s="55" t="str">
        <f>IF(ISNUMBER(K1130),N(IFERROR(INDEX(eq_pause,MATCH(B1130,eq_code,0)),0))+SUMIFS(st_min,st_date,A1130,st_eq,B1130,st_po,C1130,st_type,"Planifié"),"")</f>
        <v/>
      </c>
      <c r="M1130" s="55" t="str">
        <f>IF(ISNUMBER(K1130),K1130-L1130,"")</f>
        <v/>
      </c>
      <c r="N1130" s="55" t="str">
        <f>IF(ISNUMBER(K1130),SUMIFS(st_min,st_date,A1130,st_eq,B1130,st_po,C1130,st_type,"Non planifié"),"")</f>
        <v/>
      </c>
      <c r="O1130" s="55" t="str">
        <f>IF(ISNUMBER(K1130),M1130-N1130,"")</f>
        <v/>
      </c>
      <c r="P1130" s="55" t="str">
        <f>IF(COUNTA(A1130:I1130)=0,"",N(G1130)+N(H1130)+N(I1130))</f>
        <v/>
      </c>
      <c r="Q1130" s="56" t="str">
        <f>IF(COUNTA(A1130:I1130)=0,"",IF(N(IFERROR(INDEX(art_rate,MATCH(E1130,art_ref,0)),0))&gt;0,N(IFERROR(INDEX(art_rate,MATCH(E1130,art_ref,0)),0)),N(IFERROR(INDEX(po_rate,MATCH(C1130,po_code,0)),0))))</f>
        <v/>
      </c>
      <c r="R1130" s="55" t="str">
        <f>IF(AC1130=1,P1130*60/Q1130,"")</f>
        <v/>
      </c>
      <c r="S1130" s="55" t="str">
        <f>IF(AC1130=1,N(G1130)*60/Q1130,"")</f>
        <v/>
      </c>
      <c r="T1130" s="57" t="str">
        <f>IF(AC1130=1,O1130/M1130,"")</f>
        <v/>
      </c>
      <c r="U1130" s="57" t="str">
        <f>IF(AC1130=1,IF(O1130&gt;0,R1130/O1130,""),"")</f>
        <v/>
      </c>
      <c r="V1130" s="57" t="str">
        <f>IF(AC1130=1,IF(P1130&gt;0,N(G1130)/P1130,""),"")</f>
        <v/>
      </c>
      <c r="W1130" s="57" t="str">
        <f>IF(AC1130=1,S1130/M1130,"")</f>
        <v/>
      </c>
      <c r="X1130" s="57" t="str">
        <f>IF(AC1130=1,S1130/K1130,"")</f>
        <v/>
      </c>
      <c r="Y1130" s="58" t="str">
        <f>IF(W1130="","",IF(W1130&gt;=p_target,"Bon",IF(W1130&gt;=p_alert,"À surveiller","Faible")))</f>
        <v/>
      </c>
      <c r="Z1130" s="58" t="str">
        <f>IF(W1130="","",IF(MIN(IF(T1130="",1,T1130),IF(U1130="",1,U1130),IF(V1130="",1,V1130))&gt;=1,"Aucune",IF(IF(T1130="",1,T1130)&lt;=MIN(IF(U1130="",1,U1130),IF(V1130="",1,V1130)),"Disponibilité",IF(IF(U1130="",1,U1130)&lt;=IF(V1130="",1,V1130),"Performance","Qualité"))))</f>
        <v/>
      </c>
      <c r="AA1130" s="59" t="str">
        <f>IF(AC1130=1,N(H1130)*N(IFERROR(INDEX(art_cost,MATCH(E1130,art_ref,0)),0)),"")</f>
        <v/>
      </c>
      <c r="AB1130" s="58" t="str">
        <f>IF(COUNTA(A1130:I1130)=0,"",IF(N(A1130)&lt;=0,"Date manquante ou invalide",IF(B1130="","Équipe manquante",IF(ISNA(MATCH(B1130,eq_code,0)),"Équipe inconnue",IF(INDEX(eq_check,MATCH(B1130,eq_code,0))&lt;&gt;"OK","Équipe à corriger dans Paramètres",IF(C1130="","Poste manquant",IF(ISNA(MATCH(C1130,po_code,0)),"Poste inconnu",IF(AND(E1130&lt;&gt;"",ISNA(MATCH(E1130,art_ref,0))),"Article inconnu",IF(IF(E1130="",FALSE,INDEX(art_check,MATCH(E1130,art_ref,0))&lt;&gt;"OK"),"Article à corriger (feuille Articles)",IF(COUNTIFS(sj_date,A1130,sj_eq,B1130,sj_po,C1130)&gt;1,"Ligne en double (même jour, équipe et poste)",IF(OR(NOT(ISNUMBER(K1130)),N(K1130)&lt;=0,N(K1130)&gt;1440),"Temps d'ouverture invalide",IF(OR(AND(G1130&lt;&gt;"",NOT(ISNUMBER(G1130))),N(G1130)&lt;0,N(G1130)&lt;&gt;INT(N(G1130)),AND(H1130&lt;&gt;"",NOT(ISNUMBER(H1130))),N(H1130)&lt;0,N(H1130)&lt;&gt;INT(N(H1130)),AND(I1130&lt;&gt;"",NOT(ISNUMBER(I1130))),N(I1130)&lt;0,N(I1130)&lt;&gt;INT(N(I1130))),"Quantité invalide",IF(Q1130&lt;=0,"Cadence manquante (poste ou article)",IF(M1130&lt;=0,"Arrêts planifiés supérieurs au temps d'ouverture",IF(O1130&lt;0,"Arrêts supérieurs au temps requis",IF(AND(P1130&gt;0,O1130=0),"Pièces déclarées sans temps de marche",IF(AND(P1130=0,O1130&gt;0),"Aucune pièce déclarée",IF(P1130*60/Q1130&gt;O1130+0.001,"Cadence dépassée : vérifiez la cadence","OK"))))))))))))))))))</f>
        <v/>
      </c>
      <c r="AC1130">
        <f>IF(OR(AB1130="OK",AB1130="Aucune pièce déclarée",AB1130="Cadence dépassée : vérifiez la cadence"),1,0)</f>
        <v>0.0</v>
      </c>
      <c r="AD1130">
        <f>IF(AND(AC1130=1,A1130&gt;=p_from,A1130&lt;=p_to),1,0)</f>
        <v>0.0</v>
      </c>
      <c r="AE1130">
        <f>IF(AD1130=1,IF(COUNTIFS($A$6:A1130,A1130,$AD$6:AD1130,1)=1,1,0),0)</f>
        <v>0.0</v>
      </c>
      <c r="AF1130" t="str">
        <f>IF(AE1130=1,COUNTIFS(sj_first,1,sj_date,"&lt;"&amp;A1130)+1,"")</f>
        <v/>
      </c>
      <c r="AG1130" t="str">
        <f>IF(AND(AD1130=1,N(W1130)&lt;p_alert),ROUND(W1130,4),"")</f>
        <v/>
      </c>
      <c r="AH1130" t="str">
        <f>IF(AG1130="","",COUNTIF(sj_akey,"&lt;"&amp;AG1130)+COUNTIF($AG$6:AG1130,AG1130))</f>
        <v/>
      </c>
    </row>
    <row r="1131">
      <c r="A1131" s="51" t="n"/>
      <c r="B1131" s="52" t="n"/>
      <c r="C1131" s="52" t="n"/>
      <c r="D1131" s="53" t="n"/>
      <c r="E1131" s="53" t="n"/>
      <c r="F1131" s="54" t="n"/>
      <c r="G1131" s="54" t="n"/>
      <c r="H1131" s="54" t="n"/>
      <c r="I1131" s="54" t="n"/>
      <c r="J1131" s="53" t="n"/>
      <c r="K1131" s="55" t="str">
        <f>IF(COUNTA(A1131:I1131)=0,"",IF(F1131="",IFERROR(INDEX(eq_dur,MATCH(B1131,eq_code,0)),""),F1131))</f>
        <v/>
      </c>
      <c r="L1131" s="55" t="str">
        <f>IF(ISNUMBER(K1131),N(IFERROR(INDEX(eq_pause,MATCH(B1131,eq_code,0)),0))+SUMIFS(st_min,st_date,A1131,st_eq,B1131,st_po,C1131,st_type,"Planifié"),"")</f>
        <v/>
      </c>
      <c r="M1131" s="55" t="str">
        <f>IF(ISNUMBER(K1131),K1131-L1131,"")</f>
        <v/>
      </c>
      <c r="N1131" s="55" t="str">
        <f>IF(ISNUMBER(K1131),SUMIFS(st_min,st_date,A1131,st_eq,B1131,st_po,C1131,st_type,"Non planifié"),"")</f>
        <v/>
      </c>
      <c r="O1131" s="55" t="str">
        <f>IF(ISNUMBER(K1131),M1131-N1131,"")</f>
        <v/>
      </c>
      <c r="P1131" s="55" t="str">
        <f>IF(COUNTA(A1131:I1131)=0,"",N(G1131)+N(H1131)+N(I1131))</f>
        <v/>
      </c>
      <c r="Q1131" s="56" t="str">
        <f>IF(COUNTA(A1131:I1131)=0,"",IF(N(IFERROR(INDEX(art_rate,MATCH(E1131,art_ref,0)),0))&gt;0,N(IFERROR(INDEX(art_rate,MATCH(E1131,art_ref,0)),0)),N(IFERROR(INDEX(po_rate,MATCH(C1131,po_code,0)),0))))</f>
        <v/>
      </c>
      <c r="R1131" s="55" t="str">
        <f>IF(AC1131=1,P1131*60/Q1131,"")</f>
        <v/>
      </c>
      <c r="S1131" s="55" t="str">
        <f>IF(AC1131=1,N(G1131)*60/Q1131,"")</f>
        <v/>
      </c>
      <c r="T1131" s="57" t="str">
        <f>IF(AC1131=1,O1131/M1131,"")</f>
        <v/>
      </c>
      <c r="U1131" s="57" t="str">
        <f>IF(AC1131=1,IF(O1131&gt;0,R1131/O1131,""),"")</f>
        <v/>
      </c>
      <c r="V1131" s="57" t="str">
        <f>IF(AC1131=1,IF(P1131&gt;0,N(G1131)/P1131,""),"")</f>
        <v/>
      </c>
      <c r="W1131" s="57" t="str">
        <f>IF(AC1131=1,S1131/M1131,"")</f>
        <v/>
      </c>
      <c r="X1131" s="57" t="str">
        <f>IF(AC1131=1,S1131/K1131,"")</f>
        <v/>
      </c>
      <c r="Y1131" s="58" t="str">
        <f>IF(W1131="","",IF(W1131&gt;=p_target,"Bon",IF(W1131&gt;=p_alert,"À surveiller","Faible")))</f>
        <v/>
      </c>
      <c r="Z1131" s="58" t="str">
        <f>IF(W1131="","",IF(MIN(IF(T1131="",1,T1131),IF(U1131="",1,U1131),IF(V1131="",1,V1131))&gt;=1,"Aucune",IF(IF(T1131="",1,T1131)&lt;=MIN(IF(U1131="",1,U1131),IF(V1131="",1,V1131)),"Disponibilité",IF(IF(U1131="",1,U1131)&lt;=IF(V1131="",1,V1131),"Performance","Qualité"))))</f>
        <v/>
      </c>
      <c r="AA1131" s="59" t="str">
        <f>IF(AC1131=1,N(H1131)*N(IFERROR(INDEX(art_cost,MATCH(E1131,art_ref,0)),0)),"")</f>
        <v/>
      </c>
      <c r="AB1131" s="58" t="str">
        <f>IF(COUNTA(A1131:I1131)=0,"",IF(N(A1131)&lt;=0,"Date manquante ou invalide",IF(B1131="","Équipe manquante",IF(ISNA(MATCH(B1131,eq_code,0)),"Équipe inconnue",IF(INDEX(eq_check,MATCH(B1131,eq_code,0))&lt;&gt;"OK","Équipe à corriger dans Paramètres",IF(C1131="","Poste manquant",IF(ISNA(MATCH(C1131,po_code,0)),"Poste inconnu",IF(AND(E1131&lt;&gt;"",ISNA(MATCH(E1131,art_ref,0))),"Article inconnu",IF(IF(E1131="",FALSE,INDEX(art_check,MATCH(E1131,art_ref,0))&lt;&gt;"OK"),"Article à corriger (feuille Articles)",IF(COUNTIFS(sj_date,A1131,sj_eq,B1131,sj_po,C1131)&gt;1,"Ligne en double (même jour, équipe et poste)",IF(OR(NOT(ISNUMBER(K1131)),N(K1131)&lt;=0,N(K1131)&gt;1440),"Temps d'ouverture invalide",IF(OR(AND(G1131&lt;&gt;"",NOT(ISNUMBER(G1131))),N(G1131)&lt;0,N(G1131)&lt;&gt;INT(N(G1131)),AND(H1131&lt;&gt;"",NOT(ISNUMBER(H1131))),N(H1131)&lt;0,N(H1131)&lt;&gt;INT(N(H1131)),AND(I1131&lt;&gt;"",NOT(ISNUMBER(I1131))),N(I1131)&lt;0,N(I1131)&lt;&gt;INT(N(I1131))),"Quantité invalide",IF(Q1131&lt;=0,"Cadence manquante (poste ou article)",IF(M1131&lt;=0,"Arrêts planifiés supérieurs au temps d'ouverture",IF(O1131&lt;0,"Arrêts supérieurs au temps requis",IF(AND(P1131&gt;0,O1131=0),"Pièces déclarées sans temps de marche",IF(AND(P1131=0,O1131&gt;0),"Aucune pièce déclarée",IF(P1131*60/Q1131&gt;O1131+0.001,"Cadence dépassée : vérifiez la cadence","OK"))))))))))))))))))</f>
        <v/>
      </c>
      <c r="AC1131">
        <f>IF(OR(AB1131="OK",AB1131="Aucune pièce déclarée",AB1131="Cadence dépassée : vérifiez la cadence"),1,0)</f>
        <v>0.0</v>
      </c>
      <c r="AD1131">
        <f>IF(AND(AC1131=1,A1131&gt;=p_from,A1131&lt;=p_to),1,0)</f>
        <v>0.0</v>
      </c>
      <c r="AE1131">
        <f>IF(AD1131=1,IF(COUNTIFS($A$6:A1131,A1131,$AD$6:AD1131,1)=1,1,0),0)</f>
        <v>0.0</v>
      </c>
      <c r="AF1131" t="str">
        <f>IF(AE1131=1,COUNTIFS(sj_first,1,sj_date,"&lt;"&amp;A1131)+1,"")</f>
        <v/>
      </c>
      <c r="AG1131" t="str">
        <f>IF(AND(AD1131=1,N(W1131)&lt;p_alert),ROUND(W1131,4),"")</f>
        <v/>
      </c>
      <c r="AH1131" t="str">
        <f>IF(AG1131="","",COUNTIF(sj_akey,"&lt;"&amp;AG1131)+COUNTIF($AG$6:AG1131,AG1131))</f>
        <v/>
      </c>
    </row>
    <row r="1132">
      <c r="A1132" s="51" t="n"/>
      <c r="B1132" s="52" t="n"/>
      <c r="C1132" s="52" t="n"/>
      <c r="D1132" s="53" t="n"/>
      <c r="E1132" s="53" t="n"/>
      <c r="F1132" s="54" t="n"/>
      <c r="G1132" s="54" t="n"/>
      <c r="H1132" s="54" t="n"/>
      <c r="I1132" s="54" t="n"/>
      <c r="J1132" s="53" t="n"/>
      <c r="K1132" s="55" t="str">
        <f>IF(COUNTA(A1132:I1132)=0,"",IF(F1132="",IFERROR(INDEX(eq_dur,MATCH(B1132,eq_code,0)),""),F1132))</f>
        <v/>
      </c>
      <c r="L1132" s="55" t="str">
        <f>IF(ISNUMBER(K1132),N(IFERROR(INDEX(eq_pause,MATCH(B1132,eq_code,0)),0))+SUMIFS(st_min,st_date,A1132,st_eq,B1132,st_po,C1132,st_type,"Planifié"),"")</f>
        <v/>
      </c>
      <c r="M1132" s="55" t="str">
        <f>IF(ISNUMBER(K1132),K1132-L1132,"")</f>
        <v/>
      </c>
      <c r="N1132" s="55" t="str">
        <f>IF(ISNUMBER(K1132),SUMIFS(st_min,st_date,A1132,st_eq,B1132,st_po,C1132,st_type,"Non planifié"),"")</f>
        <v/>
      </c>
      <c r="O1132" s="55" t="str">
        <f>IF(ISNUMBER(K1132),M1132-N1132,"")</f>
        <v/>
      </c>
      <c r="P1132" s="55" t="str">
        <f>IF(COUNTA(A1132:I1132)=0,"",N(G1132)+N(H1132)+N(I1132))</f>
        <v/>
      </c>
      <c r="Q1132" s="56" t="str">
        <f>IF(COUNTA(A1132:I1132)=0,"",IF(N(IFERROR(INDEX(art_rate,MATCH(E1132,art_ref,0)),0))&gt;0,N(IFERROR(INDEX(art_rate,MATCH(E1132,art_ref,0)),0)),N(IFERROR(INDEX(po_rate,MATCH(C1132,po_code,0)),0))))</f>
        <v/>
      </c>
      <c r="R1132" s="55" t="str">
        <f>IF(AC1132=1,P1132*60/Q1132,"")</f>
        <v/>
      </c>
      <c r="S1132" s="55" t="str">
        <f>IF(AC1132=1,N(G1132)*60/Q1132,"")</f>
        <v/>
      </c>
      <c r="T1132" s="57" t="str">
        <f>IF(AC1132=1,O1132/M1132,"")</f>
        <v/>
      </c>
      <c r="U1132" s="57" t="str">
        <f>IF(AC1132=1,IF(O1132&gt;0,R1132/O1132,""),"")</f>
        <v/>
      </c>
      <c r="V1132" s="57" t="str">
        <f>IF(AC1132=1,IF(P1132&gt;0,N(G1132)/P1132,""),"")</f>
        <v/>
      </c>
      <c r="W1132" s="57" t="str">
        <f>IF(AC1132=1,S1132/M1132,"")</f>
        <v/>
      </c>
      <c r="X1132" s="57" t="str">
        <f>IF(AC1132=1,S1132/K1132,"")</f>
        <v/>
      </c>
      <c r="Y1132" s="58" t="str">
        <f>IF(W1132="","",IF(W1132&gt;=p_target,"Bon",IF(W1132&gt;=p_alert,"À surveiller","Faible")))</f>
        <v/>
      </c>
      <c r="Z1132" s="58" t="str">
        <f>IF(W1132="","",IF(MIN(IF(T1132="",1,T1132),IF(U1132="",1,U1132),IF(V1132="",1,V1132))&gt;=1,"Aucune",IF(IF(T1132="",1,T1132)&lt;=MIN(IF(U1132="",1,U1132),IF(V1132="",1,V1132)),"Disponibilité",IF(IF(U1132="",1,U1132)&lt;=IF(V1132="",1,V1132),"Performance","Qualité"))))</f>
        <v/>
      </c>
      <c r="AA1132" s="59" t="str">
        <f>IF(AC1132=1,N(H1132)*N(IFERROR(INDEX(art_cost,MATCH(E1132,art_ref,0)),0)),"")</f>
        <v/>
      </c>
      <c r="AB1132" s="58" t="str">
        <f>IF(COUNTA(A1132:I1132)=0,"",IF(N(A1132)&lt;=0,"Date manquante ou invalide",IF(B1132="","Équipe manquante",IF(ISNA(MATCH(B1132,eq_code,0)),"Équipe inconnue",IF(INDEX(eq_check,MATCH(B1132,eq_code,0))&lt;&gt;"OK","Équipe à corriger dans Paramètres",IF(C1132="","Poste manquant",IF(ISNA(MATCH(C1132,po_code,0)),"Poste inconnu",IF(AND(E1132&lt;&gt;"",ISNA(MATCH(E1132,art_ref,0))),"Article inconnu",IF(IF(E1132="",FALSE,INDEX(art_check,MATCH(E1132,art_ref,0))&lt;&gt;"OK"),"Article à corriger (feuille Articles)",IF(COUNTIFS(sj_date,A1132,sj_eq,B1132,sj_po,C1132)&gt;1,"Ligne en double (même jour, équipe et poste)",IF(OR(NOT(ISNUMBER(K1132)),N(K1132)&lt;=0,N(K1132)&gt;1440),"Temps d'ouverture invalide",IF(OR(AND(G1132&lt;&gt;"",NOT(ISNUMBER(G1132))),N(G1132)&lt;0,N(G1132)&lt;&gt;INT(N(G1132)),AND(H1132&lt;&gt;"",NOT(ISNUMBER(H1132))),N(H1132)&lt;0,N(H1132)&lt;&gt;INT(N(H1132)),AND(I1132&lt;&gt;"",NOT(ISNUMBER(I1132))),N(I1132)&lt;0,N(I1132)&lt;&gt;INT(N(I1132))),"Quantité invalide",IF(Q1132&lt;=0,"Cadence manquante (poste ou article)",IF(M1132&lt;=0,"Arrêts planifiés supérieurs au temps d'ouverture",IF(O1132&lt;0,"Arrêts supérieurs au temps requis",IF(AND(P1132&gt;0,O1132=0),"Pièces déclarées sans temps de marche",IF(AND(P1132=0,O1132&gt;0),"Aucune pièce déclarée",IF(P1132*60/Q1132&gt;O1132+0.001,"Cadence dépassée : vérifiez la cadence","OK"))))))))))))))))))</f>
        <v/>
      </c>
      <c r="AC1132">
        <f>IF(OR(AB1132="OK",AB1132="Aucune pièce déclarée",AB1132="Cadence dépassée : vérifiez la cadence"),1,0)</f>
        <v>0.0</v>
      </c>
      <c r="AD1132">
        <f>IF(AND(AC1132=1,A1132&gt;=p_from,A1132&lt;=p_to),1,0)</f>
        <v>0.0</v>
      </c>
      <c r="AE1132">
        <f>IF(AD1132=1,IF(COUNTIFS($A$6:A1132,A1132,$AD$6:AD1132,1)=1,1,0),0)</f>
        <v>0.0</v>
      </c>
      <c r="AF1132" t="str">
        <f>IF(AE1132=1,COUNTIFS(sj_first,1,sj_date,"&lt;"&amp;A1132)+1,"")</f>
        <v/>
      </c>
      <c r="AG1132" t="str">
        <f>IF(AND(AD1132=1,N(W1132)&lt;p_alert),ROUND(W1132,4),"")</f>
        <v/>
      </c>
      <c r="AH1132" t="str">
        <f>IF(AG1132="","",COUNTIF(sj_akey,"&lt;"&amp;AG1132)+COUNTIF($AG$6:AG1132,AG1132))</f>
        <v/>
      </c>
    </row>
    <row r="1133">
      <c r="A1133" s="51" t="n"/>
      <c r="B1133" s="52" t="n"/>
      <c r="C1133" s="52" t="n"/>
      <c r="D1133" s="53" t="n"/>
      <c r="E1133" s="53" t="n"/>
      <c r="F1133" s="54" t="n"/>
      <c r="G1133" s="54" t="n"/>
      <c r="H1133" s="54" t="n"/>
      <c r="I1133" s="54" t="n"/>
      <c r="J1133" s="53" t="n"/>
      <c r="K1133" s="55" t="str">
        <f>IF(COUNTA(A1133:I1133)=0,"",IF(F1133="",IFERROR(INDEX(eq_dur,MATCH(B1133,eq_code,0)),""),F1133))</f>
        <v/>
      </c>
      <c r="L1133" s="55" t="str">
        <f>IF(ISNUMBER(K1133),N(IFERROR(INDEX(eq_pause,MATCH(B1133,eq_code,0)),0))+SUMIFS(st_min,st_date,A1133,st_eq,B1133,st_po,C1133,st_type,"Planifié"),"")</f>
        <v/>
      </c>
      <c r="M1133" s="55" t="str">
        <f>IF(ISNUMBER(K1133),K1133-L1133,"")</f>
        <v/>
      </c>
      <c r="N1133" s="55" t="str">
        <f>IF(ISNUMBER(K1133),SUMIFS(st_min,st_date,A1133,st_eq,B1133,st_po,C1133,st_type,"Non planifié"),"")</f>
        <v/>
      </c>
      <c r="O1133" s="55" t="str">
        <f>IF(ISNUMBER(K1133),M1133-N1133,"")</f>
        <v/>
      </c>
      <c r="P1133" s="55" t="str">
        <f>IF(COUNTA(A1133:I1133)=0,"",N(G1133)+N(H1133)+N(I1133))</f>
        <v/>
      </c>
      <c r="Q1133" s="56" t="str">
        <f>IF(COUNTA(A1133:I1133)=0,"",IF(N(IFERROR(INDEX(art_rate,MATCH(E1133,art_ref,0)),0))&gt;0,N(IFERROR(INDEX(art_rate,MATCH(E1133,art_ref,0)),0)),N(IFERROR(INDEX(po_rate,MATCH(C1133,po_code,0)),0))))</f>
        <v/>
      </c>
      <c r="R1133" s="55" t="str">
        <f>IF(AC1133=1,P1133*60/Q1133,"")</f>
        <v/>
      </c>
      <c r="S1133" s="55" t="str">
        <f>IF(AC1133=1,N(G1133)*60/Q1133,"")</f>
        <v/>
      </c>
      <c r="T1133" s="57" t="str">
        <f>IF(AC1133=1,O1133/M1133,"")</f>
        <v/>
      </c>
      <c r="U1133" s="57" t="str">
        <f>IF(AC1133=1,IF(O1133&gt;0,R1133/O1133,""),"")</f>
        <v/>
      </c>
      <c r="V1133" s="57" t="str">
        <f>IF(AC1133=1,IF(P1133&gt;0,N(G1133)/P1133,""),"")</f>
        <v/>
      </c>
      <c r="W1133" s="57" t="str">
        <f>IF(AC1133=1,S1133/M1133,"")</f>
        <v/>
      </c>
      <c r="X1133" s="57" t="str">
        <f>IF(AC1133=1,S1133/K1133,"")</f>
        <v/>
      </c>
      <c r="Y1133" s="58" t="str">
        <f>IF(W1133="","",IF(W1133&gt;=p_target,"Bon",IF(W1133&gt;=p_alert,"À surveiller","Faible")))</f>
        <v/>
      </c>
      <c r="Z1133" s="58" t="str">
        <f>IF(W1133="","",IF(MIN(IF(T1133="",1,T1133),IF(U1133="",1,U1133),IF(V1133="",1,V1133))&gt;=1,"Aucune",IF(IF(T1133="",1,T1133)&lt;=MIN(IF(U1133="",1,U1133),IF(V1133="",1,V1133)),"Disponibilité",IF(IF(U1133="",1,U1133)&lt;=IF(V1133="",1,V1133),"Performance","Qualité"))))</f>
        <v/>
      </c>
      <c r="AA1133" s="59" t="str">
        <f>IF(AC1133=1,N(H1133)*N(IFERROR(INDEX(art_cost,MATCH(E1133,art_ref,0)),0)),"")</f>
        <v/>
      </c>
      <c r="AB1133" s="58" t="str">
        <f>IF(COUNTA(A1133:I1133)=0,"",IF(N(A1133)&lt;=0,"Date manquante ou invalide",IF(B1133="","Équipe manquante",IF(ISNA(MATCH(B1133,eq_code,0)),"Équipe inconnue",IF(INDEX(eq_check,MATCH(B1133,eq_code,0))&lt;&gt;"OK","Équipe à corriger dans Paramètres",IF(C1133="","Poste manquant",IF(ISNA(MATCH(C1133,po_code,0)),"Poste inconnu",IF(AND(E1133&lt;&gt;"",ISNA(MATCH(E1133,art_ref,0))),"Article inconnu",IF(IF(E1133="",FALSE,INDEX(art_check,MATCH(E1133,art_ref,0))&lt;&gt;"OK"),"Article à corriger (feuille Articles)",IF(COUNTIFS(sj_date,A1133,sj_eq,B1133,sj_po,C1133)&gt;1,"Ligne en double (même jour, équipe et poste)",IF(OR(NOT(ISNUMBER(K1133)),N(K1133)&lt;=0,N(K1133)&gt;1440),"Temps d'ouverture invalide",IF(OR(AND(G1133&lt;&gt;"",NOT(ISNUMBER(G1133))),N(G1133)&lt;0,N(G1133)&lt;&gt;INT(N(G1133)),AND(H1133&lt;&gt;"",NOT(ISNUMBER(H1133))),N(H1133)&lt;0,N(H1133)&lt;&gt;INT(N(H1133)),AND(I1133&lt;&gt;"",NOT(ISNUMBER(I1133))),N(I1133)&lt;0,N(I1133)&lt;&gt;INT(N(I1133))),"Quantité invalide",IF(Q1133&lt;=0,"Cadence manquante (poste ou article)",IF(M1133&lt;=0,"Arrêts planifiés supérieurs au temps d'ouverture",IF(O1133&lt;0,"Arrêts supérieurs au temps requis",IF(AND(P1133&gt;0,O1133=0),"Pièces déclarées sans temps de marche",IF(AND(P1133=0,O1133&gt;0),"Aucune pièce déclarée",IF(P1133*60/Q1133&gt;O1133+0.001,"Cadence dépassée : vérifiez la cadence","OK"))))))))))))))))))</f>
        <v/>
      </c>
      <c r="AC1133">
        <f>IF(OR(AB1133="OK",AB1133="Aucune pièce déclarée",AB1133="Cadence dépassée : vérifiez la cadence"),1,0)</f>
        <v>0.0</v>
      </c>
      <c r="AD1133">
        <f>IF(AND(AC1133=1,A1133&gt;=p_from,A1133&lt;=p_to),1,0)</f>
        <v>0.0</v>
      </c>
      <c r="AE1133">
        <f>IF(AD1133=1,IF(COUNTIFS($A$6:A1133,A1133,$AD$6:AD1133,1)=1,1,0),0)</f>
        <v>0.0</v>
      </c>
      <c r="AF1133" t="str">
        <f>IF(AE1133=1,COUNTIFS(sj_first,1,sj_date,"&lt;"&amp;A1133)+1,"")</f>
        <v/>
      </c>
      <c r="AG1133" t="str">
        <f>IF(AND(AD1133=1,N(W1133)&lt;p_alert),ROUND(W1133,4),"")</f>
        <v/>
      </c>
      <c r="AH1133" t="str">
        <f>IF(AG1133="","",COUNTIF(sj_akey,"&lt;"&amp;AG1133)+COUNTIF($AG$6:AG1133,AG1133))</f>
        <v/>
      </c>
    </row>
    <row r="1134">
      <c r="A1134" s="51" t="n"/>
      <c r="B1134" s="52" t="n"/>
      <c r="C1134" s="52" t="n"/>
      <c r="D1134" s="53" t="n"/>
      <c r="E1134" s="53" t="n"/>
      <c r="F1134" s="54" t="n"/>
      <c r="G1134" s="54" t="n"/>
      <c r="H1134" s="54" t="n"/>
      <c r="I1134" s="54" t="n"/>
      <c r="J1134" s="53" t="n"/>
      <c r="K1134" s="55" t="str">
        <f>IF(COUNTA(A1134:I1134)=0,"",IF(F1134="",IFERROR(INDEX(eq_dur,MATCH(B1134,eq_code,0)),""),F1134))</f>
        <v/>
      </c>
      <c r="L1134" s="55" t="str">
        <f>IF(ISNUMBER(K1134),N(IFERROR(INDEX(eq_pause,MATCH(B1134,eq_code,0)),0))+SUMIFS(st_min,st_date,A1134,st_eq,B1134,st_po,C1134,st_type,"Planifié"),"")</f>
        <v/>
      </c>
      <c r="M1134" s="55" t="str">
        <f>IF(ISNUMBER(K1134),K1134-L1134,"")</f>
        <v/>
      </c>
      <c r="N1134" s="55" t="str">
        <f>IF(ISNUMBER(K1134),SUMIFS(st_min,st_date,A1134,st_eq,B1134,st_po,C1134,st_type,"Non planifié"),"")</f>
        <v/>
      </c>
      <c r="O1134" s="55" t="str">
        <f>IF(ISNUMBER(K1134),M1134-N1134,"")</f>
        <v/>
      </c>
      <c r="P1134" s="55" t="str">
        <f>IF(COUNTA(A1134:I1134)=0,"",N(G1134)+N(H1134)+N(I1134))</f>
        <v/>
      </c>
      <c r="Q1134" s="56" t="str">
        <f>IF(COUNTA(A1134:I1134)=0,"",IF(N(IFERROR(INDEX(art_rate,MATCH(E1134,art_ref,0)),0))&gt;0,N(IFERROR(INDEX(art_rate,MATCH(E1134,art_ref,0)),0)),N(IFERROR(INDEX(po_rate,MATCH(C1134,po_code,0)),0))))</f>
        <v/>
      </c>
      <c r="R1134" s="55" t="str">
        <f>IF(AC1134=1,P1134*60/Q1134,"")</f>
        <v/>
      </c>
      <c r="S1134" s="55" t="str">
        <f>IF(AC1134=1,N(G1134)*60/Q1134,"")</f>
        <v/>
      </c>
      <c r="T1134" s="57" t="str">
        <f>IF(AC1134=1,O1134/M1134,"")</f>
        <v/>
      </c>
      <c r="U1134" s="57" t="str">
        <f>IF(AC1134=1,IF(O1134&gt;0,R1134/O1134,""),"")</f>
        <v/>
      </c>
      <c r="V1134" s="57" t="str">
        <f>IF(AC1134=1,IF(P1134&gt;0,N(G1134)/P1134,""),"")</f>
        <v/>
      </c>
      <c r="W1134" s="57" t="str">
        <f>IF(AC1134=1,S1134/M1134,"")</f>
        <v/>
      </c>
      <c r="X1134" s="57" t="str">
        <f>IF(AC1134=1,S1134/K1134,"")</f>
        <v/>
      </c>
      <c r="Y1134" s="58" t="str">
        <f>IF(W1134="","",IF(W1134&gt;=p_target,"Bon",IF(W1134&gt;=p_alert,"À surveiller","Faible")))</f>
        <v/>
      </c>
      <c r="Z1134" s="58" t="str">
        <f>IF(W1134="","",IF(MIN(IF(T1134="",1,T1134),IF(U1134="",1,U1134),IF(V1134="",1,V1134))&gt;=1,"Aucune",IF(IF(T1134="",1,T1134)&lt;=MIN(IF(U1134="",1,U1134),IF(V1134="",1,V1134)),"Disponibilité",IF(IF(U1134="",1,U1134)&lt;=IF(V1134="",1,V1134),"Performance","Qualité"))))</f>
        <v/>
      </c>
      <c r="AA1134" s="59" t="str">
        <f>IF(AC1134=1,N(H1134)*N(IFERROR(INDEX(art_cost,MATCH(E1134,art_ref,0)),0)),"")</f>
        <v/>
      </c>
      <c r="AB1134" s="58" t="str">
        <f>IF(COUNTA(A1134:I1134)=0,"",IF(N(A1134)&lt;=0,"Date manquante ou invalide",IF(B1134="","Équipe manquante",IF(ISNA(MATCH(B1134,eq_code,0)),"Équipe inconnue",IF(INDEX(eq_check,MATCH(B1134,eq_code,0))&lt;&gt;"OK","Équipe à corriger dans Paramètres",IF(C1134="","Poste manquant",IF(ISNA(MATCH(C1134,po_code,0)),"Poste inconnu",IF(AND(E1134&lt;&gt;"",ISNA(MATCH(E1134,art_ref,0))),"Article inconnu",IF(IF(E1134="",FALSE,INDEX(art_check,MATCH(E1134,art_ref,0))&lt;&gt;"OK"),"Article à corriger (feuille Articles)",IF(COUNTIFS(sj_date,A1134,sj_eq,B1134,sj_po,C1134)&gt;1,"Ligne en double (même jour, équipe et poste)",IF(OR(NOT(ISNUMBER(K1134)),N(K1134)&lt;=0,N(K1134)&gt;1440),"Temps d'ouverture invalide",IF(OR(AND(G1134&lt;&gt;"",NOT(ISNUMBER(G1134))),N(G1134)&lt;0,N(G1134)&lt;&gt;INT(N(G1134)),AND(H1134&lt;&gt;"",NOT(ISNUMBER(H1134))),N(H1134)&lt;0,N(H1134)&lt;&gt;INT(N(H1134)),AND(I1134&lt;&gt;"",NOT(ISNUMBER(I1134))),N(I1134)&lt;0,N(I1134)&lt;&gt;INT(N(I1134))),"Quantité invalide",IF(Q1134&lt;=0,"Cadence manquante (poste ou article)",IF(M1134&lt;=0,"Arrêts planifiés supérieurs au temps d'ouverture",IF(O1134&lt;0,"Arrêts supérieurs au temps requis",IF(AND(P1134&gt;0,O1134=0),"Pièces déclarées sans temps de marche",IF(AND(P1134=0,O1134&gt;0),"Aucune pièce déclarée",IF(P1134*60/Q1134&gt;O1134+0.001,"Cadence dépassée : vérifiez la cadence","OK"))))))))))))))))))</f>
        <v/>
      </c>
      <c r="AC1134">
        <f>IF(OR(AB1134="OK",AB1134="Aucune pièce déclarée",AB1134="Cadence dépassée : vérifiez la cadence"),1,0)</f>
        <v>0.0</v>
      </c>
      <c r="AD1134">
        <f>IF(AND(AC1134=1,A1134&gt;=p_from,A1134&lt;=p_to),1,0)</f>
        <v>0.0</v>
      </c>
      <c r="AE1134">
        <f>IF(AD1134=1,IF(COUNTIFS($A$6:A1134,A1134,$AD$6:AD1134,1)=1,1,0),0)</f>
        <v>0.0</v>
      </c>
      <c r="AF1134" t="str">
        <f>IF(AE1134=1,COUNTIFS(sj_first,1,sj_date,"&lt;"&amp;A1134)+1,"")</f>
        <v/>
      </c>
      <c r="AG1134" t="str">
        <f>IF(AND(AD1134=1,N(W1134)&lt;p_alert),ROUND(W1134,4),"")</f>
        <v/>
      </c>
      <c r="AH1134" t="str">
        <f>IF(AG1134="","",COUNTIF(sj_akey,"&lt;"&amp;AG1134)+COUNTIF($AG$6:AG1134,AG1134))</f>
        <v/>
      </c>
    </row>
    <row r="1135">
      <c r="A1135" s="51" t="n"/>
      <c r="B1135" s="52" t="n"/>
      <c r="C1135" s="52" t="n"/>
      <c r="D1135" s="53" t="n"/>
      <c r="E1135" s="53" t="n"/>
      <c r="F1135" s="54" t="n"/>
      <c r="G1135" s="54" t="n"/>
      <c r="H1135" s="54" t="n"/>
      <c r="I1135" s="54" t="n"/>
      <c r="J1135" s="53" t="n"/>
      <c r="K1135" s="55" t="str">
        <f>IF(COUNTA(A1135:I1135)=0,"",IF(F1135="",IFERROR(INDEX(eq_dur,MATCH(B1135,eq_code,0)),""),F1135))</f>
        <v/>
      </c>
      <c r="L1135" s="55" t="str">
        <f>IF(ISNUMBER(K1135),N(IFERROR(INDEX(eq_pause,MATCH(B1135,eq_code,0)),0))+SUMIFS(st_min,st_date,A1135,st_eq,B1135,st_po,C1135,st_type,"Planifié"),"")</f>
        <v/>
      </c>
      <c r="M1135" s="55" t="str">
        <f>IF(ISNUMBER(K1135),K1135-L1135,"")</f>
        <v/>
      </c>
      <c r="N1135" s="55" t="str">
        <f>IF(ISNUMBER(K1135),SUMIFS(st_min,st_date,A1135,st_eq,B1135,st_po,C1135,st_type,"Non planifié"),"")</f>
        <v/>
      </c>
      <c r="O1135" s="55" t="str">
        <f>IF(ISNUMBER(K1135),M1135-N1135,"")</f>
        <v/>
      </c>
      <c r="P1135" s="55" t="str">
        <f>IF(COUNTA(A1135:I1135)=0,"",N(G1135)+N(H1135)+N(I1135))</f>
        <v/>
      </c>
      <c r="Q1135" s="56" t="str">
        <f>IF(COUNTA(A1135:I1135)=0,"",IF(N(IFERROR(INDEX(art_rate,MATCH(E1135,art_ref,0)),0))&gt;0,N(IFERROR(INDEX(art_rate,MATCH(E1135,art_ref,0)),0)),N(IFERROR(INDEX(po_rate,MATCH(C1135,po_code,0)),0))))</f>
        <v/>
      </c>
      <c r="R1135" s="55" t="str">
        <f>IF(AC1135=1,P1135*60/Q1135,"")</f>
        <v/>
      </c>
      <c r="S1135" s="55" t="str">
        <f>IF(AC1135=1,N(G1135)*60/Q1135,"")</f>
        <v/>
      </c>
      <c r="T1135" s="57" t="str">
        <f>IF(AC1135=1,O1135/M1135,"")</f>
        <v/>
      </c>
      <c r="U1135" s="57" t="str">
        <f>IF(AC1135=1,IF(O1135&gt;0,R1135/O1135,""),"")</f>
        <v/>
      </c>
      <c r="V1135" s="57" t="str">
        <f>IF(AC1135=1,IF(P1135&gt;0,N(G1135)/P1135,""),"")</f>
        <v/>
      </c>
      <c r="W1135" s="57" t="str">
        <f>IF(AC1135=1,S1135/M1135,"")</f>
        <v/>
      </c>
      <c r="X1135" s="57" t="str">
        <f>IF(AC1135=1,S1135/K1135,"")</f>
        <v/>
      </c>
      <c r="Y1135" s="58" t="str">
        <f>IF(W1135="","",IF(W1135&gt;=p_target,"Bon",IF(W1135&gt;=p_alert,"À surveiller","Faible")))</f>
        <v/>
      </c>
      <c r="Z1135" s="58" t="str">
        <f>IF(W1135="","",IF(MIN(IF(T1135="",1,T1135),IF(U1135="",1,U1135),IF(V1135="",1,V1135))&gt;=1,"Aucune",IF(IF(T1135="",1,T1135)&lt;=MIN(IF(U1135="",1,U1135),IF(V1135="",1,V1135)),"Disponibilité",IF(IF(U1135="",1,U1135)&lt;=IF(V1135="",1,V1135),"Performance","Qualité"))))</f>
        <v/>
      </c>
      <c r="AA1135" s="59" t="str">
        <f>IF(AC1135=1,N(H1135)*N(IFERROR(INDEX(art_cost,MATCH(E1135,art_ref,0)),0)),"")</f>
        <v/>
      </c>
      <c r="AB1135" s="58" t="str">
        <f>IF(COUNTA(A1135:I1135)=0,"",IF(N(A1135)&lt;=0,"Date manquante ou invalide",IF(B1135="","Équipe manquante",IF(ISNA(MATCH(B1135,eq_code,0)),"Équipe inconnue",IF(INDEX(eq_check,MATCH(B1135,eq_code,0))&lt;&gt;"OK","Équipe à corriger dans Paramètres",IF(C1135="","Poste manquant",IF(ISNA(MATCH(C1135,po_code,0)),"Poste inconnu",IF(AND(E1135&lt;&gt;"",ISNA(MATCH(E1135,art_ref,0))),"Article inconnu",IF(IF(E1135="",FALSE,INDEX(art_check,MATCH(E1135,art_ref,0))&lt;&gt;"OK"),"Article à corriger (feuille Articles)",IF(COUNTIFS(sj_date,A1135,sj_eq,B1135,sj_po,C1135)&gt;1,"Ligne en double (même jour, équipe et poste)",IF(OR(NOT(ISNUMBER(K1135)),N(K1135)&lt;=0,N(K1135)&gt;1440),"Temps d'ouverture invalide",IF(OR(AND(G1135&lt;&gt;"",NOT(ISNUMBER(G1135))),N(G1135)&lt;0,N(G1135)&lt;&gt;INT(N(G1135)),AND(H1135&lt;&gt;"",NOT(ISNUMBER(H1135))),N(H1135)&lt;0,N(H1135)&lt;&gt;INT(N(H1135)),AND(I1135&lt;&gt;"",NOT(ISNUMBER(I1135))),N(I1135)&lt;0,N(I1135)&lt;&gt;INT(N(I1135))),"Quantité invalide",IF(Q1135&lt;=0,"Cadence manquante (poste ou article)",IF(M1135&lt;=0,"Arrêts planifiés supérieurs au temps d'ouverture",IF(O1135&lt;0,"Arrêts supérieurs au temps requis",IF(AND(P1135&gt;0,O1135=0),"Pièces déclarées sans temps de marche",IF(AND(P1135=0,O1135&gt;0),"Aucune pièce déclarée",IF(P1135*60/Q1135&gt;O1135+0.001,"Cadence dépassée : vérifiez la cadence","OK"))))))))))))))))))</f>
        <v/>
      </c>
      <c r="AC1135">
        <f>IF(OR(AB1135="OK",AB1135="Aucune pièce déclarée",AB1135="Cadence dépassée : vérifiez la cadence"),1,0)</f>
        <v>0.0</v>
      </c>
      <c r="AD1135">
        <f>IF(AND(AC1135=1,A1135&gt;=p_from,A1135&lt;=p_to),1,0)</f>
        <v>0.0</v>
      </c>
      <c r="AE1135">
        <f>IF(AD1135=1,IF(COUNTIFS($A$6:A1135,A1135,$AD$6:AD1135,1)=1,1,0),0)</f>
        <v>0.0</v>
      </c>
      <c r="AF1135" t="str">
        <f>IF(AE1135=1,COUNTIFS(sj_first,1,sj_date,"&lt;"&amp;A1135)+1,"")</f>
        <v/>
      </c>
      <c r="AG1135" t="str">
        <f>IF(AND(AD1135=1,N(W1135)&lt;p_alert),ROUND(W1135,4),"")</f>
        <v/>
      </c>
      <c r="AH1135" t="str">
        <f>IF(AG1135="","",COUNTIF(sj_akey,"&lt;"&amp;AG1135)+COUNTIF($AG$6:AG1135,AG1135))</f>
        <v/>
      </c>
    </row>
    <row r="1136">
      <c r="A1136" s="51" t="n"/>
      <c r="B1136" s="52" t="n"/>
      <c r="C1136" s="52" t="n"/>
      <c r="D1136" s="53" t="n"/>
      <c r="E1136" s="53" t="n"/>
      <c r="F1136" s="54" t="n"/>
      <c r="G1136" s="54" t="n"/>
      <c r="H1136" s="54" t="n"/>
      <c r="I1136" s="54" t="n"/>
      <c r="J1136" s="53" t="n"/>
      <c r="K1136" s="55" t="str">
        <f>IF(COUNTA(A1136:I1136)=0,"",IF(F1136="",IFERROR(INDEX(eq_dur,MATCH(B1136,eq_code,0)),""),F1136))</f>
        <v/>
      </c>
      <c r="L1136" s="55" t="str">
        <f>IF(ISNUMBER(K1136),N(IFERROR(INDEX(eq_pause,MATCH(B1136,eq_code,0)),0))+SUMIFS(st_min,st_date,A1136,st_eq,B1136,st_po,C1136,st_type,"Planifié"),"")</f>
        <v/>
      </c>
      <c r="M1136" s="55" t="str">
        <f>IF(ISNUMBER(K1136),K1136-L1136,"")</f>
        <v/>
      </c>
      <c r="N1136" s="55" t="str">
        <f>IF(ISNUMBER(K1136),SUMIFS(st_min,st_date,A1136,st_eq,B1136,st_po,C1136,st_type,"Non planifié"),"")</f>
        <v/>
      </c>
      <c r="O1136" s="55" t="str">
        <f>IF(ISNUMBER(K1136),M1136-N1136,"")</f>
        <v/>
      </c>
      <c r="P1136" s="55" t="str">
        <f>IF(COUNTA(A1136:I1136)=0,"",N(G1136)+N(H1136)+N(I1136))</f>
        <v/>
      </c>
      <c r="Q1136" s="56" t="str">
        <f>IF(COUNTA(A1136:I1136)=0,"",IF(N(IFERROR(INDEX(art_rate,MATCH(E1136,art_ref,0)),0))&gt;0,N(IFERROR(INDEX(art_rate,MATCH(E1136,art_ref,0)),0)),N(IFERROR(INDEX(po_rate,MATCH(C1136,po_code,0)),0))))</f>
        <v/>
      </c>
      <c r="R1136" s="55" t="str">
        <f>IF(AC1136=1,P1136*60/Q1136,"")</f>
        <v/>
      </c>
      <c r="S1136" s="55" t="str">
        <f>IF(AC1136=1,N(G1136)*60/Q1136,"")</f>
        <v/>
      </c>
      <c r="T1136" s="57" t="str">
        <f>IF(AC1136=1,O1136/M1136,"")</f>
        <v/>
      </c>
      <c r="U1136" s="57" t="str">
        <f>IF(AC1136=1,IF(O1136&gt;0,R1136/O1136,""),"")</f>
        <v/>
      </c>
      <c r="V1136" s="57" t="str">
        <f>IF(AC1136=1,IF(P1136&gt;0,N(G1136)/P1136,""),"")</f>
        <v/>
      </c>
      <c r="W1136" s="57" t="str">
        <f>IF(AC1136=1,S1136/M1136,"")</f>
        <v/>
      </c>
      <c r="X1136" s="57" t="str">
        <f>IF(AC1136=1,S1136/K1136,"")</f>
        <v/>
      </c>
      <c r="Y1136" s="58" t="str">
        <f>IF(W1136="","",IF(W1136&gt;=p_target,"Bon",IF(W1136&gt;=p_alert,"À surveiller","Faible")))</f>
        <v/>
      </c>
      <c r="Z1136" s="58" t="str">
        <f>IF(W1136="","",IF(MIN(IF(T1136="",1,T1136),IF(U1136="",1,U1136),IF(V1136="",1,V1136))&gt;=1,"Aucune",IF(IF(T1136="",1,T1136)&lt;=MIN(IF(U1136="",1,U1136),IF(V1136="",1,V1136)),"Disponibilité",IF(IF(U1136="",1,U1136)&lt;=IF(V1136="",1,V1136),"Performance","Qualité"))))</f>
        <v/>
      </c>
      <c r="AA1136" s="59" t="str">
        <f>IF(AC1136=1,N(H1136)*N(IFERROR(INDEX(art_cost,MATCH(E1136,art_ref,0)),0)),"")</f>
        <v/>
      </c>
      <c r="AB1136" s="58" t="str">
        <f>IF(COUNTA(A1136:I1136)=0,"",IF(N(A1136)&lt;=0,"Date manquante ou invalide",IF(B1136="","Équipe manquante",IF(ISNA(MATCH(B1136,eq_code,0)),"Équipe inconnue",IF(INDEX(eq_check,MATCH(B1136,eq_code,0))&lt;&gt;"OK","Équipe à corriger dans Paramètres",IF(C1136="","Poste manquant",IF(ISNA(MATCH(C1136,po_code,0)),"Poste inconnu",IF(AND(E1136&lt;&gt;"",ISNA(MATCH(E1136,art_ref,0))),"Article inconnu",IF(IF(E1136="",FALSE,INDEX(art_check,MATCH(E1136,art_ref,0))&lt;&gt;"OK"),"Article à corriger (feuille Articles)",IF(COUNTIFS(sj_date,A1136,sj_eq,B1136,sj_po,C1136)&gt;1,"Ligne en double (même jour, équipe et poste)",IF(OR(NOT(ISNUMBER(K1136)),N(K1136)&lt;=0,N(K1136)&gt;1440),"Temps d'ouverture invalide",IF(OR(AND(G1136&lt;&gt;"",NOT(ISNUMBER(G1136))),N(G1136)&lt;0,N(G1136)&lt;&gt;INT(N(G1136)),AND(H1136&lt;&gt;"",NOT(ISNUMBER(H1136))),N(H1136)&lt;0,N(H1136)&lt;&gt;INT(N(H1136)),AND(I1136&lt;&gt;"",NOT(ISNUMBER(I1136))),N(I1136)&lt;0,N(I1136)&lt;&gt;INT(N(I1136))),"Quantité invalide",IF(Q1136&lt;=0,"Cadence manquante (poste ou article)",IF(M1136&lt;=0,"Arrêts planifiés supérieurs au temps d'ouverture",IF(O1136&lt;0,"Arrêts supérieurs au temps requis",IF(AND(P1136&gt;0,O1136=0),"Pièces déclarées sans temps de marche",IF(AND(P1136=0,O1136&gt;0),"Aucune pièce déclarée",IF(P1136*60/Q1136&gt;O1136+0.001,"Cadence dépassée : vérifiez la cadence","OK"))))))))))))))))))</f>
        <v/>
      </c>
      <c r="AC1136">
        <f>IF(OR(AB1136="OK",AB1136="Aucune pièce déclarée",AB1136="Cadence dépassée : vérifiez la cadence"),1,0)</f>
        <v>0.0</v>
      </c>
      <c r="AD1136">
        <f>IF(AND(AC1136=1,A1136&gt;=p_from,A1136&lt;=p_to),1,0)</f>
        <v>0.0</v>
      </c>
      <c r="AE1136">
        <f>IF(AD1136=1,IF(COUNTIFS($A$6:A1136,A1136,$AD$6:AD1136,1)=1,1,0),0)</f>
        <v>0.0</v>
      </c>
      <c r="AF1136" t="str">
        <f>IF(AE1136=1,COUNTIFS(sj_first,1,sj_date,"&lt;"&amp;A1136)+1,"")</f>
        <v/>
      </c>
      <c r="AG1136" t="str">
        <f>IF(AND(AD1136=1,N(W1136)&lt;p_alert),ROUND(W1136,4),"")</f>
        <v/>
      </c>
      <c r="AH1136" t="str">
        <f>IF(AG1136="","",COUNTIF(sj_akey,"&lt;"&amp;AG1136)+COUNTIF($AG$6:AG1136,AG1136))</f>
        <v/>
      </c>
    </row>
    <row r="1137">
      <c r="A1137" s="51" t="n"/>
      <c r="B1137" s="52" t="n"/>
      <c r="C1137" s="52" t="n"/>
      <c r="D1137" s="53" t="n"/>
      <c r="E1137" s="53" t="n"/>
      <c r="F1137" s="54" t="n"/>
      <c r="G1137" s="54" t="n"/>
      <c r="H1137" s="54" t="n"/>
      <c r="I1137" s="54" t="n"/>
      <c r="J1137" s="53" t="n"/>
      <c r="K1137" s="55" t="str">
        <f>IF(COUNTA(A1137:I1137)=0,"",IF(F1137="",IFERROR(INDEX(eq_dur,MATCH(B1137,eq_code,0)),""),F1137))</f>
        <v/>
      </c>
      <c r="L1137" s="55" t="str">
        <f>IF(ISNUMBER(K1137),N(IFERROR(INDEX(eq_pause,MATCH(B1137,eq_code,0)),0))+SUMIFS(st_min,st_date,A1137,st_eq,B1137,st_po,C1137,st_type,"Planifié"),"")</f>
        <v/>
      </c>
      <c r="M1137" s="55" t="str">
        <f>IF(ISNUMBER(K1137),K1137-L1137,"")</f>
        <v/>
      </c>
      <c r="N1137" s="55" t="str">
        <f>IF(ISNUMBER(K1137),SUMIFS(st_min,st_date,A1137,st_eq,B1137,st_po,C1137,st_type,"Non planifié"),"")</f>
        <v/>
      </c>
      <c r="O1137" s="55" t="str">
        <f>IF(ISNUMBER(K1137),M1137-N1137,"")</f>
        <v/>
      </c>
      <c r="P1137" s="55" t="str">
        <f>IF(COUNTA(A1137:I1137)=0,"",N(G1137)+N(H1137)+N(I1137))</f>
        <v/>
      </c>
      <c r="Q1137" s="56" t="str">
        <f>IF(COUNTA(A1137:I1137)=0,"",IF(N(IFERROR(INDEX(art_rate,MATCH(E1137,art_ref,0)),0))&gt;0,N(IFERROR(INDEX(art_rate,MATCH(E1137,art_ref,0)),0)),N(IFERROR(INDEX(po_rate,MATCH(C1137,po_code,0)),0))))</f>
        <v/>
      </c>
      <c r="R1137" s="55" t="str">
        <f>IF(AC1137=1,P1137*60/Q1137,"")</f>
        <v/>
      </c>
      <c r="S1137" s="55" t="str">
        <f>IF(AC1137=1,N(G1137)*60/Q1137,"")</f>
        <v/>
      </c>
      <c r="T1137" s="57" t="str">
        <f>IF(AC1137=1,O1137/M1137,"")</f>
        <v/>
      </c>
      <c r="U1137" s="57" t="str">
        <f>IF(AC1137=1,IF(O1137&gt;0,R1137/O1137,""),"")</f>
        <v/>
      </c>
      <c r="V1137" s="57" t="str">
        <f>IF(AC1137=1,IF(P1137&gt;0,N(G1137)/P1137,""),"")</f>
        <v/>
      </c>
      <c r="W1137" s="57" t="str">
        <f>IF(AC1137=1,S1137/M1137,"")</f>
        <v/>
      </c>
      <c r="X1137" s="57" t="str">
        <f>IF(AC1137=1,S1137/K1137,"")</f>
        <v/>
      </c>
      <c r="Y1137" s="58" t="str">
        <f>IF(W1137="","",IF(W1137&gt;=p_target,"Bon",IF(W1137&gt;=p_alert,"À surveiller","Faible")))</f>
        <v/>
      </c>
      <c r="Z1137" s="58" t="str">
        <f>IF(W1137="","",IF(MIN(IF(T1137="",1,T1137),IF(U1137="",1,U1137),IF(V1137="",1,V1137))&gt;=1,"Aucune",IF(IF(T1137="",1,T1137)&lt;=MIN(IF(U1137="",1,U1137),IF(V1137="",1,V1137)),"Disponibilité",IF(IF(U1137="",1,U1137)&lt;=IF(V1137="",1,V1137),"Performance","Qualité"))))</f>
        <v/>
      </c>
      <c r="AA1137" s="59" t="str">
        <f>IF(AC1137=1,N(H1137)*N(IFERROR(INDEX(art_cost,MATCH(E1137,art_ref,0)),0)),"")</f>
        <v/>
      </c>
      <c r="AB1137" s="58" t="str">
        <f>IF(COUNTA(A1137:I1137)=0,"",IF(N(A1137)&lt;=0,"Date manquante ou invalide",IF(B1137="","Équipe manquante",IF(ISNA(MATCH(B1137,eq_code,0)),"Équipe inconnue",IF(INDEX(eq_check,MATCH(B1137,eq_code,0))&lt;&gt;"OK","Équipe à corriger dans Paramètres",IF(C1137="","Poste manquant",IF(ISNA(MATCH(C1137,po_code,0)),"Poste inconnu",IF(AND(E1137&lt;&gt;"",ISNA(MATCH(E1137,art_ref,0))),"Article inconnu",IF(IF(E1137="",FALSE,INDEX(art_check,MATCH(E1137,art_ref,0))&lt;&gt;"OK"),"Article à corriger (feuille Articles)",IF(COUNTIFS(sj_date,A1137,sj_eq,B1137,sj_po,C1137)&gt;1,"Ligne en double (même jour, équipe et poste)",IF(OR(NOT(ISNUMBER(K1137)),N(K1137)&lt;=0,N(K1137)&gt;1440),"Temps d'ouverture invalide",IF(OR(AND(G1137&lt;&gt;"",NOT(ISNUMBER(G1137))),N(G1137)&lt;0,N(G1137)&lt;&gt;INT(N(G1137)),AND(H1137&lt;&gt;"",NOT(ISNUMBER(H1137))),N(H1137)&lt;0,N(H1137)&lt;&gt;INT(N(H1137)),AND(I1137&lt;&gt;"",NOT(ISNUMBER(I1137))),N(I1137)&lt;0,N(I1137)&lt;&gt;INT(N(I1137))),"Quantité invalide",IF(Q1137&lt;=0,"Cadence manquante (poste ou article)",IF(M1137&lt;=0,"Arrêts planifiés supérieurs au temps d'ouverture",IF(O1137&lt;0,"Arrêts supérieurs au temps requis",IF(AND(P1137&gt;0,O1137=0),"Pièces déclarées sans temps de marche",IF(AND(P1137=0,O1137&gt;0),"Aucune pièce déclarée",IF(P1137*60/Q1137&gt;O1137+0.001,"Cadence dépassée : vérifiez la cadence","OK"))))))))))))))))))</f>
        <v/>
      </c>
      <c r="AC1137">
        <f>IF(OR(AB1137="OK",AB1137="Aucune pièce déclarée",AB1137="Cadence dépassée : vérifiez la cadence"),1,0)</f>
        <v>0.0</v>
      </c>
      <c r="AD1137">
        <f>IF(AND(AC1137=1,A1137&gt;=p_from,A1137&lt;=p_to),1,0)</f>
        <v>0.0</v>
      </c>
      <c r="AE1137">
        <f>IF(AD1137=1,IF(COUNTIFS($A$6:A1137,A1137,$AD$6:AD1137,1)=1,1,0),0)</f>
        <v>0.0</v>
      </c>
      <c r="AF1137" t="str">
        <f>IF(AE1137=1,COUNTIFS(sj_first,1,sj_date,"&lt;"&amp;A1137)+1,"")</f>
        <v/>
      </c>
      <c r="AG1137" t="str">
        <f>IF(AND(AD1137=1,N(W1137)&lt;p_alert),ROUND(W1137,4),"")</f>
        <v/>
      </c>
      <c r="AH1137" t="str">
        <f>IF(AG1137="","",COUNTIF(sj_akey,"&lt;"&amp;AG1137)+COUNTIF($AG$6:AG1137,AG1137))</f>
        <v/>
      </c>
    </row>
    <row r="1138">
      <c r="A1138" s="51" t="n"/>
      <c r="B1138" s="52" t="n"/>
      <c r="C1138" s="52" t="n"/>
      <c r="D1138" s="53" t="n"/>
      <c r="E1138" s="53" t="n"/>
      <c r="F1138" s="54" t="n"/>
      <c r="G1138" s="54" t="n"/>
      <c r="H1138" s="54" t="n"/>
      <c r="I1138" s="54" t="n"/>
      <c r="J1138" s="53" t="n"/>
      <c r="K1138" s="55" t="str">
        <f>IF(COUNTA(A1138:I1138)=0,"",IF(F1138="",IFERROR(INDEX(eq_dur,MATCH(B1138,eq_code,0)),""),F1138))</f>
        <v/>
      </c>
      <c r="L1138" s="55" t="str">
        <f>IF(ISNUMBER(K1138),N(IFERROR(INDEX(eq_pause,MATCH(B1138,eq_code,0)),0))+SUMIFS(st_min,st_date,A1138,st_eq,B1138,st_po,C1138,st_type,"Planifié"),"")</f>
        <v/>
      </c>
      <c r="M1138" s="55" t="str">
        <f>IF(ISNUMBER(K1138),K1138-L1138,"")</f>
        <v/>
      </c>
      <c r="N1138" s="55" t="str">
        <f>IF(ISNUMBER(K1138),SUMIFS(st_min,st_date,A1138,st_eq,B1138,st_po,C1138,st_type,"Non planifié"),"")</f>
        <v/>
      </c>
      <c r="O1138" s="55" t="str">
        <f>IF(ISNUMBER(K1138),M1138-N1138,"")</f>
        <v/>
      </c>
      <c r="P1138" s="55" t="str">
        <f>IF(COUNTA(A1138:I1138)=0,"",N(G1138)+N(H1138)+N(I1138))</f>
        <v/>
      </c>
      <c r="Q1138" s="56" t="str">
        <f>IF(COUNTA(A1138:I1138)=0,"",IF(N(IFERROR(INDEX(art_rate,MATCH(E1138,art_ref,0)),0))&gt;0,N(IFERROR(INDEX(art_rate,MATCH(E1138,art_ref,0)),0)),N(IFERROR(INDEX(po_rate,MATCH(C1138,po_code,0)),0))))</f>
        <v/>
      </c>
      <c r="R1138" s="55" t="str">
        <f>IF(AC1138=1,P1138*60/Q1138,"")</f>
        <v/>
      </c>
      <c r="S1138" s="55" t="str">
        <f>IF(AC1138=1,N(G1138)*60/Q1138,"")</f>
        <v/>
      </c>
      <c r="T1138" s="57" t="str">
        <f>IF(AC1138=1,O1138/M1138,"")</f>
        <v/>
      </c>
      <c r="U1138" s="57" t="str">
        <f>IF(AC1138=1,IF(O1138&gt;0,R1138/O1138,""),"")</f>
        <v/>
      </c>
      <c r="V1138" s="57" t="str">
        <f>IF(AC1138=1,IF(P1138&gt;0,N(G1138)/P1138,""),"")</f>
        <v/>
      </c>
      <c r="W1138" s="57" t="str">
        <f>IF(AC1138=1,S1138/M1138,"")</f>
        <v/>
      </c>
      <c r="X1138" s="57" t="str">
        <f>IF(AC1138=1,S1138/K1138,"")</f>
        <v/>
      </c>
      <c r="Y1138" s="58" t="str">
        <f>IF(W1138="","",IF(W1138&gt;=p_target,"Bon",IF(W1138&gt;=p_alert,"À surveiller","Faible")))</f>
        <v/>
      </c>
      <c r="Z1138" s="58" t="str">
        <f>IF(W1138="","",IF(MIN(IF(T1138="",1,T1138),IF(U1138="",1,U1138),IF(V1138="",1,V1138))&gt;=1,"Aucune",IF(IF(T1138="",1,T1138)&lt;=MIN(IF(U1138="",1,U1138),IF(V1138="",1,V1138)),"Disponibilité",IF(IF(U1138="",1,U1138)&lt;=IF(V1138="",1,V1138),"Performance","Qualité"))))</f>
        <v/>
      </c>
      <c r="AA1138" s="59" t="str">
        <f>IF(AC1138=1,N(H1138)*N(IFERROR(INDEX(art_cost,MATCH(E1138,art_ref,0)),0)),"")</f>
        <v/>
      </c>
      <c r="AB1138" s="58" t="str">
        <f>IF(COUNTA(A1138:I1138)=0,"",IF(N(A1138)&lt;=0,"Date manquante ou invalide",IF(B1138="","Équipe manquante",IF(ISNA(MATCH(B1138,eq_code,0)),"Équipe inconnue",IF(INDEX(eq_check,MATCH(B1138,eq_code,0))&lt;&gt;"OK","Équipe à corriger dans Paramètres",IF(C1138="","Poste manquant",IF(ISNA(MATCH(C1138,po_code,0)),"Poste inconnu",IF(AND(E1138&lt;&gt;"",ISNA(MATCH(E1138,art_ref,0))),"Article inconnu",IF(IF(E1138="",FALSE,INDEX(art_check,MATCH(E1138,art_ref,0))&lt;&gt;"OK"),"Article à corriger (feuille Articles)",IF(COUNTIFS(sj_date,A1138,sj_eq,B1138,sj_po,C1138)&gt;1,"Ligne en double (même jour, équipe et poste)",IF(OR(NOT(ISNUMBER(K1138)),N(K1138)&lt;=0,N(K1138)&gt;1440),"Temps d'ouverture invalide",IF(OR(AND(G1138&lt;&gt;"",NOT(ISNUMBER(G1138))),N(G1138)&lt;0,N(G1138)&lt;&gt;INT(N(G1138)),AND(H1138&lt;&gt;"",NOT(ISNUMBER(H1138))),N(H1138)&lt;0,N(H1138)&lt;&gt;INT(N(H1138)),AND(I1138&lt;&gt;"",NOT(ISNUMBER(I1138))),N(I1138)&lt;0,N(I1138)&lt;&gt;INT(N(I1138))),"Quantité invalide",IF(Q1138&lt;=0,"Cadence manquante (poste ou article)",IF(M1138&lt;=0,"Arrêts planifiés supérieurs au temps d'ouverture",IF(O1138&lt;0,"Arrêts supérieurs au temps requis",IF(AND(P1138&gt;0,O1138=0),"Pièces déclarées sans temps de marche",IF(AND(P1138=0,O1138&gt;0),"Aucune pièce déclarée",IF(P1138*60/Q1138&gt;O1138+0.001,"Cadence dépassée : vérifiez la cadence","OK"))))))))))))))))))</f>
        <v/>
      </c>
      <c r="AC1138">
        <f>IF(OR(AB1138="OK",AB1138="Aucune pièce déclarée",AB1138="Cadence dépassée : vérifiez la cadence"),1,0)</f>
        <v>0.0</v>
      </c>
      <c r="AD1138">
        <f>IF(AND(AC1138=1,A1138&gt;=p_from,A1138&lt;=p_to),1,0)</f>
        <v>0.0</v>
      </c>
      <c r="AE1138">
        <f>IF(AD1138=1,IF(COUNTIFS($A$6:A1138,A1138,$AD$6:AD1138,1)=1,1,0),0)</f>
        <v>0.0</v>
      </c>
      <c r="AF1138" t="str">
        <f>IF(AE1138=1,COUNTIFS(sj_first,1,sj_date,"&lt;"&amp;A1138)+1,"")</f>
        <v/>
      </c>
      <c r="AG1138" t="str">
        <f>IF(AND(AD1138=1,N(W1138)&lt;p_alert),ROUND(W1138,4),"")</f>
        <v/>
      </c>
      <c r="AH1138" t="str">
        <f>IF(AG1138="","",COUNTIF(sj_akey,"&lt;"&amp;AG1138)+COUNTIF($AG$6:AG1138,AG1138))</f>
        <v/>
      </c>
    </row>
    <row r="1139">
      <c r="A1139" s="51" t="n"/>
      <c r="B1139" s="52" t="n"/>
      <c r="C1139" s="52" t="n"/>
      <c r="D1139" s="53" t="n"/>
      <c r="E1139" s="53" t="n"/>
      <c r="F1139" s="54" t="n"/>
      <c r="G1139" s="54" t="n"/>
      <c r="H1139" s="54" t="n"/>
      <c r="I1139" s="54" t="n"/>
      <c r="J1139" s="53" t="n"/>
      <c r="K1139" s="55" t="str">
        <f>IF(COUNTA(A1139:I1139)=0,"",IF(F1139="",IFERROR(INDEX(eq_dur,MATCH(B1139,eq_code,0)),""),F1139))</f>
        <v/>
      </c>
      <c r="L1139" s="55" t="str">
        <f>IF(ISNUMBER(K1139),N(IFERROR(INDEX(eq_pause,MATCH(B1139,eq_code,0)),0))+SUMIFS(st_min,st_date,A1139,st_eq,B1139,st_po,C1139,st_type,"Planifié"),"")</f>
        <v/>
      </c>
      <c r="M1139" s="55" t="str">
        <f>IF(ISNUMBER(K1139),K1139-L1139,"")</f>
        <v/>
      </c>
      <c r="N1139" s="55" t="str">
        <f>IF(ISNUMBER(K1139),SUMIFS(st_min,st_date,A1139,st_eq,B1139,st_po,C1139,st_type,"Non planifié"),"")</f>
        <v/>
      </c>
      <c r="O1139" s="55" t="str">
        <f>IF(ISNUMBER(K1139),M1139-N1139,"")</f>
        <v/>
      </c>
      <c r="P1139" s="55" t="str">
        <f>IF(COUNTA(A1139:I1139)=0,"",N(G1139)+N(H1139)+N(I1139))</f>
        <v/>
      </c>
      <c r="Q1139" s="56" t="str">
        <f>IF(COUNTA(A1139:I1139)=0,"",IF(N(IFERROR(INDEX(art_rate,MATCH(E1139,art_ref,0)),0))&gt;0,N(IFERROR(INDEX(art_rate,MATCH(E1139,art_ref,0)),0)),N(IFERROR(INDEX(po_rate,MATCH(C1139,po_code,0)),0))))</f>
        <v/>
      </c>
      <c r="R1139" s="55" t="str">
        <f>IF(AC1139=1,P1139*60/Q1139,"")</f>
        <v/>
      </c>
      <c r="S1139" s="55" t="str">
        <f>IF(AC1139=1,N(G1139)*60/Q1139,"")</f>
        <v/>
      </c>
      <c r="T1139" s="57" t="str">
        <f>IF(AC1139=1,O1139/M1139,"")</f>
        <v/>
      </c>
      <c r="U1139" s="57" t="str">
        <f>IF(AC1139=1,IF(O1139&gt;0,R1139/O1139,""),"")</f>
        <v/>
      </c>
      <c r="V1139" s="57" t="str">
        <f>IF(AC1139=1,IF(P1139&gt;0,N(G1139)/P1139,""),"")</f>
        <v/>
      </c>
      <c r="W1139" s="57" t="str">
        <f>IF(AC1139=1,S1139/M1139,"")</f>
        <v/>
      </c>
      <c r="X1139" s="57" t="str">
        <f>IF(AC1139=1,S1139/K1139,"")</f>
        <v/>
      </c>
      <c r="Y1139" s="58" t="str">
        <f>IF(W1139="","",IF(W1139&gt;=p_target,"Bon",IF(W1139&gt;=p_alert,"À surveiller","Faible")))</f>
        <v/>
      </c>
      <c r="Z1139" s="58" t="str">
        <f>IF(W1139="","",IF(MIN(IF(T1139="",1,T1139),IF(U1139="",1,U1139),IF(V1139="",1,V1139))&gt;=1,"Aucune",IF(IF(T1139="",1,T1139)&lt;=MIN(IF(U1139="",1,U1139),IF(V1139="",1,V1139)),"Disponibilité",IF(IF(U1139="",1,U1139)&lt;=IF(V1139="",1,V1139),"Performance","Qualité"))))</f>
        <v/>
      </c>
      <c r="AA1139" s="59" t="str">
        <f>IF(AC1139=1,N(H1139)*N(IFERROR(INDEX(art_cost,MATCH(E1139,art_ref,0)),0)),"")</f>
        <v/>
      </c>
      <c r="AB1139" s="58" t="str">
        <f>IF(COUNTA(A1139:I1139)=0,"",IF(N(A1139)&lt;=0,"Date manquante ou invalide",IF(B1139="","Équipe manquante",IF(ISNA(MATCH(B1139,eq_code,0)),"Équipe inconnue",IF(INDEX(eq_check,MATCH(B1139,eq_code,0))&lt;&gt;"OK","Équipe à corriger dans Paramètres",IF(C1139="","Poste manquant",IF(ISNA(MATCH(C1139,po_code,0)),"Poste inconnu",IF(AND(E1139&lt;&gt;"",ISNA(MATCH(E1139,art_ref,0))),"Article inconnu",IF(IF(E1139="",FALSE,INDEX(art_check,MATCH(E1139,art_ref,0))&lt;&gt;"OK"),"Article à corriger (feuille Articles)",IF(COUNTIFS(sj_date,A1139,sj_eq,B1139,sj_po,C1139)&gt;1,"Ligne en double (même jour, équipe et poste)",IF(OR(NOT(ISNUMBER(K1139)),N(K1139)&lt;=0,N(K1139)&gt;1440),"Temps d'ouverture invalide",IF(OR(AND(G1139&lt;&gt;"",NOT(ISNUMBER(G1139))),N(G1139)&lt;0,N(G1139)&lt;&gt;INT(N(G1139)),AND(H1139&lt;&gt;"",NOT(ISNUMBER(H1139))),N(H1139)&lt;0,N(H1139)&lt;&gt;INT(N(H1139)),AND(I1139&lt;&gt;"",NOT(ISNUMBER(I1139))),N(I1139)&lt;0,N(I1139)&lt;&gt;INT(N(I1139))),"Quantité invalide",IF(Q1139&lt;=0,"Cadence manquante (poste ou article)",IF(M1139&lt;=0,"Arrêts planifiés supérieurs au temps d'ouverture",IF(O1139&lt;0,"Arrêts supérieurs au temps requis",IF(AND(P1139&gt;0,O1139=0),"Pièces déclarées sans temps de marche",IF(AND(P1139=0,O1139&gt;0),"Aucune pièce déclarée",IF(P1139*60/Q1139&gt;O1139+0.001,"Cadence dépassée : vérifiez la cadence","OK"))))))))))))))))))</f>
        <v/>
      </c>
      <c r="AC1139">
        <f>IF(OR(AB1139="OK",AB1139="Aucune pièce déclarée",AB1139="Cadence dépassée : vérifiez la cadence"),1,0)</f>
        <v>0.0</v>
      </c>
      <c r="AD1139">
        <f>IF(AND(AC1139=1,A1139&gt;=p_from,A1139&lt;=p_to),1,0)</f>
        <v>0.0</v>
      </c>
      <c r="AE1139">
        <f>IF(AD1139=1,IF(COUNTIFS($A$6:A1139,A1139,$AD$6:AD1139,1)=1,1,0),0)</f>
        <v>0.0</v>
      </c>
      <c r="AF1139" t="str">
        <f>IF(AE1139=1,COUNTIFS(sj_first,1,sj_date,"&lt;"&amp;A1139)+1,"")</f>
        <v/>
      </c>
      <c r="AG1139" t="str">
        <f>IF(AND(AD1139=1,N(W1139)&lt;p_alert),ROUND(W1139,4),"")</f>
        <v/>
      </c>
      <c r="AH1139" t="str">
        <f>IF(AG1139="","",COUNTIF(sj_akey,"&lt;"&amp;AG1139)+COUNTIF($AG$6:AG1139,AG1139))</f>
        <v/>
      </c>
    </row>
    <row r="1140">
      <c r="A1140" s="51" t="n"/>
      <c r="B1140" s="52" t="n"/>
      <c r="C1140" s="52" t="n"/>
      <c r="D1140" s="53" t="n"/>
      <c r="E1140" s="53" t="n"/>
      <c r="F1140" s="54" t="n"/>
      <c r="G1140" s="54" t="n"/>
      <c r="H1140" s="54" t="n"/>
      <c r="I1140" s="54" t="n"/>
      <c r="J1140" s="53" t="n"/>
      <c r="K1140" s="55" t="str">
        <f>IF(COUNTA(A1140:I1140)=0,"",IF(F1140="",IFERROR(INDEX(eq_dur,MATCH(B1140,eq_code,0)),""),F1140))</f>
        <v/>
      </c>
      <c r="L1140" s="55" t="str">
        <f>IF(ISNUMBER(K1140),N(IFERROR(INDEX(eq_pause,MATCH(B1140,eq_code,0)),0))+SUMIFS(st_min,st_date,A1140,st_eq,B1140,st_po,C1140,st_type,"Planifié"),"")</f>
        <v/>
      </c>
      <c r="M1140" s="55" t="str">
        <f>IF(ISNUMBER(K1140),K1140-L1140,"")</f>
        <v/>
      </c>
      <c r="N1140" s="55" t="str">
        <f>IF(ISNUMBER(K1140),SUMIFS(st_min,st_date,A1140,st_eq,B1140,st_po,C1140,st_type,"Non planifié"),"")</f>
        <v/>
      </c>
      <c r="O1140" s="55" t="str">
        <f>IF(ISNUMBER(K1140),M1140-N1140,"")</f>
        <v/>
      </c>
      <c r="P1140" s="55" t="str">
        <f>IF(COUNTA(A1140:I1140)=0,"",N(G1140)+N(H1140)+N(I1140))</f>
        <v/>
      </c>
      <c r="Q1140" s="56" t="str">
        <f>IF(COUNTA(A1140:I1140)=0,"",IF(N(IFERROR(INDEX(art_rate,MATCH(E1140,art_ref,0)),0))&gt;0,N(IFERROR(INDEX(art_rate,MATCH(E1140,art_ref,0)),0)),N(IFERROR(INDEX(po_rate,MATCH(C1140,po_code,0)),0))))</f>
        <v/>
      </c>
      <c r="R1140" s="55" t="str">
        <f>IF(AC1140=1,P1140*60/Q1140,"")</f>
        <v/>
      </c>
      <c r="S1140" s="55" t="str">
        <f>IF(AC1140=1,N(G1140)*60/Q1140,"")</f>
        <v/>
      </c>
      <c r="T1140" s="57" t="str">
        <f>IF(AC1140=1,O1140/M1140,"")</f>
        <v/>
      </c>
      <c r="U1140" s="57" t="str">
        <f>IF(AC1140=1,IF(O1140&gt;0,R1140/O1140,""),"")</f>
        <v/>
      </c>
      <c r="V1140" s="57" t="str">
        <f>IF(AC1140=1,IF(P1140&gt;0,N(G1140)/P1140,""),"")</f>
        <v/>
      </c>
      <c r="W1140" s="57" t="str">
        <f>IF(AC1140=1,S1140/M1140,"")</f>
        <v/>
      </c>
      <c r="X1140" s="57" t="str">
        <f>IF(AC1140=1,S1140/K1140,"")</f>
        <v/>
      </c>
      <c r="Y1140" s="58" t="str">
        <f>IF(W1140="","",IF(W1140&gt;=p_target,"Bon",IF(W1140&gt;=p_alert,"À surveiller","Faible")))</f>
        <v/>
      </c>
      <c r="Z1140" s="58" t="str">
        <f>IF(W1140="","",IF(MIN(IF(T1140="",1,T1140),IF(U1140="",1,U1140),IF(V1140="",1,V1140))&gt;=1,"Aucune",IF(IF(T1140="",1,T1140)&lt;=MIN(IF(U1140="",1,U1140),IF(V1140="",1,V1140)),"Disponibilité",IF(IF(U1140="",1,U1140)&lt;=IF(V1140="",1,V1140),"Performance","Qualité"))))</f>
        <v/>
      </c>
      <c r="AA1140" s="59" t="str">
        <f>IF(AC1140=1,N(H1140)*N(IFERROR(INDEX(art_cost,MATCH(E1140,art_ref,0)),0)),"")</f>
        <v/>
      </c>
      <c r="AB1140" s="58" t="str">
        <f>IF(COUNTA(A1140:I1140)=0,"",IF(N(A1140)&lt;=0,"Date manquante ou invalide",IF(B1140="","Équipe manquante",IF(ISNA(MATCH(B1140,eq_code,0)),"Équipe inconnue",IF(INDEX(eq_check,MATCH(B1140,eq_code,0))&lt;&gt;"OK","Équipe à corriger dans Paramètres",IF(C1140="","Poste manquant",IF(ISNA(MATCH(C1140,po_code,0)),"Poste inconnu",IF(AND(E1140&lt;&gt;"",ISNA(MATCH(E1140,art_ref,0))),"Article inconnu",IF(IF(E1140="",FALSE,INDEX(art_check,MATCH(E1140,art_ref,0))&lt;&gt;"OK"),"Article à corriger (feuille Articles)",IF(COUNTIFS(sj_date,A1140,sj_eq,B1140,sj_po,C1140)&gt;1,"Ligne en double (même jour, équipe et poste)",IF(OR(NOT(ISNUMBER(K1140)),N(K1140)&lt;=0,N(K1140)&gt;1440),"Temps d'ouverture invalide",IF(OR(AND(G1140&lt;&gt;"",NOT(ISNUMBER(G1140))),N(G1140)&lt;0,N(G1140)&lt;&gt;INT(N(G1140)),AND(H1140&lt;&gt;"",NOT(ISNUMBER(H1140))),N(H1140)&lt;0,N(H1140)&lt;&gt;INT(N(H1140)),AND(I1140&lt;&gt;"",NOT(ISNUMBER(I1140))),N(I1140)&lt;0,N(I1140)&lt;&gt;INT(N(I1140))),"Quantité invalide",IF(Q1140&lt;=0,"Cadence manquante (poste ou article)",IF(M1140&lt;=0,"Arrêts planifiés supérieurs au temps d'ouverture",IF(O1140&lt;0,"Arrêts supérieurs au temps requis",IF(AND(P1140&gt;0,O1140=0),"Pièces déclarées sans temps de marche",IF(AND(P1140=0,O1140&gt;0),"Aucune pièce déclarée",IF(P1140*60/Q1140&gt;O1140+0.001,"Cadence dépassée : vérifiez la cadence","OK"))))))))))))))))))</f>
        <v/>
      </c>
      <c r="AC1140">
        <f>IF(OR(AB1140="OK",AB1140="Aucune pièce déclarée",AB1140="Cadence dépassée : vérifiez la cadence"),1,0)</f>
        <v>0.0</v>
      </c>
      <c r="AD1140">
        <f>IF(AND(AC1140=1,A1140&gt;=p_from,A1140&lt;=p_to),1,0)</f>
        <v>0.0</v>
      </c>
      <c r="AE1140">
        <f>IF(AD1140=1,IF(COUNTIFS($A$6:A1140,A1140,$AD$6:AD1140,1)=1,1,0),0)</f>
        <v>0.0</v>
      </c>
      <c r="AF1140" t="str">
        <f>IF(AE1140=1,COUNTIFS(sj_first,1,sj_date,"&lt;"&amp;A1140)+1,"")</f>
        <v/>
      </c>
      <c r="AG1140" t="str">
        <f>IF(AND(AD1140=1,N(W1140)&lt;p_alert),ROUND(W1140,4),"")</f>
        <v/>
      </c>
      <c r="AH1140" t="str">
        <f>IF(AG1140="","",COUNTIF(sj_akey,"&lt;"&amp;AG1140)+COUNTIF($AG$6:AG1140,AG1140))</f>
        <v/>
      </c>
    </row>
    <row r="1141">
      <c r="A1141" s="51" t="n"/>
      <c r="B1141" s="52" t="n"/>
      <c r="C1141" s="52" t="n"/>
      <c r="D1141" s="53" t="n"/>
      <c r="E1141" s="53" t="n"/>
      <c r="F1141" s="54" t="n"/>
      <c r="G1141" s="54" t="n"/>
      <c r="H1141" s="54" t="n"/>
      <c r="I1141" s="54" t="n"/>
      <c r="J1141" s="53" t="n"/>
      <c r="K1141" s="55" t="str">
        <f>IF(COUNTA(A1141:I1141)=0,"",IF(F1141="",IFERROR(INDEX(eq_dur,MATCH(B1141,eq_code,0)),""),F1141))</f>
        <v/>
      </c>
      <c r="L1141" s="55" t="str">
        <f>IF(ISNUMBER(K1141),N(IFERROR(INDEX(eq_pause,MATCH(B1141,eq_code,0)),0))+SUMIFS(st_min,st_date,A1141,st_eq,B1141,st_po,C1141,st_type,"Planifié"),"")</f>
        <v/>
      </c>
      <c r="M1141" s="55" t="str">
        <f>IF(ISNUMBER(K1141),K1141-L1141,"")</f>
        <v/>
      </c>
      <c r="N1141" s="55" t="str">
        <f>IF(ISNUMBER(K1141),SUMIFS(st_min,st_date,A1141,st_eq,B1141,st_po,C1141,st_type,"Non planifié"),"")</f>
        <v/>
      </c>
      <c r="O1141" s="55" t="str">
        <f>IF(ISNUMBER(K1141),M1141-N1141,"")</f>
        <v/>
      </c>
      <c r="P1141" s="55" t="str">
        <f>IF(COUNTA(A1141:I1141)=0,"",N(G1141)+N(H1141)+N(I1141))</f>
        <v/>
      </c>
      <c r="Q1141" s="56" t="str">
        <f>IF(COUNTA(A1141:I1141)=0,"",IF(N(IFERROR(INDEX(art_rate,MATCH(E1141,art_ref,0)),0))&gt;0,N(IFERROR(INDEX(art_rate,MATCH(E1141,art_ref,0)),0)),N(IFERROR(INDEX(po_rate,MATCH(C1141,po_code,0)),0))))</f>
        <v/>
      </c>
      <c r="R1141" s="55" t="str">
        <f>IF(AC1141=1,P1141*60/Q1141,"")</f>
        <v/>
      </c>
      <c r="S1141" s="55" t="str">
        <f>IF(AC1141=1,N(G1141)*60/Q1141,"")</f>
        <v/>
      </c>
      <c r="T1141" s="57" t="str">
        <f>IF(AC1141=1,O1141/M1141,"")</f>
        <v/>
      </c>
      <c r="U1141" s="57" t="str">
        <f>IF(AC1141=1,IF(O1141&gt;0,R1141/O1141,""),"")</f>
        <v/>
      </c>
      <c r="V1141" s="57" t="str">
        <f>IF(AC1141=1,IF(P1141&gt;0,N(G1141)/P1141,""),"")</f>
        <v/>
      </c>
      <c r="W1141" s="57" t="str">
        <f>IF(AC1141=1,S1141/M1141,"")</f>
        <v/>
      </c>
      <c r="X1141" s="57" t="str">
        <f>IF(AC1141=1,S1141/K1141,"")</f>
        <v/>
      </c>
      <c r="Y1141" s="58" t="str">
        <f>IF(W1141="","",IF(W1141&gt;=p_target,"Bon",IF(W1141&gt;=p_alert,"À surveiller","Faible")))</f>
        <v/>
      </c>
      <c r="Z1141" s="58" t="str">
        <f>IF(W1141="","",IF(MIN(IF(T1141="",1,T1141),IF(U1141="",1,U1141),IF(V1141="",1,V1141))&gt;=1,"Aucune",IF(IF(T1141="",1,T1141)&lt;=MIN(IF(U1141="",1,U1141),IF(V1141="",1,V1141)),"Disponibilité",IF(IF(U1141="",1,U1141)&lt;=IF(V1141="",1,V1141),"Performance","Qualité"))))</f>
        <v/>
      </c>
      <c r="AA1141" s="59" t="str">
        <f>IF(AC1141=1,N(H1141)*N(IFERROR(INDEX(art_cost,MATCH(E1141,art_ref,0)),0)),"")</f>
        <v/>
      </c>
      <c r="AB1141" s="58" t="str">
        <f>IF(COUNTA(A1141:I1141)=0,"",IF(N(A1141)&lt;=0,"Date manquante ou invalide",IF(B1141="","Équipe manquante",IF(ISNA(MATCH(B1141,eq_code,0)),"Équipe inconnue",IF(INDEX(eq_check,MATCH(B1141,eq_code,0))&lt;&gt;"OK","Équipe à corriger dans Paramètres",IF(C1141="","Poste manquant",IF(ISNA(MATCH(C1141,po_code,0)),"Poste inconnu",IF(AND(E1141&lt;&gt;"",ISNA(MATCH(E1141,art_ref,0))),"Article inconnu",IF(IF(E1141="",FALSE,INDEX(art_check,MATCH(E1141,art_ref,0))&lt;&gt;"OK"),"Article à corriger (feuille Articles)",IF(COUNTIFS(sj_date,A1141,sj_eq,B1141,sj_po,C1141)&gt;1,"Ligne en double (même jour, équipe et poste)",IF(OR(NOT(ISNUMBER(K1141)),N(K1141)&lt;=0,N(K1141)&gt;1440),"Temps d'ouverture invalide",IF(OR(AND(G1141&lt;&gt;"",NOT(ISNUMBER(G1141))),N(G1141)&lt;0,N(G1141)&lt;&gt;INT(N(G1141)),AND(H1141&lt;&gt;"",NOT(ISNUMBER(H1141))),N(H1141)&lt;0,N(H1141)&lt;&gt;INT(N(H1141)),AND(I1141&lt;&gt;"",NOT(ISNUMBER(I1141))),N(I1141)&lt;0,N(I1141)&lt;&gt;INT(N(I1141))),"Quantité invalide",IF(Q1141&lt;=0,"Cadence manquante (poste ou article)",IF(M1141&lt;=0,"Arrêts planifiés supérieurs au temps d'ouverture",IF(O1141&lt;0,"Arrêts supérieurs au temps requis",IF(AND(P1141&gt;0,O1141=0),"Pièces déclarées sans temps de marche",IF(AND(P1141=0,O1141&gt;0),"Aucune pièce déclarée",IF(P1141*60/Q1141&gt;O1141+0.001,"Cadence dépassée : vérifiez la cadence","OK"))))))))))))))))))</f>
        <v/>
      </c>
      <c r="AC1141">
        <f>IF(OR(AB1141="OK",AB1141="Aucune pièce déclarée",AB1141="Cadence dépassée : vérifiez la cadence"),1,0)</f>
        <v>0.0</v>
      </c>
      <c r="AD1141">
        <f>IF(AND(AC1141=1,A1141&gt;=p_from,A1141&lt;=p_to),1,0)</f>
        <v>0.0</v>
      </c>
      <c r="AE1141">
        <f>IF(AD1141=1,IF(COUNTIFS($A$6:A1141,A1141,$AD$6:AD1141,1)=1,1,0),0)</f>
        <v>0.0</v>
      </c>
      <c r="AF1141" t="str">
        <f>IF(AE1141=1,COUNTIFS(sj_first,1,sj_date,"&lt;"&amp;A1141)+1,"")</f>
        <v/>
      </c>
      <c r="AG1141" t="str">
        <f>IF(AND(AD1141=1,N(W1141)&lt;p_alert),ROUND(W1141,4),"")</f>
        <v/>
      </c>
      <c r="AH1141" t="str">
        <f>IF(AG1141="","",COUNTIF(sj_akey,"&lt;"&amp;AG1141)+COUNTIF($AG$6:AG1141,AG1141))</f>
        <v/>
      </c>
    </row>
    <row r="1142">
      <c r="A1142" s="51" t="n"/>
      <c r="B1142" s="52" t="n"/>
      <c r="C1142" s="52" t="n"/>
      <c r="D1142" s="53" t="n"/>
      <c r="E1142" s="53" t="n"/>
      <c r="F1142" s="54" t="n"/>
      <c r="G1142" s="54" t="n"/>
      <c r="H1142" s="54" t="n"/>
      <c r="I1142" s="54" t="n"/>
      <c r="J1142" s="53" t="n"/>
      <c r="K1142" s="55" t="str">
        <f>IF(COUNTA(A1142:I1142)=0,"",IF(F1142="",IFERROR(INDEX(eq_dur,MATCH(B1142,eq_code,0)),""),F1142))</f>
        <v/>
      </c>
      <c r="L1142" s="55" t="str">
        <f>IF(ISNUMBER(K1142),N(IFERROR(INDEX(eq_pause,MATCH(B1142,eq_code,0)),0))+SUMIFS(st_min,st_date,A1142,st_eq,B1142,st_po,C1142,st_type,"Planifié"),"")</f>
        <v/>
      </c>
      <c r="M1142" s="55" t="str">
        <f>IF(ISNUMBER(K1142),K1142-L1142,"")</f>
        <v/>
      </c>
      <c r="N1142" s="55" t="str">
        <f>IF(ISNUMBER(K1142),SUMIFS(st_min,st_date,A1142,st_eq,B1142,st_po,C1142,st_type,"Non planifié"),"")</f>
        <v/>
      </c>
      <c r="O1142" s="55" t="str">
        <f>IF(ISNUMBER(K1142),M1142-N1142,"")</f>
        <v/>
      </c>
      <c r="P1142" s="55" t="str">
        <f>IF(COUNTA(A1142:I1142)=0,"",N(G1142)+N(H1142)+N(I1142))</f>
        <v/>
      </c>
      <c r="Q1142" s="56" t="str">
        <f>IF(COUNTA(A1142:I1142)=0,"",IF(N(IFERROR(INDEX(art_rate,MATCH(E1142,art_ref,0)),0))&gt;0,N(IFERROR(INDEX(art_rate,MATCH(E1142,art_ref,0)),0)),N(IFERROR(INDEX(po_rate,MATCH(C1142,po_code,0)),0))))</f>
        <v/>
      </c>
      <c r="R1142" s="55" t="str">
        <f>IF(AC1142=1,P1142*60/Q1142,"")</f>
        <v/>
      </c>
      <c r="S1142" s="55" t="str">
        <f>IF(AC1142=1,N(G1142)*60/Q1142,"")</f>
        <v/>
      </c>
      <c r="T1142" s="57" t="str">
        <f>IF(AC1142=1,O1142/M1142,"")</f>
        <v/>
      </c>
      <c r="U1142" s="57" t="str">
        <f>IF(AC1142=1,IF(O1142&gt;0,R1142/O1142,""),"")</f>
        <v/>
      </c>
      <c r="V1142" s="57" t="str">
        <f>IF(AC1142=1,IF(P1142&gt;0,N(G1142)/P1142,""),"")</f>
        <v/>
      </c>
      <c r="W1142" s="57" t="str">
        <f>IF(AC1142=1,S1142/M1142,"")</f>
        <v/>
      </c>
      <c r="X1142" s="57" t="str">
        <f>IF(AC1142=1,S1142/K1142,"")</f>
        <v/>
      </c>
      <c r="Y1142" s="58" t="str">
        <f>IF(W1142="","",IF(W1142&gt;=p_target,"Bon",IF(W1142&gt;=p_alert,"À surveiller","Faible")))</f>
        <v/>
      </c>
      <c r="Z1142" s="58" t="str">
        <f>IF(W1142="","",IF(MIN(IF(T1142="",1,T1142),IF(U1142="",1,U1142),IF(V1142="",1,V1142))&gt;=1,"Aucune",IF(IF(T1142="",1,T1142)&lt;=MIN(IF(U1142="",1,U1142),IF(V1142="",1,V1142)),"Disponibilité",IF(IF(U1142="",1,U1142)&lt;=IF(V1142="",1,V1142),"Performance","Qualité"))))</f>
        <v/>
      </c>
      <c r="AA1142" s="59" t="str">
        <f>IF(AC1142=1,N(H1142)*N(IFERROR(INDEX(art_cost,MATCH(E1142,art_ref,0)),0)),"")</f>
        <v/>
      </c>
      <c r="AB1142" s="58" t="str">
        <f>IF(COUNTA(A1142:I1142)=0,"",IF(N(A1142)&lt;=0,"Date manquante ou invalide",IF(B1142="","Équipe manquante",IF(ISNA(MATCH(B1142,eq_code,0)),"Équipe inconnue",IF(INDEX(eq_check,MATCH(B1142,eq_code,0))&lt;&gt;"OK","Équipe à corriger dans Paramètres",IF(C1142="","Poste manquant",IF(ISNA(MATCH(C1142,po_code,0)),"Poste inconnu",IF(AND(E1142&lt;&gt;"",ISNA(MATCH(E1142,art_ref,0))),"Article inconnu",IF(IF(E1142="",FALSE,INDEX(art_check,MATCH(E1142,art_ref,0))&lt;&gt;"OK"),"Article à corriger (feuille Articles)",IF(COUNTIFS(sj_date,A1142,sj_eq,B1142,sj_po,C1142)&gt;1,"Ligne en double (même jour, équipe et poste)",IF(OR(NOT(ISNUMBER(K1142)),N(K1142)&lt;=0,N(K1142)&gt;1440),"Temps d'ouverture invalide",IF(OR(AND(G1142&lt;&gt;"",NOT(ISNUMBER(G1142))),N(G1142)&lt;0,N(G1142)&lt;&gt;INT(N(G1142)),AND(H1142&lt;&gt;"",NOT(ISNUMBER(H1142))),N(H1142)&lt;0,N(H1142)&lt;&gt;INT(N(H1142)),AND(I1142&lt;&gt;"",NOT(ISNUMBER(I1142))),N(I1142)&lt;0,N(I1142)&lt;&gt;INT(N(I1142))),"Quantité invalide",IF(Q1142&lt;=0,"Cadence manquante (poste ou article)",IF(M1142&lt;=0,"Arrêts planifiés supérieurs au temps d'ouverture",IF(O1142&lt;0,"Arrêts supérieurs au temps requis",IF(AND(P1142&gt;0,O1142=0),"Pièces déclarées sans temps de marche",IF(AND(P1142=0,O1142&gt;0),"Aucune pièce déclarée",IF(P1142*60/Q1142&gt;O1142+0.001,"Cadence dépassée : vérifiez la cadence","OK"))))))))))))))))))</f>
        <v/>
      </c>
      <c r="AC1142">
        <f>IF(OR(AB1142="OK",AB1142="Aucune pièce déclarée",AB1142="Cadence dépassée : vérifiez la cadence"),1,0)</f>
        <v>0.0</v>
      </c>
      <c r="AD1142">
        <f>IF(AND(AC1142=1,A1142&gt;=p_from,A1142&lt;=p_to),1,0)</f>
        <v>0.0</v>
      </c>
      <c r="AE1142">
        <f>IF(AD1142=1,IF(COUNTIFS($A$6:A1142,A1142,$AD$6:AD1142,1)=1,1,0),0)</f>
        <v>0.0</v>
      </c>
      <c r="AF1142" t="str">
        <f>IF(AE1142=1,COUNTIFS(sj_first,1,sj_date,"&lt;"&amp;A1142)+1,"")</f>
        <v/>
      </c>
      <c r="AG1142" t="str">
        <f>IF(AND(AD1142=1,N(W1142)&lt;p_alert),ROUND(W1142,4),"")</f>
        <v/>
      </c>
      <c r="AH1142" t="str">
        <f>IF(AG1142="","",COUNTIF(sj_akey,"&lt;"&amp;AG1142)+COUNTIF($AG$6:AG1142,AG1142))</f>
        <v/>
      </c>
    </row>
    <row r="1143">
      <c r="A1143" s="51" t="n"/>
      <c r="B1143" s="52" t="n"/>
      <c r="C1143" s="52" t="n"/>
      <c r="D1143" s="53" t="n"/>
      <c r="E1143" s="53" t="n"/>
      <c r="F1143" s="54" t="n"/>
      <c r="G1143" s="54" t="n"/>
      <c r="H1143" s="54" t="n"/>
      <c r="I1143" s="54" t="n"/>
      <c r="J1143" s="53" t="n"/>
      <c r="K1143" s="55" t="str">
        <f>IF(COUNTA(A1143:I1143)=0,"",IF(F1143="",IFERROR(INDEX(eq_dur,MATCH(B1143,eq_code,0)),""),F1143))</f>
        <v/>
      </c>
      <c r="L1143" s="55" t="str">
        <f>IF(ISNUMBER(K1143),N(IFERROR(INDEX(eq_pause,MATCH(B1143,eq_code,0)),0))+SUMIFS(st_min,st_date,A1143,st_eq,B1143,st_po,C1143,st_type,"Planifié"),"")</f>
        <v/>
      </c>
      <c r="M1143" s="55" t="str">
        <f>IF(ISNUMBER(K1143),K1143-L1143,"")</f>
        <v/>
      </c>
      <c r="N1143" s="55" t="str">
        <f>IF(ISNUMBER(K1143),SUMIFS(st_min,st_date,A1143,st_eq,B1143,st_po,C1143,st_type,"Non planifié"),"")</f>
        <v/>
      </c>
      <c r="O1143" s="55" t="str">
        <f>IF(ISNUMBER(K1143),M1143-N1143,"")</f>
        <v/>
      </c>
      <c r="P1143" s="55" t="str">
        <f>IF(COUNTA(A1143:I1143)=0,"",N(G1143)+N(H1143)+N(I1143))</f>
        <v/>
      </c>
      <c r="Q1143" s="56" t="str">
        <f>IF(COUNTA(A1143:I1143)=0,"",IF(N(IFERROR(INDEX(art_rate,MATCH(E1143,art_ref,0)),0))&gt;0,N(IFERROR(INDEX(art_rate,MATCH(E1143,art_ref,0)),0)),N(IFERROR(INDEX(po_rate,MATCH(C1143,po_code,0)),0))))</f>
        <v/>
      </c>
      <c r="R1143" s="55" t="str">
        <f>IF(AC1143=1,P1143*60/Q1143,"")</f>
        <v/>
      </c>
      <c r="S1143" s="55" t="str">
        <f>IF(AC1143=1,N(G1143)*60/Q1143,"")</f>
        <v/>
      </c>
      <c r="T1143" s="57" t="str">
        <f>IF(AC1143=1,O1143/M1143,"")</f>
        <v/>
      </c>
      <c r="U1143" s="57" t="str">
        <f>IF(AC1143=1,IF(O1143&gt;0,R1143/O1143,""),"")</f>
        <v/>
      </c>
      <c r="V1143" s="57" t="str">
        <f>IF(AC1143=1,IF(P1143&gt;0,N(G1143)/P1143,""),"")</f>
        <v/>
      </c>
      <c r="W1143" s="57" t="str">
        <f>IF(AC1143=1,S1143/M1143,"")</f>
        <v/>
      </c>
      <c r="X1143" s="57" t="str">
        <f>IF(AC1143=1,S1143/K1143,"")</f>
        <v/>
      </c>
      <c r="Y1143" s="58" t="str">
        <f>IF(W1143="","",IF(W1143&gt;=p_target,"Bon",IF(W1143&gt;=p_alert,"À surveiller","Faible")))</f>
        <v/>
      </c>
      <c r="Z1143" s="58" t="str">
        <f>IF(W1143="","",IF(MIN(IF(T1143="",1,T1143),IF(U1143="",1,U1143),IF(V1143="",1,V1143))&gt;=1,"Aucune",IF(IF(T1143="",1,T1143)&lt;=MIN(IF(U1143="",1,U1143),IF(V1143="",1,V1143)),"Disponibilité",IF(IF(U1143="",1,U1143)&lt;=IF(V1143="",1,V1143),"Performance","Qualité"))))</f>
        <v/>
      </c>
      <c r="AA1143" s="59" t="str">
        <f>IF(AC1143=1,N(H1143)*N(IFERROR(INDEX(art_cost,MATCH(E1143,art_ref,0)),0)),"")</f>
        <v/>
      </c>
      <c r="AB1143" s="58" t="str">
        <f>IF(COUNTA(A1143:I1143)=0,"",IF(N(A1143)&lt;=0,"Date manquante ou invalide",IF(B1143="","Équipe manquante",IF(ISNA(MATCH(B1143,eq_code,0)),"Équipe inconnue",IF(INDEX(eq_check,MATCH(B1143,eq_code,0))&lt;&gt;"OK","Équipe à corriger dans Paramètres",IF(C1143="","Poste manquant",IF(ISNA(MATCH(C1143,po_code,0)),"Poste inconnu",IF(AND(E1143&lt;&gt;"",ISNA(MATCH(E1143,art_ref,0))),"Article inconnu",IF(IF(E1143="",FALSE,INDEX(art_check,MATCH(E1143,art_ref,0))&lt;&gt;"OK"),"Article à corriger (feuille Articles)",IF(COUNTIFS(sj_date,A1143,sj_eq,B1143,sj_po,C1143)&gt;1,"Ligne en double (même jour, équipe et poste)",IF(OR(NOT(ISNUMBER(K1143)),N(K1143)&lt;=0,N(K1143)&gt;1440),"Temps d'ouverture invalide",IF(OR(AND(G1143&lt;&gt;"",NOT(ISNUMBER(G1143))),N(G1143)&lt;0,N(G1143)&lt;&gt;INT(N(G1143)),AND(H1143&lt;&gt;"",NOT(ISNUMBER(H1143))),N(H1143)&lt;0,N(H1143)&lt;&gt;INT(N(H1143)),AND(I1143&lt;&gt;"",NOT(ISNUMBER(I1143))),N(I1143)&lt;0,N(I1143)&lt;&gt;INT(N(I1143))),"Quantité invalide",IF(Q1143&lt;=0,"Cadence manquante (poste ou article)",IF(M1143&lt;=0,"Arrêts planifiés supérieurs au temps d'ouverture",IF(O1143&lt;0,"Arrêts supérieurs au temps requis",IF(AND(P1143&gt;0,O1143=0),"Pièces déclarées sans temps de marche",IF(AND(P1143=0,O1143&gt;0),"Aucune pièce déclarée",IF(P1143*60/Q1143&gt;O1143+0.001,"Cadence dépassée : vérifiez la cadence","OK"))))))))))))))))))</f>
        <v/>
      </c>
      <c r="AC1143">
        <f>IF(OR(AB1143="OK",AB1143="Aucune pièce déclarée",AB1143="Cadence dépassée : vérifiez la cadence"),1,0)</f>
        <v>0.0</v>
      </c>
      <c r="AD1143">
        <f>IF(AND(AC1143=1,A1143&gt;=p_from,A1143&lt;=p_to),1,0)</f>
        <v>0.0</v>
      </c>
      <c r="AE1143">
        <f>IF(AD1143=1,IF(COUNTIFS($A$6:A1143,A1143,$AD$6:AD1143,1)=1,1,0),0)</f>
        <v>0.0</v>
      </c>
      <c r="AF1143" t="str">
        <f>IF(AE1143=1,COUNTIFS(sj_first,1,sj_date,"&lt;"&amp;A1143)+1,"")</f>
        <v/>
      </c>
      <c r="AG1143" t="str">
        <f>IF(AND(AD1143=1,N(W1143)&lt;p_alert),ROUND(W1143,4),"")</f>
        <v/>
      </c>
      <c r="AH1143" t="str">
        <f>IF(AG1143="","",COUNTIF(sj_akey,"&lt;"&amp;AG1143)+COUNTIF($AG$6:AG1143,AG1143))</f>
        <v/>
      </c>
    </row>
    <row r="1144">
      <c r="A1144" s="51" t="n"/>
      <c r="B1144" s="52" t="n"/>
      <c r="C1144" s="52" t="n"/>
      <c r="D1144" s="53" t="n"/>
      <c r="E1144" s="53" t="n"/>
      <c r="F1144" s="54" t="n"/>
      <c r="G1144" s="54" t="n"/>
      <c r="H1144" s="54" t="n"/>
      <c r="I1144" s="54" t="n"/>
      <c r="J1144" s="53" t="n"/>
      <c r="K1144" s="55" t="str">
        <f>IF(COUNTA(A1144:I1144)=0,"",IF(F1144="",IFERROR(INDEX(eq_dur,MATCH(B1144,eq_code,0)),""),F1144))</f>
        <v/>
      </c>
      <c r="L1144" s="55" t="str">
        <f>IF(ISNUMBER(K1144),N(IFERROR(INDEX(eq_pause,MATCH(B1144,eq_code,0)),0))+SUMIFS(st_min,st_date,A1144,st_eq,B1144,st_po,C1144,st_type,"Planifié"),"")</f>
        <v/>
      </c>
      <c r="M1144" s="55" t="str">
        <f>IF(ISNUMBER(K1144),K1144-L1144,"")</f>
        <v/>
      </c>
      <c r="N1144" s="55" t="str">
        <f>IF(ISNUMBER(K1144),SUMIFS(st_min,st_date,A1144,st_eq,B1144,st_po,C1144,st_type,"Non planifié"),"")</f>
        <v/>
      </c>
      <c r="O1144" s="55" t="str">
        <f>IF(ISNUMBER(K1144),M1144-N1144,"")</f>
        <v/>
      </c>
      <c r="P1144" s="55" t="str">
        <f>IF(COUNTA(A1144:I1144)=0,"",N(G1144)+N(H1144)+N(I1144))</f>
        <v/>
      </c>
      <c r="Q1144" s="56" t="str">
        <f>IF(COUNTA(A1144:I1144)=0,"",IF(N(IFERROR(INDEX(art_rate,MATCH(E1144,art_ref,0)),0))&gt;0,N(IFERROR(INDEX(art_rate,MATCH(E1144,art_ref,0)),0)),N(IFERROR(INDEX(po_rate,MATCH(C1144,po_code,0)),0))))</f>
        <v/>
      </c>
      <c r="R1144" s="55" t="str">
        <f>IF(AC1144=1,P1144*60/Q1144,"")</f>
        <v/>
      </c>
      <c r="S1144" s="55" t="str">
        <f>IF(AC1144=1,N(G1144)*60/Q1144,"")</f>
        <v/>
      </c>
      <c r="T1144" s="57" t="str">
        <f>IF(AC1144=1,O1144/M1144,"")</f>
        <v/>
      </c>
      <c r="U1144" s="57" t="str">
        <f>IF(AC1144=1,IF(O1144&gt;0,R1144/O1144,""),"")</f>
        <v/>
      </c>
      <c r="V1144" s="57" t="str">
        <f>IF(AC1144=1,IF(P1144&gt;0,N(G1144)/P1144,""),"")</f>
        <v/>
      </c>
      <c r="W1144" s="57" t="str">
        <f>IF(AC1144=1,S1144/M1144,"")</f>
        <v/>
      </c>
      <c r="X1144" s="57" t="str">
        <f>IF(AC1144=1,S1144/K1144,"")</f>
        <v/>
      </c>
      <c r="Y1144" s="58" t="str">
        <f>IF(W1144="","",IF(W1144&gt;=p_target,"Bon",IF(W1144&gt;=p_alert,"À surveiller","Faible")))</f>
        <v/>
      </c>
      <c r="Z1144" s="58" t="str">
        <f>IF(W1144="","",IF(MIN(IF(T1144="",1,T1144),IF(U1144="",1,U1144),IF(V1144="",1,V1144))&gt;=1,"Aucune",IF(IF(T1144="",1,T1144)&lt;=MIN(IF(U1144="",1,U1144),IF(V1144="",1,V1144)),"Disponibilité",IF(IF(U1144="",1,U1144)&lt;=IF(V1144="",1,V1144),"Performance","Qualité"))))</f>
        <v/>
      </c>
      <c r="AA1144" s="59" t="str">
        <f>IF(AC1144=1,N(H1144)*N(IFERROR(INDEX(art_cost,MATCH(E1144,art_ref,0)),0)),"")</f>
        <v/>
      </c>
      <c r="AB1144" s="58" t="str">
        <f>IF(COUNTA(A1144:I1144)=0,"",IF(N(A1144)&lt;=0,"Date manquante ou invalide",IF(B1144="","Équipe manquante",IF(ISNA(MATCH(B1144,eq_code,0)),"Équipe inconnue",IF(INDEX(eq_check,MATCH(B1144,eq_code,0))&lt;&gt;"OK","Équipe à corriger dans Paramètres",IF(C1144="","Poste manquant",IF(ISNA(MATCH(C1144,po_code,0)),"Poste inconnu",IF(AND(E1144&lt;&gt;"",ISNA(MATCH(E1144,art_ref,0))),"Article inconnu",IF(IF(E1144="",FALSE,INDEX(art_check,MATCH(E1144,art_ref,0))&lt;&gt;"OK"),"Article à corriger (feuille Articles)",IF(COUNTIFS(sj_date,A1144,sj_eq,B1144,sj_po,C1144)&gt;1,"Ligne en double (même jour, équipe et poste)",IF(OR(NOT(ISNUMBER(K1144)),N(K1144)&lt;=0,N(K1144)&gt;1440),"Temps d'ouverture invalide",IF(OR(AND(G1144&lt;&gt;"",NOT(ISNUMBER(G1144))),N(G1144)&lt;0,N(G1144)&lt;&gt;INT(N(G1144)),AND(H1144&lt;&gt;"",NOT(ISNUMBER(H1144))),N(H1144)&lt;0,N(H1144)&lt;&gt;INT(N(H1144)),AND(I1144&lt;&gt;"",NOT(ISNUMBER(I1144))),N(I1144)&lt;0,N(I1144)&lt;&gt;INT(N(I1144))),"Quantité invalide",IF(Q1144&lt;=0,"Cadence manquante (poste ou article)",IF(M1144&lt;=0,"Arrêts planifiés supérieurs au temps d'ouverture",IF(O1144&lt;0,"Arrêts supérieurs au temps requis",IF(AND(P1144&gt;0,O1144=0),"Pièces déclarées sans temps de marche",IF(AND(P1144=0,O1144&gt;0),"Aucune pièce déclarée",IF(P1144*60/Q1144&gt;O1144+0.001,"Cadence dépassée : vérifiez la cadence","OK"))))))))))))))))))</f>
        <v/>
      </c>
      <c r="AC1144">
        <f>IF(OR(AB1144="OK",AB1144="Aucune pièce déclarée",AB1144="Cadence dépassée : vérifiez la cadence"),1,0)</f>
        <v>0.0</v>
      </c>
      <c r="AD1144">
        <f>IF(AND(AC1144=1,A1144&gt;=p_from,A1144&lt;=p_to),1,0)</f>
        <v>0.0</v>
      </c>
      <c r="AE1144">
        <f>IF(AD1144=1,IF(COUNTIFS($A$6:A1144,A1144,$AD$6:AD1144,1)=1,1,0),0)</f>
        <v>0.0</v>
      </c>
      <c r="AF1144" t="str">
        <f>IF(AE1144=1,COUNTIFS(sj_first,1,sj_date,"&lt;"&amp;A1144)+1,"")</f>
        <v/>
      </c>
      <c r="AG1144" t="str">
        <f>IF(AND(AD1144=1,N(W1144)&lt;p_alert),ROUND(W1144,4),"")</f>
        <v/>
      </c>
      <c r="AH1144" t="str">
        <f>IF(AG1144="","",COUNTIF(sj_akey,"&lt;"&amp;AG1144)+COUNTIF($AG$6:AG1144,AG1144))</f>
        <v/>
      </c>
    </row>
    <row r="1145">
      <c r="A1145" s="51" t="n"/>
      <c r="B1145" s="52" t="n"/>
      <c r="C1145" s="52" t="n"/>
      <c r="D1145" s="53" t="n"/>
      <c r="E1145" s="53" t="n"/>
      <c r="F1145" s="54" t="n"/>
      <c r="G1145" s="54" t="n"/>
      <c r="H1145" s="54" t="n"/>
      <c r="I1145" s="54" t="n"/>
      <c r="J1145" s="53" t="n"/>
      <c r="K1145" s="55" t="str">
        <f>IF(COUNTA(A1145:I1145)=0,"",IF(F1145="",IFERROR(INDEX(eq_dur,MATCH(B1145,eq_code,0)),""),F1145))</f>
        <v/>
      </c>
      <c r="L1145" s="55" t="str">
        <f>IF(ISNUMBER(K1145),N(IFERROR(INDEX(eq_pause,MATCH(B1145,eq_code,0)),0))+SUMIFS(st_min,st_date,A1145,st_eq,B1145,st_po,C1145,st_type,"Planifié"),"")</f>
        <v/>
      </c>
      <c r="M1145" s="55" t="str">
        <f>IF(ISNUMBER(K1145),K1145-L1145,"")</f>
        <v/>
      </c>
      <c r="N1145" s="55" t="str">
        <f>IF(ISNUMBER(K1145),SUMIFS(st_min,st_date,A1145,st_eq,B1145,st_po,C1145,st_type,"Non planifié"),"")</f>
        <v/>
      </c>
      <c r="O1145" s="55" t="str">
        <f>IF(ISNUMBER(K1145),M1145-N1145,"")</f>
        <v/>
      </c>
      <c r="P1145" s="55" t="str">
        <f>IF(COUNTA(A1145:I1145)=0,"",N(G1145)+N(H1145)+N(I1145))</f>
        <v/>
      </c>
      <c r="Q1145" s="56" t="str">
        <f>IF(COUNTA(A1145:I1145)=0,"",IF(N(IFERROR(INDEX(art_rate,MATCH(E1145,art_ref,0)),0))&gt;0,N(IFERROR(INDEX(art_rate,MATCH(E1145,art_ref,0)),0)),N(IFERROR(INDEX(po_rate,MATCH(C1145,po_code,0)),0))))</f>
        <v/>
      </c>
      <c r="R1145" s="55" t="str">
        <f>IF(AC1145=1,P1145*60/Q1145,"")</f>
        <v/>
      </c>
      <c r="S1145" s="55" t="str">
        <f>IF(AC1145=1,N(G1145)*60/Q1145,"")</f>
        <v/>
      </c>
      <c r="T1145" s="57" t="str">
        <f>IF(AC1145=1,O1145/M1145,"")</f>
        <v/>
      </c>
      <c r="U1145" s="57" t="str">
        <f>IF(AC1145=1,IF(O1145&gt;0,R1145/O1145,""),"")</f>
        <v/>
      </c>
      <c r="V1145" s="57" t="str">
        <f>IF(AC1145=1,IF(P1145&gt;0,N(G1145)/P1145,""),"")</f>
        <v/>
      </c>
      <c r="W1145" s="57" t="str">
        <f>IF(AC1145=1,S1145/M1145,"")</f>
        <v/>
      </c>
      <c r="X1145" s="57" t="str">
        <f>IF(AC1145=1,S1145/K1145,"")</f>
        <v/>
      </c>
      <c r="Y1145" s="58" t="str">
        <f>IF(W1145="","",IF(W1145&gt;=p_target,"Bon",IF(W1145&gt;=p_alert,"À surveiller","Faible")))</f>
        <v/>
      </c>
      <c r="Z1145" s="58" t="str">
        <f>IF(W1145="","",IF(MIN(IF(T1145="",1,T1145),IF(U1145="",1,U1145),IF(V1145="",1,V1145))&gt;=1,"Aucune",IF(IF(T1145="",1,T1145)&lt;=MIN(IF(U1145="",1,U1145),IF(V1145="",1,V1145)),"Disponibilité",IF(IF(U1145="",1,U1145)&lt;=IF(V1145="",1,V1145),"Performance","Qualité"))))</f>
        <v/>
      </c>
      <c r="AA1145" s="59" t="str">
        <f>IF(AC1145=1,N(H1145)*N(IFERROR(INDEX(art_cost,MATCH(E1145,art_ref,0)),0)),"")</f>
        <v/>
      </c>
      <c r="AB1145" s="58" t="str">
        <f>IF(COUNTA(A1145:I1145)=0,"",IF(N(A1145)&lt;=0,"Date manquante ou invalide",IF(B1145="","Équipe manquante",IF(ISNA(MATCH(B1145,eq_code,0)),"Équipe inconnue",IF(INDEX(eq_check,MATCH(B1145,eq_code,0))&lt;&gt;"OK","Équipe à corriger dans Paramètres",IF(C1145="","Poste manquant",IF(ISNA(MATCH(C1145,po_code,0)),"Poste inconnu",IF(AND(E1145&lt;&gt;"",ISNA(MATCH(E1145,art_ref,0))),"Article inconnu",IF(IF(E1145="",FALSE,INDEX(art_check,MATCH(E1145,art_ref,0))&lt;&gt;"OK"),"Article à corriger (feuille Articles)",IF(COUNTIFS(sj_date,A1145,sj_eq,B1145,sj_po,C1145)&gt;1,"Ligne en double (même jour, équipe et poste)",IF(OR(NOT(ISNUMBER(K1145)),N(K1145)&lt;=0,N(K1145)&gt;1440),"Temps d'ouverture invalide",IF(OR(AND(G1145&lt;&gt;"",NOT(ISNUMBER(G1145))),N(G1145)&lt;0,N(G1145)&lt;&gt;INT(N(G1145)),AND(H1145&lt;&gt;"",NOT(ISNUMBER(H1145))),N(H1145)&lt;0,N(H1145)&lt;&gt;INT(N(H1145)),AND(I1145&lt;&gt;"",NOT(ISNUMBER(I1145))),N(I1145)&lt;0,N(I1145)&lt;&gt;INT(N(I1145))),"Quantité invalide",IF(Q1145&lt;=0,"Cadence manquante (poste ou article)",IF(M1145&lt;=0,"Arrêts planifiés supérieurs au temps d'ouverture",IF(O1145&lt;0,"Arrêts supérieurs au temps requis",IF(AND(P1145&gt;0,O1145=0),"Pièces déclarées sans temps de marche",IF(AND(P1145=0,O1145&gt;0),"Aucune pièce déclarée",IF(P1145*60/Q1145&gt;O1145+0.001,"Cadence dépassée : vérifiez la cadence","OK"))))))))))))))))))</f>
        <v/>
      </c>
      <c r="AC1145">
        <f>IF(OR(AB1145="OK",AB1145="Aucune pièce déclarée",AB1145="Cadence dépassée : vérifiez la cadence"),1,0)</f>
        <v>0.0</v>
      </c>
      <c r="AD1145">
        <f>IF(AND(AC1145=1,A1145&gt;=p_from,A1145&lt;=p_to),1,0)</f>
        <v>0.0</v>
      </c>
      <c r="AE1145">
        <f>IF(AD1145=1,IF(COUNTIFS($A$6:A1145,A1145,$AD$6:AD1145,1)=1,1,0),0)</f>
        <v>0.0</v>
      </c>
      <c r="AF1145" t="str">
        <f>IF(AE1145=1,COUNTIFS(sj_first,1,sj_date,"&lt;"&amp;A1145)+1,"")</f>
        <v/>
      </c>
      <c r="AG1145" t="str">
        <f>IF(AND(AD1145=1,N(W1145)&lt;p_alert),ROUND(W1145,4),"")</f>
        <v/>
      </c>
      <c r="AH1145" t="str">
        <f>IF(AG1145="","",COUNTIF(sj_akey,"&lt;"&amp;AG1145)+COUNTIF($AG$6:AG1145,AG1145))</f>
        <v/>
      </c>
    </row>
    <row r="1146">
      <c r="A1146" s="51" t="n"/>
      <c r="B1146" s="52" t="n"/>
      <c r="C1146" s="52" t="n"/>
      <c r="D1146" s="53" t="n"/>
      <c r="E1146" s="53" t="n"/>
      <c r="F1146" s="54" t="n"/>
      <c r="G1146" s="54" t="n"/>
      <c r="H1146" s="54" t="n"/>
      <c r="I1146" s="54" t="n"/>
      <c r="J1146" s="53" t="n"/>
      <c r="K1146" s="55" t="str">
        <f>IF(COUNTA(A1146:I1146)=0,"",IF(F1146="",IFERROR(INDEX(eq_dur,MATCH(B1146,eq_code,0)),""),F1146))</f>
        <v/>
      </c>
      <c r="L1146" s="55" t="str">
        <f>IF(ISNUMBER(K1146),N(IFERROR(INDEX(eq_pause,MATCH(B1146,eq_code,0)),0))+SUMIFS(st_min,st_date,A1146,st_eq,B1146,st_po,C1146,st_type,"Planifié"),"")</f>
        <v/>
      </c>
      <c r="M1146" s="55" t="str">
        <f>IF(ISNUMBER(K1146),K1146-L1146,"")</f>
        <v/>
      </c>
      <c r="N1146" s="55" t="str">
        <f>IF(ISNUMBER(K1146),SUMIFS(st_min,st_date,A1146,st_eq,B1146,st_po,C1146,st_type,"Non planifié"),"")</f>
        <v/>
      </c>
      <c r="O1146" s="55" t="str">
        <f>IF(ISNUMBER(K1146),M1146-N1146,"")</f>
        <v/>
      </c>
      <c r="P1146" s="55" t="str">
        <f>IF(COUNTA(A1146:I1146)=0,"",N(G1146)+N(H1146)+N(I1146))</f>
        <v/>
      </c>
      <c r="Q1146" s="56" t="str">
        <f>IF(COUNTA(A1146:I1146)=0,"",IF(N(IFERROR(INDEX(art_rate,MATCH(E1146,art_ref,0)),0))&gt;0,N(IFERROR(INDEX(art_rate,MATCH(E1146,art_ref,0)),0)),N(IFERROR(INDEX(po_rate,MATCH(C1146,po_code,0)),0))))</f>
        <v/>
      </c>
      <c r="R1146" s="55" t="str">
        <f>IF(AC1146=1,P1146*60/Q1146,"")</f>
        <v/>
      </c>
      <c r="S1146" s="55" t="str">
        <f>IF(AC1146=1,N(G1146)*60/Q1146,"")</f>
        <v/>
      </c>
      <c r="T1146" s="57" t="str">
        <f>IF(AC1146=1,O1146/M1146,"")</f>
        <v/>
      </c>
      <c r="U1146" s="57" t="str">
        <f>IF(AC1146=1,IF(O1146&gt;0,R1146/O1146,""),"")</f>
        <v/>
      </c>
      <c r="V1146" s="57" t="str">
        <f>IF(AC1146=1,IF(P1146&gt;0,N(G1146)/P1146,""),"")</f>
        <v/>
      </c>
      <c r="W1146" s="57" t="str">
        <f>IF(AC1146=1,S1146/M1146,"")</f>
        <v/>
      </c>
      <c r="X1146" s="57" t="str">
        <f>IF(AC1146=1,S1146/K1146,"")</f>
        <v/>
      </c>
      <c r="Y1146" s="58" t="str">
        <f>IF(W1146="","",IF(W1146&gt;=p_target,"Bon",IF(W1146&gt;=p_alert,"À surveiller","Faible")))</f>
        <v/>
      </c>
      <c r="Z1146" s="58" t="str">
        <f>IF(W1146="","",IF(MIN(IF(T1146="",1,T1146),IF(U1146="",1,U1146),IF(V1146="",1,V1146))&gt;=1,"Aucune",IF(IF(T1146="",1,T1146)&lt;=MIN(IF(U1146="",1,U1146),IF(V1146="",1,V1146)),"Disponibilité",IF(IF(U1146="",1,U1146)&lt;=IF(V1146="",1,V1146),"Performance","Qualité"))))</f>
        <v/>
      </c>
      <c r="AA1146" s="59" t="str">
        <f>IF(AC1146=1,N(H1146)*N(IFERROR(INDEX(art_cost,MATCH(E1146,art_ref,0)),0)),"")</f>
        <v/>
      </c>
      <c r="AB1146" s="58" t="str">
        <f>IF(COUNTA(A1146:I1146)=0,"",IF(N(A1146)&lt;=0,"Date manquante ou invalide",IF(B1146="","Équipe manquante",IF(ISNA(MATCH(B1146,eq_code,0)),"Équipe inconnue",IF(INDEX(eq_check,MATCH(B1146,eq_code,0))&lt;&gt;"OK","Équipe à corriger dans Paramètres",IF(C1146="","Poste manquant",IF(ISNA(MATCH(C1146,po_code,0)),"Poste inconnu",IF(AND(E1146&lt;&gt;"",ISNA(MATCH(E1146,art_ref,0))),"Article inconnu",IF(IF(E1146="",FALSE,INDEX(art_check,MATCH(E1146,art_ref,0))&lt;&gt;"OK"),"Article à corriger (feuille Articles)",IF(COUNTIFS(sj_date,A1146,sj_eq,B1146,sj_po,C1146)&gt;1,"Ligne en double (même jour, équipe et poste)",IF(OR(NOT(ISNUMBER(K1146)),N(K1146)&lt;=0,N(K1146)&gt;1440),"Temps d'ouverture invalide",IF(OR(AND(G1146&lt;&gt;"",NOT(ISNUMBER(G1146))),N(G1146)&lt;0,N(G1146)&lt;&gt;INT(N(G1146)),AND(H1146&lt;&gt;"",NOT(ISNUMBER(H1146))),N(H1146)&lt;0,N(H1146)&lt;&gt;INT(N(H1146)),AND(I1146&lt;&gt;"",NOT(ISNUMBER(I1146))),N(I1146)&lt;0,N(I1146)&lt;&gt;INT(N(I1146))),"Quantité invalide",IF(Q1146&lt;=0,"Cadence manquante (poste ou article)",IF(M1146&lt;=0,"Arrêts planifiés supérieurs au temps d'ouverture",IF(O1146&lt;0,"Arrêts supérieurs au temps requis",IF(AND(P1146&gt;0,O1146=0),"Pièces déclarées sans temps de marche",IF(AND(P1146=0,O1146&gt;0),"Aucune pièce déclarée",IF(P1146*60/Q1146&gt;O1146+0.001,"Cadence dépassée : vérifiez la cadence","OK"))))))))))))))))))</f>
        <v/>
      </c>
      <c r="AC1146">
        <f>IF(OR(AB1146="OK",AB1146="Aucune pièce déclarée",AB1146="Cadence dépassée : vérifiez la cadence"),1,0)</f>
        <v>0.0</v>
      </c>
      <c r="AD1146">
        <f>IF(AND(AC1146=1,A1146&gt;=p_from,A1146&lt;=p_to),1,0)</f>
        <v>0.0</v>
      </c>
      <c r="AE1146">
        <f>IF(AD1146=1,IF(COUNTIFS($A$6:A1146,A1146,$AD$6:AD1146,1)=1,1,0),0)</f>
        <v>0.0</v>
      </c>
      <c r="AF1146" t="str">
        <f>IF(AE1146=1,COUNTIFS(sj_first,1,sj_date,"&lt;"&amp;A1146)+1,"")</f>
        <v/>
      </c>
      <c r="AG1146" t="str">
        <f>IF(AND(AD1146=1,N(W1146)&lt;p_alert),ROUND(W1146,4),"")</f>
        <v/>
      </c>
      <c r="AH1146" t="str">
        <f>IF(AG1146="","",COUNTIF(sj_akey,"&lt;"&amp;AG1146)+COUNTIF($AG$6:AG1146,AG1146))</f>
        <v/>
      </c>
    </row>
    <row r="1147">
      <c r="A1147" s="51" t="n"/>
      <c r="B1147" s="52" t="n"/>
      <c r="C1147" s="52" t="n"/>
      <c r="D1147" s="53" t="n"/>
      <c r="E1147" s="53" t="n"/>
      <c r="F1147" s="54" t="n"/>
      <c r="G1147" s="54" t="n"/>
      <c r="H1147" s="54" t="n"/>
      <c r="I1147" s="54" t="n"/>
      <c r="J1147" s="53" t="n"/>
      <c r="K1147" s="55" t="str">
        <f>IF(COUNTA(A1147:I1147)=0,"",IF(F1147="",IFERROR(INDEX(eq_dur,MATCH(B1147,eq_code,0)),""),F1147))</f>
        <v/>
      </c>
      <c r="L1147" s="55" t="str">
        <f>IF(ISNUMBER(K1147),N(IFERROR(INDEX(eq_pause,MATCH(B1147,eq_code,0)),0))+SUMIFS(st_min,st_date,A1147,st_eq,B1147,st_po,C1147,st_type,"Planifié"),"")</f>
        <v/>
      </c>
      <c r="M1147" s="55" t="str">
        <f>IF(ISNUMBER(K1147),K1147-L1147,"")</f>
        <v/>
      </c>
      <c r="N1147" s="55" t="str">
        <f>IF(ISNUMBER(K1147),SUMIFS(st_min,st_date,A1147,st_eq,B1147,st_po,C1147,st_type,"Non planifié"),"")</f>
        <v/>
      </c>
      <c r="O1147" s="55" t="str">
        <f>IF(ISNUMBER(K1147),M1147-N1147,"")</f>
        <v/>
      </c>
      <c r="P1147" s="55" t="str">
        <f>IF(COUNTA(A1147:I1147)=0,"",N(G1147)+N(H1147)+N(I1147))</f>
        <v/>
      </c>
      <c r="Q1147" s="56" t="str">
        <f>IF(COUNTA(A1147:I1147)=0,"",IF(N(IFERROR(INDEX(art_rate,MATCH(E1147,art_ref,0)),0))&gt;0,N(IFERROR(INDEX(art_rate,MATCH(E1147,art_ref,0)),0)),N(IFERROR(INDEX(po_rate,MATCH(C1147,po_code,0)),0))))</f>
        <v/>
      </c>
      <c r="R1147" s="55" t="str">
        <f>IF(AC1147=1,P1147*60/Q1147,"")</f>
        <v/>
      </c>
      <c r="S1147" s="55" t="str">
        <f>IF(AC1147=1,N(G1147)*60/Q1147,"")</f>
        <v/>
      </c>
      <c r="T1147" s="57" t="str">
        <f>IF(AC1147=1,O1147/M1147,"")</f>
        <v/>
      </c>
      <c r="U1147" s="57" t="str">
        <f>IF(AC1147=1,IF(O1147&gt;0,R1147/O1147,""),"")</f>
        <v/>
      </c>
      <c r="V1147" s="57" t="str">
        <f>IF(AC1147=1,IF(P1147&gt;0,N(G1147)/P1147,""),"")</f>
        <v/>
      </c>
      <c r="W1147" s="57" t="str">
        <f>IF(AC1147=1,S1147/M1147,"")</f>
        <v/>
      </c>
      <c r="X1147" s="57" t="str">
        <f>IF(AC1147=1,S1147/K1147,"")</f>
        <v/>
      </c>
      <c r="Y1147" s="58" t="str">
        <f>IF(W1147="","",IF(W1147&gt;=p_target,"Bon",IF(W1147&gt;=p_alert,"À surveiller","Faible")))</f>
        <v/>
      </c>
      <c r="Z1147" s="58" t="str">
        <f>IF(W1147="","",IF(MIN(IF(T1147="",1,T1147),IF(U1147="",1,U1147),IF(V1147="",1,V1147))&gt;=1,"Aucune",IF(IF(T1147="",1,T1147)&lt;=MIN(IF(U1147="",1,U1147),IF(V1147="",1,V1147)),"Disponibilité",IF(IF(U1147="",1,U1147)&lt;=IF(V1147="",1,V1147),"Performance","Qualité"))))</f>
        <v/>
      </c>
      <c r="AA1147" s="59" t="str">
        <f>IF(AC1147=1,N(H1147)*N(IFERROR(INDEX(art_cost,MATCH(E1147,art_ref,0)),0)),"")</f>
        <v/>
      </c>
      <c r="AB1147" s="58" t="str">
        <f>IF(COUNTA(A1147:I1147)=0,"",IF(N(A1147)&lt;=0,"Date manquante ou invalide",IF(B1147="","Équipe manquante",IF(ISNA(MATCH(B1147,eq_code,0)),"Équipe inconnue",IF(INDEX(eq_check,MATCH(B1147,eq_code,0))&lt;&gt;"OK","Équipe à corriger dans Paramètres",IF(C1147="","Poste manquant",IF(ISNA(MATCH(C1147,po_code,0)),"Poste inconnu",IF(AND(E1147&lt;&gt;"",ISNA(MATCH(E1147,art_ref,0))),"Article inconnu",IF(IF(E1147="",FALSE,INDEX(art_check,MATCH(E1147,art_ref,0))&lt;&gt;"OK"),"Article à corriger (feuille Articles)",IF(COUNTIFS(sj_date,A1147,sj_eq,B1147,sj_po,C1147)&gt;1,"Ligne en double (même jour, équipe et poste)",IF(OR(NOT(ISNUMBER(K1147)),N(K1147)&lt;=0,N(K1147)&gt;1440),"Temps d'ouverture invalide",IF(OR(AND(G1147&lt;&gt;"",NOT(ISNUMBER(G1147))),N(G1147)&lt;0,N(G1147)&lt;&gt;INT(N(G1147)),AND(H1147&lt;&gt;"",NOT(ISNUMBER(H1147))),N(H1147)&lt;0,N(H1147)&lt;&gt;INT(N(H1147)),AND(I1147&lt;&gt;"",NOT(ISNUMBER(I1147))),N(I1147)&lt;0,N(I1147)&lt;&gt;INT(N(I1147))),"Quantité invalide",IF(Q1147&lt;=0,"Cadence manquante (poste ou article)",IF(M1147&lt;=0,"Arrêts planifiés supérieurs au temps d'ouverture",IF(O1147&lt;0,"Arrêts supérieurs au temps requis",IF(AND(P1147&gt;0,O1147=0),"Pièces déclarées sans temps de marche",IF(AND(P1147=0,O1147&gt;0),"Aucune pièce déclarée",IF(P1147*60/Q1147&gt;O1147+0.001,"Cadence dépassée : vérifiez la cadence","OK"))))))))))))))))))</f>
        <v/>
      </c>
      <c r="AC1147">
        <f>IF(OR(AB1147="OK",AB1147="Aucune pièce déclarée",AB1147="Cadence dépassée : vérifiez la cadence"),1,0)</f>
        <v>0.0</v>
      </c>
      <c r="AD1147">
        <f>IF(AND(AC1147=1,A1147&gt;=p_from,A1147&lt;=p_to),1,0)</f>
        <v>0.0</v>
      </c>
      <c r="AE1147">
        <f>IF(AD1147=1,IF(COUNTIFS($A$6:A1147,A1147,$AD$6:AD1147,1)=1,1,0),0)</f>
        <v>0.0</v>
      </c>
      <c r="AF1147" t="str">
        <f>IF(AE1147=1,COUNTIFS(sj_first,1,sj_date,"&lt;"&amp;A1147)+1,"")</f>
        <v/>
      </c>
      <c r="AG1147" t="str">
        <f>IF(AND(AD1147=1,N(W1147)&lt;p_alert),ROUND(W1147,4),"")</f>
        <v/>
      </c>
      <c r="AH1147" t="str">
        <f>IF(AG1147="","",COUNTIF(sj_akey,"&lt;"&amp;AG1147)+COUNTIF($AG$6:AG1147,AG1147))</f>
        <v/>
      </c>
    </row>
    <row r="1148">
      <c r="A1148" s="51" t="n"/>
      <c r="B1148" s="52" t="n"/>
      <c r="C1148" s="52" t="n"/>
      <c r="D1148" s="53" t="n"/>
      <c r="E1148" s="53" t="n"/>
      <c r="F1148" s="54" t="n"/>
      <c r="G1148" s="54" t="n"/>
      <c r="H1148" s="54" t="n"/>
      <c r="I1148" s="54" t="n"/>
      <c r="J1148" s="53" t="n"/>
      <c r="K1148" s="55" t="str">
        <f>IF(COUNTA(A1148:I1148)=0,"",IF(F1148="",IFERROR(INDEX(eq_dur,MATCH(B1148,eq_code,0)),""),F1148))</f>
        <v/>
      </c>
      <c r="L1148" s="55" t="str">
        <f>IF(ISNUMBER(K1148),N(IFERROR(INDEX(eq_pause,MATCH(B1148,eq_code,0)),0))+SUMIFS(st_min,st_date,A1148,st_eq,B1148,st_po,C1148,st_type,"Planifié"),"")</f>
        <v/>
      </c>
      <c r="M1148" s="55" t="str">
        <f>IF(ISNUMBER(K1148),K1148-L1148,"")</f>
        <v/>
      </c>
      <c r="N1148" s="55" t="str">
        <f>IF(ISNUMBER(K1148),SUMIFS(st_min,st_date,A1148,st_eq,B1148,st_po,C1148,st_type,"Non planifié"),"")</f>
        <v/>
      </c>
      <c r="O1148" s="55" t="str">
        <f>IF(ISNUMBER(K1148),M1148-N1148,"")</f>
        <v/>
      </c>
      <c r="P1148" s="55" t="str">
        <f>IF(COUNTA(A1148:I1148)=0,"",N(G1148)+N(H1148)+N(I1148))</f>
        <v/>
      </c>
      <c r="Q1148" s="56" t="str">
        <f>IF(COUNTA(A1148:I1148)=0,"",IF(N(IFERROR(INDEX(art_rate,MATCH(E1148,art_ref,0)),0))&gt;0,N(IFERROR(INDEX(art_rate,MATCH(E1148,art_ref,0)),0)),N(IFERROR(INDEX(po_rate,MATCH(C1148,po_code,0)),0))))</f>
        <v/>
      </c>
      <c r="R1148" s="55" t="str">
        <f>IF(AC1148=1,P1148*60/Q1148,"")</f>
        <v/>
      </c>
      <c r="S1148" s="55" t="str">
        <f>IF(AC1148=1,N(G1148)*60/Q1148,"")</f>
        <v/>
      </c>
      <c r="T1148" s="57" t="str">
        <f>IF(AC1148=1,O1148/M1148,"")</f>
        <v/>
      </c>
      <c r="U1148" s="57" t="str">
        <f>IF(AC1148=1,IF(O1148&gt;0,R1148/O1148,""),"")</f>
        <v/>
      </c>
      <c r="V1148" s="57" t="str">
        <f>IF(AC1148=1,IF(P1148&gt;0,N(G1148)/P1148,""),"")</f>
        <v/>
      </c>
      <c r="W1148" s="57" t="str">
        <f>IF(AC1148=1,S1148/M1148,"")</f>
        <v/>
      </c>
      <c r="X1148" s="57" t="str">
        <f>IF(AC1148=1,S1148/K1148,"")</f>
        <v/>
      </c>
      <c r="Y1148" s="58" t="str">
        <f>IF(W1148="","",IF(W1148&gt;=p_target,"Bon",IF(W1148&gt;=p_alert,"À surveiller","Faible")))</f>
        <v/>
      </c>
      <c r="Z1148" s="58" t="str">
        <f>IF(W1148="","",IF(MIN(IF(T1148="",1,T1148),IF(U1148="",1,U1148),IF(V1148="",1,V1148))&gt;=1,"Aucune",IF(IF(T1148="",1,T1148)&lt;=MIN(IF(U1148="",1,U1148),IF(V1148="",1,V1148)),"Disponibilité",IF(IF(U1148="",1,U1148)&lt;=IF(V1148="",1,V1148),"Performance","Qualité"))))</f>
        <v/>
      </c>
      <c r="AA1148" s="59" t="str">
        <f>IF(AC1148=1,N(H1148)*N(IFERROR(INDEX(art_cost,MATCH(E1148,art_ref,0)),0)),"")</f>
        <v/>
      </c>
      <c r="AB1148" s="58" t="str">
        <f>IF(COUNTA(A1148:I1148)=0,"",IF(N(A1148)&lt;=0,"Date manquante ou invalide",IF(B1148="","Équipe manquante",IF(ISNA(MATCH(B1148,eq_code,0)),"Équipe inconnue",IF(INDEX(eq_check,MATCH(B1148,eq_code,0))&lt;&gt;"OK","Équipe à corriger dans Paramètres",IF(C1148="","Poste manquant",IF(ISNA(MATCH(C1148,po_code,0)),"Poste inconnu",IF(AND(E1148&lt;&gt;"",ISNA(MATCH(E1148,art_ref,0))),"Article inconnu",IF(IF(E1148="",FALSE,INDEX(art_check,MATCH(E1148,art_ref,0))&lt;&gt;"OK"),"Article à corriger (feuille Articles)",IF(COUNTIFS(sj_date,A1148,sj_eq,B1148,sj_po,C1148)&gt;1,"Ligne en double (même jour, équipe et poste)",IF(OR(NOT(ISNUMBER(K1148)),N(K1148)&lt;=0,N(K1148)&gt;1440),"Temps d'ouverture invalide",IF(OR(AND(G1148&lt;&gt;"",NOT(ISNUMBER(G1148))),N(G1148)&lt;0,N(G1148)&lt;&gt;INT(N(G1148)),AND(H1148&lt;&gt;"",NOT(ISNUMBER(H1148))),N(H1148)&lt;0,N(H1148)&lt;&gt;INT(N(H1148)),AND(I1148&lt;&gt;"",NOT(ISNUMBER(I1148))),N(I1148)&lt;0,N(I1148)&lt;&gt;INT(N(I1148))),"Quantité invalide",IF(Q1148&lt;=0,"Cadence manquante (poste ou article)",IF(M1148&lt;=0,"Arrêts planifiés supérieurs au temps d'ouverture",IF(O1148&lt;0,"Arrêts supérieurs au temps requis",IF(AND(P1148&gt;0,O1148=0),"Pièces déclarées sans temps de marche",IF(AND(P1148=0,O1148&gt;0),"Aucune pièce déclarée",IF(P1148*60/Q1148&gt;O1148+0.001,"Cadence dépassée : vérifiez la cadence","OK"))))))))))))))))))</f>
        <v/>
      </c>
      <c r="AC1148">
        <f>IF(OR(AB1148="OK",AB1148="Aucune pièce déclarée",AB1148="Cadence dépassée : vérifiez la cadence"),1,0)</f>
        <v>0.0</v>
      </c>
      <c r="AD1148">
        <f>IF(AND(AC1148=1,A1148&gt;=p_from,A1148&lt;=p_to),1,0)</f>
        <v>0.0</v>
      </c>
      <c r="AE1148">
        <f>IF(AD1148=1,IF(COUNTIFS($A$6:A1148,A1148,$AD$6:AD1148,1)=1,1,0),0)</f>
        <v>0.0</v>
      </c>
      <c r="AF1148" t="str">
        <f>IF(AE1148=1,COUNTIFS(sj_first,1,sj_date,"&lt;"&amp;A1148)+1,"")</f>
        <v/>
      </c>
      <c r="AG1148" t="str">
        <f>IF(AND(AD1148=1,N(W1148)&lt;p_alert),ROUND(W1148,4),"")</f>
        <v/>
      </c>
      <c r="AH1148" t="str">
        <f>IF(AG1148="","",COUNTIF(sj_akey,"&lt;"&amp;AG1148)+COUNTIF($AG$6:AG1148,AG1148))</f>
        <v/>
      </c>
    </row>
    <row r="1149">
      <c r="A1149" s="51" t="n"/>
      <c r="B1149" s="52" t="n"/>
      <c r="C1149" s="52" t="n"/>
      <c r="D1149" s="53" t="n"/>
      <c r="E1149" s="53" t="n"/>
      <c r="F1149" s="54" t="n"/>
      <c r="G1149" s="54" t="n"/>
      <c r="H1149" s="54" t="n"/>
      <c r="I1149" s="54" t="n"/>
      <c r="J1149" s="53" t="n"/>
      <c r="K1149" s="55" t="str">
        <f>IF(COUNTA(A1149:I1149)=0,"",IF(F1149="",IFERROR(INDEX(eq_dur,MATCH(B1149,eq_code,0)),""),F1149))</f>
        <v/>
      </c>
      <c r="L1149" s="55" t="str">
        <f>IF(ISNUMBER(K1149),N(IFERROR(INDEX(eq_pause,MATCH(B1149,eq_code,0)),0))+SUMIFS(st_min,st_date,A1149,st_eq,B1149,st_po,C1149,st_type,"Planifié"),"")</f>
        <v/>
      </c>
      <c r="M1149" s="55" t="str">
        <f>IF(ISNUMBER(K1149),K1149-L1149,"")</f>
        <v/>
      </c>
      <c r="N1149" s="55" t="str">
        <f>IF(ISNUMBER(K1149),SUMIFS(st_min,st_date,A1149,st_eq,B1149,st_po,C1149,st_type,"Non planifié"),"")</f>
        <v/>
      </c>
      <c r="O1149" s="55" t="str">
        <f>IF(ISNUMBER(K1149),M1149-N1149,"")</f>
        <v/>
      </c>
      <c r="P1149" s="55" t="str">
        <f>IF(COUNTA(A1149:I1149)=0,"",N(G1149)+N(H1149)+N(I1149))</f>
        <v/>
      </c>
      <c r="Q1149" s="56" t="str">
        <f>IF(COUNTA(A1149:I1149)=0,"",IF(N(IFERROR(INDEX(art_rate,MATCH(E1149,art_ref,0)),0))&gt;0,N(IFERROR(INDEX(art_rate,MATCH(E1149,art_ref,0)),0)),N(IFERROR(INDEX(po_rate,MATCH(C1149,po_code,0)),0))))</f>
        <v/>
      </c>
      <c r="R1149" s="55" t="str">
        <f>IF(AC1149=1,P1149*60/Q1149,"")</f>
        <v/>
      </c>
      <c r="S1149" s="55" t="str">
        <f>IF(AC1149=1,N(G1149)*60/Q1149,"")</f>
        <v/>
      </c>
      <c r="T1149" s="57" t="str">
        <f>IF(AC1149=1,O1149/M1149,"")</f>
        <v/>
      </c>
      <c r="U1149" s="57" t="str">
        <f>IF(AC1149=1,IF(O1149&gt;0,R1149/O1149,""),"")</f>
        <v/>
      </c>
      <c r="V1149" s="57" t="str">
        <f>IF(AC1149=1,IF(P1149&gt;0,N(G1149)/P1149,""),"")</f>
        <v/>
      </c>
      <c r="W1149" s="57" t="str">
        <f>IF(AC1149=1,S1149/M1149,"")</f>
        <v/>
      </c>
      <c r="X1149" s="57" t="str">
        <f>IF(AC1149=1,S1149/K1149,"")</f>
        <v/>
      </c>
      <c r="Y1149" s="58" t="str">
        <f>IF(W1149="","",IF(W1149&gt;=p_target,"Bon",IF(W1149&gt;=p_alert,"À surveiller","Faible")))</f>
        <v/>
      </c>
      <c r="Z1149" s="58" t="str">
        <f>IF(W1149="","",IF(MIN(IF(T1149="",1,T1149),IF(U1149="",1,U1149),IF(V1149="",1,V1149))&gt;=1,"Aucune",IF(IF(T1149="",1,T1149)&lt;=MIN(IF(U1149="",1,U1149),IF(V1149="",1,V1149)),"Disponibilité",IF(IF(U1149="",1,U1149)&lt;=IF(V1149="",1,V1149),"Performance","Qualité"))))</f>
        <v/>
      </c>
      <c r="AA1149" s="59" t="str">
        <f>IF(AC1149=1,N(H1149)*N(IFERROR(INDEX(art_cost,MATCH(E1149,art_ref,0)),0)),"")</f>
        <v/>
      </c>
      <c r="AB1149" s="58" t="str">
        <f>IF(COUNTA(A1149:I1149)=0,"",IF(N(A1149)&lt;=0,"Date manquante ou invalide",IF(B1149="","Équipe manquante",IF(ISNA(MATCH(B1149,eq_code,0)),"Équipe inconnue",IF(INDEX(eq_check,MATCH(B1149,eq_code,0))&lt;&gt;"OK","Équipe à corriger dans Paramètres",IF(C1149="","Poste manquant",IF(ISNA(MATCH(C1149,po_code,0)),"Poste inconnu",IF(AND(E1149&lt;&gt;"",ISNA(MATCH(E1149,art_ref,0))),"Article inconnu",IF(IF(E1149="",FALSE,INDEX(art_check,MATCH(E1149,art_ref,0))&lt;&gt;"OK"),"Article à corriger (feuille Articles)",IF(COUNTIFS(sj_date,A1149,sj_eq,B1149,sj_po,C1149)&gt;1,"Ligne en double (même jour, équipe et poste)",IF(OR(NOT(ISNUMBER(K1149)),N(K1149)&lt;=0,N(K1149)&gt;1440),"Temps d'ouverture invalide",IF(OR(AND(G1149&lt;&gt;"",NOT(ISNUMBER(G1149))),N(G1149)&lt;0,N(G1149)&lt;&gt;INT(N(G1149)),AND(H1149&lt;&gt;"",NOT(ISNUMBER(H1149))),N(H1149)&lt;0,N(H1149)&lt;&gt;INT(N(H1149)),AND(I1149&lt;&gt;"",NOT(ISNUMBER(I1149))),N(I1149)&lt;0,N(I1149)&lt;&gt;INT(N(I1149))),"Quantité invalide",IF(Q1149&lt;=0,"Cadence manquante (poste ou article)",IF(M1149&lt;=0,"Arrêts planifiés supérieurs au temps d'ouverture",IF(O1149&lt;0,"Arrêts supérieurs au temps requis",IF(AND(P1149&gt;0,O1149=0),"Pièces déclarées sans temps de marche",IF(AND(P1149=0,O1149&gt;0),"Aucune pièce déclarée",IF(P1149*60/Q1149&gt;O1149+0.001,"Cadence dépassée : vérifiez la cadence","OK"))))))))))))))))))</f>
        <v/>
      </c>
      <c r="AC1149">
        <f>IF(OR(AB1149="OK",AB1149="Aucune pièce déclarée",AB1149="Cadence dépassée : vérifiez la cadence"),1,0)</f>
        <v>0.0</v>
      </c>
      <c r="AD1149">
        <f>IF(AND(AC1149=1,A1149&gt;=p_from,A1149&lt;=p_to),1,0)</f>
        <v>0.0</v>
      </c>
      <c r="AE1149">
        <f>IF(AD1149=1,IF(COUNTIFS($A$6:A1149,A1149,$AD$6:AD1149,1)=1,1,0),0)</f>
        <v>0.0</v>
      </c>
      <c r="AF1149" t="str">
        <f>IF(AE1149=1,COUNTIFS(sj_first,1,sj_date,"&lt;"&amp;A1149)+1,"")</f>
        <v/>
      </c>
      <c r="AG1149" t="str">
        <f>IF(AND(AD1149=1,N(W1149)&lt;p_alert),ROUND(W1149,4),"")</f>
        <v/>
      </c>
      <c r="AH1149" t="str">
        <f>IF(AG1149="","",COUNTIF(sj_akey,"&lt;"&amp;AG1149)+COUNTIF($AG$6:AG1149,AG1149))</f>
        <v/>
      </c>
    </row>
    <row r="1150">
      <c r="A1150" s="51" t="n"/>
      <c r="B1150" s="52" t="n"/>
      <c r="C1150" s="52" t="n"/>
      <c r="D1150" s="53" t="n"/>
      <c r="E1150" s="53" t="n"/>
      <c r="F1150" s="54" t="n"/>
      <c r="G1150" s="54" t="n"/>
      <c r="H1150" s="54" t="n"/>
      <c r="I1150" s="54" t="n"/>
      <c r="J1150" s="53" t="n"/>
      <c r="K1150" s="55" t="str">
        <f>IF(COUNTA(A1150:I1150)=0,"",IF(F1150="",IFERROR(INDEX(eq_dur,MATCH(B1150,eq_code,0)),""),F1150))</f>
        <v/>
      </c>
      <c r="L1150" s="55" t="str">
        <f>IF(ISNUMBER(K1150),N(IFERROR(INDEX(eq_pause,MATCH(B1150,eq_code,0)),0))+SUMIFS(st_min,st_date,A1150,st_eq,B1150,st_po,C1150,st_type,"Planifié"),"")</f>
        <v/>
      </c>
      <c r="M1150" s="55" t="str">
        <f>IF(ISNUMBER(K1150),K1150-L1150,"")</f>
        <v/>
      </c>
      <c r="N1150" s="55" t="str">
        <f>IF(ISNUMBER(K1150),SUMIFS(st_min,st_date,A1150,st_eq,B1150,st_po,C1150,st_type,"Non planifié"),"")</f>
        <v/>
      </c>
      <c r="O1150" s="55" t="str">
        <f>IF(ISNUMBER(K1150),M1150-N1150,"")</f>
        <v/>
      </c>
      <c r="P1150" s="55" t="str">
        <f>IF(COUNTA(A1150:I1150)=0,"",N(G1150)+N(H1150)+N(I1150))</f>
        <v/>
      </c>
      <c r="Q1150" s="56" t="str">
        <f>IF(COUNTA(A1150:I1150)=0,"",IF(N(IFERROR(INDEX(art_rate,MATCH(E1150,art_ref,0)),0))&gt;0,N(IFERROR(INDEX(art_rate,MATCH(E1150,art_ref,0)),0)),N(IFERROR(INDEX(po_rate,MATCH(C1150,po_code,0)),0))))</f>
        <v/>
      </c>
      <c r="R1150" s="55" t="str">
        <f>IF(AC1150=1,P1150*60/Q1150,"")</f>
        <v/>
      </c>
      <c r="S1150" s="55" t="str">
        <f>IF(AC1150=1,N(G1150)*60/Q1150,"")</f>
        <v/>
      </c>
      <c r="T1150" s="57" t="str">
        <f>IF(AC1150=1,O1150/M1150,"")</f>
        <v/>
      </c>
      <c r="U1150" s="57" t="str">
        <f>IF(AC1150=1,IF(O1150&gt;0,R1150/O1150,""),"")</f>
        <v/>
      </c>
      <c r="V1150" s="57" t="str">
        <f>IF(AC1150=1,IF(P1150&gt;0,N(G1150)/P1150,""),"")</f>
        <v/>
      </c>
      <c r="W1150" s="57" t="str">
        <f>IF(AC1150=1,S1150/M1150,"")</f>
        <v/>
      </c>
      <c r="X1150" s="57" t="str">
        <f>IF(AC1150=1,S1150/K1150,"")</f>
        <v/>
      </c>
      <c r="Y1150" s="58" t="str">
        <f>IF(W1150="","",IF(W1150&gt;=p_target,"Bon",IF(W1150&gt;=p_alert,"À surveiller","Faible")))</f>
        <v/>
      </c>
      <c r="Z1150" s="58" t="str">
        <f>IF(W1150="","",IF(MIN(IF(T1150="",1,T1150),IF(U1150="",1,U1150),IF(V1150="",1,V1150))&gt;=1,"Aucune",IF(IF(T1150="",1,T1150)&lt;=MIN(IF(U1150="",1,U1150),IF(V1150="",1,V1150)),"Disponibilité",IF(IF(U1150="",1,U1150)&lt;=IF(V1150="",1,V1150),"Performance","Qualité"))))</f>
        <v/>
      </c>
      <c r="AA1150" s="59" t="str">
        <f>IF(AC1150=1,N(H1150)*N(IFERROR(INDEX(art_cost,MATCH(E1150,art_ref,0)),0)),"")</f>
        <v/>
      </c>
      <c r="AB1150" s="58" t="str">
        <f>IF(COUNTA(A1150:I1150)=0,"",IF(N(A1150)&lt;=0,"Date manquante ou invalide",IF(B1150="","Équipe manquante",IF(ISNA(MATCH(B1150,eq_code,0)),"Équipe inconnue",IF(INDEX(eq_check,MATCH(B1150,eq_code,0))&lt;&gt;"OK","Équipe à corriger dans Paramètres",IF(C1150="","Poste manquant",IF(ISNA(MATCH(C1150,po_code,0)),"Poste inconnu",IF(AND(E1150&lt;&gt;"",ISNA(MATCH(E1150,art_ref,0))),"Article inconnu",IF(IF(E1150="",FALSE,INDEX(art_check,MATCH(E1150,art_ref,0))&lt;&gt;"OK"),"Article à corriger (feuille Articles)",IF(COUNTIFS(sj_date,A1150,sj_eq,B1150,sj_po,C1150)&gt;1,"Ligne en double (même jour, équipe et poste)",IF(OR(NOT(ISNUMBER(K1150)),N(K1150)&lt;=0,N(K1150)&gt;1440),"Temps d'ouverture invalide",IF(OR(AND(G1150&lt;&gt;"",NOT(ISNUMBER(G1150))),N(G1150)&lt;0,N(G1150)&lt;&gt;INT(N(G1150)),AND(H1150&lt;&gt;"",NOT(ISNUMBER(H1150))),N(H1150)&lt;0,N(H1150)&lt;&gt;INT(N(H1150)),AND(I1150&lt;&gt;"",NOT(ISNUMBER(I1150))),N(I1150)&lt;0,N(I1150)&lt;&gt;INT(N(I1150))),"Quantité invalide",IF(Q1150&lt;=0,"Cadence manquante (poste ou article)",IF(M1150&lt;=0,"Arrêts planifiés supérieurs au temps d'ouverture",IF(O1150&lt;0,"Arrêts supérieurs au temps requis",IF(AND(P1150&gt;0,O1150=0),"Pièces déclarées sans temps de marche",IF(AND(P1150=0,O1150&gt;0),"Aucune pièce déclarée",IF(P1150*60/Q1150&gt;O1150+0.001,"Cadence dépassée : vérifiez la cadence","OK"))))))))))))))))))</f>
        <v/>
      </c>
      <c r="AC1150">
        <f>IF(OR(AB1150="OK",AB1150="Aucune pièce déclarée",AB1150="Cadence dépassée : vérifiez la cadence"),1,0)</f>
        <v>0.0</v>
      </c>
      <c r="AD1150">
        <f>IF(AND(AC1150=1,A1150&gt;=p_from,A1150&lt;=p_to),1,0)</f>
        <v>0.0</v>
      </c>
      <c r="AE1150">
        <f>IF(AD1150=1,IF(COUNTIFS($A$6:A1150,A1150,$AD$6:AD1150,1)=1,1,0),0)</f>
        <v>0.0</v>
      </c>
      <c r="AF1150" t="str">
        <f>IF(AE1150=1,COUNTIFS(sj_first,1,sj_date,"&lt;"&amp;A1150)+1,"")</f>
        <v/>
      </c>
      <c r="AG1150" t="str">
        <f>IF(AND(AD1150=1,N(W1150)&lt;p_alert),ROUND(W1150,4),"")</f>
        <v/>
      </c>
      <c r="AH1150" t="str">
        <f>IF(AG1150="","",COUNTIF(sj_akey,"&lt;"&amp;AG1150)+COUNTIF($AG$6:AG1150,AG1150))</f>
        <v/>
      </c>
    </row>
    <row r="1151">
      <c r="A1151" s="51" t="n"/>
      <c r="B1151" s="52" t="n"/>
      <c r="C1151" s="52" t="n"/>
      <c r="D1151" s="53" t="n"/>
      <c r="E1151" s="53" t="n"/>
      <c r="F1151" s="54" t="n"/>
      <c r="G1151" s="54" t="n"/>
      <c r="H1151" s="54" t="n"/>
      <c r="I1151" s="54" t="n"/>
      <c r="J1151" s="53" t="n"/>
      <c r="K1151" s="55" t="str">
        <f>IF(COUNTA(A1151:I1151)=0,"",IF(F1151="",IFERROR(INDEX(eq_dur,MATCH(B1151,eq_code,0)),""),F1151))</f>
        <v/>
      </c>
      <c r="L1151" s="55" t="str">
        <f>IF(ISNUMBER(K1151),N(IFERROR(INDEX(eq_pause,MATCH(B1151,eq_code,0)),0))+SUMIFS(st_min,st_date,A1151,st_eq,B1151,st_po,C1151,st_type,"Planifié"),"")</f>
        <v/>
      </c>
      <c r="M1151" s="55" t="str">
        <f>IF(ISNUMBER(K1151),K1151-L1151,"")</f>
        <v/>
      </c>
      <c r="N1151" s="55" t="str">
        <f>IF(ISNUMBER(K1151),SUMIFS(st_min,st_date,A1151,st_eq,B1151,st_po,C1151,st_type,"Non planifié"),"")</f>
        <v/>
      </c>
      <c r="O1151" s="55" t="str">
        <f>IF(ISNUMBER(K1151),M1151-N1151,"")</f>
        <v/>
      </c>
      <c r="P1151" s="55" t="str">
        <f>IF(COUNTA(A1151:I1151)=0,"",N(G1151)+N(H1151)+N(I1151))</f>
        <v/>
      </c>
      <c r="Q1151" s="56" t="str">
        <f>IF(COUNTA(A1151:I1151)=0,"",IF(N(IFERROR(INDEX(art_rate,MATCH(E1151,art_ref,0)),0))&gt;0,N(IFERROR(INDEX(art_rate,MATCH(E1151,art_ref,0)),0)),N(IFERROR(INDEX(po_rate,MATCH(C1151,po_code,0)),0))))</f>
        <v/>
      </c>
      <c r="R1151" s="55" t="str">
        <f>IF(AC1151=1,P1151*60/Q1151,"")</f>
        <v/>
      </c>
      <c r="S1151" s="55" t="str">
        <f>IF(AC1151=1,N(G1151)*60/Q1151,"")</f>
        <v/>
      </c>
      <c r="T1151" s="57" t="str">
        <f>IF(AC1151=1,O1151/M1151,"")</f>
        <v/>
      </c>
      <c r="U1151" s="57" t="str">
        <f>IF(AC1151=1,IF(O1151&gt;0,R1151/O1151,""),"")</f>
        <v/>
      </c>
      <c r="V1151" s="57" t="str">
        <f>IF(AC1151=1,IF(P1151&gt;0,N(G1151)/P1151,""),"")</f>
        <v/>
      </c>
      <c r="W1151" s="57" t="str">
        <f>IF(AC1151=1,S1151/M1151,"")</f>
        <v/>
      </c>
      <c r="X1151" s="57" t="str">
        <f>IF(AC1151=1,S1151/K1151,"")</f>
        <v/>
      </c>
      <c r="Y1151" s="58" t="str">
        <f>IF(W1151="","",IF(W1151&gt;=p_target,"Bon",IF(W1151&gt;=p_alert,"À surveiller","Faible")))</f>
        <v/>
      </c>
      <c r="Z1151" s="58" t="str">
        <f>IF(W1151="","",IF(MIN(IF(T1151="",1,T1151),IF(U1151="",1,U1151),IF(V1151="",1,V1151))&gt;=1,"Aucune",IF(IF(T1151="",1,T1151)&lt;=MIN(IF(U1151="",1,U1151),IF(V1151="",1,V1151)),"Disponibilité",IF(IF(U1151="",1,U1151)&lt;=IF(V1151="",1,V1151),"Performance","Qualité"))))</f>
        <v/>
      </c>
      <c r="AA1151" s="59" t="str">
        <f>IF(AC1151=1,N(H1151)*N(IFERROR(INDEX(art_cost,MATCH(E1151,art_ref,0)),0)),"")</f>
        <v/>
      </c>
      <c r="AB1151" s="58" t="str">
        <f>IF(COUNTA(A1151:I1151)=0,"",IF(N(A1151)&lt;=0,"Date manquante ou invalide",IF(B1151="","Équipe manquante",IF(ISNA(MATCH(B1151,eq_code,0)),"Équipe inconnue",IF(INDEX(eq_check,MATCH(B1151,eq_code,0))&lt;&gt;"OK","Équipe à corriger dans Paramètres",IF(C1151="","Poste manquant",IF(ISNA(MATCH(C1151,po_code,0)),"Poste inconnu",IF(AND(E1151&lt;&gt;"",ISNA(MATCH(E1151,art_ref,0))),"Article inconnu",IF(IF(E1151="",FALSE,INDEX(art_check,MATCH(E1151,art_ref,0))&lt;&gt;"OK"),"Article à corriger (feuille Articles)",IF(COUNTIFS(sj_date,A1151,sj_eq,B1151,sj_po,C1151)&gt;1,"Ligne en double (même jour, équipe et poste)",IF(OR(NOT(ISNUMBER(K1151)),N(K1151)&lt;=0,N(K1151)&gt;1440),"Temps d'ouverture invalide",IF(OR(AND(G1151&lt;&gt;"",NOT(ISNUMBER(G1151))),N(G1151)&lt;0,N(G1151)&lt;&gt;INT(N(G1151)),AND(H1151&lt;&gt;"",NOT(ISNUMBER(H1151))),N(H1151)&lt;0,N(H1151)&lt;&gt;INT(N(H1151)),AND(I1151&lt;&gt;"",NOT(ISNUMBER(I1151))),N(I1151)&lt;0,N(I1151)&lt;&gt;INT(N(I1151))),"Quantité invalide",IF(Q1151&lt;=0,"Cadence manquante (poste ou article)",IF(M1151&lt;=0,"Arrêts planifiés supérieurs au temps d'ouverture",IF(O1151&lt;0,"Arrêts supérieurs au temps requis",IF(AND(P1151&gt;0,O1151=0),"Pièces déclarées sans temps de marche",IF(AND(P1151=0,O1151&gt;0),"Aucune pièce déclarée",IF(P1151*60/Q1151&gt;O1151+0.001,"Cadence dépassée : vérifiez la cadence","OK"))))))))))))))))))</f>
        <v/>
      </c>
      <c r="AC1151">
        <f>IF(OR(AB1151="OK",AB1151="Aucune pièce déclarée",AB1151="Cadence dépassée : vérifiez la cadence"),1,0)</f>
        <v>0.0</v>
      </c>
      <c r="AD1151">
        <f>IF(AND(AC1151=1,A1151&gt;=p_from,A1151&lt;=p_to),1,0)</f>
        <v>0.0</v>
      </c>
      <c r="AE1151">
        <f>IF(AD1151=1,IF(COUNTIFS($A$6:A1151,A1151,$AD$6:AD1151,1)=1,1,0),0)</f>
        <v>0.0</v>
      </c>
      <c r="AF1151" t="str">
        <f>IF(AE1151=1,COUNTIFS(sj_first,1,sj_date,"&lt;"&amp;A1151)+1,"")</f>
        <v/>
      </c>
      <c r="AG1151" t="str">
        <f>IF(AND(AD1151=1,N(W1151)&lt;p_alert),ROUND(W1151,4),"")</f>
        <v/>
      </c>
      <c r="AH1151" t="str">
        <f>IF(AG1151="","",COUNTIF(sj_akey,"&lt;"&amp;AG1151)+COUNTIF($AG$6:AG1151,AG1151))</f>
        <v/>
      </c>
    </row>
    <row r="1152">
      <c r="A1152" s="51" t="n"/>
      <c r="B1152" s="52" t="n"/>
      <c r="C1152" s="52" t="n"/>
      <c r="D1152" s="53" t="n"/>
      <c r="E1152" s="53" t="n"/>
      <c r="F1152" s="54" t="n"/>
      <c r="G1152" s="54" t="n"/>
      <c r="H1152" s="54" t="n"/>
      <c r="I1152" s="54" t="n"/>
      <c r="J1152" s="53" t="n"/>
      <c r="K1152" s="55" t="str">
        <f>IF(COUNTA(A1152:I1152)=0,"",IF(F1152="",IFERROR(INDEX(eq_dur,MATCH(B1152,eq_code,0)),""),F1152))</f>
        <v/>
      </c>
      <c r="L1152" s="55" t="str">
        <f>IF(ISNUMBER(K1152),N(IFERROR(INDEX(eq_pause,MATCH(B1152,eq_code,0)),0))+SUMIFS(st_min,st_date,A1152,st_eq,B1152,st_po,C1152,st_type,"Planifié"),"")</f>
        <v/>
      </c>
      <c r="M1152" s="55" t="str">
        <f>IF(ISNUMBER(K1152),K1152-L1152,"")</f>
        <v/>
      </c>
      <c r="N1152" s="55" t="str">
        <f>IF(ISNUMBER(K1152),SUMIFS(st_min,st_date,A1152,st_eq,B1152,st_po,C1152,st_type,"Non planifié"),"")</f>
        <v/>
      </c>
      <c r="O1152" s="55" t="str">
        <f>IF(ISNUMBER(K1152),M1152-N1152,"")</f>
        <v/>
      </c>
      <c r="P1152" s="55" t="str">
        <f>IF(COUNTA(A1152:I1152)=0,"",N(G1152)+N(H1152)+N(I1152))</f>
        <v/>
      </c>
      <c r="Q1152" s="56" t="str">
        <f>IF(COUNTA(A1152:I1152)=0,"",IF(N(IFERROR(INDEX(art_rate,MATCH(E1152,art_ref,0)),0))&gt;0,N(IFERROR(INDEX(art_rate,MATCH(E1152,art_ref,0)),0)),N(IFERROR(INDEX(po_rate,MATCH(C1152,po_code,0)),0))))</f>
        <v/>
      </c>
      <c r="R1152" s="55" t="str">
        <f>IF(AC1152=1,P1152*60/Q1152,"")</f>
        <v/>
      </c>
      <c r="S1152" s="55" t="str">
        <f>IF(AC1152=1,N(G1152)*60/Q1152,"")</f>
        <v/>
      </c>
      <c r="T1152" s="57" t="str">
        <f>IF(AC1152=1,O1152/M1152,"")</f>
        <v/>
      </c>
      <c r="U1152" s="57" t="str">
        <f>IF(AC1152=1,IF(O1152&gt;0,R1152/O1152,""),"")</f>
        <v/>
      </c>
      <c r="V1152" s="57" t="str">
        <f>IF(AC1152=1,IF(P1152&gt;0,N(G1152)/P1152,""),"")</f>
        <v/>
      </c>
      <c r="W1152" s="57" t="str">
        <f>IF(AC1152=1,S1152/M1152,"")</f>
        <v/>
      </c>
      <c r="X1152" s="57" t="str">
        <f>IF(AC1152=1,S1152/K1152,"")</f>
        <v/>
      </c>
      <c r="Y1152" s="58" t="str">
        <f>IF(W1152="","",IF(W1152&gt;=p_target,"Bon",IF(W1152&gt;=p_alert,"À surveiller","Faible")))</f>
        <v/>
      </c>
      <c r="Z1152" s="58" t="str">
        <f>IF(W1152="","",IF(MIN(IF(T1152="",1,T1152),IF(U1152="",1,U1152),IF(V1152="",1,V1152))&gt;=1,"Aucune",IF(IF(T1152="",1,T1152)&lt;=MIN(IF(U1152="",1,U1152),IF(V1152="",1,V1152)),"Disponibilité",IF(IF(U1152="",1,U1152)&lt;=IF(V1152="",1,V1152),"Performance","Qualité"))))</f>
        <v/>
      </c>
      <c r="AA1152" s="59" t="str">
        <f>IF(AC1152=1,N(H1152)*N(IFERROR(INDEX(art_cost,MATCH(E1152,art_ref,0)),0)),"")</f>
        <v/>
      </c>
      <c r="AB1152" s="58" t="str">
        <f>IF(COUNTA(A1152:I1152)=0,"",IF(N(A1152)&lt;=0,"Date manquante ou invalide",IF(B1152="","Équipe manquante",IF(ISNA(MATCH(B1152,eq_code,0)),"Équipe inconnue",IF(INDEX(eq_check,MATCH(B1152,eq_code,0))&lt;&gt;"OK","Équipe à corriger dans Paramètres",IF(C1152="","Poste manquant",IF(ISNA(MATCH(C1152,po_code,0)),"Poste inconnu",IF(AND(E1152&lt;&gt;"",ISNA(MATCH(E1152,art_ref,0))),"Article inconnu",IF(IF(E1152="",FALSE,INDEX(art_check,MATCH(E1152,art_ref,0))&lt;&gt;"OK"),"Article à corriger (feuille Articles)",IF(COUNTIFS(sj_date,A1152,sj_eq,B1152,sj_po,C1152)&gt;1,"Ligne en double (même jour, équipe et poste)",IF(OR(NOT(ISNUMBER(K1152)),N(K1152)&lt;=0,N(K1152)&gt;1440),"Temps d'ouverture invalide",IF(OR(AND(G1152&lt;&gt;"",NOT(ISNUMBER(G1152))),N(G1152)&lt;0,N(G1152)&lt;&gt;INT(N(G1152)),AND(H1152&lt;&gt;"",NOT(ISNUMBER(H1152))),N(H1152)&lt;0,N(H1152)&lt;&gt;INT(N(H1152)),AND(I1152&lt;&gt;"",NOT(ISNUMBER(I1152))),N(I1152)&lt;0,N(I1152)&lt;&gt;INT(N(I1152))),"Quantité invalide",IF(Q1152&lt;=0,"Cadence manquante (poste ou article)",IF(M1152&lt;=0,"Arrêts planifiés supérieurs au temps d'ouverture",IF(O1152&lt;0,"Arrêts supérieurs au temps requis",IF(AND(P1152&gt;0,O1152=0),"Pièces déclarées sans temps de marche",IF(AND(P1152=0,O1152&gt;0),"Aucune pièce déclarée",IF(P1152*60/Q1152&gt;O1152+0.001,"Cadence dépassée : vérifiez la cadence","OK"))))))))))))))))))</f>
        <v/>
      </c>
      <c r="AC1152">
        <f>IF(OR(AB1152="OK",AB1152="Aucune pièce déclarée",AB1152="Cadence dépassée : vérifiez la cadence"),1,0)</f>
        <v>0.0</v>
      </c>
      <c r="AD1152">
        <f>IF(AND(AC1152=1,A1152&gt;=p_from,A1152&lt;=p_to),1,0)</f>
        <v>0.0</v>
      </c>
      <c r="AE1152">
        <f>IF(AD1152=1,IF(COUNTIFS($A$6:A1152,A1152,$AD$6:AD1152,1)=1,1,0),0)</f>
        <v>0.0</v>
      </c>
      <c r="AF1152" t="str">
        <f>IF(AE1152=1,COUNTIFS(sj_first,1,sj_date,"&lt;"&amp;A1152)+1,"")</f>
        <v/>
      </c>
      <c r="AG1152" t="str">
        <f>IF(AND(AD1152=1,N(W1152)&lt;p_alert),ROUND(W1152,4),"")</f>
        <v/>
      </c>
      <c r="AH1152" t="str">
        <f>IF(AG1152="","",COUNTIF(sj_akey,"&lt;"&amp;AG1152)+COUNTIF($AG$6:AG1152,AG1152))</f>
        <v/>
      </c>
    </row>
    <row r="1153">
      <c r="A1153" s="51" t="n"/>
      <c r="B1153" s="52" t="n"/>
      <c r="C1153" s="52" t="n"/>
      <c r="D1153" s="53" t="n"/>
      <c r="E1153" s="53" t="n"/>
      <c r="F1153" s="54" t="n"/>
      <c r="G1153" s="54" t="n"/>
      <c r="H1153" s="54" t="n"/>
      <c r="I1153" s="54" t="n"/>
      <c r="J1153" s="53" t="n"/>
      <c r="K1153" s="55" t="str">
        <f>IF(COUNTA(A1153:I1153)=0,"",IF(F1153="",IFERROR(INDEX(eq_dur,MATCH(B1153,eq_code,0)),""),F1153))</f>
        <v/>
      </c>
      <c r="L1153" s="55" t="str">
        <f>IF(ISNUMBER(K1153),N(IFERROR(INDEX(eq_pause,MATCH(B1153,eq_code,0)),0))+SUMIFS(st_min,st_date,A1153,st_eq,B1153,st_po,C1153,st_type,"Planifié"),"")</f>
        <v/>
      </c>
      <c r="M1153" s="55" t="str">
        <f>IF(ISNUMBER(K1153),K1153-L1153,"")</f>
        <v/>
      </c>
      <c r="N1153" s="55" t="str">
        <f>IF(ISNUMBER(K1153),SUMIFS(st_min,st_date,A1153,st_eq,B1153,st_po,C1153,st_type,"Non planifié"),"")</f>
        <v/>
      </c>
      <c r="O1153" s="55" t="str">
        <f>IF(ISNUMBER(K1153),M1153-N1153,"")</f>
        <v/>
      </c>
      <c r="P1153" s="55" t="str">
        <f>IF(COUNTA(A1153:I1153)=0,"",N(G1153)+N(H1153)+N(I1153))</f>
        <v/>
      </c>
      <c r="Q1153" s="56" t="str">
        <f>IF(COUNTA(A1153:I1153)=0,"",IF(N(IFERROR(INDEX(art_rate,MATCH(E1153,art_ref,0)),0))&gt;0,N(IFERROR(INDEX(art_rate,MATCH(E1153,art_ref,0)),0)),N(IFERROR(INDEX(po_rate,MATCH(C1153,po_code,0)),0))))</f>
        <v/>
      </c>
      <c r="R1153" s="55" t="str">
        <f>IF(AC1153=1,P1153*60/Q1153,"")</f>
        <v/>
      </c>
      <c r="S1153" s="55" t="str">
        <f>IF(AC1153=1,N(G1153)*60/Q1153,"")</f>
        <v/>
      </c>
      <c r="T1153" s="57" t="str">
        <f>IF(AC1153=1,O1153/M1153,"")</f>
        <v/>
      </c>
      <c r="U1153" s="57" t="str">
        <f>IF(AC1153=1,IF(O1153&gt;0,R1153/O1153,""),"")</f>
        <v/>
      </c>
      <c r="V1153" s="57" t="str">
        <f>IF(AC1153=1,IF(P1153&gt;0,N(G1153)/P1153,""),"")</f>
        <v/>
      </c>
      <c r="W1153" s="57" t="str">
        <f>IF(AC1153=1,S1153/M1153,"")</f>
        <v/>
      </c>
      <c r="X1153" s="57" t="str">
        <f>IF(AC1153=1,S1153/K1153,"")</f>
        <v/>
      </c>
      <c r="Y1153" s="58" t="str">
        <f>IF(W1153="","",IF(W1153&gt;=p_target,"Bon",IF(W1153&gt;=p_alert,"À surveiller","Faible")))</f>
        <v/>
      </c>
      <c r="Z1153" s="58" t="str">
        <f>IF(W1153="","",IF(MIN(IF(T1153="",1,T1153),IF(U1153="",1,U1153),IF(V1153="",1,V1153))&gt;=1,"Aucune",IF(IF(T1153="",1,T1153)&lt;=MIN(IF(U1153="",1,U1153),IF(V1153="",1,V1153)),"Disponibilité",IF(IF(U1153="",1,U1153)&lt;=IF(V1153="",1,V1153),"Performance","Qualité"))))</f>
        <v/>
      </c>
      <c r="AA1153" s="59" t="str">
        <f>IF(AC1153=1,N(H1153)*N(IFERROR(INDEX(art_cost,MATCH(E1153,art_ref,0)),0)),"")</f>
        <v/>
      </c>
      <c r="AB1153" s="58" t="str">
        <f>IF(COUNTA(A1153:I1153)=0,"",IF(N(A1153)&lt;=0,"Date manquante ou invalide",IF(B1153="","Équipe manquante",IF(ISNA(MATCH(B1153,eq_code,0)),"Équipe inconnue",IF(INDEX(eq_check,MATCH(B1153,eq_code,0))&lt;&gt;"OK","Équipe à corriger dans Paramètres",IF(C1153="","Poste manquant",IF(ISNA(MATCH(C1153,po_code,0)),"Poste inconnu",IF(AND(E1153&lt;&gt;"",ISNA(MATCH(E1153,art_ref,0))),"Article inconnu",IF(IF(E1153="",FALSE,INDEX(art_check,MATCH(E1153,art_ref,0))&lt;&gt;"OK"),"Article à corriger (feuille Articles)",IF(COUNTIFS(sj_date,A1153,sj_eq,B1153,sj_po,C1153)&gt;1,"Ligne en double (même jour, équipe et poste)",IF(OR(NOT(ISNUMBER(K1153)),N(K1153)&lt;=0,N(K1153)&gt;1440),"Temps d'ouverture invalide",IF(OR(AND(G1153&lt;&gt;"",NOT(ISNUMBER(G1153))),N(G1153)&lt;0,N(G1153)&lt;&gt;INT(N(G1153)),AND(H1153&lt;&gt;"",NOT(ISNUMBER(H1153))),N(H1153)&lt;0,N(H1153)&lt;&gt;INT(N(H1153)),AND(I1153&lt;&gt;"",NOT(ISNUMBER(I1153))),N(I1153)&lt;0,N(I1153)&lt;&gt;INT(N(I1153))),"Quantité invalide",IF(Q1153&lt;=0,"Cadence manquante (poste ou article)",IF(M1153&lt;=0,"Arrêts planifiés supérieurs au temps d'ouverture",IF(O1153&lt;0,"Arrêts supérieurs au temps requis",IF(AND(P1153&gt;0,O1153=0),"Pièces déclarées sans temps de marche",IF(AND(P1153=0,O1153&gt;0),"Aucune pièce déclarée",IF(P1153*60/Q1153&gt;O1153+0.001,"Cadence dépassée : vérifiez la cadence","OK"))))))))))))))))))</f>
        <v/>
      </c>
      <c r="AC1153">
        <f>IF(OR(AB1153="OK",AB1153="Aucune pièce déclarée",AB1153="Cadence dépassée : vérifiez la cadence"),1,0)</f>
        <v>0.0</v>
      </c>
      <c r="AD1153">
        <f>IF(AND(AC1153=1,A1153&gt;=p_from,A1153&lt;=p_to),1,0)</f>
        <v>0.0</v>
      </c>
      <c r="AE1153">
        <f>IF(AD1153=1,IF(COUNTIFS($A$6:A1153,A1153,$AD$6:AD1153,1)=1,1,0),0)</f>
        <v>0.0</v>
      </c>
      <c r="AF1153" t="str">
        <f>IF(AE1153=1,COUNTIFS(sj_first,1,sj_date,"&lt;"&amp;A1153)+1,"")</f>
        <v/>
      </c>
      <c r="AG1153" t="str">
        <f>IF(AND(AD1153=1,N(W1153)&lt;p_alert),ROUND(W1153,4),"")</f>
        <v/>
      </c>
      <c r="AH1153" t="str">
        <f>IF(AG1153="","",COUNTIF(sj_akey,"&lt;"&amp;AG1153)+COUNTIF($AG$6:AG1153,AG1153))</f>
        <v/>
      </c>
    </row>
    <row r="1154">
      <c r="A1154" s="51" t="n"/>
      <c r="B1154" s="52" t="n"/>
      <c r="C1154" s="52" t="n"/>
      <c r="D1154" s="53" t="n"/>
      <c r="E1154" s="53" t="n"/>
      <c r="F1154" s="54" t="n"/>
      <c r="G1154" s="54" t="n"/>
      <c r="H1154" s="54" t="n"/>
      <c r="I1154" s="54" t="n"/>
      <c r="J1154" s="53" t="n"/>
      <c r="K1154" s="55" t="str">
        <f>IF(COUNTA(A1154:I1154)=0,"",IF(F1154="",IFERROR(INDEX(eq_dur,MATCH(B1154,eq_code,0)),""),F1154))</f>
        <v/>
      </c>
      <c r="L1154" s="55" t="str">
        <f>IF(ISNUMBER(K1154),N(IFERROR(INDEX(eq_pause,MATCH(B1154,eq_code,0)),0))+SUMIFS(st_min,st_date,A1154,st_eq,B1154,st_po,C1154,st_type,"Planifié"),"")</f>
        <v/>
      </c>
      <c r="M1154" s="55" t="str">
        <f>IF(ISNUMBER(K1154),K1154-L1154,"")</f>
        <v/>
      </c>
      <c r="N1154" s="55" t="str">
        <f>IF(ISNUMBER(K1154),SUMIFS(st_min,st_date,A1154,st_eq,B1154,st_po,C1154,st_type,"Non planifié"),"")</f>
        <v/>
      </c>
      <c r="O1154" s="55" t="str">
        <f>IF(ISNUMBER(K1154),M1154-N1154,"")</f>
        <v/>
      </c>
      <c r="P1154" s="55" t="str">
        <f>IF(COUNTA(A1154:I1154)=0,"",N(G1154)+N(H1154)+N(I1154))</f>
        <v/>
      </c>
      <c r="Q1154" s="56" t="str">
        <f>IF(COUNTA(A1154:I1154)=0,"",IF(N(IFERROR(INDEX(art_rate,MATCH(E1154,art_ref,0)),0))&gt;0,N(IFERROR(INDEX(art_rate,MATCH(E1154,art_ref,0)),0)),N(IFERROR(INDEX(po_rate,MATCH(C1154,po_code,0)),0))))</f>
        <v/>
      </c>
      <c r="R1154" s="55" t="str">
        <f>IF(AC1154=1,P1154*60/Q1154,"")</f>
        <v/>
      </c>
      <c r="S1154" s="55" t="str">
        <f>IF(AC1154=1,N(G1154)*60/Q1154,"")</f>
        <v/>
      </c>
      <c r="T1154" s="57" t="str">
        <f>IF(AC1154=1,O1154/M1154,"")</f>
        <v/>
      </c>
      <c r="U1154" s="57" t="str">
        <f>IF(AC1154=1,IF(O1154&gt;0,R1154/O1154,""),"")</f>
        <v/>
      </c>
      <c r="V1154" s="57" t="str">
        <f>IF(AC1154=1,IF(P1154&gt;0,N(G1154)/P1154,""),"")</f>
        <v/>
      </c>
      <c r="W1154" s="57" t="str">
        <f>IF(AC1154=1,S1154/M1154,"")</f>
        <v/>
      </c>
      <c r="X1154" s="57" t="str">
        <f>IF(AC1154=1,S1154/K1154,"")</f>
        <v/>
      </c>
      <c r="Y1154" s="58" t="str">
        <f>IF(W1154="","",IF(W1154&gt;=p_target,"Bon",IF(W1154&gt;=p_alert,"À surveiller","Faible")))</f>
        <v/>
      </c>
      <c r="Z1154" s="58" t="str">
        <f>IF(W1154="","",IF(MIN(IF(T1154="",1,T1154),IF(U1154="",1,U1154),IF(V1154="",1,V1154))&gt;=1,"Aucune",IF(IF(T1154="",1,T1154)&lt;=MIN(IF(U1154="",1,U1154),IF(V1154="",1,V1154)),"Disponibilité",IF(IF(U1154="",1,U1154)&lt;=IF(V1154="",1,V1154),"Performance","Qualité"))))</f>
        <v/>
      </c>
      <c r="AA1154" s="59" t="str">
        <f>IF(AC1154=1,N(H1154)*N(IFERROR(INDEX(art_cost,MATCH(E1154,art_ref,0)),0)),"")</f>
        <v/>
      </c>
      <c r="AB1154" s="58" t="str">
        <f>IF(COUNTA(A1154:I1154)=0,"",IF(N(A1154)&lt;=0,"Date manquante ou invalide",IF(B1154="","Équipe manquante",IF(ISNA(MATCH(B1154,eq_code,0)),"Équipe inconnue",IF(INDEX(eq_check,MATCH(B1154,eq_code,0))&lt;&gt;"OK","Équipe à corriger dans Paramètres",IF(C1154="","Poste manquant",IF(ISNA(MATCH(C1154,po_code,0)),"Poste inconnu",IF(AND(E1154&lt;&gt;"",ISNA(MATCH(E1154,art_ref,0))),"Article inconnu",IF(IF(E1154="",FALSE,INDEX(art_check,MATCH(E1154,art_ref,0))&lt;&gt;"OK"),"Article à corriger (feuille Articles)",IF(COUNTIFS(sj_date,A1154,sj_eq,B1154,sj_po,C1154)&gt;1,"Ligne en double (même jour, équipe et poste)",IF(OR(NOT(ISNUMBER(K1154)),N(K1154)&lt;=0,N(K1154)&gt;1440),"Temps d'ouverture invalide",IF(OR(AND(G1154&lt;&gt;"",NOT(ISNUMBER(G1154))),N(G1154)&lt;0,N(G1154)&lt;&gt;INT(N(G1154)),AND(H1154&lt;&gt;"",NOT(ISNUMBER(H1154))),N(H1154)&lt;0,N(H1154)&lt;&gt;INT(N(H1154)),AND(I1154&lt;&gt;"",NOT(ISNUMBER(I1154))),N(I1154)&lt;0,N(I1154)&lt;&gt;INT(N(I1154))),"Quantité invalide",IF(Q1154&lt;=0,"Cadence manquante (poste ou article)",IF(M1154&lt;=0,"Arrêts planifiés supérieurs au temps d'ouverture",IF(O1154&lt;0,"Arrêts supérieurs au temps requis",IF(AND(P1154&gt;0,O1154=0),"Pièces déclarées sans temps de marche",IF(AND(P1154=0,O1154&gt;0),"Aucune pièce déclarée",IF(P1154*60/Q1154&gt;O1154+0.001,"Cadence dépassée : vérifiez la cadence","OK"))))))))))))))))))</f>
        <v/>
      </c>
      <c r="AC1154">
        <f>IF(OR(AB1154="OK",AB1154="Aucune pièce déclarée",AB1154="Cadence dépassée : vérifiez la cadence"),1,0)</f>
        <v>0.0</v>
      </c>
      <c r="AD1154">
        <f>IF(AND(AC1154=1,A1154&gt;=p_from,A1154&lt;=p_to),1,0)</f>
        <v>0.0</v>
      </c>
      <c r="AE1154">
        <f>IF(AD1154=1,IF(COUNTIFS($A$6:A1154,A1154,$AD$6:AD1154,1)=1,1,0),0)</f>
        <v>0.0</v>
      </c>
      <c r="AF1154" t="str">
        <f>IF(AE1154=1,COUNTIFS(sj_first,1,sj_date,"&lt;"&amp;A1154)+1,"")</f>
        <v/>
      </c>
      <c r="AG1154" t="str">
        <f>IF(AND(AD1154=1,N(W1154)&lt;p_alert),ROUND(W1154,4),"")</f>
        <v/>
      </c>
      <c r="AH1154" t="str">
        <f>IF(AG1154="","",COUNTIF(sj_akey,"&lt;"&amp;AG1154)+COUNTIF($AG$6:AG1154,AG1154))</f>
        <v/>
      </c>
    </row>
    <row r="1155">
      <c r="A1155" s="51" t="n"/>
      <c r="B1155" s="52" t="n"/>
      <c r="C1155" s="52" t="n"/>
      <c r="D1155" s="53" t="n"/>
      <c r="E1155" s="53" t="n"/>
      <c r="F1155" s="54" t="n"/>
      <c r="G1155" s="54" t="n"/>
      <c r="H1155" s="54" t="n"/>
      <c r="I1155" s="54" t="n"/>
      <c r="J1155" s="53" t="n"/>
      <c r="K1155" s="55" t="str">
        <f>IF(COUNTA(A1155:I1155)=0,"",IF(F1155="",IFERROR(INDEX(eq_dur,MATCH(B1155,eq_code,0)),""),F1155))</f>
        <v/>
      </c>
      <c r="L1155" s="55" t="str">
        <f>IF(ISNUMBER(K1155),N(IFERROR(INDEX(eq_pause,MATCH(B1155,eq_code,0)),0))+SUMIFS(st_min,st_date,A1155,st_eq,B1155,st_po,C1155,st_type,"Planifié"),"")</f>
        <v/>
      </c>
      <c r="M1155" s="55" t="str">
        <f>IF(ISNUMBER(K1155),K1155-L1155,"")</f>
        <v/>
      </c>
      <c r="N1155" s="55" t="str">
        <f>IF(ISNUMBER(K1155),SUMIFS(st_min,st_date,A1155,st_eq,B1155,st_po,C1155,st_type,"Non planifié"),"")</f>
        <v/>
      </c>
      <c r="O1155" s="55" t="str">
        <f>IF(ISNUMBER(K1155),M1155-N1155,"")</f>
        <v/>
      </c>
      <c r="P1155" s="55" t="str">
        <f>IF(COUNTA(A1155:I1155)=0,"",N(G1155)+N(H1155)+N(I1155))</f>
        <v/>
      </c>
      <c r="Q1155" s="56" t="str">
        <f>IF(COUNTA(A1155:I1155)=0,"",IF(N(IFERROR(INDEX(art_rate,MATCH(E1155,art_ref,0)),0))&gt;0,N(IFERROR(INDEX(art_rate,MATCH(E1155,art_ref,0)),0)),N(IFERROR(INDEX(po_rate,MATCH(C1155,po_code,0)),0))))</f>
        <v/>
      </c>
      <c r="R1155" s="55" t="str">
        <f>IF(AC1155=1,P1155*60/Q1155,"")</f>
        <v/>
      </c>
      <c r="S1155" s="55" t="str">
        <f>IF(AC1155=1,N(G1155)*60/Q1155,"")</f>
        <v/>
      </c>
      <c r="T1155" s="57" t="str">
        <f>IF(AC1155=1,O1155/M1155,"")</f>
        <v/>
      </c>
      <c r="U1155" s="57" t="str">
        <f>IF(AC1155=1,IF(O1155&gt;0,R1155/O1155,""),"")</f>
        <v/>
      </c>
      <c r="V1155" s="57" t="str">
        <f>IF(AC1155=1,IF(P1155&gt;0,N(G1155)/P1155,""),"")</f>
        <v/>
      </c>
      <c r="W1155" s="57" t="str">
        <f>IF(AC1155=1,S1155/M1155,"")</f>
        <v/>
      </c>
      <c r="X1155" s="57" t="str">
        <f>IF(AC1155=1,S1155/K1155,"")</f>
        <v/>
      </c>
      <c r="Y1155" s="58" t="str">
        <f>IF(W1155="","",IF(W1155&gt;=p_target,"Bon",IF(W1155&gt;=p_alert,"À surveiller","Faible")))</f>
        <v/>
      </c>
      <c r="Z1155" s="58" t="str">
        <f>IF(W1155="","",IF(MIN(IF(T1155="",1,T1155),IF(U1155="",1,U1155),IF(V1155="",1,V1155))&gt;=1,"Aucune",IF(IF(T1155="",1,T1155)&lt;=MIN(IF(U1155="",1,U1155),IF(V1155="",1,V1155)),"Disponibilité",IF(IF(U1155="",1,U1155)&lt;=IF(V1155="",1,V1155),"Performance","Qualité"))))</f>
        <v/>
      </c>
      <c r="AA1155" s="59" t="str">
        <f>IF(AC1155=1,N(H1155)*N(IFERROR(INDEX(art_cost,MATCH(E1155,art_ref,0)),0)),"")</f>
        <v/>
      </c>
      <c r="AB1155" s="58" t="str">
        <f>IF(COUNTA(A1155:I1155)=0,"",IF(N(A1155)&lt;=0,"Date manquante ou invalide",IF(B1155="","Équipe manquante",IF(ISNA(MATCH(B1155,eq_code,0)),"Équipe inconnue",IF(INDEX(eq_check,MATCH(B1155,eq_code,0))&lt;&gt;"OK","Équipe à corriger dans Paramètres",IF(C1155="","Poste manquant",IF(ISNA(MATCH(C1155,po_code,0)),"Poste inconnu",IF(AND(E1155&lt;&gt;"",ISNA(MATCH(E1155,art_ref,0))),"Article inconnu",IF(IF(E1155="",FALSE,INDEX(art_check,MATCH(E1155,art_ref,0))&lt;&gt;"OK"),"Article à corriger (feuille Articles)",IF(COUNTIFS(sj_date,A1155,sj_eq,B1155,sj_po,C1155)&gt;1,"Ligne en double (même jour, équipe et poste)",IF(OR(NOT(ISNUMBER(K1155)),N(K1155)&lt;=0,N(K1155)&gt;1440),"Temps d'ouverture invalide",IF(OR(AND(G1155&lt;&gt;"",NOT(ISNUMBER(G1155))),N(G1155)&lt;0,N(G1155)&lt;&gt;INT(N(G1155)),AND(H1155&lt;&gt;"",NOT(ISNUMBER(H1155))),N(H1155)&lt;0,N(H1155)&lt;&gt;INT(N(H1155)),AND(I1155&lt;&gt;"",NOT(ISNUMBER(I1155))),N(I1155)&lt;0,N(I1155)&lt;&gt;INT(N(I1155))),"Quantité invalide",IF(Q1155&lt;=0,"Cadence manquante (poste ou article)",IF(M1155&lt;=0,"Arrêts planifiés supérieurs au temps d'ouverture",IF(O1155&lt;0,"Arrêts supérieurs au temps requis",IF(AND(P1155&gt;0,O1155=0),"Pièces déclarées sans temps de marche",IF(AND(P1155=0,O1155&gt;0),"Aucune pièce déclarée",IF(P1155*60/Q1155&gt;O1155+0.001,"Cadence dépassée : vérifiez la cadence","OK"))))))))))))))))))</f>
        <v/>
      </c>
      <c r="AC1155">
        <f>IF(OR(AB1155="OK",AB1155="Aucune pièce déclarée",AB1155="Cadence dépassée : vérifiez la cadence"),1,0)</f>
        <v>0.0</v>
      </c>
      <c r="AD1155">
        <f>IF(AND(AC1155=1,A1155&gt;=p_from,A1155&lt;=p_to),1,0)</f>
        <v>0.0</v>
      </c>
      <c r="AE1155">
        <f>IF(AD1155=1,IF(COUNTIFS($A$6:A1155,A1155,$AD$6:AD1155,1)=1,1,0),0)</f>
        <v>0.0</v>
      </c>
      <c r="AF1155" t="str">
        <f>IF(AE1155=1,COUNTIFS(sj_first,1,sj_date,"&lt;"&amp;A1155)+1,"")</f>
        <v/>
      </c>
      <c r="AG1155" t="str">
        <f>IF(AND(AD1155=1,N(W1155)&lt;p_alert),ROUND(W1155,4),"")</f>
        <v/>
      </c>
      <c r="AH1155" t="str">
        <f>IF(AG1155="","",COUNTIF(sj_akey,"&lt;"&amp;AG1155)+COUNTIF($AG$6:AG1155,AG1155))</f>
        <v/>
      </c>
    </row>
    <row r="1156">
      <c r="A1156" s="51" t="n"/>
      <c r="B1156" s="52" t="n"/>
      <c r="C1156" s="52" t="n"/>
      <c r="D1156" s="53" t="n"/>
      <c r="E1156" s="53" t="n"/>
      <c r="F1156" s="54" t="n"/>
      <c r="G1156" s="54" t="n"/>
      <c r="H1156" s="54" t="n"/>
      <c r="I1156" s="54" t="n"/>
      <c r="J1156" s="53" t="n"/>
      <c r="K1156" s="55" t="str">
        <f>IF(COUNTA(A1156:I1156)=0,"",IF(F1156="",IFERROR(INDEX(eq_dur,MATCH(B1156,eq_code,0)),""),F1156))</f>
        <v/>
      </c>
      <c r="L1156" s="55" t="str">
        <f>IF(ISNUMBER(K1156),N(IFERROR(INDEX(eq_pause,MATCH(B1156,eq_code,0)),0))+SUMIFS(st_min,st_date,A1156,st_eq,B1156,st_po,C1156,st_type,"Planifié"),"")</f>
        <v/>
      </c>
      <c r="M1156" s="55" t="str">
        <f>IF(ISNUMBER(K1156),K1156-L1156,"")</f>
        <v/>
      </c>
      <c r="N1156" s="55" t="str">
        <f>IF(ISNUMBER(K1156),SUMIFS(st_min,st_date,A1156,st_eq,B1156,st_po,C1156,st_type,"Non planifié"),"")</f>
        <v/>
      </c>
      <c r="O1156" s="55" t="str">
        <f>IF(ISNUMBER(K1156),M1156-N1156,"")</f>
        <v/>
      </c>
      <c r="P1156" s="55" t="str">
        <f>IF(COUNTA(A1156:I1156)=0,"",N(G1156)+N(H1156)+N(I1156))</f>
        <v/>
      </c>
      <c r="Q1156" s="56" t="str">
        <f>IF(COUNTA(A1156:I1156)=0,"",IF(N(IFERROR(INDEX(art_rate,MATCH(E1156,art_ref,0)),0))&gt;0,N(IFERROR(INDEX(art_rate,MATCH(E1156,art_ref,0)),0)),N(IFERROR(INDEX(po_rate,MATCH(C1156,po_code,0)),0))))</f>
        <v/>
      </c>
      <c r="R1156" s="55" t="str">
        <f>IF(AC1156=1,P1156*60/Q1156,"")</f>
        <v/>
      </c>
      <c r="S1156" s="55" t="str">
        <f>IF(AC1156=1,N(G1156)*60/Q1156,"")</f>
        <v/>
      </c>
      <c r="T1156" s="57" t="str">
        <f>IF(AC1156=1,O1156/M1156,"")</f>
        <v/>
      </c>
      <c r="U1156" s="57" t="str">
        <f>IF(AC1156=1,IF(O1156&gt;0,R1156/O1156,""),"")</f>
        <v/>
      </c>
      <c r="V1156" s="57" t="str">
        <f>IF(AC1156=1,IF(P1156&gt;0,N(G1156)/P1156,""),"")</f>
        <v/>
      </c>
      <c r="W1156" s="57" t="str">
        <f>IF(AC1156=1,S1156/M1156,"")</f>
        <v/>
      </c>
      <c r="X1156" s="57" t="str">
        <f>IF(AC1156=1,S1156/K1156,"")</f>
        <v/>
      </c>
      <c r="Y1156" s="58" t="str">
        <f>IF(W1156="","",IF(W1156&gt;=p_target,"Bon",IF(W1156&gt;=p_alert,"À surveiller","Faible")))</f>
        <v/>
      </c>
      <c r="Z1156" s="58" t="str">
        <f>IF(W1156="","",IF(MIN(IF(T1156="",1,T1156),IF(U1156="",1,U1156),IF(V1156="",1,V1156))&gt;=1,"Aucune",IF(IF(T1156="",1,T1156)&lt;=MIN(IF(U1156="",1,U1156),IF(V1156="",1,V1156)),"Disponibilité",IF(IF(U1156="",1,U1156)&lt;=IF(V1156="",1,V1156),"Performance","Qualité"))))</f>
        <v/>
      </c>
      <c r="AA1156" s="59" t="str">
        <f>IF(AC1156=1,N(H1156)*N(IFERROR(INDEX(art_cost,MATCH(E1156,art_ref,0)),0)),"")</f>
        <v/>
      </c>
      <c r="AB1156" s="58" t="str">
        <f>IF(COUNTA(A1156:I1156)=0,"",IF(N(A1156)&lt;=0,"Date manquante ou invalide",IF(B1156="","Équipe manquante",IF(ISNA(MATCH(B1156,eq_code,0)),"Équipe inconnue",IF(INDEX(eq_check,MATCH(B1156,eq_code,0))&lt;&gt;"OK","Équipe à corriger dans Paramètres",IF(C1156="","Poste manquant",IF(ISNA(MATCH(C1156,po_code,0)),"Poste inconnu",IF(AND(E1156&lt;&gt;"",ISNA(MATCH(E1156,art_ref,0))),"Article inconnu",IF(IF(E1156="",FALSE,INDEX(art_check,MATCH(E1156,art_ref,0))&lt;&gt;"OK"),"Article à corriger (feuille Articles)",IF(COUNTIFS(sj_date,A1156,sj_eq,B1156,sj_po,C1156)&gt;1,"Ligne en double (même jour, équipe et poste)",IF(OR(NOT(ISNUMBER(K1156)),N(K1156)&lt;=0,N(K1156)&gt;1440),"Temps d'ouverture invalide",IF(OR(AND(G1156&lt;&gt;"",NOT(ISNUMBER(G1156))),N(G1156)&lt;0,N(G1156)&lt;&gt;INT(N(G1156)),AND(H1156&lt;&gt;"",NOT(ISNUMBER(H1156))),N(H1156)&lt;0,N(H1156)&lt;&gt;INT(N(H1156)),AND(I1156&lt;&gt;"",NOT(ISNUMBER(I1156))),N(I1156)&lt;0,N(I1156)&lt;&gt;INT(N(I1156))),"Quantité invalide",IF(Q1156&lt;=0,"Cadence manquante (poste ou article)",IF(M1156&lt;=0,"Arrêts planifiés supérieurs au temps d'ouverture",IF(O1156&lt;0,"Arrêts supérieurs au temps requis",IF(AND(P1156&gt;0,O1156=0),"Pièces déclarées sans temps de marche",IF(AND(P1156=0,O1156&gt;0),"Aucune pièce déclarée",IF(P1156*60/Q1156&gt;O1156+0.001,"Cadence dépassée : vérifiez la cadence","OK"))))))))))))))))))</f>
        <v/>
      </c>
      <c r="AC1156">
        <f>IF(OR(AB1156="OK",AB1156="Aucune pièce déclarée",AB1156="Cadence dépassée : vérifiez la cadence"),1,0)</f>
        <v>0.0</v>
      </c>
      <c r="AD1156">
        <f>IF(AND(AC1156=1,A1156&gt;=p_from,A1156&lt;=p_to),1,0)</f>
        <v>0.0</v>
      </c>
      <c r="AE1156">
        <f>IF(AD1156=1,IF(COUNTIFS($A$6:A1156,A1156,$AD$6:AD1156,1)=1,1,0),0)</f>
        <v>0.0</v>
      </c>
      <c r="AF1156" t="str">
        <f>IF(AE1156=1,COUNTIFS(sj_first,1,sj_date,"&lt;"&amp;A1156)+1,"")</f>
        <v/>
      </c>
      <c r="AG1156" t="str">
        <f>IF(AND(AD1156=1,N(W1156)&lt;p_alert),ROUND(W1156,4),"")</f>
        <v/>
      </c>
      <c r="AH1156" t="str">
        <f>IF(AG1156="","",COUNTIF(sj_akey,"&lt;"&amp;AG1156)+COUNTIF($AG$6:AG1156,AG1156))</f>
        <v/>
      </c>
    </row>
    <row r="1157">
      <c r="A1157" s="51" t="n"/>
      <c r="B1157" s="52" t="n"/>
      <c r="C1157" s="52" t="n"/>
      <c r="D1157" s="53" t="n"/>
      <c r="E1157" s="53" t="n"/>
      <c r="F1157" s="54" t="n"/>
      <c r="G1157" s="54" t="n"/>
      <c r="H1157" s="54" t="n"/>
      <c r="I1157" s="54" t="n"/>
      <c r="J1157" s="53" t="n"/>
      <c r="K1157" s="55" t="str">
        <f>IF(COUNTA(A1157:I1157)=0,"",IF(F1157="",IFERROR(INDEX(eq_dur,MATCH(B1157,eq_code,0)),""),F1157))</f>
        <v/>
      </c>
      <c r="L1157" s="55" t="str">
        <f>IF(ISNUMBER(K1157),N(IFERROR(INDEX(eq_pause,MATCH(B1157,eq_code,0)),0))+SUMIFS(st_min,st_date,A1157,st_eq,B1157,st_po,C1157,st_type,"Planifié"),"")</f>
        <v/>
      </c>
      <c r="M1157" s="55" t="str">
        <f>IF(ISNUMBER(K1157),K1157-L1157,"")</f>
        <v/>
      </c>
      <c r="N1157" s="55" t="str">
        <f>IF(ISNUMBER(K1157),SUMIFS(st_min,st_date,A1157,st_eq,B1157,st_po,C1157,st_type,"Non planifié"),"")</f>
        <v/>
      </c>
      <c r="O1157" s="55" t="str">
        <f>IF(ISNUMBER(K1157),M1157-N1157,"")</f>
        <v/>
      </c>
      <c r="P1157" s="55" t="str">
        <f>IF(COUNTA(A1157:I1157)=0,"",N(G1157)+N(H1157)+N(I1157))</f>
        <v/>
      </c>
      <c r="Q1157" s="56" t="str">
        <f>IF(COUNTA(A1157:I1157)=0,"",IF(N(IFERROR(INDEX(art_rate,MATCH(E1157,art_ref,0)),0))&gt;0,N(IFERROR(INDEX(art_rate,MATCH(E1157,art_ref,0)),0)),N(IFERROR(INDEX(po_rate,MATCH(C1157,po_code,0)),0))))</f>
        <v/>
      </c>
      <c r="R1157" s="55" t="str">
        <f>IF(AC1157=1,P1157*60/Q1157,"")</f>
        <v/>
      </c>
      <c r="S1157" s="55" t="str">
        <f>IF(AC1157=1,N(G1157)*60/Q1157,"")</f>
        <v/>
      </c>
      <c r="T1157" s="57" t="str">
        <f>IF(AC1157=1,O1157/M1157,"")</f>
        <v/>
      </c>
      <c r="U1157" s="57" t="str">
        <f>IF(AC1157=1,IF(O1157&gt;0,R1157/O1157,""),"")</f>
        <v/>
      </c>
      <c r="V1157" s="57" t="str">
        <f>IF(AC1157=1,IF(P1157&gt;0,N(G1157)/P1157,""),"")</f>
        <v/>
      </c>
      <c r="W1157" s="57" t="str">
        <f>IF(AC1157=1,S1157/M1157,"")</f>
        <v/>
      </c>
      <c r="X1157" s="57" t="str">
        <f>IF(AC1157=1,S1157/K1157,"")</f>
        <v/>
      </c>
      <c r="Y1157" s="58" t="str">
        <f>IF(W1157="","",IF(W1157&gt;=p_target,"Bon",IF(W1157&gt;=p_alert,"À surveiller","Faible")))</f>
        <v/>
      </c>
      <c r="Z1157" s="58" t="str">
        <f>IF(W1157="","",IF(MIN(IF(T1157="",1,T1157),IF(U1157="",1,U1157),IF(V1157="",1,V1157))&gt;=1,"Aucune",IF(IF(T1157="",1,T1157)&lt;=MIN(IF(U1157="",1,U1157),IF(V1157="",1,V1157)),"Disponibilité",IF(IF(U1157="",1,U1157)&lt;=IF(V1157="",1,V1157),"Performance","Qualité"))))</f>
        <v/>
      </c>
      <c r="AA1157" s="59" t="str">
        <f>IF(AC1157=1,N(H1157)*N(IFERROR(INDEX(art_cost,MATCH(E1157,art_ref,0)),0)),"")</f>
        <v/>
      </c>
      <c r="AB1157" s="58" t="str">
        <f>IF(COUNTA(A1157:I1157)=0,"",IF(N(A1157)&lt;=0,"Date manquante ou invalide",IF(B1157="","Équipe manquante",IF(ISNA(MATCH(B1157,eq_code,0)),"Équipe inconnue",IF(INDEX(eq_check,MATCH(B1157,eq_code,0))&lt;&gt;"OK","Équipe à corriger dans Paramètres",IF(C1157="","Poste manquant",IF(ISNA(MATCH(C1157,po_code,0)),"Poste inconnu",IF(AND(E1157&lt;&gt;"",ISNA(MATCH(E1157,art_ref,0))),"Article inconnu",IF(IF(E1157="",FALSE,INDEX(art_check,MATCH(E1157,art_ref,0))&lt;&gt;"OK"),"Article à corriger (feuille Articles)",IF(COUNTIFS(sj_date,A1157,sj_eq,B1157,sj_po,C1157)&gt;1,"Ligne en double (même jour, équipe et poste)",IF(OR(NOT(ISNUMBER(K1157)),N(K1157)&lt;=0,N(K1157)&gt;1440),"Temps d'ouverture invalide",IF(OR(AND(G1157&lt;&gt;"",NOT(ISNUMBER(G1157))),N(G1157)&lt;0,N(G1157)&lt;&gt;INT(N(G1157)),AND(H1157&lt;&gt;"",NOT(ISNUMBER(H1157))),N(H1157)&lt;0,N(H1157)&lt;&gt;INT(N(H1157)),AND(I1157&lt;&gt;"",NOT(ISNUMBER(I1157))),N(I1157)&lt;0,N(I1157)&lt;&gt;INT(N(I1157))),"Quantité invalide",IF(Q1157&lt;=0,"Cadence manquante (poste ou article)",IF(M1157&lt;=0,"Arrêts planifiés supérieurs au temps d'ouverture",IF(O1157&lt;0,"Arrêts supérieurs au temps requis",IF(AND(P1157&gt;0,O1157=0),"Pièces déclarées sans temps de marche",IF(AND(P1157=0,O1157&gt;0),"Aucune pièce déclarée",IF(P1157*60/Q1157&gt;O1157+0.001,"Cadence dépassée : vérifiez la cadence","OK"))))))))))))))))))</f>
        <v/>
      </c>
      <c r="AC1157">
        <f>IF(OR(AB1157="OK",AB1157="Aucune pièce déclarée",AB1157="Cadence dépassée : vérifiez la cadence"),1,0)</f>
        <v>0.0</v>
      </c>
      <c r="AD1157">
        <f>IF(AND(AC1157=1,A1157&gt;=p_from,A1157&lt;=p_to),1,0)</f>
        <v>0.0</v>
      </c>
      <c r="AE1157">
        <f>IF(AD1157=1,IF(COUNTIFS($A$6:A1157,A1157,$AD$6:AD1157,1)=1,1,0),0)</f>
        <v>0.0</v>
      </c>
      <c r="AF1157" t="str">
        <f>IF(AE1157=1,COUNTIFS(sj_first,1,sj_date,"&lt;"&amp;A1157)+1,"")</f>
        <v/>
      </c>
      <c r="AG1157" t="str">
        <f>IF(AND(AD1157=1,N(W1157)&lt;p_alert),ROUND(W1157,4),"")</f>
        <v/>
      </c>
      <c r="AH1157" t="str">
        <f>IF(AG1157="","",COUNTIF(sj_akey,"&lt;"&amp;AG1157)+COUNTIF($AG$6:AG1157,AG1157))</f>
        <v/>
      </c>
    </row>
    <row r="1158">
      <c r="A1158" s="51" t="n"/>
      <c r="B1158" s="52" t="n"/>
      <c r="C1158" s="52" t="n"/>
      <c r="D1158" s="53" t="n"/>
      <c r="E1158" s="53" t="n"/>
      <c r="F1158" s="54" t="n"/>
      <c r="G1158" s="54" t="n"/>
      <c r="H1158" s="54" t="n"/>
      <c r="I1158" s="54" t="n"/>
      <c r="J1158" s="53" t="n"/>
      <c r="K1158" s="55" t="str">
        <f>IF(COUNTA(A1158:I1158)=0,"",IF(F1158="",IFERROR(INDEX(eq_dur,MATCH(B1158,eq_code,0)),""),F1158))</f>
        <v/>
      </c>
      <c r="L1158" s="55" t="str">
        <f>IF(ISNUMBER(K1158),N(IFERROR(INDEX(eq_pause,MATCH(B1158,eq_code,0)),0))+SUMIFS(st_min,st_date,A1158,st_eq,B1158,st_po,C1158,st_type,"Planifié"),"")</f>
        <v/>
      </c>
      <c r="M1158" s="55" t="str">
        <f>IF(ISNUMBER(K1158),K1158-L1158,"")</f>
        <v/>
      </c>
      <c r="N1158" s="55" t="str">
        <f>IF(ISNUMBER(K1158),SUMIFS(st_min,st_date,A1158,st_eq,B1158,st_po,C1158,st_type,"Non planifié"),"")</f>
        <v/>
      </c>
      <c r="O1158" s="55" t="str">
        <f>IF(ISNUMBER(K1158),M1158-N1158,"")</f>
        <v/>
      </c>
      <c r="P1158" s="55" t="str">
        <f>IF(COUNTA(A1158:I1158)=0,"",N(G1158)+N(H1158)+N(I1158))</f>
        <v/>
      </c>
      <c r="Q1158" s="56" t="str">
        <f>IF(COUNTA(A1158:I1158)=0,"",IF(N(IFERROR(INDEX(art_rate,MATCH(E1158,art_ref,0)),0))&gt;0,N(IFERROR(INDEX(art_rate,MATCH(E1158,art_ref,0)),0)),N(IFERROR(INDEX(po_rate,MATCH(C1158,po_code,0)),0))))</f>
        <v/>
      </c>
      <c r="R1158" s="55" t="str">
        <f>IF(AC1158=1,P1158*60/Q1158,"")</f>
        <v/>
      </c>
      <c r="S1158" s="55" t="str">
        <f>IF(AC1158=1,N(G1158)*60/Q1158,"")</f>
        <v/>
      </c>
      <c r="T1158" s="57" t="str">
        <f>IF(AC1158=1,O1158/M1158,"")</f>
        <v/>
      </c>
      <c r="U1158" s="57" t="str">
        <f>IF(AC1158=1,IF(O1158&gt;0,R1158/O1158,""),"")</f>
        <v/>
      </c>
      <c r="V1158" s="57" t="str">
        <f>IF(AC1158=1,IF(P1158&gt;0,N(G1158)/P1158,""),"")</f>
        <v/>
      </c>
      <c r="W1158" s="57" t="str">
        <f>IF(AC1158=1,S1158/M1158,"")</f>
        <v/>
      </c>
      <c r="X1158" s="57" t="str">
        <f>IF(AC1158=1,S1158/K1158,"")</f>
        <v/>
      </c>
      <c r="Y1158" s="58" t="str">
        <f>IF(W1158="","",IF(W1158&gt;=p_target,"Bon",IF(W1158&gt;=p_alert,"À surveiller","Faible")))</f>
        <v/>
      </c>
      <c r="Z1158" s="58" t="str">
        <f>IF(W1158="","",IF(MIN(IF(T1158="",1,T1158),IF(U1158="",1,U1158),IF(V1158="",1,V1158))&gt;=1,"Aucune",IF(IF(T1158="",1,T1158)&lt;=MIN(IF(U1158="",1,U1158),IF(V1158="",1,V1158)),"Disponibilité",IF(IF(U1158="",1,U1158)&lt;=IF(V1158="",1,V1158),"Performance","Qualité"))))</f>
        <v/>
      </c>
      <c r="AA1158" s="59" t="str">
        <f>IF(AC1158=1,N(H1158)*N(IFERROR(INDEX(art_cost,MATCH(E1158,art_ref,0)),0)),"")</f>
        <v/>
      </c>
      <c r="AB1158" s="58" t="str">
        <f>IF(COUNTA(A1158:I1158)=0,"",IF(N(A1158)&lt;=0,"Date manquante ou invalide",IF(B1158="","Équipe manquante",IF(ISNA(MATCH(B1158,eq_code,0)),"Équipe inconnue",IF(INDEX(eq_check,MATCH(B1158,eq_code,0))&lt;&gt;"OK","Équipe à corriger dans Paramètres",IF(C1158="","Poste manquant",IF(ISNA(MATCH(C1158,po_code,0)),"Poste inconnu",IF(AND(E1158&lt;&gt;"",ISNA(MATCH(E1158,art_ref,0))),"Article inconnu",IF(IF(E1158="",FALSE,INDEX(art_check,MATCH(E1158,art_ref,0))&lt;&gt;"OK"),"Article à corriger (feuille Articles)",IF(COUNTIFS(sj_date,A1158,sj_eq,B1158,sj_po,C1158)&gt;1,"Ligne en double (même jour, équipe et poste)",IF(OR(NOT(ISNUMBER(K1158)),N(K1158)&lt;=0,N(K1158)&gt;1440),"Temps d'ouverture invalide",IF(OR(AND(G1158&lt;&gt;"",NOT(ISNUMBER(G1158))),N(G1158)&lt;0,N(G1158)&lt;&gt;INT(N(G1158)),AND(H1158&lt;&gt;"",NOT(ISNUMBER(H1158))),N(H1158)&lt;0,N(H1158)&lt;&gt;INT(N(H1158)),AND(I1158&lt;&gt;"",NOT(ISNUMBER(I1158))),N(I1158)&lt;0,N(I1158)&lt;&gt;INT(N(I1158))),"Quantité invalide",IF(Q1158&lt;=0,"Cadence manquante (poste ou article)",IF(M1158&lt;=0,"Arrêts planifiés supérieurs au temps d'ouverture",IF(O1158&lt;0,"Arrêts supérieurs au temps requis",IF(AND(P1158&gt;0,O1158=0),"Pièces déclarées sans temps de marche",IF(AND(P1158=0,O1158&gt;0),"Aucune pièce déclarée",IF(P1158*60/Q1158&gt;O1158+0.001,"Cadence dépassée : vérifiez la cadence","OK"))))))))))))))))))</f>
        <v/>
      </c>
      <c r="AC1158">
        <f>IF(OR(AB1158="OK",AB1158="Aucune pièce déclarée",AB1158="Cadence dépassée : vérifiez la cadence"),1,0)</f>
        <v>0.0</v>
      </c>
      <c r="AD1158">
        <f>IF(AND(AC1158=1,A1158&gt;=p_from,A1158&lt;=p_to),1,0)</f>
        <v>0.0</v>
      </c>
      <c r="AE1158">
        <f>IF(AD1158=1,IF(COUNTIFS($A$6:A1158,A1158,$AD$6:AD1158,1)=1,1,0),0)</f>
        <v>0.0</v>
      </c>
      <c r="AF1158" t="str">
        <f>IF(AE1158=1,COUNTIFS(sj_first,1,sj_date,"&lt;"&amp;A1158)+1,"")</f>
        <v/>
      </c>
      <c r="AG1158" t="str">
        <f>IF(AND(AD1158=1,N(W1158)&lt;p_alert),ROUND(W1158,4),"")</f>
        <v/>
      </c>
      <c r="AH1158" t="str">
        <f>IF(AG1158="","",COUNTIF(sj_akey,"&lt;"&amp;AG1158)+COUNTIF($AG$6:AG1158,AG1158))</f>
        <v/>
      </c>
    </row>
    <row r="1159">
      <c r="A1159" s="51" t="n"/>
      <c r="B1159" s="52" t="n"/>
      <c r="C1159" s="52" t="n"/>
      <c r="D1159" s="53" t="n"/>
      <c r="E1159" s="53" t="n"/>
      <c r="F1159" s="54" t="n"/>
      <c r="G1159" s="54" t="n"/>
      <c r="H1159" s="54" t="n"/>
      <c r="I1159" s="54" t="n"/>
      <c r="J1159" s="53" t="n"/>
      <c r="K1159" s="55" t="str">
        <f>IF(COUNTA(A1159:I1159)=0,"",IF(F1159="",IFERROR(INDEX(eq_dur,MATCH(B1159,eq_code,0)),""),F1159))</f>
        <v/>
      </c>
      <c r="L1159" s="55" t="str">
        <f>IF(ISNUMBER(K1159),N(IFERROR(INDEX(eq_pause,MATCH(B1159,eq_code,0)),0))+SUMIFS(st_min,st_date,A1159,st_eq,B1159,st_po,C1159,st_type,"Planifié"),"")</f>
        <v/>
      </c>
      <c r="M1159" s="55" t="str">
        <f>IF(ISNUMBER(K1159),K1159-L1159,"")</f>
        <v/>
      </c>
      <c r="N1159" s="55" t="str">
        <f>IF(ISNUMBER(K1159),SUMIFS(st_min,st_date,A1159,st_eq,B1159,st_po,C1159,st_type,"Non planifié"),"")</f>
        <v/>
      </c>
      <c r="O1159" s="55" t="str">
        <f>IF(ISNUMBER(K1159),M1159-N1159,"")</f>
        <v/>
      </c>
      <c r="P1159" s="55" t="str">
        <f>IF(COUNTA(A1159:I1159)=0,"",N(G1159)+N(H1159)+N(I1159))</f>
        <v/>
      </c>
      <c r="Q1159" s="56" t="str">
        <f>IF(COUNTA(A1159:I1159)=0,"",IF(N(IFERROR(INDEX(art_rate,MATCH(E1159,art_ref,0)),0))&gt;0,N(IFERROR(INDEX(art_rate,MATCH(E1159,art_ref,0)),0)),N(IFERROR(INDEX(po_rate,MATCH(C1159,po_code,0)),0))))</f>
        <v/>
      </c>
      <c r="R1159" s="55" t="str">
        <f>IF(AC1159=1,P1159*60/Q1159,"")</f>
        <v/>
      </c>
      <c r="S1159" s="55" t="str">
        <f>IF(AC1159=1,N(G1159)*60/Q1159,"")</f>
        <v/>
      </c>
      <c r="T1159" s="57" t="str">
        <f>IF(AC1159=1,O1159/M1159,"")</f>
        <v/>
      </c>
      <c r="U1159" s="57" t="str">
        <f>IF(AC1159=1,IF(O1159&gt;0,R1159/O1159,""),"")</f>
        <v/>
      </c>
      <c r="V1159" s="57" t="str">
        <f>IF(AC1159=1,IF(P1159&gt;0,N(G1159)/P1159,""),"")</f>
        <v/>
      </c>
      <c r="W1159" s="57" t="str">
        <f>IF(AC1159=1,S1159/M1159,"")</f>
        <v/>
      </c>
      <c r="X1159" s="57" t="str">
        <f>IF(AC1159=1,S1159/K1159,"")</f>
        <v/>
      </c>
      <c r="Y1159" s="58" t="str">
        <f>IF(W1159="","",IF(W1159&gt;=p_target,"Bon",IF(W1159&gt;=p_alert,"À surveiller","Faible")))</f>
        <v/>
      </c>
      <c r="Z1159" s="58" t="str">
        <f>IF(W1159="","",IF(MIN(IF(T1159="",1,T1159),IF(U1159="",1,U1159),IF(V1159="",1,V1159))&gt;=1,"Aucune",IF(IF(T1159="",1,T1159)&lt;=MIN(IF(U1159="",1,U1159),IF(V1159="",1,V1159)),"Disponibilité",IF(IF(U1159="",1,U1159)&lt;=IF(V1159="",1,V1159),"Performance","Qualité"))))</f>
        <v/>
      </c>
      <c r="AA1159" s="59" t="str">
        <f>IF(AC1159=1,N(H1159)*N(IFERROR(INDEX(art_cost,MATCH(E1159,art_ref,0)),0)),"")</f>
        <v/>
      </c>
      <c r="AB1159" s="58" t="str">
        <f>IF(COUNTA(A1159:I1159)=0,"",IF(N(A1159)&lt;=0,"Date manquante ou invalide",IF(B1159="","Équipe manquante",IF(ISNA(MATCH(B1159,eq_code,0)),"Équipe inconnue",IF(INDEX(eq_check,MATCH(B1159,eq_code,0))&lt;&gt;"OK","Équipe à corriger dans Paramètres",IF(C1159="","Poste manquant",IF(ISNA(MATCH(C1159,po_code,0)),"Poste inconnu",IF(AND(E1159&lt;&gt;"",ISNA(MATCH(E1159,art_ref,0))),"Article inconnu",IF(IF(E1159="",FALSE,INDEX(art_check,MATCH(E1159,art_ref,0))&lt;&gt;"OK"),"Article à corriger (feuille Articles)",IF(COUNTIFS(sj_date,A1159,sj_eq,B1159,sj_po,C1159)&gt;1,"Ligne en double (même jour, équipe et poste)",IF(OR(NOT(ISNUMBER(K1159)),N(K1159)&lt;=0,N(K1159)&gt;1440),"Temps d'ouverture invalide",IF(OR(AND(G1159&lt;&gt;"",NOT(ISNUMBER(G1159))),N(G1159)&lt;0,N(G1159)&lt;&gt;INT(N(G1159)),AND(H1159&lt;&gt;"",NOT(ISNUMBER(H1159))),N(H1159)&lt;0,N(H1159)&lt;&gt;INT(N(H1159)),AND(I1159&lt;&gt;"",NOT(ISNUMBER(I1159))),N(I1159)&lt;0,N(I1159)&lt;&gt;INT(N(I1159))),"Quantité invalide",IF(Q1159&lt;=0,"Cadence manquante (poste ou article)",IF(M1159&lt;=0,"Arrêts planifiés supérieurs au temps d'ouverture",IF(O1159&lt;0,"Arrêts supérieurs au temps requis",IF(AND(P1159&gt;0,O1159=0),"Pièces déclarées sans temps de marche",IF(AND(P1159=0,O1159&gt;0),"Aucune pièce déclarée",IF(P1159*60/Q1159&gt;O1159+0.001,"Cadence dépassée : vérifiez la cadence","OK"))))))))))))))))))</f>
        <v/>
      </c>
      <c r="AC1159">
        <f>IF(OR(AB1159="OK",AB1159="Aucune pièce déclarée",AB1159="Cadence dépassée : vérifiez la cadence"),1,0)</f>
        <v>0.0</v>
      </c>
      <c r="AD1159">
        <f>IF(AND(AC1159=1,A1159&gt;=p_from,A1159&lt;=p_to),1,0)</f>
        <v>0.0</v>
      </c>
      <c r="AE1159">
        <f>IF(AD1159=1,IF(COUNTIFS($A$6:A1159,A1159,$AD$6:AD1159,1)=1,1,0),0)</f>
        <v>0.0</v>
      </c>
      <c r="AF1159" t="str">
        <f>IF(AE1159=1,COUNTIFS(sj_first,1,sj_date,"&lt;"&amp;A1159)+1,"")</f>
        <v/>
      </c>
      <c r="AG1159" t="str">
        <f>IF(AND(AD1159=1,N(W1159)&lt;p_alert),ROUND(W1159,4),"")</f>
        <v/>
      </c>
      <c r="AH1159" t="str">
        <f>IF(AG1159="","",COUNTIF(sj_akey,"&lt;"&amp;AG1159)+COUNTIF($AG$6:AG1159,AG1159))</f>
        <v/>
      </c>
    </row>
    <row r="1160">
      <c r="A1160" s="51" t="n"/>
      <c r="B1160" s="52" t="n"/>
      <c r="C1160" s="52" t="n"/>
      <c r="D1160" s="53" t="n"/>
      <c r="E1160" s="53" t="n"/>
      <c r="F1160" s="54" t="n"/>
      <c r="G1160" s="54" t="n"/>
      <c r="H1160" s="54" t="n"/>
      <c r="I1160" s="54" t="n"/>
      <c r="J1160" s="53" t="n"/>
      <c r="K1160" s="55" t="str">
        <f>IF(COUNTA(A1160:I1160)=0,"",IF(F1160="",IFERROR(INDEX(eq_dur,MATCH(B1160,eq_code,0)),""),F1160))</f>
        <v/>
      </c>
      <c r="L1160" s="55" t="str">
        <f>IF(ISNUMBER(K1160),N(IFERROR(INDEX(eq_pause,MATCH(B1160,eq_code,0)),0))+SUMIFS(st_min,st_date,A1160,st_eq,B1160,st_po,C1160,st_type,"Planifié"),"")</f>
        <v/>
      </c>
      <c r="M1160" s="55" t="str">
        <f>IF(ISNUMBER(K1160),K1160-L1160,"")</f>
        <v/>
      </c>
      <c r="N1160" s="55" t="str">
        <f>IF(ISNUMBER(K1160),SUMIFS(st_min,st_date,A1160,st_eq,B1160,st_po,C1160,st_type,"Non planifié"),"")</f>
        <v/>
      </c>
      <c r="O1160" s="55" t="str">
        <f>IF(ISNUMBER(K1160),M1160-N1160,"")</f>
        <v/>
      </c>
      <c r="P1160" s="55" t="str">
        <f>IF(COUNTA(A1160:I1160)=0,"",N(G1160)+N(H1160)+N(I1160))</f>
        <v/>
      </c>
      <c r="Q1160" s="56" t="str">
        <f>IF(COUNTA(A1160:I1160)=0,"",IF(N(IFERROR(INDEX(art_rate,MATCH(E1160,art_ref,0)),0))&gt;0,N(IFERROR(INDEX(art_rate,MATCH(E1160,art_ref,0)),0)),N(IFERROR(INDEX(po_rate,MATCH(C1160,po_code,0)),0))))</f>
        <v/>
      </c>
      <c r="R1160" s="55" t="str">
        <f>IF(AC1160=1,P1160*60/Q1160,"")</f>
        <v/>
      </c>
      <c r="S1160" s="55" t="str">
        <f>IF(AC1160=1,N(G1160)*60/Q1160,"")</f>
        <v/>
      </c>
      <c r="T1160" s="57" t="str">
        <f>IF(AC1160=1,O1160/M1160,"")</f>
        <v/>
      </c>
      <c r="U1160" s="57" t="str">
        <f>IF(AC1160=1,IF(O1160&gt;0,R1160/O1160,""),"")</f>
        <v/>
      </c>
      <c r="V1160" s="57" t="str">
        <f>IF(AC1160=1,IF(P1160&gt;0,N(G1160)/P1160,""),"")</f>
        <v/>
      </c>
      <c r="W1160" s="57" t="str">
        <f>IF(AC1160=1,S1160/M1160,"")</f>
        <v/>
      </c>
      <c r="X1160" s="57" t="str">
        <f>IF(AC1160=1,S1160/K1160,"")</f>
        <v/>
      </c>
      <c r="Y1160" s="58" t="str">
        <f>IF(W1160="","",IF(W1160&gt;=p_target,"Bon",IF(W1160&gt;=p_alert,"À surveiller","Faible")))</f>
        <v/>
      </c>
      <c r="Z1160" s="58" t="str">
        <f>IF(W1160="","",IF(MIN(IF(T1160="",1,T1160),IF(U1160="",1,U1160),IF(V1160="",1,V1160))&gt;=1,"Aucune",IF(IF(T1160="",1,T1160)&lt;=MIN(IF(U1160="",1,U1160),IF(V1160="",1,V1160)),"Disponibilité",IF(IF(U1160="",1,U1160)&lt;=IF(V1160="",1,V1160),"Performance","Qualité"))))</f>
        <v/>
      </c>
      <c r="AA1160" s="59" t="str">
        <f>IF(AC1160=1,N(H1160)*N(IFERROR(INDEX(art_cost,MATCH(E1160,art_ref,0)),0)),"")</f>
        <v/>
      </c>
      <c r="AB1160" s="58" t="str">
        <f>IF(COUNTA(A1160:I1160)=0,"",IF(N(A1160)&lt;=0,"Date manquante ou invalide",IF(B1160="","Équipe manquante",IF(ISNA(MATCH(B1160,eq_code,0)),"Équipe inconnue",IF(INDEX(eq_check,MATCH(B1160,eq_code,0))&lt;&gt;"OK","Équipe à corriger dans Paramètres",IF(C1160="","Poste manquant",IF(ISNA(MATCH(C1160,po_code,0)),"Poste inconnu",IF(AND(E1160&lt;&gt;"",ISNA(MATCH(E1160,art_ref,0))),"Article inconnu",IF(IF(E1160="",FALSE,INDEX(art_check,MATCH(E1160,art_ref,0))&lt;&gt;"OK"),"Article à corriger (feuille Articles)",IF(COUNTIFS(sj_date,A1160,sj_eq,B1160,sj_po,C1160)&gt;1,"Ligne en double (même jour, équipe et poste)",IF(OR(NOT(ISNUMBER(K1160)),N(K1160)&lt;=0,N(K1160)&gt;1440),"Temps d'ouverture invalide",IF(OR(AND(G1160&lt;&gt;"",NOT(ISNUMBER(G1160))),N(G1160)&lt;0,N(G1160)&lt;&gt;INT(N(G1160)),AND(H1160&lt;&gt;"",NOT(ISNUMBER(H1160))),N(H1160)&lt;0,N(H1160)&lt;&gt;INT(N(H1160)),AND(I1160&lt;&gt;"",NOT(ISNUMBER(I1160))),N(I1160)&lt;0,N(I1160)&lt;&gt;INT(N(I1160))),"Quantité invalide",IF(Q1160&lt;=0,"Cadence manquante (poste ou article)",IF(M1160&lt;=0,"Arrêts planifiés supérieurs au temps d'ouverture",IF(O1160&lt;0,"Arrêts supérieurs au temps requis",IF(AND(P1160&gt;0,O1160=0),"Pièces déclarées sans temps de marche",IF(AND(P1160=0,O1160&gt;0),"Aucune pièce déclarée",IF(P1160*60/Q1160&gt;O1160+0.001,"Cadence dépassée : vérifiez la cadence","OK"))))))))))))))))))</f>
        <v/>
      </c>
      <c r="AC1160">
        <f>IF(OR(AB1160="OK",AB1160="Aucune pièce déclarée",AB1160="Cadence dépassée : vérifiez la cadence"),1,0)</f>
        <v>0.0</v>
      </c>
      <c r="AD1160">
        <f>IF(AND(AC1160=1,A1160&gt;=p_from,A1160&lt;=p_to),1,0)</f>
        <v>0.0</v>
      </c>
      <c r="AE1160">
        <f>IF(AD1160=1,IF(COUNTIFS($A$6:A1160,A1160,$AD$6:AD1160,1)=1,1,0),0)</f>
        <v>0.0</v>
      </c>
      <c r="AF1160" t="str">
        <f>IF(AE1160=1,COUNTIFS(sj_first,1,sj_date,"&lt;"&amp;A1160)+1,"")</f>
        <v/>
      </c>
      <c r="AG1160" t="str">
        <f>IF(AND(AD1160=1,N(W1160)&lt;p_alert),ROUND(W1160,4),"")</f>
        <v/>
      </c>
      <c r="AH1160" t="str">
        <f>IF(AG1160="","",COUNTIF(sj_akey,"&lt;"&amp;AG1160)+COUNTIF($AG$6:AG1160,AG1160))</f>
        <v/>
      </c>
    </row>
    <row r="1161">
      <c r="A1161" s="51" t="n"/>
      <c r="B1161" s="52" t="n"/>
      <c r="C1161" s="52" t="n"/>
      <c r="D1161" s="53" t="n"/>
      <c r="E1161" s="53" t="n"/>
      <c r="F1161" s="54" t="n"/>
      <c r="G1161" s="54" t="n"/>
      <c r="H1161" s="54" t="n"/>
      <c r="I1161" s="54" t="n"/>
      <c r="J1161" s="53" t="n"/>
      <c r="K1161" s="55" t="str">
        <f>IF(COUNTA(A1161:I1161)=0,"",IF(F1161="",IFERROR(INDEX(eq_dur,MATCH(B1161,eq_code,0)),""),F1161))</f>
        <v/>
      </c>
      <c r="L1161" s="55" t="str">
        <f>IF(ISNUMBER(K1161),N(IFERROR(INDEX(eq_pause,MATCH(B1161,eq_code,0)),0))+SUMIFS(st_min,st_date,A1161,st_eq,B1161,st_po,C1161,st_type,"Planifié"),"")</f>
        <v/>
      </c>
      <c r="M1161" s="55" t="str">
        <f>IF(ISNUMBER(K1161),K1161-L1161,"")</f>
        <v/>
      </c>
      <c r="N1161" s="55" t="str">
        <f>IF(ISNUMBER(K1161),SUMIFS(st_min,st_date,A1161,st_eq,B1161,st_po,C1161,st_type,"Non planifié"),"")</f>
        <v/>
      </c>
      <c r="O1161" s="55" t="str">
        <f>IF(ISNUMBER(K1161),M1161-N1161,"")</f>
        <v/>
      </c>
      <c r="P1161" s="55" t="str">
        <f>IF(COUNTA(A1161:I1161)=0,"",N(G1161)+N(H1161)+N(I1161))</f>
        <v/>
      </c>
      <c r="Q1161" s="56" t="str">
        <f>IF(COUNTA(A1161:I1161)=0,"",IF(N(IFERROR(INDEX(art_rate,MATCH(E1161,art_ref,0)),0))&gt;0,N(IFERROR(INDEX(art_rate,MATCH(E1161,art_ref,0)),0)),N(IFERROR(INDEX(po_rate,MATCH(C1161,po_code,0)),0))))</f>
        <v/>
      </c>
      <c r="R1161" s="55" t="str">
        <f>IF(AC1161=1,P1161*60/Q1161,"")</f>
        <v/>
      </c>
      <c r="S1161" s="55" t="str">
        <f>IF(AC1161=1,N(G1161)*60/Q1161,"")</f>
        <v/>
      </c>
      <c r="T1161" s="57" t="str">
        <f>IF(AC1161=1,O1161/M1161,"")</f>
        <v/>
      </c>
      <c r="U1161" s="57" t="str">
        <f>IF(AC1161=1,IF(O1161&gt;0,R1161/O1161,""),"")</f>
        <v/>
      </c>
      <c r="V1161" s="57" t="str">
        <f>IF(AC1161=1,IF(P1161&gt;0,N(G1161)/P1161,""),"")</f>
        <v/>
      </c>
      <c r="W1161" s="57" t="str">
        <f>IF(AC1161=1,S1161/M1161,"")</f>
        <v/>
      </c>
      <c r="X1161" s="57" t="str">
        <f>IF(AC1161=1,S1161/K1161,"")</f>
        <v/>
      </c>
      <c r="Y1161" s="58" t="str">
        <f>IF(W1161="","",IF(W1161&gt;=p_target,"Bon",IF(W1161&gt;=p_alert,"À surveiller","Faible")))</f>
        <v/>
      </c>
      <c r="Z1161" s="58" t="str">
        <f>IF(W1161="","",IF(MIN(IF(T1161="",1,T1161),IF(U1161="",1,U1161),IF(V1161="",1,V1161))&gt;=1,"Aucune",IF(IF(T1161="",1,T1161)&lt;=MIN(IF(U1161="",1,U1161),IF(V1161="",1,V1161)),"Disponibilité",IF(IF(U1161="",1,U1161)&lt;=IF(V1161="",1,V1161),"Performance","Qualité"))))</f>
        <v/>
      </c>
      <c r="AA1161" s="59" t="str">
        <f>IF(AC1161=1,N(H1161)*N(IFERROR(INDEX(art_cost,MATCH(E1161,art_ref,0)),0)),"")</f>
        <v/>
      </c>
      <c r="AB1161" s="58" t="str">
        <f>IF(COUNTA(A1161:I1161)=0,"",IF(N(A1161)&lt;=0,"Date manquante ou invalide",IF(B1161="","Équipe manquante",IF(ISNA(MATCH(B1161,eq_code,0)),"Équipe inconnue",IF(INDEX(eq_check,MATCH(B1161,eq_code,0))&lt;&gt;"OK","Équipe à corriger dans Paramètres",IF(C1161="","Poste manquant",IF(ISNA(MATCH(C1161,po_code,0)),"Poste inconnu",IF(AND(E1161&lt;&gt;"",ISNA(MATCH(E1161,art_ref,0))),"Article inconnu",IF(IF(E1161="",FALSE,INDEX(art_check,MATCH(E1161,art_ref,0))&lt;&gt;"OK"),"Article à corriger (feuille Articles)",IF(COUNTIFS(sj_date,A1161,sj_eq,B1161,sj_po,C1161)&gt;1,"Ligne en double (même jour, équipe et poste)",IF(OR(NOT(ISNUMBER(K1161)),N(K1161)&lt;=0,N(K1161)&gt;1440),"Temps d'ouverture invalide",IF(OR(AND(G1161&lt;&gt;"",NOT(ISNUMBER(G1161))),N(G1161)&lt;0,N(G1161)&lt;&gt;INT(N(G1161)),AND(H1161&lt;&gt;"",NOT(ISNUMBER(H1161))),N(H1161)&lt;0,N(H1161)&lt;&gt;INT(N(H1161)),AND(I1161&lt;&gt;"",NOT(ISNUMBER(I1161))),N(I1161)&lt;0,N(I1161)&lt;&gt;INT(N(I1161))),"Quantité invalide",IF(Q1161&lt;=0,"Cadence manquante (poste ou article)",IF(M1161&lt;=0,"Arrêts planifiés supérieurs au temps d'ouverture",IF(O1161&lt;0,"Arrêts supérieurs au temps requis",IF(AND(P1161&gt;0,O1161=0),"Pièces déclarées sans temps de marche",IF(AND(P1161=0,O1161&gt;0),"Aucune pièce déclarée",IF(P1161*60/Q1161&gt;O1161+0.001,"Cadence dépassée : vérifiez la cadence","OK"))))))))))))))))))</f>
        <v/>
      </c>
      <c r="AC1161">
        <f>IF(OR(AB1161="OK",AB1161="Aucune pièce déclarée",AB1161="Cadence dépassée : vérifiez la cadence"),1,0)</f>
        <v>0.0</v>
      </c>
      <c r="AD1161">
        <f>IF(AND(AC1161=1,A1161&gt;=p_from,A1161&lt;=p_to),1,0)</f>
        <v>0.0</v>
      </c>
      <c r="AE1161">
        <f>IF(AD1161=1,IF(COUNTIFS($A$6:A1161,A1161,$AD$6:AD1161,1)=1,1,0),0)</f>
        <v>0.0</v>
      </c>
      <c r="AF1161" t="str">
        <f>IF(AE1161=1,COUNTIFS(sj_first,1,sj_date,"&lt;"&amp;A1161)+1,"")</f>
        <v/>
      </c>
      <c r="AG1161" t="str">
        <f>IF(AND(AD1161=1,N(W1161)&lt;p_alert),ROUND(W1161,4),"")</f>
        <v/>
      </c>
      <c r="AH1161" t="str">
        <f>IF(AG1161="","",COUNTIF(sj_akey,"&lt;"&amp;AG1161)+COUNTIF($AG$6:AG1161,AG1161))</f>
        <v/>
      </c>
    </row>
    <row r="1162">
      <c r="A1162" s="51" t="n"/>
      <c r="B1162" s="52" t="n"/>
      <c r="C1162" s="52" t="n"/>
      <c r="D1162" s="53" t="n"/>
      <c r="E1162" s="53" t="n"/>
      <c r="F1162" s="54" t="n"/>
      <c r="G1162" s="54" t="n"/>
      <c r="H1162" s="54" t="n"/>
      <c r="I1162" s="54" t="n"/>
      <c r="J1162" s="53" t="n"/>
      <c r="K1162" s="55" t="str">
        <f>IF(COUNTA(A1162:I1162)=0,"",IF(F1162="",IFERROR(INDEX(eq_dur,MATCH(B1162,eq_code,0)),""),F1162))</f>
        <v/>
      </c>
      <c r="L1162" s="55" t="str">
        <f>IF(ISNUMBER(K1162),N(IFERROR(INDEX(eq_pause,MATCH(B1162,eq_code,0)),0))+SUMIFS(st_min,st_date,A1162,st_eq,B1162,st_po,C1162,st_type,"Planifié"),"")</f>
        <v/>
      </c>
      <c r="M1162" s="55" t="str">
        <f>IF(ISNUMBER(K1162),K1162-L1162,"")</f>
        <v/>
      </c>
      <c r="N1162" s="55" t="str">
        <f>IF(ISNUMBER(K1162),SUMIFS(st_min,st_date,A1162,st_eq,B1162,st_po,C1162,st_type,"Non planifié"),"")</f>
        <v/>
      </c>
      <c r="O1162" s="55" t="str">
        <f>IF(ISNUMBER(K1162),M1162-N1162,"")</f>
        <v/>
      </c>
      <c r="P1162" s="55" t="str">
        <f>IF(COUNTA(A1162:I1162)=0,"",N(G1162)+N(H1162)+N(I1162))</f>
        <v/>
      </c>
      <c r="Q1162" s="56" t="str">
        <f>IF(COUNTA(A1162:I1162)=0,"",IF(N(IFERROR(INDEX(art_rate,MATCH(E1162,art_ref,0)),0))&gt;0,N(IFERROR(INDEX(art_rate,MATCH(E1162,art_ref,0)),0)),N(IFERROR(INDEX(po_rate,MATCH(C1162,po_code,0)),0))))</f>
        <v/>
      </c>
      <c r="R1162" s="55" t="str">
        <f>IF(AC1162=1,P1162*60/Q1162,"")</f>
        <v/>
      </c>
      <c r="S1162" s="55" t="str">
        <f>IF(AC1162=1,N(G1162)*60/Q1162,"")</f>
        <v/>
      </c>
      <c r="T1162" s="57" t="str">
        <f>IF(AC1162=1,O1162/M1162,"")</f>
        <v/>
      </c>
      <c r="U1162" s="57" t="str">
        <f>IF(AC1162=1,IF(O1162&gt;0,R1162/O1162,""),"")</f>
        <v/>
      </c>
      <c r="V1162" s="57" t="str">
        <f>IF(AC1162=1,IF(P1162&gt;0,N(G1162)/P1162,""),"")</f>
        <v/>
      </c>
      <c r="W1162" s="57" t="str">
        <f>IF(AC1162=1,S1162/M1162,"")</f>
        <v/>
      </c>
      <c r="X1162" s="57" t="str">
        <f>IF(AC1162=1,S1162/K1162,"")</f>
        <v/>
      </c>
      <c r="Y1162" s="58" t="str">
        <f>IF(W1162="","",IF(W1162&gt;=p_target,"Bon",IF(W1162&gt;=p_alert,"À surveiller","Faible")))</f>
        <v/>
      </c>
      <c r="Z1162" s="58" t="str">
        <f>IF(W1162="","",IF(MIN(IF(T1162="",1,T1162),IF(U1162="",1,U1162),IF(V1162="",1,V1162))&gt;=1,"Aucune",IF(IF(T1162="",1,T1162)&lt;=MIN(IF(U1162="",1,U1162),IF(V1162="",1,V1162)),"Disponibilité",IF(IF(U1162="",1,U1162)&lt;=IF(V1162="",1,V1162),"Performance","Qualité"))))</f>
        <v/>
      </c>
      <c r="AA1162" s="59" t="str">
        <f>IF(AC1162=1,N(H1162)*N(IFERROR(INDEX(art_cost,MATCH(E1162,art_ref,0)),0)),"")</f>
        <v/>
      </c>
      <c r="AB1162" s="58" t="str">
        <f>IF(COUNTA(A1162:I1162)=0,"",IF(N(A1162)&lt;=0,"Date manquante ou invalide",IF(B1162="","Équipe manquante",IF(ISNA(MATCH(B1162,eq_code,0)),"Équipe inconnue",IF(INDEX(eq_check,MATCH(B1162,eq_code,0))&lt;&gt;"OK","Équipe à corriger dans Paramètres",IF(C1162="","Poste manquant",IF(ISNA(MATCH(C1162,po_code,0)),"Poste inconnu",IF(AND(E1162&lt;&gt;"",ISNA(MATCH(E1162,art_ref,0))),"Article inconnu",IF(IF(E1162="",FALSE,INDEX(art_check,MATCH(E1162,art_ref,0))&lt;&gt;"OK"),"Article à corriger (feuille Articles)",IF(COUNTIFS(sj_date,A1162,sj_eq,B1162,sj_po,C1162)&gt;1,"Ligne en double (même jour, équipe et poste)",IF(OR(NOT(ISNUMBER(K1162)),N(K1162)&lt;=0,N(K1162)&gt;1440),"Temps d'ouverture invalide",IF(OR(AND(G1162&lt;&gt;"",NOT(ISNUMBER(G1162))),N(G1162)&lt;0,N(G1162)&lt;&gt;INT(N(G1162)),AND(H1162&lt;&gt;"",NOT(ISNUMBER(H1162))),N(H1162)&lt;0,N(H1162)&lt;&gt;INT(N(H1162)),AND(I1162&lt;&gt;"",NOT(ISNUMBER(I1162))),N(I1162)&lt;0,N(I1162)&lt;&gt;INT(N(I1162))),"Quantité invalide",IF(Q1162&lt;=0,"Cadence manquante (poste ou article)",IF(M1162&lt;=0,"Arrêts planifiés supérieurs au temps d'ouverture",IF(O1162&lt;0,"Arrêts supérieurs au temps requis",IF(AND(P1162&gt;0,O1162=0),"Pièces déclarées sans temps de marche",IF(AND(P1162=0,O1162&gt;0),"Aucune pièce déclarée",IF(P1162*60/Q1162&gt;O1162+0.001,"Cadence dépassée : vérifiez la cadence","OK"))))))))))))))))))</f>
        <v/>
      </c>
      <c r="AC1162">
        <f>IF(OR(AB1162="OK",AB1162="Aucune pièce déclarée",AB1162="Cadence dépassée : vérifiez la cadence"),1,0)</f>
        <v>0.0</v>
      </c>
      <c r="AD1162">
        <f>IF(AND(AC1162=1,A1162&gt;=p_from,A1162&lt;=p_to),1,0)</f>
        <v>0.0</v>
      </c>
      <c r="AE1162">
        <f>IF(AD1162=1,IF(COUNTIFS($A$6:A1162,A1162,$AD$6:AD1162,1)=1,1,0),0)</f>
        <v>0.0</v>
      </c>
      <c r="AF1162" t="str">
        <f>IF(AE1162=1,COUNTIFS(sj_first,1,sj_date,"&lt;"&amp;A1162)+1,"")</f>
        <v/>
      </c>
      <c r="AG1162" t="str">
        <f>IF(AND(AD1162=1,N(W1162)&lt;p_alert),ROUND(W1162,4),"")</f>
        <v/>
      </c>
      <c r="AH1162" t="str">
        <f>IF(AG1162="","",COUNTIF(sj_akey,"&lt;"&amp;AG1162)+COUNTIF($AG$6:AG1162,AG1162))</f>
        <v/>
      </c>
    </row>
    <row r="1163">
      <c r="A1163" s="51" t="n"/>
      <c r="B1163" s="52" t="n"/>
      <c r="C1163" s="52" t="n"/>
      <c r="D1163" s="53" t="n"/>
      <c r="E1163" s="53" t="n"/>
      <c r="F1163" s="54" t="n"/>
      <c r="G1163" s="54" t="n"/>
      <c r="H1163" s="54" t="n"/>
      <c r="I1163" s="54" t="n"/>
      <c r="J1163" s="53" t="n"/>
      <c r="K1163" s="55" t="str">
        <f>IF(COUNTA(A1163:I1163)=0,"",IF(F1163="",IFERROR(INDEX(eq_dur,MATCH(B1163,eq_code,0)),""),F1163))</f>
        <v/>
      </c>
      <c r="L1163" s="55" t="str">
        <f>IF(ISNUMBER(K1163),N(IFERROR(INDEX(eq_pause,MATCH(B1163,eq_code,0)),0))+SUMIFS(st_min,st_date,A1163,st_eq,B1163,st_po,C1163,st_type,"Planifié"),"")</f>
        <v/>
      </c>
      <c r="M1163" s="55" t="str">
        <f>IF(ISNUMBER(K1163),K1163-L1163,"")</f>
        <v/>
      </c>
      <c r="N1163" s="55" t="str">
        <f>IF(ISNUMBER(K1163),SUMIFS(st_min,st_date,A1163,st_eq,B1163,st_po,C1163,st_type,"Non planifié"),"")</f>
        <v/>
      </c>
      <c r="O1163" s="55" t="str">
        <f>IF(ISNUMBER(K1163),M1163-N1163,"")</f>
        <v/>
      </c>
      <c r="P1163" s="55" t="str">
        <f>IF(COUNTA(A1163:I1163)=0,"",N(G1163)+N(H1163)+N(I1163))</f>
        <v/>
      </c>
      <c r="Q1163" s="56" t="str">
        <f>IF(COUNTA(A1163:I1163)=0,"",IF(N(IFERROR(INDEX(art_rate,MATCH(E1163,art_ref,0)),0))&gt;0,N(IFERROR(INDEX(art_rate,MATCH(E1163,art_ref,0)),0)),N(IFERROR(INDEX(po_rate,MATCH(C1163,po_code,0)),0))))</f>
        <v/>
      </c>
      <c r="R1163" s="55" t="str">
        <f>IF(AC1163=1,P1163*60/Q1163,"")</f>
        <v/>
      </c>
      <c r="S1163" s="55" t="str">
        <f>IF(AC1163=1,N(G1163)*60/Q1163,"")</f>
        <v/>
      </c>
      <c r="T1163" s="57" t="str">
        <f>IF(AC1163=1,O1163/M1163,"")</f>
        <v/>
      </c>
      <c r="U1163" s="57" t="str">
        <f>IF(AC1163=1,IF(O1163&gt;0,R1163/O1163,""),"")</f>
        <v/>
      </c>
      <c r="V1163" s="57" t="str">
        <f>IF(AC1163=1,IF(P1163&gt;0,N(G1163)/P1163,""),"")</f>
        <v/>
      </c>
      <c r="W1163" s="57" t="str">
        <f>IF(AC1163=1,S1163/M1163,"")</f>
        <v/>
      </c>
      <c r="X1163" s="57" t="str">
        <f>IF(AC1163=1,S1163/K1163,"")</f>
        <v/>
      </c>
      <c r="Y1163" s="58" t="str">
        <f>IF(W1163="","",IF(W1163&gt;=p_target,"Bon",IF(W1163&gt;=p_alert,"À surveiller","Faible")))</f>
        <v/>
      </c>
      <c r="Z1163" s="58" t="str">
        <f>IF(W1163="","",IF(MIN(IF(T1163="",1,T1163),IF(U1163="",1,U1163),IF(V1163="",1,V1163))&gt;=1,"Aucune",IF(IF(T1163="",1,T1163)&lt;=MIN(IF(U1163="",1,U1163),IF(V1163="",1,V1163)),"Disponibilité",IF(IF(U1163="",1,U1163)&lt;=IF(V1163="",1,V1163),"Performance","Qualité"))))</f>
        <v/>
      </c>
      <c r="AA1163" s="59" t="str">
        <f>IF(AC1163=1,N(H1163)*N(IFERROR(INDEX(art_cost,MATCH(E1163,art_ref,0)),0)),"")</f>
        <v/>
      </c>
      <c r="AB1163" s="58" t="str">
        <f>IF(COUNTA(A1163:I1163)=0,"",IF(N(A1163)&lt;=0,"Date manquante ou invalide",IF(B1163="","Équipe manquante",IF(ISNA(MATCH(B1163,eq_code,0)),"Équipe inconnue",IF(INDEX(eq_check,MATCH(B1163,eq_code,0))&lt;&gt;"OK","Équipe à corriger dans Paramètres",IF(C1163="","Poste manquant",IF(ISNA(MATCH(C1163,po_code,0)),"Poste inconnu",IF(AND(E1163&lt;&gt;"",ISNA(MATCH(E1163,art_ref,0))),"Article inconnu",IF(IF(E1163="",FALSE,INDEX(art_check,MATCH(E1163,art_ref,0))&lt;&gt;"OK"),"Article à corriger (feuille Articles)",IF(COUNTIFS(sj_date,A1163,sj_eq,B1163,sj_po,C1163)&gt;1,"Ligne en double (même jour, équipe et poste)",IF(OR(NOT(ISNUMBER(K1163)),N(K1163)&lt;=0,N(K1163)&gt;1440),"Temps d'ouverture invalide",IF(OR(AND(G1163&lt;&gt;"",NOT(ISNUMBER(G1163))),N(G1163)&lt;0,N(G1163)&lt;&gt;INT(N(G1163)),AND(H1163&lt;&gt;"",NOT(ISNUMBER(H1163))),N(H1163)&lt;0,N(H1163)&lt;&gt;INT(N(H1163)),AND(I1163&lt;&gt;"",NOT(ISNUMBER(I1163))),N(I1163)&lt;0,N(I1163)&lt;&gt;INT(N(I1163))),"Quantité invalide",IF(Q1163&lt;=0,"Cadence manquante (poste ou article)",IF(M1163&lt;=0,"Arrêts planifiés supérieurs au temps d'ouverture",IF(O1163&lt;0,"Arrêts supérieurs au temps requis",IF(AND(P1163&gt;0,O1163=0),"Pièces déclarées sans temps de marche",IF(AND(P1163=0,O1163&gt;0),"Aucune pièce déclarée",IF(P1163*60/Q1163&gt;O1163+0.001,"Cadence dépassée : vérifiez la cadence","OK"))))))))))))))))))</f>
        <v/>
      </c>
      <c r="AC1163">
        <f>IF(OR(AB1163="OK",AB1163="Aucune pièce déclarée",AB1163="Cadence dépassée : vérifiez la cadence"),1,0)</f>
        <v>0.0</v>
      </c>
      <c r="AD1163">
        <f>IF(AND(AC1163=1,A1163&gt;=p_from,A1163&lt;=p_to),1,0)</f>
        <v>0.0</v>
      </c>
      <c r="AE1163">
        <f>IF(AD1163=1,IF(COUNTIFS($A$6:A1163,A1163,$AD$6:AD1163,1)=1,1,0),0)</f>
        <v>0.0</v>
      </c>
      <c r="AF1163" t="str">
        <f>IF(AE1163=1,COUNTIFS(sj_first,1,sj_date,"&lt;"&amp;A1163)+1,"")</f>
        <v/>
      </c>
      <c r="AG1163" t="str">
        <f>IF(AND(AD1163=1,N(W1163)&lt;p_alert),ROUND(W1163,4),"")</f>
        <v/>
      </c>
      <c r="AH1163" t="str">
        <f>IF(AG1163="","",COUNTIF(sj_akey,"&lt;"&amp;AG1163)+COUNTIF($AG$6:AG1163,AG1163))</f>
        <v/>
      </c>
    </row>
    <row r="1164">
      <c r="A1164" s="51" t="n"/>
      <c r="B1164" s="52" t="n"/>
      <c r="C1164" s="52" t="n"/>
      <c r="D1164" s="53" t="n"/>
      <c r="E1164" s="53" t="n"/>
      <c r="F1164" s="54" t="n"/>
      <c r="G1164" s="54" t="n"/>
      <c r="H1164" s="54" t="n"/>
      <c r="I1164" s="54" t="n"/>
      <c r="J1164" s="53" t="n"/>
      <c r="K1164" s="55" t="str">
        <f>IF(COUNTA(A1164:I1164)=0,"",IF(F1164="",IFERROR(INDEX(eq_dur,MATCH(B1164,eq_code,0)),""),F1164))</f>
        <v/>
      </c>
      <c r="L1164" s="55" t="str">
        <f>IF(ISNUMBER(K1164),N(IFERROR(INDEX(eq_pause,MATCH(B1164,eq_code,0)),0))+SUMIFS(st_min,st_date,A1164,st_eq,B1164,st_po,C1164,st_type,"Planifié"),"")</f>
        <v/>
      </c>
      <c r="M1164" s="55" t="str">
        <f>IF(ISNUMBER(K1164),K1164-L1164,"")</f>
        <v/>
      </c>
      <c r="N1164" s="55" t="str">
        <f>IF(ISNUMBER(K1164),SUMIFS(st_min,st_date,A1164,st_eq,B1164,st_po,C1164,st_type,"Non planifié"),"")</f>
        <v/>
      </c>
      <c r="O1164" s="55" t="str">
        <f>IF(ISNUMBER(K1164),M1164-N1164,"")</f>
        <v/>
      </c>
      <c r="P1164" s="55" t="str">
        <f>IF(COUNTA(A1164:I1164)=0,"",N(G1164)+N(H1164)+N(I1164))</f>
        <v/>
      </c>
      <c r="Q1164" s="56" t="str">
        <f>IF(COUNTA(A1164:I1164)=0,"",IF(N(IFERROR(INDEX(art_rate,MATCH(E1164,art_ref,0)),0))&gt;0,N(IFERROR(INDEX(art_rate,MATCH(E1164,art_ref,0)),0)),N(IFERROR(INDEX(po_rate,MATCH(C1164,po_code,0)),0))))</f>
        <v/>
      </c>
      <c r="R1164" s="55" t="str">
        <f>IF(AC1164=1,P1164*60/Q1164,"")</f>
        <v/>
      </c>
      <c r="S1164" s="55" t="str">
        <f>IF(AC1164=1,N(G1164)*60/Q1164,"")</f>
        <v/>
      </c>
      <c r="T1164" s="57" t="str">
        <f>IF(AC1164=1,O1164/M1164,"")</f>
        <v/>
      </c>
      <c r="U1164" s="57" t="str">
        <f>IF(AC1164=1,IF(O1164&gt;0,R1164/O1164,""),"")</f>
        <v/>
      </c>
      <c r="V1164" s="57" t="str">
        <f>IF(AC1164=1,IF(P1164&gt;0,N(G1164)/P1164,""),"")</f>
        <v/>
      </c>
      <c r="W1164" s="57" t="str">
        <f>IF(AC1164=1,S1164/M1164,"")</f>
        <v/>
      </c>
      <c r="X1164" s="57" t="str">
        <f>IF(AC1164=1,S1164/K1164,"")</f>
        <v/>
      </c>
      <c r="Y1164" s="58" t="str">
        <f>IF(W1164="","",IF(W1164&gt;=p_target,"Bon",IF(W1164&gt;=p_alert,"À surveiller","Faible")))</f>
        <v/>
      </c>
      <c r="Z1164" s="58" t="str">
        <f>IF(W1164="","",IF(MIN(IF(T1164="",1,T1164),IF(U1164="",1,U1164),IF(V1164="",1,V1164))&gt;=1,"Aucune",IF(IF(T1164="",1,T1164)&lt;=MIN(IF(U1164="",1,U1164),IF(V1164="",1,V1164)),"Disponibilité",IF(IF(U1164="",1,U1164)&lt;=IF(V1164="",1,V1164),"Performance","Qualité"))))</f>
        <v/>
      </c>
      <c r="AA1164" s="59" t="str">
        <f>IF(AC1164=1,N(H1164)*N(IFERROR(INDEX(art_cost,MATCH(E1164,art_ref,0)),0)),"")</f>
        <v/>
      </c>
      <c r="AB1164" s="58" t="str">
        <f>IF(COUNTA(A1164:I1164)=0,"",IF(N(A1164)&lt;=0,"Date manquante ou invalide",IF(B1164="","Équipe manquante",IF(ISNA(MATCH(B1164,eq_code,0)),"Équipe inconnue",IF(INDEX(eq_check,MATCH(B1164,eq_code,0))&lt;&gt;"OK","Équipe à corriger dans Paramètres",IF(C1164="","Poste manquant",IF(ISNA(MATCH(C1164,po_code,0)),"Poste inconnu",IF(AND(E1164&lt;&gt;"",ISNA(MATCH(E1164,art_ref,0))),"Article inconnu",IF(IF(E1164="",FALSE,INDEX(art_check,MATCH(E1164,art_ref,0))&lt;&gt;"OK"),"Article à corriger (feuille Articles)",IF(COUNTIFS(sj_date,A1164,sj_eq,B1164,sj_po,C1164)&gt;1,"Ligne en double (même jour, équipe et poste)",IF(OR(NOT(ISNUMBER(K1164)),N(K1164)&lt;=0,N(K1164)&gt;1440),"Temps d'ouverture invalide",IF(OR(AND(G1164&lt;&gt;"",NOT(ISNUMBER(G1164))),N(G1164)&lt;0,N(G1164)&lt;&gt;INT(N(G1164)),AND(H1164&lt;&gt;"",NOT(ISNUMBER(H1164))),N(H1164)&lt;0,N(H1164)&lt;&gt;INT(N(H1164)),AND(I1164&lt;&gt;"",NOT(ISNUMBER(I1164))),N(I1164)&lt;0,N(I1164)&lt;&gt;INT(N(I1164))),"Quantité invalide",IF(Q1164&lt;=0,"Cadence manquante (poste ou article)",IF(M1164&lt;=0,"Arrêts planifiés supérieurs au temps d'ouverture",IF(O1164&lt;0,"Arrêts supérieurs au temps requis",IF(AND(P1164&gt;0,O1164=0),"Pièces déclarées sans temps de marche",IF(AND(P1164=0,O1164&gt;0),"Aucune pièce déclarée",IF(P1164*60/Q1164&gt;O1164+0.001,"Cadence dépassée : vérifiez la cadence","OK"))))))))))))))))))</f>
        <v/>
      </c>
      <c r="AC1164">
        <f>IF(OR(AB1164="OK",AB1164="Aucune pièce déclarée",AB1164="Cadence dépassée : vérifiez la cadence"),1,0)</f>
        <v>0.0</v>
      </c>
      <c r="AD1164">
        <f>IF(AND(AC1164=1,A1164&gt;=p_from,A1164&lt;=p_to),1,0)</f>
        <v>0.0</v>
      </c>
      <c r="AE1164">
        <f>IF(AD1164=1,IF(COUNTIFS($A$6:A1164,A1164,$AD$6:AD1164,1)=1,1,0),0)</f>
        <v>0.0</v>
      </c>
      <c r="AF1164" t="str">
        <f>IF(AE1164=1,COUNTIFS(sj_first,1,sj_date,"&lt;"&amp;A1164)+1,"")</f>
        <v/>
      </c>
      <c r="AG1164" t="str">
        <f>IF(AND(AD1164=1,N(W1164)&lt;p_alert),ROUND(W1164,4),"")</f>
        <v/>
      </c>
      <c r="AH1164" t="str">
        <f>IF(AG1164="","",COUNTIF(sj_akey,"&lt;"&amp;AG1164)+COUNTIF($AG$6:AG1164,AG1164))</f>
        <v/>
      </c>
    </row>
    <row r="1165">
      <c r="A1165" s="51" t="n"/>
      <c r="B1165" s="52" t="n"/>
      <c r="C1165" s="52" t="n"/>
      <c r="D1165" s="53" t="n"/>
      <c r="E1165" s="53" t="n"/>
      <c r="F1165" s="54" t="n"/>
      <c r="G1165" s="54" t="n"/>
      <c r="H1165" s="54" t="n"/>
      <c r="I1165" s="54" t="n"/>
      <c r="J1165" s="53" t="n"/>
      <c r="K1165" s="55" t="str">
        <f>IF(COUNTA(A1165:I1165)=0,"",IF(F1165="",IFERROR(INDEX(eq_dur,MATCH(B1165,eq_code,0)),""),F1165))</f>
        <v/>
      </c>
      <c r="L1165" s="55" t="str">
        <f>IF(ISNUMBER(K1165),N(IFERROR(INDEX(eq_pause,MATCH(B1165,eq_code,0)),0))+SUMIFS(st_min,st_date,A1165,st_eq,B1165,st_po,C1165,st_type,"Planifié"),"")</f>
        <v/>
      </c>
      <c r="M1165" s="55" t="str">
        <f>IF(ISNUMBER(K1165),K1165-L1165,"")</f>
        <v/>
      </c>
      <c r="N1165" s="55" t="str">
        <f>IF(ISNUMBER(K1165),SUMIFS(st_min,st_date,A1165,st_eq,B1165,st_po,C1165,st_type,"Non planifié"),"")</f>
        <v/>
      </c>
      <c r="O1165" s="55" t="str">
        <f>IF(ISNUMBER(K1165),M1165-N1165,"")</f>
        <v/>
      </c>
      <c r="P1165" s="55" t="str">
        <f>IF(COUNTA(A1165:I1165)=0,"",N(G1165)+N(H1165)+N(I1165))</f>
        <v/>
      </c>
      <c r="Q1165" s="56" t="str">
        <f>IF(COUNTA(A1165:I1165)=0,"",IF(N(IFERROR(INDEX(art_rate,MATCH(E1165,art_ref,0)),0))&gt;0,N(IFERROR(INDEX(art_rate,MATCH(E1165,art_ref,0)),0)),N(IFERROR(INDEX(po_rate,MATCH(C1165,po_code,0)),0))))</f>
        <v/>
      </c>
      <c r="R1165" s="55" t="str">
        <f>IF(AC1165=1,P1165*60/Q1165,"")</f>
        <v/>
      </c>
      <c r="S1165" s="55" t="str">
        <f>IF(AC1165=1,N(G1165)*60/Q1165,"")</f>
        <v/>
      </c>
      <c r="T1165" s="57" t="str">
        <f>IF(AC1165=1,O1165/M1165,"")</f>
        <v/>
      </c>
      <c r="U1165" s="57" t="str">
        <f>IF(AC1165=1,IF(O1165&gt;0,R1165/O1165,""),"")</f>
        <v/>
      </c>
      <c r="V1165" s="57" t="str">
        <f>IF(AC1165=1,IF(P1165&gt;0,N(G1165)/P1165,""),"")</f>
        <v/>
      </c>
      <c r="W1165" s="57" t="str">
        <f>IF(AC1165=1,S1165/M1165,"")</f>
        <v/>
      </c>
      <c r="X1165" s="57" t="str">
        <f>IF(AC1165=1,S1165/K1165,"")</f>
        <v/>
      </c>
      <c r="Y1165" s="58" t="str">
        <f>IF(W1165="","",IF(W1165&gt;=p_target,"Bon",IF(W1165&gt;=p_alert,"À surveiller","Faible")))</f>
        <v/>
      </c>
      <c r="Z1165" s="58" t="str">
        <f>IF(W1165="","",IF(MIN(IF(T1165="",1,T1165),IF(U1165="",1,U1165),IF(V1165="",1,V1165))&gt;=1,"Aucune",IF(IF(T1165="",1,T1165)&lt;=MIN(IF(U1165="",1,U1165),IF(V1165="",1,V1165)),"Disponibilité",IF(IF(U1165="",1,U1165)&lt;=IF(V1165="",1,V1165),"Performance","Qualité"))))</f>
        <v/>
      </c>
      <c r="AA1165" s="59" t="str">
        <f>IF(AC1165=1,N(H1165)*N(IFERROR(INDEX(art_cost,MATCH(E1165,art_ref,0)),0)),"")</f>
        <v/>
      </c>
      <c r="AB1165" s="58" t="str">
        <f>IF(COUNTA(A1165:I1165)=0,"",IF(N(A1165)&lt;=0,"Date manquante ou invalide",IF(B1165="","Équipe manquante",IF(ISNA(MATCH(B1165,eq_code,0)),"Équipe inconnue",IF(INDEX(eq_check,MATCH(B1165,eq_code,0))&lt;&gt;"OK","Équipe à corriger dans Paramètres",IF(C1165="","Poste manquant",IF(ISNA(MATCH(C1165,po_code,0)),"Poste inconnu",IF(AND(E1165&lt;&gt;"",ISNA(MATCH(E1165,art_ref,0))),"Article inconnu",IF(IF(E1165="",FALSE,INDEX(art_check,MATCH(E1165,art_ref,0))&lt;&gt;"OK"),"Article à corriger (feuille Articles)",IF(COUNTIFS(sj_date,A1165,sj_eq,B1165,sj_po,C1165)&gt;1,"Ligne en double (même jour, équipe et poste)",IF(OR(NOT(ISNUMBER(K1165)),N(K1165)&lt;=0,N(K1165)&gt;1440),"Temps d'ouverture invalide",IF(OR(AND(G1165&lt;&gt;"",NOT(ISNUMBER(G1165))),N(G1165)&lt;0,N(G1165)&lt;&gt;INT(N(G1165)),AND(H1165&lt;&gt;"",NOT(ISNUMBER(H1165))),N(H1165)&lt;0,N(H1165)&lt;&gt;INT(N(H1165)),AND(I1165&lt;&gt;"",NOT(ISNUMBER(I1165))),N(I1165)&lt;0,N(I1165)&lt;&gt;INT(N(I1165))),"Quantité invalide",IF(Q1165&lt;=0,"Cadence manquante (poste ou article)",IF(M1165&lt;=0,"Arrêts planifiés supérieurs au temps d'ouverture",IF(O1165&lt;0,"Arrêts supérieurs au temps requis",IF(AND(P1165&gt;0,O1165=0),"Pièces déclarées sans temps de marche",IF(AND(P1165=0,O1165&gt;0),"Aucune pièce déclarée",IF(P1165*60/Q1165&gt;O1165+0.001,"Cadence dépassée : vérifiez la cadence","OK"))))))))))))))))))</f>
        <v/>
      </c>
      <c r="AC1165">
        <f>IF(OR(AB1165="OK",AB1165="Aucune pièce déclarée",AB1165="Cadence dépassée : vérifiez la cadence"),1,0)</f>
        <v>0.0</v>
      </c>
      <c r="AD1165">
        <f>IF(AND(AC1165=1,A1165&gt;=p_from,A1165&lt;=p_to),1,0)</f>
        <v>0.0</v>
      </c>
      <c r="AE1165">
        <f>IF(AD1165=1,IF(COUNTIFS($A$6:A1165,A1165,$AD$6:AD1165,1)=1,1,0),0)</f>
        <v>0.0</v>
      </c>
      <c r="AF1165" t="str">
        <f>IF(AE1165=1,COUNTIFS(sj_first,1,sj_date,"&lt;"&amp;A1165)+1,"")</f>
        <v/>
      </c>
      <c r="AG1165" t="str">
        <f>IF(AND(AD1165=1,N(W1165)&lt;p_alert),ROUND(W1165,4),"")</f>
        <v/>
      </c>
      <c r="AH1165" t="str">
        <f>IF(AG1165="","",COUNTIF(sj_akey,"&lt;"&amp;AG1165)+COUNTIF($AG$6:AG1165,AG1165))</f>
        <v/>
      </c>
    </row>
    <row r="1166">
      <c r="A1166" s="51" t="n"/>
      <c r="B1166" s="52" t="n"/>
      <c r="C1166" s="52" t="n"/>
      <c r="D1166" s="53" t="n"/>
      <c r="E1166" s="53" t="n"/>
      <c r="F1166" s="54" t="n"/>
      <c r="G1166" s="54" t="n"/>
      <c r="H1166" s="54" t="n"/>
      <c r="I1166" s="54" t="n"/>
      <c r="J1166" s="53" t="n"/>
      <c r="K1166" s="55" t="str">
        <f>IF(COUNTA(A1166:I1166)=0,"",IF(F1166="",IFERROR(INDEX(eq_dur,MATCH(B1166,eq_code,0)),""),F1166))</f>
        <v/>
      </c>
      <c r="L1166" s="55" t="str">
        <f>IF(ISNUMBER(K1166),N(IFERROR(INDEX(eq_pause,MATCH(B1166,eq_code,0)),0))+SUMIFS(st_min,st_date,A1166,st_eq,B1166,st_po,C1166,st_type,"Planifié"),"")</f>
        <v/>
      </c>
      <c r="M1166" s="55" t="str">
        <f>IF(ISNUMBER(K1166),K1166-L1166,"")</f>
        <v/>
      </c>
      <c r="N1166" s="55" t="str">
        <f>IF(ISNUMBER(K1166),SUMIFS(st_min,st_date,A1166,st_eq,B1166,st_po,C1166,st_type,"Non planifié"),"")</f>
        <v/>
      </c>
      <c r="O1166" s="55" t="str">
        <f>IF(ISNUMBER(K1166),M1166-N1166,"")</f>
        <v/>
      </c>
      <c r="P1166" s="55" t="str">
        <f>IF(COUNTA(A1166:I1166)=0,"",N(G1166)+N(H1166)+N(I1166))</f>
        <v/>
      </c>
      <c r="Q1166" s="56" t="str">
        <f>IF(COUNTA(A1166:I1166)=0,"",IF(N(IFERROR(INDEX(art_rate,MATCH(E1166,art_ref,0)),0))&gt;0,N(IFERROR(INDEX(art_rate,MATCH(E1166,art_ref,0)),0)),N(IFERROR(INDEX(po_rate,MATCH(C1166,po_code,0)),0))))</f>
        <v/>
      </c>
      <c r="R1166" s="55" t="str">
        <f>IF(AC1166=1,P1166*60/Q1166,"")</f>
        <v/>
      </c>
      <c r="S1166" s="55" t="str">
        <f>IF(AC1166=1,N(G1166)*60/Q1166,"")</f>
        <v/>
      </c>
      <c r="T1166" s="57" t="str">
        <f>IF(AC1166=1,O1166/M1166,"")</f>
        <v/>
      </c>
      <c r="U1166" s="57" t="str">
        <f>IF(AC1166=1,IF(O1166&gt;0,R1166/O1166,""),"")</f>
        <v/>
      </c>
      <c r="V1166" s="57" t="str">
        <f>IF(AC1166=1,IF(P1166&gt;0,N(G1166)/P1166,""),"")</f>
        <v/>
      </c>
      <c r="W1166" s="57" t="str">
        <f>IF(AC1166=1,S1166/M1166,"")</f>
        <v/>
      </c>
      <c r="X1166" s="57" t="str">
        <f>IF(AC1166=1,S1166/K1166,"")</f>
        <v/>
      </c>
      <c r="Y1166" s="58" t="str">
        <f>IF(W1166="","",IF(W1166&gt;=p_target,"Bon",IF(W1166&gt;=p_alert,"À surveiller","Faible")))</f>
        <v/>
      </c>
      <c r="Z1166" s="58" t="str">
        <f>IF(W1166="","",IF(MIN(IF(T1166="",1,T1166),IF(U1166="",1,U1166),IF(V1166="",1,V1166))&gt;=1,"Aucune",IF(IF(T1166="",1,T1166)&lt;=MIN(IF(U1166="",1,U1166),IF(V1166="",1,V1166)),"Disponibilité",IF(IF(U1166="",1,U1166)&lt;=IF(V1166="",1,V1166),"Performance","Qualité"))))</f>
        <v/>
      </c>
      <c r="AA1166" s="59" t="str">
        <f>IF(AC1166=1,N(H1166)*N(IFERROR(INDEX(art_cost,MATCH(E1166,art_ref,0)),0)),"")</f>
        <v/>
      </c>
      <c r="AB1166" s="58" t="str">
        <f>IF(COUNTA(A1166:I1166)=0,"",IF(N(A1166)&lt;=0,"Date manquante ou invalide",IF(B1166="","Équipe manquante",IF(ISNA(MATCH(B1166,eq_code,0)),"Équipe inconnue",IF(INDEX(eq_check,MATCH(B1166,eq_code,0))&lt;&gt;"OK","Équipe à corriger dans Paramètres",IF(C1166="","Poste manquant",IF(ISNA(MATCH(C1166,po_code,0)),"Poste inconnu",IF(AND(E1166&lt;&gt;"",ISNA(MATCH(E1166,art_ref,0))),"Article inconnu",IF(IF(E1166="",FALSE,INDEX(art_check,MATCH(E1166,art_ref,0))&lt;&gt;"OK"),"Article à corriger (feuille Articles)",IF(COUNTIFS(sj_date,A1166,sj_eq,B1166,sj_po,C1166)&gt;1,"Ligne en double (même jour, équipe et poste)",IF(OR(NOT(ISNUMBER(K1166)),N(K1166)&lt;=0,N(K1166)&gt;1440),"Temps d'ouverture invalide",IF(OR(AND(G1166&lt;&gt;"",NOT(ISNUMBER(G1166))),N(G1166)&lt;0,N(G1166)&lt;&gt;INT(N(G1166)),AND(H1166&lt;&gt;"",NOT(ISNUMBER(H1166))),N(H1166)&lt;0,N(H1166)&lt;&gt;INT(N(H1166)),AND(I1166&lt;&gt;"",NOT(ISNUMBER(I1166))),N(I1166)&lt;0,N(I1166)&lt;&gt;INT(N(I1166))),"Quantité invalide",IF(Q1166&lt;=0,"Cadence manquante (poste ou article)",IF(M1166&lt;=0,"Arrêts planifiés supérieurs au temps d'ouverture",IF(O1166&lt;0,"Arrêts supérieurs au temps requis",IF(AND(P1166&gt;0,O1166=0),"Pièces déclarées sans temps de marche",IF(AND(P1166=0,O1166&gt;0),"Aucune pièce déclarée",IF(P1166*60/Q1166&gt;O1166+0.001,"Cadence dépassée : vérifiez la cadence","OK"))))))))))))))))))</f>
        <v/>
      </c>
      <c r="AC1166">
        <f>IF(OR(AB1166="OK",AB1166="Aucune pièce déclarée",AB1166="Cadence dépassée : vérifiez la cadence"),1,0)</f>
        <v>0.0</v>
      </c>
      <c r="AD1166">
        <f>IF(AND(AC1166=1,A1166&gt;=p_from,A1166&lt;=p_to),1,0)</f>
        <v>0.0</v>
      </c>
      <c r="AE1166">
        <f>IF(AD1166=1,IF(COUNTIFS($A$6:A1166,A1166,$AD$6:AD1166,1)=1,1,0),0)</f>
        <v>0.0</v>
      </c>
      <c r="AF1166" t="str">
        <f>IF(AE1166=1,COUNTIFS(sj_first,1,sj_date,"&lt;"&amp;A1166)+1,"")</f>
        <v/>
      </c>
      <c r="AG1166" t="str">
        <f>IF(AND(AD1166=1,N(W1166)&lt;p_alert),ROUND(W1166,4),"")</f>
        <v/>
      </c>
      <c r="AH1166" t="str">
        <f>IF(AG1166="","",COUNTIF(sj_akey,"&lt;"&amp;AG1166)+COUNTIF($AG$6:AG1166,AG1166))</f>
        <v/>
      </c>
    </row>
    <row r="1167">
      <c r="A1167" s="51" t="n"/>
      <c r="B1167" s="52" t="n"/>
      <c r="C1167" s="52" t="n"/>
      <c r="D1167" s="53" t="n"/>
      <c r="E1167" s="53" t="n"/>
      <c r="F1167" s="54" t="n"/>
      <c r="G1167" s="54" t="n"/>
      <c r="H1167" s="54" t="n"/>
      <c r="I1167" s="54" t="n"/>
      <c r="J1167" s="53" t="n"/>
      <c r="K1167" s="55" t="str">
        <f>IF(COUNTA(A1167:I1167)=0,"",IF(F1167="",IFERROR(INDEX(eq_dur,MATCH(B1167,eq_code,0)),""),F1167))</f>
        <v/>
      </c>
      <c r="L1167" s="55" t="str">
        <f>IF(ISNUMBER(K1167),N(IFERROR(INDEX(eq_pause,MATCH(B1167,eq_code,0)),0))+SUMIFS(st_min,st_date,A1167,st_eq,B1167,st_po,C1167,st_type,"Planifié"),"")</f>
        <v/>
      </c>
      <c r="M1167" s="55" t="str">
        <f>IF(ISNUMBER(K1167),K1167-L1167,"")</f>
        <v/>
      </c>
      <c r="N1167" s="55" t="str">
        <f>IF(ISNUMBER(K1167),SUMIFS(st_min,st_date,A1167,st_eq,B1167,st_po,C1167,st_type,"Non planifié"),"")</f>
        <v/>
      </c>
      <c r="O1167" s="55" t="str">
        <f>IF(ISNUMBER(K1167),M1167-N1167,"")</f>
        <v/>
      </c>
      <c r="P1167" s="55" t="str">
        <f>IF(COUNTA(A1167:I1167)=0,"",N(G1167)+N(H1167)+N(I1167))</f>
        <v/>
      </c>
      <c r="Q1167" s="56" t="str">
        <f>IF(COUNTA(A1167:I1167)=0,"",IF(N(IFERROR(INDEX(art_rate,MATCH(E1167,art_ref,0)),0))&gt;0,N(IFERROR(INDEX(art_rate,MATCH(E1167,art_ref,0)),0)),N(IFERROR(INDEX(po_rate,MATCH(C1167,po_code,0)),0))))</f>
        <v/>
      </c>
      <c r="R1167" s="55" t="str">
        <f>IF(AC1167=1,P1167*60/Q1167,"")</f>
        <v/>
      </c>
      <c r="S1167" s="55" t="str">
        <f>IF(AC1167=1,N(G1167)*60/Q1167,"")</f>
        <v/>
      </c>
      <c r="T1167" s="57" t="str">
        <f>IF(AC1167=1,O1167/M1167,"")</f>
        <v/>
      </c>
      <c r="U1167" s="57" t="str">
        <f>IF(AC1167=1,IF(O1167&gt;0,R1167/O1167,""),"")</f>
        <v/>
      </c>
      <c r="V1167" s="57" t="str">
        <f>IF(AC1167=1,IF(P1167&gt;0,N(G1167)/P1167,""),"")</f>
        <v/>
      </c>
      <c r="W1167" s="57" t="str">
        <f>IF(AC1167=1,S1167/M1167,"")</f>
        <v/>
      </c>
      <c r="X1167" s="57" t="str">
        <f>IF(AC1167=1,S1167/K1167,"")</f>
        <v/>
      </c>
      <c r="Y1167" s="58" t="str">
        <f>IF(W1167="","",IF(W1167&gt;=p_target,"Bon",IF(W1167&gt;=p_alert,"À surveiller","Faible")))</f>
        <v/>
      </c>
      <c r="Z1167" s="58" t="str">
        <f>IF(W1167="","",IF(MIN(IF(T1167="",1,T1167),IF(U1167="",1,U1167),IF(V1167="",1,V1167))&gt;=1,"Aucune",IF(IF(T1167="",1,T1167)&lt;=MIN(IF(U1167="",1,U1167),IF(V1167="",1,V1167)),"Disponibilité",IF(IF(U1167="",1,U1167)&lt;=IF(V1167="",1,V1167),"Performance","Qualité"))))</f>
        <v/>
      </c>
      <c r="AA1167" s="59" t="str">
        <f>IF(AC1167=1,N(H1167)*N(IFERROR(INDEX(art_cost,MATCH(E1167,art_ref,0)),0)),"")</f>
        <v/>
      </c>
      <c r="AB1167" s="58" t="str">
        <f>IF(COUNTA(A1167:I1167)=0,"",IF(N(A1167)&lt;=0,"Date manquante ou invalide",IF(B1167="","Équipe manquante",IF(ISNA(MATCH(B1167,eq_code,0)),"Équipe inconnue",IF(INDEX(eq_check,MATCH(B1167,eq_code,0))&lt;&gt;"OK","Équipe à corriger dans Paramètres",IF(C1167="","Poste manquant",IF(ISNA(MATCH(C1167,po_code,0)),"Poste inconnu",IF(AND(E1167&lt;&gt;"",ISNA(MATCH(E1167,art_ref,0))),"Article inconnu",IF(IF(E1167="",FALSE,INDEX(art_check,MATCH(E1167,art_ref,0))&lt;&gt;"OK"),"Article à corriger (feuille Articles)",IF(COUNTIFS(sj_date,A1167,sj_eq,B1167,sj_po,C1167)&gt;1,"Ligne en double (même jour, équipe et poste)",IF(OR(NOT(ISNUMBER(K1167)),N(K1167)&lt;=0,N(K1167)&gt;1440),"Temps d'ouverture invalide",IF(OR(AND(G1167&lt;&gt;"",NOT(ISNUMBER(G1167))),N(G1167)&lt;0,N(G1167)&lt;&gt;INT(N(G1167)),AND(H1167&lt;&gt;"",NOT(ISNUMBER(H1167))),N(H1167)&lt;0,N(H1167)&lt;&gt;INT(N(H1167)),AND(I1167&lt;&gt;"",NOT(ISNUMBER(I1167))),N(I1167)&lt;0,N(I1167)&lt;&gt;INT(N(I1167))),"Quantité invalide",IF(Q1167&lt;=0,"Cadence manquante (poste ou article)",IF(M1167&lt;=0,"Arrêts planifiés supérieurs au temps d'ouverture",IF(O1167&lt;0,"Arrêts supérieurs au temps requis",IF(AND(P1167&gt;0,O1167=0),"Pièces déclarées sans temps de marche",IF(AND(P1167=0,O1167&gt;0),"Aucune pièce déclarée",IF(P1167*60/Q1167&gt;O1167+0.001,"Cadence dépassée : vérifiez la cadence","OK"))))))))))))))))))</f>
        <v/>
      </c>
      <c r="AC1167">
        <f>IF(OR(AB1167="OK",AB1167="Aucune pièce déclarée",AB1167="Cadence dépassée : vérifiez la cadence"),1,0)</f>
        <v>0.0</v>
      </c>
      <c r="AD1167">
        <f>IF(AND(AC1167=1,A1167&gt;=p_from,A1167&lt;=p_to),1,0)</f>
        <v>0.0</v>
      </c>
      <c r="AE1167">
        <f>IF(AD1167=1,IF(COUNTIFS($A$6:A1167,A1167,$AD$6:AD1167,1)=1,1,0),0)</f>
        <v>0.0</v>
      </c>
      <c r="AF1167" t="str">
        <f>IF(AE1167=1,COUNTIFS(sj_first,1,sj_date,"&lt;"&amp;A1167)+1,"")</f>
        <v/>
      </c>
      <c r="AG1167" t="str">
        <f>IF(AND(AD1167=1,N(W1167)&lt;p_alert),ROUND(W1167,4),"")</f>
        <v/>
      </c>
      <c r="AH1167" t="str">
        <f>IF(AG1167="","",COUNTIF(sj_akey,"&lt;"&amp;AG1167)+COUNTIF($AG$6:AG1167,AG1167))</f>
        <v/>
      </c>
    </row>
    <row r="1168">
      <c r="A1168" s="51" t="n"/>
      <c r="B1168" s="52" t="n"/>
      <c r="C1168" s="52" t="n"/>
      <c r="D1168" s="53" t="n"/>
      <c r="E1168" s="53" t="n"/>
      <c r="F1168" s="54" t="n"/>
      <c r="G1168" s="54" t="n"/>
      <c r="H1168" s="54" t="n"/>
      <c r="I1168" s="54" t="n"/>
      <c r="J1168" s="53" t="n"/>
      <c r="K1168" s="55" t="str">
        <f>IF(COUNTA(A1168:I1168)=0,"",IF(F1168="",IFERROR(INDEX(eq_dur,MATCH(B1168,eq_code,0)),""),F1168))</f>
        <v/>
      </c>
      <c r="L1168" s="55" t="str">
        <f>IF(ISNUMBER(K1168),N(IFERROR(INDEX(eq_pause,MATCH(B1168,eq_code,0)),0))+SUMIFS(st_min,st_date,A1168,st_eq,B1168,st_po,C1168,st_type,"Planifié"),"")</f>
        <v/>
      </c>
      <c r="M1168" s="55" t="str">
        <f>IF(ISNUMBER(K1168),K1168-L1168,"")</f>
        <v/>
      </c>
      <c r="N1168" s="55" t="str">
        <f>IF(ISNUMBER(K1168),SUMIFS(st_min,st_date,A1168,st_eq,B1168,st_po,C1168,st_type,"Non planifié"),"")</f>
        <v/>
      </c>
      <c r="O1168" s="55" t="str">
        <f>IF(ISNUMBER(K1168),M1168-N1168,"")</f>
        <v/>
      </c>
      <c r="P1168" s="55" t="str">
        <f>IF(COUNTA(A1168:I1168)=0,"",N(G1168)+N(H1168)+N(I1168))</f>
        <v/>
      </c>
      <c r="Q1168" s="56" t="str">
        <f>IF(COUNTA(A1168:I1168)=0,"",IF(N(IFERROR(INDEX(art_rate,MATCH(E1168,art_ref,0)),0))&gt;0,N(IFERROR(INDEX(art_rate,MATCH(E1168,art_ref,0)),0)),N(IFERROR(INDEX(po_rate,MATCH(C1168,po_code,0)),0))))</f>
        <v/>
      </c>
      <c r="R1168" s="55" t="str">
        <f>IF(AC1168=1,P1168*60/Q1168,"")</f>
        <v/>
      </c>
      <c r="S1168" s="55" t="str">
        <f>IF(AC1168=1,N(G1168)*60/Q1168,"")</f>
        <v/>
      </c>
      <c r="T1168" s="57" t="str">
        <f>IF(AC1168=1,O1168/M1168,"")</f>
        <v/>
      </c>
      <c r="U1168" s="57" t="str">
        <f>IF(AC1168=1,IF(O1168&gt;0,R1168/O1168,""),"")</f>
        <v/>
      </c>
      <c r="V1168" s="57" t="str">
        <f>IF(AC1168=1,IF(P1168&gt;0,N(G1168)/P1168,""),"")</f>
        <v/>
      </c>
      <c r="W1168" s="57" t="str">
        <f>IF(AC1168=1,S1168/M1168,"")</f>
        <v/>
      </c>
      <c r="X1168" s="57" t="str">
        <f>IF(AC1168=1,S1168/K1168,"")</f>
        <v/>
      </c>
      <c r="Y1168" s="58" t="str">
        <f>IF(W1168="","",IF(W1168&gt;=p_target,"Bon",IF(W1168&gt;=p_alert,"À surveiller","Faible")))</f>
        <v/>
      </c>
      <c r="Z1168" s="58" t="str">
        <f>IF(W1168="","",IF(MIN(IF(T1168="",1,T1168),IF(U1168="",1,U1168),IF(V1168="",1,V1168))&gt;=1,"Aucune",IF(IF(T1168="",1,T1168)&lt;=MIN(IF(U1168="",1,U1168),IF(V1168="",1,V1168)),"Disponibilité",IF(IF(U1168="",1,U1168)&lt;=IF(V1168="",1,V1168),"Performance","Qualité"))))</f>
        <v/>
      </c>
      <c r="AA1168" s="59" t="str">
        <f>IF(AC1168=1,N(H1168)*N(IFERROR(INDEX(art_cost,MATCH(E1168,art_ref,0)),0)),"")</f>
        <v/>
      </c>
      <c r="AB1168" s="58" t="str">
        <f>IF(COUNTA(A1168:I1168)=0,"",IF(N(A1168)&lt;=0,"Date manquante ou invalide",IF(B1168="","Équipe manquante",IF(ISNA(MATCH(B1168,eq_code,0)),"Équipe inconnue",IF(INDEX(eq_check,MATCH(B1168,eq_code,0))&lt;&gt;"OK","Équipe à corriger dans Paramètres",IF(C1168="","Poste manquant",IF(ISNA(MATCH(C1168,po_code,0)),"Poste inconnu",IF(AND(E1168&lt;&gt;"",ISNA(MATCH(E1168,art_ref,0))),"Article inconnu",IF(IF(E1168="",FALSE,INDEX(art_check,MATCH(E1168,art_ref,0))&lt;&gt;"OK"),"Article à corriger (feuille Articles)",IF(COUNTIFS(sj_date,A1168,sj_eq,B1168,sj_po,C1168)&gt;1,"Ligne en double (même jour, équipe et poste)",IF(OR(NOT(ISNUMBER(K1168)),N(K1168)&lt;=0,N(K1168)&gt;1440),"Temps d'ouverture invalide",IF(OR(AND(G1168&lt;&gt;"",NOT(ISNUMBER(G1168))),N(G1168)&lt;0,N(G1168)&lt;&gt;INT(N(G1168)),AND(H1168&lt;&gt;"",NOT(ISNUMBER(H1168))),N(H1168)&lt;0,N(H1168)&lt;&gt;INT(N(H1168)),AND(I1168&lt;&gt;"",NOT(ISNUMBER(I1168))),N(I1168)&lt;0,N(I1168)&lt;&gt;INT(N(I1168))),"Quantité invalide",IF(Q1168&lt;=0,"Cadence manquante (poste ou article)",IF(M1168&lt;=0,"Arrêts planifiés supérieurs au temps d'ouverture",IF(O1168&lt;0,"Arrêts supérieurs au temps requis",IF(AND(P1168&gt;0,O1168=0),"Pièces déclarées sans temps de marche",IF(AND(P1168=0,O1168&gt;0),"Aucune pièce déclarée",IF(P1168*60/Q1168&gt;O1168+0.001,"Cadence dépassée : vérifiez la cadence","OK"))))))))))))))))))</f>
        <v/>
      </c>
      <c r="AC1168">
        <f>IF(OR(AB1168="OK",AB1168="Aucune pièce déclarée",AB1168="Cadence dépassée : vérifiez la cadence"),1,0)</f>
        <v>0.0</v>
      </c>
      <c r="AD1168">
        <f>IF(AND(AC1168=1,A1168&gt;=p_from,A1168&lt;=p_to),1,0)</f>
        <v>0.0</v>
      </c>
      <c r="AE1168">
        <f>IF(AD1168=1,IF(COUNTIFS($A$6:A1168,A1168,$AD$6:AD1168,1)=1,1,0),0)</f>
        <v>0.0</v>
      </c>
      <c r="AF1168" t="str">
        <f>IF(AE1168=1,COUNTIFS(sj_first,1,sj_date,"&lt;"&amp;A1168)+1,"")</f>
        <v/>
      </c>
      <c r="AG1168" t="str">
        <f>IF(AND(AD1168=1,N(W1168)&lt;p_alert),ROUND(W1168,4),"")</f>
        <v/>
      </c>
      <c r="AH1168" t="str">
        <f>IF(AG1168="","",COUNTIF(sj_akey,"&lt;"&amp;AG1168)+COUNTIF($AG$6:AG1168,AG1168))</f>
        <v/>
      </c>
    </row>
    <row r="1169">
      <c r="A1169" s="51" t="n"/>
      <c r="B1169" s="52" t="n"/>
      <c r="C1169" s="52" t="n"/>
      <c r="D1169" s="53" t="n"/>
      <c r="E1169" s="53" t="n"/>
      <c r="F1169" s="54" t="n"/>
      <c r="G1169" s="54" t="n"/>
      <c r="H1169" s="54" t="n"/>
      <c r="I1169" s="54" t="n"/>
      <c r="J1169" s="53" t="n"/>
      <c r="K1169" s="55" t="str">
        <f>IF(COUNTA(A1169:I1169)=0,"",IF(F1169="",IFERROR(INDEX(eq_dur,MATCH(B1169,eq_code,0)),""),F1169))</f>
        <v/>
      </c>
      <c r="L1169" s="55" t="str">
        <f>IF(ISNUMBER(K1169),N(IFERROR(INDEX(eq_pause,MATCH(B1169,eq_code,0)),0))+SUMIFS(st_min,st_date,A1169,st_eq,B1169,st_po,C1169,st_type,"Planifié"),"")</f>
        <v/>
      </c>
      <c r="M1169" s="55" t="str">
        <f>IF(ISNUMBER(K1169),K1169-L1169,"")</f>
        <v/>
      </c>
      <c r="N1169" s="55" t="str">
        <f>IF(ISNUMBER(K1169),SUMIFS(st_min,st_date,A1169,st_eq,B1169,st_po,C1169,st_type,"Non planifié"),"")</f>
        <v/>
      </c>
      <c r="O1169" s="55" t="str">
        <f>IF(ISNUMBER(K1169),M1169-N1169,"")</f>
        <v/>
      </c>
      <c r="P1169" s="55" t="str">
        <f>IF(COUNTA(A1169:I1169)=0,"",N(G1169)+N(H1169)+N(I1169))</f>
        <v/>
      </c>
      <c r="Q1169" s="56" t="str">
        <f>IF(COUNTA(A1169:I1169)=0,"",IF(N(IFERROR(INDEX(art_rate,MATCH(E1169,art_ref,0)),0))&gt;0,N(IFERROR(INDEX(art_rate,MATCH(E1169,art_ref,0)),0)),N(IFERROR(INDEX(po_rate,MATCH(C1169,po_code,0)),0))))</f>
        <v/>
      </c>
      <c r="R1169" s="55" t="str">
        <f>IF(AC1169=1,P1169*60/Q1169,"")</f>
        <v/>
      </c>
      <c r="S1169" s="55" t="str">
        <f>IF(AC1169=1,N(G1169)*60/Q1169,"")</f>
        <v/>
      </c>
      <c r="T1169" s="57" t="str">
        <f>IF(AC1169=1,O1169/M1169,"")</f>
        <v/>
      </c>
      <c r="U1169" s="57" t="str">
        <f>IF(AC1169=1,IF(O1169&gt;0,R1169/O1169,""),"")</f>
        <v/>
      </c>
      <c r="V1169" s="57" t="str">
        <f>IF(AC1169=1,IF(P1169&gt;0,N(G1169)/P1169,""),"")</f>
        <v/>
      </c>
      <c r="W1169" s="57" t="str">
        <f>IF(AC1169=1,S1169/M1169,"")</f>
        <v/>
      </c>
      <c r="X1169" s="57" t="str">
        <f>IF(AC1169=1,S1169/K1169,"")</f>
        <v/>
      </c>
      <c r="Y1169" s="58" t="str">
        <f>IF(W1169="","",IF(W1169&gt;=p_target,"Bon",IF(W1169&gt;=p_alert,"À surveiller","Faible")))</f>
        <v/>
      </c>
      <c r="Z1169" s="58" t="str">
        <f>IF(W1169="","",IF(MIN(IF(T1169="",1,T1169),IF(U1169="",1,U1169),IF(V1169="",1,V1169))&gt;=1,"Aucune",IF(IF(T1169="",1,T1169)&lt;=MIN(IF(U1169="",1,U1169),IF(V1169="",1,V1169)),"Disponibilité",IF(IF(U1169="",1,U1169)&lt;=IF(V1169="",1,V1169),"Performance","Qualité"))))</f>
        <v/>
      </c>
      <c r="AA1169" s="59" t="str">
        <f>IF(AC1169=1,N(H1169)*N(IFERROR(INDEX(art_cost,MATCH(E1169,art_ref,0)),0)),"")</f>
        <v/>
      </c>
      <c r="AB1169" s="58" t="str">
        <f>IF(COUNTA(A1169:I1169)=0,"",IF(N(A1169)&lt;=0,"Date manquante ou invalide",IF(B1169="","Équipe manquante",IF(ISNA(MATCH(B1169,eq_code,0)),"Équipe inconnue",IF(INDEX(eq_check,MATCH(B1169,eq_code,0))&lt;&gt;"OK","Équipe à corriger dans Paramètres",IF(C1169="","Poste manquant",IF(ISNA(MATCH(C1169,po_code,0)),"Poste inconnu",IF(AND(E1169&lt;&gt;"",ISNA(MATCH(E1169,art_ref,0))),"Article inconnu",IF(IF(E1169="",FALSE,INDEX(art_check,MATCH(E1169,art_ref,0))&lt;&gt;"OK"),"Article à corriger (feuille Articles)",IF(COUNTIFS(sj_date,A1169,sj_eq,B1169,sj_po,C1169)&gt;1,"Ligne en double (même jour, équipe et poste)",IF(OR(NOT(ISNUMBER(K1169)),N(K1169)&lt;=0,N(K1169)&gt;1440),"Temps d'ouverture invalide",IF(OR(AND(G1169&lt;&gt;"",NOT(ISNUMBER(G1169))),N(G1169)&lt;0,N(G1169)&lt;&gt;INT(N(G1169)),AND(H1169&lt;&gt;"",NOT(ISNUMBER(H1169))),N(H1169)&lt;0,N(H1169)&lt;&gt;INT(N(H1169)),AND(I1169&lt;&gt;"",NOT(ISNUMBER(I1169))),N(I1169)&lt;0,N(I1169)&lt;&gt;INT(N(I1169))),"Quantité invalide",IF(Q1169&lt;=0,"Cadence manquante (poste ou article)",IF(M1169&lt;=0,"Arrêts planifiés supérieurs au temps d'ouverture",IF(O1169&lt;0,"Arrêts supérieurs au temps requis",IF(AND(P1169&gt;0,O1169=0),"Pièces déclarées sans temps de marche",IF(AND(P1169=0,O1169&gt;0),"Aucune pièce déclarée",IF(P1169*60/Q1169&gt;O1169+0.001,"Cadence dépassée : vérifiez la cadence","OK"))))))))))))))))))</f>
        <v/>
      </c>
      <c r="AC1169">
        <f>IF(OR(AB1169="OK",AB1169="Aucune pièce déclarée",AB1169="Cadence dépassée : vérifiez la cadence"),1,0)</f>
        <v>0.0</v>
      </c>
      <c r="AD1169">
        <f>IF(AND(AC1169=1,A1169&gt;=p_from,A1169&lt;=p_to),1,0)</f>
        <v>0.0</v>
      </c>
      <c r="AE1169">
        <f>IF(AD1169=1,IF(COUNTIFS($A$6:A1169,A1169,$AD$6:AD1169,1)=1,1,0),0)</f>
        <v>0.0</v>
      </c>
      <c r="AF1169" t="str">
        <f>IF(AE1169=1,COUNTIFS(sj_first,1,sj_date,"&lt;"&amp;A1169)+1,"")</f>
        <v/>
      </c>
      <c r="AG1169" t="str">
        <f>IF(AND(AD1169=1,N(W1169)&lt;p_alert),ROUND(W1169,4),"")</f>
        <v/>
      </c>
      <c r="AH1169" t="str">
        <f>IF(AG1169="","",COUNTIF(sj_akey,"&lt;"&amp;AG1169)+COUNTIF($AG$6:AG1169,AG1169))</f>
        <v/>
      </c>
    </row>
    <row r="1170">
      <c r="A1170" s="51" t="n"/>
      <c r="B1170" s="52" t="n"/>
      <c r="C1170" s="52" t="n"/>
      <c r="D1170" s="53" t="n"/>
      <c r="E1170" s="53" t="n"/>
      <c r="F1170" s="54" t="n"/>
      <c r="G1170" s="54" t="n"/>
      <c r="H1170" s="54" t="n"/>
      <c r="I1170" s="54" t="n"/>
      <c r="J1170" s="53" t="n"/>
      <c r="K1170" s="55" t="str">
        <f>IF(COUNTA(A1170:I1170)=0,"",IF(F1170="",IFERROR(INDEX(eq_dur,MATCH(B1170,eq_code,0)),""),F1170))</f>
        <v/>
      </c>
      <c r="L1170" s="55" t="str">
        <f>IF(ISNUMBER(K1170),N(IFERROR(INDEX(eq_pause,MATCH(B1170,eq_code,0)),0))+SUMIFS(st_min,st_date,A1170,st_eq,B1170,st_po,C1170,st_type,"Planifié"),"")</f>
        <v/>
      </c>
      <c r="M1170" s="55" t="str">
        <f>IF(ISNUMBER(K1170),K1170-L1170,"")</f>
        <v/>
      </c>
      <c r="N1170" s="55" t="str">
        <f>IF(ISNUMBER(K1170),SUMIFS(st_min,st_date,A1170,st_eq,B1170,st_po,C1170,st_type,"Non planifié"),"")</f>
        <v/>
      </c>
      <c r="O1170" s="55" t="str">
        <f>IF(ISNUMBER(K1170),M1170-N1170,"")</f>
        <v/>
      </c>
      <c r="P1170" s="55" t="str">
        <f>IF(COUNTA(A1170:I1170)=0,"",N(G1170)+N(H1170)+N(I1170))</f>
        <v/>
      </c>
      <c r="Q1170" s="56" t="str">
        <f>IF(COUNTA(A1170:I1170)=0,"",IF(N(IFERROR(INDEX(art_rate,MATCH(E1170,art_ref,0)),0))&gt;0,N(IFERROR(INDEX(art_rate,MATCH(E1170,art_ref,0)),0)),N(IFERROR(INDEX(po_rate,MATCH(C1170,po_code,0)),0))))</f>
        <v/>
      </c>
      <c r="R1170" s="55" t="str">
        <f>IF(AC1170=1,P1170*60/Q1170,"")</f>
        <v/>
      </c>
      <c r="S1170" s="55" t="str">
        <f>IF(AC1170=1,N(G1170)*60/Q1170,"")</f>
        <v/>
      </c>
      <c r="T1170" s="57" t="str">
        <f>IF(AC1170=1,O1170/M1170,"")</f>
        <v/>
      </c>
      <c r="U1170" s="57" t="str">
        <f>IF(AC1170=1,IF(O1170&gt;0,R1170/O1170,""),"")</f>
        <v/>
      </c>
      <c r="V1170" s="57" t="str">
        <f>IF(AC1170=1,IF(P1170&gt;0,N(G1170)/P1170,""),"")</f>
        <v/>
      </c>
      <c r="W1170" s="57" t="str">
        <f>IF(AC1170=1,S1170/M1170,"")</f>
        <v/>
      </c>
      <c r="X1170" s="57" t="str">
        <f>IF(AC1170=1,S1170/K1170,"")</f>
        <v/>
      </c>
      <c r="Y1170" s="58" t="str">
        <f>IF(W1170="","",IF(W1170&gt;=p_target,"Bon",IF(W1170&gt;=p_alert,"À surveiller","Faible")))</f>
        <v/>
      </c>
      <c r="Z1170" s="58" t="str">
        <f>IF(W1170="","",IF(MIN(IF(T1170="",1,T1170),IF(U1170="",1,U1170),IF(V1170="",1,V1170))&gt;=1,"Aucune",IF(IF(T1170="",1,T1170)&lt;=MIN(IF(U1170="",1,U1170),IF(V1170="",1,V1170)),"Disponibilité",IF(IF(U1170="",1,U1170)&lt;=IF(V1170="",1,V1170),"Performance","Qualité"))))</f>
        <v/>
      </c>
      <c r="AA1170" s="59" t="str">
        <f>IF(AC1170=1,N(H1170)*N(IFERROR(INDEX(art_cost,MATCH(E1170,art_ref,0)),0)),"")</f>
        <v/>
      </c>
      <c r="AB1170" s="58" t="str">
        <f>IF(COUNTA(A1170:I1170)=0,"",IF(N(A1170)&lt;=0,"Date manquante ou invalide",IF(B1170="","Équipe manquante",IF(ISNA(MATCH(B1170,eq_code,0)),"Équipe inconnue",IF(INDEX(eq_check,MATCH(B1170,eq_code,0))&lt;&gt;"OK","Équipe à corriger dans Paramètres",IF(C1170="","Poste manquant",IF(ISNA(MATCH(C1170,po_code,0)),"Poste inconnu",IF(AND(E1170&lt;&gt;"",ISNA(MATCH(E1170,art_ref,0))),"Article inconnu",IF(IF(E1170="",FALSE,INDEX(art_check,MATCH(E1170,art_ref,0))&lt;&gt;"OK"),"Article à corriger (feuille Articles)",IF(COUNTIFS(sj_date,A1170,sj_eq,B1170,sj_po,C1170)&gt;1,"Ligne en double (même jour, équipe et poste)",IF(OR(NOT(ISNUMBER(K1170)),N(K1170)&lt;=0,N(K1170)&gt;1440),"Temps d'ouverture invalide",IF(OR(AND(G1170&lt;&gt;"",NOT(ISNUMBER(G1170))),N(G1170)&lt;0,N(G1170)&lt;&gt;INT(N(G1170)),AND(H1170&lt;&gt;"",NOT(ISNUMBER(H1170))),N(H1170)&lt;0,N(H1170)&lt;&gt;INT(N(H1170)),AND(I1170&lt;&gt;"",NOT(ISNUMBER(I1170))),N(I1170)&lt;0,N(I1170)&lt;&gt;INT(N(I1170))),"Quantité invalide",IF(Q1170&lt;=0,"Cadence manquante (poste ou article)",IF(M1170&lt;=0,"Arrêts planifiés supérieurs au temps d'ouverture",IF(O1170&lt;0,"Arrêts supérieurs au temps requis",IF(AND(P1170&gt;0,O1170=0),"Pièces déclarées sans temps de marche",IF(AND(P1170=0,O1170&gt;0),"Aucune pièce déclarée",IF(P1170*60/Q1170&gt;O1170+0.001,"Cadence dépassée : vérifiez la cadence","OK"))))))))))))))))))</f>
        <v/>
      </c>
      <c r="AC1170">
        <f>IF(OR(AB1170="OK",AB1170="Aucune pièce déclarée",AB1170="Cadence dépassée : vérifiez la cadence"),1,0)</f>
        <v>0.0</v>
      </c>
      <c r="AD1170">
        <f>IF(AND(AC1170=1,A1170&gt;=p_from,A1170&lt;=p_to),1,0)</f>
        <v>0.0</v>
      </c>
      <c r="AE1170">
        <f>IF(AD1170=1,IF(COUNTIFS($A$6:A1170,A1170,$AD$6:AD1170,1)=1,1,0),0)</f>
        <v>0.0</v>
      </c>
      <c r="AF1170" t="str">
        <f>IF(AE1170=1,COUNTIFS(sj_first,1,sj_date,"&lt;"&amp;A1170)+1,"")</f>
        <v/>
      </c>
      <c r="AG1170" t="str">
        <f>IF(AND(AD1170=1,N(W1170)&lt;p_alert),ROUND(W1170,4),"")</f>
        <v/>
      </c>
      <c r="AH1170" t="str">
        <f>IF(AG1170="","",COUNTIF(sj_akey,"&lt;"&amp;AG1170)+COUNTIF($AG$6:AG1170,AG1170))</f>
        <v/>
      </c>
    </row>
    <row r="1171">
      <c r="A1171" s="51" t="n"/>
      <c r="B1171" s="52" t="n"/>
      <c r="C1171" s="52" t="n"/>
      <c r="D1171" s="53" t="n"/>
      <c r="E1171" s="53" t="n"/>
      <c r="F1171" s="54" t="n"/>
      <c r="G1171" s="54" t="n"/>
      <c r="H1171" s="54" t="n"/>
      <c r="I1171" s="54" t="n"/>
      <c r="J1171" s="53" t="n"/>
      <c r="K1171" s="55" t="str">
        <f>IF(COUNTA(A1171:I1171)=0,"",IF(F1171="",IFERROR(INDEX(eq_dur,MATCH(B1171,eq_code,0)),""),F1171))</f>
        <v/>
      </c>
      <c r="L1171" s="55" t="str">
        <f>IF(ISNUMBER(K1171),N(IFERROR(INDEX(eq_pause,MATCH(B1171,eq_code,0)),0))+SUMIFS(st_min,st_date,A1171,st_eq,B1171,st_po,C1171,st_type,"Planifié"),"")</f>
        <v/>
      </c>
      <c r="M1171" s="55" t="str">
        <f>IF(ISNUMBER(K1171),K1171-L1171,"")</f>
        <v/>
      </c>
      <c r="N1171" s="55" t="str">
        <f>IF(ISNUMBER(K1171),SUMIFS(st_min,st_date,A1171,st_eq,B1171,st_po,C1171,st_type,"Non planifié"),"")</f>
        <v/>
      </c>
      <c r="O1171" s="55" t="str">
        <f>IF(ISNUMBER(K1171),M1171-N1171,"")</f>
        <v/>
      </c>
      <c r="P1171" s="55" t="str">
        <f>IF(COUNTA(A1171:I1171)=0,"",N(G1171)+N(H1171)+N(I1171))</f>
        <v/>
      </c>
      <c r="Q1171" s="56" t="str">
        <f>IF(COUNTA(A1171:I1171)=0,"",IF(N(IFERROR(INDEX(art_rate,MATCH(E1171,art_ref,0)),0))&gt;0,N(IFERROR(INDEX(art_rate,MATCH(E1171,art_ref,0)),0)),N(IFERROR(INDEX(po_rate,MATCH(C1171,po_code,0)),0))))</f>
        <v/>
      </c>
      <c r="R1171" s="55" t="str">
        <f>IF(AC1171=1,P1171*60/Q1171,"")</f>
        <v/>
      </c>
      <c r="S1171" s="55" t="str">
        <f>IF(AC1171=1,N(G1171)*60/Q1171,"")</f>
        <v/>
      </c>
      <c r="T1171" s="57" t="str">
        <f>IF(AC1171=1,O1171/M1171,"")</f>
        <v/>
      </c>
      <c r="U1171" s="57" t="str">
        <f>IF(AC1171=1,IF(O1171&gt;0,R1171/O1171,""),"")</f>
        <v/>
      </c>
      <c r="V1171" s="57" t="str">
        <f>IF(AC1171=1,IF(P1171&gt;0,N(G1171)/P1171,""),"")</f>
        <v/>
      </c>
      <c r="W1171" s="57" t="str">
        <f>IF(AC1171=1,S1171/M1171,"")</f>
        <v/>
      </c>
      <c r="X1171" s="57" t="str">
        <f>IF(AC1171=1,S1171/K1171,"")</f>
        <v/>
      </c>
      <c r="Y1171" s="58" t="str">
        <f>IF(W1171="","",IF(W1171&gt;=p_target,"Bon",IF(W1171&gt;=p_alert,"À surveiller","Faible")))</f>
        <v/>
      </c>
      <c r="Z1171" s="58" t="str">
        <f>IF(W1171="","",IF(MIN(IF(T1171="",1,T1171),IF(U1171="",1,U1171),IF(V1171="",1,V1171))&gt;=1,"Aucune",IF(IF(T1171="",1,T1171)&lt;=MIN(IF(U1171="",1,U1171),IF(V1171="",1,V1171)),"Disponibilité",IF(IF(U1171="",1,U1171)&lt;=IF(V1171="",1,V1171),"Performance","Qualité"))))</f>
        <v/>
      </c>
      <c r="AA1171" s="59" t="str">
        <f>IF(AC1171=1,N(H1171)*N(IFERROR(INDEX(art_cost,MATCH(E1171,art_ref,0)),0)),"")</f>
        <v/>
      </c>
      <c r="AB1171" s="58" t="str">
        <f>IF(COUNTA(A1171:I1171)=0,"",IF(N(A1171)&lt;=0,"Date manquante ou invalide",IF(B1171="","Équipe manquante",IF(ISNA(MATCH(B1171,eq_code,0)),"Équipe inconnue",IF(INDEX(eq_check,MATCH(B1171,eq_code,0))&lt;&gt;"OK","Équipe à corriger dans Paramètres",IF(C1171="","Poste manquant",IF(ISNA(MATCH(C1171,po_code,0)),"Poste inconnu",IF(AND(E1171&lt;&gt;"",ISNA(MATCH(E1171,art_ref,0))),"Article inconnu",IF(IF(E1171="",FALSE,INDEX(art_check,MATCH(E1171,art_ref,0))&lt;&gt;"OK"),"Article à corriger (feuille Articles)",IF(COUNTIFS(sj_date,A1171,sj_eq,B1171,sj_po,C1171)&gt;1,"Ligne en double (même jour, équipe et poste)",IF(OR(NOT(ISNUMBER(K1171)),N(K1171)&lt;=0,N(K1171)&gt;1440),"Temps d'ouverture invalide",IF(OR(AND(G1171&lt;&gt;"",NOT(ISNUMBER(G1171))),N(G1171)&lt;0,N(G1171)&lt;&gt;INT(N(G1171)),AND(H1171&lt;&gt;"",NOT(ISNUMBER(H1171))),N(H1171)&lt;0,N(H1171)&lt;&gt;INT(N(H1171)),AND(I1171&lt;&gt;"",NOT(ISNUMBER(I1171))),N(I1171)&lt;0,N(I1171)&lt;&gt;INT(N(I1171))),"Quantité invalide",IF(Q1171&lt;=0,"Cadence manquante (poste ou article)",IF(M1171&lt;=0,"Arrêts planifiés supérieurs au temps d'ouverture",IF(O1171&lt;0,"Arrêts supérieurs au temps requis",IF(AND(P1171&gt;0,O1171=0),"Pièces déclarées sans temps de marche",IF(AND(P1171=0,O1171&gt;0),"Aucune pièce déclarée",IF(P1171*60/Q1171&gt;O1171+0.001,"Cadence dépassée : vérifiez la cadence","OK"))))))))))))))))))</f>
        <v/>
      </c>
      <c r="AC1171">
        <f>IF(OR(AB1171="OK",AB1171="Aucune pièce déclarée",AB1171="Cadence dépassée : vérifiez la cadence"),1,0)</f>
        <v>0.0</v>
      </c>
      <c r="AD1171">
        <f>IF(AND(AC1171=1,A1171&gt;=p_from,A1171&lt;=p_to),1,0)</f>
        <v>0.0</v>
      </c>
      <c r="AE1171">
        <f>IF(AD1171=1,IF(COUNTIFS($A$6:A1171,A1171,$AD$6:AD1171,1)=1,1,0),0)</f>
        <v>0.0</v>
      </c>
      <c r="AF1171" t="str">
        <f>IF(AE1171=1,COUNTIFS(sj_first,1,sj_date,"&lt;"&amp;A1171)+1,"")</f>
        <v/>
      </c>
      <c r="AG1171" t="str">
        <f>IF(AND(AD1171=1,N(W1171)&lt;p_alert),ROUND(W1171,4),"")</f>
        <v/>
      </c>
      <c r="AH1171" t="str">
        <f>IF(AG1171="","",COUNTIF(sj_akey,"&lt;"&amp;AG1171)+COUNTIF($AG$6:AG1171,AG1171))</f>
        <v/>
      </c>
    </row>
    <row r="1172">
      <c r="A1172" s="51" t="n"/>
      <c r="B1172" s="52" t="n"/>
      <c r="C1172" s="52" t="n"/>
      <c r="D1172" s="53" t="n"/>
      <c r="E1172" s="53" t="n"/>
      <c r="F1172" s="54" t="n"/>
      <c r="G1172" s="54" t="n"/>
      <c r="H1172" s="54" t="n"/>
      <c r="I1172" s="54" t="n"/>
      <c r="J1172" s="53" t="n"/>
      <c r="K1172" s="55" t="str">
        <f>IF(COUNTA(A1172:I1172)=0,"",IF(F1172="",IFERROR(INDEX(eq_dur,MATCH(B1172,eq_code,0)),""),F1172))</f>
        <v/>
      </c>
      <c r="L1172" s="55" t="str">
        <f>IF(ISNUMBER(K1172),N(IFERROR(INDEX(eq_pause,MATCH(B1172,eq_code,0)),0))+SUMIFS(st_min,st_date,A1172,st_eq,B1172,st_po,C1172,st_type,"Planifié"),"")</f>
        <v/>
      </c>
      <c r="M1172" s="55" t="str">
        <f>IF(ISNUMBER(K1172),K1172-L1172,"")</f>
        <v/>
      </c>
      <c r="N1172" s="55" t="str">
        <f>IF(ISNUMBER(K1172),SUMIFS(st_min,st_date,A1172,st_eq,B1172,st_po,C1172,st_type,"Non planifié"),"")</f>
        <v/>
      </c>
      <c r="O1172" s="55" t="str">
        <f>IF(ISNUMBER(K1172),M1172-N1172,"")</f>
        <v/>
      </c>
      <c r="P1172" s="55" t="str">
        <f>IF(COUNTA(A1172:I1172)=0,"",N(G1172)+N(H1172)+N(I1172))</f>
        <v/>
      </c>
      <c r="Q1172" s="56" t="str">
        <f>IF(COUNTA(A1172:I1172)=0,"",IF(N(IFERROR(INDEX(art_rate,MATCH(E1172,art_ref,0)),0))&gt;0,N(IFERROR(INDEX(art_rate,MATCH(E1172,art_ref,0)),0)),N(IFERROR(INDEX(po_rate,MATCH(C1172,po_code,0)),0))))</f>
        <v/>
      </c>
      <c r="R1172" s="55" t="str">
        <f>IF(AC1172=1,P1172*60/Q1172,"")</f>
        <v/>
      </c>
      <c r="S1172" s="55" t="str">
        <f>IF(AC1172=1,N(G1172)*60/Q1172,"")</f>
        <v/>
      </c>
      <c r="T1172" s="57" t="str">
        <f>IF(AC1172=1,O1172/M1172,"")</f>
        <v/>
      </c>
      <c r="U1172" s="57" t="str">
        <f>IF(AC1172=1,IF(O1172&gt;0,R1172/O1172,""),"")</f>
        <v/>
      </c>
      <c r="V1172" s="57" t="str">
        <f>IF(AC1172=1,IF(P1172&gt;0,N(G1172)/P1172,""),"")</f>
        <v/>
      </c>
      <c r="W1172" s="57" t="str">
        <f>IF(AC1172=1,S1172/M1172,"")</f>
        <v/>
      </c>
      <c r="X1172" s="57" t="str">
        <f>IF(AC1172=1,S1172/K1172,"")</f>
        <v/>
      </c>
      <c r="Y1172" s="58" t="str">
        <f>IF(W1172="","",IF(W1172&gt;=p_target,"Bon",IF(W1172&gt;=p_alert,"À surveiller","Faible")))</f>
        <v/>
      </c>
      <c r="Z1172" s="58" t="str">
        <f>IF(W1172="","",IF(MIN(IF(T1172="",1,T1172),IF(U1172="",1,U1172),IF(V1172="",1,V1172))&gt;=1,"Aucune",IF(IF(T1172="",1,T1172)&lt;=MIN(IF(U1172="",1,U1172),IF(V1172="",1,V1172)),"Disponibilité",IF(IF(U1172="",1,U1172)&lt;=IF(V1172="",1,V1172),"Performance","Qualité"))))</f>
        <v/>
      </c>
      <c r="AA1172" s="59" t="str">
        <f>IF(AC1172=1,N(H1172)*N(IFERROR(INDEX(art_cost,MATCH(E1172,art_ref,0)),0)),"")</f>
        <v/>
      </c>
      <c r="AB1172" s="58" t="str">
        <f>IF(COUNTA(A1172:I1172)=0,"",IF(N(A1172)&lt;=0,"Date manquante ou invalide",IF(B1172="","Équipe manquante",IF(ISNA(MATCH(B1172,eq_code,0)),"Équipe inconnue",IF(INDEX(eq_check,MATCH(B1172,eq_code,0))&lt;&gt;"OK","Équipe à corriger dans Paramètres",IF(C1172="","Poste manquant",IF(ISNA(MATCH(C1172,po_code,0)),"Poste inconnu",IF(AND(E1172&lt;&gt;"",ISNA(MATCH(E1172,art_ref,0))),"Article inconnu",IF(IF(E1172="",FALSE,INDEX(art_check,MATCH(E1172,art_ref,0))&lt;&gt;"OK"),"Article à corriger (feuille Articles)",IF(COUNTIFS(sj_date,A1172,sj_eq,B1172,sj_po,C1172)&gt;1,"Ligne en double (même jour, équipe et poste)",IF(OR(NOT(ISNUMBER(K1172)),N(K1172)&lt;=0,N(K1172)&gt;1440),"Temps d'ouverture invalide",IF(OR(AND(G1172&lt;&gt;"",NOT(ISNUMBER(G1172))),N(G1172)&lt;0,N(G1172)&lt;&gt;INT(N(G1172)),AND(H1172&lt;&gt;"",NOT(ISNUMBER(H1172))),N(H1172)&lt;0,N(H1172)&lt;&gt;INT(N(H1172)),AND(I1172&lt;&gt;"",NOT(ISNUMBER(I1172))),N(I1172)&lt;0,N(I1172)&lt;&gt;INT(N(I1172))),"Quantité invalide",IF(Q1172&lt;=0,"Cadence manquante (poste ou article)",IF(M1172&lt;=0,"Arrêts planifiés supérieurs au temps d'ouverture",IF(O1172&lt;0,"Arrêts supérieurs au temps requis",IF(AND(P1172&gt;0,O1172=0),"Pièces déclarées sans temps de marche",IF(AND(P1172=0,O1172&gt;0),"Aucune pièce déclarée",IF(P1172*60/Q1172&gt;O1172+0.001,"Cadence dépassée : vérifiez la cadence","OK"))))))))))))))))))</f>
        <v/>
      </c>
      <c r="AC1172">
        <f>IF(OR(AB1172="OK",AB1172="Aucune pièce déclarée",AB1172="Cadence dépassée : vérifiez la cadence"),1,0)</f>
        <v>0.0</v>
      </c>
      <c r="AD1172">
        <f>IF(AND(AC1172=1,A1172&gt;=p_from,A1172&lt;=p_to),1,0)</f>
        <v>0.0</v>
      </c>
      <c r="AE1172">
        <f>IF(AD1172=1,IF(COUNTIFS($A$6:A1172,A1172,$AD$6:AD1172,1)=1,1,0),0)</f>
        <v>0.0</v>
      </c>
      <c r="AF1172" t="str">
        <f>IF(AE1172=1,COUNTIFS(sj_first,1,sj_date,"&lt;"&amp;A1172)+1,"")</f>
        <v/>
      </c>
      <c r="AG1172" t="str">
        <f>IF(AND(AD1172=1,N(W1172)&lt;p_alert),ROUND(W1172,4),"")</f>
        <v/>
      </c>
      <c r="AH1172" t="str">
        <f>IF(AG1172="","",COUNTIF(sj_akey,"&lt;"&amp;AG1172)+COUNTIF($AG$6:AG1172,AG1172))</f>
        <v/>
      </c>
    </row>
    <row r="1173">
      <c r="A1173" s="51" t="n"/>
      <c r="B1173" s="52" t="n"/>
      <c r="C1173" s="52" t="n"/>
      <c r="D1173" s="53" t="n"/>
      <c r="E1173" s="53" t="n"/>
      <c r="F1173" s="54" t="n"/>
      <c r="G1173" s="54" t="n"/>
      <c r="H1173" s="54" t="n"/>
      <c r="I1173" s="54" t="n"/>
      <c r="J1173" s="53" t="n"/>
      <c r="K1173" s="55" t="str">
        <f>IF(COUNTA(A1173:I1173)=0,"",IF(F1173="",IFERROR(INDEX(eq_dur,MATCH(B1173,eq_code,0)),""),F1173))</f>
        <v/>
      </c>
      <c r="L1173" s="55" t="str">
        <f>IF(ISNUMBER(K1173),N(IFERROR(INDEX(eq_pause,MATCH(B1173,eq_code,0)),0))+SUMIFS(st_min,st_date,A1173,st_eq,B1173,st_po,C1173,st_type,"Planifié"),"")</f>
        <v/>
      </c>
      <c r="M1173" s="55" t="str">
        <f>IF(ISNUMBER(K1173),K1173-L1173,"")</f>
        <v/>
      </c>
      <c r="N1173" s="55" t="str">
        <f>IF(ISNUMBER(K1173),SUMIFS(st_min,st_date,A1173,st_eq,B1173,st_po,C1173,st_type,"Non planifié"),"")</f>
        <v/>
      </c>
      <c r="O1173" s="55" t="str">
        <f>IF(ISNUMBER(K1173),M1173-N1173,"")</f>
        <v/>
      </c>
      <c r="P1173" s="55" t="str">
        <f>IF(COUNTA(A1173:I1173)=0,"",N(G1173)+N(H1173)+N(I1173))</f>
        <v/>
      </c>
      <c r="Q1173" s="56" t="str">
        <f>IF(COUNTA(A1173:I1173)=0,"",IF(N(IFERROR(INDEX(art_rate,MATCH(E1173,art_ref,0)),0))&gt;0,N(IFERROR(INDEX(art_rate,MATCH(E1173,art_ref,0)),0)),N(IFERROR(INDEX(po_rate,MATCH(C1173,po_code,0)),0))))</f>
        <v/>
      </c>
      <c r="R1173" s="55" t="str">
        <f>IF(AC1173=1,P1173*60/Q1173,"")</f>
        <v/>
      </c>
      <c r="S1173" s="55" t="str">
        <f>IF(AC1173=1,N(G1173)*60/Q1173,"")</f>
        <v/>
      </c>
      <c r="T1173" s="57" t="str">
        <f>IF(AC1173=1,O1173/M1173,"")</f>
        <v/>
      </c>
      <c r="U1173" s="57" t="str">
        <f>IF(AC1173=1,IF(O1173&gt;0,R1173/O1173,""),"")</f>
        <v/>
      </c>
      <c r="V1173" s="57" t="str">
        <f>IF(AC1173=1,IF(P1173&gt;0,N(G1173)/P1173,""),"")</f>
        <v/>
      </c>
      <c r="W1173" s="57" t="str">
        <f>IF(AC1173=1,S1173/M1173,"")</f>
        <v/>
      </c>
      <c r="X1173" s="57" t="str">
        <f>IF(AC1173=1,S1173/K1173,"")</f>
        <v/>
      </c>
      <c r="Y1173" s="58" t="str">
        <f>IF(W1173="","",IF(W1173&gt;=p_target,"Bon",IF(W1173&gt;=p_alert,"À surveiller","Faible")))</f>
        <v/>
      </c>
      <c r="Z1173" s="58" t="str">
        <f>IF(W1173="","",IF(MIN(IF(T1173="",1,T1173),IF(U1173="",1,U1173),IF(V1173="",1,V1173))&gt;=1,"Aucune",IF(IF(T1173="",1,T1173)&lt;=MIN(IF(U1173="",1,U1173),IF(V1173="",1,V1173)),"Disponibilité",IF(IF(U1173="",1,U1173)&lt;=IF(V1173="",1,V1173),"Performance","Qualité"))))</f>
        <v/>
      </c>
      <c r="AA1173" s="59" t="str">
        <f>IF(AC1173=1,N(H1173)*N(IFERROR(INDEX(art_cost,MATCH(E1173,art_ref,0)),0)),"")</f>
        <v/>
      </c>
      <c r="AB1173" s="58" t="str">
        <f>IF(COUNTA(A1173:I1173)=0,"",IF(N(A1173)&lt;=0,"Date manquante ou invalide",IF(B1173="","Équipe manquante",IF(ISNA(MATCH(B1173,eq_code,0)),"Équipe inconnue",IF(INDEX(eq_check,MATCH(B1173,eq_code,0))&lt;&gt;"OK","Équipe à corriger dans Paramètres",IF(C1173="","Poste manquant",IF(ISNA(MATCH(C1173,po_code,0)),"Poste inconnu",IF(AND(E1173&lt;&gt;"",ISNA(MATCH(E1173,art_ref,0))),"Article inconnu",IF(IF(E1173="",FALSE,INDEX(art_check,MATCH(E1173,art_ref,0))&lt;&gt;"OK"),"Article à corriger (feuille Articles)",IF(COUNTIFS(sj_date,A1173,sj_eq,B1173,sj_po,C1173)&gt;1,"Ligne en double (même jour, équipe et poste)",IF(OR(NOT(ISNUMBER(K1173)),N(K1173)&lt;=0,N(K1173)&gt;1440),"Temps d'ouverture invalide",IF(OR(AND(G1173&lt;&gt;"",NOT(ISNUMBER(G1173))),N(G1173)&lt;0,N(G1173)&lt;&gt;INT(N(G1173)),AND(H1173&lt;&gt;"",NOT(ISNUMBER(H1173))),N(H1173)&lt;0,N(H1173)&lt;&gt;INT(N(H1173)),AND(I1173&lt;&gt;"",NOT(ISNUMBER(I1173))),N(I1173)&lt;0,N(I1173)&lt;&gt;INT(N(I1173))),"Quantité invalide",IF(Q1173&lt;=0,"Cadence manquante (poste ou article)",IF(M1173&lt;=0,"Arrêts planifiés supérieurs au temps d'ouverture",IF(O1173&lt;0,"Arrêts supérieurs au temps requis",IF(AND(P1173&gt;0,O1173=0),"Pièces déclarées sans temps de marche",IF(AND(P1173=0,O1173&gt;0),"Aucune pièce déclarée",IF(P1173*60/Q1173&gt;O1173+0.001,"Cadence dépassée : vérifiez la cadence","OK"))))))))))))))))))</f>
        <v/>
      </c>
      <c r="AC1173">
        <f>IF(OR(AB1173="OK",AB1173="Aucune pièce déclarée",AB1173="Cadence dépassée : vérifiez la cadence"),1,0)</f>
        <v>0.0</v>
      </c>
      <c r="AD1173">
        <f>IF(AND(AC1173=1,A1173&gt;=p_from,A1173&lt;=p_to),1,0)</f>
        <v>0.0</v>
      </c>
      <c r="AE1173">
        <f>IF(AD1173=1,IF(COUNTIFS($A$6:A1173,A1173,$AD$6:AD1173,1)=1,1,0),0)</f>
        <v>0.0</v>
      </c>
      <c r="AF1173" t="str">
        <f>IF(AE1173=1,COUNTIFS(sj_first,1,sj_date,"&lt;"&amp;A1173)+1,"")</f>
        <v/>
      </c>
      <c r="AG1173" t="str">
        <f>IF(AND(AD1173=1,N(W1173)&lt;p_alert),ROUND(W1173,4),"")</f>
        <v/>
      </c>
      <c r="AH1173" t="str">
        <f>IF(AG1173="","",COUNTIF(sj_akey,"&lt;"&amp;AG1173)+COUNTIF($AG$6:AG1173,AG1173))</f>
        <v/>
      </c>
    </row>
    <row r="1174">
      <c r="A1174" s="51" t="n"/>
      <c r="B1174" s="52" t="n"/>
      <c r="C1174" s="52" t="n"/>
      <c r="D1174" s="53" t="n"/>
      <c r="E1174" s="53" t="n"/>
      <c r="F1174" s="54" t="n"/>
      <c r="G1174" s="54" t="n"/>
      <c r="H1174" s="54" t="n"/>
      <c r="I1174" s="54" t="n"/>
      <c r="J1174" s="53" t="n"/>
      <c r="K1174" s="55" t="str">
        <f>IF(COUNTA(A1174:I1174)=0,"",IF(F1174="",IFERROR(INDEX(eq_dur,MATCH(B1174,eq_code,0)),""),F1174))</f>
        <v/>
      </c>
      <c r="L1174" s="55" t="str">
        <f>IF(ISNUMBER(K1174),N(IFERROR(INDEX(eq_pause,MATCH(B1174,eq_code,0)),0))+SUMIFS(st_min,st_date,A1174,st_eq,B1174,st_po,C1174,st_type,"Planifié"),"")</f>
        <v/>
      </c>
      <c r="M1174" s="55" t="str">
        <f>IF(ISNUMBER(K1174),K1174-L1174,"")</f>
        <v/>
      </c>
      <c r="N1174" s="55" t="str">
        <f>IF(ISNUMBER(K1174),SUMIFS(st_min,st_date,A1174,st_eq,B1174,st_po,C1174,st_type,"Non planifié"),"")</f>
        <v/>
      </c>
      <c r="O1174" s="55" t="str">
        <f>IF(ISNUMBER(K1174),M1174-N1174,"")</f>
        <v/>
      </c>
      <c r="P1174" s="55" t="str">
        <f>IF(COUNTA(A1174:I1174)=0,"",N(G1174)+N(H1174)+N(I1174))</f>
        <v/>
      </c>
      <c r="Q1174" s="56" t="str">
        <f>IF(COUNTA(A1174:I1174)=0,"",IF(N(IFERROR(INDEX(art_rate,MATCH(E1174,art_ref,0)),0))&gt;0,N(IFERROR(INDEX(art_rate,MATCH(E1174,art_ref,0)),0)),N(IFERROR(INDEX(po_rate,MATCH(C1174,po_code,0)),0))))</f>
        <v/>
      </c>
      <c r="R1174" s="55" t="str">
        <f>IF(AC1174=1,P1174*60/Q1174,"")</f>
        <v/>
      </c>
      <c r="S1174" s="55" t="str">
        <f>IF(AC1174=1,N(G1174)*60/Q1174,"")</f>
        <v/>
      </c>
      <c r="T1174" s="57" t="str">
        <f>IF(AC1174=1,O1174/M1174,"")</f>
        <v/>
      </c>
      <c r="U1174" s="57" t="str">
        <f>IF(AC1174=1,IF(O1174&gt;0,R1174/O1174,""),"")</f>
        <v/>
      </c>
      <c r="V1174" s="57" t="str">
        <f>IF(AC1174=1,IF(P1174&gt;0,N(G1174)/P1174,""),"")</f>
        <v/>
      </c>
      <c r="W1174" s="57" t="str">
        <f>IF(AC1174=1,S1174/M1174,"")</f>
        <v/>
      </c>
      <c r="X1174" s="57" t="str">
        <f>IF(AC1174=1,S1174/K1174,"")</f>
        <v/>
      </c>
      <c r="Y1174" s="58" t="str">
        <f>IF(W1174="","",IF(W1174&gt;=p_target,"Bon",IF(W1174&gt;=p_alert,"À surveiller","Faible")))</f>
        <v/>
      </c>
      <c r="Z1174" s="58" t="str">
        <f>IF(W1174="","",IF(MIN(IF(T1174="",1,T1174),IF(U1174="",1,U1174),IF(V1174="",1,V1174))&gt;=1,"Aucune",IF(IF(T1174="",1,T1174)&lt;=MIN(IF(U1174="",1,U1174),IF(V1174="",1,V1174)),"Disponibilité",IF(IF(U1174="",1,U1174)&lt;=IF(V1174="",1,V1174),"Performance","Qualité"))))</f>
        <v/>
      </c>
      <c r="AA1174" s="59" t="str">
        <f>IF(AC1174=1,N(H1174)*N(IFERROR(INDEX(art_cost,MATCH(E1174,art_ref,0)),0)),"")</f>
        <v/>
      </c>
      <c r="AB1174" s="58" t="str">
        <f>IF(COUNTA(A1174:I1174)=0,"",IF(N(A1174)&lt;=0,"Date manquante ou invalide",IF(B1174="","Équipe manquante",IF(ISNA(MATCH(B1174,eq_code,0)),"Équipe inconnue",IF(INDEX(eq_check,MATCH(B1174,eq_code,0))&lt;&gt;"OK","Équipe à corriger dans Paramètres",IF(C1174="","Poste manquant",IF(ISNA(MATCH(C1174,po_code,0)),"Poste inconnu",IF(AND(E1174&lt;&gt;"",ISNA(MATCH(E1174,art_ref,0))),"Article inconnu",IF(IF(E1174="",FALSE,INDEX(art_check,MATCH(E1174,art_ref,0))&lt;&gt;"OK"),"Article à corriger (feuille Articles)",IF(COUNTIFS(sj_date,A1174,sj_eq,B1174,sj_po,C1174)&gt;1,"Ligne en double (même jour, équipe et poste)",IF(OR(NOT(ISNUMBER(K1174)),N(K1174)&lt;=0,N(K1174)&gt;1440),"Temps d'ouverture invalide",IF(OR(AND(G1174&lt;&gt;"",NOT(ISNUMBER(G1174))),N(G1174)&lt;0,N(G1174)&lt;&gt;INT(N(G1174)),AND(H1174&lt;&gt;"",NOT(ISNUMBER(H1174))),N(H1174)&lt;0,N(H1174)&lt;&gt;INT(N(H1174)),AND(I1174&lt;&gt;"",NOT(ISNUMBER(I1174))),N(I1174)&lt;0,N(I1174)&lt;&gt;INT(N(I1174))),"Quantité invalide",IF(Q1174&lt;=0,"Cadence manquante (poste ou article)",IF(M1174&lt;=0,"Arrêts planifiés supérieurs au temps d'ouverture",IF(O1174&lt;0,"Arrêts supérieurs au temps requis",IF(AND(P1174&gt;0,O1174=0),"Pièces déclarées sans temps de marche",IF(AND(P1174=0,O1174&gt;0),"Aucune pièce déclarée",IF(P1174*60/Q1174&gt;O1174+0.001,"Cadence dépassée : vérifiez la cadence","OK"))))))))))))))))))</f>
        <v/>
      </c>
      <c r="AC1174">
        <f>IF(OR(AB1174="OK",AB1174="Aucune pièce déclarée",AB1174="Cadence dépassée : vérifiez la cadence"),1,0)</f>
        <v>0.0</v>
      </c>
      <c r="AD1174">
        <f>IF(AND(AC1174=1,A1174&gt;=p_from,A1174&lt;=p_to),1,0)</f>
        <v>0.0</v>
      </c>
      <c r="AE1174">
        <f>IF(AD1174=1,IF(COUNTIFS($A$6:A1174,A1174,$AD$6:AD1174,1)=1,1,0),0)</f>
        <v>0.0</v>
      </c>
      <c r="AF1174" t="str">
        <f>IF(AE1174=1,COUNTIFS(sj_first,1,sj_date,"&lt;"&amp;A1174)+1,"")</f>
        <v/>
      </c>
      <c r="AG1174" t="str">
        <f>IF(AND(AD1174=1,N(W1174)&lt;p_alert),ROUND(W1174,4),"")</f>
        <v/>
      </c>
      <c r="AH1174" t="str">
        <f>IF(AG1174="","",COUNTIF(sj_akey,"&lt;"&amp;AG1174)+COUNTIF($AG$6:AG1174,AG1174))</f>
        <v/>
      </c>
    </row>
    <row r="1175">
      <c r="A1175" s="51" t="n"/>
      <c r="B1175" s="52" t="n"/>
      <c r="C1175" s="52" t="n"/>
      <c r="D1175" s="53" t="n"/>
      <c r="E1175" s="53" t="n"/>
      <c r="F1175" s="54" t="n"/>
      <c r="G1175" s="54" t="n"/>
      <c r="H1175" s="54" t="n"/>
      <c r="I1175" s="54" t="n"/>
      <c r="J1175" s="53" t="n"/>
      <c r="K1175" s="55" t="str">
        <f>IF(COUNTA(A1175:I1175)=0,"",IF(F1175="",IFERROR(INDEX(eq_dur,MATCH(B1175,eq_code,0)),""),F1175))</f>
        <v/>
      </c>
      <c r="L1175" s="55" t="str">
        <f>IF(ISNUMBER(K1175),N(IFERROR(INDEX(eq_pause,MATCH(B1175,eq_code,0)),0))+SUMIFS(st_min,st_date,A1175,st_eq,B1175,st_po,C1175,st_type,"Planifié"),"")</f>
        <v/>
      </c>
      <c r="M1175" s="55" t="str">
        <f>IF(ISNUMBER(K1175),K1175-L1175,"")</f>
        <v/>
      </c>
      <c r="N1175" s="55" t="str">
        <f>IF(ISNUMBER(K1175),SUMIFS(st_min,st_date,A1175,st_eq,B1175,st_po,C1175,st_type,"Non planifié"),"")</f>
        <v/>
      </c>
      <c r="O1175" s="55" t="str">
        <f>IF(ISNUMBER(K1175),M1175-N1175,"")</f>
        <v/>
      </c>
      <c r="P1175" s="55" t="str">
        <f>IF(COUNTA(A1175:I1175)=0,"",N(G1175)+N(H1175)+N(I1175))</f>
        <v/>
      </c>
      <c r="Q1175" s="56" t="str">
        <f>IF(COUNTA(A1175:I1175)=0,"",IF(N(IFERROR(INDEX(art_rate,MATCH(E1175,art_ref,0)),0))&gt;0,N(IFERROR(INDEX(art_rate,MATCH(E1175,art_ref,0)),0)),N(IFERROR(INDEX(po_rate,MATCH(C1175,po_code,0)),0))))</f>
        <v/>
      </c>
      <c r="R1175" s="55" t="str">
        <f>IF(AC1175=1,P1175*60/Q1175,"")</f>
        <v/>
      </c>
      <c r="S1175" s="55" t="str">
        <f>IF(AC1175=1,N(G1175)*60/Q1175,"")</f>
        <v/>
      </c>
      <c r="T1175" s="57" t="str">
        <f>IF(AC1175=1,O1175/M1175,"")</f>
        <v/>
      </c>
      <c r="U1175" s="57" t="str">
        <f>IF(AC1175=1,IF(O1175&gt;0,R1175/O1175,""),"")</f>
        <v/>
      </c>
      <c r="V1175" s="57" t="str">
        <f>IF(AC1175=1,IF(P1175&gt;0,N(G1175)/P1175,""),"")</f>
        <v/>
      </c>
      <c r="W1175" s="57" t="str">
        <f>IF(AC1175=1,S1175/M1175,"")</f>
        <v/>
      </c>
      <c r="X1175" s="57" t="str">
        <f>IF(AC1175=1,S1175/K1175,"")</f>
        <v/>
      </c>
      <c r="Y1175" s="58" t="str">
        <f>IF(W1175="","",IF(W1175&gt;=p_target,"Bon",IF(W1175&gt;=p_alert,"À surveiller","Faible")))</f>
        <v/>
      </c>
      <c r="Z1175" s="58" t="str">
        <f>IF(W1175="","",IF(MIN(IF(T1175="",1,T1175),IF(U1175="",1,U1175),IF(V1175="",1,V1175))&gt;=1,"Aucune",IF(IF(T1175="",1,T1175)&lt;=MIN(IF(U1175="",1,U1175),IF(V1175="",1,V1175)),"Disponibilité",IF(IF(U1175="",1,U1175)&lt;=IF(V1175="",1,V1175),"Performance","Qualité"))))</f>
        <v/>
      </c>
      <c r="AA1175" s="59" t="str">
        <f>IF(AC1175=1,N(H1175)*N(IFERROR(INDEX(art_cost,MATCH(E1175,art_ref,0)),0)),"")</f>
        <v/>
      </c>
      <c r="AB1175" s="58" t="str">
        <f>IF(COUNTA(A1175:I1175)=0,"",IF(N(A1175)&lt;=0,"Date manquante ou invalide",IF(B1175="","Équipe manquante",IF(ISNA(MATCH(B1175,eq_code,0)),"Équipe inconnue",IF(INDEX(eq_check,MATCH(B1175,eq_code,0))&lt;&gt;"OK","Équipe à corriger dans Paramètres",IF(C1175="","Poste manquant",IF(ISNA(MATCH(C1175,po_code,0)),"Poste inconnu",IF(AND(E1175&lt;&gt;"",ISNA(MATCH(E1175,art_ref,0))),"Article inconnu",IF(IF(E1175="",FALSE,INDEX(art_check,MATCH(E1175,art_ref,0))&lt;&gt;"OK"),"Article à corriger (feuille Articles)",IF(COUNTIFS(sj_date,A1175,sj_eq,B1175,sj_po,C1175)&gt;1,"Ligne en double (même jour, équipe et poste)",IF(OR(NOT(ISNUMBER(K1175)),N(K1175)&lt;=0,N(K1175)&gt;1440),"Temps d'ouverture invalide",IF(OR(AND(G1175&lt;&gt;"",NOT(ISNUMBER(G1175))),N(G1175)&lt;0,N(G1175)&lt;&gt;INT(N(G1175)),AND(H1175&lt;&gt;"",NOT(ISNUMBER(H1175))),N(H1175)&lt;0,N(H1175)&lt;&gt;INT(N(H1175)),AND(I1175&lt;&gt;"",NOT(ISNUMBER(I1175))),N(I1175)&lt;0,N(I1175)&lt;&gt;INT(N(I1175))),"Quantité invalide",IF(Q1175&lt;=0,"Cadence manquante (poste ou article)",IF(M1175&lt;=0,"Arrêts planifiés supérieurs au temps d'ouverture",IF(O1175&lt;0,"Arrêts supérieurs au temps requis",IF(AND(P1175&gt;0,O1175=0),"Pièces déclarées sans temps de marche",IF(AND(P1175=0,O1175&gt;0),"Aucune pièce déclarée",IF(P1175*60/Q1175&gt;O1175+0.001,"Cadence dépassée : vérifiez la cadence","OK"))))))))))))))))))</f>
        <v/>
      </c>
      <c r="AC1175">
        <f>IF(OR(AB1175="OK",AB1175="Aucune pièce déclarée",AB1175="Cadence dépassée : vérifiez la cadence"),1,0)</f>
        <v>0.0</v>
      </c>
      <c r="AD1175">
        <f>IF(AND(AC1175=1,A1175&gt;=p_from,A1175&lt;=p_to),1,0)</f>
        <v>0.0</v>
      </c>
      <c r="AE1175">
        <f>IF(AD1175=1,IF(COUNTIFS($A$6:A1175,A1175,$AD$6:AD1175,1)=1,1,0),0)</f>
        <v>0.0</v>
      </c>
      <c r="AF1175" t="str">
        <f>IF(AE1175=1,COUNTIFS(sj_first,1,sj_date,"&lt;"&amp;A1175)+1,"")</f>
        <v/>
      </c>
      <c r="AG1175" t="str">
        <f>IF(AND(AD1175=1,N(W1175)&lt;p_alert),ROUND(W1175,4),"")</f>
        <v/>
      </c>
      <c r="AH1175" t="str">
        <f>IF(AG1175="","",COUNTIF(sj_akey,"&lt;"&amp;AG1175)+COUNTIF($AG$6:AG1175,AG1175))</f>
        <v/>
      </c>
    </row>
    <row r="1176">
      <c r="A1176" s="51" t="n"/>
      <c r="B1176" s="52" t="n"/>
      <c r="C1176" s="52" t="n"/>
      <c r="D1176" s="53" t="n"/>
      <c r="E1176" s="53" t="n"/>
      <c r="F1176" s="54" t="n"/>
      <c r="G1176" s="54" t="n"/>
      <c r="H1176" s="54" t="n"/>
      <c r="I1176" s="54" t="n"/>
      <c r="J1176" s="53" t="n"/>
      <c r="K1176" s="55" t="str">
        <f>IF(COUNTA(A1176:I1176)=0,"",IF(F1176="",IFERROR(INDEX(eq_dur,MATCH(B1176,eq_code,0)),""),F1176))</f>
        <v/>
      </c>
      <c r="L1176" s="55" t="str">
        <f>IF(ISNUMBER(K1176),N(IFERROR(INDEX(eq_pause,MATCH(B1176,eq_code,0)),0))+SUMIFS(st_min,st_date,A1176,st_eq,B1176,st_po,C1176,st_type,"Planifié"),"")</f>
        <v/>
      </c>
      <c r="M1176" s="55" t="str">
        <f>IF(ISNUMBER(K1176),K1176-L1176,"")</f>
        <v/>
      </c>
      <c r="N1176" s="55" t="str">
        <f>IF(ISNUMBER(K1176),SUMIFS(st_min,st_date,A1176,st_eq,B1176,st_po,C1176,st_type,"Non planifié"),"")</f>
        <v/>
      </c>
      <c r="O1176" s="55" t="str">
        <f>IF(ISNUMBER(K1176),M1176-N1176,"")</f>
        <v/>
      </c>
      <c r="P1176" s="55" t="str">
        <f>IF(COUNTA(A1176:I1176)=0,"",N(G1176)+N(H1176)+N(I1176))</f>
        <v/>
      </c>
      <c r="Q1176" s="56" t="str">
        <f>IF(COUNTA(A1176:I1176)=0,"",IF(N(IFERROR(INDEX(art_rate,MATCH(E1176,art_ref,0)),0))&gt;0,N(IFERROR(INDEX(art_rate,MATCH(E1176,art_ref,0)),0)),N(IFERROR(INDEX(po_rate,MATCH(C1176,po_code,0)),0))))</f>
        <v/>
      </c>
      <c r="R1176" s="55" t="str">
        <f>IF(AC1176=1,P1176*60/Q1176,"")</f>
        <v/>
      </c>
      <c r="S1176" s="55" t="str">
        <f>IF(AC1176=1,N(G1176)*60/Q1176,"")</f>
        <v/>
      </c>
      <c r="T1176" s="57" t="str">
        <f>IF(AC1176=1,O1176/M1176,"")</f>
        <v/>
      </c>
      <c r="U1176" s="57" t="str">
        <f>IF(AC1176=1,IF(O1176&gt;0,R1176/O1176,""),"")</f>
        <v/>
      </c>
      <c r="V1176" s="57" t="str">
        <f>IF(AC1176=1,IF(P1176&gt;0,N(G1176)/P1176,""),"")</f>
        <v/>
      </c>
      <c r="W1176" s="57" t="str">
        <f>IF(AC1176=1,S1176/M1176,"")</f>
        <v/>
      </c>
      <c r="X1176" s="57" t="str">
        <f>IF(AC1176=1,S1176/K1176,"")</f>
        <v/>
      </c>
      <c r="Y1176" s="58" t="str">
        <f>IF(W1176="","",IF(W1176&gt;=p_target,"Bon",IF(W1176&gt;=p_alert,"À surveiller","Faible")))</f>
        <v/>
      </c>
      <c r="Z1176" s="58" t="str">
        <f>IF(W1176="","",IF(MIN(IF(T1176="",1,T1176),IF(U1176="",1,U1176),IF(V1176="",1,V1176))&gt;=1,"Aucune",IF(IF(T1176="",1,T1176)&lt;=MIN(IF(U1176="",1,U1176),IF(V1176="",1,V1176)),"Disponibilité",IF(IF(U1176="",1,U1176)&lt;=IF(V1176="",1,V1176),"Performance","Qualité"))))</f>
        <v/>
      </c>
      <c r="AA1176" s="59" t="str">
        <f>IF(AC1176=1,N(H1176)*N(IFERROR(INDEX(art_cost,MATCH(E1176,art_ref,0)),0)),"")</f>
        <v/>
      </c>
      <c r="AB1176" s="58" t="str">
        <f>IF(COUNTA(A1176:I1176)=0,"",IF(N(A1176)&lt;=0,"Date manquante ou invalide",IF(B1176="","Équipe manquante",IF(ISNA(MATCH(B1176,eq_code,0)),"Équipe inconnue",IF(INDEX(eq_check,MATCH(B1176,eq_code,0))&lt;&gt;"OK","Équipe à corriger dans Paramètres",IF(C1176="","Poste manquant",IF(ISNA(MATCH(C1176,po_code,0)),"Poste inconnu",IF(AND(E1176&lt;&gt;"",ISNA(MATCH(E1176,art_ref,0))),"Article inconnu",IF(IF(E1176="",FALSE,INDEX(art_check,MATCH(E1176,art_ref,0))&lt;&gt;"OK"),"Article à corriger (feuille Articles)",IF(COUNTIFS(sj_date,A1176,sj_eq,B1176,sj_po,C1176)&gt;1,"Ligne en double (même jour, équipe et poste)",IF(OR(NOT(ISNUMBER(K1176)),N(K1176)&lt;=0,N(K1176)&gt;1440),"Temps d'ouverture invalide",IF(OR(AND(G1176&lt;&gt;"",NOT(ISNUMBER(G1176))),N(G1176)&lt;0,N(G1176)&lt;&gt;INT(N(G1176)),AND(H1176&lt;&gt;"",NOT(ISNUMBER(H1176))),N(H1176)&lt;0,N(H1176)&lt;&gt;INT(N(H1176)),AND(I1176&lt;&gt;"",NOT(ISNUMBER(I1176))),N(I1176)&lt;0,N(I1176)&lt;&gt;INT(N(I1176))),"Quantité invalide",IF(Q1176&lt;=0,"Cadence manquante (poste ou article)",IF(M1176&lt;=0,"Arrêts planifiés supérieurs au temps d'ouverture",IF(O1176&lt;0,"Arrêts supérieurs au temps requis",IF(AND(P1176&gt;0,O1176=0),"Pièces déclarées sans temps de marche",IF(AND(P1176=0,O1176&gt;0),"Aucune pièce déclarée",IF(P1176*60/Q1176&gt;O1176+0.001,"Cadence dépassée : vérifiez la cadence","OK"))))))))))))))))))</f>
        <v/>
      </c>
      <c r="AC1176">
        <f>IF(OR(AB1176="OK",AB1176="Aucune pièce déclarée",AB1176="Cadence dépassée : vérifiez la cadence"),1,0)</f>
        <v>0.0</v>
      </c>
      <c r="AD1176">
        <f>IF(AND(AC1176=1,A1176&gt;=p_from,A1176&lt;=p_to),1,0)</f>
        <v>0.0</v>
      </c>
      <c r="AE1176">
        <f>IF(AD1176=1,IF(COUNTIFS($A$6:A1176,A1176,$AD$6:AD1176,1)=1,1,0),0)</f>
        <v>0.0</v>
      </c>
      <c r="AF1176" t="str">
        <f>IF(AE1176=1,COUNTIFS(sj_first,1,sj_date,"&lt;"&amp;A1176)+1,"")</f>
        <v/>
      </c>
      <c r="AG1176" t="str">
        <f>IF(AND(AD1176=1,N(W1176)&lt;p_alert),ROUND(W1176,4),"")</f>
        <v/>
      </c>
      <c r="AH1176" t="str">
        <f>IF(AG1176="","",COUNTIF(sj_akey,"&lt;"&amp;AG1176)+COUNTIF($AG$6:AG1176,AG1176))</f>
        <v/>
      </c>
    </row>
    <row r="1177">
      <c r="A1177" s="51" t="n"/>
      <c r="B1177" s="52" t="n"/>
      <c r="C1177" s="52" t="n"/>
      <c r="D1177" s="53" t="n"/>
      <c r="E1177" s="53" t="n"/>
      <c r="F1177" s="54" t="n"/>
      <c r="G1177" s="54" t="n"/>
      <c r="H1177" s="54" t="n"/>
      <c r="I1177" s="54" t="n"/>
      <c r="J1177" s="53" t="n"/>
      <c r="K1177" s="55" t="str">
        <f>IF(COUNTA(A1177:I1177)=0,"",IF(F1177="",IFERROR(INDEX(eq_dur,MATCH(B1177,eq_code,0)),""),F1177))</f>
        <v/>
      </c>
      <c r="L1177" s="55" t="str">
        <f>IF(ISNUMBER(K1177),N(IFERROR(INDEX(eq_pause,MATCH(B1177,eq_code,0)),0))+SUMIFS(st_min,st_date,A1177,st_eq,B1177,st_po,C1177,st_type,"Planifié"),"")</f>
        <v/>
      </c>
      <c r="M1177" s="55" t="str">
        <f>IF(ISNUMBER(K1177),K1177-L1177,"")</f>
        <v/>
      </c>
      <c r="N1177" s="55" t="str">
        <f>IF(ISNUMBER(K1177),SUMIFS(st_min,st_date,A1177,st_eq,B1177,st_po,C1177,st_type,"Non planifié"),"")</f>
        <v/>
      </c>
      <c r="O1177" s="55" t="str">
        <f>IF(ISNUMBER(K1177),M1177-N1177,"")</f>
        <v/>
      </c>
      <c r="P1177" s="55" t="str">
        <f>IF(COUNTA(A1177:I1177)=0,"",N(G1177)+N(H1177)+N(I1177))</f>
        <v/>
      </c>
      <c r="Q1177" s="56" t="str">
        <f>IF(COUNTA(A1177:I1177)=0,"",IF(N(IFERROR(INDEX(art_rate,MATCH(E1177,art_ref,0)),0))&gt;0,N(IFERROR(INDEX(art_rate,MATCH(E1177,art_ref,0)),0)),N(IFERROR(INDEX(po_rate,MATCH(C1177,po_code,0)),0))))</f>
        <v/>
      </c>
      <c r="R1177" s="55" t="str">
        <f>IF(AC1177=1,P1177*60/Q1177,"")</f>
        <v/>
      </c>
      <c r="S1177" s="55" t="str">
        <f>IF(AC1177=1,N(G1177)*60/Q1177,"")</f>
        <v/>
      </c>
      <c r="T1177" s="57" t="str">
        <f>IF(AC1177=1,O1177/M1177,"")</f>
        <v/>
      </c>
      <c r="U1177" s="57" t="str">
        <f>IF(AC1177=1,IF(O1177&gt;0,R1177/O1177,""),"")</f>
        <v/>
      </c>
      <c r="V1177" s="57" t="str">
        <f>IF(AC1177=1,IF(P1177&gt;0,N(G1177)/P1177,""),"")</f>
        <v/>
      </c>
      <c r="W1177" s="57" t="str">
        <f>IF(AC1177=1,S1177/M1177,"")</f>
        <v/>
      </c>
      <c r="X1177" s="57" t="str">
        <f>IF(AC1177=1,S1177/K1177,"")</f>
        <v/>
      </c>
      <c r="Y1177" s="58" t="str">
        <f>IF(W1177="","",IF(W1177&gt;=p_target,"Bon",IF(W1177&gt;=p_alert,"À surveiller","Faible")))</f>
        <v/>
      </c>
      <c r="Z1177" s="58" t="str">
        <f>IF(W1177="","",IF(MIN(IF(T1177="",1,T1177),IF(U1177="",1,U1177),IF(V1177="",1,V1177))&gt;=1,"Aucune",IF(IF(T1177="",1,T1177)&lt;=MIN(IF(U1177="",1,U1177),IF(V1177="",1,V1177)),"Disponibilité",IF(IF(U1177="",1,U1177)&lt;=IF(V1177="",1,V1177),"Performance","Qualité"))))</f>
        <v/>
      </c>
      <c r="AA1177" s="59" t="str">
        <f>IF(AC1177=1,N(H1177)*N(IFERROR(INDEX(art_cost,MATCH(E1177,art_ref,0)),0)),"")</f>
        <v/>
      </c>
      <c r="AB1177" s="58" t="str">
        <f>IF(COUNTA(A1177:I1177)=0,"",IF(N(A1177)&lt;=0,"Date manquante ou invalide",IF(B1177="","Équipe manquante",IF(ISNA(MATCH(B1177,eq_code,0)),"Équipe inconnue",IF(INDEX(eq_check,MATCH(B1177,eq_code,0))&lt;&gt;"OK","Équipe à corriger dans Paramètres",IF(C1177="","Poste manquant",IF(ISNA(MATCH(C1177,po_code,0)),"Poste inconnu",IF(AND(E1177&lt;&gt;"",ISNA(MATCH(E1177,art_ref,0))),"Article inconnu",IF(IF(E1177="",FALSE,INDEX(art_check,MATCH(E1177,art_ref,0))&lt;&gt;"OK"),"Article à corriger (feuille Articles)",IF(COUNTIFS(sj_date,A1177,sj_eq,B1177,sj_po,C1177)&gt;1,"Ligne en double (même jour, équipe et poste)",IF(OR(NOT(ISNUMBER(K1177)),N(K1177)&lt;=0,N(K1177)&gt;1440),"Temps d'ouverture invalide",IF(OR(AND(G1177&lt;&gt;"",NOT(ISNUMBER(G1177))),N(G1177)&lt;0,N(G1177)&lt;&gt;INT(N(G1177)),AND(H1177&lt;&gt;"",NOT(ISNUMBER(H1177))),N(H1177)&lt;0,N(H1177)&lt;&gt;INT(N(H1177)),AND(I1177&lt;&gt;"",NOT(ISNUMBER(I1177))),N(I1177)&lt;0,N(I1177)&lt;&gt;INT(N(I1177))),"Quantité invalide",IF(Q1177&lt;=0,"Cadence manquante (poste ou article)",IF(M1177&lt;=0,"Arrêts planifiés supérieurs au temps d'ouverture",IF(O1177&lt;0,"Arrêts supérieurs au temps requis",IF(AND(P1177&gt;0,O1177=0),"Pièces déclarées sans temps de marche",IF(AND(P1177=0,O1177&gt;0),"Aucune pièce déclarée",IF(P1177*60/Q1177&gt;O1177+0.001,"Cadence dépassée : vérifiez la cadence","OK"))))))))))))))))))</f>
        <v/>
      </c>
      <c r="AC1177">
        <f>IF(OR(AB1177="OK",AB1177="Aucune pièce déclarée",AB1177="Cadence dépassée : vérifiez la cadence"),1,0)</f>
        <v>0.0</v>
      </c>
      <c r="AD1177">
        <f>IF(AND(AC1177=1,A1177&gt;=p_from,A1177&lt;=p_to),1,0)</f>
        <v>0.0</v>
      </c>
      <c r="AE1177">
        <f>IF(AD1177=1,IF(COUNTIFS($A$6:A1177,A1177,$AD$6:AD1177,1)=1,1,0),0)</f>
        <v>0.0</v>
      </c>
      <c r="AF1177" t="str">
        <f>IF(AE1177=1,COUNTIFS(sj_first,1,sj_date,"&lt;"&amp;A1177)+1,"")</f>
        <v/>
      </c>
      <c r="AG1177" t="str">
        <f>IF(AND(AD1177=1,N(W1177)&lt;p_alert),ROUND(W1177,4),"")</f>
        <v/>
      </c>
      <c r="AH1177" t="str">
        <f>IF(AG1177="","",COUNTIF(sj_akey,"&lt;"&amp;AG1177)+COUNTIF($AG$6:AG1177,AG1177))</f>
        <v/>
      </c>
    </row>
    <row r="1178">
      <c r="A1178" s="51" t="n"/>
      <c r="B1178" s="52" t="n"/>
      <c r="C1178" s="52" t="n"/>
      <c r="D1178" s="53" t="n"/>
      <c r="E1178" s="53" t="n"/>
      <c r="F1178" s="54" t="n"/>
      <c r="G1178" s="54" t="n"/>
      <c r="H1178" s="54" t="n"/>
      <c r="I1178" s="54" t="n"/>
      <c r="J1178" s="53" t="n"/>
      <c r="K1178" s="55" t="str">
        <f>IF(COUNTA(A1178:I1178)=0,"",IF(F1178="",IFERROR(INDEX(eq_dur,MATCH(B1178,eq_code,0)),""),F1178))</f>
        <v/>
      </c>
      <c r="L1178" s="55" t="str">
        <f>IF(ISNUMBER(K1178),N(IFERROR(INDEX(eq_pause,MATCH(B1178,eq_code,0)),0))+SUMIFS(st_min,st_date,A1178,st_eq,B1178,st_po,C1178,st_type,"Planifié"),"")</f>
        <v/>
      </c>
      <c r="M1178" s="55" t="str">
        <f>IF(ISNUMBER(K1178),K1178-L1178,"")</f>
        <v/>
      </c>
      <c r="N1178" s="55" t="str">
        <f>IF(ISNUMBER(K1178),SUMIFS(st_min,st_date,A1178,st_eq,B1178,st_po,C1178,st_type,"Non planifié"),"")</f>
        <v/>
      </c>
      <c r="O1178" s="55" t="str">
        <f>IF(ISNUMBER(K1178),M1178-N1178,"")</f>
        <v/>
      </c>
      <c r="P1178" s="55" t="str">
        <f>IF(COUNTA(A1178:I1178)=0,"",N(G1178)+N(H1178)+N(I1178))</f>
        <v/>
      </c>
      <c r="Q1178" s="56" t="str">
        <f>IF(COUNTA(A1178:I1178)=0,"",IF(N(IFERROR(INDEX(art_rate,MATCH(E1178,art_ref,0)),0))&gt;0,N(IFERROR(INDEX(art_rate,MATCH(E1178,art_ref,0)),0)),N(IFERROR(INDEX(po_rate,MATCH(C1178,po_code,0)),0))))</f>
        <v/>
      </c>
      <c r="R1178" s="55" t="str">
        <f>IF(AC1178=1,P1178*60/Q1178,"")</f>
        <v/>
      </c>
      <c r="S1178" s="55" t="str">
        <f>IF(AC1178=1,N(G1178)*60/Q1178,"")</f>
        <v/>
      </c>
      <c r="T1178" s="57" t="str">
        <f>IF(AC1178=1,O1178/M1178,"")</f>
        <v/>
      </c>
      <c r="U1178" s="57" t="str">
        <f>IF(AC1178=1,IF(O1178&gt;0,R1178/O1178,""),"")</f>
        <v/>
      </c>
      <c r="V1178" s="57" t="str">
        <f>IF(AC1178=1,IF(P1178&gt;0,N(G1178)/P1178,""),"")</f>
        <v/>
      </c>
      <c r="W1178" s="57" t="str">
        <f>IF(AC1178=1,S1178/M1178,"")</f>
        <v/>
      </c>
      <c r="X1178" s="57" t="str">
        <f>IF(AC1178=1,S1178/K1178,"")</f>
        <v/>
      </c>
      <c r="Y1178" s="58" t="str">
        <f>IF(W1178="","",IF(W1178&gt;=p_target,"Bon",IF(W1178&gt;=p_alert,"À surveiller","Faible")))</f>
        <v/>
      </c>
      <c r="Z1178" s="58" t="str">
        <f>IF(W1178="","",IF(MIN(IF(T1178="",1,T1178),IF(U1178="",1,U1178),IF(V1178="",1,V1178))&gt;=1,"Aucune",IF(IF(T1178="",1,T1178)&lt;=MIN(IF(U1178="",1,U1178),IF(V1178="",1,V1178)),"Disponibilité",IF(IF(U1178="",1,U1178)&lt;=IF(V1178="",1,V1178),"Performance","Qualité"))))</f>
        <v/>
      </c>
      <c r="AA1178" s="59" t="str">
        <f>IF(AC1178=1,N(H1178)*N(IFERROR(INDEX(art_cost,MATCH(E1178,art_ref,0)),0)),"")</f>
        <v/>
      </c>
      <c r="AB1178" s="58" t="str">
        <f>IF(COUNTA(A1178:I1178)=0,"",IF(N(A1178)&lt;=0,"Date manquante ou invalide",IF(B1178="","Équipe manquante",IF(ISNA(MATCH(B1178,eq_code,0)),"Équipe inconnue",IF(INDEX(eq_check,MATCH(B1178,eq_code,0))&lt;&gt;"OK","Équipe à corriger dans Paramètres",IF(C1178="","Poste manquant",IF(ISNA(MATCH(C1178,po_code,0)),"Poste inconnu",IF(AND(E1178&lt;&gt;"",ISNA(MATCH(E1178,art_ref,0))),"Article inconnu",IF(IF(E1178="",FALSE,INDEX(art_check,MATCH(E1178,art_ref,0))&lt;&gt;"OK"),"Article à corriger (feuille Articles)",IF(COUNTIFS(sj_date,A1178,sj_eq,B1178,sj_po,C1178)&gt;1,"Ligne en double (même jour, équipe et poste)",IF(OR(NOT(ISNUMBER(K1178)),N(K1178)&lt;=0,N(K1178)&gt;1440),"Temps d'ouverture invalide",IF(OR(AND(G1178&lt;&gt;"",NOT(ISNUMBER(G1178))),N(G1178)&lt;0,N(G1178)&lt;&gt;INT(N(G1178)),AND(H1178&lt;&gt;"",NOT(ISNUMBER(H1178))),N(H1178)&lt;0,N(H1178)&lt;&gt;INT(N(H1178)),AND(I1178&lt;&gt;"",NOT(ISNUMBER(I1178))),N(I1178)&lt;0,N(I1178)&lt;&gt;INT(N(I1178))),"Quantité invalide",IF(Q1178&lt;=0,"Cadence manquante (poste ou article)",IF(M1178&lt;=0,"Arrêts planifiés supérieurs au temps d'ouverture",IF(O1178&lt;0,"Arrêts supérieurs au temps requis",IF(AND(P1178&gt;0,O1178=0),"Pièces déclarées sans temps de marche",IF(AND(P1178=0,O1178&gt;0),"Aucune pièce déclarée",IF(P1178*60/Q1178&gt;O1178+0.001,"Cadence dépassée : vérifiez la cadence","OK"))))))))))))))))))</f>
        <v/>
      </c>
      <c r="AC1178">
        <f>IF(OR(AB1178="OK",AB1178="Aucune pièce déclarée",AB1178="Cadence dépassée : vérifiez la cadence"),1,0)</f>
        <v>0.0</v>
      </c>
      <c r="AD1178">
        <f>IF(AND(AC1178=1,A1178&gt;=p_from,A1178&lt;=p_to),1,0)</f>
        <v>0.0</v>
      </c>
      <c r="AE1178">
        <f>IF(AD1178=1,IF(COUNTIFS($A$6:A1178,A1178,$AD$6:AD1178,1)=1,1,0),0)</f>
        <v>0.0</v>
      </c>
      <c r="AF1178" t="str">
        <f>IF(AE1178=1,COUNTIFS(sj_first,1,sj_date,"&lt;"&amp;A1178)+1,"")</f>
        <v/>
      </c>
      <c r="AG1178" t="str">
        <f>IF(AND(AD1178=1,N(W1178)&lt;p_alert),ROUND(W1178,4),"")</f>
        <v/>
      </c>
      <c r="AH1178" t="str">
        <f>IF(AG1178="","",COUNTIF(sj_akey,"&lt;"&amp;AG1178)+COUNTIF($AG$6:AG1178,AG1178))</f>
        <v/>
      </c>
    </row>
    <row r="1179">
      <c r="A1179" s="51" t="n"/>
      <c r="B1179" s="52" t="n"/>
      <c r="C1179" s="52" t="n"/>
      <c r="D1179" s="53" t="n"/>
      <c r="E1179" s="53" t="n"/>
      <c r="F1179" s="54" t="n"/>
      <c r="G1179" s="54" t="n"/>
      <c r="H1179" s="54" t="n"/>
      <c r="I1179" s="54" t="n"/>
      <c r="J1179" s="53" t="n"/>
      <c r="K1179" s="55" t="str">
        <f>IF(COUNTA(A1179:I1179)=0,"",IF(F1179="",IFERROR(INDEX(eq_dur,MATCH(B1179,eq_code,0)),""),F1179))</f>
        <v/>
      </c>
      <c r="L1179" s="55" t="str">
        <f>IF(ISNUMBER(K1179),N(IFERROR(INDEX(eq_pause,MATCH(B1179,eq_code,0)),0))+SUMIFS(st_min,st_date,A1179,st_eq,B1179,st_po,C1179,st_type,"Planifié"),"")</f>
        <v/>
      </c>
      <c r="M1179" s="55" t="str">
        <f>IF(ISNUMBER(K1179),K1179-L1179,"")</f>
        <v/>
      </c>
      <c r="N1179" s="55" t="str">
        <f>IF(ISNUMBER(K1179),SUMIFS(st_min,st_date,A1179,st_eq,B1179,st_po,C1179,st_type,"Non planifié"),"")</f>
        <v/>
      </c>
      <c r="O1179" s="55" t="str">
        <f>IF(ISNUMBER(K1179),M1179-N1179,"")</f>
        <v/>
      </c>
      <c r="P1179" s="55" t="str">
        <f>IF(COUNTA(A1179:I1179)=0,"",N(G1179)+N(H1179)+N(I1179))</f>
        <v/>
      </c>
      <c r="Q1179" s="56" t="str">
        <f>IF(COUNTA(A1179:I1179)=0,"",IF(N(IFERROR(INDEX(art_rate,MATCH(E1179,art_ref,0)),0))&gt;0,N(IFERROR(INDEX(art_rate,MATCH(E1179,art_ref,0)),0)),N(IFERROR(INDEX(po_rate,MATCH(C1179,po_code,0)),0))))</f>
        <v/>
      </c>
      <c r="R1179" s="55" t="str">
        <f>IF(AC1179=1,P1179*60/Q1179,"")</f>
        <v/>
      </c>
      <c r="S1179" s="55" t="str">
        <f>IF(AC1179=1,N(G1179)*60/Q1179,"")</f>
        <v/>
      </c>
      <c r="T1179" s="57" t="str">
        <f>IF(AC1179=1,O1179/M1179,"")</f>
        <v/>
      </c>
      <c r="U1179" s="57" t="str">
        <f>IF(AC1179=1,IF(O1179&gt;0,R1179/O1179,""),"")</f>
        <v/>
      </c>
      <c r="V1179" s="57" t="str">
        <f>IF(AC1179=1,IF(P1179&gt;0,N(G1179)/P1179,""),"")</f>
        <v/>
      </c>
      <c r="W1179" s="57" t="str">
        <f>IF(AC1179=1,S1179/M1179,"")</f>
        <v/>
      </c>
      <c r="X1179" s="57" t="str">
        <f>IF(AC1179=1,S1179/K1179,"")</f>
        <v/>
      </c>
      <c r="Y1179" s="58" t="str">
        <f>IF(W1179="","",IF(W1179&gt;=p_target,"Bon",IF(W1179&gt;=p_alert,"À surveiller","Faible")))</f>
        <v/>
      </c>
      <c r="Z1179" s="58" t="str">
        <f>IF(W1179="","",IF(MIN(IF(T1179="",1,T1179),IF(U1179="",1,U1179),IF(V1179="",1,V1179))&gt;=1,"Aucune",IF(IF(T1179="",1,T1179)&lt;=MIN(IF(U1179="",1,U1179),IF(V1179="",1,V1179)),"Disponibilité",IF(IF(U1179="",1,U1179)&lt;=IF(V1179="",1,V1179),"Performance","Qualité"))))</f>
        <v/>
      </c>
      <c r="AA1179" s="59" t="str">
        <f>IF(AC1179=1,N(H1179)*N(IFERROR(INDEX(art_cost,MATCH(E1179,art_ref,0)),0)),"")</f>
        <v/>
      </c>
      <c r="AB1179" s="58" t="str">
        <f>IF(COUNTA(A1179:I1179)=0,"",IF(N(A1179)&lt;=0,"Date manquante ou invalide",IF(B1179="","Équipe manquante",IF(ISNA(MATCH(B1179,eq_code,0)),"Équipe inconnue",IF(INDEX(eq_check,MATCH(B1179,eq_code,0))&lt;&gt;"OK","Équipe à corriger dans Paramètres",IF(C1179="","Poste manquant",IF(ISNA(MATCH(C1179,po_code,0)),"Poste inconnu",IF(AND(E1179&lt;&gt;"",ISNA(MATCH(E1179,art_ref,0))),"Article inconnu",IF(IF(E1179="",FALSE,INDEX(art_check,MATCH(E1179,art_ref,0))&lt;&gt;"OK"),"Article à corriger (feuille Articles)",IF(COUNTIFS(sj_date,A1179,sj_eq,B1179,sj_po,C1179)&gt;1,"Ligne en double (même jour, équipe et poste)",IF(OR(NOT(ISNUMBER(K1179)),N(K1179)&lt;=0,N(K1179)&gt;1440),"Temps d'ouverture invalide",IF(OR(AND(G1179&lt;&gt;"",NOT(ISNUMBER(G1179))),N(G1179)&lt;0,N(G1179)&lt;&gt;INT(N(G1179)),AND(H1179&lt;&gt;"",NOT(ISNUMBER(H1179))),N(H1179)&lt;0,N(H1179)&lt;&gt;INT(N(H1179)),AND(I1179&lt;&gt;"",NOT(ISNUMBER(I1179))),N(I1179)&lt;0,N(I1179)&lt;&gt;INT(N(I1179))),"Quantité invalide",IF(Q1179&lt;=0,"Cadence manquante (poste ou article)",IF(M1179&lt;=0,"Arrêts planifiés supérieurs au temps d'ouverture",IF(O1179&lt;0,"Arrêts supérieurs au temps requis",IF(AND(P1179&gt;0,O1179=0),"Pièces déclarées sans temps de marche",IF(AND(P1179=0,O1179&gt;0),"Aucune pièce déclarée",IF(P1179*60/Q1179&gt;O1179+0.001,"Cadence dépassée : vérifiez la cadence","OK"))))))))))))))))))</f>
        <v/>
      </c>
      <c r="AC1179">
        <f>IF(OR(AB1179="OK",AB1179="Aucune pièce déclarée",AB1179="Cadence dépassée : vérifiez la cadence"),1,0)</f>
        <v>0.0</v>
      </c>
      <c r="AD1179">
        <f>IF(AND(AC1179=1,A1179&gt;=p_from,A1179&lt;=p_to),1,0)</f>
        <v>0.0</v>
      </c>
      <c r="AE1179">
        <f>IF(AD1179=1,IF(COUNTIFS($A$6:A1179,A1179,$AD$6:AD1179,1)=1,1,0),0)</f>
        <v>0.0</v>
      </c>
      <c r="AF1179" t="str">
        <f>IF(AE1179=1,COUNTIFS(sj_first,1,sj_date,"&lt;"&amp;A1179)+1,"")</f>
        <v/>
      </c>
      <c r="AG1179" t="str">
        <f>IF(AND(AD1179=1,N(W1179)&lt;p_alert),ROUND(W1179,4),"")</f>
        <v/>
      </c>
      <c r="AH1179" t="str">
        <f>IF(AG1179="","",COUNTIF(sj_akey,"&lt;"&amp;AG1179)+COUNTIF($AG$6:AG1179,AG1179))</f>
        <v/>
      </c>
    </row>
    <row r="1180">
      <c r="A1180" s="51" t="n"/>
      <c r="B1180" s="52" t="n"/>
      <c r="C1180" s="52" t="n"/>
      <c r="D1180" s="53" t="n"/>
      <c r="E1180" s="53" t="n"/>
      <c r="F1180" s="54" t="n"/>
      <c r="G1180" s="54" t="n"/>
      <c r="H1180" s="54" t="n"/>
      <c r="I1180" s="54" t="n"/>
      <c r="J1180" s="53" t="n"/>
      <c r="K1180" s="55" t="str">
        <f>IF(COUNTA(A1180:I1180)=0,"",IF(F1180="",IFERROR(INDEX(eq_dur,MATCH(B1180,eq_code,0)),""),F1180))</f>
        <v/>
      </c>
      <c r="L1180" s="55" t="str">
        <f>IF(ISNUMBER(K1180),N(IFERROR(INDEX(eq_pause,MATCH(B1180,eq_code,0)),0))+SUMIFS(st_min,st_date,A1180,st_eq,B1180,st_po,C1180,st_type,"Planifié"),"")</f>
        <v/>
      </c>
      <c r="M1180" s="55" t="str">
        <f>IF(ISNUMBER(K1180),K1180-L1180,"")</f>
        <v/>
      </c>
      <c r="N1180" s="55" t="str">
        <f>IF(ISNUMBER(K1180),SUMIFS(st_min,st_date,A1180,st_eq,B1180,st_po,C1180,st_type,"Non planifié"),"")</f>
        <v/>
      </c>
      <c r="O1180" s="55" t="str">
        <f>IF(ISNUMBER(K1180),M1180-N1180,"")</f>
        <v/>
      </c>
      <c r="P1180" s="55" t="str">
        <f>IF(COUNTA(A1180:I1180)=0,"",N(G1180)+N(H1180)+N(I1180))</f>
        <v/>
      </c>
      <c r="Q1180" s="56" t="str">
        <f>IF(COUNTA(A1180:I1180)=0,"",IF(N(IFERROR(INDEX(art_rate,MATCH(E1180,art_ref,0)),0))&gt;0,N(IFERROR(INDEX(art_rate,MATCH(E1180,art_ref,0)),0)),N(IFERROR(INDEX(po_rate,MATCH(C1180,po_code,0)),0))))</f>
        <v/>
      </c>
      <c r="R1180" s="55" t="str">
        <f>IF(AC1180=1,P1180*60/Q1180,"")</f>
        <v/>
      </c>
      <c r="S1180" s="55" t="str">
        <f>IF(AC1180=1,N(G1180)*60/Q1180,"")</f>
        <v/>
      </c>
      <c r="T1180" s="57" t="str">
        <f>IF(AC1180=1,O1180/M1180,"")</f>
        <v/>
      </c>
      <c r="U1180" s="57" t="str">
        <f>IF(AC1180=1,IF(O1180&gt;0,R1180/O1180,""),"")</f>
        <v/>
      </c>
      <c r="V1180" s="57" t="str">
        <f>IF(AC1180=1,IF(P1180&gt;0,N(G1180)/P1180,""),"")</f>
        <v/>
      </c>
      <c r="W1180" s="57" t="str">
        <f>IF(AC1180=1,S1180/M1180,"")</f>
        <v/>
      </c>
      <c r="X1180" s="57" t="str">
        <f>IF(AC1180=1,S1180/K1180,"")</f>
        <v/>
      </c>
      <c r="Y1180" s="58" t="str">
        <f>IF(W1180="","",IF(W1180&gt;=p_target,"Bon",IF(W1180&gt;=p_alert,"À surveiller","Faible")))</f>
        <v/>
      </c>
      <c r="Z1180" s="58" t="str">
        <f>IF(W1180="","",IF(MIN(IF(T1180="",1,T1180),IF(U1180="",1,U1180),IF(V1180="",1,V1180))&gt;=1,"Aucune",IF(IF(T1180="",1,T1180)&lt;=MIN(IF(U1180="",1,U1180),IF(V1180="",1,V1180)),"Disponibilité",IF(IF(U1180="",1,U1180)&lt;=IF(V1180="",1,V1180),"Performance","Qualité"))))</f>
        <v/>
      </c>
      <c r="AA1180" s="59" t="str">
        <f>IF(AC1180=1,N(H1180)*N(IFERROR(INDEX(art_cost,MATCH(E1180,art_ref,0)),0)),"")</f>
        <v/>
      </c>
      <c r="AB1180" s="58" t="str">
        <f>IF(COUNTA(A1180:I1180)=0,"",IF(N(A1180)&lt;=0,"Date manquante ou invalide",IF(B1180="","Équipe manquante",IF(ISNA(MATCH(B1180,eq_code,0)),"Équipe inconnue",IF(INDEX(eq_check,MATCH(B1180,eq_code,0))&lt;&gt;"OK","Équipe à corriger dans Paramètres",IF(C1180="","Poste manquant",IF(ISNA(MATCH(C1180,po_code,0)),"Poste inconnu",IF(AND(E1180&lt;&gt;"",ISNA(MATCH(E1180,art_ref,0))),"Article inconnu",IF(IF(E1180="",FALSE,INDEX(art_check,MATCH(E1180,art_ref,0))&lt;&gt;"OK"),"Article à corriger (feuille Articles)",IF(COUNTIFS(sj_date,A1180,sj_eq,B1180,sj_po,C1180)&gt;1,"Ligne en double (même jour, équipe et poste)",IF(OR(NOT(ISNUMBER(K1180)),N(K1180)&lt;=0,N(K1180)&gt;1440),"Temps d'ouverture invalide",IF(OR(AND(G1180&lt;&gt;"",NOT(ISNUMBER(G1180))),N(G1180)&lt;0,N(G1180)&lt;&gt;INT(N(G1180)),AND(H1180&lt;&gt;"",NOT(ISNUMBER(H1180))),N(H1180)&lt;0,N(H1180)&lt;&gt;INT(N(H1180)),AND(I1180&lt;&gt;"",NOT(ISNUMBER(I1180))),N(I1180)&lt;0,N(I1180)&lt;&gt;INT(N(I1180))),"Quantité invalide",IF(Q1180&lt;=0,"Cadence manquante (poste ou article)",IF(M1180&lt;=0,"Arrêts planifiés supérieurs au temps d'ouverture",IF(O1180&lt;0,"Arrêts supérieurs au temps requis",IF(AND(P1180&gt;0,O1180=0),"Pièces déclarées sans temps de marche",IF(AND(P1180=0,O1180&gt;0),"Aucune pièce déclarée",IF(P1180*60/Q1180&gt;O1180+0.001,"Cadence dépassée : vérifiez la cadence","OK"))))))))))))))))))</f>
        <v/>
      </c>
      <c r="AC1180">
        <f>IF(OR(AB1180="OK",AB1180="Aucune pièce déclarée",AB1180="Cadence dépassée : vérifiez la cadence"),1,0)</f>
        <v>0.0</v>
      </c>
      <c r="AD1180">
        <f>IF(AND(AC1180=1,A1180&gt;=p_from,A1180&lt;=p_to),1,0)</f>
        <v>0.0</v>
      </c>
      <c r="AE1180">
        <f>IF(AD1180=1,IF(COUNTIFS($A$6:A1180,A1180,$AD$6:AD1180,1)=1,1,0),0)</f>
        <v>0.0</v>
      </c>
      <c r="AF1180" t="str">
        <f>IF(AE1180=1,COUNTIFS(sj_first,1,sj_date,"&lt;"&amp;A1180)+1,"")</f>
        <v/>
      </c>
      <c r="AG1180" t="str">
        <f>IF(AND(AD1180=1,N(W1180)&lt;p_alert),ROUND(W1180,4),"")</f>
        <v/>
      </c>
      <c r="AH1180" t="str">
        <f>IF(AG1180="","",COUNTIF(sj_akey,"&lt;"&amp;AG1180)+COUNTIF($AG$6:AG1180,AG1180))</f>
        <v/>
      </c>
    </row>
    <row r="1181">
      <c r="A1181" s="51" t="n"/>
      <c r="B1181" s="52" t="n"/>
      <c r="C1181" s="52" t="n"/>
      <c r="D1181" s="53" t="n"/>
      <c r="E1181" s="53" t="n"/>
      <c r="F1181" s="54" t="n"/>
      <c r="G1181" s="54" t="n"/>
      <c r="H1181" s="54" t="n"/>
      <c r="I1181" s="54" t="n"/>
      <c r="J1181" s="53" t="n"/>
      <c r="K1181" s="55" t="str">
        <f>IF(COUNTA(A1181:I1181)=0,"",IF(F1181="",IFERROR(INDEX(eq_dur,MATCH(B1181,eq_code,0)),""),F1181))</f>
        <v/>
      </c>
      <c r="L1181" s="55" t="str">
        <f>IF(ISNUMBER(K1181),N(IFERROR(INDEX(eq_pause,MATCH(B1181,eq_code,0)),0))+SUMIFS(st_min,st_date,A1181,st_eq,B1181,st_po,C1181,st_type,"Planifié"),"")</f>
        <v/>
      </c>
      <c r="M1181" s="55" t="str">
        <f>IF(ISNUMBER(K1181),K1181-L1181,"")</f>
        <v/>
      </c>
      <c r="N1181" s="55" t="str">
        <f>IF(ISNUMBER(K1181),SUMIFS(st_min,st_date,A1181,st_eq,B1181,st_po,C1181,st_type,"Non planifié"),"")</f>
        <v/>
      </c>
      <c r="O1181" s="55" t="str">
        <f>IF(ISNUMBER(K1181),M1181-N1181,"")</f>
        <v/>
      </c>
      <c r="P1181" s="55" t="str">
        <f>IF(COUNTA(A1181:I1181)=0,"",N(G1181)+N(H1181)+N(I1181))</f>
        <v/>
      </c>
      <c r="Q1181" s="56" t="str">
        <f>IF(COUNTA(A1181:I1181)=0,"",IF(N(IFERROR(INDEX(art_rate,MATCH(E1181,art_ref,0)),0))&gt;0,N(IFERROR(INDEX(art_rate,MATCH(E1181,art_ref,0)),0)),N(IFERROR(INDEX(po_rate,MATCH(C1181,po_code,0)),0))))</f>
        <v/>
      </c>
      <c r="R1181" s="55" t="str">
        <f>IF(AC1181=1,P1181*60/Q1181,"")</f>
        <v/>
      </c>
      <c r="S1181" s="55" t="str">
        <f>IF(AC1181=1,N(G1181)*60/Q1181,"")</f>
        <v/>
      </c>
      <c r="T1181" s="57" t="str">
        <f>IF(AC1181=1,O1181/M1181,"")</f>
        <v/>
      </c>
      <c r="U1181" s="57" t="str">
        <f>IF(AC1181=1,IF(O1181&gt;0,R1181/O1181,""),"")</f>
        <v/>
      </c>
      <c r="V1181" s="57" t="str">
        <f>IF(AC1181=1,IF(P1181&gt;0,N(G1181)/P1181,""),"")</f>
        <v/>
      </c>
      <c r="W1181" s="57" t="str">
        <f>IF(AC1181=1,S1181/M1181,"")</f>
        <v/>
      </c>
      <c r="X1181" s="57" t="str">
        <f>IF(AC1181=1,S1181/K1181,"")</f>
        <v/>
      </c>
      <c r="Y1181" s="58" t="str">
        <f>IF(W1181="","",IF(W1181&gt;=p_target,"Bon",IF(W1181&gt;=p_alert,"À surveiller","Faible")))</f>
        <v/>
      </c>
      <c r="Z1181" s="58" t="str">
        <f>IF(W1181="","",IF(MIN(IF(T1181="",1,T1181),IF(U1181="",1,U1181),IF(V1181="",1,V1181))&gt;=1,"Aucune",IF(IF(T1181="",1,T1181)&lt;=MIN(IF(U1181="",1,U1181),IF(V1181="",1,V1181)),"Disponibilité",IF(IF(U1181="",1,U1181)&lt;=IF(V1181="",1,V1181),"Performance","Qualité"))))</f>
        <v/>
      </c>
      <c r="AA1181" s="59" t="str">
        <f>IF(AC1181=1,N(H1181)*N(IFERROR(INDEX(art_cost,MATCH(E1181,art_ref,0)),0)),"")</f>
        <v/>
      </c>
      <c r="AB1181" s="58" t="str">
        <f>IF(COUNTA(A1181:I1181)=0,"",IF(N(A1181)&lt;=0,"Date manquante ou invalide",IF(B1181="","Équipe manquante",IF(ISNA(MATCH(B1181,eq_code,0)),"Équipe inconnue",IF(INDEX(eq_check,MATCH(B1181,eq_code,0))&lt;&gt;"OK","Équipe à corriger dans Paramètres",IF(C1181="","Poste manquant",IF(ISNA(MATCH(C1181,po_code,0)),"Poste inconnu",IF(AND(E1181&lt;&gt;"",ISNA(MATCH(E1181,art_ref,0))),"Article inconnu",IF(IF(E1181="",FALSE,INDEX(art_check,MATCH(E1181,art_ref,0))&lt;&gt;"OK"),"Article à corriger (feuille Articles)",IF(COUNTIFS(sj_date,A1181,sj_eq,B1181,sj_po,C1181)&gt;1,"Ligne en double (même jour, équipe et poste)",IF(OR(NOT(ISNUMBER(K1181)),N(K1181)&lt;=0,N(K1181)&gt;1440),"Temps d'ouverture invalide",IF(OR(AND(G1181&lt;&gt;"",NOT(ISNUMBER(G1181))),N(G1181)&lt;0,N(G1181)&lt;&gt;INT(N(G1181)),AND(H1181&lt;&gt;"",NOT(ISNUMBER(H1181))),N(H1181)&lt;0,N(H1181)&lt;&gt;INT(N(H1181)),AND(I1181&lt;&gt;"",NOT(ISNUMBER(I1181))),N(I1181)&lt;0,N(I1181)&lt;&gt;INT(N(I1181))),"Quantité invalide",IF(Q1181&lt;=0,"Cadence manquante (poste ou article)",IF(M1181&lt;=0,"Arrêts planifiés supérieurs au temps d'ouverture",IF(O1181&lt;0,"Arrêts supérieurs au temps requis",IF(AND(P1181&gt;0,O1181=0),"Pièces déclarées sans temps de marche",IF(AND(P1181=0,O1181&gt;0),"Aucune pièce déclarée",IF(P1181*60/Q1181&gt;O1181+0.001,"Cadence dépassée : vérifiez la cadence","OK"))))))))))))))))))</f>
        <v/>
      </c>
      <c r="AC1181">
        <f>IF(OR(AB1181="OK",AB1181="Aucune pièce déclarée",AB1181="Cadence dépassée : vérifiez la cadence"),1,0)</f>
        <v>0.0</v>
      </c>
      <c r="AD1181">
        <f>IF(AND(AC1181=1,A1181&gt;=p_from,A1181&lt;=p_to),1,0)</f>
        <v>0.0</v>
      </c>
      <c r="AE1181">
        <f>IF(AD1181=1,IF(COUNTIFS($A$6:A1181,A1181,$AD$6:AD1181,1)=1,1,0),0)</f>
        <v>0.0</v>
      </c>
      <c r="AF1181" t="str">
        <f>IF(AE1181=1,COUNTIFS(sj_first,1,sj_date,"&lt;"&amp;A1181)+1,"")</f>
        <v/>
      </c>
      <c r="AG1181" t="str">
        <f>IF(AND(AD1181=1,N(W1181)&lt;p_alert),ROUND(W1181,4),"")</f>
        <v/>
      </c>
      <c r="AH1181" t="str">
        <f>IF(AG1181="","",COUNTIF(sj_akey,"&lt;"&amp;AG1181)+COUNTIF($AG$6:AG1181,AG1181))</f>
        <v/>
      </c>
    </row>
    <row r="1182">
      <c r="A1182" s="51" t="n"/>
      <c r="B1182" s="52" t="n"/>
      <c r="C1182" s="52" t="n"/>
      <c r="D1182" s="53" t="n"/>
      <c r="E1182" s="53" t="n"/>
      <c r="F1182" s="54" t="n"/>
      <c r="G1182" s="54" t="n"/>
      <c r="H1182" s="54" t="n"/>
      <c r="I1182" s="54" t="n"/>
      <c r="J1182" s="53" t="n"/>
      <c r="K1182" s="55" t="str">
        <f>IF(COUNTA(A1182:I1182)=0,"",IF(F1182="",IFERROR(INDEX(eq_dur,MATCH(B1182,eq_code,0)),""),F1182))</f>
        <v/>
      </c>
      <c r="L1182" s="55" t="str">
        <f>IF(ISNUMBER(K1182),N(IFERROR(INDEX(eq_pause,MATCH(B1182,eq_code,0)),0))+SUMIFS(st_min,st_date,A1182,st_eq,B1182,st_po,C1182,st_type,"Planifié"),"")</f>
        <v/>
      </c>
      <c r="M1182" s="55" t="str">
        <f>IF(ISNUMBER(K1182),K1182-L1182,"")</f>
        <v/>
      </c>
      <c r="N1182" s="55" t="str">
        <f>IF(ISNUMBER(K1182),SUMIFS(st_min,st_date,A1182,st_eq,B1182,st_po,C1182,st_type,"Non planifié"),"")</f>
        <v/>
      </c>
      <c r="O1182" s="55" t="str">
        <f>IF(ISNUMBER(K1182),M1182-N1182,"")</f>
        <v/>
      </c>
      <c r="P1182" s="55" t="str">
        <f>IF(COUNTA(A1182:I1182)=0,"",N(G1182)+N(H1182)+N(I1182))</f>
        <v/>
      </c>
      <c r="Q1182" s="56" t="str">
        <f>IF(COUNTA(A1182:I1182)=0,"",IF(N(IFERROR(INDEX(art_rate,MATCH(E1182,art_ref,0)),0))&gt;0,N(IFERROR(INDEX(art_rate,MATCH(E1182,art_ref,0)),0)),N(IFERROR(INDEX(po_rate,MATCH(C1182,po_code,0)),0))))</f>
        <v/>
      </c>
      <c r="R1182" s="55" t="str">
        <f>IF(AC1182=1,P1182*60/Q1182,"")</f>
        <v/>
      </c>
      <c r="S1182" s="55" t="str">
        <f>IF(AC1182=1,N(G1182)*60/Q1182,"")</f>
        <v/>
      </c>
      <c r="T1182" s="57" t="str">
        <f>IF(AC1182=1,O1182/M1182,"")</f>
        <v/>
      </c>
      <c r="U1182" s="57" t="str">
        <f>IF(AC1182=1,IF(O1182&gt;0,R1182/O1182,""),"")</f>
        <v/>
      </c>
      <c r="V1182" s="57" t="str">
        <f>IF(AC1182=1,IF(P1182&gt;0,N(G1182)/P1182,""),"")</f>
        <v/>
      </c>
      <c r="W1182" s="57" t="str">
        <f>IF(AC1182=1,S1182/M1182,"")</f>
        <v/>
      </c>
      <c r="X1182" s="57" t="str">
        <f>IF(AC1182=1,S1182/K1182,"")</f>
        <v/>
      </c>
      <c r="Y1182" s="58" t="str">
        <f>IF(W1182="","",IF(W1182&gt;=p_target,"Bon",IF(W1182&gt;=p_alert,"À surveiller","Faible")))</f>
        <v/>
      </c>
      <c r="Z1182" s="58" t="str">
        <f>IF(W1182="","",IF(MIN(IF(T1182="",1,T1182),IF(U1182="",1,U1182),IF(V1182="",1,V1182))&gt;=1,"Aucune",IF(IF(T1182="",1,T1182)&lt;=MIN(IF(U1182="",1,U1182),IF(V1182="",1,V1182)),"Disponibilité",IF(IF(U1182="",1,U1182)&lt;=IF(V1182="",1,V1182),"Performance","Qualité"))))</f>
        <v/>
      </c>
      <c r="AA1182" s="59" t="str">
        <f>IF(AC1182=1,N(H1182)*N(IFERROR(INDEX(art_cost,MATCH(E1182,art_ref,0)),0)),"")</f>
        <v/>
      </c>
      <c r="AB1182" s="58" t="str">
        <f>IF(COUNTA(A1182:I1182)=0,"",IF(N(A1182)&lt;=0,"Date manquante ou invalide",IF(B1182="","Équipe manquante",IF(ISNA(MATCH(B1182,eq_code,0)),"Équipe inconnue",IF(INDEX(eq_check,MATCH(B1182,eq_code,0))&lt;&gt;"OK","Équipe à corriger dans Paramètres",IF(C1182="","Poste manquant",IF(ISNA(MATCH(C1182,po_code,0)),"Poste inconnu",IF(AND(E1182&lt;&gt;"",ISNA(MATCH(E1182,art_ref,0))),"Article inconnu",IF(IF(E1182="",FALSE,INDEX(art_check,MATCH(E1182,art_ref,0))&lt;&gt;"OK"),"Article à corriger (feuille Articles)",IF(COUNTIFS(sj_date,A1182,sj_eq,B1182,sj_po,C1182)&gt;1,"Ligne en double (même jour, équipe et poste)",IF(OR(NOT(ISNUMBER(K1182)),N(K1182)&lt;=0,N(K1182)&gt;1440),"Temps d'ouverture invalide",IF(OR(AND(G1182&lt;&gt;"",NOT(ISNUMBER(G1182))),N(G1182)&lt;0,N(G1182)&lt;&gt;INT(N(G1182)),AND(H1182&lt;&gt;"",NOT(ISNUMBER(H1182))),N(H1182)&lt;0,N(H1182)&lt;&gt;INT(N(H1182)),AND(I1182&lt;&gt;"",NOT(ISNUMBER(I1182))),N(I1182)&lt;0,N(I1182)&lt;&gt;INT(N(I1182))),"Quantité invalide",IF(Q1182&lt;=0,"Cadence manquante (poste ou article)",IF(M1182&lt;=0,"Arrêts planifiés supérieurs au temps d'ouverture",IF(O1182&lt;0,"Arrêts supérieurs au temps requis",IF(AND(P1182&gt;0,O1182=0),"Pièces déclarées sans temps de marche",IF(AND(P1182=0,O1182&gt;0),"Aucune pièce déclarée",IF(P1182*60/Q1182&gt;O1182+0.001,"Cadence dépassée : vérifiez la cadence","OK"))))))))))))))))))</f>
        <v/>
      </c>
      <c r="AC1182">
        <f>IF(OR(AB1182="OK",AB1182="Aucune pièce déclarée",AB1182="Cadence dépassée : vérifiez la cadence"),1,0)</f>
        <v>0.0</v>
      </c>
      <c r="AD1182">
        <f>IF(AND(AC1182=1,A1182&gt;=p_from,A1182&lt;=p_to),1,0)</f>
        <v>0.0</v>
      </c>
      <c r="AE1182">
        <f>IF(AD1182=1,IF(COUNTIFS($A$6:A1182,A1182,$AD$6:AD1182,1)=1,1,0),0)</f>
        <v>0.0</v>
      </c>
      <c r="AF1182" t="str">
        <f>IF(AE1182=1,COUNTIFS(sj_first,1,sj_date,"&lt;"&amp;A1182)+1,"")</f>
        <v/>
      </c>
      <c r="AG1182" t="str">
        <f>IF(AND(AD1182=1,N(W1182)&lt;p_alert),ROUND(W1182,4),"")</f>
        <v/>
      </c>
      <c r="AH1182" t="str">
        <f>IF(AG1182="","",COUNTIF(sj_akey,"&lt;"&amp;AG1182)+COUNTIF($AG$6:AG1182,AG1182))</f>
        <v/>
      </c>
    </row>
    <row r="1183">
      <c r="A1183" s="51" t="n"/>
      <c r="B1183" s="52" t="n"/>
      <c r="C1183" s="52" t="n"/>
      <c r="D1183" s="53" t="n"/>
      <c r="E1183" s="53" t="n"/>
      <c r="F1183" s="54" t="n"/>
      <c r="G1183" s="54" t="n"/>
      <c r="H1183" s="54" t="n"/>
      <c r="I1183" s="54" t="n"/>
      <c r="J1183" s="53" t="n"/>
      <c r="K1183" s="55" t="str">
        <f>IF(COUNTA(A1183:I1183)=0,"",IF(F1183="",IFERROR(INDEX(eq_dur,MATCH(B1183,eq_code,0)),""),F1183))</f>
        <v/>
      </c>
      <c r="L1183" s="55" t="str">
        <f>IF(ISNUMBER(K1183),N(IFERROR(INDEX(eq_pause,MATCH(B1183,eq_code,0)),0))+SUMIFS(st_min,st_date,A1183,st_eq,B1183,st_po,C1183,st_type,"Planifié"),"")</f>
        <v/>
      </c>
      <c r="M1183" s="55" t="str">
        <f>IF(ISNUMBER(K1183),K1183-L1183,"")</f>
        <v/>
      </c>
      <c r="N1183" s="55" t="str">
        <f>IF(ISNUMBER(K1183),SUMIFS(st_min,st_date,A1183,st_eq,B1183,st_po,C1183,st_type,"Non planifié"),"")</f>
        <v/>
      </c>
      <c r="O1183" s="55" t="str">
        <f>IF(ISNUMBER(K1183),M1183-N1183,"")</f>
        <v/>
      </c>
      <c r="P1183" s="55" t="str">
        <f>IF(COUNTA(A1183:I1183)=0,"",N(G1183)+N(H1183)+N(I1183))</f>
        <v/>
      </c>
      <c r="Q1183" s="56" t="str">
        <f>IF(COUNTA(A1183:I1183)=0,"",IF(N(IFERROR(INDEX(art_rate,MATCH(E1183,art_ref,0)),0))&gt;0,N(IFERROR(INDEX(art_rate,MATCH(E1183,art_ref,0)),0)),N(IFERROR(INDEX(po_rate,MATCH(C1183,po_code,0)),0))))</f>
        <v/>
      </c>
      <c r="R1183" s="55" t="str">
        <f>IF(AC1183=1,P1183*60/Q1183,"")</f>
        <v/>
      </c>
      <c r="S1183" s="55" t="str">
        <f>IF(AC1183=1,N(G1183)*60/Q1183,"")</f>
        <v/>
      </c>
      <c r="T1183" s="57" t="str">
        <f>IF(AC1183=1,O1183/M1183,"")</f>
        <v/>
      </c>
      <c r="U1183" s="57" t="str">
        <f>IF(AC1183=1,IF(O1183&gt;0,R1183/O1183,""),"")</f>
        <v/>
      </c>
      <c r="V1183" s="57" t="str">
        <f>IF(AC1183=1,IF(P1183&gt;0,N(G1183)/P1183,""),"")</f>
        <v/>
      </c>
      <c r="W1183" s="57" t="str">
        <f>IF(AC1183=1,S1183/M1183,"")</f>
        <v/>
      </c>
      <c r="X1183" s="57" t="str">
        <f>IF(AC1183=1,S1183/K1183,"")</f>
        <v/>
      </c>
      <c r="Y1183" s="58" t="str">
        <f>IF(W1183="","",IF(W1183&gt;=p_target,"Bon",IF(W1183&gt;=p_alert,"À surveiller","Faible")))</f>
        <v/>
      </c>
      <c r="Z1183" s="58" t="str">
        <f>IF(W1183="","",IF(MIN(IF(T1183="",1,T1183),IF(U1183="",1,U1183),IF(V1183="",1,V1183))&gt;=1,"Aucune",IF(IF(T1183="",1,T1183)&lt;=MIN(IF(U1183="",1,U1183),IF(V1183="",1,V1183)),"Disponibilité",IF(IF(U1183="",1,U1183)&lt;=IF(V1183="",1,V1183),"Performance","Qualité"))))</f>
        <v/>
      </c>
      <c r="AA1183" s="59" t="str">
        <f>IF(AC1183=1,N(H1183)*N(IFERROR(INDEX(art_cost,MATCH(E1183,art_ref,0)),0)),"")</f>
        <v/>
      </c>
      <c r="AB1183" s="58" t="str">
        <f>IF(COUNTA(A1183:I1183)=0,"",IF(N(A1183)&lt;=0,"Date manquante ou invalide",IF(B1183="","Équipe manquante",IF(ISNA(MATCH(B1183,eq_code,0)),"Équipe inconnue",IF(INDEX(eq_check,MATCH(B1183,eq_code,0))&lt;&gt;"OK","Équipe à corriger dans Paramètres",IF(C1183="","Poste manquant",IF(ISNA(MATCH(C1183,po_code,0)),"Poste inconnu",IF(AND(E1183&lt;&gt;"",ISNA(MATCH(E1183,art_ref,0))),"Article inconnu",IF(IF(E1183="",FALSE,INDEX(art_check,MATCH(E1183,art_ref,0))&lt;&gt;"OK"),"Article à corriger (feuille Articles)",IF(COUNTIFS(sj_date,A1183,sj_eq,B1183,sj_po,C1183)&gt;1,"Ligne en double (même jour, équipe et poste)",IF(OR(NOT(ISNUMBER(K1183)),N(K1183)&lt;=0,N(K1183)&gt;1440),"Temps d'ouverture invalide",IF(OR(AND(G1183&lt;&gt;"",NOT(ISNUMBER(G1183))),N(G1183)&lt;0,N(G1183)&lt;&gt;INT(N(G1183)),AND(H1183&lt;&gt;"",NOT(ISNUMBER(H1183))),N(H1183)&lt;0,N(H1183)&lt;&gt;INT(N(H1183)),AND(I1183&lt;&gt;"",NOT(ISNUMBER(I1183))),N(I1183)&lt;0,N(I1183)&lt;&gt;INT(N(I1183))),"Quantité invalide",IF(Q1183&lt;=0,"Cadence manquante (poste ou article)",IF(M1183&lt;=0,"Arrêts planifiés supérieurs au temps d'ouverture",IF(O1183&lt;0,"Arrêts supérieurs au temps requis",IF(AND(P1183&gt;0,O1183=0),"Pièces déclarées sans temps de marche",IF(AND(P1183=0,O1183&gt;0),"Aucune pièce déclarée",IF(P1183*60/Q1183&gt;O1183+0.001,"Cadence dépassée : vérifiez la cadence","OK"))))))))))))))))))</f>
        <v/>
      </c>
      <c r="AC1183">
        <f>IF(OR(AB1183="OK",AB1183="Aucune pièce déclarée",AB1183="Cadence dépassée : vérifiez la cadence"),1,0)</f>
        <v>0.0</v>
      </c>
      <c r="AD1183">
        <f>IF(AND(AC1183=1,A1183&gt;=p_from,A1183&lt;=p_to),1,0)</f>
        <v>0.0</v>
      </c>
      <c r="AE1183">
        <f>IF(AD1183=1,IF(COUNTIFS($A$6:A1183,A1183,$AD$6:AD1183,1)=1,1,0),0)</f>
        <v>0.0</v>
      </c>
      <c r="AF1183" t="str">
        <f>IF(AE1183=1,COUNTIFS(sj_first,1,sj_date,"&lt;"&amp;A1183)+1,"")</f>
        <v/>
      </c>
      <c r="AG1183" t="str">
        <f>IF(AND(AD1183=1,N(W1183)&lt;p_alert),ROUND(W1183,4),"")</f>
        <v/>
      </c>
      <c r="AH1183" t="str">
        <f>IF(AG1183="","",COUNTIF(sj_akey,"&lt;"&amp;AG1183)+COUNTIF($AG$6:AG1183,AG1183))</f>
        <v/>
      </c>
    </row>
    <row r="1184">
      <c r="A1184" s="51" t="n"/>
      <c r="B1184" s="52" t="n"/>
      <c r="C1184" s="52" t="n"/>
      <c r="D1184" s="53" t="n"/>
      <c r="E1184" s="53" t="n"/>
      <c r="F1184" s="54" t="n"/>
      <c r="G1184" s="54" t="n"/>
      <c r="H1184" s="54" t="n"/>
      <c r="I1184" s="54" t="n"/>
      <c r="J1184" s="53" t="n"/>
      <c r="K1184" s="55" t="str">
        <f>IF(COUNTA(A1184:I1184)=0,"",IF(F1184="",IFERROR(INDEX(eq_dur,MATCH(B1184,eq_code,0)),""),F1184))</f>
        <v/>
      </c>
      <c r="L1184" s="55" t="str">
        <f>IF(ISNUMBER(K1184),N(IFERROR(INDEX(eq_pause,MATCH(B1184,eq_code,0)),0))+SUMIFS(st_min,st_date,A1184,st_eq,B1184,st_po,C1184,st_type,"Planifié"),"")</f>
        <v/>
      </c>
      <c r="M1184" s="55" t="str">
        <f>IF(ISNUMBER(K1184),K1184-L1184,"")</f>
        <v/>
      </c>
      <c r="N1184" s="55" t="str">
        <f>IF(ISNUMBER(K1184),SUMIFS(st_min,st_date,A1184,st_eq,B1184,st_po,C1184,st_type,"Non planifié"),"")</f>
        <v/>
      </c>
      <c r="O1184" s="55" t="str">
        <f>IF(ISNUMBER(K1184),M1184-N1184,"")</f>
        <v/>
      </c>
      <c r="P1184" s="55" t="str">
        <f>IF(COUNTA(A1184:I1184)=0,"",N(G1184)+N(H1184)+N(I1184))</f>
        <v/>
      </c>
      <c r="Q1184" s="56" t="str">
        <f>IF(COUNTA(A1184:I1184)=0,"",IF(N(IFERROR(INDEX(art_rate,MATCH(E1184,art_ref,0)),0))&gt;0,N(IFERROR(INDEX(art_rate,MATCH(E1184,art_ref,0)),0)),N(IFERROR(INDEX(po_rate,MATCH(C1184,po_code,0)),0))))</f>
        <v/>
      </c>
      <c r="R1184" s="55" t="str">
        <f>IF(AC1184=1,P1184*60/Q1184,"")</f>
        <v/>
      </c>
      <c r="S1184" s="55" t="str">
        <f>IF(AC1184=1,N(G1184)*60/Q1184,"")</f>
        <v/>
      </c>
      <c r="T1184" s="57" t="str">
        <f>IF(AC1184=1,O1184/M1184,"")</f>
        <v/>
      </c>
      <c r="U1184" s="57" t="str">
        <f>IF(AC1184=1,IF(O1184&gt;0,R1184/O1184,""),"")</f>
        <v/>
      </c>
      <c r="V1184" s="57" t="str">
        <f>IF(AC1184=1,IF(P1184&gt;0,N(G1184)/P1184,""),"")</f>
        <v/>
      </c>
      <c r="W1184" s="57" t="str">
        <f>IF(AC1184=1,S1184/M1184,"")</f>
        <v/>
      </c>
      <c r="X1184" s="57" t="str">
        <f>IF(AC1184=1,S1184/K1184,"")</f>
        <v/>
      </c>
      <c r="Y1184" s="58" t="str">
        <f>IF(W1184="","",IF(W1184&gt;=p_target,"Bon",IF(W1184&gt;=p_alert,"À surveiller","Faible")))</f>
        <v/>
      </c>
      <c r="Z1184" s="58" t="str">
        <f>IF(W1184="","",IF(MIN(IF(T1184="",1,T1184),IF(U1184="",1,U1184),IF(V1184="",1,V1184))&gt;=1,"Aucune",IF(IF(T1184="",1,T1184)&lt;=MIN(IF(U1184="",1,U1184),IF(V1184="",1,V1184)),"Disponibilité",IF(IF(U1184="",1,U1184)&lt;=IF(V1184="",1,V1184),"Performance","Qualité"))))</f>
        <v/>
      </c>
      <c r="AA1184" s="59" t="str">
        <f>IF(AC1184=1,N(H1184)*N(IFERROR(INDEX(art_cost,MATCH(E1184,art_ref,0)),0)),"")</f>
        <v/>
      </c>
      <c r="AB1184" s="58" t="str">
        <f>IF(COUNTA(A1184:I1184)=0,"",IF(N(A1184)&lt;=0,"Date manquante ou invalide",IF(B1184="","Équipe manquante",IF(ISNA(MATCH(B1184,eq_code,0)),"Équipe inconnue",IF(INDEX(eq_check,MATCH(B1184,eq_code,0))&lt;&gt;"OK","Équipe à corriger dans Paramètres",IF(C1184="","Poste manquant",IF(ISNA(MATCH(C1184,po_code,0)),"Poste inconnu",IF(AND(E1184&lt;&gt;"",ISNA(MATCH(E1184,art_ref,0))),"Article inconnu",IF(IF(E1184="",FALSE,INDEX(art_check,MATCH(E1184,art_ref,0))&lt;&gt;"OK"),"Article à corriger (feuille Articles)",IF(COUNTIFS(sj_date,A1184,sj_eq,B1184,sj_po,C1184)&gt;1,"Ligne en double (même jour, équipe et poste)",IF(OR(NOT(ISNUMBER(K1184)),N(K1184)&lt;=0,N(K1184)&gt;1440),"Temps d'ouverture invalide",IF(OR(AND(G1184&lt;&gt;"",NOT(ISNUMBER(G1184))),N(G1184)&lt;0,N(G1184)&lt;&gt;INT(N(G1184)),AND(H1184&lt;&gt;"",NOT(ISNUMBER(H1184))),N(H1184)&lt;0,N(H1184)&lt;&gt;INT(N(H1184)),AND(I1184&lt;&gt;"",NOT(ISNUMBER(I1184))),N(I1184)&lt;0,N(I1184)&lt;&gt;INT(N(I1184))),"Quantité invalide",IF(Q1184&lt;=0,"Cadence manquante (poste ou article)",IF(M1184&lt;=0,"Arrêts planifiés supérieurs au temps d'ouverture",IF(O1184&lt;0,"Arrêts supérieurs au temps requis",IF(AND(P1184&gt;0,O1184=0),"Pièces déclarées sans temps de marche",IF(AND(P1184=0,O1184&gt;0),"Aucune pièce déclarée",IF(P1184*60/Q1184&gt;O1184+0.001,"Cadence dépassée : vérifiez la cadence","OK"))))))))))))))))))</f>
        <v/>
      </c>
      <c r="AC1184">
        <f>IF(OR(AB1184="OK",AB1184="Aucune pièce déclarée",AB1184="Cadence dépassée : vérifiez la cadence"),1,0)</f>
        <v>0.0</v>
      </c>
      <c r="AD1184">
        <f>IF(AND(AC1184=1,A1184&gt;=p_from,A1184&lt;=p_to),1,0)</f>
        <v>0.0</v>
      </c>
      <c r="AE1184">
        <f>IF(AD1184=1,IF(COUNTIFS($A$6:A1184,A1184,$AD$6:AD1184,1)=1,1,0),0)</f>
        <v>0.0</v>
      </c>
      <c r="AF1184" t="str">
        <f>IF(AE1184=1,COUNTIFS(sj_first,1,sj_date,"&lt;"&amp;A1184)+1,"")</f>
        <v/>
      </c>
      <c r="AG1184" t="str">
        <f>IF(AND(AD1184=1,N(W1184)&lt;p_alert),ROUND(W1184,4),"")</f>
        <v/>
      </c>
      <c r="AH1184" t="str">
        <f>IF(AG1184="","",COUNTIF(sj_akey,"&lt;"&amp;AG1184)+COUNTIF($AG$6:AG1184,AG1184))</f>
        <v/>
      </c>
    </row>
    <row r="1185">
      <c r="A1185" s="51" t="n"/>
      <c r="B1185" s="52" t="n"/>
      <c r="C1185" s="52" t="n"/>
      <c r="D1185" s="53" t="n"/>
      <c r="E1185" s="53" t="n"/>
      <c r="F1185" s="54" t="n"/>
      <c r="G1185" s="54" t="n"/>
      <c r="H1185" s="54" t="n"/>
      <c r="I1185" s="54" t="n"/>
      <c r="J1185" s="53" t="n"/>
      <c r="K1185" s="55" t="str">
        <f>IF(COUNTA(A1185:I1185)=0,"",IF(F1185="",IFERROR(INDEX(eq_dur,MATCH(B1185,eq_code,0)),""),F1185))</f>
        <v/>
      </c>
      <c r="L1185" s="55" t="str">
        <f>IF(ISNUMBER(K1185),N(IFERROR(INDEX(eq_pause,MATCH(B1185,eq_code,0)),0))+SUMIFS(st_min,st_date,A1185,st_eq,B1185,st_po,C1185,st_type,"Planifié"),"")</f>
        <v/>
      </c>
      <c r="M1185" s="55" t="str">
        <f>IF(ISNUMBER(K1185),K1185-L1185,"")</f>
        <v/>
      </c>
      <c r="N1185" s="55" t="str">
        <f>IF(ISNUMBER(K1185),SUMIFS(st_min,st_date,A1185,st_eq,B1185,st_po,C1185,st_type,"Non planifié"),"")</f>
        <v/>
      </c>
      <c r="O1185" s="55" t="str">
        <f>IF(ISNUMBER(K1185),M1185-N1185,"")</f>
        <v/>
      </c>
      <c r="P1185" s="55" t="str">
        <f>IF(COUNTA(A1185:I1185)=0,"",N(G1185)+N(H1185)+N(I1185))</f>
        <v/>
      </c>
      <c r="Q1185" s="56" t="str">
        <f>IF(COUNTA(A1185:I1185)=0,"",IF(N(IFERROR(INDEX(art_rate,MATCH(E1185,art_ref,0)),0))&gt;0,N(IFERROR(INDEX(art_rate,MATCH(E1185,art_ref,0)),0)),N(IFERROR(INDEX(po_rate,MATCH(C1185,po_code,0)),0))))</f>
        <v/>
      </c>
      <c r="R1185" s="55" t="str">
        <f>IF(AC1185=1,P1185*60/Q1185,"")</f>
        <v/>
      </c>
      <c r="S1185" s="55" t="str">
        <f>IF(AC1185=1,N(G1185)*60/Q1185,"")</f>
        <v/>
      </c>
      <c r="T1185" s="57" t="str">
        <f>IF(AC1185=1,O1185/M1185,"")</f>
        <v/>
      </c>
      <c r="U1185" s="57" t="str">
        <f>IF(AC1185=1,IF(O1185&gt;0,R1185/O1185,""),"")</f>
        <v/>
      </c>
      <c r="V1185" s="57" t="str">
        <f>IF(AC1185=1,IF(P1185&gt;0,N(G1185)/P1185,""),"")</f>
        <v/>
      </c>
      <c r="W1185" s="57" t="str">
        <f>IF(AC1185=1,S1185/M1185,"")</f>
        <v/>
      </c>
      <c r="X1185" s="57" t="str">
        <f>IF(AC1185=1,S1185/K1185,"")</f>
        <v/>
      </c>
      <c r="Y1185" s="58" t="str">
        <f>IF(W1185="","",IF(W1185&gt;=p_target,"Bon",IF(W1185&gt;=p_alert,"À surveiller","Faible")))</f>
        <v/>
      </c>
      <c r="Z1185" s="58" t="str">
        <f>IF(W1185="","",IF(MIN(IF(T1185="",1,T1185),IF(U1185="",1,U1185),IF(V1185="",1,V1185))&gt;=1,"Aucune",IF(IF(T1185="",1,T1185)&lt;=MIN(IF(U1185="",1,U1185),IF(V1185="",1,V1185)),"Disponibilité",IF(IF(U1185="",1,U1185)&lt;=IF(V1185="",1,V1185),"Performance","Qualité"))))</f>
        <v/>
      </c>
      <c r="AA1185" s="59" t="str">
        <f>IF(AC1185=1,N(H1185)*N(IFERROR(INDEX(art_cost,MATCH(E1185,art_ref,0)),0)),"")</f>
        <v/>
      </c>
      <c r="AB1185" s="58" t="str">
        <f>IF(COUNTA(A1185:I1185)=0,"",IF(N(A1185)&lt;=0,"Date manquante ou invalide",IF(B1185="","Équipe manquante",IF(ISNA(MATCH(B1185,eq_code,0)),"Équipe inconnue",IF(INDEX(eq_check,MATCH(B1185,eq_code,0))&lt;&gt;"OK","Équipe à corriger dans Paramètres",IF(C1185="","Poste manquant",IF(ISNA(MATCH(C1185,po_code,0)),"Poste inconnu",IF(AND(E1185&lt;&gt;"",ISNA(MATCH(E1185,art_ref,0))),"Article inconnu",IF(IF(E1185="",FALSE,INDEX(art_check,MATCH(E1185,art_ref,0))&lt;&gt;"OK"),"Article à corriger (feuille Articles)",IF(COUNTIFS(sj_date,A1185,sj_eq,B1185,sj_po,C1185)&gt;1,"Ligne en double (même jour, équipe et poste)",IF(OR(NOT(ISNUMBER(K1185)),N(K1185)&lt;=0,N(K1185)&gt;1440),"Temps d'ouverture invalide",IF(OR(AND(G1185&lt;&gt;"",NOT(ISNUMBER(G1185))),N(G1185)&lt;0,N(G1185)&lt;&gt;INT(N(G1185)),AND(H1185&lt;&gt;"",NOT(ISNUMBER(H1185))),N(H1185)&lt;0,N(H1185)&lt;&gt;INT(N(H1185)),AND(I1185&lt;&gt;"",NOT(ISNUMBER(I1185))),N(I1185)&lt;0,N(I1185)&lt;&gt;INT(N(I1185))),"Quantité invalide",IF(Q1185&lt;=0,"Cadence manquante (poste ou article)",IF(M1185&lt;=0,"Arrêts planifiés supérieurs au temps d'ouverture",IF(O1185&lt;0,"Arrêts supérieurs au temps requis",IF(AND(P1185&gt;0,O1185=0),"Pièces déclarées sans temps de marche",IF(AND(P1185=0,O1185&gt;0),"Aucune pièce déclarée",IF(P1185*60/Q1185&gt;O1185+0.001,"Cadence dépassée : vérifiez la cadence","OK"))))))))))))))))))</f>
        <v/>
      </c>
      <c r="AC1185">
        <f>IF(OR(AB1185="OK",AB1185="Aucune pièce déclarée",AB1185="Cadence dépassée : vérifiez la cadence"),1,0)</f>
        <v>0.0</v>
      </c>
      <c r="AD1185">
        <f>IF(AND(AC1185=1,A1185&gt;=p_from,A1185&lt;=p_to),1,0)</f>
        <v>0.0</v>
      </c>
      <c r="AE1185">
        <f>IF(AD1185=1,IF(COUNTIFS($A$6:A1185,A1185,$AD$6:AD1185,1)=1,1,0),0)</f>
        <v>0.0</v>
      </c>
      <c r="AF1185" t="str">
        <f>IF(AE1185=1,COUNTIFS(sj_first,1,sj_date,"&lt;"&amp;A1185)+1,"")</f>
        <v/>
      </c>
      <c r="AG1185" t="str">
        <f>IF(AND(AD1185=1,N(W1185)&lt;p_alert),ROUND(W1185,4),"")</f>
        <v/>
      </c>
      <c r="AH1185" t="str">
        <f>IF(AG1185="","",COUNTIF(sj_akey,"&lt;"&amp;AG1185)+COUNTIF($AG$6:AG1185,AG1185))</f>
        <v/>
      </c>
    </row>
    <row r="1186">
      <c r="A1186" s="51" t="n"/>
      <c r="B1186" s="52" t="n"/>
      <c r="C1186" s="52" t="n"/>
      <c r="D1186" s="53" t="n"/>
      <c r="E1186" s="53" t="n"/>
      <c r="F1186" s="54" t="n"/>
      <c r="G1186" s="54" t="n"/>
      <c r="H1186" s="54" t="n"/>
      <c r="I1186" s="54" t="n"/>
      <c r="J1186" s="53" t="n"/>
      <c r="K1186" s="55" t="str">
        <f>IF(COUNTA(A1186:I1186)=0,"",IF(F1186="",IFERROR(INDEX(eq_dur,MATCH(B1186,eq_code,0)),""),F1186))</f>
        <v/>
      </c>
      <c r="L1186" s="55" t="str">
        <f>IF(ISNUMBER(K1186),N(IFERROR(INDEX(eq_pause,MATCH(B1186,eq_code,0)),0))+SUMIFS(st_min,st_date,A1186,st_eq,B1186,st_po,C1186,st_type,"Planifié"),"")</f>
        <v/>
      </c>
      <c r="M1186" s="55" t="str">
        <f>IF(ISNUMBER(K1186),K1186-L1186,"")</f>
        <v/>
      </c>
      <c r="N1186" s="55" t="str">
        <f>IF(ISNUMBER(K1186),SUMIFS(st_min,st_date,A1186,st_eq,B1186,st_po,C1186,st_type,"Non planifié"),"")</f>
        <v/>
      </c>
      <c r="O1186" s="55" t="str">
        <f>IF(ISNUMBER(K1186),M1186-N1186,"")</f>
        <v/>
      </c>
      <c r="P1186" s="55" t="str">
        <f>IF(COUNTA(A1186:I1186)=0,"",N(G1186)+N(H1186)+N(I1186))</f>
        <v/>
      </c>
      <c r="Q1186" s="56" t="str">
        <f>IF(COUNTA(A1186:I1186)=0,"",IF(N(IFERROR(INDEX(art_rate,MATCH(E1186,art_ref,0)),0))&gt;0,N(IFERROR(INDEX(art_rate,MATCH(E1186,art_ref,0)),0)),N(IFERROR(INDEX(po_rate,MATCH(C1186,po_code,0)),0))))</f>
        <v/>
      </c>
      <c r="R1186" s="55" t="str">
        <f>IF(AC1186=1,P1186*60/Q1186,"")</f>
        <v/>
      </c>
      <c r="S1186" s="55" t="str">
        <f>IF(AC1186=1,N(G1186)*60/Q1186,"")</f>
        <v/>
      </c>
      <c r="T1186" s="57" t="str">
        <f>IF(AC1186=1,O1186/M1186,"")</f>
        <v/>
      </c>
      <c r="U1186" s="57" t="str">
        <f>IF(AC1186=1,IF(O1186&gt;0,R1186/O1186,""),"")</f>
        <v/>
      </c>
      <c r="V1186" s="57" t="str">
        <f>IF(AC1186=1,IF(P1186&gt;0,N(G1186)/P1186,""),"")</f>
        <v/>
      </c>
      <c r="W1186" s="57" t="str">
        <f>IF(AC1186=1,S1186/M1186,"")</f>
        <v/>
      </c>
      <c r="X1186" s="57" t="str">
        <f>IF(AC1186=1,S1186/K1186,"")</f>
        <v/>
      </c>
      <c r="Y1186" s="58" t="str">
        <f>IF(W1186="","",IF(W1186&gt;=p_target,"Bon",IF(W1186&gt;=p_alert,"À surveiller","Faible")))</f>
        <v/>
      </c>
      <c r="Z1186" s="58" t="str">
        <f>IF(W1186="","",IF(MIN(IF(T1186="",1,T1186),IF(U1186="",1,U1186),IF(V1186="",1,V1186))&gt;=1,"Aucune",IF(IF(T1186="",1,T1186)&lt;=MIN(IF(U1186="",1,U1186),IF(V1186="",1,V1186)),"Disponibilité",IF(IF(U1186="",1,U1186)&lt;=IF(V1186="",1,V1186),"Performance","Qualité"))))</f>
        <v/>
      </c>
      <c r="AA1186" s="59" t="str">
        <f>IF(AC1186=1,N(H1186)*N(IFERROR(INDEX(art_cost,MATCH(E1186,art_ref,0)),0)),"")</f>
        <v/>
      </c>
      <c r="AB1186" s="58" t="str">
        <f>IF(COUNTA(A1186:I1186)=0,"",IF(N(A1186)&lt;=0,"Date manquante ou invalide",IF(B1186="","Équipe manquante",IF(ISNA(MATCH(B1186,eq_code,0)),"Équipe inconnue",IF(INDEX(eq_check,MATCH(B1186,eq_code,0))&lt;&gt;"OK","Équipe à corriger dans Paramètres",IF(C1186="","Poste manquant",IF(ISNA(MATCH(C1186,po_code,0)),"Poste inconnu",IF(AND(E1186&lt;&gt;"",ISNA(MATCH(E1186,art_ref,0))),"Article inconnu",IF(IF(E1186="",FALSE,INDEX(art_check,MATCH(E1186,art_ref,0))&lt;&gt;"OK"),"Article à corriger (feuille Articles)",IF(COUNTIFS(sj_date,A1186,sj_eq,B1186,sj_po,C1186)&gt;1,"Ligne en double (même jour, équipe et poste)",IF(OR(NOT(ISNUMBER(K1186)),N(K1186)&lt;=0,N(K1186)&gt;1440),"Temps d'ouverture invalide",IF(OR(AND(G1186&lt;&gt;"",NOT(ISNUMBER(G1186))),N(G1186)&lt;0,N(G1186)&lt;&gt;INT(N(G1186)),AND(H1186&lt;&gt;"",NOT(ISNUMBER(H1186))),N(H1186)&lt;0,N(H1186)&lt;&gt;INT(N(H1186)),AND(I1186&lt;&gt;"",NOT(ISNUMBER(I1186))),N(I1186)&lt;0,N(I1186)&lt;&gt;INT(N(I1186))),"Quantité invalide",IF(Q1186&lt;=0,"Cadence manquante (poste ou article)",IF(M1186&lt;=0,"Arrêts planifiés supérieurs au temps d'ouverture",IF(O1186&lt;0,"Arrêts supérieurs au temps requis",IF(AND(P1186&gt;0,O1186=0),"Pièces déclarées sans temps de marche",IF(AND(P1186=0,O1186&gt;0),"Aucune pièce déclarée",IF(P1186*60/Q1186&gt;O1186+0.001,"Cadence dépassée : vérifiez la cadence","OK"))))))))))))))))))</f>
        <v/>
      </c>
      <c r="AC1186">
        <f>IF(OR(AB1186="OK",AB1186="Aucune pièce déclarée",AB1186="Cadence dépassée : vérifiez la cadence"),1,0)</f>
        <v>0.0</v>
      </c>
      <c r="AD1186">
        <f>IF(AND(AC1186=1,A1186&gt;=p_from,A1186&lt;=p_to),1,0)</f>
        <v>0.0</v>
      </c>
      <c r="AE1186">
        <f>IF(AD1186=1,IF(COUNTIFS($A$6:A1186,A1186,$AD$6:AD1186,1)=1,1,0),0)</f>
        <v>0.0</v>
      </c>
      <c r="AF1186" t="str">
        <f>IF(AE1186=1,COUNTIFS(sj_first,1,sj_date,"&lt;"&amp;A1186)+1,"")</f>
        <v/>
      </c>
      <c r="AG1186" t="str">
        <f>IF(AND(AD1186=1,N(W1186)&lt;p_alert),ROUND(W1186,4),"")</f>
        <v/>
      </c>
      <c r="AH1186" t="str">
        <f>IF(AG1186="","",COUNTIF(sj_akey,"&lt;"&amp;AG1186)+COUNTIF($AG$6:AG1186,AG1186))</f>
        <v/>
      </c>
    </row>
    <row r="1187">
      <c r="A1187" s="51" t="n"/>
      <c r="B1187" s="52" t="n"/>
      <c r="C1187" s="52" t="n"/>
      <c r="D1187" s="53" t="n"/>
      <c r="E1187" s="53" t="n"/>
      <c r="F1187" s="54" t="n"/>
      <c r="G1187" s="54" t="n"/>
      <c r="H1187" s="54" t="n"/>
      <c r="I1187" s="54" t="n"/>
      <c r="J1187" s="53" t="n"/>
      <c r="K1187" s="55" t="str">
        <f>IF(COUNTA(A1187:I1187)=0,"",IF(F1187="",IFERROR(INDEX(eq_dur,MATCH(B1187,eq_code,0)),""),F1187))</f>
        <v/>
      </c>
      <c r="L1187" s="55" t="str">
        <f>IF(ISNUMBER(K1187),N(IFERROR(INDEX(eq_pause,MATCH(B1187,eq_code,0)),0))+SUMIFS(st_min,st_date,A1187,st_eq,B1187,st_po,C1187,st_type,"Planifié"),"")</f>
        <v/>
      </c>
      <c r="M1187" s="55" t="str">
        <f>IF(ISNUMBER(K1187),K1187-L1187,"")</f>
        <v/>
      </c>
      <c r="N1187" s="55" t="str">
        <f>IF(ISNUMBER(K1187),SUMIFS(st_min,st_date,A1187,st_eq,B1187,st_po,C1187,st_type,"Non planifié"),"")</f>
        <v/>
      </c>
      <c r="O1187" s="55" t="str">
        <f>IF(ISNUMBER(K1187),M1187-N1187,"")</f>
        <v/>
      </c>
      <c r="P1187" s="55" t="str">
        <f>IF(COUNTA(A1187:I1187)=0,"",N(G1187)+N(H1187)+N(I1187))</f>
        <v/>
      </c>
      <c r="Q1187" s="56" t="str">
        <f>IF(COUNTA(A1187:I1187)=0,"",IF(N(IFERROR(INDEX(art_rate,MATCH(E1187,art_ref,0)),0))&gt;0,N(IFERROR(INDEX(art_rate,MATCH(E1187,art_ref,0)),0)),N(IFERROR(INDEX(po_rate,MATCH(C1187,po_code,0)),0))))</f>
        <v/>
      </c>
      <c r="R1187" s="55" t="str">
        <f>IF(AC1187=1,P1187*60/Q1187,"")</f>
        <v/>
      </c>
      <c r="S1187" s="55" t="str">
        <f>IF(AC1187=1,N(G1187)*60/Q1187,"")</f>
        <v/>
      </c>
      <c r="T1187" s="57" t="str">
        <f>IF(AC1187=1,O1187/M1187,"")</f>
        <v/>
      </c>
      <c r="U1187" s="57" t="str">
        <f>IF(AC1187=1,IF(O1187&gt;0,R1187/O1187,""),"")</f>
        <v/>
      </c>
      <c r="V1187" s="57" t="str">
        <f>IF(AC1187=1,IF(P1187&gt;0,N(G1187)/P1187,""),"")</f>
        <v/>
      </c>
      <c r="W1187" s="57" t="str">
        <f>IF(AC1187=1,S1187/M1187,"")</f>
        <v/>
      </c>
      <c r="X1187" s="57" t="str">
        <f>IF(AC1187=1,S1187/K1187,"")</f>
        <v/>
      </c>
      <c r="Y1187" s="58" t="str">
        <f>IF(W1187="","",IF(W1187&gt;=p_target,"Bon",IF(W1187&gt;=p_alert,"À surveiller","Faible")))</f>
        <v/>
      </c>
      <c r="Z1187" s="58" t="str">
        <f>IF(W1187="","",IF(MIN(IF(T1187="",1,T1187),IF(U1187="",1,U1187),IF(V1187="",1,V1187))&gt;=1,"Aucune",IF(IF(T1187="",1,T1187)&lt;=MIN(IF(U1187="",1,U1187),IF(V1187="",1,V1187)),"Disponibilité",IF(IF(U1187="",1,U1187)&lt;=IF(V1187="",1,V1187),"Performance","Qualité"))))</f>
        <v/>
      </c>
      <c r="AA1187" s="59" t="str">
        <f>IF(AC1187=1,N(H1187)*N(IFERROR(INDEX(art_cost,MATCH(E1187,art_ref,0)),0)),"")</f>
        <v/>
      </c>
      <c r="AB1187" s="58" t="str">
        <f>IF(COUNTA(A1187:I1187)=0,"",IF(N(A1187)&lt;=0,"Date manquante ou invalide",IF(B1187="","Équipe manquante",IF(ISNA(MATCH(B1187,eq_code,0)),"Équipe inconnue",IF(INDEX(eq_check,MATCH(B1187,eq_code,0))&lt;&gt;"OK","Équipe à corriger dans Paramètres",IF(C1187="","Poste manquant",IF(ISNA(MATCH(C1187,po_code,0)),"Poste inconnu",IF(AND(E1187&lt;&gt;"",ISNA(MATCH(E1187,art_ref,0))),"Article inconnu",IF(IF(E1187="",FALSE,INDEX(art_check,MATCH(E1187,art_ref,0))&lt;&gt;"OK"),"Article à corriger (feuille Articles)",IF(COUNTIFS(sj_date,A1187,sj_eq,B1187,sj_po,C1187)&gt;1,"Ligne en double (même jour, équipe et poste)",IF(OR(NOT(ISNUMBER(K1187)),N(K1187)&lt;=0,N(K1187)&gt;1440),"Temps d'ouverture invalide",IF(OR(AND(G1187&lt;&gt;"",NOT(ISNUMBER(G1187))),N(G1187)&lt;0,N(G1187)&lt;&gt;INT(N(G1187)),AND(H1187&lt;&gt;"",NOT(ISNUMBER(H1187))),N(H1187)&lt;0,N(H1187)&lt;&gt;INT(N(H1187)),AND(I1187&lt;&gt;"",NOT(ISNUMBER(I1187))),N(I1187)&lt;0,N(I1187)&lt;&gt;INT(N(I1187))),"Quantité invalide",IF(Q1187&lt;=0,"Cadence manquante (poste ou article)",IF(M1187&lt;=0,"Arrêts planifiés supérieurs au temps d'ouverture",IF(O1187&lt;0,"Arrêts supérieurs au temps requis",IF(AND(P1187&gt;0,O1187=0),"Pièces déclarées sans temps de marche",IF(AND(P1187=0,O1187&gt;0),"Aucune pièce déclarée",IF(P1187*60/Q1187&gt;O1187+0.001,"Cadence dépassée : vérifiez la cadence","OK"))))))))))))))))))</f>
        <v/>
      </c>
      <c r="AC1187">
        <f>IF(OR(AB1187="OK",AB1187="Aucune pièce déclarée",AB1187="Cadence dépassée : vérifiez la cadence"),1,0)</f>
        <v>0.0</v>
      </c>
      <c r="AD1187">
        <f>IF(AND(AC1187=1,A1187&gt;=p_from,A1187&lt;=p_to),1,0)</f>
        <v>0.0</v>
      </c>
      <c r="AE1187">
        <f>IF(AD1187=1,IF(COUNTIFS($A$6:A1187,A1187,$AD$6:AD1187,1)=1,1,0),0)</f>
        <v>0.0</v>
      </c>
      <c r="AF1187" t="str">
        <f>IF(AE1187=1,COUNTIFS(sj_first,1,sj_date,"&lt;"&amp;A1187)+1,"")</f>
        <v/>
      </c>
      <c r="AG1187" t="str">
        <f>IF(AND(AD1187=1,N(W1187)&lt;p_alert),ROUND(W1187,4),"")</f>
        <v/>
      </c>
      <c r="AH1187" t="str">
        <f>IF(AG1187="","",COUNTIF(sj_akey,"&lt;"&amp;AG1187)+COUNTIF($AG$6:AG1187,AG1187))</f>
        <v/>
      </c>
    </row>
    <row r="1188">
      <c r="A1188" s="51" t="n"/>
      <c r="B1188" s="52" t="n"/>
      <c r="C1188" s="52" t="n"/>
      <c r="D1188" s="53" t="n"/>
      <c r="E1188" s="53" t="n"/>
      <c r="F1188" s="54" t="n"/>
      <c r="G1188" s="54" t="n"/>
      <c r="H1188" s="54" t="n"/>
      <c r="I1188" s="54" t="n"/>
      <c r="J1188" s="53" t="n"/>
      <c r="K1188" s="55" t="str">
        <f>IF(COUNTA(A1188:I1188)=0,"",IF(F1188="",IFERROR(INDEX(eq_dur,MATCH(B1188,eq_code,0)),""),F1188))</f>
        <v/>
      </c>
      <c r="L1188" s="55" t="str">
        <f>IF(ISNUMBER(K1188),N(IFERROR(INDEX(eq_pause,MATCH(B1188,eq_code,0)),0))+SUMIFS(st_min,st_date,A1188,st_eq,B1188,st_po,C1188,st_type,"Planifié"),"")</f>
        <v/>
      </c>
      <c r="M1188" s="55" t="str">
        <f>IF(ISNUMBER(K1188),K1188-L1188,"")</f>
        <v/>
      </c>
      <c r="N1188" s="55" t="str">
        <f>IF(ISNUMBER(K1188),SUMIFS(st_min,st_date,A1188,st_eq,B1188,st_po,C1188,st_type,"Non planifié"),"")</f>
        <v/>
      </c>
      <c r="O1188" s="55" t="str">
        <f>IF(ISNUMBER(K1188),M1188-N1188,"")</f>
        <v/>
      </c>
      <c r="P1188" s="55" t="str">
        <f>IF(COUNTA(A1188:I1188)=0,"",N(G1188)+N(H1188)+N(I1188))</f>
        <v/>
      </c>
      <c r="Q1188" s="56" t="str">
        <f>IF(COUNTA(A1188:I1188)=0,"",IF(N(IFERROR(INDEX(art_rate,MATCH(E1188,art_ref,0)),0))&gt;0,N(IFERROR(INDEX(art_rate,MATCH(E1188,art_ref,0)),0)),N(IFERROR(INDEX(po_rate,MATCH(C1188,po_code,0)),0))))</f>
        <v/>
      </c>
      <c r="R1188" s="55" t="str">
        <f>IF(AC1188=1,P1188*60/Q1188,"")</f>
        <v/>
      </c>
      <c r="S1188" s="55" t="str">
        <f>IF(AC1188=1,N(G1188)*60/Q1188,"")</f>
        <v/>
      </c>
      <c r="T1188" s="57" t="str">
        <f>IF(AC1188=1,O1188/M1188,"")</f>
        <v/>
      </c>
      <c r="U1188" s="57" t="str">
        <f>IF(AC1188=1,IF(O1188&gt;0,R1188/O1188,""),"")</f>
        <v/>
      </c>
      <c r="V1188" s="57" t="str">
        <f>IF(AC1188=1,IF(P1188&gt;0,N(G1188)/P1188,""),"")</f>
        <v/>
      </c>
      <c r="W1188" s="57" t="str">
        <f>IF(AC1188=1,S1188/M1188,"")</f>
        <v/>
      </c>
      <c r="X1188" s="57" t="str">
        <f>IF(AC1188=1,S1188/K1188,"")</f>
        <v/>
      </c>
      <c r="Y1188" s="58" t="str">
        <f>IF(W1188="","",IF(W1188&gt;=p_target,"Bon",IF(W1188&gt;=p_alert,"À surveiller","Faible")))</f>
        <v/>
      </c>
      <c r="Z1188" s="58" t="str">
        <f>IF(W1188="","",IF(MIN(IF(T1188="",1,T1188),IF(U1188="",1,U1188),IF(V1188="",1,V1188))&gt;=1,"Aucune",IF(IF(T1188="",1,T1188)&lt;=MIN(IF(U1188="",1,U1188),IF(V1188="",1,V1188)),"Disponibilité",IF(IF(U1188="",1,U1188)&lt;=IF(V1188="",1,V1188),"Performance","Qualité"))))</f>
        <v/>
      </c>
      <c r="AA1188" s="59" t="str">
        <f>IF(AC1188=1,N(H1188)*N(IFERROR(INDEX(art_cost,MATCH(E1188,art_ref,0)),0)),"")</f>
        <v/>
      </c>
      <c r="AB1188" s="58" t="str">
        <f>IF(COUNTA(A1188:I1188)=0,"",IF(N(A1188)&lt;=0,"Date manquante ou invalide",IF(B1188="","Équipe manquante",IF(ISNA(MATCH(B1188,eq_code,0)),"Équipe inconnue",IF(INDEX(eq_check,MATCH(B1188,eq_code,0))&lt;&gt;"OK","Équipe à corriger dans Paramètres",IF(C1188="","Poste manquant",IF(ISNA(MATCH(C1188,po_code,0)),"Poste inconnu",IF(AND(E1188&lt;&gt;"",ISNA(MATCH(E1188,art_ref,0))),"Article inconnu",IF(IF(E1188="",FALSE,INDEX(art_check,MATCH(E1188,art_ref,0))&lt;&gt;"OK"),"Article à corriger (feuille Articles)",IF(COUNTIFS(sj_date,A1188,sj_eq,B1188,sj_po,C1188)&gt;1,"Ligne en double (même jour, équipe et poste)",IF(OR(NOT(ISNUMBER(K1188)),N(K1188)&lt;=0,N(K1188)&gt;1440),"Temps d'ouverture invalide",IF(OR(AND(G1188&lt;&gt;"",NOT(ISNUMBER(G1188))),N(G1188)&lt;0,N(G1188)&lt;&gt;INT(N(G1188)),AND(H1188&lt;&gt;"",NOT(ISNUMBER(H1188))),N(H1188)&lt;0,N(H1188)&lt;&gt;INT(N(H1188)),AND(I1188&lt;&gt;"",NOT(ISNUMBER(I1188))),N(I1188)&lt;0,N(I1188)&lt;&gt;INT(N(I1188))),"Quantité invalide",IF(Q1188&lt;=0,"Cadence manquante (poste ou article)",IF(M1188&lt;=0,"Arrêts planifiés supérieurs au temps d'ouverture",IF(O1188&lt;0,"Arrêts supérieurs au temps requis",IF(AND(P1188&gt;0,O1188=0),"Pièces déclarées sans temps de marche",IF(AND(P1188=0,O1188&gt;0),"Aucune pièce déclarée",IF(P1188*60/Q1188&gt;O1188+0.001,"Cadence dépassée : vérifiez la cadence","OK"))))))))))))))))))</f>
        <v/>
      </c>
      <c r="AC1188">
        <f>IF(OR(AB1188="OK",AB1188="Aucune pièce déclarée",AB1188="Cadence dépassée : vérifiez la cadence"),1,0)</f>
        <v>0.0</v>
      </c>
      <c r="AD1188">
        <f>IF(AND(AC1188=1,A1188&gt;=p_from,A1188&lt;=p_to),1,0)</f>
        <v>0.0</v>
      </c>
      <c r="AE1188">
        <f>IF(AD1188=1,IF(COUNTIFS($A$6:A1188,A1188,$AD$6:AD1188,1)=1,1,0),0)</f>
        <v>0.0</v>
      </c>
      <c r="AF1188" t="str">
        <f>IF(AE1188=1,COUNTIFS(sj_first,1,sj_date,"&lt;"&amp;A1188)+1,"")</f>
        <v/>
      </c>
      <c r="AG1188" t="str">
        <f>IF(AND(AD1188=1,N(W1188)&lt;p_alert),ROUND(W1188,4),"")</f>
        <v/>
      </c>
      <c r="AH1188" t="str">
        <f>IF(AG1188="","",COUNTIF(sj_akey,"&lt;"&amp;AG1188)+COUNTIF($AG$6:AG1188,AG1188))</f>
        <v/>
      </c>
    </row>
    <row r="1189">
      <c r="A1189" s="51" t="n"/>
      <c r="B1189" s="52" t="n"/>
      <c r="C1189" s="52" t="n"/>
      <c r="D1189" s="53" t="n"/>
      <c r="E1189" s="53" t="n"/>
      <c r="F1189" s="54" t="n"/>
      <c r="G1189" s="54" t="n"/>
      <c r="H1189" s="54" t="n"/>
      <c r="I1189" s="54" t="n"/>
      <c r="J1189" s="53" t="n"/>
      <c r="K1189" s="55" t="str">
        <f>IF(COUNTA(A1189:I1189)=0,"",IF(F1189="",IFERROR(INDEX(eq_dur,MATCH(B1189,eq_code,0)),""),F1189))</f>
        <v/>
      </c>
      <c r="L1189" s="55" t="str">
        <f>IF(ISNUMBER(K1189),N(IFERROR(INDEX(eq_pause,MATCH(B1189,eq_code,0)),0))+SUMIFS(st_min,st_date,A1189,st_eq,B1189,st_po,C1189,st_type,"Planifié"),"")</f>
        <v/>
      </c>
      <c r="M1189" s="55" t="str">
        <f>IF(ISNUMBER(K1189),K1189-L1189,"")</f>
        <v/>
      </c>
      <c r="N1189" s="55" t="str">
        <f>IF(ISNUMBER(K1189),SUMIFS(st_min,st_date,A1189,st_eq,B1189,st_po,C1189,st_type,"Non planifié"),"")</f>
        <v/>
      </c>
      <c r="O1189" s="55" t="str">
        <f>IF(ISNUMBER(K1189),M1189-N1189,"")</f>
        <v/>
      </c>
      <c r="P1189" s="55" t="str">
        <f>IF(COUNTA(A1189:I1189)=0,"",N(G1189)+N(H1189)+N(I1189))</f>
        <v/>
      </c>
      <c r="Q1189" s="56" t="str">
        <f>IF(COUNTA(A1189:I1189)=0,"",IF(N(IFERROR(INDEX(art_rate,MATCH(E1189,art_ref,0)),0))&gt;0,N(IFERROR(INDEX(art_rate,MATCH(E1189,art_ref,0)),0)),N(IFERROR(INDEX(po_rate,MATCH(C1189,po_code,0)),0))))</f>
        <v/>
      </c>
      <c r="R1189" s="55" t="str">
        <f>IF(AC1189=1,P1189*60/Q1189,"")</f>
        <v/>
      </c>
      <c r="S1189" s="55" t="str">
        <f>IF(AC1189=1,N(G1189)*60/Q1189,"")</f>
        <v/>
      </c>
      <c r="T1189" s="57" t="str">
        <f>IF(AC1189=1,O1189/M1189,"")</f>
        <v/>
      </c>
      <c r="U1189" s="57" t="str">
        <f>IF(AC1189=1,IF(O1189&gt;0,R1189/O1189,""),"")</f>
        <v/>
      </c>
      <c r="V1189" s="57" t="str">
        <f>IF(AC1189=1,IF(P1189&gt;0,N(G1189)/P1189,""),"")</f>
        <v/>
      </c>
      <c r="W1189" s="57" t="str">
        <f>IF(AC1189=1,S1189/M1189,"")</f>
        <v/>
      </c>
      <c r="X1189" s="57" t="str">
        <f>IF(AC1189=1,S1189/K1189,"")</f>
        <v/>
      </c>
      <c r="Y1189" s="58" t="str">
        <f>IF(W1189="","",IF(W1189&gt;=p_target,"Bon",IF(W1189&gt;=p_alert,"À surveiller","Faible")))</f>
        <v/>
      </c>
      <c r="Z1189" s="58" t="str">
        <f>IF(W1189="","",IF(MIN(IF(T1189="",1,T1189),IF(U1189="",1,U1189),IF(V1189="",1,V1189))&gt;=1,"Aucune",IF(IF(T1189="",1,T1189)&lt;=MIN(IF(U1189="",1,U1189),IF(V1189="",1,V1189)),"Disponibilité",IF(IF(U1189="",1,U1189)&lt;=IF(V1189="",1,V1189),"Performance","Qualité"))))</f>
        <v/>
      </c>
      <c r="AA1189" s="59" t="str">
        <f>IF(AC1189=1,N(H1189)*N(IFERROR(INDEX(art_cost,MATCH(E1189,art_ref,0)),0)),"")</f>
        <v/>
      </c>
      <c r="AB1189" s="58" t="str">
        <f>IF(COUNTA(A1189:I1189)=0,"",IF(N(A1189)&lt;=0,"Date manquante ou invalide",IF(B1189="","Équipe manquante",IF(ISNA(MATCH(B1189,eq_code,0)),"Équipe inconnue",IF(INDEX(eq_check,MATCH(B1189,eq_code,0))&lt;&gt;"OK","Équipe à corriger dans Paramètres",IF(C1189="","Poste manquant",IF(ISNA(MATCH(C1189,po_code,0)),"Poste inconnu",IF(AND(E1189&lt;&gt;"",ISNA(MATCH(E1189,art_ref,0))),"Article inconnu",IF(IF(E1189="",FALSE,INDEX(art_check,MATCH(E1189,art_ref,0))&lt;&gt;"OK"),"Article à corriger (feuille Articles)",IF(COUNTIFS(sj_date,A1189,sj_eq,B1189,sj_po,C1189)&gt;1,"Ligne en double (même jour, équipe et poste)",IF(OR(NOT(ISNUMBER(K1189)),N(K1189)&lt;=0,N(K1189)&gt;1440),"Temps d'ouverture invalide",IF(OR(AND(G1189&lt;&gt;"",NOT(ISNUMBER(G1189))),N(G1189)&lt;0,N(G1189)&lt;&gt;INT(N(G1189)),AND(H1189&lt;&gt;"",NOT(ISNUMBER(H1189))),N(H1189)&lt;0,N(H1189)&lt;&gt;INT(N(H1189)),AND(I1189&lt;&gt;"",NOT(ISNUMBER(I1189))),N(I1189)&lt;0,N(I1189)&lt;&gt;INT(N(I1189))),"Quantité invalide",IF(Q1189&lt;=0,"Cadence manquante (poste ou article)",IF(M1189&lt;=0,"Arrêts planifiés supérieurs au temps d'ouverture",IF(O1189&lt;0,"Arrêts supérieurs au temps requis",IF(AND(P1189&gt;0,O1189=0),"Pièces déclarées sans temps de marche",IF(AND(P1189=0,O1189&gt;0),"Aucune pièce déclarée",IF(P1189*60/Q1189&gt;O1189+0.001,"Cadence dépassée : vérifiez la cadence","OK"))))))))))))))))))</f>
        <v/>
      </c>
      <c r="AC1189">
        <f>IF(OR(AB1189="OK",AB1189="Aucune pièce déclarée",AB1189="Cadence dépassée : vérifiez la cadence"),1,0)</f>
        <v>0.0</v>
      </c>
      <c r="AD1189">
        <f>IF(AND(AC1189=1,A1189&gt;=p_from,A1189&lt;=p_to),1,0)</f>
        <v>0.0</v>
      </c>
      <c r="AE1189">
        <f>IF(AD1189=1,IF(COUNTIFS($A$6:A1189,A1189,$AD$6:AD1189,1)=1,1,0),0)</f>
        <v>0.0</v>
      </c>
      <c r="AF1189" t="str">
        <f>IF(AE1189=1,COUNTIFS(sj_first,1,sj_date,"&lt;"&amp;A1189)+1,"")</f>
        <v/>
      </c>
      <c r="AG1189" t="str">
        <f>IF(AND(AD1189=1,N(W1189)&lt;p_alert),ROUND(W1189,4),"")</f>
        <v/>
      </c>
      <c r="AH1189" t="str">
        <f>IF(AG1189="","",COUNTIF(sj_akey,"&lt;"&amp;AG1189)+COUNTIF($AG$6:AG1189,AG1189))</f>
        <v/>
      </c>
    </row>
    <row r="1190">
      <c r="A1190" s="51" t="n"/>
      <c r="B1190" s="52" t="n"/>
      <c r="C1190" s="52" t="n"/>
      <c r="D1190" s="53" t="n"/>
      <c r="E1190" s="53" t="n"/>
      <c r="F1190" s="54" t="n"/>
      <c r="G1190" s="54" t="n"/>
      <c r="H1190" s="54" t="n"/>
      <c r="I1190" s="54" t="n"/>
      <c r="J1190" s="53" t="n"/>
      <c r="K1190" s="55" t="str">
        <f>IF(COUNTA(A1190:I1190)=0,"",IF(F1190="",IFERROR(INDEX(eq_dur,MATCH(B1190,eq_code,0)),""),F1190))</f>
        <v/>
      </c>
      <c r="L1190" s="55" t="str">
        <f>IF(ISNUMBER(K1190),N(IFERROR(INDEX(eq_pause,MATCH(B1190,eq_code,0)),0))+SUMIFS(st_min,st_date,A1190,st_eq,B1190,st_po,C1190,st_type,"Planifié"),"")</f>
        <v/>
      </c>
      <c r="M1190" s="55" t="str">
        <f>IF(ISNUMBER(K1190),K1190-L1190,"")</f>
        <v/>
      </c>
      <c r="N1190" s="55" t="str">
        <f>IF(ISNUMBER(K1190),SUMIFS(st_min,st_date,A1190,st_eq,B1190,st_po,C1190,st_type,"Non planifié"),"")</f>
        <v/>
      </c>
      <c r="O1190" s="55" t="str">
        <f>IF(ISNUMBER(K1190),M1190-N1190,"")</f>
        <v/>
      </c>
      <c r="P1190" s="55" t="str">
        <f>IF(COUNTA(A1190:I1190)=0,"",N(G1190)+N(H1190)+N(I1190))</f>
        <v/>
      </c>
      <c r="Q1190" s="56" t="str">
        <f>IF(COUNTA(A1190:I1190)=0,"",IF(N(IFERROR(INDEX(art_rate,MATCH(E1190,art_ref,0)),0))&gt;0,N(IFERROR(INDEX(art_rate,MATCH(E1190,art_ref,0)),0)),N(IFERROR(INDEX(po_rate,MATCH(C1190,po_code,0)),0))))</f>
        <v/>
      </c>
      <c r="R1190" s="55" t="str">
        <f>IF(AC1190=1,P1190*60/Q1190,"")</f>
        <v/>
      </c>
      <c r="S1190" s="55" t="str">
        <f>IF(AC1190=1,N(G1190)*60/Q1190,"")</f>
        <v/>
      </c>
      <c r="T1190" s="57" t="str">
        <f>IF(AC1190=1,O1190/M1190,"")</f>
        <v/>
      </c>
      <c r="U1190" s="57" t="str">
        <f>IF(AC1190=1,IF(O1190&gt;0,R1190/O1190,""),"")</f>
        <v/>
      </c>
      <c r="V1190" s="57" t="str">
        <f>IF(AC1190=1,IF(P1190&gt;0,N(G1190)/P1190,""),"")</f>
        <v/>
      </c>
      <c r="W1190" s="57" t="str">
        <f>IF(AC1190=1,S1190/M1190,"")</f>
        <v/>
      </c>
      <c r="X1190" s="57" t="str">
        <f>IF(AC1190=1,S1190/K1190,"")</f>
        <v/>
      </c>
      <c r="Y1190" s="58" t="str">
        <f>IF(W1190="","",IF(W1190&gt;=p_target,"Bon",IF(W1190&gt;=p_alert,"À surveiller","Faible")))</f>
        <v/>
      </c>
      <c r="Z1190" s="58" t="str">
        <f>IF(W1190="","",IF(MIN(IF(T1190="",1,T1190),IF(U1190="",1,U1190),IF(V1190="",1,V1190))&gt;=1,"Aucune",IF(IF(T1190="",1,T1190)&lt;=MIN(IF(U1190="",1,U1190),IF(V1190="",1,V1190)),"Disponibilité",IF(IF(U1190="",1,U1190)&lt;=IF(V1190="",1,V1190),"Performance","Qualité"))))</f>
        <v/>
      </c>
      <c r="AA1190" s="59" t="str">
        <f>IF(AC1190=1,N(H1190)*N(IFERROR(INDEX(art_cost,MATCH(E1190,art_ref,0)),0)),"")</f>
        <v/>
      </c>
      <c r="AB1190" s="58" t="str">
        <f>IF(COUNTA(A1190:I1190)=0,"",IF(N(A1190)&lt;=0,"Date manquante ou invalide",IF(B1190="","Équipe manquante",IF(ISNA(MATCH(B1190,eq_code,0)),"Équipe inconnue",IF(INDEX(eq_check,MATCH(B1190,eq_code,0))&lt;&gt;"OK","Équipe à corriger dans Paramètres",IF(C1190="","Poste manquant",IF(ISNA(MATCH(C1190,po_code,0)),"Poste inconnu",IF(AND(E1190&lt;&gt;"",ISNA(MATCH(E1190,art_ref,0))),"Article inconnu",IF(IF(E1190="",FALSE,INDEX(art_check,MATCH(E1190,art_ref,0))&lt;&gt;"OK"),"Article à corriger (feuille Articles)",IF(COUNTIFS(sj_date,A1190,sj_eq,B1190,sj_po,C1190)&gt;1,"Ligne en double (même jour, équipe et poste)",IF(OR(NOT(ISNUMBER(K1190)),N(K1190)&lt;=0,N(K1190)&gt;1440),"Temps d'ouverture invalide",IF(OR(AND(G1190&lt;&gt;"",NOT(ISNUMBER(G1190))),N(G1190)&lt;0,N(G1190)&lt;&gt;INT(N(G1190)),AND(H1190&lt;&gt;"",NOT(ISNUMBER(H1190))),N(H1190)&lt;0,N(H1190)&lt;&gt;INT(N(H1190)),AND(I1190&lt;&gt;"",NOT(ISNUMBER(I1190))),N(I1190)&lt;0,N(I1190)&lt;&gt;INT(N(I1190))),"Quantité invalide",IF(Q1190&lt;=0,"Cadence manquante (poste ou article)",IF(M1190&lt;=0,"Arrêts planifiés supérieurs au temps d'ouverture",IF(O1190&lt;0,"Arrêts supérieurs au temps requis",IF(AND(P1190&gt;0,O1190=0),"Pièces déclarées sans temps de marche",IF(AND(P1190=0,O1190&gt;0),"Aucune pièce déclarée",IF(P1190*60/Q1190&gt;O1190+0.001,"Cadence dépassée : vérifiez la cadence","OK"))))))))))))))))))</f>
        <v/>
      </c>
      <c r="AC1190">
        <f>IF(OR(AB1190="OK",AB1190="Aucune pièce déclarée",AB1190="Cadence dépassée : vérifiez la cadence"),1,0)</f>
        <v>0.0</v>
      </c>
      <c r="AD1190">
        <f>IF(AND(AC1190=1,A1190&gt;=p_from,A1190&lt;=p_to),1,0)</f>
        <v>0.0</v>
      </c>
      <c r="AE1190">
        <f>IF(AD1190=1,IF(COUNTIFS($A$6:A1190,A1190,$AD$6:AD1190,1)=1,1,0),0)</f>
        <v>0.0</v>
      </c>
      <c r="AF1190" t="str">
        <f>IF(AE1190=1,COUNTIFS(sj_first,1,sj_date,"&lt;"&amp;A1190)+1,"")</f>
        <v/>
      </c>
      <c r="AG1190" t="str">
        <f>IF(AND(AD1190=1,N(W1190)&lt;p_alert),ROUND(W1190,4),"")</f>
        <v/>
      </c>
      <c r="AH1190" t="str">
        <f>IF(AG1190="","",COUNTIF(sj_akey,"&lt;"&amp;AG1190)+COUNTIF($AG$6:AG1190,AG1190))</f>
        <v/>
      </c>
    </row>
    <row r="1191">
      <c r="A1191" s="51" t="n"/>
      <c r="B1191" s="52" t="n"/>
      <c r="C1191" s="52" t="n"/>
      <c r="D1191" s="53" t="n"/>
      <c r="E1191" s="53" t="n"/>
      <c r="F1191" s="54" t="n"/>
      <c r="G1191" s="54" t="n"/>
      <c r="H1191" s="54" t="n"/>
      <c r="I1191" s="54" t="n"/>
      <c r="J1191" s="53" t="n"/>
      <c r="K1191" s="55" t="str">
        <f>IF(COUNTA(A1191:I1191)=0,"",IF(F1191="",IFERROR(INDEX(eq_dur,MATCH(B1191,eq_code,0)),""),F1191))</f>
        <v/>
      </c>
      <c r="L1191" s="55" t="str">
        <f>IF(ISNUMBER(K1191),N(IFERROR(INDEX(eq_pause,MATCH(B1191,eq_code,0)),0))+SUMIFS(st_min,st_date,A1191,st_eq,B1191,st_po,C1191,st_type,"Planifié"),"")</f>
        <v/>
      </c>
      <c r="M1191" s="55" t="str">
        <f>IF(ISNUMBER(K1191),K1191-L1191,"")</f>
        <v/>
      </c>
      <c r="N1191" s="55" t="str">
        <f>IF(ISNUMBER(K1191),SUMIFS(st_min,st_date,A1191,st_eq,B1191,st_po,C1191,st_type,"Non planifié"),"")</f>
        <v/>
      </c>
      <c r="O1191" s="55" t="str">
        <f>IF(ISNUMBER(K1191),M1191-N1191,"")</f>
        <v/>
      </c>
      <c r="P1191" s="55" t="str">
        <f>IF(COUNTA(A1191:I1191)=0,"",N(G1191)+N(H1191)+N(I1191))</f>
        <v/>
      </c>
      <c r="Q1191" s="56" t="str">
        <f>IF(COUNTA(A1191:I1191)=0,"",IF(N(IFERROR(INDEX(art_rate,MATCH(E1191,art_ref,0)),0))&gt;0,N(IFERROR(INDEX(art_rate,MATCH(E1191,art_ref,0)),0)),N(IFERROR(INDEX(po_rate,MATCH(C1191,po_code,0)),0))))</f>
        <v/>
      </c>
      <c r="R1191" s="55" t="str">
        <f>IF(AC1191=1,P1191*60/Q1191,"")</f>
        <v/>
      </c>
      <c r="S1191" s="55" t="str">
        <f>IF(AC1191=1,N(G1191)*60/Q1191,"")</f>
        <v/>
      </c>
      <c r="T1191" s="57" t="str">
        <f>IF(AC1191=1,O1191/M1191,"")</f>
        <v/>
      </c>
      <c r="U1191" s="57" t="str">
        <f>IF(AC1191=1,IF(O1191&gt;0,R1191/O1191,""),"")</f>
        <v/>
      </c>
      <c r="V1191" s="57" t="str">
        <f>IF(AC1191=1,IF(P1191&gt;0,N(G1191)/P1191,""),"")</f>
        <v/>
      </c>
      <c r="W1191" s="57" t="str">
        <f>IF(AC1191=1,S1191/M1191,"")</f>
        <v/>
      </c>
      <c r="X1191" s="57" t="str">
        <f>IF(AC1191=1,S1191/K1191,"")</f>
        <v/>
      </c>
      <c r="Y1191" s="58" t="str">
        <f>IF(W1191="","",IF(W1191&gt;=p_target,"Bon",IF(W1191&gt;=p_alert,"À surveiller","Faible")))</f>
        <v/>
      </c>
      <c r="Z1191" s="58" t="str">
        <f>IF(W1191="","",IF(MIN(IF(T1191="",1,T1191),IF(U1191="",1,U1191),IF(V1191="",1,V1191))&gt;=1,"Aucune",IF(IF(T1191="",1,T1191)&lt;=MIN(IF(U1191="",1,U1191),IF(V1191="",1,V1191)),"Disponibilité",IF(IF(U1191="",1,U1191)&lt;=IF(V1191="",1,V1191),"Performance","Qualité"))))</f>
        <v/>
      </c>
      <c r="AA1191" s="59" t="str">
        <f>IF(AC1191=1,N(H1191)*N(IFERROR(INDEX(art_cost,MATCH(E1191,art_ref,0)),0)),"")</f>
        <v/>
      </c>
      <c r="AB1191" s="58" t="str">
        <f>IF(COUNTA(A1191:I1191)=0,"",IF(N(A1191)&lt;=0,"Date manquante ou invalide",IF(B1191="","Équipe manquante",IF(ISNA(MATCH(B1191,eq_code,0)),"Équipe inconnue",IF(INDEX(eq_check,MATCH(B1191,eq_code,0))&lt;&gt;"OK","Équipe à corriger dans Paramètres",IF(C1191="","Poste manquant",IF(ISNA(MATCH(C1191,po_code,0)),"Poste inconnu",IF(AND(E1191&lt;&gt;"",ISNA(MATCH(E1191,art_ref,0))),"Article inconnu",IF(IF(E1191="",FALSE,INDEX(art_check,MATCH(E1191,art_ref,0))&lt;&gt;"OK"),"Article à corriger (feuille Articles)",IF(COUNTIFS(sj_date,A1191,sj_eq,B1191,sj_po,C1191)&gt;1,"Ligne en double (même jour, équipe et poste)",IF(OR(NOT(ISNUMBER(K1191)),N(K1191)&lt;=0,N(K1191)&gt;1440),"Temps d'ouverture invalide",IF(OR(AND(G1191&lt;&gt;"",NOT(ISNUMBER(G1191))),N(G1191)&lt;0,N(G1191)&lt;&gt;INT(N(G1191)),AND(H1191&lt;&gt;"",NOT(ISNUMBER(H1191))),N(H1191)&lt;0,N(H1191)&lt;&gt;INT(N(H1191)),AND(I1191&lt;&gt;"",NOT(ISNUMBER(I1191))),N(I1191)&lt;0,N(I1191)&lt;&gt;INT(N(I1191))),"Quantité invalide",IF(Q1191&lt;=0,"Cadence manquante (poste ou article)",IF(M1191&lt;=0,"Arrêts planifiés supérieurs au temps d'ouverture",IF(O1191&lt;0,"Arrêts supérieurs au temps requis",IF(AND(P1191&gt;0,O1191=0),"Pièces déclarées sans temps de marche",IF(AND(P1191=0,O1191&gt;0),"Aucune pièce déclarée",IF(P1191*60/Q1191&gt;O1191+0.001,"Cadence dépassée : vérifiez la cadence","OK"))))))))))))))))))</f>
        <v/>
      </c>
      <c r="AC1191">
        <f>IF(OR(AB1191="OK",AB1191="Aucune pièce déclarée",AB1191="Cadence dépassée : vérifiez la cadence"),1,0)</f>
        <v>0.0</v>
      </c>
      <c r="AD1191">
        <f>IF(AND(AC1191=1,A1191&gt;=p_from,A1191&lt;=p_to),1,0)</f>
        <v>0.0</v>
      </c>
      <c r="AE1191">
        <f>IF(AD1191=1,IF(COUNTIFS($A$6:A1191,A1191,$AD$6:AD1191,1)=1,1,0),0)</f>
        <v>0.0</v>
      </c>
      <c r="AF1191" t="str">
        <f>IF(AE1191=1,COUNTIFS(sj_first,1,sj_date,"&lt;"&amp;A1191)+1,"")</f>
        <v/>
      </c>
      <c r="AG1191" t="str">
        <f>IF(AND(AD1191=1,N(W1191)&lt;p_alert),ROUND(W1191,4),"")</f>
        <v/>
      </c>
      <c r="AH1191" t="str">
        <f>IF(AG1191="","",COUNTIF(sj_akey,"&lt;"&amp;AG1191)+COUNTIF($AG$6:AG1191,AG1191))</f>
        <v/>
      </c>
    </row>
    <row r="1192">
      <c r="A1192" s="51" t="n"/>
      <c r="B1192" s="52" t="n"/>
      <c r="C1192" s="52" t="n"/>
      <c r="D1192" s="53" t="n"/>
      <c r="E1192" s="53" t="n"/>
      <c r="F1192" s="54" t="n"/>
      <c r="G1192" s="54" t="n"/>
      <c r="H1192" s="54" t="n"/>
      <c r="I1192" s="54" t="n"/>
      <c r="J1192" s="53" t="n"/>
      <c r="K1192" s="55" t="str">
        <f>IF(COUNTA(A1192:I1192)=0,"",IF(F1192="",IFERROR(INDEX(eq_dur,MATCH(B1192,eq_code,0)),""),F1192))</f>
        <v/>
      </c>
      <c r="L1192" s="55" t="str">
        <f>IF(ISNUMBER(K1192),N(IFERROR(INDEX(eq_pause,MATCH(B1192,eq_code,0)),0))+SUMIFS(st_min,st_date,A1192,st_eq,B1192,st_po,C1192,st_type,"Planifié"),"")</f>
        <v/>
      </c>
      <c r="M1192" s="55" t="str">
        <f>IF(ISNUMBER(K1192),K1192-L1192,"")</f>
        <v/>
      </c>
      <c r="N1192" s="55" t="str">
        <f>IF(ISNUMBER(K1192),SUMIFS(st_min,st_date,A1192,st_eq,B1192,st_po,C1192,st_type,"Non planifié"),"")</f>
        <v/>
      </c>
      <c r="O1192" s="55" t="str">
        <f>IF(ISNUMBER(K1192),M1192-N1192,"")</f>
        <v/>
      </c>
      <c r="P1192" s="55" t="str">
        <f>IF(COUNTA(A1192:I1192)=0,"",N(G1192)+N(H1192)+N(I1192))</f>
        <v/>
      </c>
      <c r="Q1192" s="56" t="str">
        <f>IF(COUNTA(A1192:I1192)=0,"",IF(N(IFERROR(INDEX(art_rate,MATCH(E1192,art_ref,0)),0))&gt;0,N(IFERROR(INDEX(art_rate,MATCH(E1192,art_ref,0)),0)),N(IFERROR(INDEX(po_rate,MATCH(C1192,po_code,0)),0))))</f>
        <v/>
      </c>
      <c r="R1192" s="55" t="str">
        <f>IF(AC1192=1,P1192*60/Q1192,"")</f>
        <v/>
      </c>
      <c r="S1192" s="55" t="str">
        <f>IF(AC1192=1,N(G1192)*60/Q1192,"")</f>
        <v/>
      </c>
      <c r="T1192" s="57" t="str">
        <f>IF(AC1192=1,O1192/M1192,"")</f>
        <v/>
      </c>
      <c r="U1192" s="57" t="str">
        <f>IF(AC1192=1,IF(O1192&gt;0,R1192/O1192,""),"")</f>
        <v/>
      </c>
      <c r="V1192" s="57" t="str">
        <f>IF(AC1192=1,IF(P1192&gt;0,N(G1192)/P1192,""),"")</f>
        <v/>
      </c>
      <c r="W1192" s="57" t="str">
        <f>IF(AC1192=1,S1192/M1192,"")</f>
        <v/>
      </c>
      <c r="X1192" s="57" t="str">
        <f>IF(AC1192=1,S1192/K1192,"")</f>
        <v/>
      </c>
      <c r="Y1192" s="58" t="str">
        <f>IF(W1192="","",IF(W1192&gt;=p_target,"Bon",IF(W1192&gt;=p_alert,"À surveiller","Faible")))</f>
        <v/>
      </c>
      <c r="Z1192" s="58" t="str">
        <f>IF(W1192="","",IF(MIN(IF(T1192="",1,T1192),IF(U1192="",1,U1192),IF(V1192="",1,V1192))&gt;=1,"Aucune",IF(IF(T1192="",1,T1192)&lt;=MIN(IF(U1192="",1,U1192),IF(V1192="",1,V1192)),"Disponibilité",IF(IF(U1192="",1,U1192)&lt;=IF(V1192="",1,V1192),"Performance","Qualité"))))</f>
        <v/>
      </c>
      <c r="AA1192" s="59" t="str">
        <f>IF(AC1192=1,N(H1192)*N(IFERROR(INDEX(art_cost,MATCH(E1192,art_ref,0)),0)),"")</f>
        <v/>
      </c>
      <c r="AB1192" s="58" t="str">
        <f>IF(COUNTA(A1192:I1192)=0,"",IF(N(A1192)&lt;=0,"Date manquante ou invalide",IF(B1192="","Équipe manquante",IF(ISNA(MATCH(B1192,eq_code,0)),"Équipe inconnue",IF(INDEX(eq_check,MATCH(B1192,eq_code,0))&lt;&gt;"OK","Équipe à corriger dans Paramètres",IF(C1192="","Poste manquant",IF(ISNA(MATCH(C1192,po_code,0)),"Poste inconnu",IF(AND(E1192&lt;&gt;"",ISNA(MATCH(E1192,art_ref,0))),"Article inconnu",IF(IF(E1192="",FALSE,INDEX(art_check,MATCH(E1192,art_ref,0))&lt;&gt;"OK"),"Article à corriger (feuille Articles)",IF(COUNTIFS(sj_date,A1192,sj_eq,B1192,sj_po,C1192)&gt;1,"Ligne en double (même jour, équipe et poste)",IF(OR(NOT(ISNUMBER(K1192)),N(K1192)&lt;=0,N(K1192)&gt;1440),"Temps d'ouverture invalide",IF(OR(AND(G1192&lt;&gt;"",NOT(ISNUMBER(G1192))),N(G1192)&lt;0,N(G1192)&lt;&gt;INT(N(G1192)),AND(H1192&lt;&gt;"",NOT(ISNUMBER(H1192))),N(H1192)&lt;0,N(H1192)&lt;&gt;INT(N(H1192)),AND(I1192&lt;&gt;"",NOT(ISNUMBER(I1192))),N(I1192)&lt;0,N(I1192)&lt;&gt;INT(N(I1192))),"Quantité invalide",IF(Q1192&lt;=0,"Cadence manquante (poste ou article)",IF(M1192&lt;=0,"Arrêts planifiés supérieurs au temps d'ouverture",IF(O1192&lt;0,"Arrêts supérieurs au temps requis",IF(AND(P1192&gt;0,O1192=0),"Pièces déclarées sans temps de marche",IF(AND(P1192=0,O1192&gt;0),"Aucune pièce déclarée",IF(P1192*60/Q1192&gt;O1192+0.001,"Cadence dépassée : vérifiez la cadence","OK"))))))))))))))))))</f>
        <v/>
      </c>
      <c r="AC1192">
        <f>IF(OR(AB1192="OK",AB1192="Aucune pièce déclarée",AB1192="Cadence dépassée : vérifiez la cadence"),1,0)</f>
        <v>0.0</v>
      </c>
      <c r="AD1192">
        <f>IF(AND(AC1192=1,A1192&gt;=p_from,A1192&lt;=p_to),1,0)</f>
        <v>0.0</v>
      </c>
      <c r="AE1192">
        <f>IF(AD1192=1,IF(COUNTIFS($A$6:A1192,A1192,$AD$6:AD1192,1)=1,1,0),0)</f>
        <v>0.0</v>
      </c>
      <c r="AF1192" t="str">
        <f>IF(AE1192=1,COUNTIFS(sj_first,1,sj_date,"&lt;"&amp;A1192)+1,"")</f>
        <v/>
      </c>
      <c r="AG1192" t="str">
        <f>IF(AND(AD1192=1,N(W1192)&lt;p_alert),ROUND(W1192,4),"")</f>
        <v/>
      </c>
      <c r="AH1192" t="str">
        <f>IF(AG1192="","",COUNTIF(sj_akey,"&lt;"&amp;AG1192)+COUNTIF($AG$6:AG1192,AG1192))</f>
        <v/>
      </c>
    </row>
    <row r="1193">
      <c r="A1193" s="51" t="n"/>
      <c r="B1193" s="52" t="n"/>
      <c r="C1193" s="52" t="n"/>
      <c r="D1193" s="53" t="n"/>
      <c r="E1193" s="53" t="n"/>
      <c r="F1193" s="54" t="n"/>
      <c r="G1193" s="54" t="n"/>
      <c r="H1193" s="54" t="n"/>
      <c r="I1193" s="54" t="n"/>
      <c r="J1193" s="53" t="n"/>
      <c r="K1193" s="55" t="str">
        <f>IF(COUNTA(A1193:I1193)=0,"",IF(F1193="",IFERROR(INDEX(eq_dur,MATCH(B1193,eq_code,0)),""),F1193))</f>
        <v/>
      </c>
      <c r="L1193" s="55" t="str">
        <f>IF(ISNUMBER(K1193),N(IFERROR(INDEX(eq_pause,MATCH(B1193,eq_code,0)),0))+SUMIFS(st_min,st_date,A1193,st_eq,B1193,st_po,C1193,st_type,"Planifié"),"")</f>
        <v/>
      </c>
      <c r="M1193" s="55" t="str">
        <f>IF(ISNUMBER(K1193),K1193-L1193,"")</f>
        <v/>
      </c>
      <c r="N1193" s="55" t="str">
        <f>IF(ISNUMBER(K1193),SUMIFS(st_min,st_date,A1193,st_eq,B1193,st_po,C1193,st_type,"Non planifié"),"")</f>
        <v/>
      </c>
      <c r="O1193" s="55" t="str">
        <f>IF(ISNUMBER(K1193),M1193-N1193,"")</f>
        <v/>
      </c>
      <c r="P1193" s="55" t="str">
        <f>IF(COUNTA(A1193:I1193)=0,"",N(G1193)+N(H1193)+N(I1193))</f>
        <v/>
      </c>
      <c r="Q1193" s="56" t="str">
        <f>IF(COUNTA(A1193:I1193)=0,"",IF(N(IFERROR(INDEX(art_rate,MATCH(E1193,art_ref,0)),0))&gt;0,N(IFERROR(INDEX(art_rate,MATCH(E1193,art_ref,0)),0)),N(IFERROR(INDEX(po_rate,MATCH(C1193,po_code,0)),0))))</f>
        <v/>
      </c>
      <c r="R1193" s="55" t="str">
        <f>IF(AC1193=1,P1193*60/Q1193,"")</f>
        <v/>
      </c>
      <c r="S1193" s="55" t="str">
        <f>IF(AC1193=1,N(G1193)*60/Q1193,"")</f>
        <v/>
      </c>
      <c r="T1193" s="57" t="str">
        <f>IF(AC1193=1,O1193/M1193,"")</f>
        <v/>
      </c>
      <c r="U1193" s="57" t="str">
        <f>IF(AC1193=1,IF(O1193&gt;0,R1193/O1193,""),"")</f>
        <v/>
      </c>
      <c r="V1193" s="57" t="str">
        <f>IF(AC1193=1,IF(P1193&gt;0,N(G1193)/P1193,""),"")</f>
        <v/>
      </c>
      <c r="W1193" s="57" t="str">
        <f>IF(AC1193=1,S1193/M1193,"")</f>
        <v/>
      </c>
      <c r="X1193" s="57" t="str">
        <f>IF(AC1193=1,S1193/K1193,"")</f>
        <v/>
      </c>
      <c r="Y1193" s="58" t="str">
        <f>IF(W1193="","",IF(W1193&gt;=p_target,"Bon",IF(W1193&gt;=p_alert,"À surveiller","Faible")))</f>
        <v/>
      </c>
      <c r="Z1193" s="58" t="str">
        <f>IF(W1193="","",IF(MIN(IF(T1193="",1,T1193),IF(U1193="",1,U1193),IF(V1193="",1,V1193))&gt;=1,"Aucune",IF(IF(T1193="",1,T1193)&lt;=MIN(IF(U1193="",1,U1193),IF(V1193="",1,V1193)),"Disponibilité",IF(IF(U1193="",1,U1193)&lt;=IF(V1193="",1,V1193),"Performance","Qualité"))))</f>
        <v/>
      </c>
      <c r="AA1193" s="59" t="str">
        <f>IF(AC1193=1,N(H1193)*N(IFERROR(INDEX(art_cost,MATCH(E1193,art_ref,0)),0)),"")</f>
        <v/>
      </c>
      <c r="AB1193" s="58" t="str">
        <f>IF(COUNTA(A1193:I1193)=0,"",IF(N(A1193)&lt;=0,"Date manquante ou invalide",IF(B1193="","Équipe manquante",IF(ISNA(MATCH(B1193,eq_code,0)),"Équipe inconnue",IF(INDEX(eq_check,MATCH(B1193,eq_code,0))&lt;&gt;"OK","Équipe à corriger dans Paramètres",IF(C1193="","Poste manquant",IF(ISNA(MATCH(C1193,po_code,0)),"Poste inconnu",IF(AND(E1193&lt;&gt;"",ISNA(MATCH(E1193,art_ref,0))),"Article inconnu",IF(IF(E1193="",FALSE,INDEX(art_check,MATCH(E1193,art_ref,0))&lt;&gt;"OK"),"Article à corriger (feuille Articles)",IF(COUNTIFS(sj_date,A1193,sj_eq,B1193,sj_po,C1193)&gt;1,"Ligne en double (même jour, équipe et poste)",IF(OR(NOT(ISNUMBER(K1193)),N(K1193)&lt;=0,N(K1193)&gt;1440),"Temps d'ouverture invalide",IF(OR(AND(G1193&lt;&gt;"",NOT(ISNUMBER(G1193))),N(G1193)&lt;0,N(G1193)&lt;&gt;INT(N(G1193)),AND(H1193&lt;&gt;"",NOT(ISNUMBER(H1193))),N(H1193)&lt;0,N(H1193)&lt;&gt;INT(N(H1193)),AND(I1193&lt;&gt;"",NOT(ISNUMBER(I1193))),N(I1193)&lt;0,N(I1193)&lt;&gt;INT(N(I1193))),"Quantité invalide",IF(Q1193&lt;=0,"Cadence manquante (poste ou article)",IF(M1193&lt;=0,"Arrêts planifiés supérieurs au temps d'ouverture",IF(O1193&lt;0,"Arrêts supérieurs au temps requis",IF(AND(P1193&gt;0,O1193=0),"Pièces déclarées sans temps de marche",IF(AND(P1193=0,O1193&gt;0),"Aucune pièce déclarée",IF(P1193*60/Q1193&gt;O1193+0.001,"Cadence dépassée : vérifiez la cadence","OK"))))))))))))))))))</f>
        <v/>
      </c>
      <c r="AC1193">
        <f>IF(OR(AB1193="OK",AB1193="Aucune pièce déclarée",AB1193="Cadence dépassée : vérifiez la cadence"),1,0)</f>
        <v>0.0</v>
      </c>
      <c r="AD1193">
        <f>IF(AND(AC1193=1,A1193&gt;=p_from,A1193&lt;=p_to),1,0)</f>
        <v>0.0</v>
      </c>
      <c r="AE1193">
        <f>IF(AD1193=1,IF(COUNTIFS($A$6:A1193,A1193,$AD$6:AD1193,1)=1,1,0),0)</f>
        <v>0.0</v>
      </c>
      <c r="AF1193" t="str">
        <f>IF(AE1193=1,COUNTIFS(sj_first,1,sj_date,"&lt;"&amp;A1193)+1,"")</f>
        <v/>
      </c>
      <c r="AG1193" t="str">
        <f>IF(AND(AD1193=1,N(W1193)&lt;p_alert),ROUND(W1193,4),"")</f>
        <v/>
      </c>
      <c r="AH1193" t="str">
        <f>IF(AG1193="","",COUNTIF(sj_akey,"&lt;"&amp;AG1193)+COUNTIF($AG$6:AG1193,AG1193))</f>
        <v/>
      </c>
    </row>
    <row r="1194">
      <c r="A1194" s="51" t="n"/>
      <c r="B1194" s="52" t="n"/>
      <c r="C1194" s="52" t="n"/>
      <c r="D1194" s="53" t="n"/>
      <c r="E1194" s="53" t="n"/>
      <c r="F1194" s="54" t="n"/>
      <c r="G1194" s="54" t="n"/>
      <c r="H1194" s="54" t="n"/>
      <c r="I1194" s="54" t="n"/>
      <c r="J1194" s="53" t="n"/>
      <c r="K1194" s="55" t="str">
        <f>IF(COUNTA(A1194:I1194)=0,"",IF(F1194="",IFERROR(INDEX(eq_dur,MATCH(B1194,eq_code,0)),""),F1194))</f>
        <v/>
      </c>
      <c r="L1194" s="55" t="str">
        <f>IF(ISNUMBER(K1194),N(IFERROR(INDEX(eq_pause,MATCH(B1194,eq_code,0)),0))+SUMIFS(st_min,st_date,A1194,st_eq,B1194,st_po,C1194,st_type,"Planifié"),"")</f>
        <v/>
      </c>
      <c r="M1194" s="55" t="str">
        <f>IF(ISNUMBER(K1194),K1194-L1194,"")</f>
        <v/>
      </c>
      <c r="N1194" s="55" t="str">
        <f>IF(ISNUMBER(K1194),SUMIFS(st_min,st_date,A1194,st_eq,B1194,st_po,C1194,st_type,"Non planifié"),"")</f>
        <v/>
      </c>
      <c r="O1194" s="55" t="str">
        <f>IF(ISNUMBER(K1194),M1194-N1194,"")</f>
        <v/>
      </c>
      <c r="P1194" s="55" t="str">
        <f>IF(COUNTA(A1194:I1194)=0,"",N(G1194)+N(H1194)+N(I1194))</f>
        <v/>
      </c>
      <c r="Q1194" s="56" t="str">
        <f>IF(COUNTA(A1194:I1194)=0,"",IF(N(IFERROR(INDEX(art_rate,MATCH(E1194,art_ref,0)),0))&gt;0,N(IFERROR(INDEX(art_rate,MATCH(E1194,art_ref,0)),0)),N(IFERROR(INDEX(po_rate,MATCH(C1194,po_code,0)),0))))</f>
        <v/>
      </c>
      <c r="R1194" s="55" t="str">
        <f>IF(AC1194=1,P1194*60/Q1194,"")</f>
        <v/>
      </c>
      <c r="S1194" s="55" t="str">
        <f>IF(AC1194=1,N(G1194)*60/Q1194,"")</f>
        <v/>
      </c>
      <c r="T1194" s="57" t="str">
        <f>IF(AC1194=1,O1194/M1194,"")</f>
        <v/>
      </c>
      <c r="U1194" s="57" t="str">
        <f>IF(AC1194=1,IF(O1194&gt;0,R1194/O1194,""),"")</f>
        <v/>
      </c>
      <c r="V1194" s="57" t="str">
        <f>IF(AC1194=1,IF(P1194&gt;0,N(G1194)/P1194,""),"")</f>
        <v/>
      </c>
      <c r="W1194" s="57" t="str">
        <f>IF(AC1194=1,S1194/M1194,"")</f>
        <v/>
      </c>
      <c r="X1194" s="57" t="str">
        <f>IF(AC1194=1,S1194/K1194,"")</f>
        <v/>
      </c>
      <c r="Y1194" s="58" t="str">
        <f>IF(W1194="","",IF(W1194&gt;=p_target,"Bon",IF(W1194&gt;=p_alert,"À surveiller","Faible")))</f>
        <v/>
      </c>
      <c r="Z1194" s="58" t="str">
        <f>IF(W1194="","",IF(MIN(IF(T1194="",1,T1194),IF(U1194="",1,U1194),IF(V1194="",1,V1194))&gt;=1,"Aucune",IF(IF(T1194="",1,T1194)&lt;=MIN(IF(U1194="",1,U1194),IF(V1194="",1,V1194)),"Disponibilité",IF(IF(U1194="",1,U1194)&lt;=IF(V1194="",1,V1194),"Performance","Qualité"))))</f>
        <v/>
      </c>
      <c r="AA1194" s="59" t="str">
        <f>IF(AC1194=1,N(H1194)*N(IFERROR(INDEX(art_cost,MATCH(E1194,art_ref,0)),0)),"")</f>
        <v/>
      </c>
      <c r="AB1194" s="58" t="str">
        <f>IF(COUNTA(A1194:I1194)=0,"",IF(N(A1194)&lt;=0,"Date manquante ou invalide",IF(B1194="","Équipe manquante",IF(ISNA(MATCH(B1194,eq_code,0)),"Équipe inconnue",IF(INDEX(eq_check,MATCH(B1194,eq_code,0))&lt;&gt;"OK","Équipe à corriger dans Paramètres",IF(C1194="","Poste manquant",IF(ISNA(MATCH(C1194,po_code,0)),"Poste inconnu",IF(AND(E1194&lt;&gt;"",ISNA(MATCH(E1194,art_ref,0))),"Article inconnu",IF(IF(E1194="",FALSE,INDEX(art_check,MATCH(E1194,art_ref,0))&lt;&gt;"OK"),"Article à corriger (feuille Articles)",IF(COUNTIFS(sj_date,A1194,sj_eq,B1194,sj_po,C1194)&gt;1,"Ligne en double (même jour, équipe et poste)",IF(OR(NOT(ISNUMBER(K1194)),N(K1194)&lt;=0,N(K1194)&gt;1440),"Temps d'ouverture invalide",IF(OR(AND(G1194&lt;&gt;"",NOT(ISNUMBER(G1194))),N(G1194)&lt;0,N(G1194)&lt;&gt;INT(N(G1194)),AND(H1194&lt;&gt;"",NOT(ISNUMBER(H1194))),N(H1194)&lt;0,N(H1194)&lt;&gt;INT(N(H1194)),AND(I1194&lt;&gt;"",NOT(ISNUMBER(I1194))),N(I1194)&lt;0,N(I1194)&lt;&gt;INT(N(I1194))),"Quantité invalide",IF(Q1194&lt;=0,"Cadence manquante (poste ou article)",IF(M1194&lt;=0,"Arrêts planifiés supérieurs au temps d'ouverture",IF(O1194&lt;0,"Arrêts supérieurs au temps requis",IF(AND(P1194&gt;0,O1194=0),"Pièces déclarées sans temps de marche",IF(AND(P1194=0,O1194&gt;0),"Aucune pièce déclarée",IF(P1194*60/Q1194&gt;O1194+0.001,"Cadence dépassée : vérifiez la cadence","OK"))))))))))))))))))</f>
        <v/>
      </c>
      <c r="AC1194">
        <f>IF(OR(AB1194="OK",AB1194="Aucune pièce déclarée",AB1194="Cadence dépassée : vérifiez la cadence"),1,0)</f>
        <v>0.0</v>
      </c>
      <c r="AD1194">
        <f>IF(AND(AC1194=1,A1194&gt;=p_from,A1194&lt;=p_to),1,0)</f>
        <v>0.0</v>
      </c>
      <c r="AE1194">
        <f>IF(AD1194=1,IF(COUNTIFS($A$6:A1194,A1194,$AD$6:AD1194,1)=1,1,0),0)</f>
        <v>0.0</v>
      </c>
      <c r="AF1194" t="str">
        <f>IF(AE1194=1,COUNTIFS(sj_first,1,sj_date,"&lt;"&amp;A1194)+1,"")</f>
        <v/>
      </c>
      <c r="AG1194" t="str">
        <f>IF(AND(AD1194=1,N(W1194)&lt;p_alert),ROUND(W1194,4),"")</f>
        <v/>
      </c>
      <c r="AH1194" t="str">
        <f>IF(AG1194="","",COUNTIF(sj_akey,"&lt;"&amp;AG1194)+COUNTIF($AG$6:AG1194,AG1194))</f>
        <v/>
      </c>
    </row>
    <row r="1195">
      <c r="A1195" s="51" t="n"/>
      <c r="B1195" s="52" t="n"/>
      <c r="C1195" s="52" t="n"/>
      <c r="D1195" s="53" t="n"/>
      <c r="E1195" s="53" t="n"/>
      <c r="F1195" s="54" t="n"/>
      <c r="G1195" s="54" t="n"/>
      <c r="H1195" s="54" t="n"/>
      <c r="I1195" s="54" t="n"/>
      <c r="J1195" s="53" t="n"/>
      <c r="K1195" s="55" t="str">
        <f>IF(COUNTA(A1195:I1195)=0,"",IF(F1195="",IFERROR(INDEX(eq_dur,MATCH(B1195,eq_code,0)),""),F1195))</f>
        <v/>
      </c>
      <c r="L1195" s="55" t="str">
        <f>IF(ISNUMBER(K1195),N(IFERROR(INDEX(eq_pause,MATCH(B1195,eq_code,0)),0))+SUMIFS(st_min,st_date,A1195,st_eq,B1195,st_po,C1195,st_type,"Planifié"),"")</f>
        <v/>
      </c>
      <c r="M1195" s="55" t="str">
        <f>IF(ISNUMBER(K1195),K1195-L1195,"")</f>
        <v/>
      </c>
      <c r="N1195" s="55" t="str">
        <f>IF(ISNUMBER(K1195),SUMIFS(st_min,st_date,A1195,st_eq,B1195,st_po,C1195,st_type,"Non planifié"),"")</f>
        <v/>
      </c>
      <c r="O1195" s="55" t="str">
        <f>IF(ISNUMBER(K1195),M1195-N1195,"")</f>
        <v/>
      </c>
      <c r="P1195" s="55" t="str">
        <f>IF(COUNTA(A1195:I1195)=0,"",N(G1195)+N(H1195)+N(I1195))</f>
        <v/>
      </c>
      <c r="Q1195" s="56" t="str">
        <f>IF(COUNTA(A1195:I1195)=0,"",IF(N(IFERROR(INDEX(art_rate,MATCH(E1195,art_ref,0)),0))&gt;0,N(IFERROR(INDEX(art_rate,MATCH(E1195,art_ref,0)),0)),N(IFERROR(INDEX(po_rate,MATCH(C1195,po_code,0)),0))))</f>
        <v/>
      </c>
      <c r="R1195" s="55" t="str">
        <f>IF(AC1195=1,P1195*60/Q1195,"")</f>
        <v/>
      </c>
      <c r="S1195" s="55" t="str">
        <f>IF(AC1195=1,N(G1195)*60/Q1195,"")</f>
        <v/>
      </c>
      <c r="T1195" s="57" t="str">
        <f>IF(AC1195=1,O1195/M1195,"")</f>
        <v/>
      </c>
      <c r="U1195" s="57" t="str">
        <f>IF(AC1195=1,IF(O1195&gt;0,R1195/O1195,""),"")</f>
        <v/>
      </c>
      <c r="V1195" s="57" t="str">
        <f>IF(AC1195=1,IF(P1195&gt;0,N(G1195)/P1195,""),"")</f>
        <v/>
      </c>
      <c r="W1195" s="57" t="str">
        <f>IF(AC1195=1,S1195/M1195,"")</f>
        <v/>
      </c>
      <c r="X1195" s="57" t="str">
        <f>IF(AC1195=1,S1195/K1195,"")</f>
        <v/>
      </c>
      <c r="Y1195" s="58" t="str">
        <f>IF(W1195="","",IF(W1195&gt;=p_target,"Bon",IF(W1195&gt;=p_alert,"À surveiller","Faible")))</f>
        <v/>
      </c>
      <c r="Z1195" s="58" t="str">
        <f>IF(W1195="","",IF(MIN(IF(T1195="",1,T1195),IF(U1195="",1,U1195),IF(V1195="",1,V1195))&gt;=1,"Aucune",IF(IF(T1195="",1,T1195)&lt;=MIN(IF(U1195="",1,U1195),IF(V1195="",1,V1195)),"Disponibilité",IF(IF(U1195="",1,U1195)&lt;=IF(V1195="",1,V1195),"Performance","Qualité"))))</f>
        <v/>
      </c>
      <c r="AA1195" s="59" t="str">
        <f>IF(AC1195=1,N(H1195)*N(IFERROR(INDEX(art_cost,MATCH(E1195,art_ref,0)),0)),"")</f>
        <v/>
      </c>
      <c r="AB1195" s="58" t="str">
        <f>IF(COUNTA(A1195:I1195)=0,"",IF(N(A1195)&lt;=0,"Date manquante ou invalide",IF(B1195="","Équipe manquante",IF(ISNA(MATCH(B1195,eq_code,0)),"Équipe inconnue",IF(INDEX(eq_check,MATCH(B1195,eq_code,0))&lt;&gt;"OK","Équipe à corriger dans Paramètres",IF(C1195="","Poste manquant",IF(ISNA(MATCH(C1195,po_code,0)),"Poste inconnu",IF(AND(E1195&lt;&gt;"",ISNA(MATCH(E1195,art_ref,0))),"Article inconnu",IF(IF(E1195="",FALSE,INDEX(art_check,MATCH(E1195,art_ref,0))&lt;&gt;"OK"),"Article à corriger (feuille Articles)",IF(COUNTIFS(sj_date,A1195,sj_eq,B1195,sj_po,C1195)&gt;1,"Ligne en double (même jour, équipe et poste)",IF(OR(NOT(ISNUMBER(K1195)),N(K1195)&lt;=0,N(K1195)&gt;1440),"Temps d'ouverture invalide",IF(OR(AND(G1195&lt;&gt;"",NOT(ISNUMBER(G1195))),N(G1195)&lt;0,N(G1195)&lt;&gt;INT(N(G1195)),AND(H1195&lt;&gt;"",NOT(ISNUMBER(H1195))),N(H1195)&lt;0,N(H1195)&lt;&gt;INT(N(H1195)),AND(I1195&lt;&gt;"",NOT(ISNUMBER(I1195))),N(I1195)&lt;0,N(I1195)&lt;&gt;INT(N(I1195))),"Quantité invalide",IF(Q1195&lt;=0,"Cadence manquante (poste ou article)",IF(M1195&lt;=0,"Arrêts planifiés supérieurs au temps d'ouverture",IF(O1195&lt;0,"Arrêts supérieurs au temps requis",IF(AND(P1195&gt;0,O1195=0),"Pièces déclarées sans temps de marche",IF(AND(P1195=0,O1195&gt;0),"Aucune pièce déclarée",IF(P1195*60/Q1195&gt;O1195+0.001,"Cadence dépassée : vérifiez la cadence","OK"))))))))))))))))))</f>
        <v/>
      </c>
      <c r="AC1195">
        <f>IF(OR(AB1195="OK",AB1195="Aucune pièce déclarée",AB1195="Cadence dépassée : vérifiez la cadence"),1,0)</f>
        <v>0.0</v>
      </c>
      <c r="AD1195">
        <f>IF(AND(AC1195=1,A1195&gt;=p_from,A1195&lt;=p_to),1,0)</f>
        <v>0.0</v>
      </c>
      <c r="AE1195">
        <f>IF(AD1195=1,IF(COUNTIFS($A$6:A1195,A1195,$AD$6:AD1195,1)=1,1,0),0)</f>
        <v>0.0</v>
      </c>
      <c r="AF1195" t="str">
        <f>IF(AE1195=1,COUNTIFS(sj_first,1,sj_date,"&lt;"&amp;A1195)+1,"")</f>
        <v/>
      </c>
      <c r="AG1195" t="str">
        <f>IF(AND(AD1195=1,N(W1195)&lt;p_alert),ROUND(W1195,4),"")</f>
        <v/>
      </c>
      <c r="AH1195" t="str">
        <f>IF(AG1195="","",COUNTIF(sj_akey,"&lt;"&amp;AG1195)+COUNTIF($AG$6:AG1195,AG1195))</f>
        <v/>
      </c>
    </row>
    <row r="1196">
      <c r="A1196" s="51" t="n"/>
      <c r="B1196" s="52" t="n"/>
      <c r="C1196" s="52" t="n"/>
      <c r="D1196" s="53" t="n"/>
      <c r="E1196" s="53" t="n"/>
      <c r="F1196" s="54" t="n"/>
      <c r="G1196" s="54" t="n"/>
      <c r="H1196" s="54" t="n"/>
      <c r="I1196" s="54" t="n"/>
      <c r="J1196" s="53" t="n"/>
      <c r="K1196" s="55" t="str">
        <f>IF(COUNTA(A1196:I1196)=0,"",IF(F1196="",IFERROR(INDEX(eq_dur,MATCH(B1196,eq_code,0)),""),F1196))</f>
        <v/>
      </c>
      <c r="L1196" s="55" t="str">
        <f>IF(ISNUMBER(K1196),N(IFERROR(INDEX(eq_pause,MATCH(B1196,eq_code,0)),0))+SUMIFS(st_min,st_date,A1196,st_eq,B1196,st_po,C1196,st_type,"Planifié"),"")</f>
        <v/>
      </c>
      <c r="M1196" s="55" t="str">
        <f>IF(ISNUMBER(K1196),K1196-L1196,"")</f>
        <v/>
      </c>
      <c r="N1196" s="55" t="str">
        <f>IF(ISNUMBER(K1196),SUMIFS(st_min,st_date,A1196,st_eq,B1196,st_po,C1196,st_type,"Non planifié"),"")</f>
        <v/>
      </c>
      <c r="O1196" s="55" t="str">
        <f>IF(ISNUMBER(K1196),M1196-N1196,"")</f>
        <v/>
      </c>
      <c r="P1196" s="55" t="str">
        <f>IF(COUNTA(A1196:I1196)=0,"",N(G1196)+N(H1196)+N(I1196))</f>
        <v/>
      </c>
      <c r="Q1196" s="56" t="str">
        <f>IF(COUNTA(A1196:I1196)=0,"",IF(N(IFERROR(INDEX(art_rate,MATCH(E1196,art_ref,0)),0))&gt;0,N(IFERROR(INDEX(art_rate,MATCH(E1196,art_ref,0)),0)),N(IFERROR(INDEX(po_rate,MATCH(C1196,po_code,0)),0))))</f>
        <v/>
      </c>
      <c r="R1196" s="55" t="str">
        <f>IF(AC1196=1,P1196*60/Q1196,"")</f>
        <v/>
      </c>
      <c r="S1196" s="55" t="str">
        <f>IF(AC1196=1,N(G1196)*60/Q1196,"")</f>
        <v/>
      </c>
      <c r="T1196" s="57" t="str">
        <f>IF(AC1196=1,O1196/M1196,"")</f>
        <v/>
      </c>
      <c r="U1196" s="57" t="str">
        <f>IF(AC1196=1,IF(O1196&gt;0,R1196/O1196,""),"")</f>
        <v/>
      </c>
      <c r="V1196" s="57" t="str">
        <f>IF(AC1196=1,IF(P1196&gt;0,N(G1196)/P1196,""),"")</f>
        <v/>
      </c>
      <c r="W1196" s="57" t="str">
        <f>IF(AC1196=1,S1196/M1196,"")</f>
        <v/>
      </c>
      <c r="X1196" s="57" t="str">
        <f>IF(AC1196=1,S1196/K1196,"")</f>
        <v/>
      </c>
      <c r="Y1196" s="58" t="str">
        <f>IF(W1196="","",IF(W1196&gt;=p_target,"Bon",IF(W1196&gt;=p_alert,"À surveiller","Faible")))</f>
        <v/>
      </c>
      <c r="Z1196" s="58" t="str">
        <f>IF(W1196="","",IF(MIN(IF(T1196="",1,T1196),IF(U1196="",1,U1196),IF(V1196="",1,V1196))&gt;=1,"Aucune",IF(IF(T1196="",1,T1196)&lt;=MIN(IF(U1196="",1,U1196),IF(V1196="",1,V1196)),"Disponibilité",IF(IF(U1196="",1,U1196)&lt;=IF(V1196="",1,V1196),"Performance","Qualité"))))</f>
        <v/>
      </c>
      <c r="AA1196" s="59" t="str">
        <f>IF(AC1196=1,N(H1196)*N(IFERROR(INDEX(art_cost,MATCH(E1196,art_ref,0)),0)),"")</f>
        <v/>
      </c>
      <c r="AB1196" s="58" t="str">
        <f>IF(COUNTA(A1196:I1196)=0,"",IF(N(A1196)&lt;=0,"Date manquante ou invalide",IF(B1196="","Équipe manquante",IF(ISNA(MATCH(B1196,eq_code,0)),"Équipe inconnue",IF(INDEX(eq_check,MATCH(B1196,eq_code,0))&lt;&gt;"OK","Équipe à corriger dans Paramètres",IF(C1196="","Poste manquant",IF(ISNA(MATCH(C1196,po_code,0)),"Poste inconnu",IF(AND(E1196&lt;&gt;"",ISNA(MATCH(E1196,art_ref,0))),"Article inconnu",IF(IF(E1196="",FALSE,INDEX(art_check,MATCH(E1196,art_ref,0))&lt;&gt;"OK"),"Article à corriger (feuille Articles)",IF(COUNTIFS(sj_date,A1196,sj_eq,B1196,sj_po,C1196)&gt;1,"Ligne en double (même jour, équipe et poste)",IF(OR(NOT(ISNUMBER(K1196)),N(K1196)&lt;=0,N(K1196)&gt;1440),"Temps d'ouverture invalide",IF(OR(AND(G1196&lt;&gt;"",NOT(ISNUMBER(G1196))),N(G1196)&lt;0,N(G1196)&lt;&gt;INT(N(G1196)),AND(H1196&lt;&gt;"",NOT(ISNUMBER(H1196))),N(H1196)&lt;0,N(H1196)&lt;&gt;INT(N(H1196)),AND(I1196&lt;&gt;"",NOT(ISNUMBER(I1196))),N(I1196)&lt;0,N(I1196)&lt;&gt;INT(N(I1196))),"Quantité invalide",IF(Q1196&lt;=0,"Cadence manquante (poste ou article)",IF(M1196&lt;=0,"Arrêts planifiés supérieurs au temps d'ouverture",IF(O1196&lt;0,"Arrêts supérieurs au temps requis",IF(AND(P1196&gt;0,O1196=0),"Pièces déclarées sans temps de marche",IF(AND(P1196=0,O1196&gt;0),"Aucune pièce déclarée",IF(P1196*60/Q1196&gt;O1196+0.001,"Cadence dépassée : vérifiez la cadence","OK"))))))))))))))))))</f>
        <v/>
      </c>
      <c r="AC1196">
        <f>IF(OR(AB1196="OK",AB1196="Aucune pièce déclarée",AB1196="Cadence dépassée : vérifiez la cadence"),1,0)</f>
        <v>0.0</v>
      </c>
      <c r="AD1196">
        <f>IF(AND(AC1196=1,A1196&gt;=p_from,A1196&lt;=p_to),1,0)</f>
        <v>0.0</v>
      </c>
      <c r="AE1196">
        <f>IF(AD1196=1,IF(COUNTIFS($A$6:A1196,A1196,$AD$6:AD1196,1)=1,1,0),0)</f>
        <v>0.0</v>
      </c>
      <c r="AF1196" t="str">
        <f>IF(AE1196=1,COUNTIFS(sj_first,1,sj_date,"&lt;"&amp;A1196)+1,"")</f>
        <v/>
      </c>
      <c r="AG1196" t="str">
        <f>IF(AND(AD1196=1,N(W1196)&lt;p_alert),ROUND(W1196,4),"")</f>
        <v/>
      </c>
      <c r="AH1196" t="str">
        <f>IF(AG1196="","",COUNTIF(sj_akey,"&lt;"&amp;AG1196)+COUNTIF($AG$6:AG1196,AG1196))</f>
        <v/>
      </c>
    </row>
    <row r="1197">
      <c r="A1197" s="51" t="n"/>
      <c r="B1197" s="52" t="n"/>
      <c r="C1197" s="52" t="n"/>
      <c r="D1197" s="53" t="n"/>
      <c r="E1197" s="53" t="n"/>
      <c r="F1197" s="54" t="n"/>
      <c r="G1197" s="54" t="n"/>
      <c r="H1197" s="54" t="n"/>
      <c r="I1197" s="54" t="n"/>
      <c r="J1197" s="53" t="n"/>
      <c r="K1197" s="55" t="str">
        <f>IF(COUNTA(A1197:I1197)=0,"",IF(F1197="",IFERROR(INDEX(eq_dur,MATCH(B1197,eq_code,0)),""),F1197))</f>
        <v/>
      </c>
      <c r="L1197" s="55" t="str">
        <f>IF(ISNUMBER(K1197),N(IFERROR(INDEX(eq_pause,MATCH(B1197,eq_code,0)),0))+SUMIFS(st_min,st_date,A1197,st_eq,B1197,st_po,C1197,st_type,"Planifié"),"")</f>
        <v/>
      </c>
      <c r="M1197" s="55" t="str">
        <f>IF(ISNUMBER(K1197),K1197-L1197,"")</f>
        <v/>
      </c>
      <c r="N1197" s="55" t="str">
        <f>IF(ISNUMBER(K1197),SUMIFS(st_min,st_date,A1197,st_eq,B1197,st_po,C1197,st_type,"Non planifié"),"")</f>
        <v/>
      </c>
      <c r="O1197" s="55" t="str">
        <f>IF(ISNUMBER(K1197),M1197-N1197,"")</f>
        <v/>
      </c>
      <c r="P1197" s="55" t="str">
        <f>IF(COUNTA(A1197:I1197)=0,"",N(G1197)+N(H1197)+N(I1197))</f>
        <v/>
      </c>
      <c r="Q1197" s="56" t="str">
        <f>IF(COUNTA(A1197:I1197)=0,"",IF(N(IFERROR(INDEX(art_rate,MATCH(E1197,art_ref,0)),0))&gt;0,N(IFERROR(INDEX(art_rate,MATCH(E1197,art_ref,0)),0)),N(IFERROR(INDEX(po_rate,MATCH(C1197,po_code,0)),0))))</f>
        <v/>
      </c>
      <c r="R1197" s="55" t="str">
        <f>IF(AC1197=1,P1197*60/Q1197,"")</f>
        <v/>
      </c>
      <c r="S1197" s="55" t="str">
        <f>IF(AC1197=1,N(G1197)*60/Q1197,"")</f>
        <v/>
      </c>
      <c r="T1197" s="57" t="str">
        <f>IF(AC1197=1,O1197/M1197,"")</f>
        <v/>
      </c>
      <c r="U1197" s="57" t="str">
        <f>IF(AC1197=1,IF(O1197&gt;0,R1197/O1197,""),"")</f>
        <v/>
      </c>
      <c r="V1197" s="57" t="str">
        <f>IF(AC1197=1,IF(P1197&gt;0,N(G1197)/P1197,""),"")</f>
        <v/>
      </c>
      <c r="W1197" s="57" t="str">
        <f>IF(AC1197=1,S1197/M1197,"")</f>
        <v/>
      </c>
      <c r="X1197" s="57" t="str">
        <f>IF(AC1197=1,S1197/K1197,"")</f>
        <v/>
      </c>
      <c r="Y1197" s="58" t="str">
        <f>IF(W1197="","",IF(W1197&gt;=p_target,"Bon",IF(W1197&gt;=p_alert,"À surveiller","Faible")))</f>
        <v/>
      </c>
      <c r="Z1197" s="58" t="str">
        <f>IF(W1197="","",IF(MIN(IF(T1197="",1,T1197),IF(U1197="",1,U1197),IF(V1197="",1,V1197))&gt;=1,"Aucune",IF(IF(T1197="",1,T1197)&lt;=MIN(IF(U1197="",1,U1197),IF(V1197="",1,V1197)),"Disponibilité",IF(IF(U1197="",1,U1197)&lt;=IF(V1197="",1,V1197),"Performance","Qualité"))))</f>
        <v/>
      </c>
      <c r="AA1197" s="59" t="str">
        <f>IF(AC1197=1,N(H1197)*N(IFERROR(INDEX(art_cost,MATCH(E1197,art_ref,0)),0)),"")</f>
        <v/>
      </c>
      <c r="AB1197" s="58" t="str">
        <f>IF(COUNTA(A1197:I1197)=0,"",IF(N(A1197)&lt;=0,"Date manquante ou invalide",IF(B1197="","Équipe manquante",IF(ISNA(MATCH(B1197,eq_code,0)),"Équipe inconnue",IF(INDEX(eq_check,MATCH(B1197,eq_code,0))&lt;&gt;"OK","Équipe à corriger dans Paramètres",IF(C1197="","Poste manquant",IF(ISNA(MATCH(C1197,po_code,0)),"Poste inconnu",IF(AND(E1197&lt;&gt;"",ISNA(MATCH(E1197,art_ref,0))),"Article inconnu",IF(IF(E1197="",FALSE,INDEX(art_check,MATCH(E1197,art_ref,0))&lt;&gt;"OK"),"Article à corriger (feuille Articles)",IF(COUNTIFS(sj_date,A1197,sj_eq,B1197,sj_po,C1197)&gt;1,"Ligne en double (même jour, équipe et poste)",IF(OR(NOT(ISNUMBER(K1197)),N(K1197)&lt;=0,N(K1197)&gt;1440),"Temps d'ouverture invalide",IF(OR(AND(G1197&lt;&gt;"",NOT(ISNUMBER(G1197))),N(G1197)&lt;0,N(G1197)&lt;&gt;INT(N(G1197)),AND(H1197&lt;&gt;"",NOT(ISNUMBER(H1197))),N(H1197)&lt;0,N(H1197)&lt;&gt;INT(N(H1197)),AND(I1197&lt;&gt;"",NOT(ISNUMBER(I1197))),N(I1197)&lt;0,N(I1197)&lt;&gt;INT(N(I1197))),"Quantité invalide",IF(Q1197&lt;=0,"Cadence manquante (poste ou article)",IF(M1197&lt;=0,"Arrêts planifiés supérieurs au temps d'ouverture",IF(O1197&lt;0,"Arrêts supérieurs au temps requis",IF(AND(P1197&gt;0,O1197=0),"Pièces déclarées sans temps de marche",IF(AND(P1197=0,O1197&gt;0),"Aucune pièce déclarée",IF(P1197*60/Q1197&gt;O1197+0.001,"Cadence dépassée : vérifiez la cadence","OK"))))))))))))))))))</f>
        <v/>
      </c>
      <c r="AC1197">
        <f>IF(OR(AB1197="OK",AB1197="Aucune pièce déclarée",AB1197="Cadence dépassée : vérifiez la cadence"),1,0)</f>
        <v>0.0</v>
      </c>
      <c r="AD1197">
        <f>IF(AND(AC1197=1,A1197&gt;=p_from,A1197&lt;=p_to),1,0)</f>
        <v>0.0</v>
      </c>
      <c r="AE1197">
        <f>IF(AD1197=1,IF(COUNTIFS($A$6:A1197,A1197,$AD$6:AD1197,1)=1,1,0),0)</f>
        <v>0.0</v>
      </c>
      <c r="AF1197" t="str">
        <f>IF(AE1197=1,COUNTIFS(sj_first,1,sj_date,"&lt;"&amp;A1197)+1,"")</f>
        <v/>
      </c>
      <c r="AG1197" t="str">
        <f>IF(AND(AD1197=1,N(W1197)&lt;p_alert),ROUND(W1197,4),"")</f>
        <v/>
      </c>
      <c r="AH1197" t="str">
        <f>IF(AG1197="","",COUNTIF(sj_akey,"&lt;"&amp;AG1197)+COUNTIF($AG$6:AG1197,AG1197))</f>
        <v/>
      </c>
    </row>
    <row r="1198">
      <c r="A1198" s="51" t="n"/>
      <c r="B1198" s="52" t="n"/>
      <c r="C1198" s="52" t="n"/>
      <c r="D1198" s="53" t="n"/>
      <c r="E1198" s="53" t="n"/>
      <c r="F1198" s="54" t="n"/>
      <c r="G1198" s="54" t="n"/>
      <c r="H1198" s="54" t="n"/>
      <c r="I1198" s="54" t="n"/>
      <c r="J1198" s="53" t="n"/>
      <c r="K1198" s="55" t="str">
        <f>IF(COUNTA(A1198:I1198)=0,"",IF(F1198="",IFERROR(INDEX(eq_dur,MATCH(B1198,eq_code,0)),""),F1198))</f>
        <v/>
      </c>
      <c r="L1198" s="55" t="str">
        <f>IF(ISNUMBER(K1198),N(IFERROR(INDEX(eq_pause,MATCH(B1198,eq_code,0)),0))+SUMIFS(st_min,st_date,A1198,st_eq,B1198,st_po,C1198,st_type,"Planifié"),"")</f>
        <v/>
      </c>
      <c r="M1198" s="55" t="str">
        <f>IF(ISNUMBER(K1198),K1198-L1198,"")</f>
        <v/>
      </c>
      <c r="N1198" s="55" t="str">
        <f>IF(ISNUMBER(K1198),SUMIFS(st_min,st_date,A1198,st_eq,B1198,st_po,C1198,st_type,"Non planifié"),"")</f>
        <v/>
      </c>
      <c r="O1198" s="55" t="str">
        <f>IF(ISNUMBER(K1198),M1198-N1198,"")</f>
        <v/>
      </c>
      <c r="P1198" s="55" t="str">
        <f>IF(COUNTA(A1198:I1198)=0,"",N(G1198)+N(H1198)+N(I1198))</f>
        <v/>
      </c>
      <c r="Q1198" s="56" t="str">
        <f>IF(COUNTA(A1198:I1198)=0,"",IF(N(IFERROR(INDEX(art_rate,MATCH(E1198,art_ref,0)),0))&gt;0,N(IFERROR(INDEX(art_rate,MATCH(E1198,art_ref,0)),0)),N(IFERROR(INDEX(po_rate,MATCH(C1198,po_code,0)),0))))</f>
        <v/>
      </c>
      <c r="R1198" s="55" t="str">
        <f>IF(AC1198=1,P1198*60/Q1198,"")</f>
        <v/>
      </c>
      <c r="S1198" s="55" t="str">
        <f>IF(AC1198=1,N(G1198)*60/Q1198,"")</f>
        <v/>
      </c>
      <c r="T1198" s="57" t="str">
        <f>IF(AC1198=1,O1198/M1198,"")</f>
        <v/>
      </c>
      <c r="U1198" s="57" t="str">
        <f>IF(AC1198=1,IF(O1198&gt;0,R1198/O1198,""),"")</f>
        <v/>
      </c>
      <c r="V1198" s="57" t="str">
        <f>IF(AC1198=1,IF(P1198&gt;0,N(G1198)/P1198,""),"")</f>
        <v/>
      </c>
      <c r="W1198" s="57" t="str">
        <f>IF(AC1198=1,S1198/M1198,"")</f>
        <v/>
      </c>
      <c r="X1198" s="57" t="str">
        <f>IF(AC1198=1,S1198/K1198,"")</f>
        <v/>
      </c>
      <c r="Y1198" s="58" t="str">
        <f>IF(W1198="","",IF(W1198&gt;=p_target,"Bon",IF(W1198&gt;=p_alert,"À surveiller","Faible")))</f>
        <v/>
      </c>
      <c r="Z1198" s="58" t="str">
        <f>IF(W1198="","",IF(MIN(IF(T1198="",1,T1198),IF(U1198="",1,U1198),IF(V1198="",1,V1198))&gt;=1,"Aucune",IF(IF(T1198="",1,T1198)&lt;=MIN(IF(U1198="",1,U1198),IF(V1198="",1,V1198)),"Disponibilité",IF(IF(U1198="",1,U1198)&lt;=IF(V1198="",1,V1198),"Performance","Qualité"))))</f>
        <v/>
      </c>
      <c r="AA1198" s="59" t="str">
        <f>IF(AC1198=1,N(H1198)*N(IFERROR(INDEX(art_cost,MATCH(E1198,art_ref,0)),0)),"")</f>
        <v/>
      </c>
      <c r="AB1198" s="58" t="str">
        <f>IF(COUNTA(A1198:I1198)=0,"",IF(N(A1198)&lt;=0,"Date manquante ou invalide",IF(B1198="","Équipe manquante",IF(ISNA(MATCH(B1198,eq_code,0)),"Équipe inconnue",IF(INDEX(eq_check,MATCH(B1198,eq_code,0))&lt;&gt;"OK","Équipe à corriger dans Paramètres",IF(C1198="","Poste manquant",IF(ISNA(MATCH(C1198,po_code,0)),"Poste inconnu",IF(AND(E1198&lt;&gt;"",ISNA(MATCH(E1198,art_ref,0))),"Article inconnu",IF(IF(E1198="",FALSE,INDEX(art_check,MATCH(E1198,art_ref,0))&lt;&gt;"OK"),"Article à corriger (feuille Articles)",IF(COUNTIFS(sj_date,A1198,sj_eq,B1198,sj_po,C1198)&gt;1,"Ligne en double (même jour, équipe et poste)",IF(OR(NOT(ISNUMBER(K1198)),N(K1198)&lt;=0,N(K1198)&gt;1440),"Temps d'ouverture invalide",IF(OR(AND(G1198&lt;&gt;"",NOT(ISNUMBER(G1198))),N(G1198)&lt;0,N(G1198)&lt;&gt;INT(N(G1198)),AND(H1198&lt;&gt;"",NOT(ISNUMBER(H1198))),N(H1198)&lt;0,N(H1198)&lt;&gt;INT(N(H1198)),AND(I1198&lt;&gt;"",NOT(ISNUMBER(I1198))),N(I1198)&lt;0,N(I1198)&lt;&gt;INT(N(I1198))),"Quantité invalide",IF(Q1198&lt;=0,"Cadence manquante (poste ou article)",IF(M1198&lt;=0,"Arrêts planifiés supérieurs au temps d'ouverture",IF(O1198&lt;0,"Arrêts supérieurs au temps requis",IF(AND(P1198&gt;0,O1198=0),"Pièces déclarées sans temps de marche",IF(AND(P1198=0,O1198&gt;0),"Aucune pièce déclarée",IF(P1198*60/Q1198&gt;O1198+0.001,"Cadence dépassée : vérifiez la cadence","OK"))))))))))))))))))</f>
        <v/>
      </c>
      <c r="AC1198">
        <f>IF(OR(AB1198="OK",AB1198="Aucune pièce déclarée",AB1198="Cadence dépassée : vérifiez la cadence"),1,0)</f>
        <v>0.0</v>
      </c>
      <c r="AD1198">
        <f>IF(AND(AC1198=1,A1198&gt;=p_from,A1198&lt;=p_to),1,0)</f>
        <v>0.0</v>
      </c>
      <c r="AE1198">
        <f>IF(AD1198=1,IF(COUNTIFS($A$6:A1198,A1198,$AD$6:AD1198,1)=1,1,0),0)</f>
        <v>0.0</v>
      </c>
      <c r="AF1198" t="str">
        <f>IF(AE1198=1,COUNTIFS(sj_first,1,sj_date,"&lt;"&amp;A1198)+1,"")</f>
        <v/>
      </c>
      <c r="AG1198" t="str">
        <f>IF(AND(AD1198=1,N(W1198)&lt;p_alert),ROUND(W1198,4),"")</f>
        <v/>
      </c>
      <c r="AH1198" t="str">
        <f>IF(AG1198="","",COUNTIF(sj_akey,"&lt;"&amp;AG1198)+COUNTIF($AG$6:AG1198,AG1198))</f>
        <v/>
      </c>
    </row>
    <row r="1199">
      <c r="A1199" s="51" t="n"/>
      <c r="B1199" s="52" t="n"/>
      <c r="C1199" s="52" t="n"/>
      <c r="D1199" s="53" t="n"/>
      <c r="E1199" s="53" t="n"/>
      <c r="F1199" s="54" t="n"/>
      <c r="G1199" s="54" t="n"/>
      <c r="H1199" s="54" t="n"/>
      <c r="I1199" s="54" t="n"/>
      <c r="J1199" s="53" t="n"/>
      <c r="K1199" s="55" t="str">
        <f>IF(COUNTA(A1199:I1199)=0,"",IF(F1199="",IFERROR(INDEX(eq_dur,MATCH(B1199,eq_code,0)),""),F1199))</f>
        <v/>
      </c>
      <c r="L1199" s="55" t="str">
        <f>IF(ISNUMBER(K1199),N(IFERROR(INDEX(eq_pause,MATCH(B1199,eq_code,0)),0))+SUMIFS(st_min,st_date,A1199,st_eq,B1199,st_po,C1199,st_type,"Planifié"),"")</f>
        <v/>
      </c>
      <c r="M1199" s="55" t="str">
        <f>IF(ISNUMBER(K1199),K1199-L1199,"")</f>
        <v/>
      </c>
      <c r="N1199" s="55" t="str">
        <f>IF(ISNUMBER(K1199),SUMIFS(st_min,st_date,A1199,st_eq,B1199,st_po,C1199,st_type,"Non planifié"),"")</f>
        <v/>
      </c>
      <c r="O1199" s="55" t="str">
        <f>IF(ISNUMBER(K1199),M1199-N1199,"")</f>
        <v/>
      </c>
      <c r="P1199" s="55" t="str">
        <f>IF(COUNTA(A1199:I1199)=0,"",N(G1199)+N(H1199)+N(I1199))</f>
        <v/>
      </c>
      <c r="Q1199" s="56" t="str">
        <f>IF(COUNTA(A1199:I1199)=0,"",IF(N(IFERROR(INDEX(art_rate,MATCH(E1199,art_ref,0)),0))&gt;0,N(IFERROR(INDEX(art_rate,MATCH(E1199,art_ref,0)),0)),N(IFERROR(INDEX(po_rate,MATCH(C1199,po_code,0)),0))))</f>
        <v/>
      </c>
      <c r="R1199" s="55" t="str">
        <f>IF(AC1199=1,P1199*60/Q1199,"")</f>
        <v/>
      </c>
      <c r="S1199" s="55" t="str">
        <f>IF(AC1199=1,N(G1199)*60/Q1199,"")</f>
        <v/>
      </c>
      <c r="T1199" s="57" t="str">
        <f>IF(AC1199=1,O1199/M1199,"")</f>
        <v/>
      </c>
      <c r="U1199" s="57" t="str">
        <f>IF(AC1199=1,IF(O1199&gt;0,R1199/O1199,""),"")</f>
        <v/>
      </c>
      <c r="V1199" s="57" t="str">
        <f>IF(AC1199=1,IF(P1199&gt;0,N(G1199)/P1199,""),"")</f>
        <v/>
      </c>
      <c r="W1199" s="57" t="str">
        <f>IF(AC1199=1,S1199/M1199,"")</f>
        <v/>
      </c>
      <c r="X1199" s="57" t="str">
        <f>IF(AC1199=1,S1199/K1199,"")</f>
        <v/>
      </c>
      <c r="Y1199" s="58" t="str">
        <f>IF(W1199="","",IF(W1199&gt;=p_target,"Bon",IF(W1199&gt;=p_alert,"À surveiller","Faible")))</f>
        <v/>
      </c>
      <c r="Z1199" s="58" t="str">
        <f>IF(W1199="","",IF(MIN(IF(T1199="",1,T1199),IF(U1199="",1,U1199),IF(V1199="",1,V1199))&gt;=1,"Aucune",IF(IF(T1199="",1,T1199)&lt;=MIN(IF(U1199="",1,U1199),IF(V1199="",1,V1199)),"Disponibilité",IF(IF(U1199="",1,U1199)&lt;=IF(V1199="",1,V1199),"Performance","Qualité"))))</f>
        <v/>
      </c>
      <c r="AA1199" s="59" t="str">
        <f>IF(AC1199=1,N(H1199)*N(IFERROR(INDEX(art_cost,MATCH(E1199,art_ref,0)),0)),"")</f>
        <v/>
      </c>
      <c r="AB1199" s="58" t="str">
        <f>IF(COUNTA(A1199:I1199)=0,"",IF(N(A1199)&lt;=0,"Date manquante ou invalide",IF(B1199="","Équipe manquante",IF(ISNA(MATCH(B1199,eq_code,0)),"Équipe inconnue",IF(INDEX(eq_check,MATCH(B1199,eq_code,0))&lt;&gt;"OK","Équipe à corriger dans Paramètres",IF(C1199="","Poste manquant",IF(ISNA(MATCH(C1199,po_code,0)),"Poste inconnu",IF(AND(E1199&lt;&gt;"",ISNA(MATCH(E1199,art_ref,0))),"Article inconnu",IF(IF(E1199="",FALSE,INDEX(art_check,MATCH(E1199,art_ref,0))&lt;&gt;"OK"),"Article à corriger (feuille Articles)",IF(COUNTIFS(sj_date,A1199,sj_eq,B1199,sj_po,C1199)&gt;1,"Ligne en double (même jour, équipe et poste)",IF(OR(NOT(ISNUMBER(K1199)),N(K1199)&lt;=0,N(K1199)&gt;1440),"Temps d'ouverture invalide",IF(OR(AND(G1199&lt;&gt;"",NOT(ISNUMBER(G1199))),N(G1199)&lt;0,N(G1199)&lt;&gt;INT(N(G1199)),AND(H1199&lt;&gt;"",NOT(ISNUMBER(H1199))),N(H1199)&lt;0,N(H1199)&lt;&gt;INT(N(H1199)),AND(I1199&lt;&gt;"",NOT(ISNUMBER(I1199))),N(I1199)&lt;0,N(I1199)&lt;&gt;INT(N(I1199))),"Quantité invalide",IF(Q1199&lt;=0,"Cadence manquante (poste ou article)",IF(M1199&lt;=0,"Arrêts planifiés supérieurs au temps d'ouverture",IF(O1199&lt;0,"Arrêts supérieurs au temps requis",IF(AND(P1199&gt;0,O1199=0),"Pièces déclarées sans temps de marche",IF(AND(P1199=0,O1199&gt;0),"Aucune pièce déclarée",IF(P1199*60/Q1199&gt;O1199+0.001,"Cadence dépassée : vérifiez la cadence","OK"))))))))))))))))))</f>
        <v/>
      </c>
      <c r="AC1199">
        <f>IF(OR(AB1199="OK",AB1199="Aucune pièce déclarée",AB1199="Cadence dépassée : vérifiez la cadence"),1,0)</f>
        <v>0.0</v>
      </c>
      <c r="AD1199">
        <f>IF(AND(AC1199=1,A1199&gt;=p_from,A1199&lt;=p_to),1,0)</f>
        <v>0.0</v>
      </c>
      <c r="AE1199">
        <f>IF(AD1199=1,IF(COUNTIFS($A$6:A1199,A1199,$AD$6:AD1199,1)=1,1,0),0)</f>
        <v>0.0</v>
      </c>
      <c r="AF1199" t="str">
        <f>IF(AE1199=1,COUNTIFS(sj_first,1,sj_date,"&lt;"&amp;A1199)+1,"")</f>
        <v/>
      </c>
      <c r="AG1199" t="str">
        <f>IF(AND(AD1199=1,N(W1199)&lt;p_alert),ROUND(W1199,4),"")</f>
        <v/>
      </c>
      <c r="AH1199" t="str">
        <f>IF(AG1199="","",COUNTIF(sj_akey,"&lt;"&amp;AG1199)+COUNTIF($AG$6:AG1199,AG1199))</f>
        <v/>
      </c>
    </row>
    <row r="1200">
      <c r="A1200" s="51" t="n"/>
      <c r="B1200" s="52" t="n"/>
      <c r="C1200" s="52" t="n"/>
      <c r="D1200" s="53" t="n"/>
      <c r="E1200" s="53" t="n"/>
      <c r="F1200" s="54" t="n"/>
      <c r="G1200" s="54" t="n"/>
      <c r="H1200" s="54" t="n"/>
      <c r="I1200" s="54" t="n"/>
      <c r="J1200" s="53" t="n"/>
      <c r="K1200" s="55" t="str">
        <f>IF(COUNTA(A1200:I1200)=0,"",IF(F1200="",IFERROR(INDEX(eq_dur,MATCH(B1200,eq_code,0)),""),F1200))</f>
        <v/>
      </c>
      <c r="L1200" s="55" t="str">
        <f>IF(ISNUMBER(K1200),N(IFERROR(INDEX(eq_pause,MATCH(B1200,eq_code,0)),0))+SUMIFS(st_min,st_date,A1200,st_eq,B1200,st_po,C1200,st_type,"Planifié"),"")</f>
        <v/>
      </c>
      <c r="M1200" s="55" t="str">
        <f>IF(ISNUMBER(K1200),K1200-L1200,"")</f>
        <v/>
      </c>
      <c r="N1200" s="55" t="str">
        <f>IF(ISNUMBER(K1200),SUMIFS(st_min,st_date,A1200,st_eq,B1200,st_po,C1200,st_type,"Non planifié"),"")</f>
        <v/>
      </c>
      <c r="O1200" s="55" t="str">
        <f>IF(ISNUMBER(K1200),M1200-N1200,"")</f>
        <v/>
      </c>
      <c r="P1200" s="55" t="str">
        <f>IF(COUNTA(A1200:I1200)=0,"",N(G1200)+N(H1200)+N(I1200))</f>
        <v/>
      </c>
      <c r="Q1200" s="56" t="str">
        <f>IF(COUNTA(A1200:I1200)=0,"",IF(N(IFERROR(INDEX(art_rate,MATCH(E1200,art_ref,0)),0))&gt;0,N(IFERROR(INDEX(art_rate,MATCH(E1200,art_ref,0)),0)),N(IFERROR(INDEX(po_rate,MATCH(C1200,po_code,0)),0))))</f>
        <v/>
      </c>
      <c r="R1200" s="55" t="str">
        <f>IF(AC1200=1,P1200*60/Q1200,"")</f>
        <v/>
      </c>
      <c r="S1200" s="55" t="str">
        <f>IF(AC1200=1,N(G1200)*60/Q1200,"")</f>
        <v/>
      </c>
      <c r="T1200" s="57" t="str">
        <f>IF(AC1200=1,O1200/M1200,"")</f>
        <v/>
      </c>
      <c r="U1200" s="57" t="str">
        <f>IF(AC1200=1,IF(O1200&gt;0,R1200/O1200,""),"")</f>
        <v/>
      </c>
      <c r="V1200" s="57" t="str">
        <f>IF(AC1200=1,IF(P1200&gt;0,N(G1200)/P1200,""),"")</f>
        <v/>
      </c>
      <c r="W1200" s="57" t="str">
        <f>IF(AC1200=1,S1200/M1200,"")</f>
        <v/>
      </c>
      <c r="X1200" s="57" t="str">
        <f>IF(AC1200=1,S1200/K1200,"")</f>
        <v/>
      </c>
      <c r="Y1200" s="58" t="str">
        <f>IF(W1200="","",IF(W1200&gt;=p_target,"Bon",IF(W1200&gt;=p_alert,"À surveiller","Faible")))</f>
        <v/>
      </c>
      <c r="Z1200" s="58" t="str">
        <f>IF(W1200="","",IF(MIN(IF(T1200="",1,T1200),IF(U1200="",1,U1200),IF(V1200="",1,V1200))&gt;=1,"Aucune",IF(IF(T1200="",1,T1200)&lt;=MIN(IF(U1200="",1,U1200),IF(V1200="",1,V1200)),"Disponibilité",IF(IF(U1200="",1,U1200)&lt;=IF(V1200="",1,V1200),"Performance","Qualité"))))</f>
        <v/>
      </c>
      <c r="AA1200" s="59" t="str">
        <f>IF(AC1200=1,N(H1200)*N(IFERROR(INDEX(art_cost,MATCH(E1200,art_ref,0)),0)),"")</f>
        <v/>
      </c>
      <c r="AB1200" s="58" t="str">
        <f>IF(COUNTA(A1200:I1200)=0,"",IF(N(A1200)&lt;=0,"Date manquante ou invalide",IF(B1200="","Équipe manquante",IF(ISNA(MATCH(B1200,eq_code,0)),"Équipe inconnue",IF(INDEX(eq_check,MATCH(B1200,eq_code,0))&lt;&gt;"OK","Équipe à corriger dans Paramètres",IF(C1200="","Poste manquant",IF(ISNA(MATCH(C1200,po_code,0)),"Poste inconnu",IF(AND(E1200&lt;&gt;"",ISNA(MATCH(E1200,art_ref,0))),"Article inconnu",IF(IF(E1200="",FALSE,INDEX(art_check,MATCH(E1200,art_ref,0))&lt;&gt;"OK"),"Article à corriger (feuille Articles)",IF(COUNTIFS(sj_date,A1200,sj_eq,B1200,sj_po,C1200)&gt;1,"Ligne en double (même jour, équipe et poste)",IF(OR(NOT(ISNUMBER(K1200)),N(K1200)&lt;=0,N(K1200)&gt;1440),"Temps d'ouverture invalide",IF(OR(AND(G1200&lt;&gt;"",NOT(ISNUMBER(G1200))),N(G1200)&lt;0,N(G1200)&lt;&gt;INT(N(G1200)),AND(H1200&lt;&gt;"",NOT(ISNUMBER(H1200))),N(H1200)&lt;0,N(H1200)&lt;&gt;INT(N(H1200)),AND(I1200&lt;&gt;"",NOT(ISNUMBER(I1200))),N(I1200)&lt;0,N(I1200)&lt;&gt;INT(N(I1200))),"Quantité invalide",IF(Q1200&lt;=0,"Cadence manquante (poste ou article)",IF(M1200&lt;=0,"Arrêts planifiés supérieurs au temps d'ouverture",IF(O1200&lt;0,"Arrêts supérieurs au temps requis",IF(AND(P1200&gt;0,O1200=0),"Pièces déclarées sans temps de marche",IF(AND(P1200=0,O1200&gt;0),"Aucune pièce déclarée",IF(P1200*60/Q1200&gt;O1200+0.001,"Cadence dépassée : vérifiez la cadence","OK"))))))))))))))))))</f>
        <v/>
      </c>
      <c r="AC1200">
        <f>IF(OR(AB1200="OK",AB1200="Aucune pièce déclarée",AB1200="Cadence dépassée : vérifiez la cadence"),1,0)</f>
        <v>0.0</v>
      </c>
      <c r="AD1200">
        <f>IF(AND(AC1200=1,A1200&gt;=p_from,A1200&lt;=p_to),1,0)</f>
        <v>0.0</v>
      </c>
      <c r="AE1200">
        <f>IF(AD1200=1,IF(COUNTIFS($A$6:A1200,A1200,$AD$6:AD1200,1)=1,1,0),0)</f>
        <v>0.0</v>
      </c>
      <c r="AF1200" t="str">
        <f>IF(AE1200=1,COUNTIFS(sj_first,1,sj_date,"&lt;"&amp;A1200)+1,"")</f>
        <v/>
      </c>
      <c r="AG1200" t="str">
        <f>IF(AND(AD1200=1,N(W1200)&lt;p_alert),ROUND(W1200,4),"")</f>
        <v/>
      </c>
      <c r="AH1200" t="str">
        <f>IF(AG1200="","",COUNTIF(sj_akey,"&lt;"&amp;AG1200)+COUNTIF($AG$6:AG1200,AG1200))</f>
        <v/>
      </c>
    </row>
    <row r="1201">
      <c r="A1201" s="51" t="n"/>
      <c r="B1201" s="52" t="n"/>
      <c r="C1201" s="52" t="n"/>
      <c r="D1201" s="53" t="n"/>
      <c r="E1201" s="53" t="n"/>
      <c r="F1201" s="54" t="n"/>
      <c r="G1201" s="54" t="n"/>
      <c r="H1201" s="54" t="n"/>
      <c r="I1201" s="54" t="n"/>
      <c r="J1201" s="53" t="n"/>
      <c r="K1201" s="55" t="str">
        <f>IF(COUNTA(A1201:I1201)=0,"",IF(F1201="",IFERROR(INDEX(eq_dur,MATCH(B1201,eq_code,0)),""),F1201))</f>
        <v/>
      </c>
      <c r="L1201" s="55" t="str">
        <f>IF(ISNUMBER(K1201),N(IFERROR(INDEX(eq_pause,MATCH(B1201,eq_code,0)),0))+SUMIFS(st_min,st_date,A1201,st_eq,B1201,st_po,C1201,st_type,"Planifié"),"")</f>
        <v/>
      </c>
      <c r="M1201" s="55" t="str">
        <f>IF(ISNUMBER(K1201),K1201-L1201,"")</f>
        <v/>
      </c>
      <c r="N1201" s="55" t="str">
        <f>IF(ISNUMBER(K1201),SUMIFS(st_min,st_date,A1201,st_eq,B1201,st_po,C1201,st_type,"Non planifié"),"")</f>
        <v/>
      </c>
      <c r="O1201" s="55" t="str">
        <f>IF(ISNUMBER(K1201),M1201-N1201,"")</f>
        <v/>
      </c>
      <c r="P1201" s="55" t="str">
        <f>IF(COUNTA(A1201:I1201)=0,"",N(G1201)+N(H1201)+N(I1201))</f>
        <v/>
      </c>
      <c r="Q1201" s="56" t="str">
        <f>IF(COUNTA(A1201:I1201)=0,"",IF(N(IFERROR(INDEX(art_rate,MATCH(E1201,art_ref,0)),0))&gt;0,N(IFERROR(INDEX(art_rate,MATCH(E1201,art_ref,0)),0)),N(IFERROR(INDEX(po_rate,MATCH(C1201,po_code,0)),0))))</f>
        <v/>
      </c>
      <c r="R1201" s="55" t="str">
        <f>IF(AC1201=1,P1201*60/Q1201,"")</f>
        <v/>
      </c>
      <c r="S1201" s="55" t="str">
        <f>IF(AC1201=1,N(G1201)*60/Q1201,"")</f>
        <v/>
      </c>
      <c r="T1201" s="57" t="str">
        <f>IF(AC1201=1,O1201/M1201,"")</f>
        <v/>
      </c>
      <c r="U1201" s="57" t="str">
        <f>IF(AC1201=1,IF(O1201&gt;0,R1201/O1201,""),"")</f>
        <v/>
      </c>
      <c r="V1201" s="57" t="str">
        <f>IF(AC1201=1,IF(P1201&gt;0,N(G1201)/P1201,""),"")</f>
        <v/>
      </c>
      <c r="W1201" s="57" t="str">
        <f>IF(AC1201=1,S1201/M1201,"")</f>
        <v/>
      </c>
      <c r="X1201" s="57" t="str">
        <f>IF(AC1201=1,S1201/K1201,"")</f>
        <v/>
      </c>
      <c r="Y1201" s="58" t="str">
        <f>IF(W1201="","",IF(W1201&gt;=p_target,"Bon",IF(W1201&gt;=p_alert,"À surveiller","Faible")))</f>
        <v/>
      </c>
      <c r="Z1201" s="58" t="str">
        <f>IF(W1201="","",IF(MIN(IF(T1201="",1,T1201),IF(U1201="",1,U1201),IF(V1201="",1,V1201))&gt;=1,"Aucune",IF(IF(T1201="",1,T1201)&lt;=MIN(IF(U1201="",1,U1201),IF(V1201="",1,V1201)),"Disponibilité",IF(IF(U1201="",1,U1201)&lt;=IF(V1201="",1,V1201),"Performance","Qualité"))))</f>
        <v/>
      </c>
      <c r="AA1201" s="59" t="str">
        <f>IF(AC1201=1,N(H1201)*N(IFERROR(INDEX(art_cost,MATCH(E1201,art_ref,0)),0)),"")</f>
        <v/>
      </c>
      <c r="AB1201" s="58" t="str">
        <f>IF(COUNTA(A1201:I1201)=0,"",IF(N(A1201)&lt;=0,"Date manquante ou invalide",IF(B1201="","Équipe manquante",IF(ISNA(MATCH(B1201,eq_code,0)),"Équipe inconnue",IF(INDEX(eq_check,MATCH(B1201,eq_code,0))&lt;&gt;"OK","Équipe à corriger dans Paramètres",IF(C1201="","Poste manquant",IF(ISNA(MATCH(C1201,po_code,0)),"Poste inconnu",IF(AND(E1201&lt;&gt;"",ISNA(MATCH(E1201,art_ref,0))),"Article inconnu",IF(IF(E1201="",FALSE,INDEX(art_check,MATCH(E1201,art_ref,0))&lt;&gt;"OK"),"Article à corriger (feuille Articles)",IF(COUNTIFS(sj_date,A1201,sj_eq,B1201,sj_po,C1201)&gt;1,"Ligne en double (même jour, équipe et poste)",IF(OR(NOT(ISNUMBER(K1201)),N(K1201)&lt;=0,N(K1201)&gt;1440),"Temps d'ouverture invalide",IF(OR(AND(G1201&lt;&gt;"",NOT(ISNUMBER(G1201))),N(G1201)&lt;0,N(G1201)&lt;&gt;INT(N(G1201)),AND(H1201&lt;&gt;"",NOT(ISNUMBER(H1201))),N(H1201)&lt;0,N(H1201)&lt;&gt;INT(N(H1201)),AND(I1201&lt;&gt;"",NOT(ISNUMBER(I1201))),N(I1201)&lt;0,N(I1201)&lt;&gt;INT(N(I1201))),"Quantité invalide",IF(Q1201&lt;=0,"Cadence manquante (poste ou article)",IF(M1201&lt;=0,"Arrêts planifiés supérieurs au temps d'ouverture",IF(O1201&lt;0,"Arrêts supérieurs au temps requis",IF(AND(P1201&gt;0,O1201=0),"Pièces déclarées sans temps de marche",IF(AND(P1201=0,O1201&gt;0),"Aucune pièce déclarée",IF(P1201*60/Q1201&gt;O1201+0.001,"Cadence dépassée : vérifiez la cadence","OK"))))))))))))))))))</f>
        <v/>
      </c>
      <c r="AC1201">
        <f>IF(OR(AB1201="OK",AB1201="Aucune pièce déclarée",AB1201="Cadence dépassée : vérifiez la cadence"),1,0)</f>
        <v>0.0</v>
      </c>
      <c r="AD1201">
        <f>IF(AND(AC1201=1,A1201&gt;=p_from,A1201&lt;=p_to),1,0)</f>
        <v>0.0</v>
      </c>
      <c r="AE1201">
        <f>IF(AD1201=1,IF(COUNTIFS($A$6:A1201,A1201,$AD$6:AD1201,1)=1,1,0),0)</f>
        <v>0.0</v>
      </c>
      <c r="AF1201" t="str">
        <f>IF(AE1201=1,COUNTIFS(sj_first,1,sj_date,"&lt;"&amp;A1201)+1,"")</f>
        <v/>
      </c>
      <c r="AG1201" t="str">
        <f>IF(AND(AD1201=1,N(W1201)&lt;p_alert),ROUND(W1201,4),"")</f>
        <v/>
      </c>
      <c r="AH1201" t="str">
        <f>IF(AG1201="","",COUNTIF(sj_akey,"&lt;"&amp;AG1201)+COUNTIF($AG$6:AG1201,AG1201))</f>
        <v/>
      </c>
    </row>
    <row r="1202">
      <c r="A1202" s="51" t="n"/>
      <c r="B1202" s="52" t="n"/>
      <c r="C1202" s="52" t="n"/>
      <c r="D1202" s="53" t="n"/>
      <c r="E1202" s="53" t="n"/>
      <c r="F1202" s="54" t="n"/>
      <c r="G1202" s="54" t="n"/>
      <c r="H1202" s="54" t="n"/>
      <c r="I1202" s="54" t="n"/>
      <c r="J1202" s="53" t="n"/>
      <c r="K1202" s="55" t="str">
        <f>IF(COUNTA(A1202:I1202)=0,"",IF(F1202="",IFERROR(INDEX(eq_dur,MATCH(B1202,eq_code,0)),""),F1202))</f>
        <v/>
      </c>
      <c r="L1202" s="55" t="str">
        <f>IF(ISNUMBER(K1202),N(IFERROR(INDEX(eq_pause,MATCH(B1202,eq_code,0)),0))+SUMIFS(st_min,st_date,A1202,st_eq,B1202,st_po,C1202,st_type,"Planifié"),"")</f>
        <v/>
      </c>
      <c r="M1202" s="55" t="str">
        <f>IF(ISNUMBER(K1202),K1202-L1202,"")</f>
        <v/>
      </c>
      <c r="N1202" s="55" t="str">
        <f>IF(ISNUMBER(K1202),SUMIFS(st_min,st_date,A1202,st_eq,B1202,st_po,C1202,st_type,"Non planifié"),"")</f>
        <v/>
      </c>
      <c r="O1202" s="55" t="str">
        <f>IF(ISNUMBER(K1202),M1202-N1202,"")</f>
        <v/>
      </c>
      <c r="P1202" s="55" t="str">
        <f>IF(COUNTA(A1202:I1202)=0,"",N(G1202)+N(H1202)+N(I1202))</f>
        <v/>
      </c>
      <c r="Q1202" s="56" t="str">
        <f>IF(COUNTA(A1202:I1202)=0,"",IF(N(IFERROR(INDEX(art_rate,MATCH(E1202,art_ref,0)),0))&gt;0,N(IFERROR(INDEX(art_rate,MATCH(E1202,art_ref,0)),0)),N(IFERROR(INDEX(po_rate,MATCH(C1202,po_code,0)),0))))</f>
        <v/>
      </c>
      <c r="R1202" s="55" t="str">
        <f>IF(AC1202=1,P1202*60/Q1202,"")</f>
        <v/>
      </c>
      <c r="S1202" s="55" t="str">
        <f>IF(AC1202=1,N(G1202)*60/Q1202,"")</f>
        <v/>
      </c>
      <c r="T1202" s="57" t="str">
        <f>IF(AC1202=1,O1202/M1202,"")</f>
        <v/>
      </c>
      <c r="U1202" s="57" t="str">
        <f>IF(AC1202=1,IF(O1202&gt;0,R1202/O1202,""),"")</f>
        <v/>
      </c>
      <c r="V1202" s="57" t="str">
        <f>IF(AC1202=1,IF(P1202&gt;0,N(G1202)/P1202,""),"")</f>
        <v/>
      </c>
      <c r="W1202" s="57" t="str">
        <f>IF(AC1202=1,S1202/M1202,"")</f>
        <v/>
      </c>
      <c r="X1202" s="57" t="str">
        <f>IF(AC1202=1,S1202/K1202,"")</f>
        <v/>
      </c>
      <c r="Y1202" s="58" t="str">
        <f>IF(W1202="","",IF(W1202&gt;=p_target,"Bon",IF(W1202&gt;=p_alert,"À surveiller","Faible")))</f>
        <v/>
      </c>
      <c r="Z1202" s="58" t="str">
        <f>IF(W1202="","",IF(MIN(IF(T1202="",1,T1202),IF(U1202="",1,U1202),IF(V1202="",1,V1202))&gt;=1,"Aucune",IF(IF(T1202="",1,T1202)&lt;=MIN(IF(U1202="",1,U1202),IF(V1202="",1,V1202)),"Disponibilité",IF(IF(U1202="",1,U1202)&lt;=IF(V1202="",1,V1202),"Performance","Qualité"))))</f>
        <v/>
      </c>
      <c r="AA1202" s="59" t="str">
        <f>IF(AC1202=1,N(H1202)*N(IFERROR(INDEX(art_cost,MATCH(E1202,art_ref,0)),0)),"")</f>
        <v/>
      </c>
      <c r="AB1202" s="58" t="str">
        <f>IF(COUNTA(A1202:I1202)=0,"",IF(N(A1202)&lt;=0,"Date manquante ou invalide",IF(B1202="","Équipe manquante",IF(ISNA(MATCH(B1202,eq_code,0)),"Équipe inconnue",IF(INDEX(eq_check,MATCH(B1202,eq_code,0))&lt;&gt;"OK","Équipe à corriger dans Paramètres",IF(C1202="","Poste manquant",IF(ISNA(MATCH(C1202,po_code,0)),"Poste inconnu",IF(AND(E1202&lt;&gt;"",ISNA(MATCH(E1202,art_ref,0))),"Article inconnu",IF(IF(E1202="",FALSE,INDEX(art_check,MATCH(E1202,art_ref,0))&lt;&gt;"OK"),"Article à corriger (feuille Articles)",IF(COUNTIFS(sj_date,A1202,sj_eq,B1202,sj_po,C1202)&gt;1,"Ligne en double (même jour, équipe et poste)",IF(OR(NOT(ISNUMBER(K1202)),N(K1202)&lt;=0,N(K1202)&gt;1440),"Temps d'ouverture invalide",IF(OR(AND(G1202&lt;&gt;"",NOT(ISNUMBER(G1202))),N(G1202)&lt;0,N(G1202)&lt;&gt;INT(N(G1202)),AND(H1202&lt;&gt;"",NOT(ISNUMBER(H1202))),N(H1202)&lt;0,N(H1202)&lt;&gt;INT(N(H1202)),AND(I1202&lt;&gt;"",NOT(ISNUMBER(I1202))),N(I1202)&lt;0,N(I1202)&lt;&gt;INT(N(I1202))),"Quantité invalide",IF(Q1202&lt;=0,"Cadence manquante (poste ou article)",IF(M1202&lt;=0,"Arrêts planifiés supérieurs au temps d'ouverture",IF(O1202&lt;0,"Arrêts supérieurs au temps requis",IF(AND(P1202&gt;0,O1202=0),"Pièces déclarées sans temps de marche",IF(AND(P1202=0,O1202&gt;0),"Aucune pièce déclarée",IF(P1202*60/Q1202&gt;O1202+0.001,"Cadence dépassée : vérifiez la cadence","OK"))))))))))))))))))</f>
        <v/>
      </c>
      <c r="AC1202">
        <f>IF(OR(AB1202="OK",AB1202="Aucune pièce déclarée",AB1202="Cadence dépassée : vérifiez la cadence"),1,0)</f>
        <v>0.0</v>
      </c>
      <c r="AD1202">
        <f>IF(AND(AC1202=1,A1202&gt;=p_from,A1202&lt;=p_to),1,0)</f>
        <v>0.0</v>
      </c>
      <c r="AE1202">
        <f>IF(AD1202=1,IF(COUNTIFS($A$6:A1202,A1202,$AD$6:AD1202,1)=1,1,0),0)</f>
        <v>0.0</v>
      </c>
      <c r="AF1202" t="str">
        <f>IF(AE1202=1,COUNTIFS(sj_first,1,sj_date,"&lt;"&amp;A1202)+1,"")</f>
        <v/>
      </c>
      <c r="AG1202" t="str">
        <f>IF(AND(AD1202=1,N(W1202)&lt;p_alert),ROUND(W1202,4),"")</f>
        <v/>
      </c>
      <c r="AH1202" t="str">
        <f>IF(AG1202="","",COUNTIF(sj_akey,"&lt;"&amp;AG1202)+COUNTIF($AG$6:AG1202,AG1202))</f>
        <v/>
      </c>
    </row>
    <row r="1203">
      <c r="A1203" s="51" t="n"/>
      <c r="B1203" s="52" t="n"/>
      <c r="C1203" s="52" t="n"/>
      <c r="D1203" s="53" t="n"/>
      <c r="E1203" s="53" t="n"/>
      <c r="F1203" s="54" t="n"/>
      <c r="G1203" s="54" t="n"/>
      <c r="H1203" s="54" t="n"/>
      <c r="I1203" s="54" t="n"/>
      <c r="J1203" s="53" t="n"/>
      <c r="K1203" s="55" t="str">
        <f>IF(COUNTA(A1203:I1203)=0,"",IF(F1203="",IFERROR(INDEX(eq_dur,MATCH(B1203,eq_code,0)),""),F1203))</f>
        <v/>
      </c>
      <c r="L1203" s="55" t="str">
        <f>IF(ISNUMBER(K1203),N(IFERROR(INDEX(eq_pause,MATCH(B1203,eq_code,0)),0))+SUMIFS(st_min,st_date,A1203,st_eq,B1203,st_po,C1203,st_type,"Planifié"),"")</f>
        <v/>
      </c>
      <c r="M1203" s="55" t="str">
        <f>IF(ISNUMBER(K1203),K1203-L1203,"")</f>
        <v/>
      </c>
      <c r="N1203" s="55" t="str">
        <f>IF(ISNUMBER(K1203),SUMIFS(st_min,st_date,A1203,st_eq,B1203,st_po,C1203,st_type,"Non planifié"),"")</f>
        <v/>
      </c>
      <c r="O1203" s="55" t="str">
        <f>IF(ISNUMBER(K1203),M1203-N1203,"")</f>
        <v/>
      </c>
      <c r="P1203" s="55" t="str">
        <f>IF(COUNTA(A1203:I1203)=0,"",N(G1203)+N(H1203)+N(I1203))</f>
        <v/>
      </c>
      <c r="Q1203" s="56" t="str">
        <f>IF(COUNTA(A1203:I1203)=0,"",IF(N(IFERROR(INDEX(art_rate,MATCH(E1203,art_ref,0)),0))&gt;0,N(IFERROR(INDEX(art_rate,MATCH(E1203,art_ref,0)),0)),N(IFERROR(INDEX(po_rate,MATCH(C1203,po_code,0)),0))))</f>
        <v/>
      </c>
      <c r="R1203" s="55" t="str">
        <f>IF(AC1203=1,P1203*60/Q1203,"")</f>
        <v/>
      </c>
      <c r="S1203" s="55" t="str">
        <f>IF(AC1203=1,N(G1203)*60/Q1203,"")</f>
        <v/>
      </c>
      <c r="T1203" s="57" t="str">
        <f>IF(AC1203=1,O1203/M1203,"")</f>
        <v/>
      </c>
      <c r="U1203" s="57" t="str">
        <f>IF(AC1203=1,IF(O1203&gt;0,R1203/O1203,""),"")</f>
        <v/>
      </c>
      <c r="V1203" s="57" t="str">
        <f>IF(AC1203=1,IF(P1203&gt;0,N(G1203)/P1203,""),"")</f>
        <v/>
      </c>
      <c r="W1203" s="57" t="str">
        <f>IF(AC1203=1,S1203/M1203,"")</f>
        <v/>
      </c>
      <c r="X1203" s="57" t="str">
        <f>IF(AC1203=1,S1203/K1203,"")</f>
        <v/>
      </c>
      <c r="Y1203" s="58" t="str">
        <f>IF(W1203="","",IF(W1203&gt;=p_target,"Bon",IF(W1203&gt;=p_alert,"À surveiller","Faible")))</f>
        <v/>
      </c>
      <c r="Z1203" s="58" t="str">
        <f>IF(W1203="","",IF(MIN(IF(T1203="",1,T1203),IF(U1203="",1,U1203),IF(V1203="",1,V1203))&gt;=1,"Aucune",IF(IF(T1203="",1,T1203)&lt;=MIN(IF(U1203="",1,U1203),IF(V1203="",1,V1203)),"Disponibilité",IF(IF(U1203="",1,U1203)&lt;=IF(V1203="",1,V1203),"Performance","Qualité"))))</f>
        <v/>
      </c>
      <c r="AA1203" s="59" t="str">
        <f>IF(AC1203=1,N(H1203)*N(IFERROR(INDEX(art_cost,MATCH(E1203,art_ref,0)),0)),"")</f>
        <v/>
      </c>
      <c r="AB1203" s="58" t="str">
        <f>IF(COUNTA(A1203:I1203)=0,"",IF(N(A1203)&lt;=0,"Date manquante ou invalide",IF(B1203="","Équipe manquante",IF(ISNA(MATCH(B1203,eq_code,0)),"Équipe inconnue",IF(INDEX(eq_check,MATCH(B1203,eq_code,0))&lt;&gt;"OK","Équipe à corriger dans Paramètres",IF(C1203="","Poste manquant",IF(ISNA(MATCH(C1203,po_code,0)),"Poste inconnu",IF(AND(E1203&lt;&gt;"",ISNA(MATCH(E1203,art_ref,0))),"Article inconnu",IF(IF(E1203="",FALSE,INDEX(art_check,MATCH(E1203,art_ref,0))&lt;&gt;"OK"),"Article à corriger (feuille Articles)",IF(COUNTIFS(sj_date,A1203,sj_eq,B1203,sj_po,C1203)&gt;1,"Ligne en double (même jour, équipe et poste)",IF(OR(NOT(ISNUMBER(K1203)),N(K1203)&lt;=0,N(K1203)&gt;1440),"Temps d'ouverture invalide",IF(OR(AND(G1203&lt;&gt;"",NOT(ISNUMBER(G1203))),N(G1203)&lt;0,N(G1203)&lt;&gt;INT(N(G1203)),AND(H1203&lt;&gt;"",NOT(ISNUMBER(H1203))),N(H1203)&lt;0,N(H1203)&lt;&gt;INT(N(H1203)),AND(I1203&lt;&gt;"",NOT(ISNUMBER(I1203))),N(I1203)&lt;0,N(I1203)&lt;&gt;INT(N(I1203))),"Quantité invalide",IF(Q1203&lt;=0,"Cadence manquante (poste ou article)",IF(M1203&lt;=0,"Arrêts planifiés supérieurs au temps d'ouverture",IF(O1203&lt;0,"Arrêts supérieurs au temps requis",IF(AND(P1203&gt;0,O1203=0),"Pièces déclarées sans temps de marche",IF(AND(P1203=0,O1203&gt;0),"Aucune pièce déclarée",IF(P1203*60/Q1203&gt;O1203+0.001,"Cadence dépassée : vérifiez la cadence","OK"))))))))))))))))))</f>
        <v/>
      </c>
      <c r="AC1203">
        <f>IF(OR(AB1203="OK",AB1203="Aucune pièce déclarée",AB1203="Cadence dépassée : vérifiez la cadence"),1,0)</f>
        <v>0.0</v>
      </c>
      <c r="AD1203">
        <f>IF(AND(AC1203=1,A1203&gt;=p_from,A1203&lt;=p_to),1,0)</f>
        <v>0.0</v>
      </c>
      <c r="AE1203">
        <f>IF(AD1203=1,IF(COUNTIFS($A$6:A1203,A1203,$AD$6:AD1203,1)=1,1,0),0)</f>
        <v>0.0</v>
      </c>
      <c r="AF1203" t="str">
        <f>IF(AE1203=1,COUNTIFS(sj_first,1,sj_date,"&lt;"&amp;A1203)+1,"")</f>
        <v/>
      </c>
      <c r="AG1203" t="str">
        <f>IF(AND(AD1203=1,N(W1203)&lt;p_alert),ROUND(W1203,4),"")</f>
        <v/>
      </c>
      <c r="AH1203" t="str">
        <f>IF(AG1203="","",COUNTIF(sj_akey,"&lt;"&amp;AG1203)+COUNTIF($AG$6:AG1203,AG1203))</f>
        <v/>
      </c>
    </row>
    <row r="1204">
      <c r="A1204" s="51" t="n"/>
      <c r="B1204" s="52" t="n"/>
      <c r="C1204" s="52" t="n"/>
      <c r="D1204" s="53" t="n"/>
      <c r="E1204" s="53" t="n"/>
      <c r="F1204" s="54" t="n"/>
      <c r="G1204" s="54" t="n"/>
      <c r="H1204" s="54" t="n"/>
      <c r="I1204" s="54" t="n"/>
      <c r="J1204" s="53" t="n"/>
      <c r="K1204" s="55" t="str">
        <f>IF(COUNTA(A1204:I1204)=0,"",IF(F1204="",IFERROR(INDEX(eq_dur,MATCH(B1204,eq_code,0)),""),F1204))</f>
        <v/>
      </c>
      <c r="L1204" s="55" t="str">
        <f>IF(ISNUMBER(K1204),N(IFERROR(INDEX(eq_pause,MATCH(B1204,eq_code,0)),0))+SUMIFS(st_min,st_date,A1204,st_eq,B1204,st_po,C1204,st_type,"Planifié"),"")</f>
        <v/>
      </c>
      <c r="M1204" s="55" t="str">
        <f>IF(ISNUMBER(K1204),K1204-L1204,"")</f>
        <v/>
      </c>
      <c r="N1204" s="55" t="str">
        <f>IF(ISNUMBER(K1204),SUMIFS(st_min,st_date,A1204,st_eq,B1204,st_po,C1204,st_type,"Non planifié"),"")</f>
        <v/>
      </c>
      <c r="O1204" s="55" t="str">
        <f>IF(ISNUMBER(K1204),M1204-N1204,"")</f>
        <v/>
      </c>
      <c r="P1204" s="55" t="str">
        <f>IF(COUNTA(A1204:I1204)=0,"",N(G1204)+N(H1204)+N(I1204))</f>
        <v/>
      </c>
      <c r="Q1204" s="56" t="str">
        <f>IF(COUNTA(A1204:I1204)=0,"",IF(N(IFERROR(INDEX(art_rate,MATCH(E1204,art_ref,0)),0))&gt;0,N(IFERROR(INDEX(art_rate,MATCH(E1204,art_ref,0)),0)),N(IFERROR(INDEX(po_rate,MATCH(C1204,po_code,0)),0))))</f>
        <v/>
      </c>
      <c r="R1204" s="55" t="str">
        <f>IF(AC1204=1,P1204*60/Q1204,"")</f>
        <v/>
      </c>
      <c r="S1204" s="55" t="str">
        <f>IF(AC1204=1,N(G1204)*60/Q1204,"")</f>
        <v/>
      </c>
      <c r="T1204" s="57" t="str">
        <f>IF(AC1204=1,O1204/M1204,"")</f>
        <v/>
      </c>
      <c r="U1204" s="57" t="str">
        <f>IF(AC1204=1,IF(O1204&gt;0,R1204/O1204,""),"")</f>
        <v/>
      </c>
      <c r="V1204" s="57" t="str">
        <f>IF(AC1204=1,IF(P1204&gt;0,N(G1204)/P1204,""),"")</f>
        <v/>
      </c>
      <c r="W1204" s="57" t="str">
        <f>IF(AC1204=1,S1204/M1204,"")</f>
        <v/>
      </c>
      <c r="X1204" s="57" t="str">
        <f>IF(AC1204=1,S1204/K1204,"")</f>
        <v/>
      </c>
      <c r="Y1204" s="58" t="str">
        <f>IF(W1204="","",IF(W1204&gt;=p_target,"Bon",IF(W1204&gt;=p_alert,"À surveiller","Faible")))</f>
        <v/>
      </c>
      <c r="Z1204" s="58" t="str">
        <f>IF(W1204="","",IF(MIN(IF(T1204="",1,T1204),IF(U1204="",1,U1204),IF(V1204="",1,V1204))&gt;=1,"Aucune",IF(IF(T1204="",1,T1204)&lt;=MIN(IF(U1204="",1,U1204),IF(V1204="",1,V1204)),"Disponibilité",IF(IF(U1204="",1,U1204)&lt;=IF(V1204="",1,V1204),"Performance","Qualité"))))</f>
        <v/>
      </c>
      <c r="AA1204" s="59" t="str">
        <f>IF(AC1204=1,N(H1204)*N(IFERROR(INDEX(art_cost,MATCH(E1204,art_ref,0)),0)),"")</f>
        <v/>
      </c>
      <c r="AB1204" s="58" t="str">
        <f>IF(COUNTA(A1204:I1204)=0,"",IF(N(A1204)&lt;=0,"Date manquante ou invalide",IF(B1204="","Équipe manquante",IF(ISNA(MATCH(B1204,eq_code,0)),"Équipe inconnue",IF(INDEX(eq_check,MATCH(B1204,eq_code,0))&lt;&gt;"OK","Équipe à corriger dans Paramètres",IF(C1204="","Poste manquant",IF(ISNA(MATCH(C1204,po_code,0)),"Poste inconnu",IF(AND(E1204&lt;&gt;"",ISNA(MATCH(E1204,art_ref,0))),"Article inconnu",IF(IF(E1204="",FALSE,INDEX(art_check,MATCH(E1204,art_ref,0))&lt;&gt;"OK"),"Article à corriger (feuille Articles)",IF(COUNTIFS(sj_date,A1204,sj_eq,B1204,sj_po,C1204)&gt;1,"Ligne en double (même jour, équipe et poste)",IF(OR(NOT(ISNUMBER(K1204)),N(K1204)&lt;=0,N(K1204)&gt;1440),"Temps d'ouverture invalide",IF(OR(AND(G1204&lt;&gt;"",NOT(ISNUMBER(G1204))),N(G1204)&lt;0,N(G1204)&lt;&gt;INT(N(G1204)),AND(H1204&lt;&gt;"",NOT(ISNUMBER(H1204))),N(H1204)&lt;0,N(H1204)&lt;&gt;INT(N(H1204)),AND(I1204&lt;&gt;"",NOT(ISNUMBER(I1204))),N(I1204)&lt;0,N(I1204)&lt;&gt;INT(N(I1204))),"Quantité invalide",IF(Q1204&lt;=0,"Cadence manquante (poste ou article)",IF(M1204&lt;=0,"Arrêts planifiés supérieurs au temps d'ouverture",IF(O1204&lt;0,"Arrêts supérieurs au temps requis",IF(AND(P1204&gt;0,O1204=0),"Pièces déclarées sans temps de marche",IF(AND(P1204=0,O1204&gt;0),"Aucune pièce déclarée",IF(P1204*60/Q1204&gt;O1204+0.001,"Cadence dépassée : vérifiez la cadence","OK"))))))))))))))))))</f>
        <v/>
      </c>
      <c r="AC1204">
        <f>IF(OR(AB1204="OK",AB1204="Aucune pièce déclarée",AB1204="Cadence dépassée : vérifiez la cadence"),1,0)</f>
        <v>0.0</v>
      </c>
      <c r="AD1204">
        <f>IF(AND(AC1204=1,A1204&gt;=p_from,A1204&lt;=p_to),1,0)</f>
        <v>0.0</v>
      </c>
      <c r="AE1204">
        <f>IF(AD1204=1,IF(COUNTIFS($A$6:A1204,A1204,$AD$6:AD1204,1)=1,1,0),0)</f>
        <v>0.0</v>
      </c>
      <c r="AF1204" t="str">
        <f>IF(AE1204=1,COUNTIFS(sj_first,1,sj_date,"&lt;"&amp;A1204)+1,"")</f>
        <v/>
      </c>
      <c r="AG1204" t="str">
        <f>IF(AND(AD1204=1,N(W1204)&lt;p_alert),ROUND(W1204,4),"")</f>
        <v/>
      </c>
      <c r="AH1204" t="str">
        <f>IF(AG1204="","",COUNTIF(sj_akey,"&lt;"&amp;AG1204)+COUNTIF($AG$6:AG1204,AG1204))</f>
        <v/>
      </c>
    </row>
    <row r="1205">
      <c r="A1205" s="51" t="n"/>
      <c r="B1205" s="52" t="n"/>
      <c r="C1205" s="52" t="n"/>
      <c r="D1205" s="53" t="n"/>
      <c r="E1205" s="53" t="n"/>
      <c r="F1205" s="54" t="n"/>
      <c r="G1205" s="54" t="n"/>
      <c r="H1205" s="54" t="n"/>
      <c r="I1205" s="54" t="n"/>
      <c r="J1205" s="53" t="n"/>
      <c r="K1205" s="55" t="str">
        <f>IF(COUNTA(A1205:I1205)=0,"",IF(F1205="",IFERROR(INDEX(eq_dur,MATCH(B1205,eq_code,0)),""),F1205))</f>
        <v/>
      </c>
      <c r="L1205" s="55" t="str">
        <f>IF(ISNUMBER(K1205),N(IFERROR(INDEX(eq_pause,MATCH(B1205,eq_code,0)),0))+SUMIFS(st_min,st_date,A1205,st_eq,B1205,st_po,C1205,st_type,"Planifié"),"")</f>
        <v/>
      </c>
      <c r="M1205" s="55" t="str">
        <f>IF(ISNUMBER(K1205),K1205-L1205,"")</f>
        <v/>
      </c>
      <c r="N1205" s="55" t="str">
        <f>IF(ISNUMBER(K1205),SUMIFS(st_min,st_date,A1205,st_eq,B1205,st_po,C1205,st_type,"Non planifié"),"")</f>
        <v/>
      </c>
      <c r="O1205" s="55" t="str">
        <f>IF(ISNUMBER(K1205),M1205-N1205,"")</f>
        <v/>
      </c>
      <c r="P1205" s="55" t="str">
        <f>IF(COUNTA(A1205:I1205)=0,"",N(G1205)+N(H1205)+N(I1205))</f>
        <v/>
      </c>
      <c r="Q1205" s="56" t="str">
        <f>IF(COUNTA(A1205:I1205)=0,"",IF(N(IFERROR(INDEX(art_rate,MATCH(E1205,art_ref,0)),0))&gt;0,N(IFERROR(INDEX(art_rate,MATCH(E1205,art_ref,0)),0)),N(IFERROR(INDEX(po_rate,MATCH(C1205,po_code,0)),0))))</f>
        <v/>
      </c>
      <c r="R1205" s="55" t="str">
        <f>IF(AC1205=1,P1205*60/Q1205,"")</f>
        <v/>
      </c>
      <c r="S1205" s="55" t="str">
        <f>IF(AC1205=1,N(G1205)*60/Q1205,"")</f>
        <v/>
      </c>
      <c r="T1205" s="57" t="str">
        <f>IF(AC1205=1,O1205/M1205,"")</f>
        <v/>
      </c>
      <c r="U1205" s="57" t="str">
        <f>IF(AC1205=1,IF(O1205&gt;0,R1205/O1205,""),"")</f>
        <v/>
      </c>
      <c r="V1205" s="57" t="str">
        <f>IF(AC1205=1,IF(P1205&gt;0,N(G1205)/P1205,""),"")</f>
        <v/>
      </c>
      <c r="W1205" s="57" t="str">
        <f>IF(AC1205=1,S1205/M1205,"")</f>
        <v/>
      </c>
      <c r="X1205" s="57" t="str">
        <f>IF(AC1205=1,S1205/K1205,"")</f>
        <v/>
      </c>
      <c r="Y1205" s="58" t="str">
        <f>IF(W1205="","",IF(W1205&gt;=p_target,"Bon",IF(W1205&gt;=p_alert,"À surveiller","Faible")))</f>
        <v/>
      </c>
      <c r="Z1205" s="58" t="str">
        <f>IF(W1205="","",IF(MIN(IF(T1205="",1,T1205),IF(U1205="",1,U1205),IF(V1205="",1,V1205))&gt;=1,"Aucune",IF(IF(T1205="",1,T1205)&lt;=MIN(IF(U1205="",1,U1205),IF(V1205="",1,V1205)),"Disponibilité",IF(IF(U1205="",1,U1205)&lt;=IF(V1205="",1,V1205),"Performance","Qualité"))))</f>
        <v/>
      </c>
      <c r="AA1205" s="59" t="str">
        <f>IF(AC1205=1,N(H1205)*N(IFERROR(INDEX(art_cost,MATCH(E1205,art_ref,0)),0)),"")</f>
        <v/>
      </c>
      <c r="AB1205" s="58" t="str">
        <f>IF(COUNTA(A1205:I1205)=0,"",IF(N(A1205)&lt;=0,"Date manquante ou invalide",IF(B1205="","Équipe manquante",IF(ISNA(MATCH(B1205,eq_code,0)),"Équipe inconnue",IF(INDEX(eq_check,MATCH(B1205,eq_code,0))&lt;&gt;"OK","Équipe à corriger dans Paramètres",IF(C1205="","Poste manquant",IF(ISNA(MATCH(C1205,po_code,0)),"Poste inconnu",IF(AND(E1205&lt;&gt;"",ISNA(MATCH(E1205,art_ref,0))),"Article inconnu",IF(IF(E1205="",FALSE,INDEX(art_check,MATCH(E1205,art_ref,0))&lt;&gt;"OK"),"Article à corriger (feuille Articles)",IF(COUNTIFS(sj_date,A1205,sj_eq,B1205,sj_po,C1205)&gt;1,"Ligne en double (même jour, équipe et poste)",IF(OR(NOT(ISNUMBER(K1205)),N(K1205)&lt;=0,N(K1205)&gt;1440),"Temps d'ouverture invalide",IF(OR(AND(G1205&lt;&gt;"",NOT(ISNUMBER(G1205))),N(G1205)&lt;0,N(G1205)&lt;&gt;INT(N(G1205)),AND(H1205&lt;&gt;"",NOT(ISNUMBER(H1205))),N(H1205)&lt;0,N(H1205)&lt;&gt;INT(N(H1205)),AND(I1205&lt;&gt;"",NOT(ISNUMBER(I1205))),N(I1205)&lt;0,N(I1205)&lt;&gt;INT(N(I1205))),"Quantité invalide",IF(Q1205&lt;=0,"Cadence manquante (poste ou article)",IF(M1205&lt;=0,"Arrêts planifiés supérieurs au temps d'ouverture",IF(O1205&lt;0,"Arrêts supérieurs au temps requis",IF(AND(P1205&gt;0,O1205=0),"Pièces déclarées sans temps de marche",IF(AND(P1205=0,O1205&gt;0),"Aucune pièce déclarée",IF(P1205*60/Q1205&gt;O1205+0.001,"Cadence dépassée : vérifiez la cadence","OK"))))))))))))))))))</f>
        <v/>
      </c>
      <c r="AC1205">
        <f>IF(OR(AB1205="OK",AB1205="Aucune pièce déclarée",AB1205="Cadence dépassée : vérifiez la cadence"),1,0)</f>
        <v>0.0</v>
      </c>
      <c r="AD1205">
        <f>IF(AND(AC1205=1,A1205&gt;=p_from,A1205&lt;=p_to),1,0)</f>
        <v>0.0</v>
      </c>
      <c r="AE1205">
        <f>IF(AD1205=1,IF(COUNTIFS($A$6:A1205,A1205,$AD$6:AD1205,1)=1,1,0),0)</f>
        <v>0.0</v>
      </c>
      <c r="AF1205" t="str">
        <f>IF(AE1205=1,COUNTIFS(sj_first,1,sj_date,"&lt;"&amp;A1205)+1,"")</f>
        <v/>
      </c>
      <c r="AG1205" t="str">
        <f>IF(AND(AD1205=1,N(W1205)&lt;p_alert),ROUND(W1205,4),"")</f>
        <v/>
      </c>
      <c r="AH1205" t="str">
        <f>IF(AG1205="","",COUNTIF(sj_akey,"&lt;"&amp;AG1205)+COUNTIF($AG$6:AG1205,AG1205))</f>
        <v/>
      </c>
    </row>
    <row r="1206">
      <c r="A1206" s="51" t="n"/>
      <c r="B1206" s="52" t="n"/>
      <c r="C1206" s="52" t="n"/>
      <c r="D1206" s="53" t="n"/>
      <c r="E1206" s="53" t="n"/>
      <c r="F1206" s="54" t="n"/>
      <c r="G1206" s="54" t="n"/>
      <c r="H1206" s="54" t="n"/>
      <c r="I1206" s="54" t="n"/>
      <c r="J1206" s="53" t="n"/>
      <c r="K1206" s="55" t="str">
        <f>IF(COUNTA(A1206:I1206)=0,"",IF(F1206="",IFERROR(INDEX(eq_dur,MATCH(B1206,eq_code,0)),""),F1206))</f>
        <v/>
      </c>
      <c r="L1206" s="55" t="str">
        <f>IF(ISNUMBER(K1206),N(IFERROR(INDEX(eq_pause,MATCH(B1206,eq_code,0)),0))+SUMIFS(st_min,st_date,A1206,st_eq,B1206,st_po,C1206,st_type,"Planifié"),"")</f>
        <v/>
      </c>
      <c r="M1206" s="55" t="str">
        <f>IF(ISNUMBER(K1206),K1206-L1206,"")</f>
        <v/>
      </c>
      <c r="N1206" s="55" t="str">
        <f>IF(ISNUMBER(K1206),SUMIFS(st_min,st_date,A1206,st_eq,B1206,st_po,C1206,st_type,"Non planifié"),"")</f>
        <v/>
      </c>
      <c r="O1206" s="55" t="str">
        <f>IF(ISNUMBER(K1206),M1206-N1206,"")</f>
        <v/>
      </c>
      <c r="P1206" s="55" t="str">
        <f>IF(COUNTA(A1206:I1206)=0,"",N(G1206)+N(H1206)+N(I1206))</f>
        <v/>
      </c>
      <c r="Q1206" s="56" t="str">
        <f>IF(COUNTA(A1206:I1206)=0,"",IF(N(IFERROR(INDEX(art_rate,MATCH(E1206,art_ref,0)),0))&gt;0,N(IFERROR(INDEX(art_rate,MATCH(E1206,art_ref,0)),0)),N(IFERROR(INDEX(po_rate,MATCH(C1206,po_code,0)),0))))</f>
        <v/>
      </c>
      <c r="R1206" s="55" t="str">
        <f>IF(AC1206=1,P1206*60/Q1206,"")</f>
        <v/>
      </c>
      <c r="S1206" s="55" t="str">
        <f>IF(AC1206=1,N(G1206)*60/Q1206,"")</f>
        <v/>
      </c>
      <c r="T1206" s="57" t="str">
        <f>IF(AC1206=1,O1206/M1206,"")</f>
        <v/>
      </c>
      <c r="U1206" s="57" t="str">
        <f>IF(AC1206=1,IF(O1206&gt;0,R1206/O1206,""),"")</f>
        <v/>
      </c>
      <c r="V1206" s="57" t="str">
        <f>IF(AC1206=1,IF(P1206&gt;0,N(G1206)/P1206,""),"")</f>
        <v/>
      </c>
      <c r="W1206" s="57" t="str">
        <f>IF(AC1206=1,S1206/M1206,"")</f>
        <v/>
      </c>
      <c r="X1206" s="57" t="str">
        <f>IF(AC1206=1,S1206/K1206,"")</f>
        <v/>
      </c>
      <c r="Y1206" s="58" t="str">
        <f>IF(W1206="","",IF(W1206&gt;=p_target,"Bon",IF(W1206&gt;=p_alert,"À surveiller","Faible")))</f>
        <v/>
      </c>
      <c r="Z1206" s="58" t="str">
        <f>IF(W1206="","",IF(MIN(IF(T1206="",1,T1206),IF(U1206="",1,U1206),IF(V1206="",1,V1206))&gt;=1,"Aucune",IF(IF(T1206="",1,T1206)&lt;=MIN(IF(U1206="",1,U1206),IF(V1206="",1,V1206)),"Disponibilité",IF(IF(U1206="",1,U1206)&lt;=IF(V1206="",1,V1206),"Performance","Qualité"))))</f>
        <v/>
      </c>
      <c r="AA1206" s="59" t="str">
        <f>IF(AC1206=1,N(H1206)*N(IFERROR(INDEX(art_cost,MATCH(E1206,art_ref,0)),0)),"")</f>
        <v/>
      </c>
      <c r="AB1206" s="58" t="str">
        <f>IF(COUNTA(A1206:I1206)=0,"",IF(N(A1206)&lt;=0,"Date manquante ou invalide",IF(B1206="","Équipe manquante",IF(ISNA(MATCH(B1206,eq_code,0)),"Équipe inconnue",IF(INDEX(eq_check,MATCH(B1206,eq_code,0))&lt;&gt;"OK","Équipe à corriger dans Paramètres",IF(C1206="","Poste manquant",IF(ISNA(MATCH(C1206,po_code,0)),"Poste inconnu",IF(AND(E1206&lt;&gt;"",ISNA(MATCH(E1206,art_ref,0))),"Article inconnu",IF(IF(E1206="",FALSE,INDEX(art_check,MATCH(E1206,art_ref,0))&lt;&gt;"OK"),"Article à corriger (feuille Articles)",IF(COUNTIFS(sj_date,A1206,sj_eq,B1206,sj_po,C1206)&gt;1,"Ligne en double (même jour, équipe et poste)",IF(OR(NOT(ISNUMBER(K1206)),N(K1206)&lt;=0,N(K1206)&gt;1440),"Temps d'ouverture invalide",IF(OR(AND(G1206&lt;&gt;"",NOT(ISNUMBER(G1206))),N(G1206)&lt;0,N(G1206)&lt;&gt;INT(N(G1206)),AND(H1206&lt;&gt;"",NOT(ISNUMBER(H1206))),N(H1206)&lt;0,N(H1206)&lt;&gt;INT(N(H1206)),AND(I1206&lt;&gt;"",NOT(ISNUMBER(I1206))),N(I1206)&lt;0,N(I1206)&lt;&gt;INT(N(I1206))),"Quantité invalide",IF(Q1206&lt;=0,"Cadence manquante (poste ou article)",IF(M1206&lt;=0,"Arrêts planifiés supérieurs au temps d'ouverture",IF(O1206&lt;0,"Arrêts supérieurs au temps requis",IF(AND(P1206&gt;0,O1206=0),"Pièces déclarées sans temps de marche",IF(AND(P1206=0,O1206&gt;0),"Aucune pièce déclarée",IF(P1206*60/Q1206&gt;O1206+0.001,"Cadence dépassée : vérifiez la cadence","OK"))))))))))))))))))</f>
        <v/>
      </c>
      <c r="AC1206">
        <f>IF(OR(AB1206="OK",AB1206="Aucune pièce déclarée",AB1206="Cadence dépassée : vérifiez la cadence"),1,0)</f>
        <v>0.0</v>
      </c>
      <c r="AD1206">
        <f>IF(AND(AC1206=1,A1206&gt;=p_from,A1206&lt;=p_to),1,0)</f>
        <v>0.0</v>
      </c>
      <c r="AE1206">
        <f>IF(AD1206=1,IF(COUNTIFS($A$6:A1206,A1206,$AD$6:AD1206,1)=1,1,0),0)</f>
        <v>0.0</v>
      </c>
      <c r="AF1206" t="str">
        <f>IF(AE1206=1,COUNTIFS(sj_first,1,sj_date,"&lt;"&amp;A1206)+1,"")</f>
        <v/>
      </c>
      <c r="AG1206" t="str">
        <f>IF(AND(AD1206=1,N(W1206)&lt;p_alert),ROUND(W1206,4),"")</f>
        <v/>
      </c>
      <c r="AH1206" t="str">
        <f>IF(AG1206="","",COUNTIF(sj_akey,"&lt;"&amp;AG1206)+COUNTIF($AG$6:AG1206,AG1206))</f>
        <v/>
      </c>
    </row>
    <row r="1207">
      <c r="A1207" s="51" t="n"/>
      <c r="B1207" s="52" t="n"/>
      <c r="C1207" s="52" t="n"/>
      <c r="D1207" s="53" t="n"/>
      <c r="E1207" s="53" t="n"/>
      <c r="F1207" s="54" t="n"/>
      <c r="G1207" s="54" t="n"/>
      <c r="H1207" s="54" t="n"/>
      <c r="I1207" s="54" t="n"/>
      <c r="J1207" s="53" t="n"/>
      <c r="K1207" s="55" t="str">
        <f>IF(COUNTA(A1207:I1207)=0,"",IF(F1207="",IFERROR(INDEX(eq_dur,MATCH(B1207,eq_code,0)),""),F1207))</f>
        <v/>
      </c>
      <c r="L1207" s="55" t="str">
        <f>IF(ISNUMBER(K1207),N(IFERROR(INDEX(eq_pause,MATCH(B1207,eq_code,0)),0))+SUMIFS(st_min,st_date,A1207,st_eq,B1207,st_po,C1207,st_type,"Planifié"),"")</f>
        <v/>
      </c>
      <c r="M1207" s="55" t="str">
        <f>IF(ISNUMBER(K1207),K1207-L1207,"")</f>
        <v/>
      </c>
      <c r="N1207" s="55" t="str">
        <f>IF(ISNUMBER(K1207),SUMIFS(st_min,st_date,A1207,st_eq,B1207,st_po,C1207,st_type,"Non planifié"),"")</f>
        <v/>
      </c>
      <c r="O1207" s="55" t="str">
        <f>IF(ISNUMBER(K1207),M1207-N1207,"")</f>
        <v/>
      </c>
      <c r="P1207" s="55" t="str">
        <f>IF(COUNTA(A1207:I1207)=0,"",N(G1207)+N(H1207)+N(I1207))</f>
        <v/>
      </c>
      <c r="Q1207" s="56" t="str">
        <f>IF(COUNTA(A1207:I1207)=0,"",IF(N(IFERROR(INDEX(art_rate,MATCH(E1207,art_ref,0)),0))&gt;0,N(IFERROR(INDEX(art_rate,MATCH(E1207,art_ref,0)),0)),N(IFERROR(INDEX(po_rate,MATCH(C1207,po_code,0)),0))))</f>
        <v/>
      </c>
      <c r="R1207" s="55" t="str">
        <f>IF(AC1207=1,P1207*60/Q1207,"")</f>
        <v/>
      </c>
      <c r="S1207" s="55" t="str">
        <f>IF(AC1207=1,N(G1207)*60/Q1207,"")</f>
        <v/>
      </c>
      <c r="T1207" s="57" t="str">
        <f>IF(AC1207=1,O1207/M1207,"")</f>
        <v/>
      </c>
      <c r="U1207" s="57" t="str">
        <f>IF(AC1207=1,IF(O1207&gt;0,R1207/O1207,""),"")</f>
        <v/>
      </c>
      <c r="V1207" s="57" t="str">
        <f>IF(AC1207=1,IF(P1207&gt;0,N(G1207)/P1207,""),"")</f>
        <v/>
      </c>
      <c r="W1207" s="57" t="str">
        <f>IF(AC1207=1,S1207/M1207,"")</f>
        <v/>
      </c>
      <c r="X1207" s="57" t="str">
        <f>IF(AC1207=1,S1207/K1207,"")</f>
        <v/>
      </c>
      <c r="Y1207" s="58" t="str">
        <f>IF(W1207="","",IF(W1207&gt;=p_target,"Bon",IF(W1207&gt;=p_alert,"À surveiller","Faible")))</f>
        <v/>
      </c>
      <c r="Z1207" s="58" t="str">
        <f>IF(W1207="","",IF(MIN(IF(T1207="",1,T1207),IF(U1207="",1,U1207),IF(V1207="",1,V1207))&gt;=1,"Aucune",IF(IF(T1207="",1,T1207)&lt;=MIN(IF(U1207="",1,U1207),IF(V1207="",1,V1207)),"Disponibilité",IF(IF(U1207="",1,U1207)&lt;=IF(V1207="",1,V1207),"Performance","Qualité"))))</f>
        <v/>
      </c>
      <c r="AA1207" s="59" t="str">
        <f>IF(AC1207=1,N(H1207)*N(IFERROR(INDEX(art_cost,MATCH(E1207,art_ref,0)),0)),"")</f>
        <v/>
      </c>
      <c r="AB1207" s="58" t="str">
        <f>IF(COUNTA(A1207:I1207)=0,"",IF(N(A1207)&lt;=0,"Date manquante ou invalide",IF(B1207="","Équipe manquante",IF(ISNA(MATCH(B1207,eq_code,0)),"Équipe inconnue",IF(INDEX(eq_check,MATCH(B1207,eq_code,0))&lt;&gt;"OK","Équipe à corriger dans Paramètres",IF(C1207="","Poste manquant",IF(ISNA(MATCH(C1207,po_code,0)),"Poste inconnu",IF(AND(E1207&lt;&gt;"",ISNA(MATCH(E1207,art_ref,0))),"Article inconnu",IF(IF(E1207="",FALSE,INDEX(art_check,MATCH(E1207,art_ref,0))&lt;&gt;"OK"),"Article à corriger (feuille Articles)",IF(COUNTIFS(sj_date,A1207,sj_eq,B1207,sj_po,C1207)&gt;1,"Ligne en double (même jour, équipe et poste)",IF(OR(NOT(ISNUMBER(K1207)),N(K1207)&lt;=0,N(K1207)&gt;1440),"Temps d'ouverture invalide",IF(OR(AND(G1207&lt;&gt;"",NOT(ISNUMBER(G1207))),N(G1207)&lt;0,N(G1207)&lt;&gt;INT(N(G1207)),AND(H1207&lt;&gt;"",NOT(ISNUMBER(H1207))),N(H1207)&lt;0,N(H1207)&lt;&gt;INT(N(H1207)),AND(I1207&lt;&gt;"",NOT(ISNUMBER(I1207))),N(I1207)&lt;0,N(I1207)&lt;&gt;INT(N(I1207))),"Quantité invalide",IF(Q1207&lt;=0,"Cadence manquante (poste ou article)",IF(M1207&lt;=0,"Arrêts planifiés supérieurs au temps d'ouverture",IF(O1207&lt;0,"Arrêts supérieurs au temps requis",IF(AND(P1207&gt;0,O1207=0),"Pièces déclarées sans temps de marche",IF(AND(P1207=0,O1207&gt;0),"Aucune pièce déclarée",IF(P1207*60/Q1207&gt;O1207+0.001,"Cadence dépassée : vérifiez la cadence","OK"))))))))))))))))))</f>
        <v/>
      </c>
      <c r="AC1207">
        <f>IF(OR(AB1207="OK",AB1207="Aucune pièce déclarée",AB1207="Cadence dépassée : vérifiez la cadence"),1,0)</f>
        <v>0.0</v>
      </c>
      <c r="AD1207">
        <f>IF(AND(AC1207=1,A1207&gt;=p_from,A1207&lt;=p_to),1,0)</f>
        <v>0.0</v>
      </c>
      <c r="AE1207">
        <f>IF(AD1207=1,IF(COUNTIFS($A$6:A1207,A1207,$AD$6:AD1207,1)=1,1,0),0)</f>
        <v>0.0</v>
      </c>
      <c r="AF1207" t="str">
        <f>IF(AE1207=1,COUNTIFS(sj_first,1,sj_date,"&lt;"&amp;A1207)+1,"")</f>
        <v/>
      </c>
      <c r="AG1207" t="str">
        <f>IF(AND(AD1207=1,N(W1207)&lt;p_alert),ROUND(W1207,4),"")</f>
        <v/>
      </c>
      <c r="AH1207" t="str">
        <f>IF(AG1207="","",COUNTIF(sj_akey,"&lt;"&amp;AG1207)+COUNTIF($AG$6:AG1207,AG1207))</f>
        <v/>
      </c>
    </row>
    <row r="1208">
      <c r="A1208" s="51" t="n"/>
      <c r="B1208" s="52" t="n"/>
      <c r="C1208" s="52" t="n"/>
      <c r="D1208" s="53" t="n"/>
      <c r="E1208" s="53" t="n"/>
      <c r="F1208" s="54" t="n"/>
      <c r="G1208" s="54" t="n"/>
      <c r="H1208" s="54" t="n"/>
      <c r="I1208" s="54" t="n"/>
      <c r="J1208" s="53" t="n"/>
      <c r="K1208" s="55" t="str">
        <f>IF(COUNTA(A1208:I1208)=0,"",IF(F1208="",IFERROR(INDEX(eq_dur,MATCH(B1208,eq_code,0)),""),F1208))</f>
        <v/>
      </c>
      <c r="L1208" s="55" t="str">
        <f>IF(ISNUMBER(K1208),N(IFERROR(INDEX(eq_pause,MATCH(B1208,eq_code,0)),0))+SUMIFS(st_min,st_date,A1208,st_eq,B1208,st_po,C1208,st_type,"Planifié"),"")</f>
        <v/>
      </c>
      <c r="M1208" s="55" t="str">
        <f>IF(ISNUMBER(K1208),K1208-L1208,"")</f>
        <v/>
      </c>
      <c r="N1208" s="55" t="str">
        <f>IF(ISNUMBER(K1208),SUMIFS(st_min,st_date,A1208,st_eq,B1208,st_po,C1208,st_type,"Non planifié"),"")</f>
        <v/>
      </c>
      <c r="O1208" s="55" t="str">
        <f>IF(ISNUMBER(K1208),M1208-N1208,"")</f>
        <v/>
      </c>
      <c r="P1208" s="55" t="str">
        <f>IF(COUNTA(A1208:I1208)=0,"",N(G1208)+N(H1208)+N(I1208))</f>
        <v/>
      </c>
      <c r="Q1208" s="56" t="str">
        <f>IF(COUNTA(A1208:I1208)=0,"",IF(N(IFERROR(INDEX(art_rate,MATCH(E1208,art_ref,0)),0))&gt;0,N(IFERROR(INDEX(art_rate,MATCH(E1208,art_ref,0)),0)),N(IFERROR(INDEX(po_rate,MATCH(C1208,po_code,0)),0))))</f>
        <v/>
      </c>
      <c r="R1208" s="55" t="str">
        <f>IF(AC1208=1,P1208*60/Q1208,"")</f>
        <v/>
      </c>
      <c r="S1208" s="55" t="str">
        <f>IF(AC1208=1,N(G1208)*60/Q1208,"")</f>
        <v/>
      </c>
      <c r="T1208" s="57" t="str">
        <f>IF(AC1208=1,O1208/M1208,"")</f>
        <v/>
      </c>
      <c r="U1208" s="57" t="str">
        <f>IF(AC1208=1,IF(O1208&gt;0,R1208/O1208,""),"")</f>
        <v/>
      </c>
      <c r="V1208" s="57" t="str">
        <f>IF(AC1208=1,IF(P1208&gt;0,N(G1208)/P1208,""),"")</f>
        <v/>
      </c>
      <c r="W1208" s="57" t="str">
        <f>IF(AC1208=1,S1208/M1208,"")</f>
        <v/>
      </c>
      <c r="X1208" s="57" t="str">
        <f>IF(AC1208=1,S1208/K1208,"")</f>
        <v/>
      </c>
      <c r="Y1208" s="58" t="str">
        <f>IF(W1208="","",IF(W1208&gt;=p_target,"Bon",IF(W1208&gt;=p_alert,"À surveiller","Faible")))</f>
        <v/>
      </c>
      <c r="Z1208" s="58" t="str">
        <f>IF(W1208="","",IF(MIN(IF(T1208="",1,T1208),IF(U1208="",1,U1208),IF(V1208="",1,V1208))&gt;=1,"Aucune",IF(IF(T1208="",1,T1208)&lt;=MIN(IF(U1208="",1,U1208),IF(V1208="",1,V1208)),"Disponibilité",IF(IF(U1208="",1,U1208)&lt;=IF(V1208="",1,V1208),"Performance","Qualité"))))</f>
        <v/>
      </c>
      <c r="AA1208" s="59" t="str">
        <f>IF(AC1208=1,N(H1208)*N(IFERROR(INDEX(art_cost,MATCH(E1208,art_ref,0)),0)),"")</f>
        <v/>
      </c>
      <c r="AB1208" s="58" t="str">
        <f>IF(COUNTA(A1208:I1208)=0,"",IF(N(A1208)&lt;=0,"Date manquante ou invalide",IF(B1208="","Équipe manquante",IF(ISNA(MATCH(B1208,eq_code,0)),"Équipe inconnue",IF(INDEX(eq_check,MATCH(B1208,eq_code,0))&lt;&gt;"OK","Équipe à corriger dans Paramètres",IF(C1208="","Poste manquant",IF(ISNA(MATCH(C1208,po_code,0)),"Poste inconnu",IF(AND(E1208&lt;&gt;"",ISNA(MATCH(E1208,art_ref,0))),"Article inconnu",IF(IF(E1208="",FALSE,INDEX(art_check,MATCH(E1208,art_ref,0))&lt;&gt;"OK"),"Article à corriger (feuille Articles)",IF(COUNTIFS(sj_date,A1208,sj_eq,B1208,sj_po,C1208)&gt;1,"Ligne en double (même jour, équipe et poste)",IF(OR(NOT(ISNUMBER(K1208)),N(K1208)&lt;=0,N(K1208)&gt;1440),"Temps d'ouverture invalide",IF(OR(AND(G1208&lt;&gt;"",NOT(ISNUMBER(G1208))),N(G1208)&lt;0,N(G1208)&lt;&gt;INT(N(G1208)),AND(H1208&lt;&gt;"",NOT(ISNUMBER(H1208))),N(H1208)&lt;0,N(H1208)&lt;&gt;INT(N(H1208)),AND(I1208&lt;&gt;"",NOT(ISNUMBER(I1208))),N(I1208)&lt;0,N(I1208)&lt;&gt;INT(N(I1208))),"Quantité invalide",IF(Q1208&lt;=0,"Cadence manquante (poste ou article)",IF(M1208&lt;=0,"Arrêts planifiés supérieurs au temps d'ouverture",IF(O1208&lt;0,"Arrêts supérieurs au temps requis",IF(AND(P1208&gt;0,O1208=0),"Pièces déclarées sans temps de marche",IF(AND(P1208=0,O1208&gt;0),"Aucune pièce déclarée",IF(P1208*60/Q1208&gt;O1208+0.001,"Cadence dépassée : vérifiez la cadence","OK"))))))))))))))))))</f>
        <v/>
      </c>
      <c r="AC1208">
        <f>IF(OR(AB1208="OK",AB1208="Aucune pièce déclarée",AB1208="Cadence dépassée : vérifiez la cadence"),1,0)</f>
        <v>0.0</v>
      </c>
      <c r="AD1208">
        <f>IF(AND(AC1208=1,A1208&gt;=p_from,A1208&lt;=p_to),1,0)</f>
        <v>0.0</v>
      </c>
      <c r="AE1208">
        <f>IF(AD1208=1,IF(COUNTIFS($A$6:A1208,A1208,$AD$6:AD1208,1)=1,1,0),0)</f>
        <v>0.0</v>
      </c>
      <c r="AF1208" t="str">
        <f>IF(AE1208=1,COUNTIFS(sj_first,1,sj_date,"&lt;"&amp;A1208)+1,"")</f>
        <v/>
      </c>
      <c r="AG1208" t="str">
        <f>IF(AND(AD1208=1,N(W1208)&lt;p_alert),ROUND(W1208,4),"")</f>
        <v/>
      </c>
      <c r="AH1208" t="str">
        <f>IF(AG1208="","",COUNTIF(sj_akey,"&lt;"&amp;AG1208)+COUNTIF($AG$6:AG1208,AG1208))</f>
        <v/>
      </c>
    </row>
    <row r="1209">
      <c r="A1209" s="51" t="n"/>
      <c r="B1209" s="52" t="n"/>
      <c r="C1209" s="52" t="n"/>
      <c r="D1209" s="53" t="n"/>
      <c r="E1209" s="53" t="n"/>
      <c r="F1209" s="54" t="n"/>
      <c r="G1209" s="54" t="n"/>
      <c r="H1209" s="54" t="n"/>
      <c r="I1209" s="54" t="n"/>
      <c r="J1209" s="53" t="n"/>
      <c r="K1209" s="55" t="str">
        <f>IF(COUNTA(A1209:I1209)=0,"",IF(F1209="",IFERROR(INDEX(eq_dur,MATCH(B1209,eq_code,0)),""),F1209))</f>
        <v/>
      </c>
      <c r="L1209" s="55" t="str">
        <f>IF(ISNUMBER(K1209),N(IFERROR(INDEX(eq_pause,MATCH(B1209,eq_code,0)),0))+SUMIFS(st_min,st_date,A1209,st_eq,B1209,st_po,C1209,st_type,"Planifié"),"")</f>
        <v/>
      </c>
      <c r="M1209" s="55" t="str">
        <f>IF(ISNUMBER(K1209),K1209-L1209,"")</f>
        <v/>
      </c>
      <c r="N1209" s="55" t="str">
        <f>IF(ISNUMBER(K1209),SUMIFS(st_min,st_date,A1209,st_eq,B1209,st_po,C1209,st_type,"Non planifié"),"")</f>
        <v/>
      </c>
      <c r="O1209" s="55" t="str">
        <f>IF(ISNUMBER(K1209),M1209-N1209,"")</f>
        <v/>
      </c>
      <c r="P1209" s="55" t="str">
        <f>IF(COUNTA(A1209:I1209)=0,"",N(G1209)+N(H1209)+N(I1209))</f>
        <v/>
      </c>
      <c r="Q1209" s="56" t="str">
        <f>IF(COUNTA(A1209:I1209)=0,"",IF(N(IFERROR(INDEX(art_rate,MATCH(E1209,art_ref,0)),0))&gt;0,N(IFERROR(INDEX(art_rate,MATCH(E1209,art_ref,0)),0)),N(IFERROR(INDEX(po_rate,MATCH(C1209,po_code,0)),0))))</f>
        <v/>
      </c>
      <c r="R1209" s="55" t="str">
        <f>IF(AC1209=1,P1209*60/Q1209,"")</f>
        <v/>
      </c>
      <c r="S1209" s="55" t="str">
        <f>IF(AC1209=1,N(G1209)*60/Q1209,"")</f>
        <v/>
      </c>
      <c r="T1209" s="57" t="str">
        <f>IF(AC1209=1,O1209/M1209,"")</f>
        <v/>
      </c>
      <c r="U1209" s="57" t="str">
        <f>IF(AC1209=1,IF(O1209&gt;0,R1209/O1209,""),"")</f>
        <v/>
      </c>
      <c r="V1209" s="57" t="str">
        <f>IF(AC1209=1,IF(P1209&gt;0,N(G1209)/P1209,""),"")</f>
        <v/>
      </c>
      <c r="W1209" s="57" t="str">
        <f>IF(AC1209=1,S1209/M1209,"")</f>
        <v/>
      </c>
      <c r="X1209" s="57" t="str">
        <f>IF(AC1209=1,S1209/K1209,"")</f>
        <v/>
      </c>
      <c r="Y1209" s="58" t="str">
        <f>IF(W1209="","",IF(W1209&gt;=p_target,"Bon",IF(W1209&gt;=p_alert,"À surveiller","Faible")))</f>
        <v/>
      </c>
      <c r="Z1209" s="58" t="str">
        <f>IF(W1209="","",IF(MIN(IF(T1209="",1,T1209),IF(U1209="",1,U1209),IF(V1209="",1,V1209))&gt;=1,"Aucune",IF(IF(T1209="",1,T1209)&lt;=MIN(IF(U1209="",1,U1209),IF(V1209="",1,V1209)),"Disponibilité",IF(IF(U1209="",1,U1209)&lt;=IF(V1209="",1,V1209),"Performance","Qualité"))))</f>
        <v/>
      </c>
      <c r="AA1209" s="59" t="str">
        <f>IF(AC1209=1,N(H1209)*N(IFERROR(INDEX(art_cost,MATCH(E1209,art_ref,0)),0)),"")</f>
        <v/>
      </c>
      <c r="AB1209" s="58" t="str">
        <f>IF(COUNTA(A1209:I1209)=0,"",IF(N(A1209)&lt;=0,"Date manquante ou invalide",IF(B1209="","Équipe manquante",IF(ISNA(MATCH(B1209,eq_code,0)),"Équipe inconnue",IF(INDEX(eq_check,MATCH(B1209,eq_code,0))&lt;&gt;"OK","Équipe à corriger dans Paramètres",IF(C1209="","Poste manquant",IF(ISNA(MATCH(C1209,po_code,0)),"Poste inconnu",IF(AND(E1209&lt;&gt;"",ISNA(MATCH(E1209,art_ref,0))),"Article inconnu",IF(IF(E1209="",FALSE,INDEX(art_check,MATCH(E1209,art_ref,0))&lt;&gt;"OK"),"Article à corriger (feuille Articles)",IF(COUNTIFS(sj_date,A1209,sj_eq,B1209,sj_po,C1209)&gt;1,"Ligne en double (même jour, équipe et poste)",IF(OR(NOT(ISNUMBER(K1209)),N(K1209)&lt;=0,N(K1209)&gt;1440),"Temps d'ouverture invalide",IF(OR(AND(G1209&lt;&gt;"",NOT(ISNUMBER(G1209))),N(G1209)&lt;0,N(G1209)&lt;&gt;INT(N(G1209)),AND(H1209&lt;&gt;"",NOT(ISNUMBER(H1209))),N(H1209)&lt;0,N(H1209)&lt;&gt;INT(N(H1209)),AND(I1209&lt;&gt;"",NOT(ISNUMBER(I1209))),N(I1209)&lt;0,N(I1209)&lt;&gt;INT(N(I1209))),"Quantité invalide",IF(Q1209&lt;=0,"Cadence manquante (poste ou article)",IF(M1209&lt;=0,"Arrêts planifiés supérieurs au temps d'ouverture",IF(O1209&lt;0,"Arrêts supérieurs au temps requis",IF(AND(P1209&gt;0,O1209=0),"Pièces déclarées sans temps de marche",IF(AND(P1209=0,O1209&gt;0),"Aucune pièce déclarée",IF(P1209*60/Q1209&gt;O1209+0.001,"Cadence dépassée : vérifiez la cadence","OK"))))))))))))))))))</f>
        <v/>
      </c>
      <c r="AC1209">
        <f>IF(OR(AB1209="OK",AB1209="Aucune pièce déclarée",AB1209="Cadence dépassée : vérifiez la cadence"),1,0)</f>
        <v>0.0</v>
      </c>
      <c r="AD1209">
        <f>IF(AND(AC1209=1,A1209&gt;=p_from,A1209&lt;=p_to),1,0)</f>
        <v>0.0</v>
      </c>
      <c r="AE1209">
        <f>IF(AD1209=1,IF(COUNTIFS($A$6:A1209,A1209,$AD$6:AD1209,1)=1,1,0),0)</f>
        <v>0.0</v>
      </c>
      <c r="AF1209" t="str">
        <f>IF(AE1209=1,COUNTIFS(sj_first,1,sj_date,"&lt;"&amp;A1209)+1,"")</f>
        <v/>
      </c>
      <c r="AG1209" t="str">
        <f>IF(AND(AD1209=1,N(W1209)&lt;p_alert),ROUND(W1209,4),"")</f>
        <v/>
      </c>
      <c r="AH1209" t="str">
        <f>IF(AG1209="","",COUNTIF(sj_akey,"&lt;"&amp;AG1209)+COUNTIF($AG$6:AG1209,AG1209))</f>
        <v/>
      </c>
    </row>
    <row r="1210">
      <c r="A1210" s="51" t="n"/>
      <c r="B1210" s="52" t="n"/>
      <c r="C1210" s="52" t="n"/>
      <c r="D1210" s="53" t="n"/>
      <c r="E1210" s="53" t="n"/>
      <c r="F1210" s="54" t="n"/>
      <c r="G1210" s="54" t="n"/>
      <c r="H1210" s="54" t="n"/>
      <c r="I1210" s="54" t="n"/>
      <c r="J1210" s="53" t="n"/>
      <c r="K1210" s="55" t="str">
        <f>IF(COUNTA(A1210:I1210)=0,"",IF(F1210="",IFERROR(INDEX(eq_dur,MATCH(B1210,eq_code,0)),""),F1210))</f>
        <v/>
      </c>
      <c r="L1210" s="55" t="str">
        <f>IF(ISNUMBER(K1210),N(IFERROR(INDEX(eq_pause,MATCH(B1210,eq_code,0)),0))+SUMIFS(st_min,st_date,A1210,st_eq,B1210,st_po,C1210,st_type,"Planifié"),"")</f>
        <v/>
      </c>
      <c r="M1210" s="55" t="str">
        <f>IF(ISNUMBER(K1210),K1210-L1210,"")</f>
        <v/>
      </c>
      <c r="N1210" s="55" t="str">
        <f>IF(ISNUMBER(K1210),SUMIFS(st_min,st_date,A1210,st_eq,B1210,st_po,C1210,st_type,"Non planifié"),"")</f>
        <v/>
      </c>
      <c r="O1210" s="55" t="str">
        <f>IF(ISNUMBER(K1210),M1210-N1210,"")</f>
        <v/>
      </c>
      <c r="P1210" s="55" t="str">
        <f>IF(COUNTA(A1210:I1210)=0,"",N(G1210)+N(H1210)+N(I1210))</f>
        <v/>
      </c>
      <c r="Q1210" s="56" t="str">
        <f>IF(COUNTA(A1210:I1210)=0,"",IF(N(IFERROR(INDEX(art_rate,MATCH(E1210,art_ref,0)),0))&gt;0,N(IFERROR(INDEX(art_rate,MATCH(E1210,art_ref,0)),0)),N(IFERROR(INDEX(po_rate,MATCH(C1210,po_code,0)),0))))</f>
        <v/>
      </c>
      <c r="R1210" s="55" t="str">
        <f>IF(AC1210=1,P1210*60/Q1210,"")</f>
        <v/>
      </c>
      <c r="S1210" s="55" t="str">
        <f>IF(AC1210=1,N(G1210)*60/Q1210,"")</f>
        <v/>
      </c>
      <c r="T1210" s="57" t="str">
        <f>IF(AC1210=1,O1210/M1210,"")</f>
        <v/>
      </c>
      <c r="U1210" s="57" t="str">
        <f>IF(AC1210=1,IF(O1210&gt;0,R1210/O1210,""),"")</f>
        <v/>
      </c>
      <c r="V1210" s="57" t="str">
        <f>IF(AC1210=1,IF(P1210&gt;0,N(G1210)/P1210,""),"")</f>
        <v/>
      </c>
      <c r="W1210" s="57" t="str">
        <f>IF(AC1210=1,S1210/M1210,"")</f>
        <v/>
      </c>
      <c r="X1210" s="57" t="str">
        <f>IF(AC1210=1,S1210/K1210,"")</f>
        <v/>
      </c>
      <c r="Y1210" s="58" t="str">
        <f>IF(W1210="","",IF(W1210&gt;=p_target,"Bon",IF(W1210&gt;=p_alert,"À surveiller","Faible")))</f>
        <v/>
      </c>
      <c r="Z1210" s="58" t="str">
        <f>IF(W1210="","",IF(MIN(IF(T1210="",1,T1210),IF(U1210="",1,U1210),IF(V1210="",1,V1210))&gt;=1,"Aucune",IF(IF(T1210="",1,T1210)&lt;=MIN(IF(U1210="",1,U1210),IF(V1210="",1,V1210)),"Disponibilité",IF(IF(U1210="",1,U1210)&lt;=IF(V1210="",1,V1210),"Performance","Qualité"))))</f>
        <v/>
      </c>
      <c r="AA1210" s="59" t="str">
        <f>IF(AC1210=1,N(H1210)*N(IFERROR(INDEX(art_cost,MATCH(E1210,art_ref,0)),0)),"")</f>
        <v/>
      </c>
      <c r="AB1210" s="58" t="str">
        <f>IF(COUNTA(A1210:I1210)=0,"",IF(N(A1210)&lt;=0,"Date manquante ou invalide",IF(B1210="","Équipe manquante",IF(ISNA(MATCH(B1210,eq_code,0)),"Équipe inconnue",IF(INDEX(eq_check,MATCH(B1210,eq_code,0))&lt;&gt;"OK","Équipe à corriger dans Paramètres",IF(C1210="","Poste manquant",IF(ISNA(MATCH(C1210,po_code,0)),"Poste inconnu",IF(AND(E1210&lt;&gt;"",ISNA(MATCH(E1210,art_ref,0))),"Article inconnu",IF(IF(E1210="",FALSE,INDEX(art_check,MATCH(E1210,art_ref,0))&lt;&gt;"OK"),"Article à corriger (feuille Articles)",IF(COUNTIFS(sj_date,A1210,sj_eq,B1210,sj_po,C1210)&gt;1,"Ligne en double (même jour, équipe et poste)",IF(OR(NOT(ISNUMBER(K1210)),N(K1210)&lt;=0,N(K1210)&gt;1440),"Temps d'ouverture invalide",IF(OR(AND(G1210&lt;&gt;"",NOT(ISNUMBER(G1210))),N(G1210)&lt;0,N(G1210)&lt;&gt;INT(N(G1210)),AND(H1210&lt;&gt;"",NOT(ISNUMBER(H1210))),N(H1210)&lt;0,N(H1210)&lt;&gt;INT(N(H1210)),AND(I1210&lt;&gt;"",NOT(ISNUMBER(I1210))),N(I1210)&lt;0,N(I1210)&lt;&gt;INT(N(I1210))),"Quantité invalide",IF(Q1210&lt;=0,"Cadence manquante (poste ou article)",IF(M1210&lt;=0,"Arrêts planifiés supérieurs au temps d'ouverture",IF(O1210&lt;0,"Arrêts supérieurs au temps requis",IF(AND(P1210&gt;0,O1210=0),"Pièces déclarées sans temps de marche",IF(AND(P1210=0,O1210&gt;0),"Aucune pièce déclarée",IF(P1210*60/Q1210&gt;O1210+0.001,"Cadence dépassée : vérifiez la cadence","OK"))))))))))))))))))</f>
        <v/>
      </c>
      <c r="AC1210">
        <f>IF(OR(AB1210="OK",AB1210="Aucune pièce déclarée",AB1210="Cadence dépassée : vérifiez la cadence"),1,0)</f>
        <v>0.0</v>
      </c>
      <c r="AD1210">
        <f>IF(AND(AC1210=1,A1210&gt;=p_from,A1210&lt;=p_to),1,0)</f>
        <v>0.0</v>
      </c>
      <c r="AE1210">
        <f>IF(AD1210=1,IF(COUNTIFS($A$6:A1210,A1210,$AD$6:AD1210,1)=1,1,0),0)</f>
        <v>0.0</v>
      </c>
      <c r="AF1210" t="str">
        <f>IF(AE1210=1,COUNTIFS(sj_first,1,sj_date,"&lt;"&amp;A1210)+1,"")</f>
        <v/>
      </c>
      <c r="AG1210" t="str">
        <f>IF(AND(AD1210=1,N(W1210)&lt;p_alert),ROUND(W1210,4),"")</f>
        <v/>
      </c>
      <c r="AH1210" t="str">
        <f>IF(AG1210="","",COUNTIF(sj_akey,"&lt;"&amp;AG1210)+COUNTIF($AG$6:AG1210,AG1210))</f>
        <v/>
      </c>
    </row>
    <row r="1211">
      <c r="A1211" s="51" t="n"/>
      <c r="B1211" s="52" t="n"/>
      <c r="C1211" s="52" t="n"/>
      <c r="D1211" s="53" t="n"/>
      <c r="E1211" s="53" t="n"/>
      <c r="F1211" s="54" t="n"/>
      <c r="G1211" s="54" t="n"/>
      <c r="H1211" s="54" t="n"/>
      <c r="I1211" s="54" t="n"/>
      <c r="J1211" s="53" t="n"/>
      <c r="K1211" s="55" t="str">
        <f>IF(COUNTA(A1211:I1211)=0,"",IF(F1211="",IFERROR(INDEX(eq_dur,MATCH(B1211,eq_code,0)),""),F1211))</f>
        <v/>
      </c>
      <c r="L1211" s="55" t="str">
        <f>IF(ISNUMBER(K1211),N(IFERROR(INDEX(eq_pause,MATCH(B1211,eq_code,0)),0))+SUMIFS(st_min,st_date,A1211,st_eq,B1211,st_po,C1211,st_type,"Planifié"),"")</f>
        <v/>
      </c>
      <c r="M1211" s="55" t="str">
        <f>IF(ISNUMBER(K1211),K1211-L1211,"")</f>
        <v/>
      </c>
      <c r="N1211" s="55" t="str">
        <f>IF(ISNUMBER(K1211),SUMIFS(st_min,st_date,A1211,st_eq,B1211,st_po,C1211,st_type,"Non planifié"),"")</f>
        <v/>
      </c>
      <c r="O1211" s="55" t="str">
        <f>IF(ISNUMBER(K1211),M1211-N1211,"")</f>
        <v/>
      </c>
      <c r="P1211" s="55" t="str">
        <f>IF(COUNTA(A1211:I1211)=0,"",N(G1211)+N(H1211)+N(I1211))</f>
        <v/>
      </c>
      <c r="Q1211" s="56" t="str">
        <f>IF(COUNTA(A1211:I1211)=0,"",IF(N(IFERROR(INDEX(art_rate,MATCH(E1211,art_ref,0)),0))&gt;0,N(IFERROR(INDEX(art_rate,MATCH(E1211,art_ref,0)),0)),N(IFERROR(INDEX(po_rate,MATCH(C1211,po_code,0)),0))))</f>
        <v/>
      </c>
      <c r="R1211" s="55" t="str">
        <f>IF(AC1211=1,P1211*60/Q1211,"")</f>
        <v/>
      </c>
      <c r="S1211" s="55" t="str">
        <f>IF(AC1211=1,N(G1211)*60/Q1211,"")</f>
        <v/>
      </c>
      <c r="T1211" s="57" t="str">
        <f>IF(AC1211=1,O1211/M1211,"")</f>
        <v/>
      </c>
      <c r="U1211" s="57" t="str">
        <f>IF(AC1211=1,IF(O1211&gt;0,R1211/O1211,""),"")</f>
        <v/>
      </c>
      <c r="V1211" s="57" t="str">
        <f>IF(AC1211=1,IF(P1211&gt;0,N(G1211)/P1211,""),"")</f>
        <v/>
      </c>
      <c r="W1211" s="57" t="str">
        <f>IF(AC1211=1,S1211/M1211,"")</f>
        <v/>
      </c>
      <c r="X1211" s="57" t="str">
        <f>IF(AC1211=1,S1211/K1211,"")</f>
        <v/>
      </c>
      <c r="Y1211" s="58" t="str">
        <f>IF(W1211="","",IF(W1211&gt;=p_target,"Bon",IF(W1211&gt;=p_alert,"À surveiller","Faible")))</f>
        <v/>
      </c>
      <c r="Z1211" s="58" t="str">
        <f>IF(W1211="","",IF(MIN(IF(T1211="",1,T1211),IF(U1211="",1,U1211),IF(V1211="",1,V1211))&gt;=1,"Aucune",IF(IF(T1211="",1,T1211)&lt;=MIN(IF(U1211="",1,U1211),IF(V1211="",1,V1211)),"Disponibilité",IF(IF(U1211="",1,U1211)&lt;=IF(V1211="",1,V1211),"Performance","Qualité"))))</f>
        <v/>
      </c>
      <c r="AA1211" s="59" t="str">
        <f>IF(AC1211=1,N(H1211)*N(IFERROR(INDEX(art_cost,MATCH(E1211,art_ref,0)),0)),"")</f>
        <v/>
      </c>
      <c r="AB1211" s="58" t="str">
        <f>IF(COUNTA(A1211:I1211)=0,"",IF(N(A1211)&lt;=0,"Date manquante ou invalide",IF(B1211="","Équipe manquante",IF(ISNA(MATCH(B1211,eq_code,0)),"Équipe inconnue",IF(INDEX(eq_check,MATCH(B1211,eq_code,0))&lt;&gt;"OK","Équipe à corriger dans Paramètres",IF(C1211="","Poste manquant",IF(ISNA(MATCH(C1211,po_code,0)),"Poste inconnu",IF(AND(E1211&lt;&gt;"",ISNA(MATCH(E1211,art_ref,0))),"Article inconnu",IF(IF(E1211="",FALSE,INDEX(art_check,MATCH(E1211,art_ref,0))&lt;&gt;"OK"),"Article à corriger (feuille Articles)",IF(COUNTIFS(sj_date,A1211,sj_eq,B1211,sj_po,C1211)&gt;1,"Ligne en double (même jour, équipe et poste)",IF(OR(NOT(ISNUMBER(K1211)),N(K1211)&lt;=0,N(K1211)&gt;1440),"Temps d'ouverture invalide",IF(OR(AND(G1211&lt;&gt;"",NOT(ISNUMBER(G1211))),N(G1211)&lt;0,N(G1211)&lt;&gt;INT(N(G1211)),AND(H1211&lt;&gt;"",NOT(ISNUMBER(H1211))),N(H1211)&lt;0,N(H1211)&lt;&gt;INT(N(H1211)),AND(I1211&lt;&gt;"",NOT(ISNUMBER(I1211))),N(I1211)&lt;0,N(I1211)&lt;&gt;INT(N(I1211))),"Quantité invalide",IF(Q1211&lt;=0,"Cadence manquante (poste ou article)",IF(M1211&lt;=0,"Arrêts planifiés supérieurs au temps d'ouverture",IF(O1211&lt;0,"Arrêts supérieurs au temps requis",IF(AND(P1211&gt;0,O1211=0),"Pièces déclarées sans temps de marche",IF(AND(P1211=0,O1211&gt;0),"Aucune pièce déclarée",IF(P1211*60/Q1211&gt;O1211+0.001,"Cadence dépassée : vérifiez la cadence","OK"))))))))))))))))))</f>
        <v/>
      </c>
      <c r="AC1211">
        <f>IF(OR(AB1211="OK",AB1211="Aucune pièce déclarée",AB1211="Cadence dépassée : vérifiez la cadence"),1,0)</f>
        <v>0.0</v>
      </c>
      <c r="AD1211">
        <f>IF(AND(AC1211=1,A1211&gt;=p_from,A1211&lt;=p_to),1,0)</f>
        <v>0.0</v>
      </c>
      <c r="AE1211">
        <f>IF(AD1211=1,IF(COUNTIFS($A$6:A1211,A1211,$AD$6:AD1211,1)=1,1,0),0)</f>
        <v>0.0</v>
      </c>
      <c r="AF1211" t="str">
        <f>IF(AE1211=1,COUNTIFS(sj_first,1,sj_date,"&lt;"&amp;A1211)+1,"")</f>
        <v/>
      </c>
      <c r="AG1211" t="str">
        <f>IF(AND(AD1211=1,N(W1211)&lt;p_alert),ROUND(W1211,4),"")</f>
        <v/>
      </c>
      <c r="AH1211" t="str">
        <f>IF(AG1211="","",COUNTIF(sj_akey,"&lt;"&amp;AG1211)+COUNTIF($AG$6:AG1211,AG1211))</f>
        <v/>
      </c>
    </row>
    <row r="1212">
      <c r="A1212" s="51" t="n"/>
      <c r="B1212" s="52" t="n"/>
      <c r="C1212" s="52" t="n"/>
      <c r="D1212" s="53" t="n"/>
      <c r="E1212" s="53" t="n"/>
      <c r="F1212" s="54" t="n"/>
      <c r="G1212" s="54" t="n"/>
      <c r="H1212" s="54" t="n"/>
      <c r="I1212" s="54" t="n"/>
      <c r="J1212" s="53" t="n"/>
      <c r="K1212" s="55" t="str">
        <f>IF(COUNTA(A1212:I1212)=0,"",IF(F1212="",IFERROR(INDEX(eq_dur,MATCH(B1212,eq_code,0)),""),F1212))</f>
        <v/>
      </c>
      <c r="L1212" s="55" t="str">
        <f>IF(ISNUMBER(K1212),N(IFERROR(INDEX(eq_pause,MATCH(B1212,eq_code,0)),0))+SUMIFS(st_min,st_date,A1212,st_eq,B1212,st_po,C1212,st_type,"Planifié"),"")</f>
        <v/>
      </c>
      <c r="M1212" s="55" t="str">
        <f>IF(ISNUMBER(K1212),K1212-L1212,"")</f>
        <v/>
      </c>
      <c r="N1212" s="55" t="str">
        <f>IF(ISNUMBER(K1212),SUMIFS(st_min,st_date,A1212,st_eq,B1212,st_po,C1212,st_type,"Non planifié"),"")</f>
        <v/>
      </c>
      <c r="O1212" s="55" t="str">
        <f>IF(ISNUMBER(K1212),M1212-N1212,"")</f>
        <v/>
      </c>
      <c r="P1212" s="55" t="str">
        <f>IF(COUNTA(A1212:I1212)=0,"",N(G1212)+N(H1212)+N(I1212))</f>
        <v/>
      </c>
      <c r="Q1212" s="56" t="str">
        <f>IF(COUNTA(A1212:I1212)=0,"",IF(N(IFERROR(INDEX(art_rate,MATCH(E1212,art_ref,0)),0))&gt;0,N(IFERROR(INDEX(art_rate,MATCH(E1212,art_ref,0)),0)),N(IFERROR(INDEX(po_rate,MATCH(C1212,po_code,0)),0))))</f>
        <v/>
      </c>
      <c r="R1212" s="55" t="str">
        <f>IF(AC1212=1,P1212*60/Q1212,"")</f>
        <v/>
      </c>
      <c r="S1212" s="55" t="str">
        <f>IF(AC1212=1,N(G1212)*60/Q1212,"")</f>
        <v/>
      </c>
      <c r="T1212" s="57" t="str">
        <f>IF(AC1212=1,O1212/M1212,"")</f>
        <v/>
      </c>
      <c r="U1212" s="57" t="str">
        <f>IF(AC1212=1,IF(O1212&gt;0,R1212/O1212,""),"")</f>
        <v/>
      </c>
      <c r="V1212" s="57" t="str">
        <f>IF(AC1212=1,IF(P1212&gt;0,N(G1212)/P1212,""),"")</f>
        <v/>
      </c>
      <c r="W1212" s="57" t="str">
        <f>IF(AC1212=1,S1212/M1212,"")</f>
        <v/>
      </c>
      <c r="X1212" s="57" t="str">
        <f>IF(AC1212=1,S1212/K1212,"")</f>
        <v/>
      </c>
      <c r="Y1212" s="58" t="str">
        <f>IF(W1212="","",IF(W1212&gt;=p_target,"Bon",IF(W1212&gt;=p_alert,"À surveiller","Faible")))</f>
        <v/>
      </c>
      <c r="Z1212" s="58" t="str">
        <f>IF(W1212="","",IF(MIN(IF(T1212="",1,T1212),IF(U1212="",1,U1212),IF(V1212="",1,V1212))&gt;=1,"Aucune",IF(IF(T1212="",1,T1212)&lt;=MIN(IF(U1212="",1,U1212),IF(V1212="",1,V1212)),"Disponibilité",IF(IF(U1212="",1,U1212)&lt;=IF(V1212="",1,V1212),"Performance","Qualité"))))</f>
        <v/>
      </c>
      <c r="AA1212" s="59" t="str">
        <f>IF(AC1212=1,N(H1212)*N(IFERROR(INDEX(art_cost,MATCH(E1212,art_ref,0)),0)),"")</f>
        <v/>
      </c>
      <c r="AB1212" s="58" t="str">
        <f>IF(COUNTA(A1212:I1212)=0,"",IF(N(A1212)&lt;=0,"Date manquante ou invalide",IF(B1212="","Équipe manquante",IF(ISNA(MATCH(B1212,eq_code,0)),"Équipe inconnue",IF(INDEX(eq_check,MATCH(B1212,eq_code,0))&lt;&gt;"OK","Équipe à corriger dans Paramètres",IF(C1212="","Poste manquant",IF(ISNA(MATCH(C1212,po_code,0)),"Poste inconnu",IF(AND(E1212&lt;&gt;"",ISNA(MATCH(E1212,art_ref,0))),"Article inconnu",IF(IF(E1212="",FALSE,INDEX(art_check,MATCH(E1212,art_ref,0))&lt;&gt;"OK"),"Article à corriger (feuille Articles)",IF(COUNTIFS(sj_date,A1212,sj_eq,B1212,sj_po,C1212)&gt;1,"Ligne en double (même jour, équipe et poste)",IF(OR(NOT(ISNUMBER(K1212)),N(K1212)&lt;=0,N(K1212)&gt;1440),"Temps d'ouverture invalide",IF(OR(AND(G1212&lt;&gt;"",NOT(ISNUMBER(G1212))),N(G1212)&lt;0,N(G1212)&lt;&gt;INT(N(G1212)),AND(H1212&lt;&gt;"",NOT(ISNUMBER(H1212))),N(H1212)&lt;0,N(H1212)&lt;&gt;INT(N(H1212)),AND(I1212&lt;&gt;"",NOT(ISNUMBER(I1212))),N(I1212)&lt;0,N(I1212)&lt;&gt;INT(N(I1212))),"Quantité invalide",IF(Q1212&lt;=0,"Cadence manquante (poste ou article)",IF(M1212&lt;=0,"Arrêts planifiés supérieurs au temps d'ouverture",IF(O1212&lt;0,"Arrêts supérieurs au temps requis",IF(AND(P1212&gt;0,O1212=0),"Pièces déclarées sans temps de marche",IF(AND(P1212=0,O1212&gt;0),"Aucune pièce déclarée",IF(P1212*60/Q1212&gt;O1212+0.001,"Cadence dépassée : vérifiez la cadence","OK"))))))))))))))))))</f>
        <v/>
      </c>
      <c r="AC1212">
        <f>IF(OR(AB1212="OK",AB1212="Aucune pièce déclarée",AB1212="Cadence dépassée : vérifiez la cadence"),1,0)</f>
        <v>0.0</v>
      </c>
      <c r="AD1212">
        <f>IF(AND(AC1212=1,A1212&gt;=p_from,A1212&lt;=p_to),1,0)</f>
        <v>0.0</v>
      </c>
      <c r="AE1212">
        <f>IF(AD1212=1,IF(COUNTIFS($A$6:A1212,A1212,$AD$6:AD1212,1)=1,1,0),0)</f>
        <v>0.0</v>
      </c>
      <c r="AF1212" t="str">
        <f>IF(AE1212=1,COUNTIFS(sj_first,1,sj_date,"&lt;"&amp;A1212)+1,"")</f>
        <v/>
      </c>
      <c r="AG1212" t="str">
        <f>IF(AND(AD1212=1,N(W1212)&lt;p_alert),ROUND(W1212,4),"")</f>
        <v/>
      </c>
      <c r="AH1212" t="str">
        <f>IF(AG1212="","",COUNTIF(sj_akey,"&lt;"&amp;AG1212)+COUNTIF($AG$6:AG1212,AG1212))</f>
        <v/>
      </c>
    </row>
    <row r="1213">
      <c r="A1213" s="51" t="n"/>
      <c r="B1213" s="52" t="n"/>
      <c r="C1213" s="52" t="n"/>
      <c r="D1213" s="53" t="n"/>
      <c r="E1213" s="53" t="n"/>
      <c r="F1213" s="54" t="n"/>
      <c r="G1213" s="54" t="n"/>
      <c r="H1213" s="54" t="n"/>
      <c r="I1213" s="54" t="n"/>
      <c r="J1213" s="53" t="n"/>
      <c r="K1213" s="55" t="str">
        <f>IF(COUNTA(A1213:I1213)=0,"",IF(F1213="",IFERROR(INDEX(eq_dur,MATCH(B1213,eq_code,0)),""),F1213))</f>
        <v/>
      </c>
      <c r="L1213" s="55" t="str">
        <f>IF(ISNUMBER(K1213),N(IFERROR(INDEX(eq_pause,MATCH(B1213,eq_code,0)),0))+SUMIFS(st_min,st_date,A1213,st_eq,B1213,st_po,C1213,st_type,"Planifié"),"")</f>
        <v/>
      </c>
      <c r="M1213" s="55" t="str">
        <f>IF(ISNUMBER(K1213),K1213-L1213,"")</f>
        <v/>
      </c>
      <c r="N1213" s="55" t="str">
        <f>IF(ISNUMBER(K1213),SUMIFS(st_min,st_date,A1213,st_eq,B1213,st_po,C1213,st_type,"Non planifié"),"")</f>
        <v/>
      </c>
      <c r="O1213" s="55" t="str">
        <f>IF(ISNUMBER(K1213),M1213-N1213,"")</f>
        <v/>
      </c>
      <c r="P1213" s="55" t="str">
        <f>IF(COUNTA(A1213:I1213)=0,"",N(G1213)+N(H1213)+N(I1213))</f>
        <v/>
      </c>
      <c r="Q1213" s="56" t="str">
        <f>IF(COUNTA(A1213:I1213)=0,"",IF(N(IFERROR(INDEX(art_rate,MATCH(E1213,art_ref,0)),0))&gt;0,N(IFERROR(INDEX(art_rate,MATCH(E1213,art_ref,0)),0)),N(IFERROR(INDEX(po_rate,MATCH(C1213,po_code,0)),0))))</f>
        <v/>
      </c>
      <c r="R1213" s="55" t="str">
        <f>IF(AC1213=1,P1213*60/Q1213,"")</f>
        <v/>
      </c>
      <c r="S1213" s="55" t="str">
        <f>IF(AC1213=1,N(G1213)*60/Q1213,"")</f>
        <v/>
      </c>
      <c r="T1213" s="57" t="str">
        <f>IF(AC1213=1,O1213/M1213,"")</f>
        <v/>
      </c>
      <c r="U1213" s="57" t="str">
        <f>IF(AC1213=1,IF(O1213&gt;0,R1213/O1213,""),"")</f>
        <v/>
      </c>
      <c r="V1213" s="57" t="str">
        <f>IF(AC1213=1,IF(P1213&gt;0,N(G1213)/P1213,""),"")</f>
        <v/>
      </c>
      <c r="W1213" s="57" t="str">
        <f>IF(AC1213=1,S1213/M1213,"")</f>
        <v/>
      </c>
      <c r="X1213" s="57" t="str">
        <f>IF(AC1213=1,S1213/K1213,"")</f>
        <v/>
      </c>
      <c r="Y1213" s="58" t="str">
        <f>IF(W1213="","",IF(W1213&gt;=p_target,"Bon",IF(W1213&gt;=p_alert,"À surveiller","Faible")))</f>
        <v/>
      </c>
      <c r="Z1213" s="58" t="str">
        <f>IF(W1213="","",IF(MIN(IF(T1213="",1,T1213),IF(U1213="",1,U1213),IF(V1213="",1,V1213))&gt;=1,"Aucune",IF(IF(T1213="",1,T1213)&lt;=MIN(IF(U1213="",1,U1213),IF(V1213="",1,V1213)),"Disponibilité",IF(IF(U1213="",1,U1213)&lt;=IF(V1213="",1,V1213),"Performance","Qualité"))))</f>
        <v/>
      </c>
      <c r="AA1213" s="59" t="str">
        <f>IF(AC1213=1,N(H1213)*N(IFERROR(INDEX(art_cost,MATCH(E1213,art_ref,0)),0)),"")</f>
        <v/>
      </c>
      <c r="AB1213" s="58" t="str">
        <f>IF(COUNTA(A1213:I1213)=0,"",IF(N(A1213)&lt;=0,"Date manquante ou invalide",IF(B1213="","Équipe manquante",IF(ISNA(MATCH(B1213,eq_code,0)),"Équipe inconnue",IF(INDEX(eq_check,MATCH(B1213,eq_code,0))&lt;&gt;"OK","Équipe à corriger dans Paramètres",IF(C1213="","Poste manquant",IF(ISNA(MATCH(C1213,po_code,0)),"Poste inconnu",IF(AND(E1213&lt;&gt;"",ISNA(MATCH(E1213,art_ref,0))),"Article inconnu",IF(IF(E1213="",FALSE,INDEX(art_check,MATCH(E1213,art_ref,0))&lt;&gt;"OK"),"Article à corriger (feuille Articles)",IF(COUNTIFS(sj_date,A1213,sj_eq,B1213,sj_po,C1213)&gt;1,"Ligne en double (même jour, équipe et poste)",IF(OR(NOT(ISNUMBER(K1213)),N(K1213)&lt;=0,N(K1213)&gt;1440),"Temps d'ouverture invalide",IF(OR(AND(G1213&lt;&gt;"",NOT(ISNUMBER(G1213))),N(G1213)&lt;0,N(G1213)&lt;&gt;INT(N(G1213)),AND(H1213&lt;&gt;"",NOT(ISNUMBER(H1213))),N(H1213)&lt;0,N(H1213)&lt;&gt;INT(N(H1213)),AND(I1213&lt;&gt;"",NOT(ISNUMBER(I1213))),N(I1213)&lt;0,N(I1213)&lt;&gt;INT(N(I1213))),"Quantité invalide",IF(Q1213&lt;=0,"Cadence manquante (poste ou article)",IF(M1213&lt;=0,"Arrêts planifiés supérieurs au temps d'ouverture",IF(O1213&lt;0,"Arrêts supérieurs au temps requis",IF(AND(P1213&gt;0,O1213=0),"Pièces déclarées sans temps de marche",IF(AND(P1213=0,O1213&gt;0),"Aucune pièce déclarée",IF(P1213*60/Q1213&gt;O1213+0.001,"Cadence dépassée : vérifiez la cadence","OK"))))))))))))))))))</f>
        <v/>
      </c>
      <c r="AC1213">
        <f>IF(OR(AB1213="OK",AB1213="Aucune pièce déclarée",AB1213="Cadence dépassée : vérifiez la cadence"),1,0)</f>
        <v>0.0</v>
      </c>
      <c r="AD1213">
        <f>IF(AND(AC1213=1,A1213&gt;=p_from,A1213&lt;=p_to),1,0)</f>
        <v>0.0</v>
      </c>
      <c r="AE1213">
        <f>IF(AD1213=1,IF(COUNTIFS($A$6:A1213,A1213,$AD$6:AD1213,1)=1,1,0),0)</f>
        <v>0.0</v>
      </c>
      <c r="AF1213" t="str">
        <f>IF(AE1213=1,COUNTIFS(sj_first,1,sj_date,"&lt;"&amp;A1213)+1,"")</f>
        <v/>
      </c>
      <c r="AG1213" t="str">
        <f>IF(AND(AD1213=1,N(W1213)&lt;p_alert),ROUND(W1213,4),"")</f>
        <v/>
      </c>
      <c r="AH1213" t="str">
        <f>IF(AG1213="","",COUNTIF(sj_akey,"&lt;"&amp;AG1213)+COUNTIF($AG$6:AG1213,AG1213))</f>
        <v/>
      </c>
    </row>
    <row r="1214">
      <c r="A1214" s="51" t="n"/>
      <c r="B1214" s="52" t="n"/>
      <c r="C1214" s="52" t="n"/>
      <c r="D1214" s="53" t="n"/>
      <c r="E1214" s="53" t="n"/>
      <c r="F1214" s="54" t="n"/>
      <c r="G1214" s="54" t="n"/>
      <c r="H1214" s="54" t="n"/>
      <c r="I1214" s="54" t="n"/>
      <c r="J1214" s="53" t="n"/>
      <c r="K1214" s="55" t="str">
        <f>IF(COUNTA(A1214:I1214)=0,"",IF(F1214="",IFERROR(INDEX(eq_dur,MATCH(B1214,eq_code,0)),""),F1214))</f>
        <v/>
      </c>
      <c r="L1214" s="55" t="str">
        <f>IF(ISNUMBER(K1214),N(IFERROR(INDEX(eq_pause,MATCH(B1214,eq_code,0)),0))+SUMIFS(st_min,st_date,A1214,st_eq,B1214,st_po,C1214,st_type,"Planifié"),"")</f>
        <v/>
      </c>
      <c r="M1214" s="55" t="str">
        <f>IF(ISNUMBER(K1214),K1214-L1214,"")</f>
        <v/>
      </c>
      <c r="N1214" s="55" t="str">
        <f>IF(ISNUMBER(K1214),SUMIFS(st_min,st_date,A1214,st_eq,B1214,st_po,C1214,st_type,"Non planifié"),"")</f>
        <v/>
      </c>
      <c r="O1214" s="55" t="str">
        <f>IF(ISNUMBER(K1214),M1214-N1214,"")</f>
        <v/>
      </c>
      <c r="P1214" s="55" t="str">
        <f>IF(COUNTA(A1214:I1214)=0,"",N(G1214)+N(H1214)+N(I1214))</f>
        <v/>
      </c>
      <c r="Q1214" s="56" t="str">
        <f>IF(COUNTA(A1214:I1214)=0,"",IF(N(IFERROR(INDEX(art_rate,MATCH(E1214,art_ref,0)),0))&gt;0,N(IFERROR(INDEX(art_rate,MATCH(E1214,art_ref,0)),0)),N(IFERROR(INDEX(po_rate,MATCH(C1214,po_code,0)),0))))</f>
        <v/>
      </c>
      <c r="R1214" s="55" t="str">
        <f>IF(AC1214=1,P1214*60/Q1214,"")</f>
        <v/>
      </c>
      <c r="S1214" s="55" t="str">
        <f>IF(AC1214=1,N(G1214)*60/Q1214,"")</f>
        <v/>
      </c>
      <c r="T1214" s="57" t="str">
        <f>IF(AC1214=1,O1214/M1214,"")</f>
        <v/>
      </c>
      <c r="U1214" s="57" t="str">
        <f>IF(AC1214=1,IF(O1214&gt;0,R1214/O1214,""),"")</f>
        <v/>
      </c>
      <c r="V1214" s="57" t="str">
        <f>IF(AC1214=1,IF(P1214&gt;0,N(G1214)/P1214,""),"")</f>
        <v/>
      </c>
      <c r="W1214" s="57" t="str">
        <f>IF(AC1214=1,S1214/M1214,"")</f>
        <v/>
      </c>
      <c r="X1214" s="57" t="str">
        <f>IF(AC1214=1,S1214/K1214,"")</f>
        <v/>
      </c>
      <c r="Y1214" s="58" t="str">
        <f>IF(W1214="","",IF(W1214&gt;=p_target,"Bon",IF(W1214&gt;=p_alert,"À surveiller","Faible")))</f>
        <v/>
      </c>
      <c r="Z1214" s="58" t="str">
        <f>IF(W1214="","",IF(MIN(IF(T1214="",1,T1214),IF(U1214="",1,U1214),IF(V1214="",1,V1214))&gt;=1,"Aucune",IF(IF(T1214="",1,T1214)&lt;=MIN(IF(U1214="",1,U1214),IF(V1214="",1,V1214)),"Disponibilité",IF(IF(U1214="",1,U1214)&lt;=IF(V1214="",1,V1214),"Performance","Qualité"))))</f>
        <v/>
      </c>
      <c r="AA1214" s="59" t="str">
        <f>IF(AC1214=1,N(H1214)*N(IFERROR(INDEX(art_cost,MATCH(E1214,art_ref,0)),0)),"")</f>
        <v/>
      </c>
      <c r="AB1214" s="58" t="str">
        <f>IF(COUNTA(A1214:I1214)=0,"",IF(N(A1214)&lt;=0,"Date manquante ou invalide",IF(B1214="","Équipe manquante",IF(ISNA(MATCH(B1214,eq_code,0)),"Équipe inconnue",IF(INDEX(eq_check,MATCH(B1214,eq_code,0))&lt;&gt;"OK","Équipe à corriger dans Paramètres",IF(C1214="","Poste manquant",IF(ISNA(MATCH(C1214,po_code,0)),"Poste inconnu",IF(AND(E1214&lt;&gt;"",ISNA(MATCH(E1214,art_ref,0))),"Article inconnu",IF(IF(E1214="",FALSE,INDEX(art_check,MATCH(E1214,art_ref,0))&lt;&gt;"OK"),"Article à corriger (feuille Articles)",IF(COUNTIFS(sj_date,A1214,sj_eq,B1214,sj_po,C1214)&gt;1,"Ligne en double (même jour, équipe et poste)",IF(OR(NOT(ISNUMBER(K1214)),N(K1214)&lt;=0,N(K1214)&gt;1440),"Temps d'ouverture invalide",IF(OR(AND(G1214&lt;&gt;"",NOT(ISNUMBER(G1214))),N(G1214)&lt;0,N(G1214)&lt;&gt;INT(N(G1214)),AND(H1214&lt;&gt;"",NOT(ISNUMBER(H1214))),N(H1214)&lt;0,N(H1214)&lt;&gt;INT(N(H1214)),AND(I1214&lt;&gt;"",NOT(ISNUMBER(I1214))),N(I1214)&lt;0,N(I1214)&lt;&gt;INT(N(I1214))),"Quantité invalide",IF(Q1214&lt;=0,"Cadence manquante (poste ou article)",IF(M1214&lt;=0,"Arrêts planifiés supérieurs au temps d'ouverture",IF(O1214&lt;0,"Arrêts supérieurs au temps requis",IF(AND(P1214&gt;0,O1214=0),"Pièces déclarées sans temps de marche",IF(AND(P1214=0,O1214&gt;0),"Aucune pièce déclarée",IF(P1214*60/Q1214&gt;O1214+0.001,"Cadence dépassée : vérifiez la cadence","OK"))))))))))))))))))</f>
        <v/>
      </c>
      <c r="AC1214">
        <f>IF(OR(AB1214="OK",AB1214="Aucune pièce déclarée",AB1214="Cadence dépassée : vérifiez la cadence"),1,0)</f>
        <v>0.0</v>
      </c>
      <c r="AD1214">
        <f>IF(AND(AC1214=1,A1214&gt;=p_from,A1214&lt;=p_to),1,0)</f>
        <v>0.0</v>
      </c>
      <c r="AE1214">
        <f>IF(AD1214=1,IF(COUNTIFS($A$6:A1214,A1214,$AD$6:AD1214,1)=1,1,0),0)</f>
        <v>0.0</v>
      </c>
      <c r="AF1214" t="str">
        <f>IF(AE1214=1,COUNTIFS(sj_first,1,sj_date,"&lt;"&amp;A1214)+1,"")</f>
        <v/>
      </c>
      <c r="AG1214" t="str">
        <f>IF(AND(AD1214=1,N(W1214)&lt;p_alert),ROUND(W1214,4),"")</f>
        <v/>
      </c>
      <c r="AH1214" t="str">
        <f>IF(AG1214="","",COUNTIF(sj_akey,"&lt;"&amp;AG1214)+COUNTIF($AG$6:AG1214,AG1214))</f>
        <v/>
      </c>
    </row>
    <row r="1215">
      <c r="A1215" s="51" t="n"/>
      <c r="B1215" s="52" t="n"/>
      <c r="C1215" s="52" t="n"/>
      <c r="D1215" s="53" t="n"/>
      <c r="E1215" s="53" t="n"/>
      <c r="F1215" s="54" t="n"/>
      <c r="G1215" s="54" t="n"/>
      <c r="H1215" s="54" t="n"/>
      <c r="I1215" s="54" t="n"/>
      <c r="J1215" s="53" t="n"/>
      <c r="K1215" s="55" t="str">
        <f>IF(COUNTA(A1215:I1215)=0,"",IF(F1215="",IFERROR(INDEX(eq_dur,MATCH(B1215,eq_code,0)),""),F1215))</f>
        <v/>
      </c>
      <c r="L1215" s="55" t="str">
        <f>IF(ISNUMBER(K1215),N(IFERROR(INDEX(eq_pause,MATCH(B1215,eq_code,0)),0))+SUMIFS(st_min,st_date,A1215,st_eq,B1215,st_po,C1215,st_type,"Planifié"),"")</f>
        <v/>
      </c>
      <c r="M1215" s="55" t="str">
        <f>IF(ISNUMBER(K1215),K1215-L1215,"")</f>
        <v/>
      </c>
      <c r="N1215" s="55" t="str">
        <f>IF(ISNUMBER(K1215),SUMIFS(st_min,st_date,A1215,st_eq,B1215,st_po,C1215,st_type,"Non planifié"),"")</f>
        <v/>
      </c>
      <c r="O1215" s="55" t="str">
        <f>IF(ISNUMBER(K1215),M1215-N1215,"")</f>
        <v/>
      </c>
      <c r="P1215" s="55" t="str">
        <f>IF(COUNTA(A1215:I1215)=0,"",N(G1215)+N(H1215)+N(I1215))</f>
        <v/>
      </c>
      <c r="Q1215" s="56" t="str">
        <f>IF(COUNTA(A1215:I1215)=0,"",IF(N(IFERROR(INDEX(art_rate,MATCH(E1215,art_ref,0)),0))&gt;0,N(IFERROR(INDEX(art_rate,MATCH(E1215,art_ref,0)),0)),N(IFERROR(INDEX(po_rate,MATCH(C1215,po_code,0)),0))))</f>
        <v/>
      </c>
      <c r="R1215" s="55" t="str">
        <f>IF(AC1215=1,P1215*60/Q1215,"")</f>
        <v/>
      </c>
      <c r="S1215" s="55" t="str">
        <f>IF(AC1215=1,N(G1215)*60/Q1215,"")</f>
        <v/>
      </c>
      <c r="T1215" s="57" t="str">
        <f>IF(AC1215=1,O1215/M1215,"")</f>
        <v/>
      </c>
      <c r="U1215" s="57" t="str">
        <f>IF(AC1215=1,IF(O1215&gt;0,R1215/O1215,""),"")</f>
        <v/>
      </c>
      <c r="V1215" s="57" t="str">
        <f>IF(AC1215=1,IF(P1215&gt;0,N(G1215)/P1215,""),"")</f>
        <v/>
      </c>
      <c r="W1215" s="57" t="str">
        <f>IF(AC1215=1,S1215/M1215,"")</f>
        <v/>
      </c>
      <c r="X1215" s="57" t="str">
        <f>IF(AC1215=1,S1215/K1215,"")</f>
        <v/>
      </c>
      <c r="Y1215" s="58" t="str">
        <f>IF(W1215="","",IF(W1215&gt;=p_target,"Bon",IF(W1215&gt;=p_alert,"À surveiller","Faible")))</f>
        <v/>
      </c>
      <c r="Z1215" s="58" t="str">
        <f>IF(W1215="","",IF(MIN(IF(T1215="",1,T1215),IF(U1215="",1,U1215),IF(V1215="",1,V1215))&gt;=1,"Aucune",IF(IF(T1215="",1,T1215)&lt;=MIN(IF(U1215="",1,U1215),IF(V1215="",1,V1215)),"Disponibilité",IF(IF(U1215="",1,U1215)&lt;=IF(V1215="",1,V1215),"Performance","Qualité"))))</f>
        <v/>
      </c>
      <c r="AA1215" s="59" t="str">
        <f>IF(AC1215=1,N(H1215)*N(IFERROR(INDEX(art_cost,MATCH(E1215,art_ref,0)),0)),"")</f>
        <v/>
      </c>
      <c r="AB1215" s="58" t="str">
        <f>IF(COUNTA(A1215:I1215)=0,"",IF(N(A1215)&lt;=0,"Date manquante ou invalide",IF(B1215="","Équipe manquante",IF(ISNA(MATCH(B1215,eq_code,0)),"Équipe inconnue",IF(INDEX(eq_check,MATCH(B1215,eq_code,0))&lt;&gt;"OK","Équipe à corriger dans Paramètres",IF(C1215="","Poste manquant",IF(ISNA(MATCH(C1215,po_code,0)),"Poste inconnu",IF(AND(E1215&lt;&gt;"",ISNA(MATCH(E1215,art_ref,0))),"Article inconnu",IF(IF(E1215="",FALSE,INDEX(art_check,MATCH(E1215,art_ref,0))&lt;&gt;"OK"),"Article à corriger (feuille Articles)",IF(COUNTIFS(sj_date,A1215,sj_eq,B1215,sj_po,C1215)&gt;1,"Ligne en double (même jour, équipe et poste)",IF(OR(NOT(ISNUMBER(K1215)),N(K1215)&lt;=0,N(K1215)&gt;1440),"Temps d'ouverture invalide",IF(OR(AND(G1215&lt;&gt;"",NOT(ISNUMBER(G1215))),N(G1215)&lt;0,N(G1215)&lt;&gt;INT(N(G1215)),AND(H1215&lt;&gt;"",NOT(ISNUMBER(H1215))),N(H1215)&lt;0,N(H1215)&lt;&gt;INT(N(H1215)),AND(I1215&lt;&gt;"",NOT(ISNUMBER(I1215))),N(I1215)&lt;0,N(I1215)&lt;&gt;INT(N(I1215))),"Quantité invalide",IF(Q1215&lt;=0,"Cadence manquante (poste ou article)",IF(M1215&lt;=0,"Arrêts planifiés supérieurs au temps d'ouverture",IF(O1215&lt;0,"Arrêts supérieurs au temps requis",IF(AND(P1215&gt;0,O1215=0),"Pièces déclarées sans temps de marche",IF(AND(P1215=0,O1215&gt;0),"Aucune pièce déclarée",IF(P1215*60/Q1215&gt;O1215+0.001,"Cadence dépassée : vérifiez la cadence","OK"))))))))))))))))))</f>
        <v/>
      </c>
      <c r="AC1215">
        <f>IF(OR(AB1215="OK",AB1215="Aucune pièce déclarée",AB1215="Cadence dépassée : vérifiez la cadence"),1,0)</f>
        <v>0.0</v>
      </c>
      <c r="AD1215">
        <f>IF(AND(AC1215=1,A1215&gt;=p_from,A1215&lt;=p_to),1,0)</f>
        <v>0.0</v>
      </c>
      <c r="AE1215">
        <f>IF(AD1215=1,IF(COUNTIFS($A$6:A1215,A1215,$AD$6:AD1215,1)=1,1,0),0)</f>
        <v>0.0</v>
      </c>
      <c r="AF1215" t="str">
        <f>IF(AE1215=1,COUNTIFS(sj_first,1,sj_date,"&lt;"&amp;A1215)+1,"")</f>
        <v/>
      </c>
      <c r="AG1215" t="str">
        <f>IF(AND(AD1215=1,N(W1215)&lt;p_alert),ROUND(W1215,4),"")</f>
        <v/>
      </c>
      <c r="AH1215" t="str">
        <f>IF(AG1215="","",COUNTIF(sj_akey,"&lt;"&amp;AG1215)+COUNTIF($AG$6:AG1215,AG1215))</f>
        <v/>
      </c>
    </row>
    <row r="1216">
      <c r="A1216" s="51" t="n"/>
      <c r="B1216" s="52" t="n"/>
      <c r="C1216" s="52" t="n"/>
      <c r="D1216" s="53" t="n"/>
      <c r="E1216" s="53" t="n"/>
      <c r="F1216" s="54" t="n"/>
      <c r="G1216" s="54" t="n"/>
      <c r="H1216" s="54" t="n"/>
      <c r="I1216" s="54" t="n"/>
      <c r="J1216" s="53" t="n"/>
      <c r="K1216" s="55" t="str">
        <f>IF(COUNTA(A1216:I1216)=0,"",IF(F1216="",IFERROR(INDEX(eq_dur,MATCH(B1216,eq_code,0)),""),F1216))</f>
        <v/>
      </c>
      <c r="L1216" s="55" t="str">
        <f>IF(ISNUMBER(K1216),N(IFERROR(INDEX(eq_pause,MATCH(B1216,eq_code,0)),0))+SUMIFS(st_min,st_date,A1216,st_eq,B1216,st_po,C1216,st_type,"Planifié"),"")</f>
        <v/>
      </c>
      <c r="M1216" s="55" t="str">
        <f>IF(ISNUMBER(K1216),K1216-L1216,"")</f>
        <v/>
      </c>
      <c r="N1216" s="55" t="str">
        <f>IF(ISNUMBER(K1216),SUMIFS(st_min,st_date,A1216,st_eq,B1216,st_po,C1216,st_type,"Non planifié"),"")</f>
        <v/>
      </c>
      <c r="O1216" s="55" t="str">
        <f>IF(ISNUMBER(K1216),M1216-N1216,"")</f>
        <v/>
      </c>
      <c r="P1216" s="55" t="str">
        <f>IF(COUNTA(A1216:I1216)=0,"",N(G1216)+N(H1216)+N(I1216))</f>
        <v/>
      </c>
      <c r="Q1216" s="56" t="str">
        <f>IF(COUNTA(A1216:I1216)=0,"",IF(N(IFERROR(INDEX(art_rate,MATCH(E1216,art_ref,0)),0))&gt;0,N(IFERROR(INDEX(art_rate,MATCH(E1216,art_ref,0)),0)),N(IFERROR(INDEX(po_rate,MATCH(C1216,po_code,0)),0))))</f>
        <v/>
      </c>
      <c r="R1216" s="55" t="str">
        <f>IF(AC1216=1,P1216*60/Q1216,"")</f>
        <v/>
      </c>
      <c r="S1216" s="55" t="str">
        <f>IF(AC1216=1,N(G1216)*60/Q1216,"")</f>
        <v/>
      </c>
      <c r="T1216" s="57" t="str">
        <f>IF(AC1216=1,O1216/M1216,"")</f>
        <v/>
      </c>
      <c r="U1216" s="57" t="str">
        <f>IF(AC1216=1,IF(O1216&gt;0,R1216/O1216,""),"")</f>
        <v/>
      </c>
      <c r="V1216" s="57" t="str">
        <f>IF(AC1216=1,IF(P1216&gt;0,N(G1216)/P1216,""),"")</f>
        <v/>
      </c>
      <c r="W1216" s="57" t="str">
        <f>IF(AC1216=1,S1216/M1216,"")</f>
        <v/>
      </c>
      <c r="X1216" s="57" t="str">
        <f>IF(AC1216=1,S1216/K1216,"")</f>
        <v/>
      </c>
      <c r="Y1216" s="58" t="str">
        <f>IF(W1216="","",IF(W1216&gt;=p_target,"Bon",IF(W1216&gt;=p_alert,"À surveiller","Faible")))</f>
        <v/>
      </c>
      <c r="Z1216" s="58" t="str">
        <f>IF(W1216="","",IF(MIN(IF(T1216="",1,T1216),IF(U1216="",1,U1216),IF(V1216="",1,V1216))&gt;=1,"Aucune",IF(IF(T1216="",1,T1216)&lt;=MIN(IF(U1216="",1,U1216),IF(V1216="",1,V1216)),"Disponibilité",IF(IF(U1216="",1,U1216)&lt;=IF(V1216="",1,V1216),"Performance","Qualité"))))</f>
        <v/>
      </c>
      <c r="AA1216" s="59" t="str">
        <f>IF(AC1216=1,N(H1216)*N(IFERROR(INDEX(art_cost,MATCH(E1216,art_ref,0)),0)),"")</f>
        <v/>
      </c>
      <c r="AB1216" s="58" t="str">
        <f>IF(COUNTA(A1216:I1216)=0,"",IF(N(A1216)&lt;=0,"Date manquante ou invalide",IF(B1216="","Équipe manquante",IF(ISNA(MATCH(B1216,eq_code,0)),"Équipe inconnue",IF(INDEX(eq_check,MATCH(B1216,eq_code,0))&lt;&gt;"OK","Équipe à corriger dans Paramètres",IF(C1216="","Poste manquant",IF(ISNA(MATCH(C1216,po_code,0)),"Poste inconnu",IF(AND(E1216&lt;&gt;"",ISNA(MATCH(E1216,art_ref,0))),"Article inconnu",IF(IF(E1216="",FALSE,INDEX(art_check,MATCH(E1216,art_ref,0))&lt;&gt;"OK"),"Article à corriger (feuille Articles)",IF(COUNTIFS(sj_date,A1216,sj_eq,B1216,sj_po,C1216)&gt;1,"Ligne en double (même jour, équipe et poste)",IF(OR(NOT(ISNUMBER(K1216)),N(K1216)&lt;=0,N(K1216)&gt;1440),"Temps d'ouverture invalide",IF(OR(AND(G1216&lt;&gt;"",NOT(ISNUMBER(G1216))),N(G1216)&lt;0,N(G1216)&lt;&gt;INT(N(G1216)),AND(H1216&lt;&gt;"",NOT(ISNUMBER(H1216))),N(H1216)&lt;0,N(H1216)&lt;&gt;INT(N(H1216)),AND(I1216&lt;&gt;"",NOT(ISNUMBER(I1216))),N(I1216)&lt;0,N(I1216)&lt;&gt;INT(N(I1216))),"Quantité invalide",IF(Q1216&lt;=0,"Cadence manquante (poste ou article)",IF(M1216&lt;=0,"Arrêts planifiés supérieurs au temps d'ouverture",IF(O1216&lt;0,"Arrêts supérieurs au temps requis",IF(AND(P1216&gt;0,O1216=0),"Pièces déclarées sans temps de marche",IF(AND(P1216=0,O1216&gt;0),"Aucune pièce déclarée",IF(P1216*60/Q1216&gt;O1216+0.001,"Cadence dépassée : vérifiez la cadence","OK"))))))))))))))))))</f>
        <v/>
      </c>
      <c r="AC1216">
        <f>IF(OR(AB1216="OK",AB1216="Aucune pièce déclarée",AB1216="Cadence dépassée : vérifiez la cadence"),1,0)</f>
        <v>0.0</v>
      </c>
      <c r="AD1216">
        <f>IF(AND(AC1216=1,A1216&gt;=p_from,A1216&lt;=p_to),1,0)</f>
        <v>0.0</v>
      </c>
      <c r="AE1216">
        <f>IF(AD1216=1,IF(COUNTIFS($A$6:A1216,A1216,$AD$6:AD1216,1)=1,1,0),0)</f>
        <v>0.0</v>
      </c>
      <c r="AF1216" t="str">
        <f>IF(AE1216=1,COUNTIFS(sj_first,1,sj_date,"&lt;"&amp;A1216)+1,"")</f>
        <v/>
      </c>
      <c r="AG1216" t="str">
        <f>IF(AND(AD1216=1,N(W1216)&lt;p_alert),ROUND(W1216,4),"")</f>
        <v/>
      </c>
      <c r="AH1216" t="str">
        <f>IF(AG1216="","",COUNTIF(sj_akey,"&lt;"&amp;AG1216)+COUNTIF($AG$6:AG1216,AG1216))</f>
        <v/>
      </c>
    </row>
    <row r="1217">
      <c r="A1217" s="51" t="n"/>
      <c r="B1217" s="52" t="n"/>
      <c r="C1217" s="52" t="n"/>
      <c r="D1217" s="53" t="n"/>
      <c r="E1217" s="53" t="n"/>
      <c r="F1217" s="54" t="n"/>
      <c r="G1217" s="54" t="n"/>
      <c r="H1217" s="54" t="n"/>
      <c r="I1217" s="54" t="n"/>
      <c r="J1217" s="53" t="n"/>
      <c r="K1217" s="55" t="str">
        <f>IF(COUNTA(A1217:I1217)=0,"",IF(F1217="",IFERROR(INDEX(eq_dur,MATCH(B1217,eq_code,0)),""),F1217))</f>
        <v/>
      </c>
      <c r="L1217" s="55" t="str">
        <f>IF(ISNUMBER(K1217),N(IFERROR(INDEX(eq_pause,MATCH(B1217,eq_code,0)),0))+SUMIFS(st_min,st_date,A1217,st_eq,B1217,st_po,C1217,st_type,"Planifié"),"")</f>
        <v/>
      </c>
      <c r="M1217" s="55" t="str">
        <f>IF(ISNUMBER(K1217),K1217-L1217,"")</f>
        <v/>
      </c>
      <c r="N1217" s="55" t="str">
        <f>IF(ISNUMBER(K1217),SUMIFS(st_min,st_date,A1217,st_eq,B1217,st_po,C1217,st_type,"Non planifié"),"")</f>
        <v/>
      </c>
      <c r="O1217" s="55" t="str">
        <f>IF(ISNUMBER(K1217),M1217-N1217,"")</f>
        <v/>
      </c>
      <c r="P1217" s="55" t="str">
        <f>IF(COUNTA(A1217:I1217)=0,"",N(G1217)+N(H1217)+N(I1217))</f>
        <v/>
      </c>
      <c r="Q1217" s="56" t="str">
        <f>IF(COUNTA(A1217:I1217)=0,"",IF(N(IFERROR(INDEX(art_rate,MATCH(E1217,art_ref,0)),0))&gt;0,N(IFERROR(INDEX(art_rate,MATCH(E1217,art_ref,0)),0)),N(IFERROR(INDEX(po_rate,MATCH(C1217,po_code,0)),0))))</f>
        <v/>
      </c>
      <c r="R1217" s="55" t="str">
        <f>IF(AC1217=1,P1217*60/Q1217,"")</f>
        <v/>
      </c>
      <c r="S1217" s="55" t="str">
        <f>IF(AC1217=1,N(G1217)*60/Q1217,"")</f>
        <v/>
      </c>
      <c r="T1217" s="57" t="str">
        <f>IF(AC1217=1,O1217/M1217,"")</f>
        <v/>
      </c>
      <c r="U1217" s="57" t="str">
        <f>IF(AC1217=1,IF(O1217&gt;0,R1217/O1217,""),"")</f>
        <v/>
      </c>
      <c r="V1217" s="57" t="str">
        <f>IF(AC1217=1,IF(P1217&gt;0,N(G1217)/P1217,""),"")</f>
        <v/>
      </c>
      <c r="W1217" s="57" t="str">
        <f>IF(AC1217=1,S1217/M1217,"")</f>
        <v/>
      </c>
      <c r="X1217" s="57" t="str">
        <f>IF(AC1217=1,S1217/K1217,"")</f>
        <v/>
      </c>
      <c r="Y1217" s="58" t="str">
        <f>IF(W1217="","",IF(W1217&gt;=p_target,"Bon",IF(W1217&gt;=p_alert,"À surveiller","Faible")))</f>
        <v/>
      </c>
      <c r="Z1217" s="58" t="str">
        <f>IF(W1217="","",IF(MIN(IF(T1217="",1,T1217),IF(U1217="",1,U1217),IF(V1217="",1,V1217))&gt;=1,"Aucune",IF(IF(T1217="",1,T1217)&lt;=MIN(IF(U1217="",1,U1217),IF(V1217="",1,V1217)),"Disponibilité",IF(IF(U1217="",1,U1217)&lt;=IF(V1217="",1,V1217),"Performance","Qualité"))))</f>
        <v/>
      </c>
      <c r="AA1217" s="59" t="str">
        <f>IF(AC1217=1,N(H1217)*N(IFERROR(INDEX(art_cost,MATCH(E1217,art_ref,0)),0)),"")</f>
        <v/>
      </c>
      <c r="AB1217" s="58" t="str">
        <f>IF(COUNTA(A1217:I1217)=0,"",IF(N(A1217)&lt;=0,"Date manquante ou invalide",IF(B1217="","Équipe manquante",IF(ISNA(MATCH(B1217,eq_code,0)),"Équipe inconnue",IF(INDEX(eq_check,MATCH(B1217,eq_code,0))&lt;&gt;"OK","Équipe à corriger dans Paramètres",IF(C1217="","Poste manquant",IF(ISNA(MATCH(C1217,po_code,0)),"Poste inconnu",IF(AND(E1217&lt;&gt;"",ISNA(MATCH(E1217,art_ref,0))),"Article inconnu",IF(IF(E1217="",FALSE,INDEX(art_check,MATCH(E1217,art_ref,0))&lt;&gt;"OK"),"Article à corriger (feuille Articles)",IF(COUNTIFS(sj_date,A1217,sj_eq,B1217,sj_po,C1217)&gt;1,"Ligne en double (même jour, équipe et poste)",IF(OR(NOT(ISNUMBER(K1217)),N(K1217)&lt;=0,N(K1217)&gt;1440),"Temps d'ouverture invalide",IF(OR(AND(G1217&lt;&gt;"",NOT(ISNUMBER(G1217))),N(G1217)&lt;0,N(G1217)&lt;&gt;INT(N(G1217)),AND(H1217&lt;&gt;"",NOT(ISNUMBER(H1217))),N(H1217)&lt;0,N(H1217)&lt;&gt;INT(N(H1217)),AND(I1217&lt;&gt;"",NOT(ISNUMBER(I1217))),N(I1217)&lt;0,N(I1217)&lt;&gt;INT(N(I1217))),"Quantité invalide",IF(Q1217&lt;=0,"Cadence manquante (poste ou article)",IF(M1217&lt;=0,"Arrêts planifiés supérieurs au temps d'ouverture",IF(O1217&lt;0,"Arrêts supérieurs au temps requis",IF(AND(P1217&gt;0,O1217=0),"Pièces déclarées sans temps de marche",IF(AND(P1217=0,O1217&gt;0),"Aucune pièce déclarée",IF(P1217*60/Q1217&gt;O1217+0.001,"Cadence dépassée : vérifiez la cadence","OK"))))))))))))))))))</f>
        <v/>
      </c>
      <c r="AC1217">
        <f>IF(OR(AB1217="OK",AB1217="Aucune pièce déclarée",AB1217="Cadence dépassée : vérifiez la cadence"),1,0)</f>
        <v>0.0</v>
      </c>
      <c r="AD1217">
        <f>IF(AND(AC1217=1,A1217&gt;=p_from,A1217&lt;=p_to),1,0)</f>
        <v>0.0</v>
      </c>
      <c r="AE1217">
        <f>IF(AD1217=1,IF(COUNTIFS($A$6:A1217,A1217,$AD$6:AD1217,1)=1,1,0),0)</f>
        <v>0.0</v>
      </c>
      <c r="AF1217" t="str">
        <f>IF(AE1217=1,COUNTIFS(sj_first,1,sj_date,"&lt;"&amp;A1217)+1,"")</f>
        <v/>
      </c>
      <c r="AG1217" t="str">
        <f>IF(AND(AD1217=1,N(W1217)&lt;p_alert),ROUND(W1217,4),"")</f>
        <v/>
      </c>
      <c r="AH1217" t="str">
        <f>IF(AG1217="","",COUNTIF(sj_akey,"&lt;"&amp;AG1217)+COUNTIF($AG$6:AG1217,AG1217))</f>
        <v/>
      </c>
    </row>
    <row r="1218">
      <c r="A1218" s="51" t="n"/>
      <c r="B1218" s="52" t="n"/>
      <c r="C1218" s="52" t="n"/>
      <c r="D1218" s="53" t="n"/>
      <c r="E1218" s="53" t="n"/>
      <c r="F1218" s="54" t="n"/>
      <c r="G1218" s="54" t="n"/>
      <c r="H1218" s="54" t="n"/>
      <c r="I1218" s="54" t="n"/>
      <c r="J1218" s="53" t="n"/>
      <c r="K1218" s="55" t="str">
        <f>IF(COUNTA(A1218:I1218)=0,"",IF(F1218="",IFERROR(INDEX(eq_dur,MATCH(B1218,eq_code,0)),""),F1218))</f>
        <v/>
      </c>
      <c r="L1218" s="55" t="str">
        <f>IF(ISNUMBER(K1218),N(IFERROR(INDEX(eq_pause,MATCH(B1218,eq_code,0)),0))+SUMIFS(st_min,st_date,A1218,st_eq,B1218,st_po,C1218,st_type,"Planifié"),"")</f>
        <v/>
      </c>
      <c r="M1218" s="55" t="str">
        <f>IF(ISNUMBER(K1218),K1218-L1218,"")</f>
        <v/>
      </c>
      <c r="N1218" s="55" t="str">
        <f>IF(ISNUMBER(K1218),SUMIFS(st_min,st_date,A1218,st_eq,B1218,st_po,C1218,st_type,"Non planifié"),"")</f>
        <v/>
      </c>
      <c r="O1218" s="55" t="str">
        <f>IF(ISNUMBER(K1218),M1218-N1218,"")</f>
        <v/>
      </c>
      <c r="P1218" s="55" t="str">
        <f>IF(COUNTA(A1218:I1218)=0,"",N(G1218)+N(H1218)+N(I1218))</f>
        <v/>
      </c>
      <c r="Q1218" s="56" t="str">
        <f>IF(COUNTA(A1218:I1218)=0,"",IF(N(IFERROR(INDEX(art_rate,MATCH(E1218,art_ref,0)),0))&gt;0,N(IFERROR(INDEX(art_rate,MATCH(E1218,art_ref,0)),0)),N(IFERROR(INDEX(po_rate,MATCH(C1218,po_code,0)),0))))</f>
        <v/>
      </c>
      <c r="R1218" s="55" t="str">
        <f>IF(AC1218=1,P1218*60/Q1218,"")</f>
        <v/>
      </c>
      <c r="S1218" s="55" t="str">
        <f>IF(AC1218=1,N(G1218)*60/Q1218,"")</f>
        <v/>
      </c>
      <c r="T1218" s="57" t="str">
        <f>IF(AC1218=1,O1218/M1218,"")</f>
        <v/>
      </c>
      <c r="U1218" s="57" t="str">
        <f>IF(AC1218=1,IF(O1218&gt;0,R1218/O1218,""),"")</f>
        <v/>
      </c>
      <c r="V1218" s="57" t="str">
        <f>IF(AC1218=1,IF(P1218&gt;0,N(G1218)/P1218,""),"")</f>
        <v/>
      </c>
      <c r="W1218" s="57" t="str">
        <f>IF(AC1218=1,S1218/M1218,"")</f>
        <v/>
      </c>
      <c r="X1218" s="57" t="str">
        <f>IF(AC1218=1,S1218/K1218,"")</f>
        <v/>
      </c>
      <c r="Y1218" s="58" t="str">
        <f>IF(W1218="","",IF(W1218&gt;=p_target,"Bon",IF(W1218&gt;=p_alert,"À surveiller","Faible")))</f>
        <v/>
      </c>
      <c r="Z1218" s="58" t="str">
        <f>IF(W1218="","",IF(MIN(IF(T1218="",1,T1218),IF(U1218="",1,U1218),IF(V1218="",1,V1218))&gt;=1,"Aucune",IF(IF(T1218="",1,T1218)&lt;=MIN(IF(U1218="",1,U1218),IF(V1218="",1,V1218)),"Disponibilité",IF(IF(U1218="",1,U1218)&lt;=IF(V1218="",1,V1218),"Performance","Qualité"))))</f>
        <v/>
      </c>
      <c r="AA1218" s="59" t="str">
        <f>IF(AC1218=1,N(H1218)*N(IFERROR(INDEX(art_cost,MATCH(E1218,art_ref,0)),0)),"")</f>
        <v/>
      </c>
      <c r="AB1218" s="58" t="str">
        <f>IF(COUNTA(A1218:I1218)=0,"",IF(N(A1218)&lt;=0,"Date manquante ou invalide",IF(B1218="","Équipe manquante",IF(ISNA(MATCH(B1218,eq_code,0)),"Équipe inconnue",IF(INDEX(eq_check,MATCH(B1218,eq_code,0))&lt;&gt;"OK","Équipe à corriger dans Paramètres",IF(C1218="","Poste manquant",IF(ISNA(MATCH(C1218,po_code,0)),"Poste inconnu",IF(AND(E1218&lt;&gt;"",ISNA(MATCH(E1218,art_ref,0))),"Article inconnu",IF(IF(E1218="",FALSE,INDEX(art_check,MATCH(E1218,art_ref,0))&lt;&gt;"OK"),"Article à corriger (feuille Articles)",IF(COUNTIFS(sj_date,A1218,sj_eq,B1218,sj_po,C1218)&gt;1,"Ligne en double (même jour, équipe et poste)",IF(OR(NOT(ISNUMBER(K1218)),N(K1218)&lt;=0,N(K1218)&gt;1440),"Temps d'ouverture invalide",IF(OR(AND(G1218&lt;&gt;"",NOT(ISNUMBER(G1218))),N(G1218)&lt;0,N(G1218)&lt;&gt;INT(N(G1218)),AND(H1218&lt;&gt;"",NOT(ISNUMBER(H1218))),N(H1218)&lt;0,N(H1218)&lt;&gt;INT(N(H1218)),AND(I1218&lt;&gt;"",NOT(ISNUMBER(I1218))),N(I1218)&lt;0,N(I1218)&lt;&gt;INT(N(I1218))),"Quantité invalide",IF(Q1218&lt;=0,"Cadence manquante (poste ou article)",IF(M1218&lt;=0,"Arrêts planifiés supérieurs au temps d'ouverture",IF(O1218&lt;0,"Arrêts supérieurs au temps requis",IF(AND(P1218&gt;0,O1218=0),"Pièces déclarées sans temps de marche",IF(AND(P1218=0,O1218&gt;0),"Aucune pièce déclarée",IF(P1218*60/Q1218&gt;O1218+0.001,"Cadence dépassée : vérifiez la cadence","OK"))))))))))))))))))</f>
        <v/>
      </c>
      <c r="AC1218">
        <f>IF(OR(AB1218="OK",AB1218="Aucune pièce déclarée",AB1218="Cadence dépassée : vérifiez la cadence"),1,0)</f>
        <v>0.0</v>
      </c>
      <c r="AD1218">
        <f>IF(AND(AC1218=1,A1218&gt;=p_from,A1218&lt;=p_to),1,0)</f>
        <v>0.0</v>
      </c>
      <c r="AE1218">
        <f>IF(AD1218=1,IF(COUNTIFS($A$6:A1218,A1218,$AD$6:AD1218,1)=1,1,0),0)</f>
        <v>0.0</v>
      </c>
      <c r="AF1218" t="str">
        <f>IF(AE1218=1,COUNTIFS(sj_first,1,sj_date,"&lt;"&amp;A1218)+1,"")</f>
        <v/>
      </c>
      <c r="AG1218" t="str">
        <f>IF(AND(AD1218=1,N(W1218)&lt;p_alert),ROUND(W1218,4),"")</f>
        <v/>
      </c>
      <c r="AH1218" t="str">
        <f>IF(AG1218="","",COUNTIF(sj_akey,"&lt;"&amp;AG1218)+COUNTIF($AG$6:AG1218,AG1218))</f>
        <v/>
      </c>
    </row>
    <row r="1219">
      <c r="A1219" s="51" t="n"/>
      <c r="B1219" s="52" t="n"/>
      <c r="C1219" s="52" t="n"/>
      <c r="D1219" s="53" t="n"/>
      <c r="E1219" s="53" t="n"/>
      <c r="F1219" s="54" t="n"/>
      <c r="G1219" s="54" t="n"/>
      <c r="H1219" s="54" t="n"/>
      <c r="I1219" s="54" t="n"/>
      <c r="J1219" s="53" t="n"/>
      <c r="K1219" s="55" t="str">
        <f>IF(COUNTA(A1219:I1219)=0,"",IF(F1219="",IFERROR(INDEX(eq_dur,MATCH(B1219,eq_code,0)),""),F1219))</f>
        <v/>
      </c>
      <c r="L1219" s="55" t="str">
        <f>IF(ISNUMBER(K1219),N(IFERROR(INDEX(eq_pause,MATCH(B1219,eq_code,0)),0))+SUMIFS(st_min,st_date,A1219,st_eq,B1219,st_po,C1219,st_type,"Planifié"),"")</f>
        <v/>
      </c>
      <c r="M1219" s="55" t="str">
        <f>IF(ISNUMBER(K1219),K1219-L1219,"")</f>
        <v/>
      </c>
      <c r="N1219" s="55" t="str">
        <f>IF(ISNUMBER(K1219),SUMIFS(st_min,st_date,A1219,st_eq,B1219,st_po,C1219,st_type,"Non planifié"),"")</f>
        <v/>
      </c>
      <c r="O1219" s="55" t="str">
        <f>IF(ISNUMBER(K1219),M1219-N1219,"")</f>
        <v/>
      </c>
      <c r="P1219" s="55" t="str">
        <f>IF(COUNTA(A1219:I1219)=0,"",N(G1219)+N(H1219)+N(I1219))</f>
        <v/>
      </c>
      <c r="Q1219" s="56" t="str">
        <f>IF(COUNTA(A1219:I1219)=0,"",IF(N(IFERROR(INDEX(art_rate,MATCH(E1219,art_ref,0)),0))&gt;0,N(IFERROR(INDEX(art_rate,MATCH(E1219,art_ref,0)),0)),N(IFERROR(INDEX(po_rate,MATCH(C1219,po_code,0)),0))))</f>
        <v/>
      </c>
      <c r="R1219" s="55" t="str">
        <f>IF(AC1219=1,P1219*60/Q1219,"")</f>
        <v/>
      </c>
      <c r="S1219" s="55" t="str">
        <f>IF(AC1219=1,N(G1219)*60/Q1219,"")</f>
        <v/>
      </c>
      <c r="T1219" s="57" t="str">
        <f>IF(AC1219=1,O1219/M1219,"")</f>
        <v/>
      </c>
      <c r="U1219" s="57" t="str">
        <f>IF(AC1219=1,IF(O1219&gt;0,R1219/O1219,""),"")</f>
        <v/>
      </c>
      <c r="V1219" s="57" t="str">
        <f>IF(AC1219=1,IF(P1219&gt;0,N(G1219)/P1219,""),"")</f>
        <v/>
      </c>
      <c r="W1219" s="57" t="str">
        <f>IF(AC1219=1,S1219/M1219,"")</f>
        <v/>
      </c>
      <c r="X1219" s="57" t="str">
        <f>IF(AC1219=1,S1219/K1219,"")</f>
        <v/>
      </c>
      <c r="Y1219" s="58" t="str">
        <f>IF(W1219="","",IF(W1219&gt;=p_target,"Bon",IF(W1219&gt;=p_alert,"À surveiller","Faible")))</f>
        <v/>
      </c>
      <c r="Z1219" s="58" t="str">
        <f>IF(W1219="","",IF(MIN(IF(T1219="",1,T1219),IF(U1219="",1,U1219),IF(V1219="",1,V1219))&gt;=1,"Aucune",IF(IF(T1219="",1,T1219)&lt;=MIN(IF(U1219="",1,U1219),IF(V1219="",1,V1219)),"Disponibilité",IF(IF(U1219="",1,U1219)&lt;=IF(V1219="",1,V1219),"Performance","Qualité"))))</f>
        <v/>
      </c>
      <c r="AA1219" s="59" t="str">
        <f>IF(AC1219=1,N(H1219)*N(IFERROR(INDEX(art_cost,MATCH(E1219,art_ref,0)),0)),"")</f>
        <v/>
      </c>
      <c r="AB1219" s="58" t="str">
        <f>IF(COUNTA(A1219:I1219)=0,"",IF(N(A1219)&lt;=0,"Date manquante ou invalide",IF(B1219="","Équipe manquante",IF(ISNA(MATCH(B1219,eq_code,0)),"Équipe inconnue",IF(INDEX(eq_check,MATCH(B1219,eq_code,0))&lt;&gt;"OK","Équipe à corriger dans Paramètres",IF(C1219="","Poste manquant",IF(ISNA(MATCH(C1219,po_code,0)),"Poste inconnu",IF(AND(E1219&lt;&gt;"",ISNA(MATCH(E1219,art_ref,0))),"Article inconnu",IF(IF(E1219="",FALSE,INDEX(art_check,MATCH(E1219,art_ref,0))&lt;&gt;"OK"),"Article à corriger (feuille Articles)",IF(COUNTIFS(sj_date,A1219,sj_eq,B1219,sj_po,C1219)&gt;1,"Ligne en double (même jour, équipe et poste)",IF(OR(NOT(ISNUMBER(K1219)),N(K1219)&lt;=0,N(K1219)&gt;1440),"Temps d'ouverture invalide",IF(OR(AND(G1219&lt;&gt;"",NOT(ISNUMBER(G1219))),N(G1219)&lt;0,N(G1219)&lt;&gt;INT(N(G1219)),AND(H1219&lt;&gt;"",NOT(ISNUMBER(H1219))),N(H1219)&lt;0,N(H1219)&lt;&gt;INT(N(H1219)),AND(I1219&lt;&gt;"",NOT(ISNUMBER(I1219))),N(I1219)&lt;0,N(I1219)&lt;&gt;INT(N(I1219))),"Quantité invalide",IF(Q1219&lt;=0,"Cadence manquante (poste ou article)",IF(M1219&lt;=0,"Arrêts planifiés supérieurs au temps d'ouverture",IF(O1219&lt;0,"Arrêts supérieurs au temps requis",IF(AND(P1219&gt;0,O1219=0),"Pièces déclarées sans temps de marche",IF(AND(P1219=0,O1219&gt;0),"Aucune pièce déclarée",IF(P1219*60/Q1219&gt;O1219+0.001,"Cadence dépassée : vérifiez la cadence","OK"))))))))))))))))))</f>
        <v/>
      </c>
      <c r="AC1219">
        <f>IF(OR(AB1219="OK",AB1219="Aucune pièce déclarée",AB1219="Cadence dépassée : vérifiez la cadence"),1,0)</f>
        <v>0.0</v>
      </c>
      <c r="AD1219">
        <f>IF(AND(AC1219=1,A1219&gt;=p_from,A1219&lt;=p_to),1,0)</f>
        <v>0.0</v>
      </c>
      <c r="AE1219">
        <f>IF(AD1219=1,IF(COUNTIFS($A$6:A1219,A1219,$AD$6:AD1219,1)=1,1,0),0)</f>
        <v>0.0</v>
      </c>
      <c r="AF1219" t="str">
        <f>IF(AE1219=1,COUNTIFS(sj_first,1,sj_date,"&lt;"&amp;A1219)+1,"")</f>
        <v/>
      </c>
      <c r="AG1219" t="str">
        <f>IF(AND(AD1219=1,N(W1219)&lt;p_alert),ROUND(W1219,4),"")</f>
        <v/>
      </c>
      <c r="AH1219" t="str">
        <f>IF(AG1219="","",COUNTIF(sj_akey,"&lt;"&amp;AG1219)+COUNTIF($AG$6:AG1219,AG1219))</f>
        <v/>
      </c>
    </row>
    <row r="1220">
      <c r="A1220" s="51" t="n"/>
      <c r="B1220" s="52" t="n"/>
      <c r="C1220" s="52" t="n"/>
      <c r="D1220" s="53" t="n"/>
      <c r="E1220" s="53" t="n"/>
      <c r="F1220" s="54" t="n"/>
      <c r="G1220" s="54" t="n"/>
      <c r="H1220" s="54" t="n"/>
      <c r="I1220" s="54" t="n"/>
      <c r="J1220" s="53" t="n"/>
      <c r="K1220" s="55" t="str">
        <f>IF(COUNTA(A1220:I1220)=0,"",IF(F1220="",IFERROR(INDEX(eq_dur,MATCH(B1220,eq_code,0)),""),F1220))</f>
        <v/>
      </c>
      <c r="L1220" s="55" t="str">
        <f>IF(ISNUMBER(K1220),N(IFERROR(INDEX(eq_pause,MATCH(B1220,eq_code,0)),0))+SUMIFS(st_min,st_date,A1220,st_eq,B1220,st_po,C1220,st_type,"Planifié"),"")</f>
        <v/>
      </c>
      <c r="M1220" s="55" t="str">
        <f>IF(ISNUMBER(K1220),K1220-L1220,"")</f>
        <v/>
      </c>
      <c r="N1220" s="55" t="str">
        <f>IF(ISNUMBER(K1220),SUMIFS(st_min,st_date,A1220,st_eq,B1220,st_po,C1220,st_type,"Non planifié"),"")</f>
        <v/>
      </c>
      <c r="O1220" s="55" t="str">
        <f>IF(ISNUMBER(K1220),M1220-N1220,"")</f>
        <v/>
      </c>
      <c r="P1220" s="55" t="str">
        <f>IF(COUNTA(A1220:I1220)=0,"",N(G1220)+N(H1220)+N(I1220))</f>
        <v/>
      </c>
      <c r="Q1220" s="56" t="str">
        <f>IF(COUNTA(A1220:I1220)=0,"",IF(N(IFERROR(INDEX(art_rate,MATCH(E1220,art_ref,0)),0))&gt;0,N(IFERROR(INDEX(art_rate,MATCH(E1220,art_ref,0)),0)),N(IFERROR(INDEX(po_rate,MATCH(C1220,po_code,0)),0))))</f>
        <v/>
      </c>
      <c r="R1220" s="55" t="str">
        <f>IF(AC1220=1,P1220*60/Q1220,"")</f>
        <v/>
      </c>
      <c r="S1220" s="55" t="str">
        <f>IF(AC1220=1,N(G1220)*60/Q1220,"")</f>
        <v/>
      </c>
      <c r="T1220" s="57" t="str">
        <f>IF(AC1220=1,O1220/M1220,"")</f>
        <v/>
      </c>
      <c r="U1220" s="57" t="str">
        <f>IF(AC1220=1,IF(O1220&gt;0,R1220/O1220,""),"")</f>
        <v/>
      </c>
      <c r="V1220" s="57" t="str">
        <f>IF(AC1220=1,IF(P1220&gt;0,N(G1220)/P1220,""),"")</f>
        <v/>
      </c>
      <c r="W1220" s="57" t="str">
        <f>IF(AC1220=1,S1220/M1220,"")</f>
        <v/>
      </c>
      <c r="X1220" s="57" t="str">
        <f>IF(AC1220=1,S1220/K1220,"")</f>
        <v/>
      </c>
      <c r="Y1220" s="58" t="str">
        <f>IF(W1220="","",IF(W1220&gt;=p_target,"Bon",IF(W1220&gt;=p_alert,"À surveiller","Faible")))</f>
        <v/>
      </c>
      <c r="Z1220" s="58" t="str">
        <f>IF(W1220="","",IF(MIN(IF(T1220="",1,T1220),IF(U1220="",1,U1220),IF(V1220="",1,V1220))&gt;=1,"Aucune",IF(IF(T1220="",1,T1220)&lt;=MIN(IF(U1220="",1,U1220),IF(V1220="",1,V1220)),"Disponibilité",IF(IF(U1220="",1,U1220)&lt;=IF(V1220="",1,V1220),"Performance","Qualité"))))</f>
        <v/>
      </c>
      <c r="AA1220" s="59" t="str">
        <f>IF(AC1220=1,N(H1220)*N(IFERROR(INDEX(art_cost,MATCH(E1220,art_ref,0)),0)),"")</f>
        <v/>
      </c>
      <c r="AB1220" s="58" t="str">
        <f>IF(COUNTA(A1220:I1220)=0,"",IF(N(A1220)&lt;=0,"Date manquante ou invalide",IF(B1220="","Équipe manquante",IF(ISNA(MATCH(B1220,eq_code,0)),"Équipe inconnue",IF(INDEX(eq_check,MATCH(B1220,eq_code,0))&lt;&gt;"OK","Équipe à corriger dans Paramètres",IF(C1220="","Poste manquant",IF(ISNA(MATCH(C1220,po_code,0)),"Poste inconnu",IF(AND(E1220&lt;&gt;"",ISNA(MATCH(E1220,art_ref,0))),"Article inconnu",IF(IF(E1220="",FALSE,INDEX(art_check,MATCH(E1220,art_ref,0))&lt;&gt;"OK"),"Article à corriger (feuille Articles)",IF(COUNTIFS(sj_date,A1220,sj_eq,B1220,sj_po,C1220)&gt;1,"Ligne en double (même jour, équipe et poste)",IF(OR(NOT(ISNUMBER(K1220)),N(K1220)&lt;=0,N(K1220)&gt;1440),"Temps d'ouverture invalide",IF(OR(AND(G1220&lt;&gt;"",NOT(ISNUMBER(G1220))),N(G1220)&lt;0,N(G1220)&lt;&gt;INT(N(G1220)),AND(H1220&lt;&gt;"",NOT(ISNUMBER(H1220))),N(H1220)&lt;0,N(H1220)&lt;&gt;INT(N(H1220)),AND(I1220&lt;&gt;"",NOT(ISNUMBER(I1220))),N(I1220)&lt;0,N(I1220)&lt;&gt;INT(N(I1220))),"Quantité invalide",IF(Q1220&lt;=0,"Cadence manquante (poste ou article)",IF(M1220&lt;=0,"Arrêts planifiés supérieurs au temps d'ouverture",IF(O1220&lt;0,"Arrêts supérieurs au temps requis",IF(AND(P1220&gt;0,O1220=0),"Pièces déclarées sans temps de marche",IF(AND(P1220=0,O1220&gt;0),"Aucune pièce déclarée",IF(P1220*60/Q1220&gt;O1220+0.001,"Cadence dépassée : vérifiez la cadence","OK"))))))))))))))))))</f>
        <v/>
      </c>
      <c r="AC1220">
        <f>IF(OR(AB1220="OK",AB1220="Aucune pièce déclarée",AB1220="Cadence dépassée : vérifiez la cadence"),1,0)</f>
        <v>0.0</v>
      </c>
      <c r="AD1220">
        <f>IF(AND(AC1220=1,A1220&gt;=p_from,A1220&lt;=p_to),1,0)</f>
        <v>0.0</v>
      </c>
      <c r="AE1220">
        <f>IF(AD1220=1,IF(COUNTIFS($A$6:A1220,A1220,$AD$6:AD1220,1)=1,1,0),0)</f>
        <v>0.0</v>
      </c>
      <c r="AF1220" t="str">
        <f>IF(AE1220=1,COUNTIFS(sj_first,1,sj_date,"&lt;"&amp;A1220)+1,"")</f>
        <v/>
      </c>
      <c r="AG1220" t="str">
        <f>IF(AND(AD1220=1,N(W1220)&lt;p_alert),ROUND(W1220,4),"")</f>
        <v/>
      </c>
      <c r="AH1220" t="str">
        <f>IF(AG1220="","",COUNTIF(sj_akey,"&lt;"&amp;AG1220)+COUNTIF($AG$6:AG1220,AG1220))</f>
        <v/>
      </c>
    </row>
    <row r="1221">
      <c r="A1221" s="51" t="n"/>
      <c r="B1221" s="52" t="n"/>
      <c r="C1221" s="52" t="n"/>
      <c r="D1221" s="53" t="n"/>
      <c r="E1221" s="53" t="n"/>
      <c r="F1221" s="54" t="n"/>
      <c r="G1221" s="54" t="n"/>
      <c r="H1221" s="54" t="n"/>
      <c r="I1221" s="54" t="n"/>
      <c r="J1221" s="53" t="n"/>
      <c r="K1221" s="55" t="str">
        <f>IF(COUNTA(A1221:I1221)=0,"",IF(F1221="",IFERROR(INDEX(eq_dur,MATCH(B1221,eq_code,0)),""),F1221))</f>
        <v/>
      </c>
      <c r="L1221" s="55" t="str">
        <f>IF(ISNUMBER(K1221),N(IFERROR(INDEX(eq_pause,MATCH(B1221,eq_code,0)),0))+SUMIFS(st_min,st_date,A1221,st_eq,B1221,st_po,C1221,st_type,"Planifié"),"")</f>
        <v/>
      </c>
      <c r="M1221" s="55" t="str">
        <f>IF(ISNUMBER(K1221),K1221-L1221,"")</f>
        <v/>
      </c>
      <c r="N1221" s="55" t="str">
        <f>IF(ISNUMBER(K1221),SUMIFS(st_min,st_date,A1221,st_eq,B1221,st_po,C1221,st_type,"Non planifié"),"")</f>
        <v/>
      </c>
      <c r="O1221" s="55" t="str">
        <f>IF(ISNUMBER(K1221),M1221-N1221,"")</f>
        <v/>
      </c>
      <c r="P1221" s="55" t="str">
        <f>IF(COUNTA(A1221:I1221)=0,"",N(G1221)+N(H1221)+N(I1221))</f>
        <v/>
      </c>
      <c r="Q1221" s="56" t="str">
        <f>IF(COUNTA(A1221:I1221)=0,"",IF(N(IFERROR(INDEX(art_rate,MATCH(E1221,art_ref,0)),0))&gt;0,N(IFERROR(INDEX(art_rate,MATCH(E1221,art_ref,0)),0)),N(IFERROR(INDEX(po_rate,MATCH(C1221,po_code,0)),0))))</f>
        <v/>
      </c>
      <c r="R1221" s="55" t="str">
        <f>IF(AC1221=1,P1221*60/Q1221,"")</f>
        <v/>
      </c>
      <c r="S1221" s="55" t="str">
        <f>IF(AC1221=1,N(G1221)*60/Q1221,"")</f>
        <v/>
      </c>
      <c r="T1221" s="57" t="str">
        <f>IF(AC1221=1,O1221/M1221,"")</f>
        <v/>
      </c>
      <c r="U1221" s="57" t="str">
        <f>IF(AC1221=1,IF(O1221&gt;0,R1221/O1221,""),"")</f>
        <v/>
      </c>
      <c r="V1221" s="57" t="str">
        <f>IF(AC1221=1,IF(P1221&gt;0,N(G1221)/P1221,""),"")</f>
        <v/>
      </c>
      <c r="W1221" s="57" t="str">
        <f>IF(AC1221=1,S1221/M1221,"")</f>
        <v/>
      </c>
      <c r="X1221" s="57" t="str">
        <f>IF(AC1221=1,S1221/K1221,"")</f>
        <v/>
      </c>
      <c r="Y1221" s="58" t="str">
        <f>IF(W1221="","",IF(W1221&gt;=p_target,"Bon",IF(W1221&gt;=p_alert,"À surveiller","Faible")))</f>
        <v/>
      </c>
      <c r="Z1221" s="58" t="str">
        <f>IF(W1221="","",IF(MIN(IF(T1221="",1,T1221),IF(U1221="",1,U1221),IF(V1221="",1,V1221))&gt;=1,"Aucune",IF(IF(T1221="",1,T1221)&lt;=MIN(IF(U1221="",1,U1221),IF(V1221="",1,V1221)),"Disponibilité",IF(IF(U1221="",1,U1221)&lt;=IF(V1221="",1,V1221),"Performance","Qualité"))))</f>
        <v/>
      </c>
      <c r="AA1221" s="59" t="str">
        <f>IF(AC1221=1,N(H1221)*N(IFERROR(INDEX(art_cost,MATCH(E1221,art_ref,0)),0)),"")</f>
        <v/>
      </c>
      <c r="AB1221" s="58" t="str">
        <f>IF(COUNTA(A1221:I1221)=0,"",IF(N(A1221)&lt;=0,"Date manquante ou invalide",IF(B1221="","Équipe manquante",IF(ISNA(MATCH(B1221,eq_code,0)),"Équipe inconnue",IF(INDEX(eq_check,MATCH(B1221,eq_code,0))&lt;&gt;"OK","Équipe à corriger dans Paramètres",IF(C1221="","Poste manquant",IF(ISNA(MATCH(C1221,po_code,0)),"Poste inconnu",IF(AND(E1221&lt;&gt;"",ISNA(MATCH(E1221,art_ref,0))),"Article inconnu",IF(IF(E1221="",FALSE,INDEX(art_check,MATCH(E1221,art_ref,0))&lt;&gt;"OK"),"Article à corriger (feuille Articles)",IF(COUNTIFS(sj_date,A1221,sj_eq,B1221,sj_po,C1221)&gt;1,"Ligne en double (même jour, équipe et poste)",IF(OR(NOT(ISNUMBER(K1221)),N(K1221)&lt;=0,N(K1221)&gt;1440),"Temps d'ouverture invalide",IF(OR(AND(G1221&lt;&gt;"",NOT(ISNUMBER(G1221))),N(G1221)&lt;0,N(G1221)&lt;&gt;INT(N(G1221)),AND(H1221&lt;&gt;"",NOT(ISNUMBER(H1221))),N(H1221)&lt;0,N(H1221)&lt;&gt;INT(N(H1221)),AND(I1221&lt;&gt;"",NOT(ISNUMBER(I1221))),N(I1221)&lt;0,N(I1221)&lt;&gt;INT(N(I1221))),"Quantité invalide",IF(Q1221&lt;=0,"Cadence manquante (poste ou article)",IF(M1221&lt;=0,"Arrêts planifiés supérieurs au temps d'ouverture",IF(O1221&lt;0,"Arrêts supérieurs au temps requis",IF(AND(P1221&gt;0,O1221=0),"Pièces déclarées sans temps de marche",IF(AND(P1221=0,O1221&gt;0),"Aucune pièce déclarée",IF(P1221*60/Q1221&gt;O1221+0.001,"Cadence dépassée : vérifiez la cadence","OK"))))))))))))))))))</f>
        <v/>
      </c>
      <c r="AC1221">
        <f>IF(OR(AB1221="OK",AB1221="Aucune pièce déclarée",AB1221="Cadence dépassée : vérifiez la cadence"),1,0)</f>
        <v>0.0</v>
      </c>
      <c r="AD1221">
        <f>IF(AND(AC1221=1,A1221&gt;=p_from,A1221&lt;=p_to),1,0)</f>
        <v>0.0</v>
      </c>
      <c r="AE1221">
        <f>IF(AD1221=1,IF(COUNTIFS($A$6:A1221,A1221,$AD$6:AD1221,1)=1,1,0),0)</f>
        <v>0.0</v>
      </c>
      <c r="AF1221" t="str">
        <f>IF(AE1221=1,COUNTIFS(sj_first,1,sj_date,"&lt;"&amp;A1221)+1,"")</f>
        <v/>
      </c>
      <c r="AG1221" t="str">
        <f>IF(AND(AD1221=1,N(W1221)&lt;p_alert),ROUND(W1221,4),"")</f>
        <v/>
      </c>
      <c r="AH1221" t="str">
        <f>IF(AG1221="","",COUNTIF(sj_akey,"&lt;"&amp;AG1221)+COUNTIF($AG$6:AG1221,AG1221))</f>
        <v/>
      </c>
    </row>
    <row r="1222">
      <c r="A1222" s="51" t="n"/>
      <c r="B1222" s="52" t="n"/>
      <c r="C1222" s="52" t="n"/>
      <c r="D1222" s="53" t="n"/>
      <c r="E1222" s="53" t="n"/>
      <c r="F1222" s="54" t="n"/>
      <c r="G1222" s="54" t="n"/>
      <c r="H1222" s="54" t="n"/>
      <c r="I1222" s="54" t="n"/>
      <c r="J1222" s="53" t="n"/>
      <c r="K1222" s="55" t="str">
        <f>IF(COUNTA(A1222:I1222)=0,"",IF(F1222="",IFERROR(INDEX(eq_dur,MATCH(B1222,eq_code,0)),""),F1222))</f>
        <v/>
      </c>
      <c r="L1222" s="55" t="str">
        <f>IF(ISNUMBER(K1222),N(IFERROR(INDEX(eq_pause,MATCH(B1222,eq_code,0)),0))+SUMIFS(st_min,st_date,A1222,st_eq,B1222,st_po,C1222,st_type,"Planifié"),"")</f>
        <v/>
      </c>
      <c r="M1222" s="55" t="str">
        <f>IF(ISNUMBER(K1222),K1222-L1222,"")</f>
        <v/>
      </c>
      <c r="N1222" s="55" t="str">
        <f>IF(ISNUMBER(K1222),SUMIFS(st_min,st_date,A1222,st_eq,B1222,st_po,C1222,st_type,"Non planifié"),"")</f>
        <v/>
      </c>
      <c r="O1222" s="55" t="str">
        <f>IF(ISNUMBER(K1222),M1222-N1222,"")</f>
        <v/>
      </c>
      <c r="P1222" s="55" t="str">
        <f>IF(COUNTA(A1222:I1222)=0,"",N(G1222)+N(H1222)+N(I1222))</f>
        <v/>
      </c>
      <c r="Q1222" s="56" t="str">
        <f>IF(COUNTA(A1222:I1222)=0,"",IF(N(IFERROR(INDEX(art_rate,MATCH(E1222,art_ref,0)),0))&gt;0,N(IFERROR(INDEX(art_rate,MATCH(E1222,art_ref,0)),0)),N(IFERROR(INDEX(po_rate,MATCH(C1222,po_code,0)),0))))</f>
        <v/>
      </c>
      <c r="R1222" s="55" t="str">
        <f>IF(AC1222=1,P1222*60/Q1222,"")</f>
        <v/>
      </c>
      <c r="S1222" s="55" t="str">
        <f>IF(AC1222=1,N(G1222)*60/Q1222,"")</f>
        <v/>
      </c>
      <c r="T1222" s="57" t="str">
        <f>IF(AC1222=1,O1222/M1222,"")</f>
        <v/>
      </c>
      <c r="U1222" s="57" t="str">
        <f>IF(AC1222=1,IF(O1222&gt;0,R1222/O1222,""),"")</f>
        <v/>
      </c>
      <c r="V1222" s="57" t="str">
        <f>IF(AC1222=1,IF(P1222&gt;0,N(G1222)/P1222,""),"")</f>
        <v/>
      </c>
      <c r="W1222" s="57" t="str">
        <f>IF(AC1222=1,S1222/M1222,"")</f>
        <v/>
      </c>
      <c r="X1222" s="57" t="str">
        <f>IF(AC1222=1,S1222/K1222,"")</f>
        <v/>
      </c>
      <c r="Y1222" s="58" t="str">
        <f>IF(W1222="","",IF(W1222&gt;=p_target,"Bon",IF(W1222&gt;=p_alert,"À surveiller","Faible")))</f>
        <v/>
      </c>
      <c r="Z1222" s="58" t="str">
        <f>IF(W1222="","",IF(MIN(IF(T1222="",1,T1222),IF(U1222="",1,U1222),IF(V1222="",1,V1222))&gt;=1,"Aucune",IF(IF(T1222="",1,T1222)&lt;=MIN(IF(U1222="",1,U1222),IF(V1222="",1,V1222)),"Disponibilité",IF(IF(U1222="",1,U1222)&lt;=IF(V1222="",1,V1222),"Performance","Qualité"))))</f>
        <v/>
      </c>
      <c r="AA1222" s="59" t="str">
        <f>IF(AC1222=1,N(H1222)*N(IFERROR(INDEX(art_cost,MATCH(E1222,art_ref,0)),0)),"")</f>
        <v/>
      </c>
      <c r="AB1222" s="58" t="str">
        <f>IF(COUNTA(A1222:I1222)=0,"",IF(N(A1222)&lt;=0,"Date manquante ou invalide",IF(B1222="","Équipe manquante",IF(ISNA(MATCH(B1222,eq_code,0)),"Équipe inconnue",IF(INDEX(eq_check,MATCH(B1222,eq_code,0))&lt;&gt;"OK","Équipe à corriger dans Paramètres",IF(C1222="","Poste manquant",IF(ISNA(MATCH(C1222,po_code,0)),"Poste inconnu",IF(AND(E1222&lt;&gt;"",ISNA(MATCH(E1222,art_ref,0))),"Article inconnu",IF(IF(E1222="",FALSE,INDEX(art_check,MATCH(E1222,art_ref,0))&lt;&gt;"OK"),"Article à corriger (feuille Articles)",IF(COUNTIFS(sj_date,A1222,sj_eq,B1222,sj_po,C1222)&gt;1,"Ligne en double (même jour, équipe et poste)",IF(OR(NOT(ISNUMBER(K1222)),N(K1222)&lt;=0,N(K1222)&gt;1440),"Temps d'ouverture invalide",IF(OR(AND(G1222&lt;&gt;"",NOT(ISNUMBER(G1222))),N(G1222)&lt;0,N(G1222)&lt;&gt;INT(N(G1222)),AND(H1222&lt;&gt;"",NOT(ISNUMBER(H1222))),N(H1222)&lt;0,N(H1222)&lt;&gt;INT(N(H1222)),AND(I1222&lt;&gt;"",NOT(ISNUMBER(I1222))),N(I1222)&lt;0,N(I1222)&lt;&gt;INT(N(I1222))),"Quantité invalide",IF(Q1222&lt;=0,"Cadence manquante (poste ou article)",IF(M1222&lt;=0,"Arrêts planifiés supérieurs au temps d'ouverture",IF(O1222&lt;0,"Arrêts supérieurs au temps requis",IF(AND(P1222&gt;0,O1222=0),"Pièces déclarées sans temps de marche",IF(AND(P1222=0,O1222&gt;0),"Aucune pièce déclarée",IF(P1222*60/Q1222&gt;O1222+0.001,"Cadence dépassée : vérifiez la cadence","OK"))))))))))))))))))</f>
        <v/>
      </c>
      <c r="AC1222">
        <f>IF(OR(AB1222="OK",AB1222="Aucune pièce déclarée",AB1222="Cadence dépassée : vérifiez la cadence"),1,0)</f>
        <v>0.0</v>
      </c>
      <c r="AD1222">
        <f>IF(AND(AC1222=1,A1222&gt;=p_from,A1222&lt;=p_to),1,0)</f>
        <v>0.0</v>
      </c>
      <c r="AE1222">
        <f>IF(AD1222=1,IF(COUNTIFS($A$6:A1222,A1222,$AD$6:AD1222,1)=1,1,0),0)</f>
        <v>0.0</v>
      </c>
      <c r="AF1222" t="str">
        <f>IF(AE1222=1,COUNTIFS(sj_first,1,sj_date,"&lt;"&amp;A1222)+1,"")</f>
        <v/>
      </c>
      <c r="AG1222" t="str">
        <f>IF(AND(AD1222=1,N(W1222)&lt;p_alert),ROUND(W1222,4),"")</f>
        <v/>
      </c>
      <c r="AH1222" t="str">
        <f>IF(AG1222="","",COUNTIF(sj_akey,"&lt;"&amp;AG1222)+COUNTIF($AG$6:AG1222,AG1222))</f>
        <v/>
      </c>
    </row>
    <row r="1223">
      <c r="A1223" s="51" t="n"/>
      <c r="B1223" s="52" t="n"/>
      <c r="C1223" s="52" t="n"/>
      <c r="D1223" s="53" t="n"/>
      <c r="E1223" s="53" t="n"/>
      <c r="F1223" s="54" t="n"/>
      <c r="G1223" s="54" t="n"/>
      <c r="H1223" s="54" t="n"/>
      <c r="I1223" s="54" t="n"/>
      <c r="J1223" s="53" t="n"/>
      <c r="K1223" s="55" t="str">
        <f>IF(COUNTA(A1223:I1223)=0,"",IF(F1223="",IFERROR(INDEX(eq_dur,MATCH(B1223,eq_code,0)),""),F1223))</f>
        <v/>
      </c>
      <c r="L1223" s="55" t="str">
        <f>IF(ISNUMBER(K1223),N(IFERROR(INDEX(eq_pause,MATCH(B1223,eq_code,0)),0))+SUMIFS(st_min,st_date,A1223,st_eq,B1223,st_po,C1223,st_type,"Planifié"),"")</f>
        <v/>
      </c>
      <c r="M1223" s="55" t="str">
        <f>IF(ISNUMBER(K1223),K1223-L1223,"")</f>
        <v/>
      </c>
      <c r="N1223" s="55" t="str">
        <f>IF(ISNUMBER(K1223),SUMIFS(st_min,st_date,A1223,st_eq,B1223,st_po,C1223,st_type,"Non planifié"),"")</f>
        <v/>
      </c>
      <c r="O1223" s="55" t="str">
        <f>IF(ISNUMBER(K1223),M1223-N1223,"")</f>
        <v/>
      </c>
      <c r="P1223" s="55" t="str">
        <f>IF(COUNTA(A1223:I1223)=0,"",N(G1223)+N(H1223)+N(I1223))</f>
        <v/>
      </c>
      <c r="Q1223" s="56" t="str">
        <f>IF(COUNTA(A1223:I1223)=0,"",IF(N(IFERROR(INDEX(art_rate,MATCH(E1223,art_ref,0)),0))&gt;0,N(IFERROR(INDEX(art_rate,MATCH(E1223,art_ref,0)),0)),N(IFERROR(INDEX(po_rate,MATCH(C1223,po_code,0)),0))))</f>
        <v/>
      </c>
      <c r="R1223" s="55" t="str">
        <f>IF(AC1223=1,P1223*60/Q1223,"")</f>
        <v/>
      </c>
      <c r="S1223" s="55" t="str">
        <f>IF(AC1223=1,N(G1223)*60/Q1223,"")</f>
        <v/>
      </c>
      <c r="T1223" s="57" t="str">
        <f>IF(AC1223=1,O1223/M1223,"")</f>
        <v/>
      </c>
      <c r="U1223" s="57" t="str">
        <f>IF(AC1223=1,IF(O1223&gt;0,R1223/O1223,""),"")</f>
        <v/>
      </c>
      <c r="V1223" s="57" t="str">
        <f>IF(AC1223=1,IF(P1223&gt;0,N(G1223)/P1223,""),"")</f>
        <v/>
      </c>
      <c r="W1223" s="57" t="str">
        <f>IF(AC1223=1,S1223/M1223,"")</f>
        <v/>
      </c>
      <c r="X1223" s="57" t="str">
        <f>IF(AC1223=1,S1223/K1223,"")</f>
        <v/>
      </c>
      <c r="Y1223" s="58" t="str">
        <f>IF(W1223="","",IF(W1223&gt;=p_target,"Bon",IF(W1223&gt;=p_alert,"À surveiller","Faible")))</f>
        <v/>
      </c>
      <c r="Z1223" s="58" t="str">
        <f>IF(W1223="","",IF(MIN(IF(T1223="",1,T1223),IF(U1223="",1,U1223),IF(V1223="",1,V1223))&gt;=1,"Aucune",IF(IF(T1223="",1,T1223)&lt;=MIN(IF(U1223="",1,U1223),IF(V1223="",1,V1223)),"Disponibilité",IF(IF(U1223="",1,U1223)&lt;=IF(V1223="",1,V1223),"Performance","Qualité"))))</f>
        <v/>
      </c>
      <c r="AA1223" s="59" t="str">
        <f>IF(AC1223=1,N(H1223)*N(IFERROR(INDEX(art_cost,MATCH(E1223,art_ref,0)),0)),"")</f>
        <v/>
      </c>
      <c r="AB1223" s="58" t="str">
        <f>IF(COUNTA(A1223:I1223)=0,"",IF(N(A1223)&lt;=0,"Date manquante ou invalide",IF(B1223="","Équipe manquante",IF(ISNA(MATCH(B1223,eq_code,0)),"Équipe inconnue",IF(INDEX(eq_check,MATCH(B1223,eq_code,0))&lt;&gt;"OK","Équipe à corriger dans Paramètres",IF(C1223="","Poste manquant",IF(ISNA(MATCH(C1223,po_code,0)),"Poste inconnu",IF(AND(E1223&lt;&gt;"",ISNA(MATCH(E1223,art_ref,0))),"Article inconnu",IF(IF(E1223="",FALSE,INDEX(art_check,MATCH(E1223,art_ref,0))&lt;&gt;"OK"),"Article à corriger (feuille Articles)",IF(COUNTIFS(sj_date,A1223,sj_eq,B1223,sj_po,C1223)&gt;1,"Ligne en double (même jour, équipe et poste)",IF(OR(NOT(ISNUMBER(K1223)),N(K1223)&lt;=0,N(K1223)&gt;1440),"Temps d'ouverture invalide",IF(OR(AND(G1223&lt;&gt;"",NOT(ISNUMBER(G1223))),N(G1223)&lt;0,N(G1223)&lt;&gt;INT(N(G1223)),AND(H1223&lt;&gt;"",NOT(ISNUMBER(H1223))),N(H1223)&lt;0,N(H1223)&lt;&gt;INT(N(H1223)),AND(I1223&lt;&gt;"",NOT(ISNUMBER(I1223))),N(I1223)&lt;0,N(I1223)&lt;&gt;INT(N(I1223))),"Quantité invalide",IF(Q1223&lt;=0,"Cadence manquante (poste ou article)",IF(M1223&lt;=0,"Arrêts planifiés supérieurs au temps d'ouverture",IF(O1223&lt;0,"Arrêts supérieurs au temps requis",IF(AND(P1223&gt;0,O1223=0),"Pièces déclarées sans temps de marche",IF(AND(P1223=0,O1223&gt;0),"Aucune pièce déclarée",IF(P1223*60/Q1223&gt;O1223+0.001,"Cadence dépassée : vérifiez la cadence","OK"))))))))))))))))))</f>
        <v/>
      </c>
      <c r="AC1223">
        <f>IF(OR(AB1223="OK",AB1223="Aucune pièce déclarée",AB1223="Cadence dépassée : vérifiez la cadence"),1,0)</f>
        <v>0.0</v>
      </c>
      <c r="AD1223">
        <f>IF(AND(AC1223=1,A1223&gt;=p_from,A1223&lt;=p_to),1,0)</f>
        <v>0.0</v>
      </c>
      <c r="AE1223">
        <f>IF(AD1223=1,IF(COUNTIFS($A$6:A1223,A1223,$AD$6:AD1223,1)=1,1,0),0)</f>
        <v>0.0</v>
      </c>
      <c r="AF1223" t="str">
        <f>IF(AE1223=1,COUNTIFS(sj_first,1,sj_date,"&lt;"&amp;A1223)+1,"")</f>
        <v/>
      </c>
      <c r="AG1223" t="str">
        <f>IF(AND(AD1223=1,N(W1223)&lt;p_alert),ROUND(W1223,4),"")</f>
        <v/>
      </c>
      <c r="AH1223" t="str">
        <f>IF(AG1223="","",COUNTIF(sj_akey,"&lt;"&amp;AG1223)+COUNTIF($AG$6:AG1223,AG1223))</f>
        <v/>
      </c>
    </row>
    <row r="1224">
      <c r="A1224" s="51" t="n"/>
      <c r="B1224" s="52" t="n"/>
      <c r="C1224" s="52" t="n"/>
      <c r="D1224" s="53" t="n"/>
      <c r="E1224" s="53" t="n"/>
      <c r="F1224" s="54" t="n"/>
      <c r="G1224" s="54" t="n"/>
      <c r="H1224" s="54" t="n"/>
      <c r="I1224" s="54" t="n"/>
      <c r="J1224" s="53" t="n"/>
      <c r="K1224" s="55" t="str">
        <f>IF(COUNTA(A1224:I1224)=0,"",IF(F1224="",IFERROR(INDEX(eq_dur,MATCH(B1224,eq_code,0)),""),F1224))</f>
        <v/>
      </c>
      <c r="L1224" s="55" t="str">
        <f>IF(ISNUMBER(K1224),N(IFERROR(INDEX(eq_pause,MATCH(B1224,eq_code,0)),0))+SUMIFS(st_min,st_date,A1224,st_eq,B1224,st_po,C1224,st_type,"Planifié"),"")</f>
        <v/>
      </c>
      <c r="M1224" s="55" t="str">
        <f>IF(ISNUMBER(K1224),K1224-L1224,"")</f>
        <v/>
      </c>
      <c r="N1224" s="55" t="str">
        <f>IF(ISNUMBER(K1224),SUMIFS(st_min,st_date,A1224,st_eq,B1224,st_po,C1224,st_type,"Non planifié"),"")</f>
        <v/>
      </c>
      <c r="O1224" s="55" t="str">
        <f>IF(ISNUMBER(K1224),M1224-N1224,"")</f>
        <v/>
      </c>
      <c r="P1224" s="55" t="str">
        <f>IF(COUNTA(A1224:I1224)=0,"",N(G1224)+N(H1224)+N(I1224))</f>
        <v/>
      </c>
      <c r="Q1224" s="56" t="str">
        <f>IF(COUNTA(A1224:I1224)=0,"",IF(N(IFERROR(INDEX(art_rate,MATCH(E1224,art_ref,0)),0))&gt;0,N(IFERROR(INDEX(art_rate,MATCH(E1224,art_ref,0)),0)),N(IFERROR(INDEX(po_rate,MATCH(C1224,po_code,0)),0))))</f>
        <v/>
      </c>
      <c r="R1224" s="55" t="str">
        <f>IF(AC1224=1,P1224*60/Q1224,"")</f>
        <v/>
      </c>
      <c r="S1224" s="55" t="str">
        <f>IF(AC1224=1,N(G1224)*60/Q1224,"")</f>
        <v/>
      </c>
      <c r="T1224" s="57" t="str">
        <f>IF(AC1224=1,O1224/M1224,"")</f>
        <v/>
      </c>
      <c r="U1224" s="57" t="str">
        <f>IF(AC1224=1,IF(O1224&gt;0,R1224/O1224,""),"")</f>
        <v/>
      </c>
      <c r="V1224" s="57" t="str">
        <f>IF(AC1224=1,IF(P1224&gt;0,N(G1224)/P1224,""),"")</f>
        <v/>
      </c>
      <c r="W1224" s="57" t="str">
        <f>IF(AC1224=1,S1224/M1224,"")</f>
        <v/>
      </c>
      <c r="X1224" s="57" t="str">
        <f>IF(AC1224=1,S1224/K1224,"")</f>
        <v/>
      </c>
      <c r="Y1224" s="58" t="str">
        <f>IF(W1224="","",IF(W1224&gt;=p_target,"Bon",IF(W1224&gt;=p_alert,"À surveiller","Faible")))</f>
        <v/>
      </c>
      <c r="Z1224" s="58" t="str">
        <f>IF(W1224="","",IF(MIN(IF(T1224="",1,T1224),IF(U1224="",1,U1224),IF(V1224="",1,V1224))&gt;=1,"Aucune",IF(IF(T1224="",1,T1224)&lt;=MIN(IF(U1224="",1,U1224),IF(V1224="",1,V1224)),"Disponibilité",IF(IF(U1224="",1,U1224)&lt;=IF(V1224="",1,V1224),"Performance","Qualité"))))</f>
        <v/>
      </c>
      <c r="AA1224" s="59" t="str">
        <f>IF(AC1224=1,N(H1224)*N(IFERROR(INDEX(art_cost,MATCH(E1224,art_ref,0)),0)),"")</f>
        <v/>
      </c>
      <c r="AB1224" s="58" t="str">
        <f>IF(COUNTA(A1224:I1224)=0,"",IF(N(A1224)&lt;=0,"Date manquante ou invalide",IF(B1224="","Équipe manquante",IF(ISNA(MATCH(B1224,eq_code,0)),"Équipe inconnue",IF(INDEX(eq_check,MATCH(B1224,eq_code,0))&lt;&gt;"OK","Équipe à corriger dans Paramètres",IF(C1224="","Poste manquant",IF(ISNA(MATCH(C1224,po_code,0)),"Poste inconnu",IF(AND(E1224&lt;&gt;"",ISNA(MATCH(E1224,art_ref,0))),"Article inconnu",IF(IF(E1224="",FALSE,INDEX(art_check,MATCH(E1224,art_ref,0))&lt;&gt;"OK"),"Article à corriger (feuille Articles)",IF(COUNTIFS(sj_date,A1224,sj_eq,B1224,sj_po,C1224)&gt;1,"Ligne en double (même jour, équipe et poste)",IF(OR(NOT(ISNUMBER(K1224)),N(K1224)&lt;=0,N(K1224)&gt;1440),"Temps d'ouverture invalide",IF(OR(AND(G1224&lt;&gt;"",NOT(ISNUMBER(G1224))),N(G1224)&lt;0,N(G1224)&lt;&gt;INT(N(G1224)),AND(H1224&lt;&gt;"",NOT(ISNUMBER(H1224))),N(H1224)&lt;0,N(H1224)&lt;&gt;INT(N(H1224)),AND(I1224&lt;&gt;"",NOT(ISNUMBER(I1224))),N(I1224)&lt;0,N(I1224)&lt;&gt;INT(N(I1224))),"Quantité invalide",IF(Q1224&lt;=0,"Cadence manquante (poste ou article)",IF(M1224&lt;=0,"Arrêts planifiés supérieurs au temps d'ouverture",IF(O1224&lt;0,"Arrêts supérieurs au temps requis",IF(AND(P1224&gt;0,O1224=0),"Pièces déclarées sans temps de marche",IF(AND(P1224=0,O1224&gt;0),"Aucune pièce déclarée",IF(P1224*60/Q1224&gt;O1224+0.001,"Cadence dépassée : vérifiez la cadence","OK"))))))))))))))))))</f>
        <v/>
      </c>
      <c r="AC1224">
        <f>IF(OR(AB1224="OK",AB1224="Aucune pièce déclarée",AB1224="Cadence dépassée : vérifiez la cadence"),1,0)</f>
        <v>0.0</v>
      </c>
      <c r="AD1224">
        <f>IF(AND(AC1224=1,A1224&gt;=p_from,A1224&lt;=p_to),1,0)</f>
        <v>0.0</v>
      </c>
      <c r="AE1224">
        <f>IF(AD1224=1,IF(COUNTIFS($A$6:A1224,A1224,$AD$6:AD1224,1)=1,1,0),0)</f>
        <v>0.0</v>
      </c>
      <c r="AF1224" t="str">
        <f>IF(AE1224=1,COUNTIFS(sj_first,1,sj_date,"&lt;"&amp;A1224)+1,"")</f>
        <v/>
      </c>
      <c r="AG1224" t="str">
        <f>IF(AND(AD1224=1,N(W1224)&lt;p_alert),ROUND(W1224,4),"")</f>
        <v/>
      </c>
      <c r="AH1224" t="str">
        <f>IF(AG1224="","",COUNTIF(sj_akey,"&lt;"&amp;AG1224)+COUNTIF($AG$6:AG1224,AG1224))</f>
        <v/>
      </c>
    </row>
    <row r="1225">
      <c r="A1225" s="51" t="n"/>
      <c r="B1225" s="52" t="n"/>
      <c r="C1225" s="52" t="n"/>
      <c r="D1225" s="53" t="n"/>
      <c r="E1225" s="53" t="n"/>
      <c r="F1225" s="54" t="n"/>
      <c r="G1225" s="54" t="n"/>
      <c r="H1225" s="54" t="n"/>
      <c r="I1225" s="54" t="n"/>
      <c r="J1225" s="53" t="n"/>
      <c r="K1225" s="55" t="str">
        <f>IF(COUNTA(A1225:I1225)=0,"",IF(F1225="",IFERROR(INDEX(eq_dur,MATCH(B1225,eq_code,0)),""),F1225))</f>
        <v/>
      </c>
      <c r="L1225" s="55" t="str">
        <f>IF(ISNUMBER(K1225),N(IFERROR(INDEX(eq_pause,MATCH(B1225,eq_code,0)),0))+SUMIFS(st_min,st_date,A1225,st_eq,B1225,st_po,C1225,st_type,"Planifié"),"")</f>
        <v/>
      </c>
      <c r="M1225" s="55" t="str">
        <f>IF(ISNUMBER(K1225),K1225-L1225,"")</f>
        <v/>
      </c>
      <c r="N1225" s="55" t="str">
        <f>IF(ISNUMBER(K1225),SUMIFS(st_min,st_date,A1225,st_eq,B1225,st_po,C1225,st_type,"Non planifié"),"")</f>
        <v/>
      </c>
      <c r="O1225" s="55" t="str">
        <f>IF(ISNUMBER(K1225),M1225-N1225,"")</f>
        <v/>
      </c>
      <c r="P1225" s="55" t="str">
        <f>IF(COUNTA(A1225:I1225)=0,"",N(G1225)+N(H1225)+N(I1225))</f>
        <v/>
      </c>
      <c r="Q1225" s="56" t="str">
        <f>IF(COUNTA(A1225:I1225)=0,"",IF(N(IFERROR(INDEX(art_rate,MATCH(E1225,art_ref,0)),0))&gt;0,N(IFERROR(INDEX(art_rate,MATCH(E1225,art_ref,0)),0)),N(IFERROR(INDEX(po_rate,MATCH(C1225,po_code,0)),0))))</f>
        <v/>
      </c>
      <c r="R1225" s="55" t="str">
        <f>IF(AC1225=1,P1225*60/Q1225,"")</f>
        <v/>
      </c>
      <c r="S1225" s="55" t="str">
        <f>IF(AC1225=1,N(G1225)*60/Q1225,"")</f>
        <v/>
      </c>
      <c r="T1225" s="57" t="str">
        <f>IF(AC1225=1,O1225/M1225,"")</f>
        <v/>
      </c>
      <c r="U1225" s="57" t="str">
        <f>IF(AC1225=1,IF(O1225&gt;0,R1225/O1225,""),"")</f>
        <v/>
      </c>
      <c r="V1225" s="57" t="str">
        <f>IF(AC1225=1,IF(P1225&gt;0,N(G1225)/P1225,""),"")</f>
        <v/>
      </c>
      <c r="W1225" s="57" t="str">
        <f>IF(AC1225=1,S1225/M1225,"")</f>
        <v/>
      </c>
      <c r="X1225" s="57" t="str">
        <f>IF(AC1225=1,S1225/K1225,"")</f>
        <v/>
      </c>
      <c r="Y1225" s="58" t="str">
        <f>IF(W1225="","",IF(W1225&gt;=p_target,"Bon",IF(W1225&gt;=p_alert,"À surveiller","Faible")))</f>
        <v/>
      </c>
      <c r="Z1225" s="58" t="str">
        <f>IF(W1225="","",IF(MIN(IF(T1225="",1,T1225),IF(U1225="",1,U1225),IF(V1225="",1,V1225))&gt;=1,"Aucune",IF(IF(T1225="",1,T1225)&lt;=MIN(IF(U1225="",1,U1225),IF(V1225="",1,V1225)),"Disponibilité",IF(IF(U1225="",1,U1225)&lt;=IF(V1225="",1,V1225),"Performance","Qualité"))))</f>
        <v/>
      </c>
      <c r="AA1225" s="59" t="str">
        <f>IF(AC1225=1,N(H1225)*N(IFERROR(INDEX(art_cost,MATCH(E1225,art_ref,0)),0)),"")</f>
        <v/>
      </c>
      <c r="AB1225" s="58" t="str">
        <f>IF(COUNTA(A1225:I1225)=0,"",IF(N(A1225)&lt;=0,"Date manquante ou invalide",IF(B1225="","Équipe manquante",IF(ISNA(MATCH(B1225,eq_code,0)),"Équipe inconnue",IF(INDEX(eq_check,MATCH(B1225,eq_code,0))&lt;&gt;"OK","Équipe à corriger dans Paramètres",IF(C1225="","Poste manquant",IF(ISNA(MATCH(C1225,po_code,0)),"Poste inconnu",IF(AND(E1225&lt;&gt;"",ISNA(MATCH(E1225,art_ref,0))),"Article inconnu",IF(IF(E1225="",FALSE,INDEX(art_check,MATCH(E1225,art_ref,0))&lt;&gt;"OK"),"Article à corriger (feuille Articles)",IF(COUNTIFS(sj_date,A1225,sj_eq,B1225,sj_po,C1225)&gt;1,"Ligne en double (même jour, équipe et poste)",IF(OR(NOT(ISNUMBER(K1225)),N(K1225)&lt;=0,N(K1225)&gt;1440),"Temps d'ouverture invalide",IF(OR(AND(G1225&lt;&gt;"",NOT(ISNUMBER(G1225))),N(G1225)&lt;0,N(G1225)&lt;&gt;INT(N(G1225)),AND(H1225&lt;&gt;"",NOT(ISNUMBER(H1225))),N(H1225)&lt;0,N(H1225)&lt;&gt;INT(N(H1225)),AND(I1225&lt;&gt;"",NOT(ISNUMBER(I1225))),N(I1225)&lt;0,N(I1225)&lt;&gt;INT(N(I1225))),"Quantité invalide",IF(Q1225&lt;=0,"Cadence manquante (poste ou article)",IF(M1225&lt;=0,"Arrêts planifiés supérieurs au temps d'ouverture",IF(O1225&lt;0,"Arrêts supérieurs au temps requis",IF(AND(P1225&gt;0,O1225=0),"Pièces déclarées sans temps de marche",IF(AND(P1225=0,O1225&gt;0),"Aucune pièce déclarée",IF(P1225*60/Q1225&gt;O1225+0.001,"Cadence dépassée : vérifiez la cadence","OK"))))))))))))))))))</f>
        <v/>
      </c>
      <c r="AC1225">
        <f>IF(OR(AB1225="OK",AB1225="Aucune pièce déclarée",AB1225="Cadence dépassée : vérifiez la cadence"),1,0)</f>
        <v>0.0</v>
      </c>
      <c r="AD1225">
        <f>IF(AND(AC1225=1,A1225&gt;=p_from,A1225&lt;=p_to),1,0)</f>
        <v>0.0</v>
      </c>
      <c r="AE1225">
        <f>IF(AD1225=1,IF(COUNTIFS($A$6:A1225,A1225,$AD$6:AD1225,1)=1,1,0),0)</f>
        <v>0.0</v>
      </c>
      <c r="AF1225" t="str">
        <f>IF(AE1225=1,COUNTIFS(sj_first,1,sj_date,"&lt;"&amp;A1225)+1,"")</f>
        <v/>
      </c>
      <c r="AG1225" t="str">
        <f>IF(AND(AD1225=1,N(W1225)&lt;p_alert),ROUND(W1225,4),"")</f>
        <v/>
      </c>
      <c r="AH1225" t="str">
        <f>IF(AG1225="","",COUNTIF(sj_akey,"&lt;"&amp;AG1225)+COUNTIF($AG$6:AG1225,AG1225))</f>
        <v/>
      </c>
    </row>
    <row r="1226">
      <c r="A1226" s="51" t="n"/>
      <c r="B1226" s="52" t="n"/>
      <c r="C1226" s="52" t="n"/>
      <c r="D1226" s="53" t="n"/>
      <c r="E1226" s="53" t="n"/>
      <c r="F1226" s="54" t="n"/>
      <c r="G1226" s="54" t="n"/>
      <c r="H1226" s="54" t="n"/>
      <c r="I1226" s="54" t="n"/>
      <c r="J1226" s="53" t="n"/>
      <c r="K1226" s="55" t="str">
        <f>IF(COUNTA(A1226:I1226)=0,"",IF(F1226="",IFERROR(INDEX(eq_dur,MATCH(B1226,eq_code,0)),""),F1226))</f>
        <v/>
      </c>
      <c r="L1226" s="55" t="str">
        <f>IF(ISNUMBER(K1226),N(IFERROR(INDEX(eq_pause,MATCH(B1226,eq_code,0)),0))+SUMIFS(st_min,st_date,A1226,st_eq,B1226,st_po,C1226,st_type,"Planifié"),"")</f>
        <v/>
      </c>
      <c r="M1226" s="55" t="str">
        <f>IF(ISNUMBER(K1226),K1226-L1226,"")</f>
        <v/>
      </c>
      <c r="N1226" s="55" t="str">
        <f>IF(ISNUMBER(K1226),SUMIFS(st_min,st_date,A1226,st_eq,B1226,st_po,C1226,st_type,"Non planifié"),"")</f>
        <v/>
      </c>
      <c r="O1226" s="55" t="str">
        <f>IF(ISNUMBER(K1226),M1226-N1226,"")</f>
        <v/>
      </c>
      <c r="P1226" s="55" t="str">
        <f>IF(COUNTA(A1226:I1226)=0,"",N(G1226)+N(H1226)+N(I1226))</f>
        <v/>
      </c>
      <c r="Q1226" s="56" t="str">
        <f>IF(COUNTA(A1226:I1226)=0,"",IF(N(IFERROR(INDEX(art_rate,MATCH(E1226,art_ref,0)),0))&gt;0,N(IFERROR(INDEX(art_rate,MATCH(E1226,art_ref,0)),0)),N(IFERROR(INDEX(po_rate,MATCH(C1226,po_code,0)),0))))</f>
        <v/>
      </c>
      <c r="R1226" s="55" t="str">
        <f>IF(AC1226=1,P1226*60/Q1226,"")</f>
        <v/>
      </c>
      <c r="S1226" s="55" t="str">
        <f>IF(AC1226=1,N(G1226)*60/Q1226,"")</f>
        <v/>
      </c>
      <c r="T1226" s="57" t="str">
        <f>IF(AC1226=1,O1226/M1226,"")</f>
        <v/>
      </c>
      <c r="U1226" s="57" t="str">
        <f>IF(AC1226=1,IF(O1226&gt;0,R1226/O1226,""),"")</f>
        <v/>
      </c>
      <c r="V1226" s="57" t="str">
        <f>IF(AC1226=1,IF(P1226&gt;0,N(G1226)/P1226,""),"")</f>
        <v/>
      </c>
      <c r="W1226" s="57" t="str">
        <f>IF(AC1226=1,S1226/M1226,"")</f>
        <v/>
      </c>
      <c r="X1226" s="57" t="str">
        <f>IF(AC1226=1,S1226/K1226,"")</f>
        <v/>
      </c>
      <c r="Y1226" s="58" t="str">
        <f>IF(W1226="","",IF(W1226&gt;=p_target,"Bon",IF(W1226&gt;=p_alert,"À surveiller","Faible")))</f>
        <v/>
      </c>
      <c r="Z1226" s="58" t="str">
        <f>IF(W1226="","",IF(MIN(IF(T1226="",1,T1226),IF(U1226="",1,U1226),IF(V1226="",1,V1226))&gt;=1,"Aucune",IF(IF(T1226="",1,T1226)&lt;=MIN(IF(U1226="",1,U1226),IF(V1226="",1,V1226)),"Disponibilité",IF(IF(U1226="",1,U1226)&lt;=IF(V1226="",1,V1226),"Performance","Qualité"))))</f>
        <v/>
      </c>
      <c r="AA1226" s="59" t="str">
        <f>IF(AC1226=1,N(H1226)*N(IFERROR(INDEX(art_cost,MATCH(E1226,art_ref,0)),0)),"")</f>
        <v/>
      </c>
      <c r="AB1226" s="58" t="str">
        <f>IF(COUNTA(A1226:I1226)=0,"",IF(N(A1226)&lt;=0,"Date manquante ou invalide",IF(B1226="","Équipe manquante",IF(ISNA(MATCH(B1226,eq_code,0)),"Équipe inconnue",IF(INDEX(eq_check,MATCH(B1226,eq_code,0))&lt;&gt;"OK","Équipe à corriger dans Paramètres",IF(C1226="","Poste manquant",IF(ISNA(MATCH(C1226,po_code,0)),"Poste inconnu",IF(AND(E1226&lt;&gt;"",ISNA(MATCH(E1226,art_ref,0))),"Article inconnu",IF(IF(E1226="",FALSE,INDEX(art_check,MATCH(E1226,art_ref,0))&lt;&gt;"OK"),"Article à corriger (feuille Articles)",IF(COUNTIFS(sj_date,A1226,sj_eq,B1226,sj_po,C1226)&gt;1,"Ligne en double (même jour, équipe et poste)",IF(OR(NOT(ISNUMBER(K1226)),N(K1226)&lt;=0,N(K1226)&gt;1440),"Temps d'ouverture invalide",IF(OR(AND(G1226&lt;&gt;"",NOT(ISNUMBER(G1226))),N(G1226)&lt;0,N(G1226)&lt;&gt;INT(N(G1226)),AND(H1226&lt;&gt;"",NOT(ISNUMBER(H1226))),N(H1226)&lt;0,N(H1226)&lt;&gt;INT(N(H1226)),AND(I1226&lt;&gt;"",NOT(ISNUMBER(I1226))),N(I1226)&lt;0,N(I1226)&lt;&gt;INT(N(I1226))),"Quantité invalide",IF(Q1226&lt;=0,"Cadence manquante (poste ou article)",IF(M1226&lt;=0,"Arrêts planifiés supérieurs au temps d'ouverture",IF(O1226&lt;0,"Arrêts supérieurs au temps requis",IF(AND(P1226&gt;0,O1226=0),"Pièces déclarées sans temps de marche",IF(AND(P1226=0,O1226&gt;0),"Aucune pièce déclarée",IF(P1226*60/Q1226&gt;O1226+0.001,"Cadence dépassée : vérifiez la cadence","OK"))))))))))))))))))</f>
        <v/>
      </c>
      <c r="AC1226">
        <f>IF(OR(AB1226="OK",AB1226="Aucune pièce déclarée",AB1226="Cadence dépassée : vérifiez la cadence"),1,0)</f>
        <v>0.0</v>
      </c>
      <c r="AD1226">
        <f>IF(AND(AC1226=1,A1226&gt;=p_from,A1226&lt;=p_to),1,0)</f>
        <v>0.0</v>
      </c>
      <c r="AE1226">
        <f>IF(AD1226=1,IF(COUNTIFS($A$6:A1226,A1226,$AD$6:AD1226,1)=1,1,0),0)</f>
        <v>0.0</v>
      </c>
      <c r="AF1226" t="str">
        <f>IF(AE1226=1,COUNTIFS(sj_first,1,sj_date,"&lt;"&amp;A1226)+1,"")</f>
        <v/>
      </c>
      <c r="AG1226" t="str">
        <f>IF(AND(AD1226=1,N(W1226)&lt;p_alert),ROUND(W1226,4),"")</f>
        <v/>
      </c>
      <c r="AH1226" t="str">
        <f>IF(AG1226="","",COUNTIF(sj_akey,"&lt;"&amp;AG1226)+COUNTIF($AG$6:AG1226,AG1226))</f>
        <v/>
      </c>
    </row>
    <row r="1227">
      <c r="A1227" s="51" t="n"/>
      <c r="B1227" s="52" t="n"/>
      <c r="C1227" s="52" t="n"/>
      <c r="D1227" s="53" t="n"/>
      <c r="E1227" s="53" t="n"/>
      <c r="F1227" s="54" t="n"/>
      <c r="G1227" s="54" t="n"/>
      <c r="H1227" s="54" t="n"/>
      <c r="I1227" s="54" t="n"/>
      <c r="J1227" s="53" t="n"/>
      <c r="K1227" s="55" t="str">
        <f>IF(COUNTA(A1227:I1227)=0,"",IF(F1227="",IFERROR(INDEX(eq_dur,MATCH(B1227,eq_code,0)),""),F1227))</f>
        <v/>
      </c>
      <c r="L1227" s="55" t="str">
        <f>IF(ISNUMBER(K1227),N(IFERROR(INDEX(eq_pause,MATCH(B1227,eq_code,0)),0))+SUMIFS(st_min,st_date,A1227,st_eq,B1227,st_po,C1227,st_type,"Planifié"),"")</f>
        <v/>
      </c>
      <c r="M1227" s="55" t="str">
        <f>IF(ISNUMBER(K1227),K1227-L1227,"")</f>
        <v/>
      </c>
      <c r="N1227" s="55" t="str">
        <f>IF(ISNUMBER(K1227),SUMIFS(st_min,st_date,A1227,st_eq,B1227,st_po,C1227,st_type,"Non planifié"),"")</f>
        <v/>
      </c>
      <c r="O1227" s="55" t="str">
        <f>IF(ISNUMBER(K1227),M1227-N1227,"")</f>
        <v/>
      </c>
      <c r="P1227" s="55" t="str">
        <f>IF(COUNTA(A1227:I1227)=0,"",N(G1227)+N(H1227)+N(I1227))</f>
        <v/>
      </c>
      <c r="Q1227" s="56" t="str">
        <f>IF(COUNTA(A1227:I1227)=0,"",IF(N(IFERROR(INDEX(art_rate,MATCH(E1227,art_ref,0)),0))&gt;0,N(IFERROR(INDEX(art_rate,MATCH(E1227,art_ref,0)),0)),N(IFERROR(INDEX(po_rate,MATCH(C1227,po_code,0)),0))))</f>
        <v/>
      </c>
      <c r="R1227" s="55" t="str">
        <f>IF(AC1227=1,P1227*60/Q1227,"")</f>
        <v/>
      </c>
      <c r="S1227" s="55" t="str">
        <f>IF(AC1227=1,N(G1227)*60/Q1227,"")</f>
        <v/>
      </c>
      <c r="T1227" s="57" t="str">
        <f>IF(AC1227=1,O1227/M1227,"")</f>
        <v/>
      </c>
      <c r="U1227" s="57" t="str">
        <f>IF(AC1227=1,IF(O1227&gt;0,R1227/O1227,""),"")</f>
        <v/>
      </c>
      <c r="V1227" s="57" t="str">
        <f>IF(AC1227=1,IF(P1227&gt;0,N(G1227)/P1227,""),"")</f>
        <v/>
      </c>
      <c r="W1227" s="57" t="str">
        <f>IF(AC1227=1,S1227/M1227,"")</f>
        <v/>
      </c>
      <c r="X1227" s="57" t="str">
        <f>IF(AC1227=1,S1227/K1227,"")</f>
        <v/>
      </c>
      <c r="Y1227" s="58" t="str">
        <f>IF(W1227="","",IF(W1227&gt;=p_target,"Bon",IF(W1227&gt;=p_alert,"À surveiller","Faible")))</f>
        <v/>
      </c>
      <c r="Z1227" s="58" t="str">
        <f>IF(W1227="","",IF(MIN(IF(T1227="",1,T1227),IF(U1227="",1,U1227),IF(V1227="",1,V1227))&gt;=1,"Aucune",IF(IF(T1227="",1,T1227)&lt;=MIN(IF(U1227="",1,U1227),IF(V1227="",1,V1227)),"Disponibilité",IF(IF(U1227="",1,U1227)&lt;=IF(V1227="",1,V1227),"Performance","Qualité"))))</f>
        <v/>
      </c>
      <c r="AA1227" s="59" t="str">
        <f>IF(AC1227=1,N(H1227)*N(IFERROR(INDEX(art_cost,MATCH(E1227,art_ref,0)),0)),"")</f>
        <v/>
      </c>
      <c r="AB1227" s="58" t="str">
        <f>IF(COUNTA(A1227:I1227)=0,"",IF(N(A1227)&lt;=0,"Date manquante ou invalide",IF(B1227="","Équipe manquante",IF(ISNA(MATCH(B1227,eq_code,0)),"Équipe inconnue",IF(INDEX(eq_check,MATCH(B1227,eq_code,0))&lt;&gt;"OK","Équipe à corriger dans Paramètres",IF(C1227="","Poste manquant",IF(ISNA(MATCH(C1227,po_code,0)),"Poste inconnu",IF(AND(E1227&lt;&gt;"",ISNA(MATCH(E1227,art_ref,0))),"Article inconnu",IF(IF(E1227="",FALSE,INDEX(art_check,MATCH(E1227,art_ref,0))&lt;&gt;"OK"),"Article à corriger (feuille Articles)",IF(COUNTIFS(sj_date,A1227,sj_eq,B1227,sj_po,C1227)&gt;1,"Ligne en double (même jour, équipe et poste)",IF(OR(NOT(ISNUMBER(K1227)),N(K1227)&lt;=0,N(K1227)&gt;1440),"Temps d'ouverture invalide",IF(OR(AND(G1227&lt;&gt;"",NOT(ISNUMBER(G1227))),N(G1227)&lt;0,N(G1227)&lt;&gt;INT(N(G1227)),AND(H1227&lt;&gt;"",NOT(ISNUMBER(H1227))),N(H1227)&lt;0,N(H1227)&lt;&gt;INT(N(H1227)),AND(I1227&lt;&gt;"",NOT(ISNUMBER(I1227))),N(I1227)&lt;0,N(I1227)&lt;&gt;INT(N(I1227))),"Quantité invalide",IF(Q1227&lt;=0,"Cadence manquante (poste ou article)",IF(M1227&lt;=0,"Arrêts planifiés supérieurs au temps d'ouverture",IF(O1227&lt;0,"Arrêts supérieurs au temps requis",IF(AND(P1227&gt;0,O1227=0),"Pièces déclarées sans temps de marche",IF(AND(P1227=0,O1227&gt;0),"Aucune pièce déclarée",IF(P1227*60/Q1227&gt;O1227+0.001,"Cadence dépassée : vérifiez la cadence","OK"))))))))))))))))))</f>
        <v/>
      </c>
      <c r="AC1227">
        <f>IF(OR(AB1227="OK",AB1227="Aucune pièce déclarée",AB1227="Cadence dépassée : vérifiez la cadence"),1,0)</f>
        <v>0.0</v>
      </c>
      <c r="AD1227">
        <f>IF(AND(AC1227=1,A1227&gt;=p_from,A1227&lt;=p_to),1,0)</f>
        <v>0.0</v>
      </c>
      <c r="AE1227">
        <f>IF(AD1227=1,IF(COUNTIFS($A$6:A1227,A1227,$AD$6:AD1227,1)=1,1,0),0)</f>
        <v>0.0</v>
      </c>
      <c r="AF1227" t="str">
        <f>IF(AE1227=1,COUNTIFS(sj_first,1,sj_date,"&lt;"&amp;A1227)+1,"")</f>
        <v/>
      </c>
      <c r="AG1227" t="str">
        <f>IF(AND(AD1227=1,N(W1227)&lt;p_alert),ROUND(W1227,4),"")</f>
        <v/>
      </c>
      <c r="AH1227" t="str">
        <f>IF(AG1227="","",COUNTIF(sj_akey,"&lt;"&amp;AG1227)+COUNTIF($AG$6:AG1227,AG1227))</f>
        <v/>
      </c>
    </row>
    <row r="1228">
      <c r="A1228" s="51" t="n"/>
      <c r="B1228" s="52" t="n"/>
      <c r="C1228" s="52" t="n"/>
      <c r="D1228" s="53" t="n"/>
      <c r="E1228" s="53" t="n"/>
      <c r="F1228" s="54" t="n"/>
      <c r="G1228" s="54" t="n"/>
      <c r="H1228" s="54" t="n"/>
      <c r="I1228" s="54" t="n"/>
      <c r="J1228" s="53" t="n"/>
      <c r="K1228" s="55" t="str">
        <f>IF(COUNTA(A1228:I1228)=0,"",IF(F1228="",IFERROR(INDEX(eq_dur,MATCH(B1228,eq_code,0)),""),F1228))</f>
        <v/>
      </c>
      <c r="L1228" s="55" t="str">
        <f>IF(ISNUMBER(K1228),N(IFERROR(INDEX(eq_pause,MATCH(B1228,eq_code,0)),0))+SUMIFS(st_min,st_date,A1228,st_eq,B1228,st_po,C1228,st_type,"Planifié"),"")</f>
        <v/>
      </c>
      <c r="M1228" s="55" t="str">
        <f>IF(ISNUMBER(K1228),K1228-L1228,"")</f>
        <v/>
      </c>
      <c r="N1228" s="55" t="str">
        <f>IF(ISNUMBER(K1228),SUMIFS(st_min,st_date,A1228,st_eq,B1228,st_po,C1228,st_type,"Non planifié"),"")</f>
        <v/>
      </c>
      <c r="O1228" s="55" t="str">
        <f>IF(ISNUMBER(K1228),M1228-N1228,"")</f>
        <v/>
      </c>
      <c r="P1228" s="55" t="str">
        <f>IF(COUNTA(A1228:I1228)=0,"",N(G1228)+N(H1228)+N(I1228))</f>
        <v/>
      </c>
      <c r="Q1228" s="56" t="str">
        <f>IF(COUNTA(A1228:I1228)=0,"",IF(N(IFERROR(INDEX(art_rate,MATCH(E1228,art_ref,0)),0))&gt;0,N(IFERROR(INDEX(art_rate,MATCH(E1228,art_ref,0)),0)),N(IFERROR(INDEX(po_rate,MATCH(C1228,po_code,0)),0))))</f>
        <v/>
      </c>
      <c r="R1228" s="55" t="str">
        <f>IF(AC1228=1,P1228*60/Q1228,"")</f>
        <v/>
      </c>
      <c r="S1228" s="55" t="str">
        <f>IF(AC1228=1,N(G1228)*60/Q1228,"")</f>
        <v/>
      </c>
      <c r="T1228" s="57" t="str">
        <f>IF(AC1228=1,O1228/M1228,"")</f>
        <v/>
      </c>
      <c r="U1228" s="57" t="str">
        <f>IF(AC1228=1,IF(O1228&gt;0,R1228/O1228,""),"")</f>
        <v/>
      </c>
      <c r="V1228" s="57" t="str">
        <f>IF(AC1228=1,IF(P1228&gt;0,N(G1228)/P1228,""),"")</f>
        <v/>
      </c>
      <c r="W1228" s="57" t="str">
        <f>IF(AC1228=1,S1228/M1228,"")</f>
        <v/>
      </c>
      <c r="X1228" s="57" t="str">
        <f>IF(AC1228=1,S1228/K1228,"")</f>
        <v/>
      </c>
      <c r="Y1228" s="58" t="str">
        <f>IF(W1228="","",IF(W1228&gt;=p_target,"Bon",IF(W1228&gt;=p_alert,"À surveiller","Faible")))</f>
        <v/>
      </c>
      <c r="Z1228" s="58" t="str">
        <f>IF(W1228="","",IF(MIN(IF(T1228="",1,T1228),IF(U1228="",1,U1228),IF(V1228="",1,V1228))&gt;=1,"Aucune",IF(IF(T1228="",1,T1228)&lt;=MIN(IF(U1228="",1,U1228),IF(V1228="",1,V1228)),"Disponibilité",IF(IF(U1228="",1,U1228)&lt;=IF(V1228="",1,V1228),"Performance","Qualité"))))</f>
        <v/>
      </c>
      <c r="AA1228" s="59" t="str">
        <f>IF(AC1228=1,N(H1228)*N(IFERROR(INDEX(art_cost,MATCH(E1228,art_ref,0)),0)),"")</f>
        <v/>
      </c>
      <c r="AB1228" s="58" t="str">
        <f>IF(COUNTA(A1228:I1228)=0,"",IF(N(A1228)&lt;=0,"Date manquante ou invalide",IF(B1228="","Équipe manquante",IF(ISNA(MATCH(B1228,eq_code,0)),"Équipe inconnue",IF(INDEX(eq_check,MATCH(B1228,eq_code,0))&lt;&gt;"OK","Équipe à corriger dans Paramètres",IF(C1228="","Poste manquant",IF(ISNA(MATCH(C1228,po_code,0)),"Poste inconnu",IF(AND(E1228&lt;&gt;"",ISNA(MATCH(E1228,art_ref,0))),"Article inconnu",IF(IF(E1228="",FALSE,INDEX(art_check,MATCH(E1228,art_ref,0))&lt;&gt;"OK"),"Article à corriger (feuille Articles)",IF(COUNTIFS(sj_date,A1228,sj_eq,B1228,sj_po,C1228)&gt;1,"Ligne en double (même jour, équipe et poste)",IF(OR(NOT(ISNUMBER(K1228)),N(K1228)&lt;=0,N(K1228)&gt;1440),"Temps d'ouverture invalide",IF(OR(AND(G1228&lt;&gt;"",NOT(ISNUMBER(G1228))),N(G1228)&lt;0,N(G1228)&lt;&gt;INT(N(G1228)),AND(H1228&lt;&gt;"",NOT(ISNUMBER(H1228))),N(H1228)&lt;0,N(H1228)&lt;&gt;INT(N(H1228)),AND(I1228&lt;&gt;"",NOT(ISNUMBER(I1228))),N(I1228)&lt;0,N(I1228)&lt;&gt;INT(N(I1228))),"Quantité invalide",IF(Q1228&lt;=0,"Cadence manquante (poste ou article)",IF(M1228&lt;=0,"Arrêts planifiés supérieurs au temps d'ouverture",IF(O1228&lt;0,"Arrêts supérieurs au temps requis",IF(AND(P1228&gt;0,O1228=0),"Pièces déclarées sans temps de marche",IF(AND(P1228=0,O1228&gt;0),"Aucune pièce déclarée",IF(P1228*60/Q1228&gt;O1228+0.001,"Cadence dépassée : vérifiez la cadence","OK"))))))))))))))))))</f>
        <v/>
      </c>
      <c r="AC1228">
        <f>IF(OR(AB1228="OK",AB1228="Aucune pièce déclarée",AB1228="Cadence dépassée : vérifiez la cadence"),1,0)</f>
        <v>0.0</v>
      </c>
      <c r="AD1228">
        <f>IF(AND(AC1228=1,A1228&gt;=p_from,A1228&lt;=p_to),1,0)</f>
        <v>0.0</v>
      </c>
      <c r="AE1228">
        <f>IF(AD1228=1,IF(COUNTIFS($A$6:A1228,A1228,$AD$6:AD1228,1)=1,1,0),0)</f>
        <v>0.0</v>
      </c>
      <c r="AF1228" t="str">
        <f>IF(AE1228=1,COUNTIFS(sj_first,1,sj_date,"&lt;"&amp;A1228)+1,"")</f>
        <v/>
      </c>
      <c r="AG1228" t="str">
        <f>IF(AND(AD1228=1,N(W1228)&lt;p_alert),ROUND(W1228,4),"")</f>
        <v/>
      </c>
      <c r="AH1228" t="str">
        <f>IF(AG1228="","",COUNTIF(sj_akey,"&lt;"&amp;AG1228)+COUNTIF($AG$6:AG1228,AG1228))</f>
        <v/>
      </c>
    </row>
    <row r="1229">
      <c r="A1229" s="51" t="n"/>
      <c r="B1229" s="52" t="n"/>
      <c r="C1229" s="52" t="n"/>
      <c r="D1229" s="53" t="n"/>
      <c r="E1229" s="53" t="n"/>
      <c r="F1229" s="54" t="n"/>
      <c r="G1229" s="54" t="n"/>
      <c r="H1229" s="54" t="n"/>
      <c r="I1229" s="54" t="n"/>
      <c r="J1229" s="53" t="n"/>
      <c r="K1229" s="55" t="str">
        <f>IF(COUNTA(A1229:I1229)=0,"",IF(F1229="",IFERROR(INDEX(eq_dur,MATCH(B1229,eq_code,0)),""),F1229))</f>
        <v/>
      </c>
      <c r="L1229" s="55" t="str">
        <f>IF(ISNUMBER(K1229),N(IFERROR(INDEX(eq_pause,MATCH(B1229,eq_code,0)),0))+SUMIFS(st_min,st_date,A1229,st_eq,B1229,st_po,C1229,st_type,"Planifié"),"")</f>
        <v/>
      </c>
      <c r="M1229" s="55" t="str">
        <f>IF(ISNUMBER(K1229),K1229-L1229,"")</f>
        <v/>
      </c>
      <c r="N1229" s="55" t="str">
        <f>IF(ISNUMBER(K1229),SUMIFS(st_min,st_date,A1229,st_eq,B1229,st_po,C1229,st_type,"Non planifié"),"")</f>
        <v/>
      </c>
      <c r="O1229" s="55" t="str">
        <f>IF(ISNUMBER(K1229),M1229-N1229,"")</f>
        <v/>
      </c>
      <c r="P1229" s="55" t="str">
        <f>IF(COUNTA(A1229:I1229)=0,"",N(G1229)+N(H1229)+N(I1229))</f>
        <v/>
      </c>
      <c r="Q1229" s="56" t="str">
        <f>IF(COUNTA(A1229:I1229)=0,"",IF(N(IFERROR(INDEX(art_rate,MATCH(E1229,art_ref,0)),0))&gt;0,N(IFERROR(INDEX(art_rate,MATCH(E1229,art_ref,0)),0)),N(IFERROR(INDEX(po_rate,MATCH(C1229,po_code,0)),0))))</f>
        <v/>
      </c>
      <c r="R1229" s="55" t="str">
        <f>IF(AC1229=1,P1229*60/Q1229,"")</f>
        <v/>
      </c>
      <c r="S1229" s="55" t="str">
        <f>IF(AC1229=1,N(G1229)*60/Q1229,"")</f>
        <v/>
      </c>
      <c r="T1229" s="57" t="str">
        <f>IF(AC1229=1,O1229/M1229,"")</f>
        <v/>
      </c>
      <c r="U1229" s="57" t="str">
        <f>IF(AC1229=1,IF(O1229&gt;0,R1229/O1229,""),"")</f>
        <v/>
      </c>
      <c r="V1229" s="57" t="str">
        <f>IF(AC1229=1,IF(P1229&gt;0,N(G1229)/P1229,""),"")</f>
        <v/>
      </c>
      <c r="W1229" s="57" t="str">
        <f>IF(AC1229=1,S1229/M1229,"")</f>
        <v/>
      </c>
      <c r="X1229" s="57" t="str">
        <f>IF(AC1229=1,S1229/K1229,"")</f>
        <v/>
      </c>
      <c r="Y1229" s="58" t="str">
        <f>IF(W1229="","",IF(W1229&gt;=p_target,"Bon",IF(W1229&gt;=p_alert,"À surveiller","Faible")))</f>
        <v/>
      </c>
      <c r="Z1229" s="58" t="str">
        <f>IF(W1229="","",IF(MIN(IF(T1229="",1,T1229),IF(U1229="",1,U1229),IF(V1229="",1,V1229))&gt;=1,"Aucune",IF(IF(T1229="",1,T1229)&lt;=MIN(IF(U1229="",1,U1229),IF(V1229="",1,V1229)),"Disponibilité",IF(IF(U1229="",1,U1229)&lt;=IF(V1229="",1,V1229),"Performance","Qualité"))))</f>
        <v/>
      </c>
      <c r="AA1229" s="59" t="str">
        <f>IF(AC1229=1,N(H1229)*N(IFERROR(INDEX(art_cost,MATCH(E1229,art_ref,0)),0)),"")</f>
        <v/>
      </c>
      <c r="AB1229" s="58" t="str">
        <f>IF(COUNTA(A1229:I1229)=0,"",IF(N(A1229)&lt;=0,"Date manquante ou invalide",IF(B1229="","Équipe manquante",IF(ISNA(MATCH(B1229,eq_code,0)),"Équipe inconnue",IF(INDEX(eq_check,MATCH(B1229,eq_code,0))&lt;&gt;"OK","Équipe à corriger dans Paramètres",IF(C1229="","Poste manquant",IF(ISNA(MATCH(C1229,po_code,0)),"Poste inconnu",IF(AND(E1229&lt;&gt;"",ISNA(MATCH(E1229,art_ref,0))),"Article inconnu",IF(IF(E1229="",FALSE,INDEX(art_check,MATCH(E1229,art_ref,0))&lt;&gt;"OK"),"Article à corriger (feuille Articles)",IF(COUNTIFS(sj_date,A1229,sj_eq,B1229,sj_po,C1229)&gt;1,"Ligne en double (même jour, équipe et poste)",IF(OR(NOT(ISNUMBER(K1229)),N(K1229)&lt;=0,N(K1229)&gt;1440),"Temps d'ouverture invalide",IF(OR(AND(G1229&lt;&gt;"",NOT(ISNUMBER(G1229))),N(G1229)&lt;0,N(G1229)&lt;&gt;INT(N(G1229)),AND(H1229&lt;&gt;"",NOT(ISNUMBER(H1229))),N(H1229)&lt;0,N(H1229)&lt;&gt;INT(N(H1229)),AND(I1229&lt;&gt;"",NOT(ISNUMBER(I1229))),N(I1229)&lt;0,N(I1229)&lt;&gt;INT(N(I1229))),"Quantité invalide",IF(Q1229&lt;=0,"Cadence manquante (poste ou article)",IF(M1229&lt;=0,"Arrêts planifiés supérieurs au temps d'ouverture",IF(O1229&lt;0,"Arrêts supérieurs au temps requis",IF(AND(P1229&gt;0,O1229=0),"Pièces déclarées sans temps de marche",IF(AND(P1229=0,O1229&gt;0),"Aucune pièce déclarée",IF(P1229*60/Q1229&gt;O1229+0.001,"Cadence dépassée : vérifiez la cadence","OK"))))))))))))))))))</f>
        <v/>
      </c>
      <c r="AC1229">
        <f>IF(OR(AB1229="OK",AB1229="Aucune pièce déclarée",AB1229="Cadence dépassée : vérifiez la cadence"),1,0)</f>
        <v>0.0</v>
      </c>
      <c r="AD1229">
        <f>IF(AND(AC1229=1,A1229&gt;=p_from,A1229&lt;=p_to),1,0)</f>
        <v>0.0</v>
      </c>
      <c r="AE1229">
        <f>IF(AD1229=1,IF(COUNTIFS($A$6:A1229,A1229,$AD$6:AD1229,1)=1,1,0),0)</f>
        <v>0.0</v>
      </c>
      <c r="AF1229" t="str">
        <f>IF(AE1229=1,COUNTIFS(sj_first,1,sj_date,"&lt;"&amp;A1229)+1,"")</f>
        <v/>
      </c>
      <c r="AG1229" t="str">
        <f>IF(AND(AD1229=1,N(W1229)&lt;p_alert),ROUND(W1229,4),"")</f>
        <v/>
      </c>
      <c r="AH1229" t="str">
        <f>IF(AG1229="","",COUNTIF(sj_akey,"&lt;"&amp;AG1229)+COUNTIF($AG$6:AG1229,AG1229))</f>
        <v/>
      </c>
    </row>
    <row r="1230">
      <c r="A1230" s="51" t="n"/>
      <c r="B1230" s="52" t="n"/>
      <c r="C1230" s="52" t="n"/>
      <c r="D1230" s="53" t="n"/>
      <c r="E1230" s="53" t="n"/>
      <c r="F1230" s="54" t="n"/>
      <c r="G1230" s="54" t="n"/>
      <c r="H1230" s="54" t="n"/>
      <c r="I1230" s="54" t="n"/>
      <c r="J1230" s="53" t="n"/>
      <c r="K1230" s="55" t="str">
        <f>IF(COUNTA(A1230:I1230)=0,"",IF(F1230="",IFERROR(INDEX(eq_dur,MATCH(B1230,eq_code,0)),""),F1230))</f>
        <v/>
      </c>
      <c r="L1230" s="55" t="str">
        <f>IF(ISNUMBER(K1230),N(IFERROR(INDEX(eq_pause,MATCH(B1230,eq_code,0)),0))+SUMIFS(st_min,st_date,A1230,st_eq,B1230,st_po,C1230,st_type,"Planifié"),"")</f>
        <v/>
      </c>
      <c r="M1230" s="55" t="str">
        <f>IF(ISNUMBER(K1230),K1230-L1230,"")</f>
        <v/>
      </c>
      <c r="N1230" s="55" t="str">
        <f>IF(ISNUMBER(K1230),SUMIFS(st_min,st_date,A1230,st_eq,B1230,st_po,C1230,st_type,"Non planifié"),"")</f>
        <v/>
      </c>
      <c r="O1230" s="55" t="str">
        <f>IF(ISNUMBER(K1230),M1230-N1230,"")</f>
        <v/>
      </c>
      <c r="P1230" s="55" t="str">
        <f>IF(COUNTA(A1230:I1230)=0,"",N(G1230)+N(H1230)+N(I1230))</f>
        <v/>
      </c>
      <c r="Q1230" s="56" t="str">
        <f>IF(COUNTA(A1230:I1230)=0,"",IF(N(IFERROR(INDEX(art_rate,MATCH(E1230,art_ref,0)),0))&gt;0,N(IFERROR(INDEX(art_rate,MATCH(E1230,art_ref,0)),0)),N(IFERROR(INDEX(po_rate,MATCH(C1230,po_code,0)),0))))</f>
        <v/>
      </c>
      <c r="R1230" s="55" t="str">
        <f>IF(AC1230=1,P1230*60/Q1230,"")</f>
        <v/>
      </c>
      <c r="S1230" s="55" t="str">
        <f>IF(AC1230=1,N(G1230)*60/Q1230,"")</f>
        <v/>
      </c>
      <c r="T1230" s="57" t="str">
        <f>IF(AC1230=1,O1230/M1230,"")</f>
        <v/>
      </c>
      <c r="U1230" s="57" t="str">
        <f>IF(AC1230=1,IF(O1230&gt;0,R1230/O1230,""),"")</f>
        <v/>
      </c>
      <c r="V1230" s="57" t="str">
        <f>IF(AC1230=1,IF(P1230&gt;0,N(G1230)/P1230,""),"")</f>
        <v/>
      </c>
      <c r="W1230" s="57" t="str">
        <f>IF(AC1230=1,S1230/M1230,"")</f>
        <v/>
      </c>
      <c r="X1230" s="57" t="str">
        <f>IF(AC1230=1,S1230/K1230,"")</f>
        <v/>
      </c>
      <c r="Y1230" s="58" t="str">
        <f>IF(W1230="","",IF(W1230&gt;=p_target,"Bon",IF(W1230&gt;=p_alert,"À surveiller","Faible")))</f>
        <v/>
      </c>
      <c r="Z1230" s="58" t="str">
        <f>IF(W1230="","",IF(MIN(IF(T1230="",1,T1230),IF(U1230="",1,U1230),IF(V1230="",1,V1230))&gt;=1,"Aucune",IF(IF(T1230="",1,T1230)&lt;=MIN(IF(U1230="",1,U1230),IF(V1230="",1,V1230)),"Disponibilité",IF(IF(U1230="",1,U1230)&lt;=IF(V1230="",1,V1230),"Performance","Qualité"))))</f>
        <v/>
      </c>
      <c r="AA1230" s="59" t="str">
        <f>IF(AC1230=1,N(H1230)*N(IFERROR(INDEX(art_cost,MATCH(E1230,art_ref,0)),0)),"")</f>
        <v/>
      </c>
      <c r="AB1230" s="58" t="str">
        <f>IF(COUNTA(A1230:I1230)=0,"",IF(N(A1230)&lt;=0,"Date manquante ou invalide",IF(B1230="","Équipe manquante",IF(ISNA(MATCH(B1230,eq_code,0)),"Équipe inconnue",IF(INDEX(eq_check,MATCH(B1230,eq_code,0))&lt;&gt;"OK","Équipe à corriger dans Paramètres",IF(C1230="","Poste manquant",IF(ISNA(MATCH(C1230,po_code,0)),"Poste inconnu",IF(AND(E1230&lt;&gt;"",ISNA(MATCH(E1230,art_ref,0))),"Article inconnu",IF(IF(E1230="",FALSE,INDEX(art_check,MATCH(E1230,art_ref,0))&lt;&gt;"OK"),"Article à corriger (feuille Articles)",IF(COUNTIFS(sj_date,A1230,sj_eq,B1230,sj_po,C1230)&gt;1,"Ligne en double (même jour, équipe et poste)",IF(OR(NOT(ISNUMBER(K1230)),N(K1230)&lt;=0,N(K1230)&gt;1440),"Temps d'ouverture invalide",IF(OR(AND(G1230&lt;&gt;"",NOT(ISNUMBER(G1230))),N(G1230)&lt;0,N(G1230)&lt;&gt;INT(N(G1230)),AND(H1230&lt;&gt;"",NOT(ISNUMBER(H1230))),N(H1230)&lt;0,N(H1230)&lt;&gt;INT(N(H1230)),AND(I1230&lt;&gt;"",NOT(ISNUMBER(I1230))),N(I1230)&lt;0,N(I1230)&lt;&gt;INT(N(I1230))),"Quantité invalide",IF(Q1230&lt;=0,"Cadence manquante (poste ou article)",IF(M1230&lt;=0,"Arrêts planifiés supérieurs au temps d'ouverture",IF(O1230&lt;0,"Arrêts supérieurs au temps requis",IF(AND(P1230&gt;0,O1230=0),"Pièces déclarées sans temps de marche",IF(AND(P1230=0,O1230&gt;0),"Aucune pièce déclarée",IF(P1230*60/Q1230&gt;O1230+0.001,"Cadence dépassée : vérifiez la cadence","OK"))))))))))))))))))</f>
        <v/>
      </c>
      <c r="AC1230">
        <f>IF(OR(AB1230="OK",AB1230="Aucune pièce déclarée",AB1230="Cadence dépassée : vérifiez la cadence"),1,0)</f>
        <v>0.0</v>
      </c>
      <c r="AD1230">
        <f>IF(AND(AC1230=1,A1230&gt;=p_from,A1230&lt;=p_to),1,0)</f>
        <v>0.0</v>
      </c>
      <c r="AE1230">
        <f>IF(AD1230=1,IF(COUNTIFS($A$6:A1230,A1230,$AD$6:AD1230,1)=1,1,0),0)</f>
        <v>0.0</v>
      </c>
      <c r="AF1230" t="str">
        <f>IF(AE1230=1,COUNTIFS(sj_first,1,sj_date,"&lt;"&amp;A1230)+1,"")</f>
        <v/>
      </c>
      <c r="AG1230" t="str">
        <f>IF(AND(AD1230=1,N(W1230)&lt;p_alert),ROUND(W1230,4),"")</f>
        <v/>
      </c>
      <c r="AH1230" t="str">
        <f>IF(AG1230="","",COUNTIF(sj_akey,"&lt;"&amp;AG1230)+COUNTIF($AG$6:AG1230,AG1230))</f>
        <v/>
      </c>
    </row>
    <row r="1231">
      <c r="A1231" s="51" t="n"/>
      <c r="B1231" s="52" t="n"/>
      <c r="C1231" s="52" t="n"/>
      <c r="D1231" s="53" t="n"/>
      <c r="E1231" s="53" t="n"/>
      <c r="F1231" s="54" t="n"/>
      <c r="G1231" s="54" t="n"/>
      <c r="H1231" s="54" t="n"/>
      <c r="I1231" s="54" t="n"/>
      <c r="J1231" s="53" t="n"/>
      <c r="K1231" s="55" t="str">
        <f>IF(COUNTA(A1231:I1231)=0,"",IF(F1231="",IFERROR(INDEX(eq_dur,MATCH(B1231,eq_code,0)),""),F1231))</f>
        <v/>
      </c>
      <c r="L1231" s="55" t="str">
        <f>IF(ISNUMBER(K1231),N(IFERROR(INDEX(eq_pause,MATCH(B1231,eq_code,0)),0))+SUMIFS(st_min,st_date,A1231,st_eq,B1231,st_po,C1231,st_type,"Planifié"),"")</f>
        <v/>
      </c>
      <c r="M1231" s="55" t="str">
        <f>IF(ISNUMBER(K1231),K1231-L1231,"")</f>
        <v/>
      </c>
      <c r="N1231" s="55" t="str">
        <f>IF(ISNUMBER(K1231),SUMIFS(st_min,st_date,A1231,st_eq,B1231,st_po,C1231,st_type,"Non planifié"),"")</f>
        <v/>
      </c>
      <c r="O1231" s="55" t="str">
        <f>IF(ISNUMBER(K1231),M1231-N1231,"")</f>
        <v/>
      </c>
      <c r="P1231" s="55" t="str">
        <f>IF(COUNTA(A1231:I1231)=0,"",N(G1231)+N(H1231)+N(I1231))</f>
        <v/>
      </c>
      <c r="Q1231" s="56" t="str">
        <f>IF(COUNTA(A1231:I1231)=0,"",IF(N(IFERROR(INDEX(art_rate,MATCH(E1231,art_ref,0)),0))&gt;0,N(IFERROR(INDEX(art_rate,MATCH(E1231,art_ref,0)),0)),N(IFERROR(INDEX(po_rate,MATCH(C1231,po_code,0)),0))))</f>
        <v/>
      </c>
      <c r="R1231" s="55" t="str">
        <f>IF(AC1231=1,P1231*60/Q1231,"")</f>
        <v/>
      </c>
      <c r="S1231" s="55" t="str">
        <f>IF(AC1231=1,N(G1231)*60/Q1231,"")</f>
        <v/>
      </c>
      <c r="T1231" s="57" t="str">
        <f>IF(AC1231=1,O1231/M1231,"")</f>
        <v/>
      </c>
      <c r="U1231" s="57" t="str">
        <f>IF(AC1231=1,IF(O1231&gt;0,R1231/O1231,""),"")</f>
        <v/>
      </c>
      <c r="V1231" s="57" t="str">
        <f>IF(AC1231=1,IF(P1231&gt;0,N(G1231)/P1231,""),"")</f>
        <v/>
      </c>
      <c r="W1231" s="57" t="str">
        <f>IF(AC1231=1,S1231/M1231,"")</f>
        <v/>
      </c>
      <c r="X1231" s="57" t="str">
        <f>IF(AC1231=1,S1231/K1231,"")</f>
        <v/>
      </c>
      <c r="Y1231" s="58" t="str">
        <f>IF(W1231="","",IF(W1231&gt;=p_target,"Bon",IF(W1231&gt;=p_alert,"À surveiller","Faible")))</f>
        <v/>
      </c>
      <c r="Z1231" s="58" t="str">
        <f>IF(W1231="","",IF(MIN(IF(T1231="",1,T1231),IF(U1231="",1,U1231),IF(V1231="",1,V1231))&gt;=1,"Aucune",IF(IF(T1231="",1,T1231)&lt;=MIN(IF(U1231="",1,U1231),IF(V1231="",1,V1231)),"Disponibilité",IF(IF(U1231="",1,U1231)&lt;=IF(V1231="",1,V1231),"Performance","Qualité"))))</f>
        <v/>
      </c>
      <c r="AA1231" s="59" t="str">
        <f>IF(AC1231=1,N(H1231)*N(IFERROR(INDEX(art_cost,MATCH(E1231,art_ref,0)),0)),"")</f>
        <v/>
      </c>
      <c r="AB1231" s="58" t="str">
        <f>IF(COUNTA(A1231:I1231)=0,"",IF(N(A1231)&lt;=0,"Date manquante ou invalide",IF(B1231="","Équipe manquante",IF(ISNA(MATCH(B1231,eq_code,0)),"Équipe inconnue",IF(INDEX(eq_check,MATCH(B1231,eq_code,0))&lt;&gt;"OK","Équipe à corriger dans Paramètres",IF(C1231="","Poste manquant",IF(ISNA(MATCH(C1231,po_code,0)),"Poste inconnu",IF(AND(E1231&lt;&gt;"",ISNA(MATCH(E1231,art_ref,0))),"Article inconnu",IF(IF(E1231="",FALSE,INDEX(art_check,MATCH(E1231,art_ref,0))&lt;&gt;"OK"),"Article à corriger (feuille Articles)",IF(COUNTIFS(sj_date,A1231,sj_eq,B1231,sj_po,C1231)&gt;1,"Ligne en double (même jour, équipe et poste)",IF(OR(NOT(ISNUMBER(K1231)),N(K1231)&lt;=0,N(K1231)&gt;1440),"Temps d'ouverture invalide",IF(OR(AND(G1231&lt;&gt;"",NOT(ISNUMBER(G1231))),N(G1231)&lt;0,N(G1231)&lt;&gt;INT(N(G1231)),AND(H1231&lt;&gt;"",NOT(ISNUMBER(H1231))),N(H1231)&lt;0,N(H1231)&lt;&gt;INT(N(H1231)),AND(I1231&lt;&gt;"",NOT(ISNUMBER(I1231))),N(I1231)&lt;0,N(I1231)&lt;&gt;INT(N(I1231))),"Quantité invalide",IF(Q1231&lt;=0,"Cadence manquante (poste ou article)",IF(M1231&lt;=0,"Arrêts planifiés supérieurs au temps d'ouverture",IF(O1231&lt;0,"Arrêts supérieurs au temps requis",IF(AND(P1231&gt;0,O1231=0),"Pièces déclarées sans temps de marche",IF(AND(P1231=0,O1231&gt;0),"Aucune pièce déclarée",IF(P1231*60/Q1231&gt;O1231+0.001,"Cadence dépassée : vérifiez la cadence","OK"))))))))))))))))))</f>
        <v/>
      </c>
      <c r="AC1231">
        <f>IF(OR(AB1231="OK",AB1231="Aucune pièce déclarée",AB1231="Cadence dépassée : vérifiez la cadence"),1,0)</f>
        <v>0.0</v>
      </c>
      <c r="AD1231">
        <f>IF(AND(AC1231=1,A1231&gt;=p_from,A1231&lt;=p_to),1,0)</f>
        <v>0.0</v>
      </c>
      <c r="AE1231">
        <f>IF(AD1231=1,IF(COUNTIFS($A$6:A1231,A1231,$AD$6:AD1231,1)=1,1,0),0)</f>
        <v>0.0</v>
      </c>
      <c r="AF1231" t="str">
        <f>IF(AE1231=1,COUNTIFS(sj_first,1,sj_date,"&lt;"&amp;A1231)+1,"")</f>
        <v/>
      </c>
      <c r="AG1231" t="str">
        <f>IF(AND(AD1231=1,N(W1231)&lt;p_alert),ROUND(W1231,4),"")</f>
        <v/>
      </c>
      <c r="AH1231" t="str">
        <f>IF(AG1231="","",COUNTIF(sj_akey,"&lt;"&amp;AG1231)+COUNTIF($AG$6:AG1231,AG1231))</f>
        <v/>
      </c>
    </row>
    <row r="1232">
      <c r="A1232" s="51" t="n"/>
      <c r="B1232" s="52" t="n"/>
      <c r="C1232" s="52" t="n"/>
      <c r="D1232" s="53" t="n"/>
      <c r="E1232" s="53" t="n"/>
      <c r="F1232" s="54" t="n"/>
      <c r="G1232" s="54" t="n"/>
      <c r="H1232" s="54" t="n"/>
      <c r="I1232" s="54" t="n"/>
      <c r="J1232" s="53" t="n"/>
      <c r="K1232" s="55" t="str">
        <f>IF(COUNTA(A1232:I1232)=0,"",IF(F1232="",IFERROR(INDEX(eq_dur,MATCH(B1232,eq_code,0)),""),F1232))</f>
        <v/>
      </c>
      <c r="L1232" s="55" t="str">
        <f>IF(ISNUMBER(K1232),N(IFERROR(INDEX(eq_pause,MATCH(B1232,eq_code,0)),0))+SUMIFS(st_min,st_date,A1232,st_eq,B1232,st_po,C1232,st_type,"Planifié"),"")</f>
        <v/>
      </c>
      <c r="M1232" s="55" t="str">
        <f>IF(ISNUMBER(K1232),K1232-L1232,"")</f>
        <v/>
      </c>
      <c r="N1232" s="55" t="str">
        <f>IF(ISNUMBER(K1232),SUMIFS(st_min,st_date,A1232,st_eq,B1232,st_po,C1232,st_type,"Non planifié"),"")</f>
        <v/>
      </c>
      <c r="O1232" s="55" t="str">
        <f>IF(ISNUMBER(K1232),M1232-N1232,"")</f>
        <v/>
      </c>
      <c r="P1232" s="55" t="str">
        <f>IF(COUNTA(A1232:I1232)=0,"",N(G1232)+N(H1232)+N(I1232))</f>
        <v/>
      </c>
      <c r="Q1232" s="56" t="str">
        <f>IF(COUNTA(A1232:I1232)=0,"",IF(N(IFERROR(INDEX(art_rate,MATCH(E1232,art_ref,0)),0))&gt;0,N(IFERROR(INDEX(art_rate,MATCH(E1232,art_ref,0)),0)),N(IFERROR(INDEX(po_rate,MATCH(C1232,po_code,0)),0))))</f>
        <v/>
      </c>
      <c r="R1232" s="55" t="str">
        <f>IF(AC1232=1,P1232*60/Q1232,"")</f>
        <v/>
      </c>
      <c r="S1232" s="55" t="str">
        <f>IF(AC1232=1,N(G1232)*60/Q1232,"")</f>
        <v/>
      </c>
      <c r="T1232" s="57" t="str">
        <f>IF(AC1232=1,O1232/M1232,"")</f>
        <v/>
      </c>
      <c r="U1232" s="57" t="str">
        <f>IF(AC1232=1,IF(O1232&gt;0,R1232/O1232,""),"")</f>
        <v/>
      </c>
      <c r="V1232" s="57" t="str">
        <f>IF(AC1232=1,IF(P1232&gt;0,N(G1232)/P1232,""),"")</f>
        <v/>
      </c>
      <c r="W1232" s="57" t="str">
        <f>IF(AC1232=1,S1232/M1232,"")</f>
        <v/>
      </c>
      <c r="X1232" s="57" t="str">
        <f>IF(AC1232=1,S1232/K1232,"")</f>
        <v/>
      </c>
      <c r="Y1232" s="58" t="str">
        <f>IF(W1232="","",IF(W1232&gt;=p_target,"Bon",IF(W1232&gt;=p_alert,"À surveiller","Faible")))</f>
        <v/>
      </c>
      <c r="Z1232" s="58" t="str">
        <f>IF(W1232="","",IF(MIN(IF(T1232="",1,T1232),IF(U1232="",1,U1232),IF(V1232="",1,V1232))&gt;=1,"Aucune",IF(IF(T1232="",1,T1232)&lt;=MIN(IF(U1232="",1,U1232),IF(V1232="",1,V1232)),"Disponibilité",IF(IF(U1232="",1,U1232)&lt;=IF(V1232="",1,V1232),"Performance","Qualité"))))</f>
        <v/>
      </c>
      <c r="AA1232" s="59" t="str">
        <f>IF(AC1232=1,N(H1232)*N(IFERROR(INDEX(art_cost,MATCH(E1232,art_ref,0)),0)),"")</f>
        <v/>
      </c>
      <c r="AB1232" s="58" t="str">
        <f>IF(COUNTA(A1232:I1232)=0,"",IF(N(A1232)&lt;=0,"Date manquante ou invalide",IF(B1232="","Équipe manquante",IF(ISNA(MATCH(B1232,eq_code,0)),"Équipe inconnue",IF(INDEX(eq_check,MATCH(B1232,eq_code,0))&lt;&gt;"OK","Équipe à corriger dans Paramètres",IF(C1232="","Poste manquant",IF(ISNA(MATCH(C1232,po_code,0)),"Poste inconnu",IF(AND(E1232&lt;&gt;"",ISNA(MATCH(E1232,art_ref,0))),"Article inconnu",IF(IF(E1232="",FALSE,INDEX(art_check,MATCH(E1232,art_ref,0))&lt;&gt;"OK"),"Article à corriger (feuille Articles)",IF(COUNTIFS(sj_date,A1232,sj_eq,B1232,sj_po,C1232)&gt;1,"Ligne en double (même jour, équipe et poste)",IF(OR(NOT(ISNUMBER(K1232)),N(K1232)&lt;=0,N(K1232)&gt;1440),"Temps d'ouverture invalide",IF(OR(AND(G1232&lt;&gt;"",NOT(ISNUMBER(G1232))),N(G1232)&lt;0,N(G1232)&lt;&gt;INT(N(G1232)),AND(H1232&lt;&gt;"",NOT(ISNUMBER(H1232))),N(H1232)&lt;0,N(H1232)&lt;&gt;INT(N(H1232)),AND(I1232&lt;&gt;"",NOT(ISNUMBER(I1232))),N(I1232)&lt;0,N(I1232)&lt;&gt;INT(N(I1232))),"Quantité invalide",IF(Q1232&lt;=0,"Cadence manquante (poste ou article)",IF(M1232&lt;=0,"Arrêts planifiés supérieurs au temps d'ouverture",IF(O1232&lt;0,"Arrêts supérieurs au temps requis",IF(AND(P1232&gt;0,O1232=0),"Pièces déclarées sans temps de marche",IF(AND(P1232=0,O1232&gt;0),"Aucune pièce déclarée",IF(P1232*60/Q1232&gt;O1232+0.001,"Cadence dépassée : vérifiez la cadence","OK"))))))))))))))))))</f>
        <v/>
      </c>
      <c r="AC1232">
        <f>IF(OR(AB1232="OK",AB1232="Aucune pièce déclarée",AB1232="Cadence dépassée : vérifiez la cadence"),1,0)</f>
        <v>0.0</v>
      </c>
      <c r="AD1232">
        <f>IF(AND(AC1232=1,A1232&gt;=p_from,A1232&lt;=p_to),1,0)</f>
        <v>0.0</v>
      </c>
      <c r="AE1232">
        <f>IF(AD1232=1,IF(COUNTIFS($A$6:A1232,A1232,$AD$6:AD1232,1)=1,1,0),0)</f>
        <v>0.0</v>
      </c>
      <c r="AF1232" t="str">
        <f>IF(AE1232=1,COUNTIFS(sj_first,1,sj_date,"&lt;"&amp;A1232)+1,"")</f>
        <v/>
      </c>
      <c r="AG1232" t="str">
        <f>IF(AND(AD1232=1,N(W1232)&lt;p_alert),ROUND(W1232,4),"")</f>
        <v/>
      </c>
      <c r="AH1232" t="str">
        <f>IF(AG1232="","",COUNTIF(sj_akey,"&lt;"&amp;AG1232)+COUNTIF($AG$6:AG1232,AG1232))</f>
        <v/>
      </c>
    </row>
    <row r="1233">
      <c r="A1233" s="51" t="n"/>
      <c r="B1233" s="52" t="n"/>
      <c r="C1233" s="52" t="n"/>
      <c r="D1233" s="53" t="n"/>
      <c r="E1233" s="53" t="n"/>
      <c r="F1233" s="54" t="n"/>
      <c r="G1233" s="54" t="n"/>
      <c r="H1233" s="54" t="n"/>
      <c r="I1233" s="54" t="n"/>
      <c r="J1233" s="53" t="n"/>
      <c r="K1233" s="55" t="str">
        <f>IF(COUNTA(A1233:I1233)=0,"",IF(F1233="",IFERROR(INDEX(eq_dur,MATCH(B1233,eq_code,0)),""),F1233))</f>
        <v/>
      </c>
      <c r="L1233" s="55" t="str">
        <f>IF(ISNUMBER(K1233),N(IFERROR(INDEX(eq_pause,MATCH(B1233,eq_code,0)),0))+SUMIFS(st_min,st_date,A1233,st_eq,B1233,st_po,C1233,st_type,"Planifié"),"")</f>
        <v/>
      </c>
      <c r="M1233" s="55" t="str">
        <f>IF(ISNUMBER(K1233),K1233-L1233,"")</f>
        <v/>
      </c>
      <c r="N1233" s="55" t="str">
        <f>IF(ISNUMBER(K1233),SUMIFS(st_min,st_date,A1233,st_eq,B1233,st_po,C1233,st_type,"Non planifié"),"")</f>
        <v/>
      </c>
      <c r="O1233" s="55" t="str">
        <f>IF(ISNUMBER(K1233),M1233-N1233,"")</f>
        <v/>
      </c>
      <c r="P1233" s="55" t="str">
        <f>IF(COUNTA(A1233:I1233)=0,"",N(G1233)+N(H1233)+N(I1233))</f>
        <v/>
      </c>
      <c r="Q1233" s="56" t="str">
        <f>IF(COUNTA(A1233:I1233)=0,"",IF(N(IFERROR(INDEX(art_rate,MATCH(E1233,art_ref,0)),0))&gt;0,N(IFERROR(INDEX(art_rate,MATCH(E1233,art_ref,0)),0)),N(IFERROR(INDEX(po_rate,MATCH(C1233,po_code,0)),0))))</f>
        <v/>
      </c>
      <c r="R1233" s="55" t="str">
        <f>IF(AC1233=1,P1233*60/Q1233,"")</f>
        <v/>
      </c>
      <c r="S1233" s="55" t="str">
        <f>IF(AC1233=1,N(G1233)*60/Q1233,"")</f>
        <v/>
      </c>
      <c r="T1233" s="57" t="str">
        <f>IF(AC1233=1,O1233/M1233,"")</f>
        <v/>
      </c>
      <c r="U1233" s="57" t="str">
        <f>IF(AC1233=1,IF(O1233&gt;0,R1233/O1233,""),"")</f>
        <v/>
      </c>
      <c r="V1233" s="57" t="str">
        <f>IF(AC1233=1,IF(P1233&gt;0,N(G1233)/P1233,""),"")</f>
        <v/>
      </c>
      <c r="W1233" s="57" t="str">
        <f>IF(AC1233=1,S1233/M1233,"")</f>
        <v/>
      </c>
      <c r="X1233" s="57" t="str">
        <f>IF(AC1233=1,S1233/K1233,"")</f>
        <v/>
      </c>
      <c r="Y1233" s="58" t="str">
        <f>IF(W1233="","",IF(W1233&gt;=p_target,"Bon",IF(W1233&gt;=p_alert,"À surveiller","Faible")))</f>
        <v/>
      </c>
      <c r="Z1233" s="58" t="str">
        <f>IF(W1233="","",IF(MIN(IF(T1233="",1,T1233),IF(U1233="",1,U1233),IF(V1233="",1,V1233))&gt;=1,"Aucune",IF(IF(T1233="",1,T1233)&lt;=MIN(IF(U1233="",1,U1233),IF(V1233="",1,V1233)),"Disponibilité",IF(IF(U1233="",1,U1233)&lt;=IF(V1233="",1,V1233),"Performance","Qualité"))))</f>
        <v/>
      </c>
      <c r="AA1233" s="59" t="str">
        <f>IF(AC1233=1,N(H1233)*N(IFERROR(INDEX(art_cost,MATCH(E1233,art_ref,0)),0)),"")</f>
        <v/>
      </c>
      <c r="AB1233" s="58" t="str">
        <f>IF(COUNTA(A1233:I1233)=0,"",IF(N(A1233)&lt;=0,"Date manquante ou invalide",IF(B1233="","Équipe manquante",IF(ISNA(MATCH(B1233,eq_code,0)),"Équipe inconnue",IF(INDEX(eq_check,MATCH(B1233,eq_code,0))&lt;&gt;"OK","Équipe à corriger dans Paramètres",IF(C1233="","Poste manquant",IF(ISNA(MATCH(C1233,po_code,0)),"Poste inconnu",IF(AND(E1233&lt;&gt;"",ISNA(MATCH(E1233,art_ref,0))),"Article inconnu",IF(IF(E1233="",FALSE,INDEX(art_check,MATCH(E1233,art_ref,0))&lt;&gt;"OK"),"Article à corriger (feuille Articles)",IF(COUNTIFS(sj_date,A1233,sj_eq,B1233,sj_po,C1233)&gt;1,"Ligne en double (même jour, équipe et poste)",IF(OR(NOT(ISNUMBER(K1233)),N(K1233)&lt;=0,N(K1233)&gt;1440),"Temps d'ouverture invalide",IF(OR(AND(G1233&lt;&gt;"",NOT(ISNUMBER(G1233))),N(G1233)&lt;0,N(G1233)&lt;&gt;INT(N(G1233)),AND(H1233&lt;&gt;"",NOT(ISNUMBER(H1233))),N(H1233)&lt;0,N(H1233)&lt;&gt;INT(N(H1233)),AND(I1233&lt;&gt;"",NOT(ISNUMBER(I1233))),N(I1233)&lt;0,N(I1233)&lt;&gt;INT(N(I1233))),"Quantité invalide",IF(Q1233&lt;=0,"Cadence manquante (poste ou article)",IF(M1233&lt;=0,"Arrêts planifiés supérieurs au temps d'ouverture",IF(O1233&lt;0,"Arrêts supérieurs au temps requis",IF(AND(P1233&gt;0,O1233=0),"Pièces déclarées sans temps de marche",IF(AND(P1233=0,O1233&gt;0),"Aucune pièce déclarée",IF(P1233*60/Q1233&gt;O1233+0.001,"Cadence dépassée : vérifiez la cadence","OK"))))))))))))))))))</f>
        <v/>
      </c>
      <c r="AC1233">
        <f>IF(OR(AB1233="OK",AB1233="Aucune pièce déclarée",AB1233="Cadence dépassée : vérifiez la cadence"),1,0)</f>
        <v>0.0</v>
      </c>
      <c r="AD1233">
        <f>IF(AND(AC1233=1,A1233&gt;=p_from,A1233&lt;=p_to),1,0)</f>
        <v>0.0</v>
      </c>
      <c r="AE1233">
        <f>IF(AD1233=1,IF(COUNTIFS($A$6:A1233,A1233,$AD$6:AD1233,1)=1,1,0),0)</f>
        <v>0.0</v>
      </c>
      <c r="AF1233" t="str">
        <f>IF(AE1233=1,COUNTIFS(sj_first,1,sj_date,"&lt;"&amp;A1233)+1,"")</f>
        <v/>
      </c>
      <c r="AG1233" t="str">
        <f>IF(AND(AD1233=1,N(W1233)&lt;p_alert),ROUND(W1233,4),"")</f>
        <v/>
      </c>
      <c r="AH1233" t="str">
        <f>IF(AG1233="","",COUNTIF(sj_akey,"&lt;"&amp;AG1233)+COUNTIF($AG$6:AG1233,AG1233))</f>
        <v/>
      </c>
    </row>
    <row r="1234">
      <c r="A1234" s="51" t="n"/>
      <c r="B1234" s="52" t="n"/>
      <c r="C1234" s="52" t="n"/>
      <c r="D1234" s="53" t="n"/>
      <c r="E1234" s="53" t="n"/>
      <c r="F1234" s="54" t="n"/>
      <c r="G1234" s="54" t="n"/>
      <c r="H1234" s="54" t="n"/>
      <c r="I1234" s="54" t="n"/>
      <c r="J1234" s="53" t="n"/>
      <c r="K1234" s="55" t="str">
        <f>IF(COUNTA(A1234:I1234)=0,"",IF(F1234="",IFERROR(INDEX(eq_dur,MATCH(B1234,eq_code,0)),""),F1234))</f>
        <v/>
      </c>
      <c r="L1234" s="55" t="str">
        <f>IF(ISNUMBER(K1234),N(IFERROR(INDEX(eq_pause,MATCH(B1234,eq_code,0)),0))+SUMIFS(st_min,st_date,A1234,st_eq,B1234,st_po,C1234,st_type,"Planifié"),"")</f>
        <v/>
      </c>
      <c r="M1234" s="55" t="str">
        <f>IF(ISNUMBER(K1234),K1234-L1234,"")</f>
        <v/>
      </c>
      <c r="N1234" s="55" t="str">
        <f>IF(ISNUMBER(K1234),SUMIFS(st_min,st_date,A1234,st_eq,B1234,st_po,C1234,st_type,"Non planifié"),"")</f>
        <v/>
      </c>
      <c r="O1234" s="55" t="str">
        <f>IF(ISNUMBER(K1234),M1234-N1234,"")</f>
        <v/>
      </c>
      <c r="P1234" s="55" t="str">
        <f>IF(COUNTA(A1234:I1234)=0,"",N(G1234)+N(H1234)+N(I1234))</f>
        <v/>
      </c>
      <c r="Q1234" s="56" t="str">
        <f>IF(COUNTA(A1234:I1234)=0,"",IF(N(IFERROR(INDEX(art_rate,MATCH(E1234,art_ref,0)),0))&gt;0,N(IFERROR(INDEX(art_rate,MATCH(E1234,art_ref,0)),0)),N(IFERROR(INDEX(po_rate,MATCH(C1234,po_code,0)),0))))</f>
        <v/>
      </c>
      <c r="R1234" s="55" t="str">
        <f>IF(AC1234=1,P1234*60/Q1234,"")</f>
        <v/>
      </c>
      <c r="S1234" s="55" t="str">
        <f>IF(AC1234=1,N(G1234)*60/Q1234,"")</f>
        <v/>
      </c>
      <c r="T1234" s="57" t="str">
        <f>IF(AC1234=1,O1234/M1234,"")</f>
        <v/>
      </c>
      <c r="U1234" s="57" t="str">
        <f>IF(AC1234=1,IF(O1234&gt;0,R1234/O1234,""),"")</f>
        <v/>
      </c>
      <c r="V1234" s="57" t="str">
        <f>IF(AC1234=1,IF(P1234&gt;0,N(G1234)/P1234,""),"")</f>
        <v/>
      </c>
      <c r="W1234" s="57" t="str">
        <f>IF(AC1234=1,S1234/M1234,"")</f>
        <v/>
      </c>
      <c r="X1234" s="57" t="str">
        <f>IF(AC1234=1,S1234/K1234,"")</f>
        <v/>
      </c>
      <c r="Y1234" s="58" t="str">
        <f>IF(W1234="","",IF(W1234&gt;=p_target,"Bon",IF(W1234&gt;=p_alert,"À surveiller","Faible")))</f>
        <v/>
      </c>
      <c r="Z1234" s="58" t="str">
        <f>IF(W1234="","",IF(MIN(IF(T1234="",1,T1234),IF(U1234="",1,U1234),IF(V1234="",1,V1234))&gt;=1,"Aucune",IF(IF(T1234="",1,T1234)&lt;=MIN(IF(U1234="",1,U1234),IF(V1234="",1,V1234)),"Disponibilité",IF(IF(U1234="",1,U1234)&lt;=IF(V1234="",1,V1234),"Performance","Qualité"))))</f>
        <v/>
      </c>
      <c r="AA1234" s="59" t="str">
        <f>IF(AC1234=1,N(H1234)*N(IFERROR(INDEX(art_cost,MATCH(E1234,art_ref,0)),0)),"")</f>
        <v/>
      </c>
      <c r="AB1234" s="58" t="str">
        <f>IF(COUNTA(A1234:I1234)=0,"",IF(N(A1234)&lt;=0,"Date manquante ou invalide",IF(B1234="","Équipe manquante",IF(ISNA(MATCH(B1234,eq_code,0)),"Équipe inconnue",IF(INDEX(eq_check,MATCH(B1234,eq_code,0))&lt;&gt;"OK","Équipe à corriger dans Paramètres",IF(C1234="","Poste manquant",IF(ISNA(MATCH(C1234,po_code,0)),"Poste inconnu",IF(AND(E1234&lt;&gt;"",ISNA(MATCH(E1234,art_ref,0))),"Article inconnu",IF(IF(E1234="",FALSE,INDEX(art_check,MATCH(E1234,art_ref,0))&lt;&gt;"OK"),"Article à corriger (feuille Articles)",IF(COUNTIFS(sj_date,A1234,sj_eq,B1234,sj_po,C1234)&gt;1,"Ligne en double (même jour, équipe et poste)",IF(OR(NOT(ISNUMBER(K1234)),N(K1234)&lt;=0,N(K1234)&gt;1440),"Temps d'ouverture invalide",IF(OR(AND(G1234&lt;&gt;"",NOT(ISNUMBER(G1234))),N(G1234)&lt;0,N(G1234)&lt;&gt;INT(N(G1234)),AND(H1234&lt;&gt;"",NOT(ISNUMBER(H1234))),N(H1234)&lt;0,N(H1234)&lt;&gt;INT(N(H1234)),AND(I1234&lt;&gt;"",NOT(ISNUMBER(I1234))),N(I1234)&lt;0,N(I1234)&lt;&gt;INT(N(I1234))),"Quantité invalide",IF(Q1234&lt;=0,"Cadence manquante (poste ou article)",IF(M1234&lt;=0,"Arrêts planifiés supérieurs au temps d'ouverture",IF(O1234&lt;0,"Arrêts supérieurs au temps requis",IF(AND(P1234&gt;0,O1234=0),"Pièces déclarées sans temps de marche",IF(AND(P1234=0,O1234&gt;0),"Aucune pièce déclarée",IF(P1234*60/Q1234&gt;O1234+0.001,"Cadence dépassée : vérifiez la cadence","OK"))))))))))))))))))</f>
        <v/>
      </c>
      <c r="AC1234">
        <f>IF(OR(AB1234="OK",AB1234="Aucune pièce déclarée",AB1234="Cadence dépassée : vérifiez la cadence"),1,0)</f>
        <v>0.0</v>
      </c>
      <c r="AD1234">
        <f>IF(AND(AC1234=1,A1234&gt;=p_from,A1234&lt;=p_to),1,0)</f>
        <v>0.0</v>
      </c>
      <c r="AE1234">
        <f>IF(AD1234=1,IF(COUNTIFS($A$6:A1234,A1234,$AD$6:AD1234,1)=1,1,0),0)</f>
        <v>0.0</v>
      </c>
      <c r="AF1234" t="str">
        <f>IF(AE1234=1,COUNTIFS(sj_first,1,sj_date,"&lt;"&amp;A1234)+1,"")</f>
        <v/>
      </c>
      <c r="AG1234" t="str">
        <f>IF(AND(AD1234=1,N(W1234)&lt;p_alert),ROUND(W1234,4),"")</f>
        <v/>
      </c>
      <c r="AH1234" t="str">
        <f>IF(AG1234="","",COUNTIF(sj_akey,"&lt;"&amp;AG1234)+COUNTIF($AG$6:AG1234,AG1234))</f>
        <v/>
      </c>
    </row>
    <row r="1235">
      <c r="A1235" s="51" t="n"/>
      <c r="B1235" s="52" t="n"/>
      <c r="C1235" s="52" t="n"/>
      <c r="D1235" s="53" t="n"/>
      <c r="E1235" s="53" t="n"/>
      <c r="F1235" s="54" t="n"/>
      <c r="G1235" s="54" t="n"/>
      <c r="H1235" s="54" t="n"/>
      <c r="I1235" s="54" t="n"/>
      <c r="J1235" s="53" t="n"/>
      <c r="K1235" s="55" t="str">
        <f>IF(COUNTA(A1235:I1235)=0,"",IF(F1235="",IFERROR(INDEX(eq_dur,MATCH(B1235,eq_code,0)),""),F1235))</f>
        <v/>
      </c>
      <c r="L1235" s="55" t="str">
        <f>IF(ISNUMBER(K1235),N(IFERROR(INDEX(eq_pause,MATCH(B1235,eq_code,0)),0))+SUMIFS(st_min,st_date,A1235,st_eq,B1235,st_po,C1235,st_type,"Planifié"),"")</f>
        <v/>
      </c>
      <c r="M1235" s="55" t="str">
        <f>IF(ISNUMBER(K1235),K1235-L1235,"")</f>
        <v/>
      </c>
      <c r="N1235" s="55" t="str">
        <f>IF(ISNUMBER(K1235),SUMIFS(st_min,st_date,A1235,st_eq,B1235,st_po,C1235,st_type,"Non planifié"),"")</f>
        <v/>
      </c>
      <c r="O1235" s="55" t="str">
        <f>IF(ISNUMBER(K1235),M1235-N1235,"")</f>
        <v/>
      </c>
      <c r="P1235" s="55" t="str">
        <f>IF(COUNTA(A1235:I1235)=0,"",N(G1235)+N(H1235)+N(I1235))</f>
        <v/>
      </c>
      <c r="Q1235" s="56" t="str">
        <f>IF(COUNTA(A1235:I1235)=0,"",IF(N(IFERROR(INDEX(art_rate,MATCH(E1235,art_ref,0)),0))&gt;0,N(IFERROR(INDEX(art_rate,MATCH(E1235,art_ref,0)),0)),N(IFERROR(INDEX(po_rate,MATCH(C1235,po_code,0)),0))))</f>
        <v/>
      </c>
      <c r="R1235" s="55" t="str">
        <f>IF(AC1235=1,P1235*60/Q1235,"")</f>
        <v/>
      </c>
      <c r="S1235" s="55" t="str">
        <f>IF(AC1235=1,N(G1235)*60/Q1235,"")</f>
        <v/>
      </c>
      <c r="T1235" s="57" t="str">
        <f>IF(AC1235=1,O1235/M1235,"")</f>
        <v/>
      </c>
      <c r="U1235" s="57" t="str">
        <f>IF(AC1235=1,IF(O1235&gt;0,R1235/O1235,""),"")</f>
        <v/>
      </c>
      <c r="V1235" s="57" t="str">
        <f>IF(AC1235=1,IF(P1235&gt;0,N(G1235)/P1235,""),"")</f>
        <v/>
      </c>
      <c r="W1235" s="57" t="str">
        <f>IF(AC1235=1,S1235/M1235,"")</f>
        <v/>
      </c>
      <c r="X1235" s="57" t="str">
        <f>IF(AC1235=1,S1235/K1235,"")</f>
        <v/>
      </c>
      <c r="Y1235" s="58" t="str">
        <f>IF(W1235="","",IF(W1235&gt;=p_target,"Bon",IF(W1235&gt;=p_alert,"À surveiller","Faible")))</f>
        <v/>
      </c>
      <c r="Z1235" s="58" t="str">
        <f>IF(W1235="","",IF(MIN(IF(T1235="",1,T1235),IF(U1235="",1,U1235),IF(V1235="",1,V1235))&gt;=1,"Aucune",IF(IF(T1235="",1,T1235)&lt;=MIN(IF(U1235="",1,U1235),IF(V1235="",1,V1235)),"Disponibilité",IF(IF(U1235="",1,U1235)&lt;=IF(V1235="",1,V1235),"Performance","Qualité"))))</f>
        <v/>
      </c>
      <c r="AA1235" s="59" t="str">
        <f>IF(AC1235=1,N(H1235)*N(IFERROR(INDEX(art_cost,MATCH(E1235,art_ref,0)),0)),"")</f>
        <v/>
      </c>
      <c r="AB1235" s="58" t="str">
        <f>IF(COUNTA(A1235:I1235)=0,"",IF(N(A1235)&lt;=0,"Date manquante ou invalide",IF(B1235="","Équipe manquante",IF(ISNA(MATCH(B1235,eq_code,0)),"Équipe inconnue",IF(INDEX(eq_check,MATCH(B1235,eq_code,0))&lt;&gt;"OK","Équipe à corriger dans Paramètres",IF(C1235="","Poste manquant",IF(ISNA(MATCH(C1235,po_code,0)),"Poste inconnu",IF(AND(E1235&lt;&gt;"",ISNA(MATCH(E1235,art_ref,0))),"Article inconnu",IF(IF(E1235="",FALSE,INDEX(art_check,MATCH(E1235,art_ref,0))&lt;&gt;"OK"),"Article à corriger (feuille Articles)",IF(COUNTIFS(sj_date,A1235,sj_eq,B1235,sj_po,C1235)&gt;1,"Ligne en double (même jour, équipe et poste)",IF(OR(NOT(ISNUMBER(K1235)),N(K1235)&lt;=0,N(K1235)&gt;1440),"Temps d'ouverture invalide",IF(OR(AND(G1235&lt;&gt;"",NOT(ISNUMBER(G1235))),N(G1235)&lt;0,N(G1235)&lt;&gt;INT(N(G1235)),AND(H1235&lt;&gt;"",NOT(ISNUMBER(H1235))),N(H1235)&lt;0,N(H1235)&lt;&gt;INT(N(H1235)),AND(I1235&lt;&gt;"",NOT(ISNUMBER(I1235))),N(I1235)&lt;0,N(I1235)&lt;&gt;INT(N(I1235))),"Quantité invalide",IF(Q1235&lt;=0,"Cadence manquante (poste ou article)",IF(M1235&lt;=0,"Arrêts planifiés supérieurs au temps d'ouverture",IF(O1235&lt;0,"Arrêts supérieurs au temps requis",IF(AND(P1235&gt;0,O1235=0),"Pièces déclarées sans temps de marche",IF(AND(P1235=0,O1235&gt;0),"Aucune pièce déclarée",IF(P1235*60/Q1235&gt;O1235+0.001,"Cadence dépassée : vérifiez la cadence","OK"))))))))))))))))))</f>
        <v/>
      </c>
      <c r="AC1235">
        <f>IF(OR(AB1235="OK",AB1235="Aucune pièce déclarée",AB1235="Cadence dépassée : vérifiez la cadence"),1,0)</f>
        <v>0.0</v>
      </c>
      <c r="AD1235">
        <f>IF(AND(AC1235=1,A1235&gt;=p_from,A1235&lt;=p_to),1,0)</f>
        <v>0.0</v>
      </c>
      <c r="AE1235">
        <f>IF(AD1235=1,IF(COUNTIFS($A$6:A1235,A1235,$AD$6:AD1235,1)=1,1,0),0)</f>
        <v>0.0</v>
      </c>
      <c r="AF1235" t="str">
        <f>IF(AE1235=1,COUNTIFS(sj_first,1,sj_date,"&lt;"&amp;A1235)+1,"")</f>
        <v/>
      </c>
      <c r="AG1235" t="str">
        <f>IF(AND(AD1235=1,N(W1235)&lt;p_alert),ROUND(W1235,4),"")</f>
        <v/>
      </c>
      <c r="AH1235" t="str">
        <f>IF(AG1235="","",COUNTIF(sj_akey,"&lt;"&amp;AG1235)+COUNTIF($AG$6:AG1235,AG1235))</f>
        <v/>
      </c>
    </row>
    <row r="1236">
      <c r="A1236" s="51" t="n"/>
      <c r="B1236" s="52" t="n"/>
      <c r="C1236" s="52" t="n"/>
      <c r="D1236" s="53" t="n"/>
      <c r="E1236" s="53" t="n"/>
      <c r="F1236" s="54" t="n"/>
      <c r="G1236" s="54" t="n"/>
      <c r="H1236" s="54" t="n"/>
      <c r="I1236" s="54" t="n"/>
      <c r="J1236" s="53" t="n"/>
      <c r="K1236" s="55" t="str">
        <f>IF(COUNTA(A1236:I1236)=0,"",IF(F1236="",IFERROR(INDEX(eq_dur,MATCH(B1236,eq_code,0)),""),F1236))</f>
        <v/>
      </c>
      <c r="L1236" s="55" t="str">
        <f>IF(ISNUMBER(K1236),N(IFERROR(INDEX(eq_pause,MATCH(B1236,eq_code,0)),0))+SUMIFS(st_min,st_date,A1236,st_eq,B1236,st_po,C1236,st_type,"Planifié"),"")</f>
        <v/>
      </c>
      <c r="M1236" s="55" t="str">
        <f>IF(ISNUMBER(K1236),K1236-L1236,"")</f>
        <v/>
      </c>
      <c r="N1236" s="55" t="str">
        <f>IF(ISNUMBER(K1236),SUMIFS(st_min,st_date,A1236,st_eq,B1236,st_po,C1236,st_type,"Non planifié"),"")</f>
        <v/>
      </c>
      <c r="O1236" s="55" t="str">
        <f>IF(ISNUMBER(K1236),M1236-N1236,"")</f>
        <v/>
      </c>
      <c r="P1236" s="55" t="str">
        <f>IF(COUNTA(A1236:I1236)=0,"",N(G1236)+N(H1236)+N(I1236))</f>
        <v/>
      </c>
      <c r="Q1236" s="56" t="str">
        <f>IF(COUNTA(A1236:I1236)=0,"",IF(N(IFERROR(INDEX(art_rate,MATCH(E1236,art_ref,0)),0))&gt;0,N(IFERROR(INDEX(art_rate,MATCH(E1236,art_ref,0)),0)),N(IFERROR(INDEX(po_rate,MATCH(C1236,po_code,0)),0))))</f>
        <v/>
      </c>
      <c r="R1236" s="55" t="str">
        <f>IF(AC1236=1,P1236*60/Q1236,"")</f>
        <v/>
      </c>
      <c r="S1236" s="55" t="str">
        <f>IF(AC1236=1,N(G1236)*60/Q1236,"")</f>
        <v/>
      </c>
      <c r="T1236" s="57" t="str">
        <f>IF(AC1236=1,O1236/M1236,"")</f>
        <v/>
      </c>
      <c r="U1236" s="57" t="str">
        <f>IF(AC1236=1,IF(O1236&gt;0,R1236/O1236,""),"")</f>
        <v/>
      </c>
      <c r="V1236" s="57" t="str">
        <f>IF(AC1236=1,IF(P1236&gt;0,N(G1236)/P1236,""),"")</f>
        <v/>
      </c>
      <c r="W1236" s="57" t="str">
        <f>IF(AC1236=1,S1236/M1236,"")</f>
        <v/>
      </c>
      <c r="X1236" s="57" t="str">
        <f>IF(AC1236=1,S1236/K1236,"")</f>
        <v/>
      </c>
      <c r="Y1236" s="58" t="str">
        <f>IF(W1236="","",IF(W1236&gt;=p_target,"Bon",IF(W1236&gt;=p_alert,"À surveiller","Faible")))</f>
        <v/>
      </c>
      <c r="Z1236" s="58" t="str">
        <f>IF(W1236="","",IF(MIN(IF(T1236="",1,T1236),IF(U1236="",1,U1236),IF(V1236="",1,V1236))&gt;=1,"Aucune",IF(IF(T1236="",1,T1236)&lt;=MIN(IF(U1236="",1,U1236),IF(V1236="",1,V1236)),"Disponibilité",IF(IF(U1236="",1,U1236)&lt;=IF(V1236="",1,V1236),"Performance","Qualité"))))</f>
        <v/>
      </c>
      <c r="AA1236" s="59" t="str">
        <f>IF(AC1236=1,N(H1236)*N(IFERROR(INDEX(art_cost,MATCH(E1236,art_ref,0)),0)),"")</f>
        <v/>
      </c>
      <c r="AB1236" s="58" t="str">
        <f>IF(COUNTA(A1236:I1236)=0,"",IF(N(A1236)&lt;=0,"Date manquante ou invalide",IF(B1236="","Équipe manquante",IF(ISNA(MATCH(B1236,eq_code,0)),"Équipe inconnue",IF(INDEX(eq_check,MATCH(B1236,eq_code,0))&lt;&gt;"OK","Équipe à corriger dans Paramètres",IF(C1236="","Poste manquant",IF(ISNA(MATCH(C1236,po_code,0)),"Poste inconnu",IF(AND(E1236&lt;&gt;"",ISNA(MATCH(E1236,art_ref,0))),"Article inconnu",IF(IF(E1236="",FALSE,INDEX(art_check,MATCH(E1236,art_ref,0))&lt;&gt;"OK"),"Article à corriger (feuille Articles)",IF(COUNTIFS(sj_date,A1236,sj_eq,B1236,sj_po,C1236)&gt;1,"Ligne en double (même jour, équipe et poste)",IF(OR(NOT(ISNUMBER(K1236)),N(K1236)&lt;=0,N(K1236)&gt;1440),"Temps d'ouverture invalide",IF(OR(AND(G1236&lt;&gt;"",NOT(ISNUMBER(G1236))),N(G1236)&lt;0,N(G1236)&lt;&gt;INT(N(G1236)),AND(H1236&lt;&gt;"",NOT(ISNUMBER(H1236))),N(H1236)&lt;0,N(H1236)&lt;&gt;INT(N(H1236)),AND(I1236&lt;&gt;"",NOT(ISNUMBER(I1236))),N(I1236)&lt;0,N(I1236)&lt;&gt;INT(N(I1236))),"Quantité invalide",IF(Q1236&lt;=0,"Cadence manquante (poste ou article)",IF(M1236&lt;=0,"Arrêts planifiés supérieurs au temps d'ouverture",IF(O1236&lt;0,"Arrêts supérieurs au temps requis",IF(AND(P1236&gt;0,O1236=0),"Pièces déclarées sans temps de marche",IF(AND(P1236=0,O1236&gt;0),"Aucune pièce déclarée",IF(P1236*60/Q1236&gt;O1236+0.001,"Cadence dépassée : vérifiez la cadence","OK"))))))))))))))))))</f>
        <v/>
      </c>
      <c r="AC1236">
        <f>IF(OR(AB1236="OK",AB1236="Aucune pièce déclarée",AB1236="Cadence dépassée : vérifiez la cadence"),1,0)</f>
        <v>0.0</v>
      </c>
      <c r="AD1236">
        <f>IF(AND(AC1236=1,A1236&gt;=p_from,A1236&lt;=p_to),1,0)</f>
        <v>0.0</v>
      </c>
      <c r="AE1236">
        <f>IF(AD1236=1,IF(COUNTIFS($A$6:A1236,A1236,$AD$6:AD1236,1)=1,1,0),0)</f>
        <v>0.0</v>
      </c>
      <c r="AF1236" t="str">
        <f>IF(AE1236=1,COUNTIFS(sj_first,1,sj_date,"&lt;"&amp;A1236)+1,"")</f>
        <v/>
      </c>
      <c r="AG1236" t="str">
        <f>IF(AND(AD1236=1,N(W1236)&lt;p_alert),ROUND(W1236,4),"")</f>
        <v/>
      </c>
      <c r="AH1236" t="str">
        <f>IF(AG1236="","",COUNTIF(sj_akey,"&lt;"&amp;AG1236)+COUNTIF($AG$6:AG1236,AG1236))</f>
        <v/>
      </c>
    </row>
    <row r="1237">
      <c r="A1237" s="51" t="n"/>
      <c r="B1237" s="52" t="n"/>
      <c r="C1237" s="52" t="n"/>
      <c r="D1237" s="53" t="n"/>
      <c r="E1237" s="53" t="n"/>
      <c r="F1237" s="54" t="n"/>
      <c r="G1237" s="54" t="n"/>
      <c r="H1237" s="54" t="n"/>
      <c r="I1237" s="54" t="n"/>
      <c r="J1237" s="53" t="n"/>
      <c r="K1237" s="55" t="str">
        <f>IF(COUNTA(A1237:I1237)=0,"",IF(F1237="",IFERROR(INDEX(eq_dur,MATCH(B1237,eq_code,0)),""),F1237))</f>
        <v/>
      </c>
      <c r="L1237" s="55" t="str">
        <f>IF(ISNUMBER(K1237),N(IFERROR(INDEX(eq_pause,MATCH(B1237,eq_code,0)),0))+SUMIFS(st_min,st_date,A1237,st_eq,B1237,st_po,C1237,st_type,"Planifié"),"")</f>
        <v/>
      </c>
      <c r="M1237" s="55" t="str">
        <f>IF(ISNUMBER(K1237),K1237-L1237,"")</f>
        <v/>
      </c>
      <c r="N1237" s="55" t="str">
        <f>IF(ISNUMBER(K1237),SUMIFS(st_min,st_date,A1237,st_eq,B1237,st_po,C1237,st_type,"Non planifié"),"")</f>
        <v/>
      </c>
      <c r="O1237" s="55" t="str">
        <f>IF(ISNUMBER(K1237),M1237-N1237,"")</f>
        <v/>
      </c>
      <c r="P1237" s="55" t="str">
        <f>IF(COUNTA(A1237:I1237)=0,"",N(G1237)+N(H1237)+N(I1237))</f>
        <v/>
      </c>
      <c r="Q1237" s="56" t="str">
        <f>IF(COUNTA(A1237:I1237)=0,"",IF(N(IFERROR(INDEX(art_rate,MATCH(E1237,art_ref,0)),0))&gt;0,N(IFERROR(INDEX(art_rate,MATCH(E1237,art_ref,0)),0)),N(IFERROR(INDEX(po_rate,MATCH(C1237,po_code,0)),0))))</f>
        <v/>
      </c>
      <c r="R1237" s="55" t="str">
        <f>IF(AC1237=1,P1237*60/Q1237,"")</f>
        <v/>
      </c>
      <c r="S1237" s="55" t="str">
        <f>IF(AC1237=1,N(G1237)*60/Q1237,"")</f>
        <v/>
      </c>
      <c r="T1237" s="57" t="str">
        <f>IF(AC1237=1,O1237/M1237,"")</f>
        <v/>
      </c>
      <c r="U1237" s="57" t="str">
        <f>IF(AC1237=1,IF(O1237&gt;0,R1237/O1237,""),"")</f>
        <v/>
      </c>
      <c r="V1237" s="57" t="str">
        <f>IF(AC1237=1,IF(P1237&gt;0,N(G1237)/P1237,""),"")</f>
        <v/>
      </c>
      <c r="W1237" s="57" t="str">
        <f>IF(AC1237=1,S1237/M1237,"")</f>
        <v/>
      </c>
      <c r="X1237" s="57" t="str">
        <f>IF(AC1237=1,S1237/K1237,"")</f>
        <v/>
      </c>
      <c r="Y1237" s="58" t="str">
        <f>IF(W1237="","",IF(W1237&gt;=p_target,"Bon",IF(W1237&gt;=p_alert,"À surveiller","Faible")))</f>
        <v/>
      </c>
      <c r="Z1237" s="58" t="str">
        <f>IF(W1237="","",IF(MIN(IF(T1237="",1,T1237),IF(U1237="",1,U1237),IF(V1237="",1,V1237))&gt;=1,"Aucune",IF(IF(T1237="",1,T1237)&lt;=MIN(IF(U1237="",1,U1237),IF(V1237="",1,V1237)),"Disponibilité",IF(IF(U1237="",1,U1237)&lt;=IF(V1237="",1,V1237),"Performance","Qualité"))))</f>
        <v/>
      </c>
      <c r="AA1237" s="59" t="str">
        <f>IF(AC1237=1,N(H1237)*N(IFERROR(INDEX(art_cost,MATCH(E1237,art_ref,0)),0)),"")</f>
        <v/>
      </c>
      <c r="AB1237" s="58" t="str">
        <f>IF(COUNTA(A1237:I1237)=0,"",IF(N(A1237)&lt;=0,"Date manquante ou invalide",IF(B1237="","Équipe manquante",IF(ISNA(MATCH(B1237,eq_code,0)),"Équipe inconnue",IF(INDEX(eq_check,MATCH(B1237,eq_code,0))&lt;&gt;"OK","Équipe à corriger dans Paramètres",IF(C1237="","Poste manquant",IF(ISNA(MATCH(C1237,po_code,0)),"Poste inconnu",IF(AND(E1237&lt;&gt;"",ISNA(MATCH(E1237,art_ref,0))),"Article inconnu",IF(IF(E1237="",FALSE,INDEX(art_check,MATCH(E1237,art_ref,0))&lt;&gt;"OK"),"Article à corriger (feuille Articles)",IF(COUNTIFS(sj_date,A1237,sj_eq,B1237,sj_po,C1237)&gt;1,"Ligne en double (même jour, équipe et poste)",IF(OR(NOT(ISNUMBER(K1237)),N(K1237)&lt;=0,N(K1237)&gt;1440),"Temps d'ouverture invalide",IF(OR(AND(G1237&lt;&gt;"",NOT(ISNUMBER(G1237))),N(G1237)&lt;0,N(G1237)&lt;&gt;INT(N(G1237)),AND(H1237&lt;&gt;"",NOT(ISNUMBER(H1237))),N(H1237)&lt;0,N(H1237)&lt;&gt;INT(N(H1237)),AND(I1237&lt;&gt;"",NOT(ISNUMBER(I1237))),N(I1237)&lt;0,N(I1237)&lt;&gt;INT(N(I1237))),"Quantité invalide",IF(Q1237&lt;=0,"Cadence manquante (poste ou article)",IF(M1237&lt;=0,"Arrêts planifiés supérieurs au temps d'ouverture",IF(O1237&lt;0,"Arrêts supérieurs au temps requis",IF(AND(P1237&gt;0,O1237=0),"Pièces déclarées sans temps de marche",IF(AND(P1237=0,O1237&gt;0),"Aucune pièce déclarée",IF(P1237*60/Q1237&gt;O1237+0.001,"Cadence dépassée : vérifiez la cadence","OK"))))))))))))))))))</f>
        <v/>
      </c>
      <c r="AC1237">
        <f>IF(OR(AB1237="OK",AB1237="Aucune pièce déclarée",AB1237="Cadence dépassée : vérifiez la cadence"),1,0)</f>
        <v>0.0</v>
      </c>
      <c r="AD1237">
        <f>IF(AND(AC1237=1,A1237&gt;=p_from,A1237&lt;=p_to),1,0)</f>
        <v>0.0</v>
      </c>
      <c r="AE1237">
        <f>IF(AD1237=1,IF(COUNTIFS($A$6:A1237,A1237,$AD$6:AD1237,1)=1,1,0),0)</f>
        <v>0.0</v>
      </c>
      <c r="AF1237" t="str">
        <f>IF(AE1237=1,COUNTIFS(sj_first,1,sj_date,"&lt;"&amp;A1237)+1,"")</f>
        <v/>
      </c>
      <c r="AG1237" t="str">
        <f>IF(AND(AD1237=1,N(W1237)&lt;p_alert),ROUND(W1237,4),"")</f>
        <v/>
      </c>
      <c r="AH1237" t="str">
        <f>IF(AG1237="","",COUNTIF(sj_akey,"&lt;"&amp;AG1237)+COUNTIF($AG$6:AG1237,AG1237))</f>
        <v/>
      </c>
    </row>
    <row r="1238">
      <c r="A1238" s="51" t="n"/>
      <c r="B1238" s="52" t="n"/>
      <c r="C1238" s="52" t="n"/>
      <c r="D1238" s="53" t="n"/>
      <c r="E1238" s="53" t="n"/>
      <c r="F1238" s="54" t="n"/>
      <c r="G1238" s="54" t="n"/>
      <c r="H1238" s="54" t="n"/>
      <c r="I1238" s="54" t="n"/>
      <c r="J1238" s="53" t="n"/>
      <c r="K1238" s="55" t="str">
        <f>IF(COUNTA(A1238:I1238)=0,"",IF(F1238="",IFERROR(INDEX(eq_dur,MATCH(B1238,eq_code,0)),""),F1238))</f>
        <v/>
      </c>
      <c r="L1238" s="55" t="str">
        <f>IF(ISNUMBER(K1238),N(IFERROR(INDEX(eq_pause,MATCH(B1238,eq_code,0)),0))+SUMIFS(st_min,st_date,A1238,st_eq,B1238,st_po,C1238,st_type,"Planifié"),"")</f>
        <v/>
      </c>
      <c r="M1238" s="55" t="str">
        <f>IF(ISNUMBER(K1238),K1238-L1238,"")</f>
        <v/>
      </c>
      <c r="N1238" s="55" t="str">
        <f>IF(ISNUMBER(K1238),SUMIFS(st_min,st_date,A1238,st_eq,B1238,st_po,C1238,st_type,"Non planifié"),"")</f>
        <v/>
      </c>
      <c r="O1238" s="55" t="str">
        <f>IF(ISNUMBER(K1238),M1238-N1238,"")</f>
        <v/>
      </c>
      <c r="P1238" s="55" t="str">
        <f>IF(COUNTA(A1238:I1238)=0,"",N(G1238)+N(H1238)+N(I1238))</f>
        <v/>
      </c>
      <c r="Q1238" s="56" t="str">
        <f>IF(COUNTA(A1238:I1238)=0,"",IF(N(IFERROR(INDEX(art_rate,MATCH(E1238,art_ref,0)),0))&gt;0,N(IFERROR(INDEX(art_rate,MATCH(E1238,art_ref,0)),0)),N(IFERROR(INDEX(po_rate,MATCH(C1238,po_code,0)),0))))</f>
        <v/>
      </c>
      <c r="R1238" s="55" t="str">
        <f>IF(AC1238=1,P1238*60/Q1238,"")</f>
        <v/>
      </c>
      <c r="S1238" s="55" t="str">
        <f>IF(AC1238=1,N(G1238)*60/Q1238,"")</f>
        <v/>
      </c>
      <c r="T1238" s="57" t="str">
        <f>IF(AC1238=1,O1238/M1238,"")</f>
        <v/>
      </c>
      <c r="U1238" s="57" t="str">
        <f>IF(AC1238=1,IF(O1238&gt;0,R1238/O1238,""),"")</f>
        <v/>
      </c>
      <c r="V1238" s="57" t="str">
        <f>IF(AC1238=1,IF(P1238&gt;0,N(G1238)/P1238,""),"")</f>
        <v/>
      </c>
      <c r="W1238" s="57" t="str">
        <f>IF(AC1238=1,S1238/M1238,"")</f>
        <v/>
      </c>
      <c r="X1238" s="57" t="str">
        <f>IF(AC1238=1,S1238/K1238,"")</f>
        <v/>
      </c>
      <c r="Y1238" s="58" t="str">
        <f>IF(W1238="","",IF(W1238&gt;=p_target,"Bon",IF(W1238&gt;=p_alert,"À surveiller","Faible")))</f>
        <v/>
      </c>
      <c r="Z1238" s="58" t="str">
        <f>IF(W1238="","",IF(MIN(IF(T1238="",1,T1238),IF(U1238="",1,U1238),IF(V1238="",1,V1238))&gt;=1,"Aucune",IF(IF(T1238="",1,T1238)&lt;=MIN(IF(U1238="",1,U1238),IF(V1238="",1,V1238)),"Disponibilité",IF(IF(U1238="",1,U1238)&lt;=IF(V1238="",1,V1238),"Performance","Qualité"))))</f>
        <v/>
      </c>
      <c r="AA1238" s="59" t="str">
        <f>IF(AC1238=1,N(H1238)*N(IFERROR(INDEX(art_cost,MATCH(E1238,art_ref,0)),0)),"")</f>
        <v/>
      </c>
      <c r="AB1238" s="58" t="str">
        <f>IF(COUNTA(A1238:I1238)=0,"",IF(N(A1238)&lt;=0,"Date manquante ou invalide",IF(B1238="","Équipe manquante",IF(ISNA(MATCH(B1238,eq_code,0)),"Équipe inconnue",IF(INDEX(eq_check,MATCH(B1238,eq_code,0))&lt;&gt;"OK","Équipe à corriger dans Paramètres",IF(C1238="","Poste manquant",IF(ISNA(MATCH(C1238,po_code,0)),"Poste inconnu",IF(AND(E1238&lt;&gt;"",ISNA(MATCH(E1238,art_ref,0))),"Article inconnu",IF(IF(E1238="",FALSE,INDEX(art_check,MATCH(E1238,art_ref,0))&lt;&gt;"OK"),"Article à corriger (feuille Articles)",IF(COUNTIFS(sj_date,A1238,sj_eq,B1238,sj_po,C1238)&gt;1,"Ligne en double (même jour, équipe et poste)",IF(OR(NOT(ISNUMBER(K1238)),N(K1238)&lt;=0,N(K1238)&gt;1440),"Temps d'ouverture invalide",IF(OR(AND(G1238&lt;&gt;"",NOT(ISNUMBER(G1238))),N(G1238)&lt;0,N(G1238)&lt;&gt;INT(N(G1238)),AND(H1238&lt;&gt;"",NOT(ISNUMBER(H1238))),N(H1238)&lt;0,N(H1238)&lt;&gt;INT(N(H1238)),AND(I1238&lt;&gt;"",NOT(ISNUMBER(I1238))),N(I1238)&lt;0,N(I1238)&lt;&gt;INT(N(I1238))),"Quantité invalide",IF(Q1238&lt;=0,"Cadence manquante (poste ou article)",IF(M1238&lt;=0,"Arrêts planifiés supérieurs au temps d'ouverture",IF(O1238&lt;0,"Arrêts supérieurs au temps requis",IF(AND(P1238&gt;0,O1238=0),"Pièces déclarées sans temps de marche",IF(AND(P1238=0,O1238&gt;0),"Aucune pièce déclarée",IF(P1238*60/Q1238&gt;O1238+0.001,"Cadence dépassée : vérifiez la cadence","OK"))))))))))))))))))</f>
        <v/>
      </c>
      <c r="AC1238">
        <f>IF(OR(AB1238="OK",AB1238="Aucune pièce déclarée",AB1238="Cadence dépassée : vérifiez la cadence"),1,0)</f>
        <v>0.0</v>
      </c>
      <c r="AD1238">
        <f>IF(AND(AC1238=1,A1238&gt;=p_from,A1238&lt;=p_to),1,0)</f>
        <v>0.0</v>
      </c>
      <c r="AE1238">
        <f>IF(AD1238=1,IF(COUNTIFS($A$6:A1238,A1238,$AD$6:AD1238,1)=1,1,0),0)</f>
        <v>0.0</v>
      </c>
      <c r="AF1238" t="str">
        <f>IF(AE1238=1,COUNTIFS(sj_first,1,sj_date,"&lt;"&amp;A1238)+1,"")</f>
        <v/>
      </c>
      <c r="AG1238" t="str">
        <f>IF(AND(AD1238=1,N(W1238)&lt;p_alert),ROUND(W1238,4),"")</f>
        <v/>
      </c>
      <c r="AH1238" t="str">
        <f>IF(AG1238="","",COUNTIF(sj_akey,"&lt;"&amp;AG1238)+COUNTIF($AG$6:AG1238,AG1238))</f>
        <v/>
      </c>
    </row>
    <row r="1239">
      <c r="A1239" s="51" t="n"/>
      <c r="B1239" s="52" t="n"/>
      <c r="C1239" s="52" t="n"/>
      <c r="D1239" s="53" t="n"/>
      <c r="E1239" s="53" t="n"/>
      <c r="F1239" s="54" t="n"/>
      <c r="G1239" s="54" t="n"/>
      <c r="H1239" s="54" t="n"/>
      <c r="I1239" s="54" t="n"/>
      <c r="J1239" s="53" t="n"/>
      <c r="K1239" s="55" t="str">
        <f>IF(COUNTA(A1239:I1239)=0,"",IF(F1239="",IFERROR(INDEX(eq_dur,MATCH(B1239,eq_code,0)),""),F1239))</f>
        <v/>
      </c>
      <c r="L1239" s="55" t="str">
        <f>IF(ISNUMBER(K1239),N(IFERROR(INDEX(eq_pause,MATCH(B1239,eq_code,0)),0))+SUMIFS(st_min,st_date,A1239,st_eq,B1239,st_po,C1239,st_type,"Planifié"),"")</f>
        <v/>
      </c>
      <c r="M1239" s="55" t="str">
        <f>IF(ISNUMBER(K1239),K1239-L1239,"")</f>
        <v/>
      </c>
      <c r="N1239" s="55" t="str">
        <f>IF(ISNUMBER(K1239),SUMIFS(st_min,st_date,A1239,st_eq,B1239,st_po,C1239,st_type,"Non planifié"),"")</f>
        <v/>
      </c>
      <c r="O1239" s="55" t="str">
        <f>IF(ISNUMBER(K1239),M1239-N1239,"")</f>
        <v/>
      </c>
      <c r="P1239" s="55" t="str">
        <f>IF(COUNTA(A1239:I1239)=0,"",N(G1239)+N(H1239)+N(I1239))</f>
        <v/>
      </c>
      <c r="Q1239" s="56" t="str">
        <f>IF(COUNTA(A1239:I1239)=0,"",IF(N(IFERROR(INDEX(art_rate,MATCH(E1239,art_ref,0)),0))&gt;0,N(IFERROR(INDEX(art_rate,MATCH(E1239,art_ref,0)),0)),N(IFERROR(INDEX(po_rate,MATCH(C1239,po_code,0)),0))))</f>
        <v/>
      </c>
      <c r="R1239" s="55" t="str">
        <f>IF(AC1239=1,P1239*60/Q1239,"")</f>
        <v/>
      </c>
      <c r="S1239" s="55" t="str">
        <f>IF(AC1239=1,N(G1239)*60/Q1239,"")</f>
        <v/>
      </c>
      <c r="T1239" s="57" t="str">
        <f>IF(AC1239=1,O1239/M1239,"")</f>
        <v/>
      </c>
      <c r="U1239" s="57" t="str">
        <f>IF(AC1239=1,IF(O1239&gt;0,R1239/O1239,""),"")</f>
        <v/>
      </c>
      <c r="V1239" s="57" t="str">
        <f>IF(AC1239=1,IF(P1239&gt;0,N(G1239)/P1239,""),"")</f>
        <v/>
      </c>
      <c r="W1239" s="57" t="str">
        <f>IF(AC1239=1,S1239/M1239,"")</f>
        <v/>
      </c>
      <c r="X1239" s="57" t="str">
        <f>IF(AC1239=1,S1239/K1239,"")</f>
        <v/>
      </c>
      <c r="Y1239" s="58" t="str">
        <f>IF(W1239="","",IF(W1239&gt;=p_target,"Bon",IF(W1239&gt;=p_alert,"À surveiller","Faible")))</f>
        <v/>
      </c>
      <c r="Z1239" s="58" t="str">
        <f>IF(W1239="","",IF(MIN(IF(T1239="",1,T1239),IF(U1239="",1,U1239),IF(V1239="",1,V1239))&gt;=1,"Aucune",IF(IF(T1239="",1,T1239)&lt;=MIN(IF(U1239="",1,U1239),IF(V1239="",1,V1239)),"Disponibilité",IF(IF(U1239="",1,U1239)&lt;=IF(V1239="",1,V1239),"Performance","Qualité"))))</f>
        <v/>
      </c>
      <c r="AA1239" s="59" t="str">
        <f>IF(AC1239=1,N(H1239)*N(IFERROR(INDEX(art_cost,MATCH(E1239,art_ref,0)),0)),"")</f>
        <v/>
      </c>
      <c r="AB1239" s="58" t="str">
        <f>IF(COUNTA(A1239:I1239)=0,"",IF(N(A1239)&lt;=0,"Date manquante ou invalide",IF(B1239="","Équipe manquante",IF(ISNA(MATCH(B1239,eq_code,0)),"Équipe inconnue",IF(INDEX(eq_check,MATCH(B1239,eq_code,0))&lt;&gt;"OK","Équipe à corriger dans Paramètres",IF(C1239="","Poste manquant",IF(ISNA(MATCH(C1239,po_code,0)),"Poste inconnu",IF(AND(E1239&lt;&gt;"",ISNA(MATCH(E1239,art_ref,0))),"Article inconnu",IF(IF(E1239="",FALSE,INDEX(art_check,MATCH(E1239,art_ref,0))&lt;&gt;"OK"),"Article à corriger (feuille Articles)",IF(COUNTIFS(sj_date,A1239,sj_eq,B1239,sj_po,C1239)&gt;1,"Ligne en double (même jour, équipe et poste)",IF(OR(NOT(ISNUMBER(K1239)),N(K1239)&lt;=0,N(K1239)&gt;1440),"Temps d'ouverture invalide",IF(OR(AND(G1239&lt;&gt;"",NOT(ISNUMBER(G1239))),N(G1239)&lt;0,N(G1239)&lt;&gt;INT(N(G1239)),AND(H1239&lt;&gt;"",NOT(ISNUMBER(H1239))),N(H1239)&lt;0,N(H1239)&lt;&gt;INT(N(H1239)),AND(I1239&lt;&gt;"",NOT(ISNUMBER(I1239))),N(I1239)&lt;0,N(I1239)&lt;&gt;INT(N(I1239))),"Quantité invalide",IF(Q1239&lt;=0,"Cadence manquante (poste ou article)",IF(M1239&lt;=0,"Arrêts planifiés supérieurs au temps d'ouverture",IF(O1239&lt;0,"Arrêts supérieurs au temps requis",IF(AND(P1239&gt;0,O1239=0),"Pièces déclarées sans temps de marche",IF(AND(P1239=0,O1239&gt;0),"Aucune pièce déclarée",IF(P1239*60/Q1239&gt;O1239+0.001,"Cadence dépassée : vérifiez la cadence","OK"))))))))))))))))))</f>
        <v/>
      </c>
      <c r="AC1239">
        <f>IF(OR(AB1239="OK",AB1239="Aucune pièce déclarée",AB1239="Cadence dépassée : vérifiez la cadence"),1,0)</f>
        <v>0.0</v>
      </c>
      <c r="AD1239">
        <f>IF(AND(AC1239=1,A1239&gt;=p_from,A1239&lt;=p_to),1,0)</f>
        <v>0.0</v>
      </c>
      <c r="AE1239">
        <f>IF(AD1239=1,IF(COUNTIFS($A$6:A1239,A1239,$AD$6:AD1239,1)=1,1,0),0)</f>
        <v>0.0</v>
      </c>
      <c r="AF1239" t="str">
        <f>IF(AE1239=1,COUNTIFS(sj_first,1,sj_date,"&lt;"&amp;A1239)+1,"")</f>
        <v/>
      </c>
      <c r="AG1239" t="str">
        <f>IF(AND(AD1239=1,N(W1239)&lt;p_alert),ROUND(W1239,4),"")</f>
        <v/>
      </c>
      <c r="AH1239" t="str">
        <f>IF(AG1239="","",COUNTIF(sj_akey,"&lt;"&amp;AG1239)+COUNTIF($AG$6:AG1239,AG1239))</f>
        <v/>
      </c>
    </row>
    <row r="1240">
      <c r="A1240" s="51" t="n"/>
      <c r="B1240" s="52" t="n"/>
      <c r="C1240" s="52" t="n"/>
      <c r="D1240" s="53" t="n"/>
      <c r="E1240" s="53" t="n"/>
      <c r="F1240" s="54" t="n"/>
      <c r="G1240" s="54" t="n"/>
      <c r="H1240" s="54" t="n"/>
      <c r="I1240" s="54" t="n"/>
      <c r="J1240" s="53" t="n"/>
      <c r="K1240" s="55" t="str">
        <f>IF(COUNTA(A1240:I1240)=0,"",IF(F1240="",IFERROR(INDEX(eq_dur,MATCH(B1240,eq_code,0)),""),F1240))</f>
        <v/>
      </c>
      <c r="L1240" s="55" t="str">
        <f>IF(ISNUMBER(K1240),N(IFERROR(INDEX(eq_pause,MATCH(B1240,eq_code,0)),0))+SUMIFS(st_min,st_date,A1240,st_eq,B1240,st_po,C1240,st_type,"Planifié"),"")</f>
        <v/>
      </c>
      <c r="M1240" s="55" t="str">
        <f>IF(ISNUMBER(K1240),K1240-L1240,"")</f>
        <v/>
      </c>
      <c r="N1240" s="55" t="str">
        <f>IF(ISNUMBER(K1240),SUMIFS(st_min,st_date,A1240,st_eq,B1240,st_po,C1240,st_type,"Non planifié"),"")</f>
        <v/>
      </c>
      <c r="O1240" s="55" t="str">
        <f>IF(ISNUMBER(K1240),M1240-N1240,"")</f>
        <v/>
      </c>
      <c r="P1240" s="55" t="str">
        <f>IF(COUNTA(A1240:I1240)=0,"",N(G1240)+N(H1240)+N(I1240))</f>
        <v/>
      </c>
      <c r="Q1240" s="56" t="str">
        <f>IF(COUNTA(A1240:I1240)=0,"",IF(N(IFERROR(INDEX(art_rate,MATCH(E1240,art_ref,0)),0))&gt;0,N(IFERROR(INDEX(art_rate,MATCH(E1240,art_ref,0)),0)),N(IFERROR(INDEX(po_rate,MATCH(C1240,po_code,0)),0))))</f>
        <v/>
      </c>
      <c r="R1240" s="55" t="str">
        <f>IF(AC1240=1,P1240*60/Q1240,"")</f>
        <v/>
      </c>
      <c r="S1240" s="55" t="str">
        <f>IF(AC1240=1,N(G1240)*60/Q1240,"")</f>
        <v/>
      </c>
      <c r="T1240" s="57" t="str">
        <f>IF(AC1240=1,O1240/M1240,"")</f>
        <v/>
      </c>
      <c r="U1240" s="57" t="str">
        <f>IF(AC1240=1,IF(O1240&gt;0,R1240/O1240,""),"")</f>
        <v/>
      </c>
      <c r="V1240" s="57" t="str">
        <f>IF(AC1240=1,IF(P1240&gt;0,N(G1240)/P1240,""),"")</f>
        <v/>
      </c>
      <c r="W1240" s="57" t="str">
        <f>IF(AC1240=1,S1240/M1240,"")</f>
        <v/>
      </c>
      <c r="X1240" s="57" t="str">
        <f>IF(AC1240=1,S1240/K1240,"")</f>
        <v/>
      </c>
      <c r="Y1240" s="58" t="str">
        <f>IF(W1240="","",IF(W1240&gt;=p_target,"Bon",IF(W1240&gt;=p_alert,"À surveiller","Faible")))</f>
        <v/>
      </c>
      <c r="Z1240" s="58" t="str">
        <f>IF(W1240="","",IF(MIN(IF(T1240="",1,T1240),IF(U1240="",1,U1240),IF(V1240="",1,V1240))&gt;=1,"Aucune",IF(IF(T1240="",1,T1240)&lt;=MIN(IF(U1240="",1,U1240),IF(V1240="",1,V1240)),"Disponibilité",IF(IF(U1240="",1,U1240)&lt;=IF(V1240="",1,V1240),"Performance","Qualité"))))</f>
        <v/>
      </c>
      <c r="AA1240" s="59" t="str">
        <f>IF(AC1240=1,N(H1240)*N(IFERROR(INDEX(art_cost,MATCH(E1240,art_ref,0)),0)),"")</f>
        <v/>
      </c>
      <c r="AB1240" s="58" t="str">
        <f>IF(COUNTA(A1240:I1240)=0,"",IF(N(A1240)&lt;=0,"Date manquante ou invalide",IF(B1240="","Équipe manquante",IF(ISNA(MATCH(B1240,eq_code,0)),"Équipe inconnue",IF(INDEX(eq_check,MATCH(B1240,eq_code,0))&lt;&gt;"OK","Équipe à corriger dans Paramètres",IF(C1240="","Poste manquant",IF(ISNA(MATCH(C1240,po_code,0)),"Poste inconnu",IF(AND(E1240&lt;&gt;"",ISNA(MATCH(E1240,art_ref,0))),"Article inconnu",IF(IF(E1240="",FALSE,INDEX(art_check,MATCH(E1240,art_ref,0))&lt;&gt;"OK"),"Article à corriger (feuille Articles)",IF(COUNTIFS(sj_date,A1240,sj_eq,B1240,sj_po,C1240)&gt;1,"Ligne en double (même jour, équipe et poste)",IF(OR(NOT(ISNUMBER(K1240)),N(K1240)&lt;=0,N(K1240)&gt;1440),"Temps d'ouverture invalide",IF(OR(AND(G1240&lt;&gt;"",NOT(ISNUMBER(G1240))),N(G1240)&lt;0,N(G1240)&lt;&gt;INT(N(G1240)),AND(H1240&lt;&gt;"",NOT(ISNUMBER(H1240))),N(H1240)&lt;0,N(H1240)&lt;&gt;INT(N(H1240)),AND(I1240&lt;&gt;"",NOT(ISNUMBER(I1240))),N(I1240)&lt;0,N(I1240)&lt;&gt;INT(N(I1240))),"Quantité invalide",IF(Q1240&lt;=0,"Cadence manquante (poste ou article)",IF(M1240&lt;=0,"Arrêts planifiés supérieurs au temps d'ouverture",IF(O1240&lt;0,"Arrêts supérieurs au temps requis",IF(AND(P1240&gt;0,O1240=0),"Pièces déclarées sans temps de marche",IF(AND(P1240=0,O1240&gt;0),"Aucune pièce déclarée",IF(P1240*60/Q1240&gt;O1240+0.001,"Cadence dépassée : vérifiez la cadence","OK"))))))))))))))))))</f>
        <v/>
      </c>
      <c r="AC1240">
        <f>IF(OR(AB1240="OK",AB1240="Aucune pièce déclarée",AB1240="Cadence dépassée : vérifiez la cadence"),1,0)</f>
        <v>0.0</v>
      </c>
      <c r="AD1240">
        <f>IF(AND(AC1240=1,A1240&gt;=p_from,A1240&lt;=p_to),1,0)</f>
        <v>0.0</v>
      </c>
      <c r="AE1240">
        <f>IF(AD1240=1,IF(COUNTIFS($A$6:A1240,A1240,$AD$6:AD1240,1)=1,1,0),0)</f>
        <v>0.0</v>
      </c>
      <c r="AF1240" t="str">
        <f>IF(AE1240=1,COUNTIFS(sj_first,1,sj_date,"&lt;"&amp;A1240)+1,"")</f>
        <v/>
      </c>
      <c r="AG1240" t="str">
        <f>IF(AND(AD1240=1,N(W1240)&lt;p_alert),ROUND(W1240,4),"")</f>
        <v/>
      </c>
      <c r="AH1240" t="str">
        <f>IF(AG1240="","",COUNTIF(sj_akey,"&lt;"&amp;AG1240)+COUNTIF($AG$6:AG1240,AG1240))</f>
        <v/>
      </c>
    </row>
    <row r="1241">
      <c r="A1241" s="51" t="n"/>
      <c r="B1241" s="52" t="n"/>
      <c r="C1241" s="52" t="n"/>
      <c r="D1241" s="53" t="n"/>
      <c r="E1241" s="53" t="n"/>
      <c r="F1241" s="54" t="n"/>
      <c r="G1241" s="54" t="n"/>
      <c r="H1241" s="54" t="n"/>
      <c r="I1241" s="54" t="n"/>
      <c r="J1241" s="53" t="n"/>
      <c r="K1241" s="55" t="str">
        <f>IF(COUNTA(A1241:I1241)=0,"",IF(F1241="",IFERROR(INDEX(eq_dur,MATCH(B1241,eq_code,0)),""),F1241))</f>
        <v/>
      </c>
      <c r="L1241" s="55" t="str">
        <f>IF(ISNUMBER(K1241),N(IFERROR(INDEX(eq_pause,MATCH(B1241,eq_code,0)),0))+SUMIFS(st_min,st_date,A1241,st_eq,B1241,st_po,C1241,st_type,"Planifié"),"")</f>
        <v/>
      </c>
      <c r="M1241" s="55" t="str">
        <f>IF(ISNUMBER(K1241),K1241-L1241,"")</f>
        <v/>
      </c>
      <c r="N1241" s="55" t="str">
        <f>IF(ISNUMBER(K1241),SUMIFS(st_min,st_date,A1241,st_eq,B1241,st_po,C1241,st_type,"Non planifié"),"")</f>
        <v/>
      </c>
      <c r="O1241" s="55" t="str">
        <f>IF(ISNUMBER(K1241),M1241-N1241,"")</f>
        <v/>
      </c>
      <c r="P1241" s="55" t="str">
        <f>IF(COUNTA(A1241:I1241)=0,"",N(G1241)+N(H1241)+N(I1241))</f>
        <v/>
      </c>
      <c r="Q1241" s="56" t="str">
        <f>IF(COUNTA(A1241:I1241)=0,"",IF(N(IFERROR(INDEX(art_rate,MATCH(E1241,art_ref,0)),0))&gt;0,N(IFERROR(INDEX(art_rate,MATCH(E1241,art_ref,0)),0)),N(IFERROR(INDEX(po_rate,MATCH(C1241,po_code,0)),0))))</f>
        <v/>
      </c>
      <c r="R1241" s="55" t="str">
        <f>IF(AC1241=1,P1241*60/Q1241,"")</f>
        <v/>
      </c>
      <c r="S1241" s="55" t="str">
        <f>IF(AC1241=1,N(G1241)*60/Q1241,"")</f>
        <v/>
      </c>
      <c r="T1241" s="57" t="str">
        <f>IF(AC1241=1,O1241/M1241,"")</f>
        <v/>
      </c>
      <c r="U1241" s="57" t="str">
        <f>IF(AC1241=1,IF(O1241&gt;0,R1241/O1241,""),"")</f>
        <v/>
      </c>
      <c r="V1241" s="57" t="str">
        <f>IF(AC1241=1,IF(P1241&gt;0,N(G1241)/P1241,""),"")</f>
        <v/>
      </c>
      <c r="W1241" s="57" t="str">
        <f>IF(AC1241=1,S1241/M1241,"")</f>
        <v/>
      </c>
      <c r="X1241" s="57" t="str">
        <f>IF(AC1241=1,S1241/K1241,"")</f>
        <v/>
      </c>
      <c r="Y1241" s="58" t="str">
        <f>IF(W1241="","",IF(W1241&gt;=p_target,"Bon",IF(W1241&gt;=p_alert,"À surveiller","Faible")))</f>
        <v/>
      </c>
      <c r="Z1241" s="58" t="str">
        <f>IF(W1241="","",IF(MIN(IF(T1241="",1,T1241),IF(U1241="",1,U1241),IF(V1241="",1,V1241))&gt;=1,"Aucune",IF(IF(T1241="",1,T1241)&lt;=MIN(IF(U1241="",1,U1241),IF(V1241="",1,V1241)),"Disponibilité",IF(IF(U1241="",1,U1241)&lt;=IF(V1241="",1,V1241),"Performance","Qualité"))))</f>
        <v/>
      </c>
      <c r="AA1241" s="59" t="str">
        <f>IF(AC1241=1,N(H1241)*N(IFERROR(INDEX(art_cost,MATCH(E1241,art_ref,0)),0)),"")</f>
        <v/>
      </c>
      <c r="AB1241" s="58" t="str">
        <f>IF(COUNTA(A1241:I1241)=0,"",IF(N(A1241)&lt;=0,"Date manquante ou invalide",IF(B1241="","Équipe manquante",IF(ISNA(MATCH(B1241,eq_code,0)),"Équipe inconnue",IF(INDEX(eq_check,MATCH(B1241,eq_code,0))&lt;&gt;"OK","Équipe à corriger dans Paramètres",IF(C1241="","Poste manquant",IF(ISNA(MATCH(C1241,po_code,0)),"Poste inconnu",IF(AND(E1241&lt;&gt;"",ISNA(MATCH(E1241,art_ref,0))),"Article inconnu",IF(IF(E1241="",FALSE,INDEX(art_check,MATCH(E1241,art_ref,0))&lt;&gt;"OK"),"Article à corriger (feuille Articles)",IF(COUNTIFS(sj_date,A1241,sj_eq,B1241,sj_po,C1241)&gt;1,"Ligne en double (même jour, équipe et poste)",IF(OR(NOT(ISNUMBER(K1241)),N(K1241)&lt;=0,N(K1241)&gt;1440),"Temps d'ouverture invalide",IF(OR(AND(G1241&lt;&gt;"",NOT(ISNUMBER(G1241))),N(G1241)&lt;0,N(G1241)&lt;&gt;INT(N(G1241)),AND(H1241&lt;&gt;"",NOT(ISNUMBER(H1241))),N(H1241)&lt;0,N(H1241)&lt;&gt;INT(N(H1241)),AND(I1241&lt;&gt;"",NOT(ISNUMBER(I1241))),N(I1241)&lt;0,N(I1241)&lt;&gt;INT(N(I1241))),"Quantité invalide",IF(Q1241&lt;=0,"Cadence manquante (poste ou article)",IF(M1241&lt;=0,"Arrêts planifiés supérieurs au temps d'ouverture",IF(O1241&lt;0,"Arrêts supérieurs au temps requis",IF(AND(P1241&gt;0,O1241=0),"Pièces déclarées sans temps de marche",IF(AND(P1241=0,O1241&gt;0),"Aucune pièce déclarée",IF(P1241*60/Q1241&gt;O1241+0.001,"Cadence dépassée : vérifiez la cadence","OK"))))))))))))))))))</f>
        <v/>
      </c>
      <c r="AC1241">
        <f>IF(OR(AB1241="OK",AB1241="Aucune pièce déclarée",AB1241="Cadence dépassée : vérifiez la cadence"),1,0)</f>
        <v>0.0</v>
      </c>
      <c r="AD1241">
        <f>IF(AND(AC1241=1,A1241&gt;=p_from,A1241&lt;=p_to),1,0)</f>
        <v>0.0</v>
      </c>
      <c r="AE1241">
        <f>IF(AD1241=1,IF(COUNTIFS($A$6:A1241,A1241,$AD$6:AD1241,1)=1,1,0),0)</f>
        <v>0.0</v>
      </c>
      <c r="AF1241" t="str">
        <f>IF(AE1241=1,COUNTIFS(sj_first,1,sj_date,"&lt;"&amp;A1241)+1,"")</f>
        <v/>
      </c>
      <c r="AG1241" t="str">
        <f>IF(AND(AD1241=1,N(W1241)&lt;p_alert),ROUND(W1241,4),"")</f>
        <v/>
      </c>
      <c r="AH1241" t="str">
        <f>IF(AG1241="","",COUNTIF(sj_akey,"&lt;"&amp;AG1241)+COUNTIF($AG$6:AG1241,AG1241))</f>
        <v/>
      </c>
    </row>
    <row r="1242">
      <c r="A1242" s="51" t="n"/>
      <c r="B1242" s="52" t="n"/>
      <c r="C1242" s="52" t="n"/>
      <c r="D1242" s="53" t="n"/>
      <c r="E1242" s="53" t="n"/>
      <c r="F1242" s="54" t="n"/>
      <c r="G1242" s="54" t="n"/>
      <c r="H1242" s="54" t="n"/>
      <c r="I1242" s="54" t="n"/>
      <c r="J1242" s="53" t="n"/>
      <c r="K1242" s="55" t="str">
        <f>IF(COUNTA(A1242:I1242)=0,"",IF(F1242="",IFERROR(INDEX(eq_dur,MATCH(B1242,eq_code,0)),""),F1242))</f>
        <v/>
      </c>
      <c r="L1242" s="55" t="str">
        <f>IF(ISNUMBER(K1242),N(IFERROR(INDEX(eq_pause,MATCH(B1242,eq_code,0)),0))+SUMIFS(st_min,st_date,A1242,st_eq,B1242,st_po,C1242,st_type,"Planifié"),"")</f>
        <v/>
      </c>
      <c r="M1242" s="55" t="str">
        <f>IF(ISNUMBER(K1242),K1242-L1242,"")</f>
        <v/>
      </c>
      <c r="N1242" s="55" t="str">
        <f>IF(ISNUMBER(K1242),SUMIFS(st_min,st_date,A1242,st_eq,B1242,st_po,C1242,st_type,"Non planifié"),"")</f>
        <v/>
      </c>
      <c r="O1242" s="55" t="str">
        <f>IF(ISNUMBER(K1242),M1242-N1242,"")</f>
        <v/>
      </c>
      <c r="P1242" s="55" t="str">
        <f>IF(COUNTA(A1242:I1242)=0,"",N(G1242)+N(H1242)+N(I1242))</f>
        <v/>
      </c>
      <c r="Q1242" s="56" t="str">
        <f>IF(COUNTA(A1242:I1242)=0,"",IF(N(IFERROR(INDEX(art_rate,MATCH(E1242,art_ref,0)),0))&gt;0,N(IFERROR(INDEX(art_rate,MATCH(E1242,art_ref,0)),0)),N(IFERROR(INDEX(po_rate,MATCH(C1242,po_code,0)),0))))</f>
        <v/>
      </c>
      <c r="R1242" s="55" t="str">
        <f>IF(AC1242=1,P1242*60/Q1242,"")</f>
        <v/>
      </c>
      <c r="S1242" s="55" t="str">
        <f>IF(AC1242=1,N(G1242)*60/Q1242,"")</f>
        <v/>
      </c>
      <c r="T1242" s="57" t="str">
        <f>IF(AC1242=1,O1242/M1242,"")</f>
        <v/>
      </c>
      <c r="U1242" s="57" t="str">
        <f>IF(AC1242=1,IF(O1242&gt;0,R1242/O1242,""),"")</f>
        <v/>
      </c>
      <c r="V1242" s="57" t="str">
        <f>IF(AC1242=1,IF(P1242&gt;0,N(G1242)/P1242,""),"")</f>
        <v/>
      </c>
      <c r="W1242" s="57" t="str">
        <f>IF(AC1242=1,S1242/M1242,"")</f>
        <v/>
      </c>
      <c r="X1242" s="57" t="str">
        <f>IF(AC1242=1,S1242/K1242,"")</f>
        <v/>
      </c>
      <c r="Y1242" s="58" t="str">
        <f>IF(W1242="","",IF(W1242&gt;=p_target,"Bon",IF(W1242&gt;=p_alert,"À surveiller","Faible")))</f>
        <v/>
      </c>
      <c r="Z1242" s="58" t="str">
        <f>IF(W1242="","",IF(MIN(IF(T1242="",1,T1242),IF(U1242="",1,U1242),IF(V1242="",1,V1242))&gt;=1,"Aucune",IF(IF(T1242="",1,T1242)&lt;=MIN(IF(U1242="",1,U1242),IF(V1242="",1,V1242)),"Disponibilité",IF(IF(U1242="",1,U1242)&lt;=IF(V1242="",1,V1242),"Performance","Qualité"))))</f>
        <v/>
      </c>
      <c r="AA1242" s="59" t="str">
        <f>IF(AC1242=1,N(H1242)*N(IFERROR(INDEX(art_cost,MATCH(E1242,art_ref,0)),0)),"")</f>
        <v/>
      </c>
      <c r="AB1242" s="58" t="str">
        <f>IF(COUNTA(A1242:I1242)=0,"",IF(N(A1242)&lt;=0,"Date manquante ou invalide",IF(B1242="","Équipe manquante",IF(ISNA(MATCH(B1242,eq_code,0)),"Équipe inconnue",IF(INDEX(eq_check,MATCH(B1242,eq_code,0))&lt;&gt;"OK","Équipe à corriger dans Paramètres",IF(C1242="","Poste manquant",IF(ISNA(MATCH(C1242,po_code,0)),"Poste inconnu",IF(AND(E1242&lt;&gt;"",ISNA(MATCH(E1242,art_ref,0))),"Article inconnu",IF(IF(E1242="",FALSE,INDEX(art_check,MATCH(E1242,art_ref,0))&lt;&gt;"OK"),"Article à corriger (feuille Articles)",IF(COUNTIFS(sj_date,A1242,sj_eq,B1242,sj_po,C1242)&gt;1,"Ligne en double (même jour, équipe et poste)",IF(OR(NOT(ISNUMBER(K1242)),N(K1242)&lt;=0,N(K1242)&gt;1440),"Temps d'ouverture invalide",IF(OR(AND(G1242&lt;&gt;"",NOT(ISNUMBER(G1242))),N(G1242)&lt;0,N(G1242)&lt;&gt;INT(N(G1242)),AND(H1242&lt;&gt;"",NOT(ISNUMBER(H1242))),N(H1242)&lt;0,N(H1242)&lt;&gt;INT(N(H1242)),AND(I1242&lt;&gt;"",NOT(ISNUMBER(I1242))),N(I1242)&lt;0,N(I1242)&lt;&gt;INT(N(I1242))),"Quantité invalide",IF(Q1242&lt;=0,"Cadence manquante (poste ou article)",IF(M1242&lt;=0,"Arrêts planifiés supérieurs au temps d'ouverture",IF(O1242&lt;0,"Arrêts supérieurs au temps requis",IF(AND(P1242&gt;0,O1242=0),"Pièces déclarées sans temps de marche",IF(AND(P1242=0,O1242&gt;0),"Aucune pièce déclarée",IF(P1242*60/Q1242&gt;O1242+0.001,"Cadence dépassée : vérifiez la cadence","OK"))))))))))))))))))</f>
        <v/>
      </c>
      <c r="AC1242">
        <f>IF(OR(AB1242="OK",AB1242="Aucune pièce déclarée",AB1242="Cadence dépassée : vérifiez la cadence"),1,0)</f>
        <v>0.0</v>
      </c>
      <c r="AD1242">
        <f>IF(AND(AC1242=1,A1242&gt;=p_from,A1242&lt;=p_to),1,0)</f>
        <v>0.0</v>
      </c>
      <c r="AE1242">
        <f>IF(AD1242=1,IF(COUNTIFS($A$6:A1242,A1242,$AD$6:AD1242,1)=1,1,0),0)</f>
        <v>0.0</v>
      </c>
      <c r="AF1242" t="str">
        <f>IF(AE1242=1,COUNTIFS(sj_first,1,sj_date,"&lt;"&amp;A1242)+1,"")</f>
        <v/>
      </c>
      <c r="AG1242" t="str">
        <f>IF(AND(AD1242=1,N(W1242)&lt;p_alert),ROUND(W1242,4),"")</f>
        <v/>
      </c>
      <c r="AH1242" t="str">
        <f>IF(AG1242="","",COUNTIF(sj_akey,"&lt;"&amp;AG1242)+COUNTIF($AG$6:AG1242,AG1242))</f>
        <v/>
      </c>
    </row>
    <row r="1243">
      <c r="A1243" s="51" t="n"/>
      <c r="B1243" s="52" t="n"/>
      <c r="C1243" s="52" t="n"/>
      <c r="D1243" s="53" t="n"/>
      <c r="E1243" s="53" t="n"/>
      <c r="F1243" s="54" t="n"/>
      <c r="G1243" s="54" t="n"/>
      <c r="H1243" s="54" t="n"/>
      <c r="I1243" s="54" t="n"/>
      <c r="J1243" s="53" t="n"/>
      <c r="K1243" s="55" t="str">
        <f>IF(COUNTA(A1243:I1243)=0,"",IF(F1243="",IFERROR(INDEX(eq_dur,MATCH(B1243,eq_code,0)),""),F1243))</f>
        <v/>
      </c>
      <c r="L1243" s="55" t="str">
        <f>IF(ISNUMBER(K1243),N(IFERROR(INDEX(eq_pause,MATCH(B1243,eq_code,0)),0))+SUMIFS(st_min,st_date,A1243,st_eq,B1243,st_po,C1243,st_type,"Planifié"),"")</f>
        <v/>
      </c>
      <c r="M1243" s="55" t="str">
        <f>IF(ISNUMBER(K1243),K1243-L1243,"")</f>
        <v/>
      </c>
      <c r="N1243" s="55" t="str">
        <f>IF(ISNUMBER(K1243),SUMIFS(st_min,st_date,A1243,st_eq,B1243,st_po,C1243,st_type,"Non planifié"),"")</f>
        <v/>
      </c>
      <c r="O1243" s="55" t="str">
        <f>IF(ISNUMBER(K1243),M1243-N1243,"")</f>
        <v/>
      </c>
      <c r="P1243" s="55" t="str">
        <f>IF(COUNTA(A1243:I1243)=0,"",N(G1243)+N(H1243)+N(I1243))</f>
        <v/>
      </c>
      <c r="Q1243" s="56" t="str">
        <f>IF(COUNTA(A1243:I1243)=0,"",IF(N(IFERROR(INDEX(art_rate,MATCH(E1243,art_ref,0)),0))&gt;0,N(IFERROR(INDEX(art_rate,MATCH(E1243,art_ref,0)),0)),N(IFERROR(INDEX(po_rate,MATCH(C1243,po_code,0)),0))))</f>
        <v/>
      </c>
      <c r="R1243" s="55" t="str">
        <f>IF(AC1243=1,P1243*60/Q1243,"")</f>
        <v/>
      </c>
      <c r="S1243" s="55" t="str">
        <f>IF(AC1243=1,N(G1243)*60/Q1243,"")</f>
        <v/>
      </c>
      <c r="T1243" s="57" t="str">
        <f>IF(AC1243=1,O1243/M1243,"")</f>
        <v/>
      </c>
      <c r="U1243" s="57" t="str">
        <f>IF(AC1243=1,IF(O1243&gt;0,R1243/O1243,""),"")</f>
        <v/>
      </c>
      <c r="V1243" s="57" t="str">
        <f>IF(AC1243=1,IF(P1243&gt;0,N(G1243)/P1243,""),"")</f>
        <v/>
      </c>
      <c r="W1243" s="57" t="str">
        <f>IF(AC1243=1,S1243/M1243,"")</f>
        <v/>
      </c>
      <c r="X1243" s="57" t="str">
        <f>IF(AC1243=1,S1243/K1243,"")</f>
        <v/>
      </c>
      <c r="Y1243" s="58" t="str">
        <f>IF(W1243="","",IF(W1243&gt;=p_target,"Bon",IF(W1243&gt;=p_alert,"À surveiller","Faible")))</f>
        <v/>
      </c>
      <c r="Z1243" s="58" t="str">
        <f>IF(W1243="","",IF(MIN(IF(T1243="",1,T1243),IF(U1243="",1,U1243),IF(V1243="",1,V1243))&gt;=1,"Aucune",IF(IF(T1243="",1,T1243)&lt;=MIN(IF(U1243="",1,U1243),IF(V1243="",1,V1243)),"Disponibilité",IF(IF(U1243="",1,U1243)&lt;=IF(V1243="",1,V1243),"Performance","Qualité"))))</f>
        <v/>
      </c>
      <c r="AA1243" s="59" t="str">
        <f>IF(AC1243=1,N(H1243)*N(IFERROR(INDEX(art_cost,MATCH(E1243,art_ref,0)),0)),"")</f>
        <v/>
      </c>
      <c r="AB1243" s="58" t="str">
        <f>IF(COUNTA(A1243:I1243)=0,"",IF(N(A1243)&lt;=0,"Date manquante ou invalide",IF(B1243="","Équipe manquante",IF(ISNA(MATCH(B1243,eq_code,0)),"Équipe inconnue",IF(INDEX(eq_check,MATCH(B1243,eq_code,0))&lt;&gt;"OK","Équipe à corriger dans Paramètres",IF(C1243="","Poste manquant",IF(ISNA(MATCH(C1243,po_code,0)),"Poste inconnu",IF(AND(E1243&lt;&gt;"",ISNA(MATCH(E1243,art_ref,0))),"Article inconnu",IF(IF(E1243="",FALSE,INDEX(art_check,MATCH(E1243,art_ref,0))&lt;&gt;"OK"),"Article à corriger (feuille Articles)",IF(COUNTIFS(sj_date,A1243,sj_eq,B1243,sj_po,C1243)&gt;1,"Ligne en double (même jour, équipe et poste)",IF(OR(NOT(ISNUMBER(K1243)),N(K1243)&lt;=0,N(K1243)&gt;1440),"Temps d'ouverture invalide",IF(OR(AND(G1243&lt;&gt;"",NOT(ISNUMBER(G1243))),N(G1243)&lt;0,N(G1243)&lt;&gt;INT(N(G1243)),AND(H1243&lt;&gt;"",NOT(ISNUMBER(H1243))),N(H1243)&lt;0,N(H1243)&lt;&gt;INT(N(H1243)),AND(I1243&lt;&gt;"",NOT(ISNUMBER(I1243))),N(I1243)&lt;0,N(I1243)&lt;&gt;INT(N(I1243))),"Quantité invalide",IF(Q1243&lt;=0,"Cadence manquante (poste ou article)",IF(M1243&lt;=0,"Arrêts planifiés supérieurs au temps d'ouverture",IF(O1243&lt;0,"Arrêts supérieurs au temps requis",IF(AND(P1243&gt;0,O1243=0),"Pièces déclarées sans temps de marche",IF(AND(P1243=0,O1243&gt;0),"Aucune pièce déclarée",IF(P1243*60/Q1243&gt;O1243+0.001,"Cadence dépassée : vérifiez la cadence","OK"))))))))))))))))))</f>
        <v/>
      </c>
      <c r="AC1243">
        <f>IF(OR(AB1243="OK",AB1243="Aucune pièce déclarée",AB1243="Cadence dépassée : vérifiez la cadence"),1,0)</f>
        <v>0.0</v>
      </c>
      <c r="AD1243">
        <f>IF(AND(AC1243=1,A1243&gt;=p_from,A1243&lt;=p_to),1,0)</f>
        <v>0.0</v>
      </c>
      <c r="AE1243">
        <f>IF(AD1243=1,IF(COUNTIFS($A$6:A1243,A1243,$AD$6:AD1243,1)=1,1,0),0)</f>
        <v>0.0</v>
      </c>
      <c r="AF1243" t="str">
        <f>IF(AE1243=1,COUNTIFS(sj_first,1,sj_date,"&lt;"&amp;A1243)+1,"")</f>
        <v/>
      </c>
      <c r="AG1243" t="str">
        <f>IF(AND(AD1243=1,N(W1243)&lt;p_alert),ROUND(W1243,4),"")</f>
        <v/>
      </c>
      <c r="AH1243" t="str">
        <f>IF(AG1243="","",COUNTIF(sj_akey,"&lt;"&amp;AG1243)+COUNTIF($AG$6:AG1243,AG1243))</f>
        <v/>
      </c>
    </row>
    <row r="1244">
      <c r="A1244" s="51" t="n"/>
      <c r="B1244" s="52" t="n"/>
      <c r="C1244" s="52" t="n"/>
      <c r="D1244" s="53" t="n"/>
      <c r="E1244" s="53" t="n"/>
      <c r="F1244" s="54" t="n"/>
      <c r="G1244" s="54" t="n"/>
      <c r="H1244" s="54" t="n"/>
      <c r="I1244" s="54" t="n"/>
      <c r="J1244" s="53" t="n"/>
      <c r="K1244" s="55" t="str">
        <f>IF(COUNTA(A1244:I1244)=0,"",IF(F1244="",IFERROR(INDEX(eq_dur,MATCH(B1244,eq_code,0)),""),F1244))</f>
        <v/>
      </c>
      <c r="L1244" s="55" t="str">
        <f>IF(ISNUMBER(K1244),N(IFERROR(INDEX(eq_pause,MATCH(B1244,eq_code,0)),0))+SUMIFS(st_min,st_date,A1244,st_eq,B1244,st_po,C1244,st_type,"Planifié"),"")</f>
        <v/>
      </c>
      <c r="M1244" s="55" t="str">
        <f>IF(ISNUMBER(K1244),K1244-L1244,"")</f>
        <v/>
      </c>
      <c r="N1244" s="55" t="str">
        <f>IF(ISNUMBER(K1244),SUMIFS(st_min,st_date,A1244,st_eq,B1244,st_po,C1244,st_type,"Non planifié"),"")</f>
        <v/>
      </c>
      <c r="O1244" s="55" t="str">
        <f>IF(ISNUMBER(K1244),M1244-N1244,"")</f>
        <v/>
      </c>
      <c r="P1244" s="55" t="str">
        <f>IF(COUNTA(A1244:I1244)=0,"",N(G1244)+N(H1244)+N(I1244))</f>
        <v/>
      </c>
      <c r="Q1244" s="56" t="str">
        <f>IF(COUNTA(A1244:I1244)=0,"",IF(N(IFERROR(INDEX(art_rate,MATCH(E1244,art_ref,0)),0))&gt;0,N(IFERROR(INDEX(art_rate,MATCH(E1244,art_ref,0)),0)),N(IFERROR(INDEX(po_rate,MATCH(C1244,po_code,0)),0))))</f>
        <v/>
      </c>
      <c r="R1244" s="55" t="str">
        <f>IF(AC1244=1,P1244*60/Q1244,"")</f>
        <v/>
      </c>
      <c r="S1244" s="55" t="str">
        <f>IF(AC1244=1,N(G1244)*60/Q1244,"")</f>
        <v/>
      </c>
      <c r="T1244" s="57" t="str">
        <f>IF(AC1244=1,O1244/M1244,"")</f>
        <v/>
      </c>
      <c r="U1244" s="57" t="str">
        <f>IF(AC1244=1,IF(O1244&gt;0,R1244/O1244,""),"")</f>
        <v/>
      </c>
      <c r="V1244" s="57" t="str">
        <f>IF(AC1244=1,IF(P1244&gt;0,N(G1244)/P1244,""),"")</f>
        <v/>
      </c>
      <c r="W1244" s="57" t="str">
        <f>IF(AC1244=1,S1244/M1244,"")</f>
        <v/>
      </c>
      <c r="X1244" s="57" t="str">
        <f>IF(AC1244=1,S1244/K1244,"")</f>
        <v/>
      </c>
      <c r="Y1244" s="58" t="str">
        <f>IF(W1244="","",IF(W1244&gt;=p_target,"Bon",IF(W1244&gt;=p_alert,"À surveiller","Faible")))</f>
        <v/>
      </c>
      <c r="Z1244" s="58" t="str">
        <f>IF(W1244="","",IF(MIN(IF(T1244="",1,T1244),IF(U1244="",1,U1244),IF(V1244="",1,V1244))&gt;=1,"Aucune",IF(IF(T1244="",1,T1244)&lt;=MIN(IF(U1244="",1,U1244),IF(V1244="",1,V1244)),"Disponibilité",IF(IF(U1244="",1,U1244)&lt;=IF(V1244="",1,V1244),"Performance","Qualité"))))</f>
        <v/>
      </c>
      <c r="AA1244" s="59" t="str">
        <f>IF(AC1244=1,N(H1244)*N(IFERROR(INDEX(art_cost,MATCH(E1244,art_ref,0)),0)),"")</f>
        <v/>
      </c>
      <c r="AB1244" s="58" t="str">
        <f>IF(COUNTA(A1244:I1244)=0,"",IF(N(A1244)&lt;=0,"Date manquante ou invalide",IF(B1244="","Équipe manquante",IF(ISNA(MATCH(B1244,eq_code,0)),"Équipe inconnue",IF(INDEX(eq_check,MATCH(B1244,eq_code,0))&lt;&gt;"OK","Équipe à corriger dans Paramètres",IF(C1244="","Poste manquant",IF(ISNA(MATCH(C1244,po_code,0)),"Poste inconnu",IF(AND(E1244&lt;&gt;"",ISNA(MATCH(E1244,art_ref,0))),"Article inconnu",IF(IF(E1244="",FALSE,INDEX(art_check,MATCH(E1244,art_ref,0))&lt;&gt;"OK"),"Article à corriger (feuille Articles)",IF(COUNTIFS(sj_date,A1244,sj_eq,B1244,sj_po,C1244)&gt;1,"Ligne en double (même jour, équipe et poste)",IF(OR(NOT(ISNUMBER(K1244)),N(K1244)&lt;=0,N(K1244)&gt;1440),"Temps d'ouverture invalide",IF(OR(AND(G1244&lt;&gt;"",NOT(ISNUMBER(G1244))),N(G1244)&lt;0,N(G1244)&lt;&gt;INT(N(G1244)),AND(H1244&lt;&gt;"",NOT(ISNUMBER(H1244))),N(H1244)&lt;0,N(H1244)&lt;&gt;INT(N(H1244)),AND(I1244&lt;&gt;"",NOT(ISNUMBER(I1244))),N(I1244)&lt;0,N(I1244)&lt;&gt;INT(N(I1244))),"Quantité invalide",IF(Q1244&lt;=0,"Cadence manquante (poste ou article)",IF(M1244&lt;=0,"Arrêts planifiés supérieurs au temps d'ouverture",IF(O1244&lt;0,"Arrêts supérieurs au temps requis",IF(AND(P1244&gt;0,O1244=0),"Pièces déclarées sans temps de marche",IF(AND(P1244=0,O1244&gt;0),"Aucune pièce déclarée",IF(P1244*60/Q1244&gt;O1244+0.001,"Cadence dépassée : vérifiez la cadence","OK"))))))))))))))))))</f>
        <v/>
      </c>
      <c r="AC1244">
        <f>IF(OR(AB1244="OK",AB1244="Aucune pièce déclarée",AB1244="Cadence dépassée : vérifiez la cadence"),1,0)</f>
        <v>0.0</v>
      </c>
      <c r="AD1244">
        <f>IF(AND(AC1244=1,A1244&gt;=p_from,A1244&lt;=p_to),1,0)</f>
        <v>0.0</v>
      </c>
      <c r="AE1244">
        <f>IF(AD1244=1,IF(COUNTIFS($A$6:A1244,A1244,$AD$6:AD1244,1)=1,1,0),0)</f>
        <v>0.0</v>
      </c>
      <c r="AF1244" t="str">
        <f>IF(AE1244=1,COUNTIFS(sj_first,1,sj_date,"&lt;"&amp;A1244)+1,"")</f>
        <v/>
      </c>
      <c r="AG1244" t="str">
        <f>IF(AND(AD1244=1,N(W1244)&lt;p_alert),ROUND(W1244,4),"")</f>
        <v/>
      </c>
      <c r="AH1244" t="str">
        <f>IF(AG1244="","",COUNTIF(sj_akey,"&lt;"&amp;AG1244)+COUNTIF($AG$6:AG1244,AG1244))</f>
        <v/>
      </c>
    </row>
    <row r="1245">
      <c r="A1245" s="51" t="n"/>
      <c r="B1245" s="52" t="n"/>
      <c r="C1245" s="52" t="n"/>
      <c r="D1245" s="53" t="n"/>
      <c r="E1245" s="53" t="n"/>
      <c r="F1245" s="54" t="n"/>
      <c r="G1245" s="54" t="n"/>
      <c r="H1245" s="54" t="n"/>
      <c r="I1245" s="54" t="n"/>
      <c r="J1245" s="53" t="n"/>
      <c r="K1245" s="55" t="str">
        <f>IF(COUNTA(A1245:I1245)=0,"",IF(F1245="",IFERROR(INDEX(eq_dur,MATCH(B1245,eq_code,0)),""),F1245))</f>
        <v/>
      </c>
      <c r="L1245" s="55" t="str">
        <f>IF(ISNUMBER(K1245),N(IFERROR(INDEX(eq_pause,MATCH(B1245,eq_code,0)),0))+SUMIFS(st_min,st_date,A1245,st_eq,B1245,st_po,C1245,st_type,"Planifié"),"")</f>
        <v/>
      </c>
      <c r="M1245" s="55" t="str">
        <f>IF(ISNUMBER(K1245),K1245-L1245,"")</f>
        <v/>
      </c>
      <c r="N1245" s="55" t="str">
        <f>IF(ISNUMBER(K1245),SUMIFS(st_min,st_date,A1245,st_eq,B1245,st_po,C1245,st_type,"Non planifié"),"")</f>
        <v/>
      </c>
      <c r="O1245" s="55" t="str">
        <f>IF(ISNUMBER(K1245),M1245-N1245,"")</f>
        <v/>
      </c>
      <c r="P1245" s="55" t="str">
        <f>IF(COUNTA(A1245:I1245)=0,"",N(G1245)+N(H1245)+N(I1245))</f>
        <v/>
      </c>
      <c r="Q1245" s="56" t="str">
        <f>IF(COUNTA(A1245:I1245)=0,"",IF(N(IFERROR(INDEX(art_rate,MATCH(E1245,art_ref,0)),0))&gt;0,N(IFERROR(INDEX(art_rate,MATCH(E1245,art_ref,0)),0)),N(IFERROR(INDEX(po_rate,MATCH(C1245,po_code,0)),0))))</f>
        <v/>
      </c>
      <c r="R1245" s="55" t="str">
        <f>IF(AC1245=1,P1245*60/Q1245,"")</f>
        <v/>
      </c>
      <c r="S1245" s="55" t="str">
        <f>IF(AC1245=1,N(G1245)*60/Q1245,"")</f>
        <v/>
      </c>
      <c r="T1245" s="57" t="str">
        <f>IF(AC1245=1,O1245/M1245,"")</f>
        <v/>
      </c>
      <c r="U1245" s="57" t="str">
        <f>IF(AC1245=1,IF(O1245&gt;0,R1245/O1245,""),"")</f>
        <v/>
      </c>
      <c r="V1245" s="57" t="str">
        <f>IF(AC1245=1,IF(P1245&gt;0,N(G1245)/P1245,""),"")</f>
        <v/>
      </c>
      <c r="W1245" s="57" t="str">
        <f>IF(AC1245=1,S1245/M1245,"")</f>
        <v/>
      </c>
      <c r="X1245" s="57" t="str">
        <f>IF(AC1245=1,S1245/K1245,"")</f>
        <v/>
      </c>
      <c r="Y1245" s="58" t="str">
        <f>IF(W1245="","",IF(W1245&gt;=p_target,"Bon",IF(W1245&gt;=p_alert,"À surveiller","Faible")))</f>
        <v/>
      </c>
      <c r="Z1245" s="58" t="str">
        <f>IF(W1245="","",IF(MIN(IF(T1245="",1,T1245),IF(U1245="",1,U1245),IF(V1245="",1,V1245))&gt;=1,"Aucune",IF(IF(T1245="",1,T1245)&lt;=MIN(IF(U1245="",1,U1245),IF(V1245="",1,V1245)),"Disponibilité",IF(IF(U1245="",1,U1245)&lt;=IF(V1245="",1,V1245),"Performance","Qualité"))))</f>
        <v/>
      </c>
      <c r="AA1245" s="59" t="str">
        <f>IF(AC1245=1,N(H1245)*N(IFERROR(INDEX(art_cost,MATCH(E1245,art_ref,0)),0)),"")</f>
        <v/>
      </c>
      <c r="AB1245" s="58" t="str">
        <f>IF(COUNTA(A1245:I1245)=0,"",IF(N(A1245)&lt;=0,"Date manquante ou invalide",IF(B1245="","Équipe manquante",IF(ISNA(MATCH(B1245,eq_code,0)),"Équipe inconnue",IF(INDEX(eq_check,MATCH(B1245,eq_code,0))&lt;&gt;"OK","Équipe à corriger dans Paramètres",IF(C1245="","Poste manquant",IF(ISNA(MATCH(C1245,po_code,0)),"Poste inconnu",IF(AND(E1245&lt;&gt;"",ISNA(MATCH(E1245,art_ref,0))),"Article inconnu",IF(IF(E1245="",FALSE,INDEX(art_check,MATCH(E1245,art_ref,0))&lt;&gt;"OK"),"Article à corriger (feuille Articles)",IF(COUNTIFS(sj_date,A1245,sj_eq,B1245,sj_po,C1245)&gt;1,"Ligne en double (même jour, équipe et poste)",IF(OR(NOT(ISNUMBER(K1245)),N(K1245)&lt;=0,N(K1245)&gt;1440),"Temps d'ouverture invalide",IF(OR(AND(G1245&lt;&gt;"",NOT(ISNUMBER(G1245))),N(G1245)&lt;0,N(G1245)&lt;&gt;INT(N(G1245)),AND(H1245&lt;&gt;"",NOT(ISNUMBER(H1245))),N(H1245)&lt;0,N(H1245)&lt;&gt;INT(N(H1245)),AND(I1245&lt;&gt;"",NOT(ISNUMBER(I1245))),N(I1245)&lt;0,N(I1245)&lt;&gt;INT(N(I1245))),"Quantité invalide",IF(Q1245&lt;=0,"Cadence manquante (poste ou article)",IF(M1245&lt;=0,"Arrêts planifiés supérieurs au temps d'ouverture",IF(O1245&lt;0,"Arrêts supérieurs au temps requis",IF(AND(P1245&gt;0,O1245=0),"Pièces déclarées sans temps de marche",IF(AND(P1245=0,O1245&gt;0),"Aucune pièce déclarée",IF(P1245*60/Q1245&gt;O1245+0.001,"Cadence dépassée : vérifiez la cadence","OK"))))))))))))))))))</f>
        <v/>
      </c>
      <c r="AC1245">
        <f>IF(OR(AB1245="OK",AB1245="Aucune pièce déclarée",AB1245="Cadence dépassée : vérifiez la cadence"),1,0)</f>
        <v>0.0</v>
      </c>
      <c r="AD1245">
        <f>IF(AND(AC1245=1,A1245&gt;=p_from,A1245&lt;=p_to),1,0)</f>
        <v>0.0</v>
      </c>
      <c r="AE1245">
        <f>IF(AD1245=1,IF(COUNTIFS($A$6:A1245,A1245,$AD$6:AD1245,1)=1,1,0),0)</f>
        <v>0.0</v>
      </c>
      <c r="AF1245" t="str">
        <f>IF(AE1245=1,COUNTIFS(sj_first,1,sj_date,"&lt;"&amp;A1245)+1,"")</f>
        <v/>
      </c>
      <c r="AG1245" t="str">
        <f>IF(AND(AD1245=1,N(W1245)&lt;p_alert),ROUND(W1245,4),"")</f>
        <v/>
      </c>
      <c r="AH1245" t="str">
        <f>IF(AG1245="","",COUNTIF(sj_akey,"&lt;"&amp;AG1245)+COUNTIF($AG$6:AG1245,AG1245))</f>
        <v/>
      </c>
    </row>
    <row r="1246">
      <c r="A1246" s="51" t="n"/>
      <c r="B1246" s="52" t="n"/>
      <c r="C1246" s="52" t="n"/>
      <c r="D1246" s="53" t="n"/>
      <c r="E1246" s="53" t="n"/>
      <c r="F1246" s="54" t="n"/>
      <c r="G1246" s="54" t="n"/>
      <c r="H1246" s="54" t="n"/>
      <c r="I1246" s="54" t="n"/>
      <c r="J1246" s="53" t="n"/>
      <c r="K1246" s="55" t="str">
        <f>IF(COUNTA(A1246:I1246)=0,"",IF(F1246="",IFERROR(INDEX(eq_dur,MATCH(B1246,eq_code,0)),""),F1246))</f>
        <v/>
      </c>
      <c r="L1246" s="55" t="str">
        <f>IF(ISNUMBER(K1246),N(IFERROR(INDEX(eq_pause,MATCH(B1246,eq_code,0)),0))+SUMIFS(st_min,st_date,A1246,st_eq,B1246,st_po,C1246,st_type,"Planifié"),"")</f>
        <v/>
      </c>
      <c r="M1246" s="55" t="str">
        <f>IF(ISNUMBER(K1246),K1246-L1246,"")</f>
        <v/>
      </c>
      <c r="N1246" s="55" t="str">
        <f>IF(ISNUMBER(K1246),SUMIFS(st_min,st_date,A1246,st_eq,B1246,st_po,C1246,st_type,"Non planifié"),"")</f>
        <v/>
      </c>
      <c r="O1246" s="55" t="str">
        <f>IF(ISNUMBER(K1246),M1246-N1246,"")</f>
        <v/>
      </c>
      <c r="P1246" s="55" t="str">
        <f>IF(COUNTA(A1246:I1246)=0,"",N(G1246)+N(H1246)+N(I1246))</f>
        <v/>
      </c>
      <c r="Q1246" s="56" t="str">
        <f>IF(COUNTA(A1246:I1246)=0,"",IF(N(IFERROR(INDEX(art_rate,MATCH(E1246,art_ref,0)),0))&gt;0,N(IFERROR(INDEX(art_rate,MATCH(E1246,art_ref,0)),0)),N(IFERROR(INDEX(po_rate,MATCH(C1246,po_code,0)),0))))</f>
        <v/>
      </c>
      <c r="R1246" s="55" t="str">
        <f>IF(AC1246=1,P1246*60/Q1246,"")</f>
        <v/>
      </c>
      <c r="S1246" s="55" t="str">
        <f>IF(AC1246=1,N(G1246)*60/Q1246,"")</f>
        <v/>
      </c>
      <c r="T1246" s="57" t="str">
        <f>IF(AC1246=1,O1246/M1246,"")</f>
        <v/>
      </c>
      <c r="U1246" s="57" t="str">
        <f>IF(AC1246=1,IF(O1246&gt;0,R1246/O1246,""),"")</f>
        <v/>
      </c>
      <c r="V1246" s="57" t="str">
        <f>IF(AC1246=1,IF(P1246&gt;0,N(G1246)/P1246,""),"")</f>
        <v/>
      </c>
      <c r="W1246" s="57" t="str">
        <f>IF(AC1246=1,S1246/M1246,"")</f>
        <v/>
      </c>
      <c r="X1246" s="57" t="str">
        <f>IF(AC1246=1,S1246/K1246,"")</f>
        <v/>
      </c>
      <c r="Y1246" s="58" t="str">
        <f>IF(W1246="","",IF(W1246&gt;=p_target,"Bon",IF(W1246&gt;=p_alert,"À surveiller","Faible")))</f>
        <v/>
      </c>
      <c r="Z1246" s="58" t="str">
        <f>IF(W1246="","",IF(MIN(IF(T1246="",1,T1246),IF(U1246="",1,U1246),IF(V1246="",1,V1246))&gt;=1,"Aucune",IF(IF(T1246="",1,T1246)&lt;=MIN(IF(U1246="",1,U1246),IF(V1246="",1,V1246)),"Disponibilité",IF(IF(U1246="",1,U1246)&lt;=IF(V1246="",1,V1246),"Performance","Qualité"))))</f>
        <v/>
      </c>
      <c r="AA1246" s="59" t="str">
        <f>IF(AC1246=1,N(H1246)*N(IFERROR(INDEX(art_cost,MATCH(E1246,art_ref,0)),0)),"")</f>
        <v/>
      </c>
      <c r="AB1246" s="58" t="str">
        <f>IF(COUNTA(A1246:I1246)=0,"",IF(N(A1246)&lt;=0,"Date manquante ou invalide",IF(B1246="","Équipe manquante",IF(ISNA(MATCH(B1246,eq_code,0)),"Équipe inconnue",IF(INDEX(eq_check,MATCH(B1246,eq_code,0))&lt;&gt;"OK","Équipe à corriger dans Paramètres",IF(C1246="","Poste manquant",IF(ISNA(MATCH(C1246,po_code,0)),"Poste inconnu",IF(AND(E1246&lt;&gt;"",ISNA(MATCH(E1246,art_ref,0))),"Article inconnu",IF(IF(E1246="",FALSE,INDEX(art_check,MATCH(E1246,art_ref,0))&lt;&gt;"OK"),"Article à corriger (feuille Articles)",IF(COUNTIFS(sj_date,A1246,sj_eq,B1246,sj_po,C1246)&gt;1,"Ligne en double (même jour, équipe et poste)",IF(OR(NOT(ISNUMBER(K1246)),N(K1246)&lt;=0,N(K1246)&gt;1440),"Temps d'ouverture invalide",IF(OR(AND(G1246&lt;&gt;"",NOT(ISNUMBER(G1246))),N(G1246)&lt;0,N(G1246)&lt;&gt;INT(N(G1246)),AND(H1246&lt;&gt;"",NOT(ISNUMBER(H1246))),N(H1246)&lt;0,N(H1246)&lt;&gt;INT(N(H1246)),AND(I1246&lt;&gt;"",NOT(ISNUMBER(I1246))),N(I1246)&lt;0,N(I1246)&lt;&gt;INT(N(I1246))),"Quantité invalide",IF(Q1246&lt;=0,"Cadence manquante (poste ou article)",IF(M1246&lt;=0,"Arrêts planifiés supérieurs au temps d'ouverture",IF(O1246&lt;0,"Arrêts supérieurs au temps requis",IF(AND(P1246&gt;0,O1246=0),"Pièces déclarées sans temps de marche",IF(AND(P1246=0,O1246&gt;0),"Aucune pièce déclarée",IF(P1246*60/Q1246&gt;O1246+0.001,"Cadence dépassée : vérifiez la cadence","OK"))))))))))))))))))</f>
        <v/>
      </c>
      <c r="AC1246">
        <f>IF(OR(AB1246="OK",AB1246="Aucune pièce déclarée",AB1246="Cadence dépassée : vérifiez la cadence"),1,0)</f>
        <v>0.0</v>
      </c>
      <c r="AD1246">
        <f>IF(AND(AC1246=1,A1246&gt;=p_from,A1246&lt;=p_to),1,0)</f>
        <v>0.0</v>
      </c>
      <c r="AE1246">
        <f>IF(AD1246=1,IF(COUNTIFS($A$6:A1246,A1246,$AD$6:AD1246,1)=1,1,0),0)</f>
        <v>0.0</v>
      </c>
      <c r="AF1246" t="str">
        <f>IF(AE1246=1,COUNTIFS(sj_first,1,sj_date,"&lt;"&amp;A1246)+1,"")</f>
        <v/>
      </c>
      <c r="AG1246" t="str">
        <f>IF(AND(AD1246=1,N(W1246)&lt;p_alert),ROUND(W1246,4),"")</f>
        <v/>
      </c>
      <c r="AH1246" t="str">
        <f>IF(AG1246="","",COUNTIF(sj_akey,"&lt;"&amp;AG1246)+COUNTIF($AG$6:AG1246,AG1246))</f>
        <v/>
      </c>
    </row>
    <row r="1247">
      <c r="A1247" s="51" t="n"/>
      <c r="B1247" s="52" t="n"/>
      <c r="C1247" s="52" t="n"/>
      <c r="D1247" s="53" t="n"/>
      <c r="E1247" s="53" t="n"/>
      <c r="F1247" s="54" t="n"/>
      <c r="G1247" s="54" t="n"/>
      <c r="H1247" s="54" t="n"/>
      <c r="I1247" s="54" t="n"/>
      <c r="J1247" s="53" t="n"/>
      <c r="K1247" s="55" t="str">
        <f>IF(COUNTA(A1247:I1247)=0,"",IF(F1247="",IFERROR(INDEX(eq_dur,MATCH(B1247,eq_code,0)),""),F1247))</f>
        <v/>
      </c>
      <c r="L1247" s="55" t="str">
        <f>IF(ISNUMBER(K1247),N(IFERROR(INDEX(eq_pause,MATCH(B1247,eq_code,0)),0))+SUMIFS(st_min,st_date,A1247,st_eq,B1247,st_po,C1247,st_type,"Planifié"),"")</f>
        <v/>
      </c>
      <c r="M1247" s="55" t="str">
        <f>IF(ISNUMBER(K1247),K1247-L1247,"")</f>
        <v/>
      </c>
      <c r="N1247" s="55" t="str">
        <f>IF(ISNUMBER(K1247),SUMIFS(st_min,st_date,A1247,st_eq,B1247,st_po,C1247,st_type,"Non planifié"),"")</f>
        <v/>
      </c>
      <c r="O1247" s="55" t="str">
        <f>IF(ISNUMBER(K1247),M1247-N1247,"")</f>
        <v/>
      </c>
      <c r="P1247" s="55" t="str">
        <f>IF(COUNTA(A1247:I1247)=0,"",N(G1247)+N(H1247)+N(I1247))</f>
        <v/>
      </c>
      <c r="Q1247" s="56" t="str">
        <f>IF(COUNTA(A1247:I1247)=0,"",IF(N(IFERROR(INDEX(art_rate,MATCH(E1247,art_ref,0)),0))&gt;0,N(IFERROR(INDEX(art_rate,MATCH(E1247,art_ref,0)),0)),N(IFERROR(INDEX(po_rate,MATCH(C1247,po_code,0)),0))))</f>
        <v/>
      </c>
      <c r="R1247" s="55" t="str">
        <f>IF(AC1247=1,P1247*60/Q1247,"")</f>
        <v/>
      </c>
      <c r="S1247" s="55" t="str">
        <f>IF(AC1247=1,N(G1247)*60/Q1247,"")</f>
        <v/>
      </c>
      <c r="T1247" s="57" t="str">
        <f>IF(AC1247=1,O1247/M1247,"")</f>
        <v/>
      </c>
      <c r="U1247" s="57" t="str">
        <f>IF(AC1247=1,IF(O1247&gt;0,R1247/O1247,""),"")</f>
        <v/>
      </c>
      <c r="V1247" s="57" t="str">
        <f>IF(AC1247=1,IF(P1247&gt;0,N(G1247)/P1247,""),"")</f>
        <v/>
      </c>
      <c r="W1247" s="57" t="str">
        <f>IF(AC1247=1,S1247/M1247,"")</f>
        <v/>
      </c>
      <c r="X1247" s="57" t="str">
        <f>IF(AC1247=1,S1247/K1247,"")</f>
        <v/>
      </c>
      <c r="Y1247" s="58" t="str">
        <f>IF(W1247="","",IF(W1247&gt;=p_target,"Bon",IF(W1247&gt;=p_alert,"À surveiller","Faible")))</f>
        <v/>
      </c>
      <c r="Z1247" s="58" t="str">
        <f>IF(W1247="","",IF(MIN(IF(T1247="",1,T1247),IF(U1247="",1,U1247),IF(V1247="",1,V1247))&gt;=1,"Aucune",IF(IF(T1247="",1,T1247)&lt;=MIN(IF(U1247="",1,U1247),IF(V1247="",1,V1247)),"Disponibilité",IF(IF(U1247="",1,U1247)&lt;=IF(V1247="",1,V1247),"Performance","Qualité"))))</f>
        <v/>
      </c>
      <c r="AA1247" s="59" t="str">
        <f>IF(AC1247=1,N(H1247)*N(IFERROR(INDEX(art_cost,MATCH(E1247,art_ref,0)),0)),"")</f>
        <v/>
      </c>
      <c r="AB1247" s="58" t="str">
        <f>IF(COUNTA(A1247:I1247)=0,"",IF(N(A1247)&lt;=0,"Date manquante ou invalide",IF(B1247="","Équipe manquante",IF(ISNA(MATCH(B1247,eq_code,0)),"Équipe inconnue",IF(INDEX(eq_check,MATCH(B1247,eq_code,0))&lt;&gt;"OK","Équipe à corriger dans Paramètres",IF(C1247="","Poste manquant",IF(ISNA(MATCH(C1247,po_code,0)),"Poste inconnu",IF(AND(E1247&lt;&gt;"",ISNA(MATCH(E1247,art_ref,0))),"Article inconnu",IF(IF(E1247="",FALSE,INDEX(art_check,MATCH(E1247,art_ref,0))&lt;&gt;"OK"),"Article à corriger (feuille Articles)",IF(COUNTIFS(sj_date,A1247,sj_eq,B1247,sj_po,C1247)&gt;1,"Ligne en double (même jour, équipe et poste)",IF(OR(NOT(ISNUMBER(K1247)),N(K1247)&lt;=0,N(K1247)&gt;1440),"Temps d'ouverture invalide",IF(OR(AND(G1247&lt;&gt;"",NOT(ISNUMBER(G1247))),N(G1247)&lt;0,N(G1247)&lt;&gt;INT(N(G1247)),AND(H1247&lt;&gt;"",NOT(ISNUMBER(H1247))),N(H1247)&lt;0,N(H1247)&lt;&gt;INT(N(H1247)),AND(I1247&lt;&gt;"",NOT(ISNUMBER(I1247))),N(I1247)&lt;0,N(I1247)&lt;&gt;INT(N(I1247))),"Quantité invalide",IF(Q1247&lt;=0,"Cadence manquante (poste ou article)",IF(M1247&lt;=0,"Arrêts planifiés supérieurs au temps d'ouverture",IF(O1247&lt;0,"Arrêts supérieurs au temps requis",IF(AND(P1247&gt;0,O1247=0),"Pièces déclarées sans temps de marche",IF(AND(P1247=0,O1247&gt;0),"Aucune pièce déclarée",IF(P1247*60/Q1247&gt;O1247+0.001,"Cadence dépassée : vérifiez la cadence","OK"))))))))))))))))))</f>
        <v/>
      </c>
      <c r="AC1247">
        <f>IF(OR(AB1247="OK",AB1247="Aucune pièce déclarée",AB1247="Cadence dépassée : vérifiez la cadence"),1,0)</f>
        <v>0.0</v>
      </c>
      <c r="AD1247">
        <f>IF(AND(AC1247=1,A1247&gt;=p_from,A1247&lt;=p_to),1,0)</f>
        <v>0.0</v>
      </c>
      <c r="AE1247">
        <f>IF(AD1247=1,IF(COUNTIFS($A$6:A1247,A1247,$AD$6:AD1247,1)=1,1,0),0)</f>
        <v>0.0</v>
      </c>
      <c r="AF1247" t="str">
        <f>IF(AE1247=1,COUNTIFS(sj_first,1,sj_date,"&lt;"&amp;A1247)+1,"")</f>
        <v/>
      </c>
      <c r="AG1247" t="str">
        <f>IF(AND(AD1247=1,N(W1247)&lt;p_alert),ROUND(W1247,4),"")</f>
        <v/>
      </c>
      <c r="AH1247" t="str">
        <f>IF(AG1247="","",COUNTIF(sj_akey,"&lt;"&amp;AG1247)+COUNTIF($AG$6:AG1247,AG1247))</f>
        <v/>
      </c>
    </row>
    <row r="1248">
      <c r="A1248" s="51" t="n"/>
      <c r="B1248" s="52" t="n"/>
      <c r="C1248" s="52" t="n"/>
      <c r="D1248" s="53" t="n"/>
      <c r="E1248" s="53" t="n"/>
      <c r="F1248" s="54" t="n"/>
      <c r="G1248" s="54" t="n"/>
      <c r="H1248" s="54" t="n"/>
      <c r="I1248" s="54" t="n"/>
      <c r="J1248" s="53" t="n"/>
      <c r="K1248" s="55" t="str">
        <f>IF(COUNTA(A1248:I1248)=0,"",IF(F1248="",IFERROR(INDEX(eq_dur,MATCH(B1248,eq_code,0)),""),F1248))</f>
        <v/>
      </c>
      <c r="L1248" s="55" t="str">
        <f>IF(ISNUMBER(K1248),N(IFERROR(INDEX(eq_pause,MATCH(B1248,eq_code,0)),0))+SUMIFS(st_min,st_date,A1248,st_eq,B1248,st_po,C1248,st_type,"Planifié"),"")</f>
        <v/>
      </c>
      <c r="M1248" s="55" t="str">
        <f>IF(ISNUMBER(K1248),K1248-L1248,"")</f>
        <v/>
      </c>
      <c r="N1248" s="55" t="str">
        <f>IF(ISNUMBER(K1248),SUMIFS(st_min,st_date,A1248,st_eq,B1248,st_po,C1248,st_type,"Non planifié"),"")</f>
        <v/>
      </c>
      <c r="O1248" s="55" t="str">
        <f>IF(ISNUMBER(K1248),M1248-N1248,"")</f>
        <v/>
      </c>
      <c r="P1248" s="55" t="str">
        <f>IF(COUNTA(A1248:I1248)=0,"",N(G1248)+N(H1248)+N(I1248))</f>
        <v/>
      </c>
      <c r="Q1248" s="56" t="str">
        <f>IF(COUNTA(A1248:I1248)=0,"",IF(N(IFERROR(INDEX(art_rate,MATCH(E1248,art_ref,0)),0))&gt;0,N(IFERROR(INDEX(art_rate,MATCH(E1248,art_ref,0)),0)),N(IFERROR(INDEX(po_rate,MATCH(C1248,po_code,0)),0))))</f>
        <v/>
      </c>
      <c r="R1248" s="55" t="str">
        <f>IF(AC1248=1,P1248*60/Q1248,"")</f>
        <v/>
      </c>
      <c r="S1248" s="55" t="str">
        <f>IF(AC1248=1,N(G1248)*60/Q1248,"")</f>
        <v/>
      </c>
      <c r="T1248" s="57" t="str">
        <f>IF(AC1248=1,O1248/M1248,"")</f>
        <v/>
      </c>
      <c r="U1248" s="57" t="str">
        <f>IF(AC1248=1,IF(O1248&gt;0,R1248/O1248,""),"")</f>
        <v/>
      </c>
      <c r="V1248" s="57" t="str">
        <f>IF(AC1248=1,IF(P1248&gt;0,N(G1248)/P1248,""),"")</f>
        <v/>
      </c>
      <c r="W1248" s="57" t="str">
        <f>IF(AC1248=1,S1248/M1248,"")</f>
        <v/>
      </c>
      <c r="X1248" s="57" t="str">
        <f>IF(AC1248=1,S1248/K1248,"")</f>
        <v/>
      </c>
      <c r="Y1248" s="58" t="str">
        <f>IF(W1248="","",IF(W1248&gt;=p_target,"Bon",IF(W1248&gt;=p_alert,"À surveiller","Faible")))</f>
        <v/>
      </c>
      <c r="Z1248" s="58" t="str">
        <f>IF(W1248="","",IF(MIN(IF(T1248="",1,T1248),IF(U1248="",1,U1248),IF(V1248="",1,V1248))&gt;=1,"Aucune",IF(IF(T1248="",1,T1248)&lt;=MIN(IF(U1248="",1,U1248),IF(V1248="",1,V1248)),"Disponibilité",IF(IF(U1248="",1,U1248)&lt;=IF(V1248="",1,V1248),"Performance","Qualité"))))</f>
        <v/>
      </c>
      <c r="AA1248" s="59" t="str">
        <f>IF(AC1248=1,N(H1248)*N(IFERROR(INDEX(art_cost,MATCH(E1248,art_ref,0)),0)),"")</f>
        <v/>
      </c>
      <c r="AB1248" s="58" t="str">
        <f>IF(COUNTA(A1248:I1248)=0,"",IF(N(A1248)&lt;=0,"Date manquante ou invalide",IF(B1248="","Équipe manquante",IF(ISNA(MATCH(B1248,eq_code,0)),"Équipe inconnue",IF(INDEX(eq_check,MATCH(B1248,eq_code,0))&lt;&gt;"OK","Équipe à corriger dans Paramètres",IF(C1248="","Poste manquant",IF(ISNA(MATCH(C1248,po_code,0)),"Poste inconnu",IF(AND(E1248&lt;&gt;"",ISNA(MATCH(E1248,art_ref,0))),"Article inconnu",IF(IF(E1248="",FALSE,INDEX(art_check,MATCH(E1248,art_ref,0))&lt;&gt;"OK"),"Article à corriger (feuille Articles)",IF(COUNTIFS(sj_date,A1248,sj_eq,B1248,sj_po,C1248)&gt;1,"Ligne en double (même jour, équipe et poste)",IF(OR(NOT(ISNUMBER(K1248)),N(K1248)&lt;=0,N(K1248)&gt;1440),"Temps d'ouverture invalide",IF(OR(AND(G1248&lt;&gt;"",NOT(ISNUMBER(G1248))),N(G1248)&lt;0,N(G1248)&lt;&gt;INT(N(G1248)),AND(H1248&lt;&gt;"",NOT(ISNUMBER(H1248))),N(H1248)&lt;0,N(H1248)&lt;&gt;INT(N(H1248)),AND(I1248&lt;&gt;"",NOT(ISNUMBER(I1248))),N(I1248)&lt;0,N(I1248)&lt;&gt;INT(N(I1248))),"Quantité invalide",IF(Q1248&lt;=0,"Cadence manquante (poste ou article)",IF(M1248&lt;=0,"Arrêts planifiés supérieurs au temps d'ouverture",IF(O1248&lt;0,"Arrêts supérieurs au temps requis",IF(AND(P1248&gt;0,O1248=0),"Pièces déclarées sans temps de marche",IF(AND(P1248=0,O1248&gt;0),"Aucune pièce déclarée",IF(P1248*60/Q1248&gt;O1248+0.001,"Cadence dépassée : vérifiez la cadence","OK"))))))))))))))))))</f>
        <v/>
      </c>
      <c r="AC1248">
        <f>IF(OR(AB1248="OK",AB1248="Aucune pièce déclarée",AB1248="Cadence dépassée : vérifiez la cadence"),1,0)</f>
        <v>0.0</v>
      </c>
      <c r="AD1248">
        <f>IF(AND(AC1248=1,A1248&gt;=p_from,A1248&lt;=p_to),1,0)</f>
        <v>0.0</v>
      </c>
      <c r="AE1248">
        <f>IF(AD1248=1,IF(COUNTIFS($A$6:A1248,A1248,$AD$6:AD1248,1)=1,1,0),0)</f>
        <v>0.0</v>
      </c>
      <c r="AF1248" t="str">
        <f>IF(AE1248=1,COUNTIFS(sj_first,1,sj_date,"&lt;"&amp;A1248)+1,"")</f>
        <v/>
      </c>
      <c r="AG1248" t="str">
        <f>IF(AND(AD1248=1,N(W1248)&lt;p_alert),ROUND(W1248,4),"")</f>
        <v/>
      </c>
      <c r="AH1248" t="str">
        <f>IF(AG1248="","",COUNTIF(sj_akey,"&lt;"&amp;AG1248)+COUNTIF($AG$6:AG1248,AG1248))</f>
        <v/>
      </c>
    </row>
    <row r="1249">
      <c r="A1249" s="51" t="n"/>
      <c r="B1249" s="52" t="n"/>
      <c r="C1249" s="52" t="n"/>
      <c r="D1249" s="53" t="n"/>
      <c r="E1249" s="53" t="n"/>
      <c r="F1249" s="54" t="n"/>
      <c r="G1249" s="54" t="n"/>
      <c r="H1249" s="54" t="n"/>
      <c r="I1249" s="54" t="n"/>
      <c r="J1249" s="53" t="n"/>
      <c r="K1249" s="55" t="str">
        <f>IF(COUNTA(A1249:I1249)=0,"",IF(F1249="",IFERROR(INDEX(eq_dur,MATCH(B1249,eq_code,0)),""),F1249))</f>
        <v/>
      </c>
      <c r="L1249" s="55" t="str">
        <f>IF(ISNUMBER(K1249),N(IFERROR(INDEX(eq_pause,MATCH(B1249,eq_code,0)),0))+SUMIFS(st_min,st_date,A1249,st_eq,B1249,st_po,C1249,st_type,"Planifié"),"")</f>
        <v/>
      </c>
      <c r="M1249" s="55" t="str">
        <f>IF(ISNUMBER(K1249),K1249-L1249,"")</f>
        <v/>
      </c>
      <c r="N1249" s="55" t="str">
        <f>IF(ISNUMBER(K1249),SUMIFS(st_min,st_date,A1249,st_eq,B1249,st_po,C1249,st_type,"Non planifié"),"")</f>
        <v/>
      </c>
      <c r="O1249" s="55" t="str">
        <f>IF(ISNUMBER(K1249),M1249-N1249,"")</f>
        <v/>
      </c>
      <c r="P1249" s="55" t="str">
        <f>IF(COUNTA(A1249:I1249)=0,"",N(G1249)+N(H1249)+N(I1249))</f>
        <v/>
      </c>
      <c r="Q1249" s="56" t="str">
        <f>IF(COUNTA(A1249:I1249)=0,"",IF(N(IFERROR(INDEX(art_rate,MATCH(E1249,art_ref,0)),0))&gt;0,N(IFERROR(INDEX(art_rate,MATCH(E1249,art_ref,0)),0)),N(IFERROR(INDEX(po_rate,MATCH(C1249,po_code,0)),0))))</f>
        <v/>
      </c>
      <c r="R1249" s="55" t="str">
        <f>IF(AC1249=1,P1249*60/Q1249,"")</f>
        <v/>
      </c>
      <c r="S1249" s="55" t="str">
        <f>IF(AC1249=1,N(G1249)*60/Q1249,"")</f>
        <v/>
      </c>
      <c r="T1249" s="57" t="str">
        <f>IF(AC1249=1,O1249/M1249,"")</f>
        <v/>
      </c>
      <c r="U1249" s="57" t="str">
        <f>IF(AC1249=1,IF(O1249&gt;0,R1249/O1249,""),"")</f>
        <v/>
      </c>
      <c r="V1249" s="57" t="str">
        <f>IF(AC1249=1,IF(P1249&gt;0,N(G1249)/P1249,""),"")</f>
        <v/>
      </c>
      <c r="W1249" s="57" t="str">
        <f>IF(AC1249=1,S1249/M1249,"")</f>
        <v/>
      </c>
      <c r="X1249" s="57" t="str">
        <f>IF(AC1249=1,S1249/K1249,"")</f>
        <v/>
      </c>
      <c r="Y1249" s="58" t="str">
        <f>IF(W1249="","",IF(W1249&gt;=p_target,"Bon",IF(W1249&gt;=p_alert,"À surveiller","Faible")))</f>
        <v/>
      </c>
      <c r="Z1249" s="58" t="str">
        <f>IF(W1249="","",IF(MIN(IF(T1249="",1,T1249),IF(U1249="",1,U1249),IF(V1249="",1,V1249))&gt;=1,"Aucune",IF(IF(T1249="",1,T1249)&lt;=MIN(IF(U1249="",1,U1249),IF(V1249="",1,V1249)),"Disponibilité",IF(IF(U1249="",1,U1249)&lt;=IF(V1249="",1,V1249),"Performance","Qualité"))))</f>
        <v/>
      </c>
      <c r="AA1249" s="59" t="str">
        <f>IF(AC1249=1,N(H1249)*N(IFERROR(INDEX(art_cost,MATCH(E1249,art_ref,0)),0)),"")</f>
        <v/>
      </c>
      <c r="AB1249" s="58" t="str">
        <f>IF(COUNTA(A1249:I1249)=0,"",IF(N(A1249)&lt;=0,"Date manquante ou invalide",IF(B1249="","Équipe manquante",IF(ISNA(MATCH(B1249,eq_code,0)),"Équipe inconnue",IF(INDEX(eq_check,MATCH(B1249,eq_code,0))&lt;&gt;"OK","Équipe à corriger dans Paramètres",IF(C1249="","Poste manquant",IF(ISNA(MATCH(C1249,po_code,0)),"Poste inconnu",IF(AND(E1249&lt;&gt;"",ISNA(MATCH(E1249,art_ref,0))),"Article inconnu",IF(IF(E1249="",FALSE,INDEX(art_check,MATCH(E1249,art_ref,0))&lt;&gt;"OK"),"Article à corriger (feuille Articles)",IF(COUNTIFS(sj_date,A1249,sj_eq,B1249,sj_po,C1249)&gt;1,"Ligne en double (même jour, équipe et poste)",IF(OR(NOT(ISNUMBER(K1249)),N(K1249)&lt;=0,N(K1249)&gt;1440),"Temps d'ouverture invalide",IF(OR(AND(G1249&lt;&gt;"",NOT(ISNUMBER(G1249))),N(G1249)&lt;0,N(G1249)&lt;&gt;INT(N(G1249)),AND(H1249&lt;&gt;"",NOT(ISNUMBER(H1249))),N(H1249)&lt;0,N(H1249)&lt;&gt;INT(N(H1249)),AND(I1249&lt;&gt;"",NOT(ISNUMBER(I1249))),N(I1249)&lt;0,N(I1249)&lt;&gt;INT(N(I1249))),"Quantité invalide",IF(Q1249&lt;=0,"Cadence manquante (poste ou article)",IF(M1249&lt;=0,"Arrêts planifiés supérieurs au temps d'ouverture",IF(O1249&lt;0,"Arrêts supérieurs au temps requis",IF(AND(P1249&gt;0,O1249=0),"Pièces déclarées sans temps de marche",IF(AND(P1249=0,O1249&gt;0),"Aucune pièce déclarée",IF(P1249*60/Q1249&gt;O1249+0.001,"Cadence dépassée : vérifiez la cadence","OK"))))))))))))))))))</f>
        <v/>
      </c>
      <c r="AC1249">
        <f>IF(OR(AB1249="OK",AB1249="Aucune pièce déclarée",AB1249="Cadence dépassée : vérifiez la cadence"),1,0)</f>
        <v>0.0</v>
      </c>
      <c r="AD1249">
        <f>IF(AND(AC1249=1,A1249&gt;=p_from,A1249&lt;=p_to),1,0)</f>
        <v>0.0</v>
      </c>
      <c r="AE1249">
        <f>IF(AD1249=1,IF(COUNTIFS($A$6:A1249,A1249,$AD$6:AD1249,1)=1,1,0),0)</f>
        <v>0.0</v>
      </c>
      <c r="AF1249" t="str">
        <f>IF(AE1249=1,COUNTIFS(sj_first,1,sj_date,"&lt;"&amp;A1249)+1,"")</f>
        <v/>
      </c>
      <c r="AG1249" t="str">
        <f>IF(AND(AD1249=1,N(W1249)&lt;p_alert),ROUND(W1249,4),"")</f>
        <v/>
      </c>
      <c r="AH1249" t="str">
        <f>IF(AG1249="","",COUNTIF(sj_akey,"&lt;"&amp;AG1249)+COUNTIF($AG$6:AG1249,AG1249))</f>
        <v/>
      </c>
    </row>
    <row r="1250">
      <c r="A1250" s="51" t="n"/>
      <c r="B1250" s="52" t="n"/>
      <c r="C1250" s="52" t="n"/>
      <c r="D1250" s="53" t="n"/>
      <c r="E1250" s="53" t="n"/>
      <c r="F1250" s="54" t="n"/>
      <c r="G1250" s="54" t="n"/>
      <c r="H1250" s="54" t="n"/>
      <c r="I1250" s="54" t="n"/>
      <c r="J1250" s="53" t="n"/>
      <c r="K1250" s="55" t="str">
        <f>IF(COUNTA(A1250:I1250)=0,"",IF(F1250="",IFERROR(INDEX(eq_dur,MATCH(B1250,eq_code,0)),""),F1250))</f>
        <v/>
      </c>
      <c r="L1250" s="55" t="str">
        <f>IF(ISNUMBER(K1250),N(IFERROR(INDEX(eq_pause,MATCH(B1250,eq_code,0)),0))+SUMIFS(st_min,st_date,A1250,st_eq,B1250,st_po,C1250,st_type,"Planifié"),"")</f>
        <v/>
      </c>
      <c r="M1250" s="55" t="str">
        <f>IF(ISNUMBER(K1250),K1250-L1250,"")</f>
        <v/>
      </c>
      <c r="N1250" s="55" t="str">
        <f>IF(ISNUMBER(K1250),SUMIFS(st_min,st_date,A1250,st_eq,B1250,st_po,C1250,st_type,"Non planifié"),"")</f>
        <v/>
      </c>
      <c r="O1250" s="55" t="str">
        <f>IF(ISNUMBER(K1250),M1250-N1250,"")</f>
        <v/>
      </c>
      <c r="P1250" s="55" t="str">
        <f>IF(COUNTA(A1250:I1250)=0,"",N(G1250)+N(H1250)+N(I1250))</f>
        <v/>
      </c>
      <c r="Q1250" s="56" t="str">
        <f>IF(COUNTA(A1250:I1250)=0,"",IF(N(IFERROR(INDEX(art_rate,MATCH(E1250,art_ref,0)),0))&gt;0,N(IFERROR(INDEX(art_rate,MATCH(E1250,art_ref,0)),0)),N(IFERROR(INDEX(po_rate,MATCH(C1250,po_code,0)),0))))</f>
        <v/>
      </c>
      <c r="R1250" s="55" t="str">
        <f>IF(AC1250=1,P1250*60/Q1250,"")</f>
        <v/>
      </c>
      <c r="S1250" s="55" t="str">
        <f>IF(AC1250=1,N(G1250)*60/Q1250,"")</f>
        <v/>
      </c>
      <c r="T1250" s="57" t="str">
        <f>IF(AC1250=1,O1250/M1250,"")</f>
        <v/>
      </c>
      <c r="U1250" s="57" t="str">
        <f>IF(AC1250=1,IF(O1250&gt;0,R1250/O1250,""),"")</f>
        <v/>
      </c>
      <c r="V1250" s="57" t="str">
        <f>IF(AC1250=1,IF(P1250&gt;0,N(G1250)/P1250,""),"")</f>
        <v/>
      </c>
      <c r="W1250" s="57" t="str">
        <f>IF(AC1250=1,S1250/M1250,"")</f>
        <v/>
      </c>
      <c r="X1250" s="57" t="str">
        <f>IF(AC1250=1,S1250/K1250,"")</f>
        <v/>
      </c>
      <c r="Y1250" s="58" t="str">
        <f>IF(W1250="","",IF(W1250&gt;=p_target,"Bon",IF(W1250&gt;=p_alert,"À surveiller","Faible")))</f>
        <v/>
      </c>
      <c r="Z1250" s="58" t="str">
        <f>IF(W1250="","",IF(MIN(IF(T1250="",1,T1250),IF(U1250="",1,U1250),IF(V1250="",1,V1250))&gt;=1,"Aucune",IF(IF(T1250="",1,T1250)&lt;=MIN(IF(U1250="",1,U1250),IF(V1250="",1,V1250)),"Disponibilité",IF(IF(U1250="",1,U1250)&lt;=IF(V1250="",1,V1250),"Performance","Qualité"))))</f>
        <v/>
      </c>
      <c r="AA1250" s="59" t="str">
        <f>IF(AC1250=1,N(H1250)*N(IFERROR(INDEX(art_cost,MATCH(E1250,art_ref,0)),0)),"")</f>
        <v/>
      </c>
      <c r="AB1250" s="58" t="str">
        <f>IF(COUNTA(A1250:I1250)=0,"",IF(N(A1250)&lt;=0,"Date manquante ou invalide",IF(B1250="","Équipe manquante",IF(ISNA(MATCH(B1250,eq_code,0)),"Équipe inconnue",IF(INDEX(eq_check,MATCH(B1250,eq_code,0))&lt;&gt;"OK","Équipe à corriger dans Paramètres",IF(C1250="","Poste manquant",IF(ISNA(MATCH(C1250,po_code,0)),"Poste inconnu",IF(AND(E1250&lt;&gt;"",ISNA(MATCH(E1250,art_ref,0))),"Article inconnu",IF(IF(E1250="",FALSE,INDEX(art_check,MATCH(E1250,art_ref,0))&lt;&gt;"OK"),"Article à corriger (feuille Articles)",IF(COUNTIFS(sj_date,A1250,sj_eq,B1250,sj_po,C1250)&gt;1,"Ligne en double (même jour, équipe et poste)",IF(OR(NOT(ISNUMBER(K1250)),N(K1250)&lt;=0,N(K1250)&gt;1440),"Temps d'ouverture invalide",IF(OR(AND(G1250&lt;&gt;"",NOT(ISNUMBER(G1250))),N(G1250)&lt;0,N(G1250)&lt;&gt;INT(N(G1250)),AND(H1250&lt;&gt;"",NOT(ISNUMBER(H1250))),N(H1250)&lt;0,N(H1250)&lt;&gt;INT(N(H1250)),AND(I1250&lt;&gt;"",NOT(ISNUMBER(I1250))),N(I1250)&lt;0,N(I1250)&lt;&gt;INT(N(I1250))),"Quantité invalide",IF(Q1250&lt;=0,"Cadence manquante (poste ou article)",IF(M1250&lt;=0,"Arrêts planifiés supérieurs au temps d'ouverture",IF(O1250&lt;0,"Arrêts supérieurs au temps requis",IF(AND(P1250&gt;0,O1250=0),"Pièces déclarées sans temps de marche",IF(AND(P1250=0,O1250&gt;0),"Aucune pièce déclarée",IF(P1250*60/Q1250&gt;O1250+0.001,"Cadence dépassée : vérifiez la cadence","OK"))))))))))))))))))</f>
        <v/>
      </c>
      <c r="AC1250">
        <f>IF(OR(AB1250="OK",AB1250="Aucune pièce déclarée",AB1250="Cadence dépassée : vérifiez la cadence"),1,0)</f>
        <v>0.0</v>
      </c>
      <c r="AD1250">
        <f>IF(AND(AC1250=1,A1250&gt;=p_from,A1250&lt;=p_to),1,0)</f>
        <v>0.0</v>
      </c>
      <c r="AE1250">
        <f>IF(AD1250=1,IF(COUNTIFS($A$6:A1250,A1250,$AD$6:AD1250,1)=1,1,0),0)</f>
        <v>0.0</v>
      </c>
      <c r="AF1250" t="str">
        <f>IF(AE1250=1,COUNTIFS(sj_first,1,sj_date,"&lt;"&amp;A1250)+1,"")</f>
        <v/>
      </c>
      <c r="AG1250" t="str">
        <f>IF(AND(AD1250=1,N(W1250)&lt;p_alert),ROUND(W1250,4),"")</f>
        <v/>
      </c>
      <c r="AH1250" t="str">
        <f>IF(AG1250="","",COUNTIF(sj_akey,"&lt;"&amp;AG1250)+COUNTIF($AG$6:AG1250,AG1250))</f>
        <v/>
      </c>
    </row>
    <row r="1251">
      <c r="A1251" s="51" t="n"/>
      <c r="B1251" s="52" t="n"/>
      <c r="C1251" s="52" t="n"/>
      <c r="D1251" s="53" t="n"/>
      <c r="E1251" s="53" t="n"/>
      <c r="F1251" s="54" t="n"/>
      <c r="G1251" s="54" t="n"/>
      <c r="H1251" s="54" t="n"/>
      <c r="I1251" s="54" t="n"/>
      <c r="J1251" s="53" t="n"/>
      <c r="K1251" s="55" t="str">
        <f>IF(COUNTA(A1251:I1251)=0,"",IF(F1251="",IFERROR(INDEX(eq_dur,MATCH(B1251,eq_code,0)),""),F1251))</f>
        <v/>
      </c>
      <c r="L1251" s="55" t="str">
        <f>IF(ISNUMBER(K1251),N(IFERROR(INDEX(eq_pause,MATCH(B1251,eq_code,0)),0))+SUMIFS(st_min,st_date,A1251,st_eq,B1251,st_po,C1251,st_type,"Planifié"),"")</f>
        <v/>
      </c>
      <c r="M1251" s="55" t="str">
        <f>IF(ISNUMBER(K1251),K1251-L1251,"")</f>
        <v/>
      </c>
      <c r="N1251" s="55" t="str">
        <f>IF(ISNUMBER(K1251),SUMIFS(st_min,st_date,A1251,st_eq,B1251,st_po,C1251,st_type,"Non planifié"),"")</f>
        <v/>
      </c>
      <c r="O1251" s="55" t="str">
        <f>IF(ISNUMBER(K1251),M1251-N1251,"")</f>
        <v/>
      </c>
      <c r="P1251" s="55" t="str">
        <f>IF(COUNTA(A1251:I1251)=0,"",N(G1251)+N(H1251)+N(I1251))</f>
        <v/>
      </c>
      <c r="Q1251" s="56" t="str">
        <f>IF(COUNTA(A1251:I1251)=0,"",IF(N(IFERROR(INDEX(art_rate,MATCH(E1251,art_ref,0)),0))&gt;0,N(IFERROR(INDEX(art_rate,MATCH(E1251,art_ref,0)),0)),N(IFERROR(INDEX(po_rate,MATCH(C1251,po_code,0)),0))))</f>
        <v/>
      </c>
      <c r="R1251" s="55" t="str">
        <f>IF(AC1251=1,P1251*60/Q1251,"")</f>
        <v/>
      </c>
      <c r="S1251" s="55" t="str">
        <f>IF(AC1251=1,N(G1251)*60/Q1251,"")</f>
        <v/>
      </c>
      <c r="T1251" s="57" t="str">
        <f>IF(AC1251=1,O1251/M1251,"")</f>
        <v/>
      </c>
      <c r="U1251" s="57" t="str">
        <f>IF(AC1251=1,IF(O1251&gt;0,R1251/O1251,""),"")</f>
        <v/>
      </c>
      <c r="V1251" s="57" t="str">
        <f>IF(AC1251=1,IF(P1251&gt;0,N(G1251)/P1251,""),"")</f>
        <v/>
      </c>
      <c r="W1251" s="57" t="str">
        <f>IF(AC1251=1,S1251/M1251,"")</f>
        <v/>
      </c>
      <c r="X1251" s="57" t="str">
        <f>IF(AC1251=1,S1251/K1251,"")</f>
        <v/>
      </c>
      <c r="Y1251" s="58" t="str">
        <f>IF(W1251="","",IF(W1251&gt;=p_target,"Bon",IF(W1251&gt;=p_alert,"À surveiller","Faible")))</f>
        <v/>
      </c>
      <c r="Z1251" s="58" t="str">
        <f>IF(W1251="","",IF(MIN(IF(T1251="",1,T1251),IF(U1251="",1,U1251),IF(V1251="",1,V1251))&gt;=1,"Aucune",IF(IF(T1251="",1,T1251)&lt;=MIN(IF(U1251="",1,U1251),IF(V1251="",1,V1251)),"Disponibilité",IF(IF(U1251="",1,U1251)&lt;=IF(V1251="",1,V1251),"Performance","Qualité"))))</f>
        <v/>
      </c>
      <c r="AA1251" s="59" t="str">
        <f>IF(AC1251=1,N(H1251)*N(IFERROR(INDEX(art_cost,MATCH(E1251,art_ref,0)),0)),"")</f>
        <v/>
      </c>
      <c r="AB1251" s="58" t="str">
        <f>IF(COUNTA(A1251:I1251)=0,"",IF(N(A1251)&lt;=0,"Date manquante ou invalide",IF(B1251="","Équipe manquante",IF(ISNA(MATCH(B1251,eq_code,0)),"Équipe inconnue",IF(INDEX(eq_check,MATCH(B1251,eq_code,0))&lt;&gt;"OK","Équipe à corriger dans Paramètres",IF(C1251="","Poste manquant",IF(ISNA(MATCH(C1251,po_code,0)),"Poste inconnu",IF(AND(E1251&lt;&gt;"",ISNA(MATCH(E1251,art_ref,0))),"Article inconnu",IF(IF(E1251="",FALSE,INDEX(art_check,MATCH(E1251,art_ref,0))&lt;&gt;"OK"),"Article à corriger (feuille Articles)",IF(COUNTIFS(sj_date,A1251,sj_eq,B1251,sj_po,C1251)&gt;1,"Ligne en double (même jour, équipe et poste)",IF(OR(NOT(ISNUMBER(K1251)),N(K1251)&lt;=0,N(K1251)&gt;1440),"Temps d'ouverture invalide",IF(OR(AND(G1251&lt;&gt;"",NOT(ISNUMBER(G1251))),N(G1251)&lt;0,N(G1251)&lt;&gt;INT(N(G1251)),AND(H1251&lt;&gt;"",NOT(ISNUMBER(H1251))),N(H1251)&lt;0,N(H1251)&lt;&gt;INT(N(H1251)),AND(I1251&lt;&gt;"",NOT(ISNUMBER(I1251))),N(I1251)&lt;0,N(I1251)&lt;&gt;INT(N(I1251))),"Quantité invalide",IF(Q1251&lt;=0,"Cadence manquante (poste ou article)",IF(M1251&lt;=0,"Arrêts planifiés supérieurs au temps d'ouverture",IF(O1251&lt;0,"Arrêts supérieurs au temps requis",IF(AND(P1251&gt;0,O1251=0),"Pièces déclarées sans temps de marche",IF(AND(P1251=0,O1251&gt;0),"Aucune pièce déclarée",IF(P1251*60/Q1251&gt;O1251+0.001,"Cadence dépassée : vérifiez la cadence","OK"))))))))))))))))))</f>
        <v/>
      </c>
      <c r="AC1251">
        <f>IF(OR(AB1251="OK",AB1251="Aucune pièce déclarée",AB1251="Cadence dépassée : vérifiez la cadence"),1,0)</f>
        <v>0.0</v>
      </c>
      <c r="AD1251">
        <f>IF(AND(AC1251=1,A1251&gt;=p_from,A1251&lt;=p_to),1,0)</f>
        <v>0.0</v>
      </c>
      <c r="AE1251">
        <f>IF(AD1251=1,IF(COUNTIFS($A$6:A1251,A1251,$AD$6:AD1251,1)=1,1,0),0)</f>
        <v>0.0</v>
      </c>
      <c r="AF1251" t="str">
        <f>IF(AE1251=1,COUNTIFS(sj_first,1,sj_date,"&lt;"&amp;A1251)+1,"")</f>
        <v/>
      </c>
      <c r="AG1251" t="str">
        <f>IF(AND(AD1251=1,N(W1251)&lt;p_alert),ROUND(W1251,4),"")</f>
        <v/>
      </c>
      <c r="AH1251" t="str">
        <f>IF(AG1251="","",COUNTIF(sj_akey,"&lt;"&amp;AG1251)+COUNTIF($AG$6:AG1251,AG1251))</f>
        <v/>
      </c>
    </row>
    <row r="1252">
      <c r="A1252" s="51" t="n"/>
      <c r="B1252" s="52" t="n"/>
      <c r="C1252" s="52" t="n"/>
      <c r="D1252" s="53" t="n"/>
      <c r="E1252" s="53" t="n"/>
      <c r="F1252" s="54" t="n"/>
      <c r="G1252" s="54" t="n"/>
      <c r="H1252" s="54" t="n"/>
      <c r="I1252" s="54" t="n"/>
      <c r="J1252" s="53" t="n"/>
      <c r="K1252" s="55" t="str">
        <f>IF(COUNTA(A1252:I1252)=0,"",IF(F1252="",IFERROR(INDEX(eq_dur,MATCH(B1252,eq_code,0)),""),F1252))</f>
        <v/>
      </c>
      <c r="L1252" s="55" t="str">
        <f>IF(ISNUMBER(K1252),N(IFERROR(INDEX(eq_pause,MATCH(B1252,eq_code,0)),0))+SUMIFS(st_min,st_date,A1252,st_eq,B1252,st_po,C1252,st_type,"Planifié"),"")</f>
        <v/>
      </c>
      <c r="M1252" s="55" t="str">
        <f>IF(ISNUMBER(K1252),K1252-L1252,"")</f>
        <v/>
      </c>
      <c r="N1252" s="55" t="str">
        <f>IF(ISNUMBER(K1252),SUMIFS(st_min,st_date,A1252,st_eq,B1252,st_po,C1252,st_type,"Non planifié"),"")</f>
        <v/>
      </c>
      <c r="O1252" s="55" t="str">
        <f>IF(ISNUMBER(K1252),M1252-N1252,"")</f>
        <v/>
      </c>
      <c r="P1252" s="55" t="str">
        <f>IF(COUNTA(A1252:I1252)=0,"",N(G1252)+N(H1252)+N(I1252))</f>
        <v/>
      </c>
      <c r="Q1252" s="56" t="str">
        <f>IF(COUNTA(A1252:I1252)=0,"",IF(N(IFERROR(INDEX(art_rate,MATCH(E1252,art_ref,0)),0))&gt;0,N(IFERROR(INDEX(art_rate,MATCH(E1252,art_ref,0)),0)),N(IFERROR(INDEX(po_rate,MATCH(C1252,po_code,0)),0))))</f>
        <v/>
      </c>
      <c r="R1252" s="55" t="str">
        <f>IF(AC1252=1,P1252*60/Q1252,"")</f>
        <v/>
      </c>
      <c r="S1252" s="55" t="str">
        <f>IF(AC1252=1,N(G1252)*60/Q1252,"")</f>
        <v/>
      </c>
      <c r="T1252" s="57" t="str">
        <f>IF(AC1252=1,O1252/M1252,"")</f>
        <v/>
      </c>
      <c r="U1252" s="57" t="str">
        <f>IF(AC1252=1,IF(O1252&gt;0,R1252/O1252,""),"")</f>
        <v/>
      </c>
      <c r="V1252" s="57" t="str">
        <f>IF(AC1252=1,IF(P1252&gt;0,N(G1252)/P1252,""),"")</f>
        <v/>
      </c>
      <c r="W1252" s="57" t="str">
        <f>IF(AC1252=1,S1252/M1252,"")</f>
        <v/>
      </c>
      <c r="X1252" s="57" t="str">
        <f>IF(AC1252=1,S1252/K1252,"")</f>
        <v/>
      </c>
      <c r="Y1252" s="58" t="str">
        <f>IF(W1252="","",IF(W1252&gt;=p_target,"Bon",IF(W1252&gt;=p_alert,"À surveiller","Faible")))</f>
        <v/>
      </c>
      <c r="Z1252" s="58" t="str">
        <f>IF(W1252="","",IF(MIN(IF(T1252="",1,T1252),IF(U1252="",1,U1252),IF(V1252="",1,V1252))&gt;=1,"Aucune",IF(IF(T1252="",1,T1252)&lt;=MIN(IF(U1252="",1,U1252),IF(V1252="",1,V1252)),"Disponibilité",IF(IF(U1252="",1,U1252)&lt;=IF(V1252="",1,V1252),"Performance","Qualité"))))</f>
        <v/>
      </c>
      <c r="AA1252" s="59" t="str">
        <f>IF(AC1252=1,N(H1252)*N(IFERROR(INDEX(art_cost,MATCH(E1252,art_ref,0)),0)),"")</f>
        <v/>
      </c>
      <c r="AB1252" s="58" t="str">
        <f>IF(COUNTA(A1252:I1252)=0,"",IF(N(A1252)&lt;=0,"Date manquante ou invalide",IF(B1252="","Équipe manquante",IF(ISNA(MATCH(B1252,eq_code,0)),"Équipe inconnue",IF(INDEX(eq_check,MATCH(B1252,eq_code,0))&lt;&gt;"OK","Équipe à corriger dans Paramètres",IF(C1252="","Poste manquant",IF(ISNA(MATCH(C1252,po_code,0)),"Poste inconnu",IF(AND(E1252&lt;&gt;"",ISNA(MATCH(E1252,art_ref,0))),"Article inconnu",IF(IF(E1252="",FALSE,INDEX(art_check,MATCH(E1252,art_ref,0))&lt;&gt;"OK"),"Article à corriger (feuille Articles)",IF(COUNTIFS(sj_date,A1252,sj_eq,B1252,sj_po,C1252)&gt;1,"Ligne en double (même jour, équipe et poste)",IF(OR(NOT(ISNUMBER(K1252)),N(K1252)&lt;=0,N(K1252)&gt;1440),"Temps d'ouverture invalide",IF(OR(AND(G1252&lt;&gt;"",NOT(ISNUMBER(G1252))),N(G1252)&lt;0,N(G1252)&lt;&gt;INT(N(G1252)),AND(H1252&lt;&gt;"",NOT(ISNUMBER(H1252))),N(H1252)&lt;0,N(H1252)&lt;&gt;INT(N(H1252)),AND(I1252&lt;&gt;"",NOT(ISNUMBER(I1252))),N(I1252)&lt;0,N(I1252)&lt;&gt;INT(N(I1252))),"Quantité invalide",IF(Q1252&lt;=0,"Cadence manquante (poste ou article)",IF(M1252&lt;=0,"Arrêts planifiés supérieurs au temps d'ouverture",IF(O1252&lt;0,"Arrêts supérieurs au temps requis",IF(AND(P1252&gt;0,O1252=0),"Pièces déclarées sans temps de marche",IF(AND(P1252=0,O1252&gt;0),"Aucune pièce déclarée",IF(P1252*60/Q1252&gt;O1252+0.001,"Cadence dépassée : vérifiez la cadence","OK"))))))))))))))))))</f>
        <v/>
      </c>
      <c r="AC1252">
        <f>IF(OR(AB1252="OK",AB1252="Aucune pièce déclarée",AB1252="Cadence dépassée : vérifiez la cadence"),1,0)</f>
        <v>0.0</v>
      </c>
      <c r="AD1252">
        <f>IF(AND(AC1252=1,A1252&gt;=p_from,A1252&lt;=p_to),1,0)</f>
        <v>0.0</v>
      </c>
      <c r="AE1252">
        <f>IF(AD1252=1,IF(COUNTIFS($A$6:A1252,A1252,$AD$6:AD1252,1)=1,1,0),0)</f>
        <v>0.0</v>
      </c>
      <c r="AF1252" t="str">
        <f>IF(AE1252=1,COUNTIFS(sj_first,1,sj_date,"&lt;"&amp;A1252)+1,"")</f>
        <v/>
      </c>
      <c r="AG1252" t="str">
        <f>IF(AND(AD1252=1,N(W1252)&lt;p_alert),ROUND(W1252,4),"")</f>
        <v/>
      </c>
      <c r="AH1252" t="str">
        <f>IF(AG1252="","",COUNTIF(sj_akey,"&lt;"&amp;AG1252)+COUNTIF($AG$6:AG1252,AG1252))</f>
        <v/>
      </c>
    </row>
    <row r="1253">
      <c r="A1253" s="51" t="n"/>
      <c r="B1253" s="52" t="n"/>
      <c r="C1253" s="52" t="n"/>
      <c r="D1253" s="53" t="n"/>
      <c r="E1253" s="53" t="n"/>
      <c r="F1253" s="54" t="n"/>
      <c r="G1253" s="54" t="n"/>
      <c r="H1253" s="54" t="n"/>
      <c r="I1253" s="54" t="n"/>
      <c r="J1253" s="53" t="n"/>
      <c r="K1253" s="55" t="str">
        <f>IF(COUNTA(A1253:I1253)=0,"",IF(F1253="",IFERROR(INDEX(eq_dur,MATCH(B1253,eq_code,0)),""),F1253))</f>
        <v/>
      </c>
      <c r="L1253" s="55" t="str">
        <f>IF(ISNUMBER(K1253),N(IFERROR(INDEX(eq_pause,MATCH(B1253,eq_code,0)),0))+SUMIFS(st_min,st_date,A1253,st_eq,B1253,st_po,C1253,st_type,"Planifié"),"")</f>
        <v/>
      </c>
      <c r="M1253" s="55" t="str">
        <f>IF(ISNUMBER(K1253),K1253-L1253,"")</f>
        <v/>
      </c>
      <c r="N1253" s="55" t="str">
        <f>IF(ISNUMBER(K1253),SUMIFS(st_min,st_date,A1253,st_eq,B1253,st_po,C1253,st_type,"Non planifié"),"")</f>
        <v/>
      </c>
      <c r="O1253" s="55" t="str">
        <f>IF(ISNUMBER(K1253),M1253-N1253,"")</f>
        <v/>
      </c>
      <c r="P1253" s="55" t="str">
        <f>IF(COUNTA(A1253:I1253)=0,"",N(G1253)+N(H1253)+N(I1253))</f>
        <v/>
      </c>
      <c r="Q1253" s="56" t="str">
        <f>IF(COUNTA(A1253:I1253)=0,"",IF(N(IFERROR(INDEX(art_rate,MATCH(E1253,art_ref,0)),0))&gt;0,N(IFERROR(INDEX(art_rate,MATCH(E1253,art_ref,0)),0)),N(IFERROR(INDEX(po_rate,MATCH(C1253,po_code,0)),0))))</f>
        <v/>
      </c>
      <c r="R1253" s="55" t="str">
        <f>IF(AC1253=1,P1253*60/Q1253,"")</f>
        <v/>
      </c>
      <c r="S1253" s="55" t="str">
        <f>IF(AC1253=1,N(G1253)*60/Q1253,"")</f>
        <v/>
      </c>
      <c r="T1253" s="57" t="str">
        <f>IF(AC1253=1,O1253/M1253,"")</f>
        <v/>
      </c>
      <c r="U1253" s="57" t="str">
        <f>IF(AC1253=1,IF(O1253&gt;0,R1253/O1253,""),"")</f>
        <v/>
      </c>
      <c r="V1253" s="57" t="str">
        <f>IF(AC1253=1,IF(P1253&gt;0,N(G1253)/P1253,""),"")</f>
        <v/>
      </c>
      <c r="W1253" s="57" t="str">
        <f>IF(AC1253=1,S1253/M1253,"")</f>
        <v/>
      </c>
      <c r="X1253" s="57" t="str">
        <f>IF(AC1253=1,S1253/K1253,"")</f>
        <v/>
      </c>
      <c r="Y1253" s="58" t="str">
        <f>IF(W1253="","",IF(W1253&gt;=p_target,"Bon",IF(W1253&gt;=p_alert,"À surveiller","Faible")))</f>
        <v/>
      </c>
      <c r="Z1253" s="58" t="str">
        <f>IF(W1253="","",IF(MIN(IF(T1253="",1,T1253),IF(U1253="",1,U1253),IF(V1253="",1,V1253))&gt;=1,"Aucune",IF(IF(T1253="",1,T1253)&lt;=MIN(IF(U1253="",1,U1253),IF(V1253="",1,V1253)),"Disponibilité",IF(IF(U1253="",1,U1253)&lt;=IF(V1253="",1,V1253),"Performance","Qualité"))))</f>
        <v/>
      </c>
      <c r="AA1253" s="59" t="str">
        <f>IF(AC1253=1,N(H1253)*N(IFERROR(INDEX(art_cost,MATCH(E1253,art_ref,0)),0)),"")</f>
        <v/>
      </c>
      <c r="AB1253" s="58" t="str">
        <f>IF(COUNTA(A1253:I1253)=0,"",IF(N(A1253)&lt;=0,"Date manquante ou invalide",IF(B1253="","Équipe manquante",IF(ISNA(MATCH(B1253,eq_code,0)),"Équipe inconnue",IF(INDEX(eq_check,MATCH(B1253,eq_code,0))&lt;&gt;"OK","Équipe à corriger dans Paramètres",IF(C1253="","Poste manquant",IF(ISNA(MATCH(C1253,po_code,0)),"Poste inconnu",IF(AND(E1253&lt;&gt;"",ISNA(MATCH(E1253,art_ref,0))),"Article inconnu",IF(IF(E1253="",FALSE,INDEX(art_check,MATCH(E1253,art_ref,0))&lt;&gt;"OK"),"Article à corriger (feuille Articles)",IF(COUNTIFS(sj_date,A1253,sj_eq,B1253,sj_po,C1253)&gt;1,"Ligne en double (même jour, équipe et poste)",IF(OR(NOT(ISNUMBER(K1253)),N(K1253)&lt;=0,N(K1253)&gt;1440),"Temps d'ouverture invalide",IF(OR(AND(G1253&lt;&gt;"",NOT(ISNUMBER(G1253))),N(G1253)&lt;0,N(G1253)&lt;&gt;INT(N(G1253)),AND(H1253&lt;&gt;"",NOT(ISNUMBER(H1253))),N(H1253)&lt;0,N(H1253)&lt;&gt;INT(N(H1253)),AND(I1253&lt;&gt;"",NOT(ISNUMBER(I1253))),N(I1253)&lt;0,N(I1253)&lt;&gt;INT(N(I1253))),"Quantité invalide",IF(Q1253&lt;=0,"Cadence manquante (poste ou article)",IF(M1253&lt;=0,"Arrêts planifiés supérieurs au temps d'ouverture",IF(O1253&lt;0,"Arrêts supérieurs au temps requis",IF(AND(P1253&gt;0,O1253=0),"Pièces déclarées sans temps de marche",IF(AND(P1253=0,O1253&gt;0),"Aucune pièce déclarée",IF(P1253*60/Q1253&gt;O1253+0.001,"Cadence dépassée : vérifiez la cadence","OK"))))))))))))))))))</f>
        <v/>
      </c>
      <c r="AC1253">
        <f>IF(OR(AB1253="OK",AB1253="Aucune pièce déclarée",AB1253="Cadence dépassée : vérifiez la cadence"),1,0)</f>
        <v>0.0</v>
      </c>
      <c r="AD1253">
        <f>IF(AND(AC1253=1,A1253&gt;=p_from,A1253&lt;=p_to),1,0)</f>
        <v>0.0</v>
      </c>
      <c r="AE1253">
        <f>IF(AD1253=1,IF(COUNTIFS($A$6:A1253,A1253,$AD$6:AD1253,1)=1,1,0),0)</f>
        <v>0.0</v>
      </c>
      <c r="AF1253" t="str">
        <f>IF(AE1253=1,COUNTIFS(sj_first,1,sj_date,"&lt;"&amp;A1253)+1,"")</f>
        <v/>
      </c>
      <c r="AG1253" t="str">
        <f>IF(AND(AD1253=1,N(W1253)&lt;p_alert),ROUND(W1253,4),"")</f>
        <v/>
      </c>
      <c r="AH1253" t="str">
        <f>IF(AG1253="","",COUNTIF(sj_akey,"&lt;"&amp;AG1253)+COUNTIF($AG$6:AG1253,AG1253))</f>
        <v/>
      </c>
    </row>
    <row r="1254">
      <c r="A1254" s="51" t="n"/>
      <c r="B1254" s="52" t="n"/>
      <c r="C1254" s="52" t="n"/>
      <c r="D1254" s="53" t="n"/>
      <c r="E1254" s="53" t="n"/>
      <c r="F1254" s="54" t="n"/>
      <c r="G1254" s="54" t="n"/>
      <c r="H1254" s="54" t="n"/>
      <c r="I1254" s="54" t="n"/>
      <c r="J1254" s="53" t="n"/>
      <c r="K1254" s="55" t="str">
        <f>IF(COUNTA(A1254:I1254)=0,"",IF(F1254="",IFERROR(INDEX(eq_dur,MATCH(B1254,eq_code,0)),""),F1254))</f>
        <v/>
      </c>
      <c r="L1254" s="55" t="str">
        <f>IF(ISNUMBER(K1254),N(IFERROR(INDEX(eq_pause,MATCH(B1254,eq_code,0)),0))+SUMIFS(st_min,st_date,A1254,st_eq,B1254,st_po,C1254,st_type,"Planifié"),"")</f>
        <v/>
      </c>
      <c r="M1254" s="55" t="str">
        <f>IF(ISNUMBER(K1254),K1254-L1254,"")</f>
        <v/>
      </c>
      <c r="N1254" s="55" t="str">
        <f>IF(ISNUMBER(K1254),SUMIFS(st_min,st_date,A1254,st_eq,B1254,st_po,C1254,st_type,"Non planifié"),"")</f>
        <v/>
      </c>
      <c r="O1254" s="55" t="str">
        <f>IF(ISNUMBER(K1254),M1254-N1254,"")</f>
        <v/>
      </c>
      <c r="P1254" s="55" t="str">
        <f>IF(COUNTA(A1254:I1254)=0,"",N(G1254)+N(H1254)+N(I1254))</f>
        <v/>
      </c>
      <c r="Q1254" s="56" t="str">
        <f>IF(COUNTA(A1254:I1254)=0,"",IF(N(IFERROR(INDEX(art_rate,MATCH(E1254,art_ref,0)),0))&gt;0,N(IFERROR(INDEX(art_rate,MATCH(E1254,art_ref,0)),0)),N(IFERROR(INDEX(po_rate,MATCH(C1254,po_code,0)),0))))</f>
        <v/>
      </c>
      <c r="R1254" s="55" t="str">
        <f>IF(AC1254=1,P1254*60/Q1254,"")</f>
        <v/>
      </c>
      <c r="S1254" s="55" t="str">
        <f>IF(AC1254=1,N(G1254)*60/Q1254,"")</f>
        <v/>
      </c>
      <c r="T1254" s="57" t="str">
        <f>IF(AC1254=1,O1254/M1254,"")</f>
        <v/>
      </c>
      <c r="U1254" s="57" t="str">
        <f>IF(AC1254=1,IF(O1254&gt;0,R1254/O1254,""),"")</f>
        <v/>
      </c>
      <c r="V1254" s="57" t="str">
        <f>IF(AC1254=1,IF(P1254&gt;0,N(G1254)/P1254,""),"")</f>
        <v/>
      </c>
      <c r="W1254" s="57" t="str">
        <f>IF(AC1254=1,S1254/M1254,"")</f>
        <v/>
      </c>
      <c r="X1254" s="57" t="str">
        <f>IF(AC1254=1,S1254/K1254,"")</f>
        <v/>
      </c>
      <c r="Y1254" s="58" t="str">
        <f>IF(W1254="","",IF(W1254&gt;=p_target,"Bon",IF(W1254&gt;=p_alert,"À surveiller","Faible")))</f>
        <v/>
      </c>
      <c r="Z1254" s="58" t="str">
        <f>IF(W1254="","",IF(MIN(IF(T1254="",1,T1254),IF(U1254="",1,U1254),IF(V1254="",1,V1254))&gt;=1,"Aucune",IF(IF(T1254="",1,T1254)&lt;=MIN(IF(U1254="",1,U1254),IF(V1254="",1,V1254)),"Disponibilité",IF(IF(U1254="",1,U1254)&lt;=IF(V1254="",1,V1254),"Performance","Qualité"))))</f>
        <v/>
      </c>
      <c r="AA1254" s="59" t="str">
        <f>IF(AC1254=1,N(H1254)*N(IFERROR(INDEX(art_cost,MATCH(E1254,art_ref,0)),0)),"")</f>
        <v/>
      </c>
      <c r="AB1254" s="58" t="str">
        <f>IF(COUNTA(A1254:I1254)=0,"",IF(N(A1254)&lt;=0,"Date manquante ou invalide",IF(B1254="","Équipe manquante",IF(ISNA(MATCH(B1254,eq_code,0)),"Équipe inconnue",IF(INDEX(eq_check,MATCH(B1254,eq_code,0))&lt;&gt;"OK","Équipe à corriger dans Paramètres",IF(C1254="","Poste manquant",IF(ISNA(MATCH(C1254,po_code,0)),"Poste inconnu",IF(AND(E1254&lt;&gt;"",ISNA(MATCH(E1254,art_ref,0))),"Article inconnu",IF(IF(E1254="",FALSE,INDEX(art_check,MATCH(E1254,art_ref,0))&lt;&gt;"OK"),"Article à corriger (feuille Articles)",IF(COUNTIFS(sj_date,A1254,sj_eq,B1254,sj_po,C1254)&gt;1,"Ligne en double (même jour, équipe et poste)",IF(OR(NOT(ISNUMBER(K1254)),N(K1254)&lt;=0,N(K1254)&gt;1440),"Temps d'ouverture invalide",IF(OR(AND(G1254&lt;&gt;"",NOT(ISNUMBER(G1254))),N(G1254)&lt;0,N(G1254)&lt;&gt;INT(N(G1254)),AND(H1254&lt;&gt;"",NOT(ISNUMBER(H1254))),N(H1254)&lt;0,N(H1254)&lt;&gt;INT(N(H1254)),AND(I1254&lt;&gt;"",NOT(ISNUMBER(I1254))),N(I1254)&lt;0,N(I1254)&lt;&gt;INT(N(I1254))),"Quantité invalide",IF(Q1254&lt;=0,"Cadence manquante (poste ou article)",IF(M1254&lt;=0,"Arrêts planifiés supérieurs au temps d'ouverture",IF(O1254&lt;0,"Arrêts supérieurs au temps requis",IF(AND(P1254&gt;0,O1254=0),"Pièces déclarées sans temps de marche",IF(AND(P1254=0,O1254&gt;0),"Aucune pièce déclarée",IF(P1254*60/Q1254&gt;O1254+0.001,"Cadence dépassée : vérifiez la cadence","OK"))))))))))))))))))</f>
        <v/>
      </c>
      <c r="AC1254">
        <f>IF(OR(AB1254="OK",AB1254="Aucune pièce déclarée",AB1254="Cadence dépassée : vérifiez la cadence"),1,0)</f>
        <v>0.0</v>
      </c>
      <c r="AD1254">
        <f>IF(AND(AC1254=1,A1254&gt;=p_from,A1254&lt;=p_to),1,0)</f>
        <v>0.0</v>
      </c>
      <c r="AE1254">
        <f>IF(AD1254=1,IF(COUNTIFS($A$6:A1254,A1254,$AD$6:AD1254,1)=1,1,0),0)</f>
        <v>0.0</v>
      </c>
      <c r="AF1254" t="str">
        <f>IF(AE1254=1,COUNTIFS(sj_first,1,sj_date,"&lt;"&amp;A1254)+1,"")</f>
        <v/>
      </c>
      <c r="AG1254" t="str">
        <f>IF(AND(AD1254=1,N(W1254)&lt;p_alert),ROUND(W1254,4),"")</f>
        <v/>
      </c>
      <c r="AH1254" t="str">
        <f>IF(AG1254="","",COUNTIF(sj_akey,"&lt;"&amp;AG1254)+COUNTIF($AG$6:AG1254,AG1254))</f>
        <v/>
      </c>
    </row>
    <row r="1255">
      <c r="A1255" s="51" t="n"/>
      <c r="B1255" s="52" t="n"/>
      <c r="C1255" s="52" t="n"/>
      <c r="D1255" s="53" t="n"/>
      <c r="E1255" s="53" t="n"/>
      <c r="F1255" s="54" t="n"/>
      <c r="G1255" s="54" t="n"/>
      <c r="H1255" s="54" t="n"/>
      <c r="I1255" s="54" t="n"/>
      <c r="J1255" s="53" t="n"/>
      <c r="K1255" s="55" t="str">
        <f>IF(COUNTA(A1255:I1255)=0,"",IF(F1255="",IFERROR(INDEX(eq_dur,MATCH(B1255,eq_code,0)),""),F1255))</f>
        <v/>
      </c>
      <c r="L1255" s="55" t="str">
        <f>IF(ISNUMBER(K1255),N(IFERROR(INDEX(eq_pause,MATCH(B1255,eq_code,0)),0))+SUMIFS(st_min,st_date,A1255,st_eq,B1255,st_po,C1255,st_type,"Planifié"),"")</f>
        <v/>
      </c>
      <c r="M1255" s="55" t="str">
        <f>IF(ISNUMBER(K1255),K1255-L1255,"")</f>
        <v/>
      </c>
      <c r="N1255" s="55" t="str">
        <f>IF(ISNUMBER(K1255),SUMIFS(st_min,st_date,A1255,st_eq,B1255,st_po,C1255,st_type,"Non planifié"),"")</f>
        <v/>
      </c>
      <c r="O1255" s="55" t="str">
        <f>IF(ISNUMBER(K1255),M1255-N1255,"")</f>
        <v/>
      </c>
      <c r="P1255" s="55" t="str">
        <f>IF(COUNTA(A1255:I1255)=0,"",N(G1255)+N(H1255)+N(I1255))</f>
        <v/>
      </c>
      <c r="Q1255" s="56" t="str">
        <f>IF(COUNTA(A1255:I1255)=0,"",IF(N(IFERROR(INDEX(art_rate,MATCH(E1255,art_ref,0)),0))&gt;0,N(IFERROR(INDEX(art_rate,MATCH(E1255,art_ref,0)),0)),N(IFERROR(INDEX(po_rate,MATCH(C1255,po_code,0)),0))))</f>
        <v/>
      </c>
      <c r="R1255" s="55" t="str">
        <f>IF(AC1255=1,P1255*60/Q1255,"")</f>
        <v/>
      </c>
      <c r="S1255" s="55" t="str">
        <f>IF(AC1255=1,N(G1255)*60/Q1255,"")</f>
        <v/>
      </c>
      <c r="T1255" s="57" t="str">
        <f>IF(AC1255=1,O1255/M1255,"")</f>
        <v/>
      </c>
      <c r="U1255" s="57" t="str">
        <f>IF(AC1255=1,IF(O1255&gt;0,R1255/O1255,""),"")</f>
        <v/>
      </c>
      <c r="V1255" s="57" t="str">
        <f>IF(AC1255=1,IF(P1255&gt;0,N(G1255)/P1255,""),"")</f>
        <v/>
      </c>
      <c r="W1255" s="57" t="str">
        <f>IF(AC1255=1,S1255/M1255,"")</f>
        <v/>
      </c>
      <c r="X1255" s="57" t="str">
        <f>IF(AC1255=1,S1255/K1255,"")</f>
        <v/>
      </c>
      <c r="Y1255" s="58" t="str">
        <f>IF(W1255="","",IF(W1255&gt;=p_target,"Bon",IF(W1255&gt;=p_alert,"À surveiller","Faible")))</f>
        <v/>
      </c>
      <c r="Z1255" s="58" t="str">
        <f>IF(W1255="","",IF(MIN(IF(T1255="",1,T1255),IF(U1255="",1,U1255),IF(V1255="",1,V1255))&gt;=1,"Aucune",IF(IF(T1255="",1,T1255)&lt;=MIN(IF(U1255="",1,U1255),IF(V1255="",1,V1255)),"Disponibilité",IF(IF(U1255="",1,U1255)&lt;=IF(V1255="",1,V1255),"Performance","Qualité"))))</f>
        <v/>
      </c>
      <c r="AA1255" s="59" t="str">
        <f>IF(AC1255=1,N(H1255)*N(IFERROR(INDEX(art_cost,MATCH(E1255,art_ref,0)),0)),"")</f>
        <v/>
      </c>
      <c r="AB1255" s="58" t="str">
        <f>IF(COUNTA(A1255:I1255)=0,"",IF(N(A1255)&lt;=0,"Date manquante ou invalide",IF(B1255="","Équipe manquante",IF(ISNA(MATCH(B1255,eq_code,0)),"Équipe inconnue",IF(INDEX(eq_check,MATCH(B1255,eq_code,0))&lt;&gt;"OK","Équipe à corriger dans Paramètres",IF(C1255="","Poste manquant",IF(ISNA(MATCH(C1255,po_code,0)),"Poste inconnu",IF(AND(E1255&lt;&gt;"",ISNA(MATCH(E1255,art_ref,0))),"Article inconnu",IF(IF(E1255="",FALSE,INDEX(art_check,MATCH(E1255,art_ref,0))&lt;&gt;"OK"),"Article à corriger (feuille Articles)",IF(COUNTIFS(sj_date,A1255,sj_eq,B1255,sj_po,C1255)&gt;1,"Ligne en double (même jour, équipe et poste)",IF(OR(NOT(ISNUMBER(K1255)),N(K1255)&lt;=0,N(K1255)&gt;1440),"Temps d'ouverture invalide",IF(OR(AND(G1255&lt;&gt;"",NOT(ISNUMBER(G1255))),N(G1255)&lt;0,N(G1255)&lt;&gt;INT(N(G1255)),AND(H1255&lt;&gt;"",NOT(ISNUMBER(H1255))),N(H1255)&lt;0,N(H1255)&lt;&gt;INT(N(H1255)),AND(I1255&lt;&gt;"",NOT(ISNUMBER(I1255))),N(I1255)&lt;0,N(I1255)&lt;&gt;INT(N(I1255))),"Quantité invalide",IF(Q1255&lt;=0,"Cadence manquante (poste ou article)",IF(M1255&lt;=0,"Arrêts planifiés supérieurs au temps d'ouverture",IF(O1255&lt;0,"Arrêts supérieurs au temps requis",IF(AND(P1255&gt;0,O1255=0),"Pièces déclarées sans temps de marche",IF(AND(P1255=0,O1255&gt;0),"Aucune pièce déclarée",IF(P1255*60/Q1255&gt;O1255+0.001,"Cadence dépassée : vérifiez la cadence","OK"))))))))))))))))))</f>
        <v/>
      </c>
      <c r="AC1255">
        <f>IF(OR(AB1255="OK",AB1255="Aucune pièce déclarée",AB1255="Cadence dépassée : vérifiez la cadence"),1,0)</f>
        <v>0.0</v>
      </c>
      <c r="AD1255">
        <f>IF(AND(AC1255=1,A1255&gt;=p_from,A1255&lt;=p_to),1,0)</f>
        <v>0.0</v>
      </c>
      <c r="AE1255">
        <f>IF(AD1255=1,IF(COUNTIFS($A$6:A1255,A1255,$AD$6:AD1255,1)=1,1,0),0)</f>
        <v>0.0</v>
      </c>
      <c r="AF1255" t="str">
        <f>IF(AE1255=1,COUNTIFS(sj_first,1,sj_date,"&lt;"&amp;A1255)+1,"")</f>
        <v/>
      </c>
      <c r="AG1255" t="str">
        <f>IF(AND(AD1255=1,N(W1255)&lt;p_alert),ROUND(W1255,4),"")</f>
        <v/>
      </c>
      <c r="AH1255" t="str">
        <f>IF(AG1255="","",COUNTIF(sj_akey,"&lt;"&amp;AG1255)+COUNTIF($AG$6:AG1255,AG1255))</f>
        <v/>
      </c>
    </row>
    <row r="1256">
      <c r="A1256" s="51" t="n"/>
      <c r="B1256" s="52" t="n"/>
      <c r="C1256" s="52" t="n"/>
      <c r="D1256" s="53" t="n"/>
      <c r="E1256" s="53" t="n"/>
      <c r="F1256" s="54" t="n"/>
      <c r="G1256" s="54" t="n"/>
      <c r="H1256" s="54" t="n"/>
      <c r="I1256" s="54" t="n"/>
      <c r="J1256" s="53" t="n"/>
      <c r="K1256" s="55" t="str">
        <f>IF(COUNTA(A1256:I1256)=0,"",IF(F1256="",IFERROR(INDEX(eq_dur,MATCH(B1256,eq_code,0)),""),F1256))</f>
        <v/>
      </c>
      <c r="L1256" s="55" t="str">
        <f>IF(ISNUMBER(K1256),N(IFERROR(INDEX(eq_pause,MATCH(B1256,eq_code,0)),0))+SUMIFS(st_min,st_date,A1256,st_eq,B1256,st_po,C1256,st_type,"Planifié"),"")</f>
        <v/>
      </c>
      <c r="M1256" s="55" t="str">
        <f>IF(ISNUMBER(K1256),K1256-L1256,"")</f>
        <v/>
      </c>
      <c r="N1256" s="55" t="str">
        <f>IF(ISNUMBER(K1256),SUMIFS(st_min,st_date,A1256,st_eq,B1256,st_po,C1256,st_type,"Non planifié"),"")</f>
        <v/>
      </c>
      <c r="O1256" s="55" t="str">
        <f>IF(ISNUMBER(K1256),M1256-N1256,"")</f>
        <v/>
      </c>
      <c r="P1256" s="55" t="str">
        <f>IF(COUNTA(A1256:I1256)=0,"",N(G1256)+N(H1256)+N(I1256))</f>
        <v/>
      </c>
      <c r="Q1256" s="56" t="str">
        <f>IF(COUNTA(A1256:I1256)=0,"",IF(N(IFERROR(INDEX(art_rate,MATCH(E1256,art_ref,0)),0))&gt;0,N(IFERROR(INDEX(art_rate,MATCH(E1256,art_ref,0)),0)),N(IFERROR(INDEX(po_rate,MATCH(C1256,po_code,0)),0))))</f>
        <v/>
      </c>
      <c r="R1256" s="55" t="str">
        <f>IF(AC1256=1,P1256*60/Q1256,"")</f>
        <v/>
      </c>
      <c r="S1256" s="55" t="str">
        <f>IF(AC1256=1,N(G1256)*60/Q1256,"")</f>
        <v/>
      </c>
      <c r="T1256" s="57" t="str">
        <f>IF(AC1256=1,O1256/M1256,"")</f>
        <v/>
      </c>
      <c r="U1256" s="57" t="str">
        <f>IF(AC1256=1,IF(O1256&gt;0,R1256/O1256,""),"")</f>
        <v/>
      </c>
      <c r="V1256" s="57" t="str">
        <f>IF(AC1256=1,IF(P1256&gt;0,N(G1256)/P1256,""),"")</f>
        <v/>
      </c>
      <c r="W1256" s="57" t="str">
        <f>IF(AC1256=1,S1256/M1256,"")</f>
        <v/>
      </c>
      <c r="X1256" s="57" t="str">
        <f>IF(AC1256=1,S1256/K1256,"")</f>
        <v/>
      </c>
      <c r="Y1256" s="58" t="str">
        <f>IF(W1256="","",IF(W1256&gt;=p_target,"Bon",IF(W1256&gt;=p_alert,"À surveiller","Faible")))</f>
        <v/>
      </c>
      <c r="Z1256" s="58" t="str">
        <f>IF(W1256="","",IF(MIN(IF(T1256="",1,T1256),IF(U1256="",1,U1256),IF(V1256="",1,V1256))&gt;=1,"Aucune",IF(IF(T1256="",1,T1256)&lt;=MIN(IF(U1256="",1,U1256),IF(V1256="",1,V1256)),"Disponibilité",IF(IF(U1256="",1,U1256)&lt;=IF(V1256="",1,V1256),"Performance","Qualité"))))</f>
        <v/>
      </c>
      <c r="AA1256" s="59" t="str">
        <f>IF(AC1256=1,N(H1256)*N(IFERROR(INDEX(art_cost,MATCH(E1256,art_ref,0)),0)),"")</f>
        <v/>
      </c>
      <c r="AB1256" s="58" t="str">
        <f>IF(COUNTA(A1256:I1256)=0,"",IF(N(A1256)&lt;=0,"Date manquante ou invalide",IF(B1256="","Équipe manquante",IF(ISNA(MATCH(B1256,eq_code,0)),"Équipe inconnue",IF(INDEX(eq_check,MATCH(B1256,eq_code,0))&lt;&gt;"OK","Équipe à corriger dans Paramètres",IF(C1256="","Poste manquant",IF(ISNA(MATCH(C1256,po_code,0)),"Poste inconnu",IF(AND(E1256&lt;&gt;"",ISNA(MATCH(E1256,art_ref,0))),"Article inconnu",IF(IF(E1256="",FALSE,INDEX(art_check,MATCH(E1256,art_ref,0))&lt;&gt;"OK"),"Article à corriger (feuille Articles)",IF(COUNTIFS(sj_date,A1256,sj_eq,B1256,sj_po,C1256)&gt;1,"Ligne en double (même jour, équipe et poste)",IF(OR(NOT(ISNUMBER(K1256)),N(K1256)&lt;=0,N(K1256)&gt;1440),"Temps d'ouverture invalide",IF(OR(AND(G1256&lt;&gt;"",NOT(ISNUMBER(G1256))),N(G1256)&lt;0,N(G1256)&lt;&gt;INT(N(G1256)),AND(H1256&lt;&gt;"",NOT(ISNUMBER(H1256))),N(H1256)&lt;0,N(H1256)&lt;&gt;INT(N(H1256)),AND(I1256&lt;&gt;"",NOT(ISNUMBER(I1256))),N(I1256)&lt;0,N(I1256)&lt;&gt;INT(N(I1256))),"Quantité invalide",IF(Q1256&lt;=0,"Cadence manquante (poste ou article)",IF(M1256&lt;=0,"Arrêts planifiés supérieurs au temps d'ouverture",IF(O1256&lt;0,"Arrêts supérieurs au temps requis",IF(AND(P1256&gt;0,O1256=0),"Pièces déclarées sans temps de marche",IF(AND(P1256=0,O1256&gt;0),"Aucune pièce déclarée",IF(P1256*60/Q1256&gt;O1256+0.001,"Cadence dépassée : vérifiez la cadence","OK"))))))))))))))))))</f>
        <v/>
      </c>
      <c r="AC1256">
        <f>IF(OR(AB1256="OK",AB1256="Aucune pièce déclarée",AB1256="Cadence dépassée : vérifiez la cadence"),1,0)</f>
        <v>0.0</v>
      </c>
      <c r="AD1256">
        <f>IF(AND(AC1256=1,A1256&gt;=p_from,A1256&lt;=p_to),1,0)</f>
        <v>0.0</v>
      </c>
      <c r="AE1256">
        <f>IF(AD1256=1,IF(COUNTIFS($A$6:A1256,A1256,$AD$6:AD1256,1)=1,1,0),0)</f>
        <v>0.0</v>
      </c>
      <c r="AF1256" t="str">
        <f>IF(AE1256=1,COUNTIFS(sj_first,1,sj_date,"&lt;"&amp;A1256)+1,"")</f>
        <v/>
      </c>
      <c r="AG1256" t="str">
        <f>IF(AND(AD1256=1,N(W1256)&lt;p_alert),ROUND(W1256,4),"")</f>
        <v/>
      </c>
      <c r="AH1256" t="str">
        <f>IF(AG1256="","",COUNTIF(sj_akey,"&lt;"&amp;AG1256)+COUNTIF($AG$6:AG1256,AG1256))</f>
        <v/>
      </c>
    </row>
    <row r="1257">
      <c r="A1257" s="51" t="n"/>
      <c r="B1257" s="52" t="n"/>
      <c r="C1257" s="52" t="n"/>
      <c r="D1257" s="53" t="n"/>
      <c r="E1257" s="53" t="n"/>
      <c r="F1257" s="54" t="n"/>
      <c r="G1257" s="54" t="n"/>
      <c r="H1257" s="54" t="n"/>
      <c r="I1257" s="54" t="n"/>
      <c r="J1257" s="53" t="n"/>
      <c r="K1257" s="55" t="str">
        <f>IF(COUNTA(A1257:I1257)=0,"",IF(F1257="",IFERROR(INDEX(eq_dur,MATCH(B1257,eq_code,0)),""),F1257))</f>
        <v/>
      </c>
      <c r="L1257" s="55" t="str">
        <f>IF(ISNUMBER(K1257),N(IFERROR(INDEX(eq_pause,MATCH(B1257,eq_code,0)),0))+SUMIFS(st_min,st_date,A1257,st_eq,B1257,st_po,C1257,st_type,"Planifié"),"")</f>
        <v/>
      </c>
      <c r="M1257" s="55" t="str">
        <f>IF(ISNUMBER(K1257),K1257-L1257,"")</f>
        <v/>
      </c>
      <c r="N1257" s="55" t="str">
        <f>IF(ISNUMBER(K1257),SUMIFS(st_min,st_date,A1257,st_eq,B1257,st_po,C1257,st_type,"Non planifié"),"")</f>
        <v/>
      </c>
      <c r="O1257" s="55" t="str">
        <f>IF(ISNUMBER(K1257),M1257-N1257,"")</f>
        <v/>
      </c>
      <c r="P1257" s="55" t="str">
        <f>IF(COUNTA(A1257:I1257)=0,"",N(G1257)+N(H1257)+N(I1257))</f>
        <v/>
      </c>
      <c r="Q1257" s="56" t="str">
        <f>IF(COUNTA(A1257:I1257)=0,"",IF(N(IFERROR(INDEX(art_rate,MATCH(E1257,art_ref,0)),0))&gt;0,N(IFERROR(INDEX(art_rate,MATCH(E1257,art_ref,0)),0)),N(IFERROR(INDEX(po_rate,MATCH(C1257,po_code,0)),0))))</f>
        <v/>
      </c>
      <c r="R1257" s="55" t="str">
        <f>IF(AC1257=1,P1257*60/Q1257,"")</f>
        <v/>
      </c>
      <c r="S1257" s="55" t="str">
        <f>IF(AC1257=1,N(G1257)*60/Q1257,"")</f>
        <v/>
      </c>
      <c r="T1257" s="57" t="str">
        <f>IF(AC1257=1,O1257/M1257,"")</f>
        <v/>
      </c>
      <c r="U1257" s="57" t="str">
        <f>IF(AC1257=1,IF(O1257&gt;0,R1257/O1257,""),"")</f>
        <v/>
      </c>
      <c r="V1257" s="57" t="str">
        <f>IF(AC1257=1,IF(P1257&gt;0,N(G1257)/P1257,""),"")</f>
        <v/>
      </c>
      <c r="W1257" s="57" t="str">
        <f>IF(AC1257=1,S1257/M1257,"")</f>
        <v/>
      </c>
      <c r="X1257" s="57" t="str">
        <f>IF(AC1257=1,S1257/K1257,"")</f>
        <v/>
      </c>
      <c r="Y1257" s="58" t="str">
        <f>IF(W1257="","",IF(W1257&gt;=p_target,"Bon",IF(W1257&gt;=p_alert,"À surveiller","Faible")))</f>
        <v/>
      </c>
      <c r="Z1257" s="58" t="str">
        <f>IF(W1257="","",IF(MIN(IF(T1257="",1,T1257),IF(U1257="",1,U1257),IF(V1257="",1,V1257))&gt;=1,"Aucune",IF(IF(T1257="",1,T1257)&lt;=MIN(IF(U1257="",1,U1257),IF(V1257="",1,V1257)),"Disponibilité",IF(IF(U1257="",1,U1257)&lt;=IF(V1257="",1,V1257),"Performance","Qualité"))))</f>
        <v/>
      </c>
      <c r="AA1257" s="59" t="str">
        <f>IF(AC1257=1,N(H1257)*N(IFERROR(INDEX(art_cost,MATCH(E1257,art_ref,0)),0)),"")</f>
        <v/>
      </c>
      <c r="AB1257" s="58" t="str">
        <f>IF(COUNTA(A1257:I1257)=0,"",IF(N(A1257)&lt;=0,"Date manquante ou invalide",IF(B1257="","Équipe manquante",IF(ISNA(MATCH(B1257,eq_code,0)),"Équipe inconnue",IF(INDEX(eq_check,MATCH(B1257,eq_code,0))&lt;&gt;"OK","Équipe à corriger dans Paramètres",IF(C1257="","Poste manquant",IF(ISNA(MATCH(C1257,po_code,0)),"Poste inconnu",IF(AND(E1257&lt;&gt;"",ISNA(MATCH(E1257,art_ref,0))),"Article inconnu",IF(IF(E1257="",FALSE,INDEX(art_check,MATCH(E1257,art_ref,0))&lt;&gt;"OK"),"Article à corriger (feuille Articles)",IF(COUNTIFS(sj_date,A1257,sj_eq,B1257,sj_po,C1257)&gt;1,"Ligne en double (même jour, équipe et poste)",IF(OR(NOT(ISNUMBER(K1257)),N(K1257)&lt;=0,N(K1257)&gt;1440),"Temps d'ouverture invalide",IF(OR(AND(G1257&lt;&gt;"",NOT(ISNUMBER(G1257))),N(G1257)&lt;0,N(G1257)&lt;&gt;INT(N(G1257)),AND(H1257&lt;&gt;"",NOT(ISNUMBER(H1257))),N(H1257)&lt;0,N(H1257)&lt;&gt;INT(N(H1257)),AND(I1257&lt;&gt;"",NOT(ISNUMBER(I1257))),N(I1257)&lt;0,N(I1257)&lt;&gt;INT(N(I1257))),"Quantité invalide",IF(Q1257&lt;=0,"Cadence manquante (poste ou article)",IF(M1257&lt;=0,"Arrêts planifiés supérieurs au temps d'ouverture",IF(O1257&lt;0,"Arrêts supérieurs au temps requis",IF(AND(P1257&gt;0,O1257=0),"Pièces déclarées sans temps de marche",IF(AND(P1257=0,O1257&gt;0),"Aucune pièce déclarée",IF(P1257*60/Q1257&gt;O1257+0.001,"Cadence dépassée : vérifiez la cadence","OK"))))))))))))))))))</f>
        <v/>
      </c>
      <c r="AC1257">
        <f>IF(OR(AB1257="OK",AB1257="Aucune pièce déclarée",AB1257="Cadence dépassée : vérifiez la cadence"),1,0)</f>
        <v>0.0</v>
      </c>
      <c r="AD1257">
        <f>IF(AND(AC1257=1,A1257&gt;=p_from,A1257&lt;=p_to),1,0)</f>
        <v>0.0</v>
      </c>
      <c r="AE1257">
        <f>IF(AD1257=1,IF(COUNTIFS($A$6:A1257,A1257,$AD$6:AD1257,1)=1,1,0),0)</f>
        <v>0.0</v>
      </c>
      <c r="AF1257" t="str">
        <f>IF(AE1257=1,COUNTIFS(sj_first,1,sj_date,"&lt;"&amp;A1257)+1,"")</f>
        <v/>
      </c>
      <c r="AG1257" t="str">
        <f>IF(AND(AD1257=1,N(W1257)&lt;p_alert),ROUND(W1257,4),"")</f>
        <v/>
      </c>
      <c r="AH1257" t="str">
        <f>IF(AG1257="","",COUNTIF(sj_akey,"&lt;"&amp;AG1257)+COUNTIF($AG$6:AG1257,AG1257))</f>
        <v/>
      </c>
    </row>
    <row r="1258">
      <c r="A1258" s="51" t="n"/>
      <c r="B1258" s="52" t="n"/>
      <c r="C1258" s="52" t="n"/>
      <c r="D1258" s="53" t="n"/>
      <c r="E1258" s="53" t="n"/>
      <c r="F1258" s="54" t="n"/>
      <c r="G1258" s="54" t="n"/>
      <c r="H1258" s="54" t="n"/>
      <c r="I1258" s="54" t="n"/>
      <c r="J1258" s="53" t="n"/>
      <c r="K1258" s="55" t="str">
        <f>IF(COUNTA(A1258:I1258)=0,"",IF(F1258="",IFERROR(INDEX(eq_dur,MATCH(B1258,eq_code,0)),""),F1258))</f>
        <v/>
      </c>
      <c r="L1258" s="55" t="str">
        <f>IF(ISNUMBER(K1258),N(IFERROR(INDEX(eq_pause,MATCH(B1258,eq_code,0)),0))+SUMIFS(st_min,st_date,A1258,st_eq,B1258,st_po,C1258,st_type,"Planifié"),"")</f>
        <v/>
      </c>
      <c r="M1258" s="55" t="str">
        <f>IF(ISNUMBER(K1258),K1258-L1258,"")</f>
        <v/>
      </c>
      <c r="N1258" s="55" t="str">
        <f>IF(ISNUMBER(K1258),SUMIFS(st_min,st_date,A1258,st_eq,B1258,st_po,C1258,st_type,"Non planifié"),"")</f>
        <v/>
      </c>
      <c r="O1258" s="55" t="str">
        <f>IF(ISNUMBER(K1258),M1258-N1258,"")</f>
        <v/>
      </c>
      <c r="P1258" s="55" t="str">
        <f>IF(COUNTA(A1258:I1258)=0,"",N(G1258)+N(H1258)+N(I1258))</f>
        <v/>
      </c>
      <c r="Q1258" s="56" t="str">
        <f>IF(COUNTA(A1258:I1258)=0,"",IF(N(IFERROR(INDEX(art_rate,MATCH(E1258,art_ref,0)),0))&gt;0,N(IFERROR(INDEX(art_rate,MATCH(E1258,art_ref,0)),0)),N(IFERROR(INDEX(po_rate,MATCH(C1258,po_code,0)),0))))</f>
        <v/>
      </c>
      <c r="R1258" s="55" t="str">
        <f>IF(AC1258=1,P1258*60/Q1258,"")</f>
        <v/>
      </c>
      <c r="S1258" s="55" t="str">
        <f>IF(AC1258=1,N(G1258)*60/Q1258,"")</f>
        <v/>
      </c>
      <c r="T1258" s="57" t="str">
        <f>IF(AC1258=1,O1258/M1258,"")</f>
        <v/>
      </c>
      <c r="U1258" s="57" t="str">
        <f>IF(AC1258=1,IF(O1258&gt;0,R1258/O1258,""),"")</f>
        <v/>
      </c>
      <c r="V1258" s="57" t="str">
        <f>IF(AC1258=1,IF(P1258&gt;0,N(G1258)/P1258,""),"")</f>
        <v/>
      </c>
      <c r="W1258" s="57" t="str">
        <f>IF(AC1258=1,S1258/M1258,"")</f>
        <v/>
      </c>
      <c r="X1258" s="57" t="str">
        <f>IF(AC1258=1,S1258/K1258,"")</f>
        <v/>
      </c>
      <c r="Y1258" s="58" t="str">
        <f>IF(W1258="","",IF(W1258&gt;=p_target,"Bon",IF(W1258&gt;=p_alert,"À surveiller","Faible")))</f>
        <v/>
      </c>
      <c r="Z1258" s="58" t="str">
        <f>IF(W1258="","",IF(MIN(IF(T1258="",1,T1258),IF(U1258="",1,U1258),IF(V1258="",1,V1258))&gt;=1,"Aucune",IF(IF(T1258="",1,T1258)&lt;=MIN(IF(U1258="",1,U1258),IF(V1258="",1,V1258)),"Disponibilité",IF(IF(U1258="",1,U1258)&lt;=IF(V1258="",1,V1258),"Performance","Qualité"))))</f>
        <v/>
      </c>
      <c r="AA1258" s="59" t="str">
        <f>IF(AC1258=1,N(H1258)*N(IFERROR(INDEX(art_cost,MATCH(E1258,art_ref,0)),0)),"")</f>
        <v/>
      </c>
      <c r="AB1258" s="58" t="str">
        <f>IF(COUNTA(A1258:I1258)=0,"",IF(N(A1258)&lt;=0,"Date manquante ou invalide",IF(B1258="","Équipe manquante",IF(ISNA(MATCH(B1258,eq_code,0)),"Équipe inconnue",IF(INDEX(eq_check,MATCH(B1258,eq_code,0))&lt;&gt;"OK","Équipe à corriger dans Paramètres",IF(C1258="","Poste manquant",IF(ISNA(MATCH(C1258,po_code,0)),"Poste inconnu",IF(AND(E1258&lt;&gt;"",ISNA(MATCH(E1258,art_ref,0))),"Article inconnu",IF(IF(E1258="",FALSE,INDEX(art_check,MATCH(E1258,art_ref,0))&lt;&gt;"OK"),"Article à corriger (feuille Articles)",IF(COUNTIFS(sj_date,A1258,sj_eq,B1258,sj_po,C1258)&gt;1,"Ligne en double (même jour, équipe et poste)",IF(OR(NOT(ISNUMBER(K1258)),N(K1258)&lt;=0,N(K1258)&gt;1440),"Temps d'ouverture invalide",IF(OR(AND(G1258&lt;&gt;"",NOT(ISNUMBER(G1258))),N(G1258)&lt;0,N(G1258)&lt;&gt;INT(N(G1258)),AND(H1258&lt;&gt;"",NOT(ISNUMBER(H1258))),N(H1258)&lt;0,N(H1258)&lt;&gt;INT(N(H1258)),AND(I1258&lt;&gt;"",NOT(ISNUMBER(I1258))),N(I1258)&lt;0,N(I1258)&lt;&gt;INT(N(I1258))),"Quantité invalide",IF(Q1258&lt;=0,"Cadence manquante (poste ou article)",IF(M1258&lt;=0,"Arrêts planifiés supérieurs au temps d'ouverture",IF(O1258&lt;0,"Arrêts supérieurs au temps requis",IF(AND(P1258&gt;0,O1258=0),"Pièces déclarées sans temps de marche",IF(AND(P1258=0,O1258&gt;0),"Aucune pièce déclarée",IF(P1258*60/Q1258&gt;O1258+0.001,"Cadence dépassée : vérifiez la cadence","OK"))))))))))))))))))</f>
        <v/>
      </c>
      <c r="AC1258">
        <f>IF(OR(AB1258="OK",AB1258="Aucune pièce déclarée",AB1258="Cadence dépassée : vérifiez la cadence"),1,0)</f>
        <v>0.0</v>
      </c>
      <c r="AD1258">
        <f>IF(AND(AC1258=1,A1258&gt;=p_from,A1258&lt;=p_to),1,0)</f>
        <v>0.0</v>
      </c>
      <c r="AE1258">
        <f>IF(AD1258=1,IF(COUNTIFS($A$6:A1258,A1258,$AD$6:AD1258,1)=1,1,0),0)</f>
        <v>0.0</v>
      </c>
      <c r="AF1258" t="str">
        <f>IF(AE1258=1,COUNTIFS(sj_first,1,sj_date,"&lt;"&amp;A1258)+1,"")</f>
        <v/>
      </c>
      <c r="AG1258" t="str">
        <f>IF(AND(AD1258=1,N(W1258)&lt;p_alert),ROUND(W1258,4),"")</f>
        <v/>
      </c>
      <c r="AH1258" t="str">
        <f>IF(AG1258="","",COUNTIF(sj_akey,"&lt;"&amp;AG1258)+COUNTIF($AG$6:AG1258,AG1258))</f>
        <v/>
      </c>
    </row>
    <row r="1259">
      <c r="A1259" s="51" t="n"/>
      <c r="B1259" s="52" t="n"/>
      <c r="C1259" s="52" t="n"/>
      <c r="D1259" s="53" t="n"/>
      <c r="E1259" s="53" t="n"/>
      <c r="F1259" s="54" t="n"/>
      <c r="G1259" s="54" t="n"/>
      <c r="H1259" s="54" t="n"/>
      <c r="I1259" s="54" t="n"/>
      <c r="J1259" s="53" t="n"/>
      <c r="K1259" s="55" t="str">
        <f>IF(COUNTA(A1259:I1259)=0,"",IF(F1259="",IFERROR(INDEX(eq_dur,MATCH(B1259,eq_code,0)),""),F1259))</f>
        <v/>
      </c>
      <c r="L1259" s="55" t="str">
        <f>IF(ISNUMBER(K1259),N(IFERROR(INDEX(eq_pause,MATCH(B1259,eq_code,0)),0))+SUMIFS(st_min,st_date,A1259,st_eq,B1259,st_po,C1259,st_type,"Planifié"),"")</f>
        <v/>
      </c>
      <c r="M1259" s="55" t="str">
        <f>IF(ISNUMBER(K1259),K1259-L1259,"")</f>
        <v/>
      </c>
      <c r="N1259" s="55" t="str">
        <f>IF(ISNUMBER(K1259),SUMIFS(st_min,st_date,A1259,st_eq,B1259,st_po,C1259,st_type,"Non planifié"),"")</f>
        <v/>
      </c>
      <c r="O1259" s="55" t="str">
        <f>IF(ISNUMBER(K1259),M1259-N1259,"")</f>
        <v/>
      </c>
      <c r="P1259" s="55" t="str">
        <f>IF(COUNTA(A1259:I1259)=0,"",N(G1259)+N(H1259)+N(I1259))</f>
        <v/>
      </c>
      <c r="Q1259" s="56" t="str">
        <f>IF(COUNTA(A1259:I1259)=0,"",IF(N(IFERROR(INDEX(art_rate,MATCH(E1259,art_ref,0)),0))&gt;0,N(IFERROR(INDEX(art_rate,MATCH(E1259,art_ref,0)),0)),N(IFERROR(INDEX(po_rate,MATCH(C1259,po_code,0)),0))))</f>
        <v/>
      </c>
      <c r="R1259" s="55" t="str">
        <f>IF(AC1259=1,P1259*60/Q1259,"")</f>
        <v/>
      </c>
      <c r="S1259" s="55" t="str">
        <f>IF(AC1259=1,N(G1259)*60/Q1259,"")</f>
        <v/>
      </c>
      <c r="T1259" s="57" t="str">
        <f>IF(AC1259=1,O1259/M1259,"")</f>
        <v/>
      </c>
      <c r="U1259" s="57" t="str">
        <f>IF(AC1259=1,IF(O1259&gt;0,R1259/O1259,""),"")</f>
        <v/>
      </c>
      <c r="V1259" s="57" t="str">
        <f>IF(AC1259=1,IF(P1259&gt;0,N(G1259)/P1259,""),"")</f>
        <v/>
      </c>
      <c r="W1259" s="57" t="str">
        <f>IF(AC1259=1,S1259/M1259,"")</f>
        <v/>
      </c>
      <c r="X1259" s="57" t="str">
        <f>IF(AC1259=1,S1259/K1259,"")</f>
        <v/>
      </c>
      <c r="Y1259" s="58" t="str">
        <f>IF(W1259="","",IF(W1259&gt;=p_target,"Bon",IF(W1259&gt;=p_alert,"À surveiller","Faible")))</f>
        <v/>
      </c>
      <c r="Z1259" s="58" t="str">
        <f>IF(W1259="","",IF(MIN(IF(T1259="",1,T1259),IF(U1259="",1,U1259),IF(V1259="",1,V1259))&gt;=1,"Aucune",IF(IF(T1259="",1,T1259)&lt;=MIN(IF(U1259="",1,U1259),IF(V1259="",1,V1259)),"Disponibilité",IF(IF(U1259="",1,U1259)&lt;=IF(V1259="",1,V1259),"Performance","Qualité"))))</f>
        <v/>
      </c>
      <c r="AA1259" s="59" t="str">
        <f>IF(AC1259=1,N(H1259)*N(IFERROR(INDEX(art_cost,MATCH(E1259,art_ref,0)),0)),"")</f>
        <v/>
      </c>
      <c r="AB1259" s="58" t="str">
        <f>IF(COUNTA(A1259:I1259)=0,"",IF(N(A1259)&lt;=0,"Date manquante ou invalide",IF(B1259="","Équipe manquante",IF(ISNA(MATCH(B1259,eq_code,0)),"Équipe inconnue",IF(INDEX(eq_check,MATCH(B1259,eq_code,0))&lt;&gt;"OK","Équipe à corriger dans Paramètres",IF(C1259="","Poste manquant",IF(ISNA(MATCH(C1259,po_code,0)),"Poste inconnu",IF(AND(E1259&lt;&gt;"",ISNA(MATCH(E1259,art_ref,0))),"Article inconnu",IF(IF(E1259="",FALSE,INDEX(art_check,MATCH(E1259,art_ref,0))&lt;&gt;"OK"),"Article à corriger (feuille Articles)",IF(COUNTIFS(sj_date,A1259,sj_eq,B1259,sj_po,C1259)&gt;1,"Ligne en double (même jour, équipe et poste)",IF(OR(NOT(ISNUMBER(K1259)),N(K1259)&lt;=0,N(K1259)&gt;1440),"Temps d'ouverture invalide",IF(OR(AND(G1259&lt;&gt;"",NOT(ISNUMBER(G1259))),N(G1259)&lt;0,N(G1259)&lt;&gt;INT(N(G1259)),AND(H1259&lt;&gt;"",NOT(ISNUMBER(H1259))),N(H1259)&lt;0,N(H1259)&lt;&gt;INT(N(H1259)),AND(I1259&lt;&gt;"",NOT(ISNUMBER(I1259))),N(I1259)&lt;0,N(I1259)&lt;&gt;INT(N(I1259))),"Quantité invalide",IF(Q1259&lt;=0,"Cadence manquante (poste ou article)",IF(M1259&lt;=0,"Arrêts planifiés supérieurs au temps d'ouverture",IF(O1259&lt;0,"Arrêts supérieurs au temps requis",IF(AND(P1259&gt;0,O1259=0),"Pièces déclarées sans temps de marche",IF(AND(P1259=0,O1259&gt;0),"Aucune pièce déclarée",IF(P1259*60/Q1259&gt;O1259+0.001,"Cadence dépassée : vérifiez la cadence","OK"))))))))))))))))))</f>
        <v/>
      </c>
      <c r="AC1259">
        <f>IF(OR(AB1259="OK",AB1259="Aucune pièce déclarée",AB1259="Cadence dépassée : vérifiez la cadence"),1,0)</f>
        <v>0.0</v>
      </c>
      <c r="AD1259">
        <f>IF(AND(AC1259=1,A1259&gt;=p_from,A1259&lt;=p_to),1,0)</f>
        <v>0.0</v>
      </c>
      <c r="AE1259">
        <f>IF(AD1259=1,IF(COUNTIFS($A$6:A1259,A1259,$AD$6:AD1259,1)=1,1,0),0)</f>
        <v>0.0</v>
      </c>
      <c r="AF1259" t="str">
        <f>IF(AE1259=1,COUNTIFS(sj_first,1,sj_date,"&lt;"&amp;A1259)+1,"")</f>
        <v/>
      </c>
      <c r="AG1259" t="str">
        <f>IF(AND(AD1259=1,N(W1259)&lt;p_alert),ROUND(W1259,4),"")</f>
        <v/>
      </c>
      <c r="AH1259" t="str">
        <f>IF(AG1259="","",COUNTIF(sj_akey,"&lt;"&amp;AG1259)+COUNTIF($AG$6:AG1259,AG1259))</f>
        <v/>
      </c>
    </row>
    <row r="1260">
      <c r="A1260" s="51" t="n"/>
      <c r="B1260" s="52" t="n"/>
      <c r="C1260" s="52" t="n"/>
      <c r="D1260" s="53" t="n"/>
      <c r="E1260" s="53" t="n"/>
      <c r="F1260" s="54" t="n"/>
      <c r="G1260" s="54" t="n"/>
      <c r="H1260" s="54" t="n"/>
      <c r="I1260" s="54" t="n"/>
      <c r="J1260" s="53" t="n"/>
      <c r="K1260" s="55" t="str">
        <f>IF(COUNTA(A1260:I1260)=0,"",IF(F1260="",IFERROR(INDEX(eq_dur,MATCH(B1260,eq_code,0)),""),F1260))</f>
        <v/>
      </c>
      <c r="L1260" s="55" t="str">
        <f>IF(ISNUMBER(K1260),N(IFERROR(INDEX(eq_pause,MATCH(B1260,eq_code,0)),0))+SUMIFS(st_min,st_date,A1260,st_eq,B1260,st_po,C1260,st_type,"Planifié"),"")</f>
        <v/>
      </c>
      <c r="M1260" s="55" t="str">
        <f>IF(ISNUMBER(K1260),K1260-L1260,"")</f>
        <v/>
      </c>
      <c r="N1260" s="55" t="str">
        <f>IF(ISNUMBER(K1260),SUMIFS(st_min,st_date,A1260,st_eq,B1260,st_po,C1260,st_type,"Non planifié"),"")</f>
        <v/>
      </c>
      <c r="O1260" s="55" t="str">
        <f>IF(ISNUMBER(K1260),M1260-N1260,"")</f>
        <v/>
      </c>
      <c r="P1260" s="55" t="str">
        <f>IF(COUNTA(A1260:I1260)=0,"",N(G1260)+N(H1260)+N(I1260))</f>
        <v/>
      </c>
      <c r="Q1260" s="56" t="str">
        <f>IF(COUNTA(A1260:I1260)=0,"",IF(N(IFERROR(INDEX(art_rate,MATCH(E1260,art_ref,0)),0))&gt;0,N(IFERROR(INDEX(art_rate,MATCH(E1260,art_ref,0)),0)),N(IFERROR(INDEX(po_rate,MATCH(C1260,po_code,0)),0))))</f>
        <v/>
      </c>
      <c r="R1260" s="55" t="str">
        <f>IF(AC1260=1,P1260*60/Q1260,"")</f>
        <v/>
      </c>
      <c r="S1260" s="55" t="str">
        <f>IF(AC1260=1,N(G1260)*60/Q1260,"")</f>
        <v/>
      </c>
      <c r="T1260" s="57" t="str">
        <f>IF(AC1260=1,O1260/M1260,"")</f>
        <v/>
      </c>
      <c r="U1260" s="57" t="str">
        <f>IF(AC1260=1,IF(O1260&gt;0,R1260/O1260,""),"")</f>
        <v/>
      </c>
      <c r="V1260" s="57" t="str">
        <f>IF(AC1260=1,IF(P1260&gt;0,N(G1260)/P1260,""),"")</f>
        <v/>
      </c>
      <c r="W1260" s="57" t="str">
        <f>IF(AC1260=1,S1260/M1260,"")</f>
        <v/>
      </c>
      <c r="X1260" s="57" t="str">
        <f>IF(AC1260=1,S1260/K1260,"")</f>
        <v/>
      </c>
      <c r="Y1260" s="58" t="str">
        <f>IF(W1260="","",IF(W1260&gt;=p_target,"Bon",IF(W1260&gt;=p_alert,"À surveiller","Faible")))</f>
        <v/>
      </c>
      <c r="Z1260" s="58" t="str">
        <f>IF(W1260="","",IF(MIN(IF(T1260="",1,T1260),IF(U1260="",1,U1260),IF(V1260="",1,V1260))&gt;=1,"Aucune",IF(IF(T1260="",1,T1260)&lt;=MIN(IF(U1260="",1,U1260),IF(V1260="",1,V1260)),"Disponibilité",IF(IF(U1260="",1,U1260)&lt;=IF(V1260="",1,V1260),"Performance","Qualité"))))</f>
        <v/>
      </c>
      <c r="AA1260" s="59" t="str">
        <f>IF(AC1260=1,N(H1260)*N(IFERROR(INDEX(art_cost,MATCH(E1260,art_ref,0)),0)),"")</f>
        <v/>
      </c>
      <c r="AB1260" s="58" t="str">
        <f>IF(COUNTA(A1260:I1260)=0,"",IF(N(A1260)&lt;=0,"Date manquante ou invalide",IF(B1260="","Équipe manquante",IF(ISNA(MATCH(B1260,eq_code,0)),"Équipe inconnue",IF(INDEX(eq_check,MATCH(B1260,eq_code,0))&lt;&gt;"OK","Équipe à corriger dans Paramètres",IF(C1260="","Poste manquant",IF(ISNA(MATCH(C1260,po_code,0)),"Poste inconnu",IF(AND(E1260&lt;&gt;"",ISNA(MATCH(E1260,art_ref,0))),"Article inconnu",IF(IF(E1260="",FALSE,INDEX(art_check,MATCH(E1260,art_ref,0))&lt;&gt;"OK"),"Article à corriger (feuille Articles)",IF(COUNTIFS(sj_date,A1260,sj_eq,B1260,sj_po,C1260)&gt;1,"Ligne en double (même jour, équipe et poste)",IF(OR(NOT(ISNUMBER(K1260)),N(K1260)&lt;=0,N(K1260)&gt;1440),"Temps d'ouverture invalide",IF(OR(AND(G1260&lt;&gt;"",NOT(ISNUMBER(G1260))),N(G1260)&lt;0,N(G1260)&lt;&gt;INT(N(G1260)),AND(H1260&lt;&gt;"",NOT(ISNUMBER(H1260))),N(H1260)&lt;0,N(H1260)&lt;&gt;INT(N(H1260)),AND(I1260&lt;&gt;"",NOT(ISNUMBER(I1260))),N(I1260)&lt;0,N(I1260)&lt;&gt;INT(N(I1260))),"Quantité invalide",IF(Q1260&lt;=0,"Cadence manquante (poste ou article)",IF(M1260&lt;=0,"Arrêts planifiés supérieurs au temps d'ouverture",IF(O1260&lt;0,"Arrêts supérieurs au temps requis",IF(AND(P1260&gt;0,O1260=0),"Pièces déclarées sans temps de marche",IF(AND(P1260=0,O1260&gt;0),"Aucune pièce déclarée",IF(P1260*60/Q1260&gt;O1260+0.001,"Cadence dépassée : vérifiez la cadence","OK"))))))))))))))))))</f>
        <v/>
      </c>
      <c r="AC1260">
        <f>IF(OR(AB1260="OK",AB1260="Aucune pièce déclarée",AB1260="Cadence dépassée : vérifiez la cadence"),1,0)</f>
        <v>0.0</v>
      </c>
      <c r="AD1260">
        <f>IF(AND(AC1260=1,A1260&gt;=p_from,A1260&lt;=p_to),1,0)</f>
        <v>0.0</v>
      </c>
      <c r="AE1260">
        <f>IF(AD1260=1,IF(COUNTIFS($A$6:A1260,A1260,$AD$6:AD1260,1)=1,1,0),0)</f>
        <v>0.0</v>
      </c>
      <c r="AF1260" t="str">
        <f>IF(AE1260=1,COUNTIFS(sj_first,1,sj_date,"&lt;"&amp;A1260)+1,"")</f>
        <v/>
      </c>
      <c r="AG1260" t="str">
        <f>IF(AND(AD1260=1,N(W1260)&lt;p_alert),ROUND(W1260,4),"")</f>
        <v/>
      </c>
      <c r="AH1260" t="str">
        <f>IF(AG1260="","",COUNTIF(sj_akey,"&lt;"&amp;AG1260)+COUNTIF($AG$6:AG1260,AG1260))</f>
        <v/>
      </c>
    </row>
    <row r="1261">
      <c r="A1261" s="51" t="n"/>
      <c r="B1261" s="52" t="n"/>
      <c r="C1261" s="52" t="n"/>
      <c r="D1261" s="53" t="n"/>
      <c r="E1261" s="53" t="n"/>
      <c r="F1261" s="54" t="n"/>
      <c r="G1261" s="54" t="n"/>
      <c r="H1261" s="54" t="n"/>
      <c r="I1261" s="54" t="n"/>
      <c r="J1261" s="53" t="n"/>
      <c r="K1261" s="55" t="str">
        <f>IF(COUNTA(A1261:I1261)=0,"",IF(F1261="",IFERROR(INDEX(eq_dur,MATCH(B1261,eq_code,0)),""),F1261))</f>
        <v/>
      </c>
      <c r="L1261" s="55" t="str">
        <f>IF(ISNUMBER(K1261),N(IFERROR(INDEX(eq_pause,MATCH(B1261,eq_code,0)),0))+SUMIFS(st_min,st_date,A1261,st_eq,B1261,st_po,C1261,st_type,"Planifié"),"")</f>
        <v/>
      </c>
      <c r="M1261" s="55" t="str">
        <f>IF(ISNUMBER(K1261),K1261-L1261,"")</f>
        <v/>
      </c>
      <c r="N1261" s="55" t="str">
        <f>IF(ISNUMBER(K1261),SUMIFS(st_min,st_date,A1261,st_eq,B1261,st_po,C1261,st_type,"Non planifié"),"")</f>
        <v/>
      </c>
      <c r="O1261" s="55" t="str">
        <f>IF(ISNUMBER(K1261),M1261-N1261,"")</f>
        <v/>
      </c>
      <c r="P1261" s="55" t="str">
        <f>IF(COUNTA(A1261:I1261)=0,"",N(G1261)+N(H1261)+N(I1261))</f>
        <v/>
      </c>
      <c r="Q1261" s="56" t="str">
        <f>IF(COUNTA(A1261:I1261)=0,"",IF(N(IFERROR(INDEX(art_rate,MATCH(E1261,art_ref,0)),0))&gt;0,N(IFERROR(INDEX(art_rate,MATCH(E1261,art_ref,0)),0)),N(IFERROR(INDEX(po_rate,MATCH(C1261,po_code,0)),0))))</f>
        <v/>
      </c>
      <c r="R1261" s="55" t="str">
        <f>IF(AC1261=1,P1261*60/Q1261,"")</f>
        <v/>
      </c>
      <c r="S1261" s="55" t="str">
        <f>IF(AC1261=1,N(G1261)*60/Q1261,"")</f>
        <v/>
      </c>
      <c r="T1261" s="57" t="str">
        <f>IF(AC1261=1,O1261/M1261,"")</f>
        <v/>
      </c>
      <c r="U1261" s="57" t="str">
        <f>IF(AC1261=1,IF(O1261&gt;0,R1261/O1261,""),"")</f>
        <v/>
      </c>
      <c r="V1261" s="57" t="str">
        <f>IF(AC1261=1,IF(P1261&gt;0,N(G1261)/P1261,""),"")</f>
        <v/>
      </c>
      <c r="W1261" s="57" t="str">
        <f>IF(AC1261=1,S1261/M1261,"")</f>
        <v/>
      </c>
      <c r="X1261" s="57" t="str">
        <f>IF(AC1261=1,S1261/K1261,"")</f>
        <v/>
      </c>
      <c r="Y1261" s="58" t="str">
        <f>IF(W1261="","",IF(W1261&gt;=p_target,"Bon",IF(W1261&gt;=p_alert,"À surveiller","Faible")))</f>
        <v/>
      </c>
      <c r="Z1261" s="58" t="str">
        <f>IF(W1261="","",IF(MIN(IF(T1261="",1,T1261),IF(U1261="",1,U1261),IF(V1261="",1,V1261))&gt;=1,"Aucune",IF(IF(T1261="",1,T1261)&lt;=MIN(IF(U1261="",1,U1261),IF(V1261="",1,V1261)),"Disponibilité",IF(IF(U1261="",1,U1261)&lt;=IF(V1261="",1,V1261),"Performance","Qualité"))))</f>
        <v/>
      </c>
      <c r="AA1261" s="59" t="str">
        <f>IF(AC1261=1,N(H1261)*N(IFERROR(INDEX(art_cost,MATCH(E1261,art_ref,0)),0)),"")</f>
        <v/>
      </c>
      <c r="AB1261" s="58" t="str">
        <f>IF(COUNTA(A1261:I1261)=0,"",IF(N(A1261)&lt;=0,"Date manquante ou invalide",IF(B1261="","Équipe manquante",IF(ISNA(MATCH(B1261,eq_code,0)),"Équipe inconnue",IF(INDEX(eq_check,MATCH(B1261,eq_code,0))&lt;&gt;"OK","Équipe à corriger dans Paramètres",IF(C1261="","Poste manquant",IF(ISNA(MATCH(C1261,po_code,0)),"Poste inconnu",IF(AND(E1261&lt;&gt;"",ISNA(MATCH(E1261,art_ref,0))),"Article inconnu",IF(IF(E1261="",FALSE,INDEX(art_check,MATCH(E1261,art_ref,0))&lt;&gt;"OK"),"Article à corriger (feuille Articles)",IF(COUNTIFS(sj_date,A1261,sj_eq,B1261,sj_po,C1261)&gt;1,"Ligne en double (même jour, équipe et poste)",IF(OR(NOT(ISNUMBER(K1261)),N(K1261)&lt;=0,N(K1261)&gt;1440),"Temps d'ouverture invalide",IF(OR(AND(G1261&lt;&gt;"",NOT(ISNUMBER(G1261))),N(G1261)&lt;0,N(G1261)&lt;&gt;INT(N(G1261)),AND(H1261&lt;&gt;"",NOT(ISNUMBER(H1261))),N(H1261)&lt;0,N(H1261)&lt;&gt;INT(N(H1261)),AND(I1261&lt;&gt;"",NOT(ISNUMBER(I1261))),N(I1261)&lt;0,N(I1261)&lt;&gt;INT(N(I1261))),"Quantité invalide",IF(Q1261&lt;=0,"Cadence manquante (poste ou article)",IF(M1261&lt;=0,"Arrêts planifiés supérieurs au temps d'ouverture",IF(O1261&lt;0,"Arrêts supérieurs au temps requis",IF(AND(P1261&gt;0,O1261=0),"Pièces déclarées sans temps de marche",IF(AND(P1261=0,O1261&gt;0),"Aucune pièce déclarée",IF(P1261*60/Q1261&gt;O1261+0.001,"Cadence dépassée : vérifiez la cadence","OK"))))))))))))))))))</f>
        <v/>
      </c>
      <c r="AC1261">
        <f>IF(OR(AB1261="OK",AB1261="Aucune pièce déclarée",AB1261="Cadence dépassée : vérifiez la cadence"),1,0)</f>
        <v>0.0</v>
      </c>
      <c r="AD1261">
        <f>IF(AND(AC1261=1,A1261&gt;=p_from,A1261&lt;=p_to),1,0)</f>
        <v>0.0</v>
      </c>
      <c r="AE1261">
        <f>IF(AD1261=1,IF(COUNTIFS($A$6:A1261,A1261,$AD$6:AD1261,1)=1,1,0),0)</f>
        <v>0.0</v>
      </c>
      <c r="AF1261" t="str">
        <f>IF(AE1261=1,COUNTIFS(sj_first,1,sj_date,"&lt;"&amp;A1261)+1,"")</f>
        <v/>
      </c>
      <c r="AG1261" t="str">
        <f>IF(AND(AD1261=1,N(W1261)&lt;p_alert),ROUND(W1261,4),"")</f>
        <v/>
      </c>
      <c r="AH1261" t="str">
        <f>IF(AG1261="","",COUNTIF(sj_akey,"&lt;"&amp;AG1261)+COUNTIF($AG$6:AG1261,AG1261))</f>
        <v/>
      </c>
    </row>
    <row r="1262">
      <c r="A1262" s="51" t="n"/>
      <c r="B1262" s="52" t="n"/>
      <c r="C1262" s="52" t="n"/>
      <c r="D1262" s="53" t="n"/>
      <c r="E1262" s="53" t="n"/>
      <c r="F1262" s="54" t="n"/>
      <c r="G1262" s="54" t="n"/>
      <c r="H1262" s="54" t="n"/>
      <c r="I1262" s="54" t="n"/>
      <c r="J1262" s="53" t="n"/>
      <c r="K1262" s="55" t="str">
        <f>IF(COUNTA(A1262:I1262)=0,"",IF(F1262="",IFERROR(INDEX(eq_dur,MATCH(B1262,eq_code,0)),""),F1262))</f>
        <v/>
      </c>
      <c r="L1262" s="55" t="str">
        <f>IF(ISNUMBER(K1262),N(IFERROR(INDEX(eq_pause,MATCH(B1262,eq_code,0)),0))+SUMIFS(st_min,st_date,A1262,st_eq,B1262,st_po,C1262,st_type,"Planifié"),"")</f>
        <v/>
      </c>
      <c r="M1262" s="55" t="str">
        <f>IF(ISNUMBER(K1262),K1262-L1262,"")</f>
        <v/>
      </c>
      <c r="N1262" s="55" t="str">
        <f>IF(ISNUMBER(K1262),SUMIFS(st_min,st_date,A1262,st_eq,B1262,st_po,C1262,st_type,"Non planifié"),"")</f>
        <v/>
      </c>
      <c r="O1262" s="55" t="str">
        <f>IF(ISNUMBER(K1262),M1262-N1262,"")</f>
        <v/>
      </c>
      <c r="P1262" s="55" t="str">
        <f>IF(COUNTA(A1262:I1262)=0,"",N(G1262)+N(H1262)+N(I1262))</f>
        <v/>
      </c>
      <c r="Q1262" s="56" t="str">
        <f>IF(COUNTA(A1262:I1262)=0,"",IF(N(IFERROR(INDEX(art_rate,MATCH(E1262,art_ref,0)),0))&gt;0,N(IFERROR(INDEX(art_rate,MATCH(E1262,art_ref,0)),0)),N(IFERROR(INDEX(po_rate,MATCH(C1262,po_code,0)),0))))</f>
        <v/>
      </c>
      <c r="R1262" s="55" t="str">
        <f>IF(AC1262=1,P1262*60/Q1262,"")</f>
        <v/>
      </c>
      <c r="S1262" s="55" t="str">
        <f>IF(AC1262=1,N(G1262)*60/Q1262,"")</f>
        <v/>
      </c>
      <c r="T1262" s="57" t="str">
        <f>IF(AC1262=1,O1262/M1262,"")</f>
        <v/>
      </c>
      <c r="U1262" s="57" t="str">
        <f>IF(AC1262=1,IF(O1262&gt;0,R1262/O1262,""),"")</f>
        <v/>
      </c>
      <c r="V1262" s="57" t="str">
        <f>IF(AC1262=1,IF(P1262&gt;0,N(G1262)/P1262,""),"")</f>
        <v/>
      </c>
      <c r="W1262" s="57" t="str">
        <f>IF(AC1262=1,S1262/M1262,"")</f>
        <v/>
      </c>
      <c r="X1262" s="57" t="str">
        <f>IF(AC1262=1,S1262/K1262,"")</f>
        <v/>
      </c>
      <c r="Y1262" s="58" t="str">
        <f>IF(W1262="","",IF(W1262&gt;=p_target,"Bon",IF(W1262&gt;=p_alert,"À surveiller","Faible")))</f>
        <v/>
      </c>
      <c r="Z1262" s="58" t="str">
        <f>IF(W1262="","",IF(MIN(IF(T1262="",1,T1262),IF(U1262="",1,U1262),IF(V1262="",1,V1262))&gt;=1,"Aucune",IF(IF(T1262="",1,T1262)&lt;=MIN(IF(U1262="",1,U1262),IF(V1262="",1,V1262)),"Disponibilité",IF(IF(U1262="",1,U1262)&lt;=IF(V1262="",1,V1262),"Performance","Qualité"))))</f>
        <v/>
      </c>
      <c r="AA1262" s="59" t="str">
        <f>IF(AC1262=1,N(H1262)*N(IFERROR(INDEX(art_cost,MATCH(E1262,art_ref,0)),0)),"")</f>
        <v/>
      </c>
      <c r="AB1262" s="58" t="str">
        <f>IF(COUNTA(A1262:I1262)=0,"",IF(N(A1262)&lt;=0,"Date manquante ou invalide",IF(B1262="","Équipe manquante",IF(ISNA(MATCH(B1262,eq_code,0)),"Équipe inconnue",IF(INDEX(eq_check,MATCH(B1262,eq_code,0))&lt;&gt;"OK","Équipe à corriger dans Paramètres",IF(C1262="","Poste manquant",IF(ISNA(MATCH(C1262,po_code,0)),"Poste inconnu",IF(AND(E1262&lt;&gt;"",ISNA(MATCH(E1262,art_ref,0))),"Article inconnu",IF(IF(E1262="",FALSE,INDEX(art_check,MATCH(E1262,art_ref,0))&lt;&gt;"OK"),"Article à corriger (feuille Articles)",IF(COUNTIFS(sj_date,A1262,sj_eq,B1262,sj_po,C1262)&gt;1,"Ligne en double (même jour, équipe et poste)",IF(OR(NOT(ISNUMBER(K1262)),N(K1262)&lt;=0,N(K1262)&gt;1440),"Temps d'ouverture invalide",IF(OR(AND(G1262&lt;&gt;"",NOT(ISNUMBER(G1262))),N(G1262)&lt;0,N(G1262)&lt;&gt;INT(N(G1262)),AND(H1262&lt;&gt;"",NOT(ISNUMBER(H1262))),N(H1262)&lt;0,N(H1262)&lt;&gt;INT(N(H1262)),AND(I1262&lt;&gt;"",NOT(ISNUMBER(I1262))),N(I1262)&lt;0,N(I1262)&lt;&gt;INT(N(I1262))),"Quantité invalide",IF(Q1262&lt;=0,"Cadence manquante (poste ou article)",IF(M1262&lt;=0,"Arrêts planifiés supérieurs au temps d'ouverture",IF(O1262&lt;0,"Arrêts supérieurs au temps requis",IF(AND(P1262&gt;0,O1262=0),"Pièces déclarées sans temps de marche",IF(AND(P1262=0,O1262&gt;0),"Aucune pièce déclarée",IF(P1262*60/Q1262&gt;O1262+0.001,"Cadence dépassée : vérifiez la cadence","OK"))))))))))))))))))</f>
        <v/>
      </c>
      <c r="AC1262">
        <f>IF(OR(AB1262="OK",AB1262="Aucune pièce déclarée",AB1262="Cadence dépassée : vérifiez la cadence"),1,0)</f>
        <v>0.0</v>
      </c>
      <c r="AD1262">
        <f>IF(AND(AC1262=1,A1262&gt;=p_from,A1262&lt;=p_to),1,0)</f>
        <v>0.0</v>
      </c>
      <c r="AE1262">
        <f>IF(AD1262=1,IF(COUNTIFS($A$6:A1262,A1262,$AD$6:AD1262,1)=1,1,0),0)</f>
        <v>0.0</v>
      </c>
      <c r="AF1262" t="str">
        <f>IF(AE1262=1,COUNTIFS(sj_first,1,sj_date,"&lt;"&amp;A1262)+1,"")</f>
        <v/>
      </c>
      <c r="AG1262" t="str">
        <f>IF(AND(AD1262=1,N(W1262)&lt;p_alert),ROUND(W1262,4),"")</f>
        <v/>
      </c>
      <c r="AH1262" t="str">
        <f>IF(AG1262="","",COUNTIF(sj_akey,"&lt;"&amp;AG1262)+COUNTIF($AG$6:AG1262,AG1262))</f>
        <v/>
      </c>
    </row>
    <row r="1263">
      <c r="A1263" s="51" t="n"/>
      <c r="B1263" s="52" t="n"/>
      <c r="C1263" s="52" t="n"/>
      <c r="D1263" s="53" t="n"/>
      <c r="E1263" s="53" t="n"/>
      <c r="F1263" s="54" t="n"/>
      <c r="G1263" s="54" t="n"/>
      <c r="H1263" s="54" t="n"/>
      <c r="I1263" s="54" t="n"/>
      <c r="J1263" s="53" t="n"/>
      <c r="K1263" s="55" t="str">
        <f>IF(COUNTA(A1263:I1263)=0,"",IF(F1263="",IFERROR(INDEX(eq_dur,MATCH(B1263,eq_code,0)),""),F1263))</f>
        <v/>
      </c>
      <c r="L1263" s="55" t="str">
        <f>IF(ISNUMBER(K1263),N(IFERROR(INDEX(eq_pause,MATCH(B1263,eq_code,0)),0))+SUMIFS(st_min,st_date,A1263,st_eq,B1263,st_po,C1263,st_type,"Planifié"),"")</f>
        <v/>
      </c>
      <c r="M1263" s="55" t="str">
        <f>IF(ISNUMBER(K1263),K1263-L1263,"")</f>
        <v/>
      </c>
      <c r="N1263" s="55" t="str">
        <f>IF(ISNUMBER(K1263),SUMIFS(st_min,st_date,A1263,st_eq,B1263,st_po,C1263,st_type,"Non planifié"),"")</f>
        <v/>
      </c>
      <c r="O1263" s="55" t="str">
        <f>IF(ISNUMBER(K1263),M1263-N1263,"")</f>
        <v/>
      </c>
      <c r="P1263" s="55" t="str">
        <f>IF(COUNTA(A1263:I1263)=0,"",N(G1263)+N(H1263)+N(I1263))</f>
        <v/>
      </c>
      <c r="Q1263" s="56" t="str">
        <f>IF(COUNTA(A1263:I1263)=0,"",IF(N(IFERROR(INDEX(art_rate,MATCH(E1263,art_ref,0)),0))&gt;0,N(IFERROR(INDEX(art_rate,MATCH(E1263,art_ref,0)),0)),N(IFERROR(INDEX(po_rate,MATCH(C1263,po_code,0)),0))))</f>
        <v/>
      </c>
      <c r="R1263" s="55" t="str">
        <f>IF(AC1263=1,P1263*60/Q1263,"")</f>
        <v/>
      </c>
      <c r="S1263" s="55" t="str">
        <f>IF(AC1263=1,N(G1263)*60/Q1263,"")</f>
        <v/>
      </c>
      <c r="T1263" s="57" t="str">
        <f>IF(AC1263=1,O1263/M1263,"")</f>
        <v/>
      </c>
      <c r="U1263" s="57" t="str">
        <f>IF(AC1263=1,IF(O1263&gt;0,R1263/O1263,""),"")</f>
        <v/>
      </c>
      <c r="V1263" s="57" t="str">
        <f>IF(AC1263=1,IF(P1263&gt;0,N(G1263)/P1263,""),"")</f>
        <v/>
      </c>
      <c r="W1263" s="57" t="str">
        <f>IF(AC1263=1,S1263/M1263,"")</f>
        <v/>
      </c>
      <c r="X1263" s="57" t="str">
        <f>IF(AC1263=1,S1263/K1263,"")</f>
        <v/>
      </c>
      <c r="Y1263" s="58" t="str">
        <f>IF(W1263="","",IF(W1263&gt;=p_target,"Bon",IF(W1263&gt;=p_alert,"À surveiller","Faible")))</f>
        <v/>
      </c>
      <c r="Z1263" s="58" t="str">
        <f>IF(W1263="","",IF(MIN(IF(T1263="",1,T1263),IF(U1263="",1,U1263),IF(V1263="",1,V1263))&gt;=1,"Aucune",IF(IF(T1263="",1,T1263)&lt;=MIN(IF(U1263="",1,U1263),IF(V1263="",1,V1263)),"Disponibilité",IF(IF(U1263="",1,U1263)&lt;=IF(V1263="",1,V1263),"Performance","Qualité"))))</f>
        <v/>
      </c>
      <c r="AA1263" s="59" t="str">
        <f>IF(AC1263=1,N(H1263)*N(IFERROR(INDEX(art_cost,MATCH(E1263,art_ref,0)),0)),"")</f>
        <v/>
      </c>
      <c r="AB1263" s="58" t="str">
        <f>IF(COUNTA(A1263:I1263)=0,"",IF(N(A1263)&lt;=0,"Date manquante ou invalide",IF(B1263="","Équipe manquante",IF(ISNA(MATCH(B1263,eq_code,0)),"Équipe inconnue",IF(INDEX(eq_check,MATCH(B1263,eq_code,0))&lt;&gt;"OK","Équipe à corriger dans Paramètres",IF(C1263="","Poste manquant",IF(ISNA(MATCH(C1263,po_code,0)),"Poste inconnu",IF(AND(E1263&lt;&gt;"",ISNA(MATCH(E1263,art_ref,0))),"Article inconnu",IF(IF(E1263="",FALSE,INDEX(art_check,MATCH(E1263,art_ref,0))&lt;&gt;"OK"),"Article à corriger (feuille Articles)",IF(COUNTIFS(sj_date,A1263,sj_eq,B1263,sj_po,C1263)&gt;1,"Ligne en double (même jour, équipe et poste)",IF(OR(NOT(ISNUMBER(K1263)),N(K1263)&lt;=0,N(K1263)&gt;1440),"Temps d'ouverture invalide",IF(OR(AND(G1263&lt;&gt;"",NOT(ISNUMBER(G1263))),N(G1263)&lt;0,N(G1263)&lt;&gt;INT(N(G1263)),AND(H1263&lt;&gt;"",NOT(ISNUMBER(H1263))),N(H1263)&lt;0,N(H1263)&lt;&gt;INT(N(H1263)),AND(I1263&lt;&gt;"",NOT(ISNUMBER(I1263))),N(I1263)&lt;0,N(I1263)&lt;&gt;INT(N(I1263))),"Quantité invalide",IF(Q1263&lt;=0,"Cadence manquante (poste ou article)",IF(M1263&lt;=0,"Arrêts planifiés supérieurs au temps d'ouverture",IF(O1263&lt;0,"Arrêts supérieurs au temps requis",IF(AND(P1263&gt;0,O1263=0),"Pièces déclarées sans temps de marche",IF(AND(P1263=0,O1263&gt;0),"Aucune pièce déclarée",IF(P1263*60/Q1263&gt;O1263+0.001,"Cadence dépassée : vérifiez la cadence","OK"))))))))))))))))))</f>
        <v/>
      </c>
      <c r="AC1263">
        <f>IF(OR(AB1263="OK",AB1263="Aucune pièce déclarée",AB1263="Cadence dépassée : vérifiez la cadence"),1,0)</f>
        <v>0.0</v>
      </c>
      <c r="AD1263">
        <f>IF(AND(AC1263=1,A1263&gt;=p_from,A1263&lt;=p_to),1,0)</f>
        <v>0.0</v>
      </c>
      <c r="AE1263">
        <f>IF(AD1263=1,IF(COUNTIFS($A$6:A1263,A1263,$AD$6:AD1263,1)=1,1,0),0)</f>
        <v>0.0</v>
      </c>
      <c r="AF1263" t="str">
        <f>IF(AE1263=1,COUNTIFS(sj_first,1,sj_date,"&lt;"&amp;A1263)+1,"")</f>
        <v/>
      </c>
      <c r="AG1263" t="str">
        <f>IF(AND(AD1263=1,N(W1263)&lt;p_alert),ROUND(W1263,4),"")</f>
        <v/>
      </c>
      <c r="AH1263" t="str">
        <f>IF(AG1263="","",COUNTIF(sj_akey,"&lt;"&amp;AG1263)+COUNTIF($AG$6:AG1263,AG1263))</f>
        <v/>
      </c>
    </row>
    <row r="1264">
      <c r="A1264" s="51" t="n"/>
      <c r="B1264" s="52" t="n"/>
      <c r="C1264" s="52" t="n"/>
      <c r="D1264" s="53" t="n"/>
      <c r="E1264" s="53" t="n"/>
      <c r="F1264" s="54" t="n"/>
      <c r="G1264" s="54" t="n"/>
      <c r="H1264" s="54" t="n"/>
      <c r="I1264" s="54" t="n"/>
      <c r="J1264" s="53" t="n"/>
      <c r="K1264" s="55" t="str">
        <f>IF(COUNTA(A1264:I1264)=0,"",IF(F1264="",IFERROR(INDEX(eq_dur,MATCH(B1264,eq_code,0)),""),F1264))</f>
        <v/>
      </c>
      <c r="L1264" s="55" t="str">
        <f>IF(ISNUMBER(K1264),N(IFERROR(INDEX(eq_pause,MATCH(B1264,eq_code,0)),0))+SUMIFS(st_min,st_date,A1264,st_eq,B1264,st_po,C1264,st_type,"Planifié"),"")</f>
        <v/>
      </c>
      <c r="M1264" s="55" t="str">
        <f>IF(ISNUMBER(K1264),K1264-L1264,"")</f>
        <v/>
      </c>
      <c r="N1264" s="55" t="str">
        <f>IF(ISNUMBER(K1264),SUMIFS(st_min,st_date,A1264,st_eq,B1264,st_po,C1264,st_type,"Non planifié"),"")</f>
        <v/>
      </c>
      <c r="O1264" s="55" t="str">
        <f>IF(ISNUMBER(K1264),M1264-N1264,"")</f>
        <v/>
      </c>
      <c r="P1264" s="55" t="str">
        <f>IF(COUNTA(A1264:I1264)=0,"",N(G1264)+N(H1264)+N(I1264))</f>
        <v/>
      </c>
      <c r="Q1264" s="56" t="str">
        <f>IF(COUNTA(A1264:I1264)=0,"",IF(N(IFERROR(INDEX(art_rate,MATCH(E1264,art_ref,0)),0))&gt;0,N(IFERROR(INDEX(art_rate,MATCH(E1264,art_ref,0)),0)),N(IFERROR(INDEX(po_rate,MATCH(C1264,po_code,0)),0))))</f>
        <v/>
      </c>
      <c r="R1264" s="55" t="str">
        <f>IF(AC1264=1,P1264*60/Q1264,"")</f>
        <v/>
      </c>
      <c r="S1264" s="55" t="str">
        <f>IF(AC1264=1,N(G1264)*60/Q1264,"")</f>
        <v/>
      </c>
      <c r="T1264" s="57" t="str">
        <f>IF(AC1264=1,O1264/M1264,"")</f>
        <v/>
      </c>
      <c r="U1264" s="57" t="str">
        <f>IF(AC1264=1,IF(O1264&gt;0,R1264/O1264,""),"")</f>
        <v/>
      </c>
      <c r="V1264" s="57" t="str">
        <f>IF(AC1264=1,IF(P1264&gt;0,N(G1264)/P1264,""),"")</f>
        <v/>
      </c>
      <c r="W1264" s="57" t="str">
        <f>IF(AC1264=1,S1264/M1264,"")</f>
        <v/>
      </c>
      <c r="X1264" s="57" t="str">
        <f>IF(AC1264=1,S1264/K1264,"")</f>
        <v/>
      </c>
      <c r="Y1264" s="58" t="str">
        <f>IF(W1264="","",IF(W1264&gt;=p_target,"Bon",IF(W1264&gt;=p_alert,"À surveiller","Faible")))</f>
        <v/>
      </c>
      <c r="Z1264" s="58" t="str">
        <f>IF(W1264="","",IF(MIN(IF(T1264="",1,T1264),IF(U1264="",1,U1264),IF(V1264="",1,V1264))&gt;=1,"Aucune",IF(IF(T1264="",1,T1264)&lt;=MIN(IF(U1264="",1,U1264),IF(V1264="",1,V1264)),"Disponibilité",IF(IF(U1264="",1,U1264)&lt;=IF(V1264="",1,V1264),"Performance","Qualité"))))</f>
        <v/>
      </c>
      <c r="AA1264" s="59" t="str">
        <f>IF(AC1264=1,N(H1264)*N(IFERROR(INDEX(art_cost,MATCH(E1264,art_ref,0)),0)),"")</f>
        <v/>
      </c>
      <c r="AB1264" s="58" t="str">
        <f>IF(COUNTA(A1264:I1264)=0,"",IF(N(A1264)&lt;=0,"Date manquante ou invalide",IF(B1264="","Équipe manquante",IF(ISNA(MATCH(B1264,eq_code,0)),"Équipe inconnue",IF(INDEX(eq_check,MATCH(B1264,eq_code,0))&lt;&gt;"OK","Équipe à corriger dans Paramètres",IF(C1264="","Poste manquant",IF(ISNA(MATCH(C1264,po_code,0)),"Poste inconnu",IF(AND(E1264&lt;&gt;"",ISNA(MATCH(E1264,art_ref,0))),"Article inconnu",IF(IF(E1264="",FALSE,INDEX(art_check,MATCH(E1264,art_ref,0))&lt;&gt;"OK"),"Article à corriger (feuille Articles)",IF(COUNTIFS(sj_date,A1264,sj_eq,B1264,sj_po,C1264)&gt;1,"Ligne en double (même jour, équipe et poste)",IF(OR(NOT(ISNUMBER(K1264)),N(K1264)&lt;=0,N(K1264)&gt;1440),"Temps d'ouverture invalide",IF(OR(AND(G1264&lt;&gt;"",NOT(ISNUMBER(G1264))),N(G1264)&lt;0,N(G1264)&lt;&gt;INT(N(G1264)),AND(H1264&lt;&gt;"",NOT(ISNUMBER(H1264))),N(H1264)&lt;0,N(H1264)&lt;&gt;INT(N(H1264)),AND(I1264&lt;&gt;"",NOT(ISNUMBER(I1264))),N(I1264)&lt;0,N(I1264)&lt;&gt;INT(N(I1264))),"Quantité invalide",IF(Q1264&lt;=0,"Cadence manquante (poste ou article)",IF(M1264&lt;=0,"Arrêts planifiés supérieurs au temps d'ouverture",IF(O1264&lt;0,"Arrêts supérieurs au temps requis",IF(AND(P1264&gt;0,O1264=0),"Pièces déclarées sans temps de marche",IF(AND(P1264=0,O1264&gt;0),"Aucune pièce déclarée",IF(P1264*60/Q1264&gt;O1264+0.001,"Cadence dépassée : vérifiez la cadence","OK"))))))))))))))))))</f>
        <v/>
      </c>
      <c r="AC1264">
        <f>IF(OR(AB1264="OK",AB1264="Aucune pièce déclarée",AB1264="Cadence dépassée : vérifiez la cadence"),1,0)</f>
        <v>0.0</v>
      </c>
      <c r="AD1264">
        <f>IF(AND(AC1264=1,A1264&gt;=p_from,A1264&lt;=p_to),1,0)</f>
        <v>0.0</v>
      </c>
      <c r="AE1264">
        <f>IF(AD1264=1,IF(COUNTIFS($A$6:A1264,A1264,$AD$6:AD1264,1)=1,1,0),0)</f>
        <v>0.0</v>
      </c>
      <c r="AF1264" t="str">
        <f>IF(AE1264=1,COUNTIFS(sj_first,1,sj_date,"&lt;"&amp;A1264)+1,"")</f>
        <v/>
      </c>
      <c r="AG1264" t="str">
        <f>IF(AND(AD1264=1,N(W1264)&lt;p_alert),ROUND(W1264,4),"")</f>
        <v/>
      </c>
      <c r="AH1264" t="str">
        <f>IF(AG1264="","",COUNTIF(sj_akey,"&lt;"&amp;AG1264)+COUNTIF($AG$6:AG1264,AG1264))</f>
        <v/>
      </c>
    </row>
    <row r="1265">
      <c r="A1265" s="51" t="n"/>
      <c r="B1265" s="52" t="n"/>
      <c r="C1265" s="52" t="n"/>
      <c r="D1265" s="53" t="n"/>
      <c r="E1265" s="53" t="n"/>
      <c r="F1265" s="54" t="n"/>
      <c r="G1265" s="54" t="n"/>
      <c r="H1265" s="54" t="n"/>
      <c r="I1265" s="54" t="n"/>
      <c r="J1265" s="53" t="n"/>
      <c r="K1265" s="55" t="str">
        <f>IF(COUNTA(A1265:I1265)=0,"",IF(F1265="",IFERROR(INDEX(eq_dur,MATCH(B1265,eq_code,0)),""),F1265))</f>
        <v/>
      </c>
      <c r="L1265" s="55" t="str">
        <f>IF(ISNUMBER(K1265),N(IFERROR(INDEX(eq_pause,MATCH(B1265,eq_code,0)),0))+SUMIFS(st_min,st_date,A1265,st_eq,B1265,st_po,C1265,st_type,"Planifié"),"")</f>
        <v/>
      </c>
      <c r="M1265" s="55" t="str">
        <f>IF(ISNUMBER(K1265),K1265-L1265,"")</f>
        <v/>
      </c>
      <c r="N1265" s="55" t="str">
        <f>IF(ISNUMBER(K1265),SUMIFS(st_min,st_date,A1265,st_eq,B1265,st_po,C1265,st_type,"Non planifié"),"")</f>
        <v/>
      </c>
      <c r="O1265" s="55" t="str">
        <f>IF(ISNUMBER(K1265),M1265-N1265,"")</f>
        <v/>
      </c>
      <c r="P1265" s="55" t="str">
        <f>IF(COUNTA(A1265:I1265)=0,"",N(G1265)+N(H1265)+N(I1265))</f>
        <v/>
      </c>
      <c r="Q1265" s="56" t="str">
        <f>IF(COUNTA(A1265:I1265)=0,"",IF(N(IFERROR(INDEX(art_rate,MATCH(E1265,art_ref,0)),0))&gt;0,N(IFERROR(INDEX(art_rate,MATCH(E1265,art_ref,0)),0)),N(IFERROR(INDEX(po_rate,MATCH(C1265,po_code,0)),0))))</f>
        <v/>
      </c>
      <c r="R1265" s="55" t="str">
        <f>IF(AC1265=1,P1265*60/Q1265,"")</f>
        <v/>
      </c>
      <c r="S1265" s="55" t="str">
        <f>IF(AC1265=1,N(G1265)*60/Q1265,"")</f>
        <v/>
      </c>
      <c r="T1265" s="57" t="str">
        <f>IF(AC1265=1,O1265/M1265,"")</f>
        <v/>
      </c>
      <c r="U1265" s="57" t="str">
        <f>IF(AC1265=1,IF(O1265&gt;0,R1265/O1265,""),"")</f>
        <v/>
      </c>
      <c r="V1265" s="57" t="str">
        <f>IF(AC1265=1,IF(P1265&gt;0,N(G1265)/P1265,""),"")</f>
        <v/>
      </c>
      <c r="W1265" s="57" t="str">
        <f>IF(AC1265=1,S1265/M1265,"")</f>
        <v/>
      </c>
      <c r="X1265" s="57" t="str">
        <f>IF(AC1265=1,S1265/K1265,"")</f>
        <v/>
      </c>
      <c r="Y1265" s="58" t="str">
        <f>IF(W1265="","",IF(W1265&gt;=p_target,"Bon",IF(W1265&gt;=p_alert,"À surveiller","Faible")))</f>
        <v/>
      </c>
      <c r="Z1265" s="58" t="str">
        <f>IF(W1265="","",IF(MIN(IF(T1265="",1,T1265),IF(U1265="",1,U1265),IF(V1265="",1,V1265))&gt;=1,"Aucune",IF(IF(T1265="",1,T1265)&lt;=MIN(IF(U1265="",1,U1265),IF(V1265="",1,V1265)),"Disponibilité",IF(IF(U1265="",1,U1265)&lt;=IF(V1265="",1,V1265),"Performance","Qualité"))))</f>
        <v/>
      </c>
      <c r="AA1265" s="59" t="str">
        <f>IF(AC1265=1,N(H1265)*N(IFERROR(INDEX(art_cost,MATCH(E1265,art_ref,0)),0)),"")</f>
        <v/>
      </c>
      <c r="AB1265" s="58" t="str">
        <f>IF(COUNTA(A1265:I1265)=0,"",IF(N(A1265)&lt;=0,"Date manquante ou invalide",IF(B1265="","Équipe manquante",IF(ISNA(MATCH(B1265,eq_code,0)),"Équipe inconnue",IF(INDEX(eq_check,MATCH(B1265,eq_code,0))&lt;&gt;"OK","Équipe à corriger dans Paramètres",IF(C1265="","Poste manquant",IF(ISNA(MATCH(C1265,po_code,0)),"Poste inconnu",IF(AND(E1265&lt;&gt;"",ISNA(MATCH(E1265,art_ref,0))),"Article inconnu",IF(IF(E1265="",FALSE,INDEX(art_check,MATCH(E1265,art_ref,0))&lt;&gt;"OK"),"Article à corriger (feuille Articles)",IF(COUNTIFS(sj_date,A1265,sj_eq,B1265,sj_po,C1265)&gt;1,"Ligne en double (même jour, équipe et poste)",IF(OR(NOT(ISNUMBER(K1265)),N(K1265)&lt;=0,N(K1265)&gt;1440),"Temps d'ouverture invalide",IF(OR(AND(G1265&lt;&gt;"",NOT(ISNUMBER(G1265))),N(G1265)&lt;0,N(G1265)&lt;&gt;INT(N(G1265)),AND(H1265&lt;&gt;"",NOT(ISNUMBER(H1265))),N(H1265)&lt;0,N(H1265)&lt;&gt;INT(N(H1265)),AND(I1265&lt;&gt;"",NOT(ISNUMBER(I1265))),N(I1265)&lt;0,N(I1265)&lt;&gt;INT(N(I1265))),"Quantité invalide",IF(Q1265&lt;=0,"Cadence manquante (poste ou article)",IF(M1265&lt;=0,"Arrêts planifiés supérieurs au temps d'ouverture",IF(O1265&lt;0,"Arrêts supérieurs au temps requis",IF(AND(P1265&gt;0,O1265=0),"Pièces déclarées sans temps de marche",IF(AND(P1265=0,O1265&gt;0),"Aucune pièce déclarée",IF(P1265*60/Q1265&gt;O1265+0.001,"Cadence dépassée : vérifiez la cadence","OK"))))))))))))))))))</f>
        <v/>
      </c>
      <c r="AC1265">
        <f>IF(OR(AB1265="OK",AB1265="Aucune pièce déclarée",AB1265="Cadence dépassée : vérifiez la cadence"),1,0)</f>
        <v>0.0</v>
      </c>
      <c r="AD1265">
        <f>IF(AND(AC1265=1,A1265&gt;=p_from,A1265&lt;=p_to),1,0)</f>
        <v>0.0</v>
      </c>
      <c r="AE1265">
        <f>IF(AD1265=1,IF(COUNTIFS($A$6:A1265,A1265,$AD$6:AD1265,1)=1,1,0),0)</f>
        <v>0.0</v>
      </c>
      <c r="AF1265" t="str">
        <f>IF(AE1265=1,COUNTIFS(sj_first,1,sj_date,"&lt;"&amp;A1265)+1,"")</f>
        <v/>
      </c>
      <c r="AG1265" t="str">
        <f>IF(AND(AD1265=1,N(W1265)&lt;p_alert),ROUND(W1265,4),"")</f>
        <v/>
      </c>
      <c r="AH1265" t="str">
        <f>IF(AG1265="","",COUNTIF(sj_akey,"&lt;"&amp;AG1265)+COUNTIF($AG$6:AG1265,AG1265))</f>
        <v/>
      </c>
    </row>
    <row r="1266">
      <c r="A1266" s="51" t="n"/>
      <c r="B1266" s="52" t="n"/>
      <c r="C1266" s="52" t="n"/>
      <c r="D1266" s="53" t="n"/>
      <c r="E1266" s="53" t="n"/>
      <c r="F1266" s="54" t="n"/>
      <c r="G1266" s="54" t="n"/>
      <c r="H1266" s="54" t="n"/>
      <c r="I1266" s="54" t="n"/>
      <c r="J1266" s="53" t="n"/>
      <c r="K1266" s="55" t="str">
        <f>IF(COUNTA(A1266:I1266)=0,"",IF(F1266="",IFERROR(INDEX(eq_dur,MATCH(B1266,eq_code,0)),""),F1266))</f>
        <v/>
      </c>
      <c r="L1266" s="55" t="str">
        <f>IF(ISNUMBER(K1266),N(IFERROR(INDEX(eq_pause,MATCH(B1266,eq_code,0)),0))+SUMIFS(st_min,st_date,A1266,st_eq,B1266,st_po,C1266,st_type,"Planifié"),"")</f>
        <v/>
      </c>
      <c r="M1266" s="55" t="str">
        <f>IF(ISNUMBER(K1266),K1266-L1266,"")</f>
        <v/>
      </c>
      <c r="N1266" s="55" t="str">
        <f>IF(ISNUMBER(K1266),SUMIFS(st_min,st_date,A1266,st_eq,B1266,st_po,C1266,st_type,"Non planifié"),"")</f>
        <v/>
      </c>
      <c r="O1266" s="55" t="str">
        <f>IF(ISNUMBER(K1266),M1266-N1266,"")</f>
        <v/>
      </c>
      <c r="P1266" s="55" t="str">
        <f>IF(COUNTA(A1266:I1266)=0,"",N(G1266)+N(H1266)+N(I1266))</f>
        <v/>
      </c>
      <c r="Q1266" s="56" t="str">
        <f>IF(COUNTA(A1266:I1266)=0,"",IF(N(IFERROR(INDEX(art_rate,MATCH(E1266,art_ref,0)),0))&gt;0,N(IFERROR(INDEX(art_rate,MATCH(E1266,art_ref,0)),0)),N(IFERROR(INDEX(po_rate,MATCH(C1266,po_code,0)),0))))</f>
        <v/>
      </c>
      <c r="R1266" s="55" t="str">
        <f>IF(AC1266=1,P1266*60/Q1266,"")</f>
        <v/>
      </c>
      <c r="S1266" s="55" t="str">
        <f>IF(AC1266=1,N(G1266)*60/Q1266,"")</f>
        <v/>
      </c>
      <c r="T1266" s="57" t="str">
        <f>IF(AC1266=1,O1266/M1266,"")</f>
        <v/>
      </c>
      <c r="U1266" s="57" t="str">
        <f>IF(AC1266=1,IF(O1266&gt;0,R1266/O1266,""),"")</f>
        <v/>
      </c>
      <c r="V1266" s="57" t="str">
        <f>IF(AC1266=1,IF(P1266&gt;0,N(G1266)/P1266,""),"")</f>
        <v/>
      </c>
      <c r="W1266" s="57" t="str">
        <f>IF(AC1266=1,S1266/M1266,"")</f>
        <v/>
      </c>
      <c r="X1266" s="57" t="str">
        <f>IF(AC1266=1,S1266/K1266,"")</f>
        <v/>
      </c>
      <c r="Y1266" s="58" t="str">
        <f>IF(W1266="","",IF(W1266&gt;=p_target,"Bon",IF(W1266&gt;=p_alert,"À surveiller","Faible")))</f>
        <v/>
      </c>
      <c r="Z1266" s="58" t="str">
        <f>IF(W1266="","",IF(MIN(IF(T1266="",1,T1266),IF(U1266="",1,U1266),IF(V1266="",1,V1266))&gt;=1,"Aucune",IF(IF(T1266="",1,T1266)&lt;=MIN(IF(U1266="",1,U1266),IF(V1266="",1,V1266)),"Disponibilité",IF(IF(U1266="",1,U1266)&lt;=IF(V1266="",1,V1266),"Performance","Qualité"))))</f>
        <v/>
      </c>
      <c r="AA1266" s="59" t="str">
        <f>IF(AC1266=1,N(H1266)*N(IFERROR(INDEX(art_cost,MATCH(E1266,art_ref,0)),0)),"")</f>
        <v/>
      </c>
      <c r="AB1266" s="58" t="str">
        <f>IF(COUNTA(A1266:I1266)=0,"",IF(N(A1266)&lt;=0,"Date manquante ou invalide",IF(B1266="","Équipe manquante",IF(ISNA(MATCH(B1266,eq_code,0)),"Équipe inconnue",IF(INDEX(eq_check,MATCH(B1266,eq_code,0))&lt;&gt;"OK","Équipe à corriger dans Paramètres",IF(C1266="","Poste manquant",IF(ISNA(MATCH(C1266,po_code,0)),"Poste inconnu",IF(AND(E1266&lt;&gt;"",ISNA(MATCH(E1266,art_ref,0))),"Article inconnu",IF(IF(E1266="",FALSE,INDEX(art_check,MATCH(E1266,art_ref,0))&lt;&gt;"OK"),"Article à corriger (feuille Articles)",IF(COUNTIFS(sj_date,A1266,sj_eq,B1266,sj_po,C1266)&gt;1,"Ligne en double (même jour, équipe et poste)",IF(OR(NOT(ISNUMBER(K1266)),N(K1266)&lt;=0,N(K1266)&gt;1440),"Temps d'ouverture invalide",IF(OR(AND(G1266&lt;&gt;"",NOT(ISNUMBER(G1266))),N(G1266)&lt;0,N(G1266)&lt;&gt;INT(N(G1266)),AND(H1266&lt;&gt;"",NOT(ISNUMBER(H1266))),N(H1266)&lt;0,N(H1266)&lt;&gt;INT(N(H1266)),AND(I1266&lt;&gt;"",NOT(ISNUMBER(I1266))),N(I1266)&lt;0,N(I1266)&lt;&gt;INT(N(I1266))),"Quantité invalide",IF(Q1266&lt;=0,"Cadence manquante (poste ou article)",IF(M1266&lt;=0,"Arrêts planifiés supérieurs au temps d'ouverture",IF(O1266&lt;0,"Arrêts supérieurs au temps requis",IF(AND(P1266&gt;0,O1266=0),"Pièces déclarées sans temps de marche",IF(AND(P1266=0,O1266&gt;0),"Aucune pièce déclarée",IF(P1266*60/Q1266&gt;O1266+0.001,"Cadence dépassée : vérifiez la cadence","OK"))))))))))))))))))</f>
        <v/>
      </c>
      <c r="AC1266">
        <f>IF(OR(AB1266="OK",AB1266="Aucune pièce déclarée",AB1266="Cadence dépassée : vérifiez la cadence"),1,0)</f>
        <v>0.0</v>
      </c>
      <c r="AD1266">
        <f>IF(AND(AC1266=1,A1266&gt;=p_from,A1266&lt;=p_to),1,0)</f>
        <v>0.0</v>
      </c>
      <c r="AE1266">
        <f>IF(AD1266=1,IF(COUNTIFS($A$6:A1266,A1266,$AD$6:AD1266,1)=1,1,0),0)</f>
        <v>0.0</v>
      </c>
      <c r="AF1266" t="str">
        <f>IF(AE1266=1,COUNTIFS(sj_first,1,sj_date,"&lt;"&amp;A1266)+1,"")</f>
        <v/>
      </c>
      <c r="AG1266" t="str">
        <f>IF(AND(AD1266=1,N(W1266)&lt;p_alert),ROUND(W1266,4),"")</f>
        <v/>
      </c>
      <c r="AH1266" t="str">
        <f>IF(AG1266="","",COUNTIF(sj_akey,"&lt;"&amp;AG1266)+COUNTIF($AG$6:AG1266,AG1266))</f>
        <v/>
      </c>
    </row>
    <row r="1267">
      <c r="A1267" s="51" t="n"/>
      <c r="B1267" s="52" t="n"/>
      <c r="C1267" s="52" t="n"/>
      <c r="D1267" s="53" t="n"/>
      <c r="E1267" s="53" t="n"/>
      <c r="F1267" s="54" t="n"/>
      <c r="G1267" s="54" t="n"/>
      <c r="H1267" s="54" t="n"/>
      <c r="I1267" s="54" t="n"/>
      <c r="J1267" s="53" t="n"/>
      <c r="K1267" s="55" t="str">
        <f>IF(COUNTA(A1267:I1267)=0,"",IF(F1267="",IFERROR(INDEX(eq_dur,MATCH(B1267,eq_code,0)),""),F1267))</f>
        <v/>
      </c>
      <c r="L1267" s="55" t="str">
        <f>IF(ISNUMBER(K1267),N(IFERROR(INDEX(eq_pause,MATCH(B1267,eq_code,0)),0))+SUMIFS(st_min,st_date,A1267,st_eq,B1267,st_po,C1267,st_type,"Planifié"),"")</f>
        <v/>
      </c>
      <c r="M1267" s="55" t="str">
        <f>IF(ISNUMBER(K1267),K1267-L1267,"")</f>
        <v/>
      </c>
      <c r="N1267" s="55" t="str">
        <f>IF(ISNUMBER(K1267),SUMIFS(st_min,st_date,A1267,st_eq,B1267,st_po,C1267,st_type,"Non planifié"),"")</f>
        <v/>
      </c>
      <c r="O1267" s="55" t="str">
        <f>IF(ISNUMBER(K1267),M1267-N1267,"")</f>
        <v/>
      </c>
      <c r="P1267" s="55" t="str">
        <f>IF(COUNTA(A1267:I1267)=0,"",N(G1267)+N(H1267)+N(I1267))</f>
        <v/>
      </c>
      <c r="Q1267" s="56" t="str">
        <f>IF(COUNTA(A1267:I1267)=0,"",IF(N(IFERROR(INDEX(art_rate,MATCH(E1267,art_ref,0)),0))&gt;0,N(IFERROR(INDEX(art_rate,MATCH(E1267,art_ref,0)),0)),N(IFERROR(INDEX(po_rate,MATCH(C1267,po_code,0)),0))))</f>
        <v/>
      </c>
      <c r="R1267" s="55" t="str">
        <f>IF(AC1267=1,P1267*60/Q1267,"")</f>
        <v/>
      </c>
      <c r="S1267" s="55" t="str">
        <f>IF(AC1267=1,N(G1267)*60/Q1267,"")</f>
        <v/>
      </c>
      <c r="T1267" s="57" t="str">
        <f>IF(AC1267=1,O1267/M1267,"")</f>
        <v/>
      </c>
      <c r="U1267" s="57" t="str">
        <f>IF(AC1267=1,IF(O1267&gt;0,R1267/O1267,""),"")</f>
        <v/>
      </c>
      <c r="V1267" s="57" t="str">
        <f>IF(AC1267=1,IF(P1267&gt;0,N(G1267)/P1267,""),"")</f>
        <v/>
      </c>
      <c r="W1267" s="57" t="str">
        <f>IF(AC1267=1,S1267/M1267,"")</f>
        <v/>
      </c>
      <c r="X1267" s="57" t="str">
        <f>IF(AC1267=1,S1267/K1267,"")</f>
        <v/>
      </c>
      <c r="Y1267" s="58" t="str">
        <f>IF(W1267="","",IF(W1267&gt;=p_target,"Bon",IF(W1267&gt;=p_alert,"À surveiller","Faible")))</f>
        <v/>
      </c>
      <c r="Z1267" s="58" t="str">
        <f>IF(W1267="","",IF(MIN(IF(T1267="",1,T1267),IF(U1267="",1,U1267),IF(V1267="",1,V1267))&gt;=1,"Aucune",IF(IF(T1267="",1,T1267)&lt;=MIN(IF(U1267="",1,U1267),IF(V1267="",1,V1267)),"Disponibilité",IF(IF(U1267="",1,U1267)&lt;=IF(V1267="",1,V1267),"Performance","Qualité"))))</f>
        <v/>
      </c>
      <c r="AA1267" s="59" t="str">
        <f>IF(AC1267=1,N(H1267)*N(IFERROR(INDEX(art_cost,MATCH(E1267,art_ref,0)),0)),"")</f>
        <v/>
      </c>
      <c r="AB1267" s="58" t="str">
        <f>IF(COUNTA(A1267:I1267)=0,"",IF(N(A1267)&lt;=0,"Date manquante ou invalide",IF(B1267="","Équipe manquante",IF(ISNA(MATCH(B1267,eq_code,0)),"Équipe inconnue",IF(INDEX(eq_check,MATCH(B1267,eq_code,0))&lt;&gt;"OK","Équipe à corriger dans Paramètres",IF(C1267="","Poste manquant",IF(ISNA(MATCH(C1267,po_code,0)),"Poste inconnu",IF(AND(E1267&lt;&gt;"",ISNA(MATCH(E1267,art_ref,0))),"Article inconnu",IF(IF(E1267="",FALSE,INDEX(art_check,MATCH(E1267,art_ref,0))&lt;&gt;"OK"),"Article à corriger (feuille Articles)",IF(COUNTIFS(sj_date,A1267,sj_eq,B1267,sj_po,C1267)&gt;1,"Ligne en double (même jour, équipe et poste)",IF(OR(NOT(ISNUMBER(K1267)),N(K1267)&lt;=0,N(K1267)&gt;1440),"Temps d'ouverture invalide",IF(OR(AND(G1267&lt;&gt;"",NOT(ISNUMBER(G1267))),N(G1267)&lt;0,N(G1267)&lt;&gt;INT(N(G1267)),AND(H1267&lt;&gt;"",NOT(ISNUMBER(H1267))),N(H1267)&lt;0,N(H1267)&lt;&gt;INT(N(H1267)),AND(I1267&lt;&gt;"",NOT(ISNUMBER(I1267))),N(I1267)&lt;0,N(I1267)&lt;&gt;INT(N(I1267))),"Quantité invalide",IF(Q1267&lt;=0,"Cadence manquante (poste ou article)",IF(M1267&lt;=0,"Arrêts planifiés supérieurs au temps d'ouverture",IF(O1267&lt;0,"Arrêts supérieurs au temps requis",IF(AND(P1267&gt;0,O1267=0),"Pièces déclarées sans temps de marche",IF(AND(P1267=0,O1267&gt;0),"Aucune pièce déclarée",IF(P1267*60/Q1267&gt;O1267+0.001,"Cadence dépassée : vérifiez la cadence","OK"))))))))))))))))))</f>
        <v/>
      </c>
      <c r="AC1267">
        <f>IF(OR(AB1267="OK",AB1267="Aucune pièce déclarée",AB1267="Cadence dépassée : vérifiez la cadence"),1,0)</f>
        <v>0.0</v>
      </c>
      <c r="AD1267">
        <f>IF(AND(AC1267=1,A1267&gt;=p_from,A1267&lt;=p_to),1,0)</f>
        <v>0.0</v>
      </c>
      <c r="AE1267">
        <f>IF(AD1267=1,IF(COUNTIFS($A$6:A1267,A1267,$AD$6:AD1267,1)=1,1,0),0)</f>
        <v>0.0</v>
      </c>
      <c r="AF1267" t="str">
        <f>IF(AE1267=1,COUNTIFS(sj_first,1,sj_date,"&lt;"&amp;A1267)+1,"")</f>
        <v/>
      </c>
      <c r="AG1267" t="str">
        <f>IF(AND(AD1267=1,N(W1267)&lt;p_alert),ROUND(W1267,4),"")</f>
        <v/>
      </c>
      <c r="AH1267" t="str">
        <f>IF(AG1267="","",COUNTIF(sj_akey,"&lt;"&amp;AG1267)+COUNTIF($AG$6:AG1267,AG1267))</f>
        <v/>
      </c>
    </row>
    <row r="1268">
      <c r="A1268" s="51" t="n"/>
      <c r="B1268" s="52" t="n"/>
      <c r="C1268" s="52" t="n"/>
      <c r="D1268" s="53" t="n"/>
      <c r="E1268" s="53" t="n"/>
      <c r="F1268" s="54" t="n"/>
      <c r="G1268" s="54" t="n"/>
      <c r="H1268" s="54" t="n"/>
      <c r="I1268" s="54" t="n"/>
      <c r="J1268" s="53" t="n"/>
      <c r="K1268" s="55" t="str">
        <f>IF(COUNTA(A1268:I1268)=0,"",IF(F1268="",IFERROR(INDEX(eq_dur,MATCH(B1268,eq_code,0)),""),F1268))</f>
        <v/>
      </c>
      <c r="L1268" s="55" t="str">
        <f>IF(ISNUMBER(K1268),N(IFERROR(INDEX(eq_pause,MATCH(B1268,eq_code,0)),0))+SUMIFS(st_min,st_date,A1268,st_eq,B1268,st_po,C1268,st_type,"Planifié"),"")</f>
        <v/>
      </c>
      <c r="M1268" s="55" t="str">
        <f>IF(ISNUMBER(K1268),K1268-L1268,"")</f>
        <v/>
      </c>
      <c r="N1268" s="55" t="str">
        <f>IF(ISNUMBER(K1268),SUMIFS(st_min,st_date,A1268,st_eq,B1268,st_po,C1268,st_type,"Non planifié"),"")</f>
        <v/>
      </c>
      <c r="O1268" s="55" t="str">
        <f>IF(ISNUMBER(K1268),M1268-N1268,"")</f>
        <v/>
      </c>
      <c r="P1268" s="55" t="str">
        <f>IF(COUNTA(A1268:I1268)=0,"",N(G1268)+N(H1268)+N(I1268))</f>
        <v/>
      </c>
      <c r="Q1268" s="56" t="str">
        <f>IF(COUNTA(A1268:I1268)=0,"",IF(N(IFERROR(INDEX(art_rate,MATCH(E1268,art_ref,0)),0))&gt;0,N(IFERROR(INDEX(art_rate,MATCH(E1268,art_ref,0)),0)),N(IFERROR(INDEX(po_rate,MATCH(C1268,po_code,0)),0))))</f>
        <v/>
      </c>
      <c r="R1268" s="55" t="str">
        <f>IF(AC1268=1,P1268*60/Q1268,"")</f>
        <v/>
      </c>
      <c r="S1268" s="55" t="str">
        <f>IF(AC1268=1,N(G1268)*60/Q1268,"")</f>
        <v/>
      </c>
      <c r="T1268" s="57" t="str">
        <f>IF(AC1268=1,O1268/M1268,"")</f>
        <v/>
      </c>
      <c r="U1268" s="57" t="str">
        <f>IF(AC1268=1,IF(O1268&gt;0,R1268/O1268,""),"")</f>
        <v/>
      </c>
      <c r="V1268" s="57" t="str">
        <f>IF(AC1268=1,IF(P1268&gt;0,N(G1268)/P1268,""),"")</f>
        <v/>
      </c>
      <c r="W1268" s="57" t="str">
        <f>IF(AC1268=1,S1268/M1268,"")</f>
        <v/>
      </c>
      <c r="X1268" s="57" t="str">
        <f>IF(AC1268=1,S1268/K1268,"")</f>
        <v/>
      </c>
      <c r="Y1268" s="58" t="str">
        <f>IF(W1268="","",IF(W1268&gt;=p_target,"Bon",IF(W1268&gt;=p_alert,"À surveiller","Faible")))</f>
        <v/>
      </c>
      <c r="Z1268" s="58" t="str">
        <f>IF(W1268="","",IF(MIN(IF(T1268="",1,T1268),IF(U1268="",1,U1268),IF(V1268="",1,V1268))&gt;=1,"Aucune",IF(IF(T1268="",1,T1268)&lt;=MIN(IF(U1268="",1,U1268),IF(V1268="",1,V1268)),"Disponibilité",IF(IF(U1268="",1,U1268)&lt;=IF(V1268="",1,V1268),"Performance","Qualité"))))</f>
        <v/>
      </c>
      <c r="AA1268" s="59" t="str">
        <f>IF(AC1268=1,N(H1268)*N(IFERROR(INDEX(art_cost,MATCH(E1268,art_ref,0)),0)),"")</f>
        <v/>
      </c>
      <c r="AB1268" s="58" t="str">
        <f>IF(COUNTA(A1268:I1268)=0,"",IF(N(A1268)&lt;=0,"Date manquante ou invalide",IF(B1268="","Équipe manquante",IF(ISNA(MATCH(B1268,eq_code,0)),"Équipe inconnue",IF(INDEX(eq_check,MATCH(B1268,eq_code,0))&lt;&gt;"OK","Équipe à corriger dans Paramètres",IF(C1268="","Poste manquant",IF(ISNA(MATCH(C1268,po_code,0)),"Poste inconnu",IF(AND(E1268&lt;&gt;"",ISNA(MATCH(E1268,art_ref,0))),"Article inconnu",IF(IF(E1268="",FALSE,INDEX(art_check,MATCH(E1268,art_ref,0))&lt;&gt;"OK"),"Article à corriger (feuille Articles)",IF(COUNTIFS(sj_date,A1268,sj_eq,B1268,sj_po,C1268)&gt;1,"Ligne en double (même jour, équipe et poste)",IF(OR(NOT(ISNUMBER(K1268)),N(K1268)&lt;=0,N(K1268)&gt;1440),"Temps d'ouverture invalide",IF(OR(AND(G1268&lt;&gt;"",NOT(ISNUMBER(G1268))),N(G1268)&lt;0,N(G1268)&lt;&gt;INT(N(G1268)),AND(H1268&lt;&gt;"",NOT(ISNUMBER(H1268))),N(H1268)&lt;0,N(H1268)&lt;&gt;INT(N(H1268)),AND(I1268&lt;&gt;"",NOT(ISNUMBER(I1268))),N(I1268)&lt;0,N(I1268)&lt;&gt;INT(N(I1268))),"Quantité invalide",IF(Q1268&lt;=0,"Cadence manquante (poste ou article)",IF(M1268&lt;=0,"Arrêts planifiés supérieurs au temps d'ouverture",IF(O1268&lt;0,"Arrêts supérieurs au temps requis",IF(AND(P1268&gt;0,O1268=0),"Pièces déclarées sans temps de marche",IF(AND(P1268=0,O1268&gt;0),"Aucune pièce déclarée",IF(P1268*60/Q1268&gt;O1268+0.001,"Cadence dépassée : vérifiez la cadence","OK"))))))))))))))))))</f>
        <v/>
      </c>
      <c r="AC1268">
        <f>IF(OR(AB1268="OK",AB1268="Aucune pièce déclarée",AB1268="Cadence dépassée : vérifiez la cadence"),1,0)</f>
        <v>0.0</v>
      </c>
      <c r="AD1268">
        <f>IF(AND(AC1268=1,A1268&gt;=p_from,A1268&lt;=p_to),1,0)</f>
        <v>0.0</v>
      </c>
      <c r="AE1268">
        <f>IF(AD1268=1,IF(COUNTIFS($A$6:A1268,A1268,$AD$6:AD1268,1)=1,1,0),0)</f>
        <v>0.0</v>
      </c>
      <c r="AF1268" t="str">
        <f>IF(AE1268=1,COUNTIFS(sj_first,1,sj_date,"&lt;"&amp;A1268)+1,"")</f>
        <v/>
      </c>
      <c r="AG1268" t="str">
        <f>IF(AND(AD1268=1,N(W1268)&lt;p_alert),ROUND(W1268,4),"")</f>
        <v/>
      </c>
      <c r="AH1268" t="str">
        <f>IF(AG1268="","",COUNTIF(sj_akey,"&lt;"&amp;AG1268)+COUNTIF($AG$6:AG1268,AG1268))</f>
        <v/>
      </c>
    </row>
    <row r="1269">
      <c r="A1269" s="51" t="n"/>
      <c r="B1269" s="52" t="n"/>
      <c r="C1269" s="52" t="n"/>
      <c r="D1269" s="53" t="n"/>
      <c r="E1269" s="53" t="n"/>
      <c r="F1269" s="54" t="n"/>
      <c r="G1269" s="54" t="n"/>
      <c r="H1269" s="54" t="n"/>
      <c r="I1269" s="54" t="n"/>
      <c r="J1269" s="53" t="n"/>
      <c r="K1269" s="55" t="str">
        <f>IF(COUNTA(A1269:I1269)=0,"",IF(F1269="",IFERROR(INDEX(eq_dur,MATCH(B1269,eq_code,0)),""),F1269))</f>
        <v/>
      </c>
      <c r="L1269" s="55" t="str">
        <f>IF(ISNUMBER(K1269),N(IFERROR(INDEX(eq_pause,MATCH(B1269,eq_code,0)),0))+SUMIFS(st_min,st_date,A1269,st_eq,B1269,st_po,C1269,st_type,"Planifié"),"")</f>
        <v/>
      </c>
      <c r="M1269" s="55" t="str">
        <f>IF(ISNUMBER(K1269),K1269-L1269,"")</f>
        <v/>
      </c>
      <c r="N1269" s="55" t="str">
        <f>IF(ISNUMBER(K1269),SUMIFS(st_min,st_date,A1269,st_eq,B1269,st_po,C1269,st_type,"Non planifié"),"")</f>
        <v/>
      </c>
      <c r="O1269" s="55" t="str">
        <f>IF(ISNUMBER(K1269),M1269-N1269,"")</f>
        <v/>
      </c>
      <c r="P1269" s="55" t="str">
        <f>IF(COUNTA(A1269:I1269)=0,"",N(G1269)+N(H1269)+N(I1269))</f>
        <v/>
      </c>
      <c r="Q1269" s="56" t="str">
        <f>IF(COUNTA(A1269:I1269)=0,"",IF(N(IFERROR(INDEX(art_rate,MATCH(E1269,art_ref,0)),0))&gt;0,N(IFERROR(INDEX(art_rate,MATCH(E1269,art_ref,0)),0)),N(IFERROR(INDEX(po_rate,MATCH(C1269,po_code,0)),0))))</f>
        <v/>
      </c>
      <c r="R1269" s="55" t="str">
        <f>IF(AC1269=1,P1269*60/Q1269,"")</f>
        <v/>
      </c>
      <c r="S1269" s="55" t="str">
        <f>IF(AC1269=1,N(G1269)*60/Q1269,"")</f>
        <v/>
      </c>
      <c r="T1269" s="57" t="str">
        <f>IF(AC1269=1,O1269/M1269,"")</f>
        <v/>
      </c>
      <c r="U1269" s="57" t="str">
        <f>IF(AC1269=1,IF(O1269&gt;0,R1269/O1269,""),"")</f>
        <v/>
      </c>
      <c r="V1269" s="57" t="str">
        <f>IF(AC1269=1,IF(P1269&gt;0,N(G1269)/P1269,""),"")</f>
        <v/>
      </c>
      <c r="W1269" s="57" t="str">
        <f>IF(AC1269=1,S1269/M1269,"")</f>
        <v/>
      </c>
      <c r="X1269" s="57" t="str">
        <f>IF(AC1269=1,S1269/K1269,"")</f>
        <v/>
      </c>
      <c r="Y1269" s="58" t="str">
        <f>IF(W1269="","",IF(W1269&gt;=p_target,"Bon",IF(W1269&gt;=p_alert,"À surveiller","Faible")))</f>
        <v/>
      </c>
      <c r="Z1269" s="58" t="str">
        <f>IF(W1269="","",IF(MIN(IF(T1269="",1,T1269),IF(U1269="",1,U1269),IF(V1269="",1,V1269))&gt;=1,"Aucune",IF(IF(T1269="",1,T1269)&lt;=MIN(IF(U1269="",1,U1269),IF(V1269="",1,V1269)),"Disponibilité",IF(IF(U1269="",1,U1269)&lt;=IF(V1269="",1,V1269),"Performance","Qualité"))))</f>
        <v/>
      </c>
      <c r="AA1269" s="59" t="str">
        <f>IF(AC1269=1,N(H1269)*N(IFERROR(INDEX(art_cost,MATCH(E1269,art_ref,0)),0)),"")</f>
        <v/>
      </c>
      <c r="AB1269" s="58" t="str">
        <f>IF(COUNTA(A1269:I1269)=0,"",IF(N(A1269)&lt;=0,"Date manquante ou invalide",IF(B1269="","Équipe manquante",IF(ISNA(MATCH(B1269,eq_code,0)),"Équipe inconnue",IF(INDEX(eq_check,MATCH(B1269,eq_code,0))&lt;&gt;"OK","Équipe à corriger dans Paramètres",IF(C1269="","Poste manquant",IF(ISNA(MATCH(C1269,po_code,0)),"Poste inconnu",IF(AND(E1269&lt;&gt;"",ISNA(MATCH(E1269,art_ref,0))),"Article inconnu",IF(IF(E1269="",FALSE,INDEX(art_check,MATCH(E1269,art_ref,0))&lt;&gt;"OK"),"Article à corriger (feuille Articles)",IF(COUNTIFS(sj_date,A1269,sj_eq,B1269,sj_po,C1269)&gt;1,"Ligne en double (même jour, équipe et poste)",IF(OR(NOT(ISNUMBER(K1269)),N(K1269)&lt;=0,N(K1269)&gt;1440),"Temps d'ouverture invalide",IF(OR(AND(G1269&lt;&gt;"",NOT(ISNUMBER(G1269))),N(G1269)&lt;0,N(G1269)&lt;&gt;INT(N(G1269)),AND(H1269&lt;&gt;"",NOT(ISNUMBER(H1269))),N(H1269)&lt;0,N(H1269)&lt;&gt;INT(N(H1269)),AND(I1269&lt;&gt;"",NOT(ISNUMBER(I1269))),N(I1269)&lt;0,N(I1269)&lt;&gt;INT(N(I1269))),"Quantité invalide",IF(Q1269&lt;=0,"Cadence manquante (poste ou article)",IF(M1269&lt;=0,"Arrêts planifiés supérieurs au temps d'ouverture",IF(O1269&lt;0,"Arrêts supérieurs au temps requis",IF(AND(P1269&gt;0,O1269=0),"Pièces déclarées sans temps de marche",IF(AND(P1269=0,O1269&gt;0),"Aucune pièce déclarée",IF(P1269*60/Q1269&gt;O1269+0.001,"Cadence dépassée : vérifiez la cadence","OK"))))))))))))))))))</f>
        <v/>
      </c>
      <c r="AC1269">
        <f>IF(OR(AB1269="OK",AB1269="Aucune pièce déclarée",AB1269="Cadence dépassée : vérifiez la cadence"),1,0)</f>
        <v>0.0</v>
      </c>
      <c r="AD1269">
        <f>IF(AND(AC1269=1,A1269&gt;=p_from,A1269&lt;=p_to),1,0)</f>
        <v>0.0</v>
      </c>
      <c r="AE1269">
        <f>IF(AD1269=1,IF(COUNTIFS($A$6:A1269,A1269,$AD$6:AD1269,1)=1,1,0),0)</f>
        <v>0.0</v>
      </c>
      <c r="AF1269" t="str">
        <f>IF(AE1269=1,COUNTIFS(sj_first,1,sj_date,"&lt;"&amp;A1269)+1,"")</f>
        <v/>
      </c>
      <c r="AG1269" t="str">
        <f>IF(AND(AD1269=1,N(W1269)&lt;p_alert),ROUND(W1269,4),"")</f>
        <v/>
      </c>
      <c r="AH1269" t="str">
        <f>IF(AG1269="","",COUNTIF(sj_akey,"&lt;"&amp;AG1269)+COUNTIF($AG$6:AG1269,AG1269))</f>
        <v/>
      </c>
    </row>
    <row r="1270">
      <c r="A1270" s="51" t="n"/>
      <c r="B1270" s="52" t="n"/>
      <c r="C1270" s="52" t="n"/>
      <c r="D1270" s="53" t="n"/>
      <c r="E1270" s="53" t="n"/>
      <c r="F1270" s="54" t="n"/>
      <c r="G1270" s="54" t="n"/>
      <c r="H1270" s="54" t="n"/>
      <c r="I1270" s="54" t="n"/>
      <c r="J1270" s="53" t="n"/>
      <c r="K1270" s="55" t="str">
        <f>IF(COUNTA(A1270:I1270)=0,"",IF(F1270="",IFERROR(INDEX(eq_dur,MATCH(B1270,eq_code,0)),""),F1270))</f>
        <v/>
      </c>
      <c r="L1270" s="55" t="str">
        <f>IF(ISNUMBER(K1270),N(IFERROR(INDEX(eq_pause,MATCH(B1270,eq_code,0)),0))+SUMIFS(st_min,st_date,A1270,st_eq,B1270,st_po,C1270,st_type,"Planifié"),"")</f>
        <v/>
      </c>
      <c r="M1270" s="55" t="str">
        <f>IF(ISNUMBER(K1270),K1270-L1270,"")</f>
        <v/>
      </c>
      <c r="N1270" s="55" t="str">
        <f>IF(ISNUMBER(K1270),SUMIFS(st_min,st_date,A1270,st_eq,B1270,st_po,C1270,st_type,"Non planifié"),"")</f>
        <v/>
      </c>
      <c r="O1270" s="55" t="str">
        <f>IF(ISNUMBER(K1270),M1270-N1270,"")</f>
        <v/>
      </c>
      <c r="P1270" s="55" t="str">
        <f>IF(COUNTA(A1270:I1270)=0,"",N(G1270)+N(H1270)+N(I1270))</f>
        <v/>
      </c>
      <c r="Q1270" s="56" t="str">
        <f>IF(COUNTA(A1270:I1270)=0,"",IF(N(IFERROR(INDEX(art_rate,MATCH(E1270,art_ref,0)),0))&gt;0,N(IFERROR(INDEX(art_rate,MATCH(E1270,art_ref,0)),0)),N(IFERROR(INDEX(po_rate,MATCH(C1270,po_code,0)),0))))</f>
        <v/>
      </c>
      <c r="R1270" s="55" t="str">
        <f>IF(AC1270=1,P1270*60/Q1270,"")</f>
        <v/>
      </c>
      <c r="S1270" s="55" t="str">
        <f>IF(AC1270=1,N(G1270)*60/Q1270,"")</f>
        <v/>
      </c>
      <c r="T1270" s="57" t="str">
        <f>IF(AC1270=1,O1270/M1270,"")</f>
        <v/>
      </c>
      <c r="U1270" s="57" t="str">
        <f>IF(AC1270=1,IF(O1270&gt;0,R1270/O1270,""),"")</f>
        <v/>
      </c>
      <c r="V1270" s="57" t="str">
        <f>IF(AC1270=1,IF(P1270&gt;0,N(G1270)/P1270,""),"")</f>
        <v/>
      </c>
      <c r="W1270" s="57" t="str">
        <f>IF(AC1270=1,S1270/M1270,"")</f>
        <v/>
      </c>
      <c r="X1270" s="57" t="str">
        <f>IF(AC1270=1,S1270/K1270,"")</f>
        <v/>
      </c>
      <c r="Y1270" s="58" t="str">
        <f>IF(W1270="","",IF(W1270&gt;=p_target,"Bon",IF(W1270&gt;=p_alert,"À surveiller","Faible")))</f>
        <v/>
      </c>
      <c r="Z1270" s="58" t="str">
        <f>IF(W1270="","",IF(MIN(IF(T1270="",1,T1270),IF(U1270="",1,U1270),IF(V1270="",1,V1270))&gt;=1,"Aucune",IF(IF(T1270="",1,T1270)&lt;=MIN(IF(U1270="",1,U1270),IF(V1270="",1,V1270)),"Disponibilité",IF(IF(U1270="",1,U1270)&lt;=IF(V1270="",1,V1270),"Performance","Qualité"))))</f>
        <v/>
      </c>
      <c r="AA1270" s="59" t="str">
        <f>IF(AC1270=1,N(H1270)*N(IFERROR(INDEX(art_cost,MATCH(E1270,art_ref,0)),0)),"")</f>
        <v/>
      </c>
      <c r="AB1270" s="58" t="str">
        <f>IF(COUNTA(A1270:I1270)=0,"",IF(N(A1270)&lt;=0,"Date manquante ou invalide",IF(B1270="","Équipe manquante",IF(ISNA(MATCH(B1270,eq_code,0)),"Équipe inconnue",IF(INDEX(eq_check,MATCH(B1270,eq_code,0))&lt;&gt;"OK","Équipe à corriger dans Paramètres",IF(C1270="","Poste manquant",IF(ISNA(MATCH(C1270,po_code,0)),"Poste inconnu",IF(AND(E1270&lt;&gt;"",ISNA(MATCH(E1270,art_ref,0))),"Article inconnu",IF(IF(E1270="",FALSE,INDEX(art_check,MATCH(E1270,art_ref,0))&lt;&gt;"OK"),"Article à corriger (feuille Articles)",IF(COUNTIFS(sj_date,A1270,sj_eq,B1270,sj_po,C1270)&gt;1,"Ligne en double (même jour, équipe et poste)",IF(OR(NOT(ISNUMBER(K1270)),N(K1270)&lt;=0,N(K1270)&gt;1440),"Temps d'ouverture invalide",IF(OR(AND(G1270&lt;&gt;"",NOT(ISNUMBER(G1270))),N(G1270)&lt;0,N(G1270)&lt;&gt;INT(N(G1270)),AND(H1270&lt;&gt;"",NOT(ISNUMBER(H1270))),N(H1270)&lt;0,N(H1270)&lt;&gt;INT(N(H1270)),AND(I1270&lt;&gt;"",NOT(ISNUMBER(I1270))),N(I1270)&lt;0,N(I1270)&lt;&gt;INT(N(I1270))),"Quantité invalide",IF(Q1270&lt;=0,"Cadence manquante (poste ou article)",IF(M1270&lt;=0,"Arrêts planifiés supérieurs au temps d'ouverture",IF(O1270&lt;0,"Arrêts supérieurs au temps requis",IF(AND(P1270&gt;0,O1270=0),"Pièces déclarées sans temps de marche",IF(AND(P1270=0,O1270&gt;0),"Aucune pièce déclarée",IF(P1270*60/Q1270&gt;O1270+0.001,"Cadence dépassée : vérifiez la cadence","OK"))))))))))))))))))</f>
        <v/>
      </c>
      <c r="AC1270">
        <f>IF(OR(AB1270="OK",AB1270="Aucune pièce déclarée",AB1270="Cadence dépassée : vérifiez la cadence"),1,0)</f>
        <v>0.0</v>
      </c>
      <c r="AD1270">
        <f>IF(AND(AC1270=1,A1270&gt;=p_from,A1270&lt;=p_to),1,0)</f>
        <v>0.0</v>
      </c>
      <c r="AE1270">
        <f>IF(AD1270=1,IF(COUNTIFS($A$6:A1270,A1270,$AD$6:AD1270,1)=1,1,0),0)</f>
        <v>0.0</v>
      </c>
      <c r="AF1270" t="str">
        <f>IF(AE1270=1,COUNTIFS(sj_first,1,sj_date,"&lt;"&amp;A1270)+1,"")</f>
        <v/>
      </c>
      <c r="AG1270" t="str">
        <f>IF(AND(AD1270=1,N(W1270)&lt;p_alert),ROUND(W1270,4),"")</f>
        <v/>
      </c>
      <c r="AH1270" t="str">
        <f>IF(AG1270="","",COUNTIF(sj_akey,"&lt;"&amp;AG1270)+COUNTIF($AG$6:AG1270,AG1270))</f>
        <v/>
      </c>
    </row>
    <row r="1271">
      <c r="A1271" s="51" t="n"/>
      <c r="B1271" s="52" t="n"/>
      <c r="C1271" s="52" t="n"/>
      <c r="D1271" s="53" t="n"/>
      <c r="E1271" s="53" t="n"/>
      <c r="F1271" s="54" t="n"/>
      <c r="G1271" s="54" t="n"/>
      <c r="H1271" s="54" t="n"/>
      <c r="I1271" s="54" t="n"/>
      <c r="J1271" s="53" t="n"/>
      <c r="K1271" s="55" t="str">
        <f>IF(COUNTA(A1271:I1271)=0,"",IF(F1271="",IFERROR(INDEX(eq_dur,MATCH(B1271,eq_code,0)),""),F1271))</f>
        <v/>
      </c>
      <c r="L1271" s="55" t="str">
        <f>IF(ISNUMBER(K1271),N(IFERROR(INDEX(eq_pause,MATCH(B1271,eq_code,0)),0))+SUMIFS(st_min,st_date,A1271,st_eq,B1271,st_po,C1271,st_type,"Planifié"),"")</f>
        <v/>
      </c>
      <c r="M1271" s="55" t="str">
        <f>IF(ISNUMBER(K1271),K1271-L1271,"")</f>
        <v/>
      </c>
      <c r="N1271" s="55" t="str">
        <f>IF(ISNUMBER(K1271),SUMIFS(st_min,st_date,A1271,st_eq,B1271,st_po,C1271,st_type,"Non planifié"),"")</f>
        <v/>
      </c>
      <c r="O1271" s="55" t="str">
        <f>IF(ISNUMBER(K1271),M1271-N1271,"")</f>
        <v/>
      </c>
      <c r="P1271" s="55" t="str">
        <f>IF(COUNTA(A1271:I1271)=0,"",N(G1271)+N(H1271)+N(I1271))</f>
        <v/>
      </c>
      <c r="Q1271" s="56" t="str">
        <f>IF(COUNTA(A1271:I1271)=0,"",IF(N(IFERROR(INDEX(art_rate,MATCH(E1271,art_ref,0)),0))&gt;0,N(IFERROR(INDEX(art_rate,MATCH(E1271,art_ref,0)),0)),N(IFERROR(INDEX(po_rate,MATCH(C1271,po_code,0)),0))))</f>
        <v/>
      </c>
      <c r="R1271" s="55" t="str">
        <f>IF(AC1271=1,P1271*60/Q1271,"")</f>
        <v/>
      </c>
      <c r="S1271" s="55" t="str">
        <f>IF(AC1271=1,N(G1271)*60/Q1271,"")</f>
        <v/>
      </c>
      <c r="T1271" s="57" t="str">
        <f>IF(AC1271=1,O1271/M1271,"")</f>
        <v/>
      </c>
      <c r="U1271" s="57" t="str">
        <f>IF(AC1271=1,IF(O1271&gt;0,R1271/O1271,""),"")</f>
        <v/>
      </c>
      <c r="V1271" s="57" t="str">
        <f>IF(AC1271=1,IF(P1271&gt;0,N(G1271)/P1271,""),"")</f>
        <v/>
      </c>
      <c r="W1271" s="57" t="str">
        <f>IF(AC1271=1,S1271/M1271,"")</f>
        <v/>
      </c>
      <c r="X1271" s="57" t="str">
        <f>IF(AC1271=1,S1271/K1271,"")</f>
        <v/>
      </c>
      <c r="Y1271" s="58" t="str">
        <f>IF(W1271="","",IF(W1271&gt;=p_target,"Bon",IF(W1271&gt;=p_alert,"À surveiller","Faible")))</f>
        <v/>
      </c>
      <c r="Z1271" s="58" t="str">
        <f>IF(W1271="","",IF(MIN(IF(T1271="",1,T1271),IF(U1271="",1,U1271),IF(V1271="",1,V1271))&gt;=1,"Aucune",IF(IF(T1271="",1,T1271)&lt;=MIN(IF(U1271="",1,U1271),IF(V1271="",1,V1271)),"Disponibilité",IF(IF(U1271="",1,U1271)&lt;=IF(V1271="",1,V1271),"Performance","Qualité"))))</f>
        <v/>
      </c>
      <c r="AA1271" s="59" t="str">
        <f>IF(AC1271=1,N(H1271)*N(IFERROR(INDEX(art_cost,MATCH(E1271,art_ref,0)),0)),"")</f>
        <v/>
      </c>
      <c r="AB1271" s="58" t="str">
        <f>IF(COUNTA(A1271:I1271)=0,"",IF(N(A1271)&lt;=0,"Date manquante ou invalide",IF(B1271="","Équipe manquante",IF(ISNA(MATCH(B1271,eq_code,0)),"Équipe inconnue",IF(INDEX(eq_check,MATCH(B1271,eq_code,0))&lt;&gt;"OK","Équipe à corriger dans Paramètres",IF(C1271="","Poste manquant",IF(ISNA(MATCH(C1271,po_code,0)),"Poste inconnu",IF(AND(E1271&lt;&gt;"",ISNA(MATCH(E1271,art_ref,0))),"Article inconnu",IF(IF(E1271="",FALSE,INDEX(art_check,MATCH(E1271,art_ref,0))&lt;&gt;"OK"),"Article à corriger (feuille Articles)",IF(COUNTIFS(sj_date,A1271,sj_eq,B1271,sj_po,C1271)&gt;1,"Ligne en double (même jour, équipe et poste)",IF(OR(NOT(ISNUMBER(K1271)),N(K1271)&lt;=0,N(K1271)&gt;1440),"Temps d'ouverture invalide",IF(OR(AND(G1271&lt;&gt;"",NOT(ISNUMBER(G1271))),N(G1271)&lt;0,N(G1271)&lt;&gt;INT(N(G1271)),AND(H1271&lt;&gt;"",NOT(ISNUMBER(H1271))),N(H1271)&lt;0,N(H1271)&lt;&gt;INT(N(H1271)),AND(I1271&lt;&gt;"",NOT(ISNUMBER(I1271))),N(I1271)&lt;0,N(I1271)&lt;&gt;INT(N(I1271))),"Quantité invalide",IF(Q1271&lt;=0,"Cadence manquante (poste ou article)",IF(M1271&lt;=0,"Arrêts planifiés supérieurs au temps d'ouverture",IF(O1271&lt;0,"Arrêts supérieurs au temps requis",IF(AND(P1271&gt;0,O1271=0),"Pièces déclarées sans temps de marche",IF(AND(P1271=0,O1271&gt;0),"Aucune pièce déclarée",IF(P1271*60/Q1271&gt;O1271+0.001,"Cadence dépassée : vérifiez la cadence","OK"))))))))))))))))))</f>
        <v/>
      </c>
      <c r="AC1271">
        <f>IF(OR(AB1271="OK",AB1271="Aucune pièce déclarée",AB1271="Cadence dépassée : vérifiez la cadence"),1,0)</f>
        <v>0.0</v>
      </c>
      <c r="AD1271">
        <f>IF(AND(AC1271=1,A1271&gt;=p_from,A1271&lt;=p_to),1,0)</f>
        <v>0.0</v>
      </c>
      <c r="AE1271">
        <f>IF(AD1271=1,IF(COUNTIFS($A$6:A1271,A1271,$AD$6:AD1271,1)=1,1,0),0)</f>
        <v>0.0</v>
      </c>
      <c r="AF1271" t="str">
        <f>IF(AE1271=1,COUNTIFS(sj_first,1,sj_date,"&lt;"&amp;A1271)+1,"")</f>
        <v/>
      </c>
      <c r="AG1271" t="str">
        <f>IF(AND(AD1271=1,N(W1271)&lt;p_alert),ROUND(W1271,4),"")</f>
        <v/>
      </c>
      <c r="AH1271" t="str">
        <f>IF(AG1271="","",COUNTIF(sj_akey,"&lt;"&amp;AG1271)+COUNTIF($AG$6:AG1271,AG1271))</f>
        <v/>
      </c>
    </row>
    <row r="1272">
      <c r="A1272" s="51" t="n"/>
      <c r="B1272" s="52" t="n"/>
      <c r="C1272" s="52" t="n"/>
      <c r="D1272" s="53" t="n"/>
      <c r="E1272" s="53" t="n"/>
      <c r="F1272" s="54" t="n"/>
      <c r="G1272" s="54" t="n"/>
      <c r="H1272" s="54" t="n"/>
      <c r="I1272" s="54" t="n"/>
      <c r="J1272" s="53" t="n"/>
      <c r="K1272" s="55" t="str">
        <f>IF(COUNTA(A1272:I1272)=0,"",IF(F1272="",IFERROR(INDEX(eq_dur,MATCH(B1272,eq_code,0)),""),F1272))</f>
        <v/>
      </c>
      <c r="L1272" s="55" t="str">
        <f>IF(ISNUMBER(K1272),N(IFERROR(INDEX(eq_pause,MATCH(B1272,eq_code,0)),0))+SUMIFS(st_min,st_date,A1272,st_eq,B1272,st_po,C1272,st_type,"Planifié"),"")</f>
        <v/>
      </c>
      <c r="M1272" s="55" t="str">
        <f>IF(ISNUMBER(K1272),K1272-L1272,"")</f>
        <v/>
      </c>
      <c r="N1272" s="55" t="str">
        <f>IF(ISNUMBER(K1272),SUMIFS(st_min,st_date,A1272,st_eq,B1272,st_po,C1272,st_type,"Non planifié"),"")</f>
        <v/>
      </c>
      <c r="O1272" s="55" t="str">
        <f>IF(ISNUMBER(K1272),M1272-N1272,"")</f>
        <v/>
      </c>
      <c r="P1272" s="55" t="str">
        <f>IF(COUNTA(A1272:I1272)=0,"",N(G1272)+N(H1272)+N(I1272))</f>
        <v/>
      </c>
      <c r="Q1272" s="56" t="str">
        <f>IF(COUNTA(A1272:I1272)=0,"",IF(N(IFERROR(INDEX(art_rate,MATCH(E1272,art_ref,0)),0))&gt;0,N(IFERROR(INDEX(art_rate,MATCH(E1272,art_ref,0)),0)),N(IFERROR(INDEX(po_rate,MATCH(C1272,po_code,0)),0))))</f>
        <v/>
      </c>
      <c r="R1272" s="55" t="str">
        <f>IF(AC1272=1,P1272*60/Q1272,"")</f>
        <v/>
      </c>
      <c r="S1272" s="55" t="str">
        <f>IF(AC1272=1,N(G1272)*60/Q1272,"")</f>
        <v/>
      </c>
      <c r="T1272" s="57" t="str">
        <f>IF(AC1272=1,O1272/M1272,"")</f>
        <v/>
      </c>
      <c r="U1272" s="57" t="str">
        <f>IF(AC1272=1,IF(O1272&gt;0,R1272/O1272,""),"")</f>
        <v/>
      </c>
      <c r="V1272" s="57" t="str">
        <f>IF(AC1272=1,IF(P1272&gt;0,N(G1272)/P1272,""),"")</f>
        <v/>
      </c>
      <c r="W1272" s="57" t="str">
        <f>IF(AC1272=1,S1272/M1272,"")</f>
        <v/>
      </c>
      <c r="X1272" s="57" t="str">
        <f>IF(AC1272=1,S1272/K1272,"")</f>
        <v/>
      </c>
      <c r="Y1272" s="58" t="str">
        <f>IF(W1272="","",IF(W1272&gt;=p_target,"Bon",IF(W1272&gt;=p_alert,"À surveiller","Faible")))</f>
        <v/>
      </c>
      <c r="Z1272" s="58" t="str">
        <f>IF(W1272="","",IF(MIN(IF(T1272="",1,T1272),IF(U1272="",1,U1272),IF(V1272="",1,V1272))&gt;=1,"Aucune",IF(IF(T1272="",1,T1272)&lt;=MIN(IF(U1272="",1,U1272),IF(V1272="",1,V1272)),"Disponibilité",IF(IF(U1272="",1,U1272)&lt;=IF(V1272="",1,V1272),"Performance","Qualité"))))</f>
        <v/>
      </c>
      <c r="AA1272" s="59" t="str">
        <f>IF(AC1272=1,N(H1272)*N(IFERROR(INDEX(art_cost,MATCH(E1272,art_ref,0)),0)),"")</f>
        <v/>
      </c>
      <c r="AB1272" s="58" t="str">
        <f>IF(COUNTA(A1272:I1272)=0,"",IF(N(A1272)&lt;=0,"Date manquante ou invalide",IF(B1272="","Équipe manquante",IF(ISNA(MATCH(B1272,eq_code,0)),"Équipe inconnue",IF(INDEX(eq_check,MATCH(B1272,eq_code,0))&lt;&gt;"OK","Équipe à corriger dans Paramètres",IF(C1272="","Poste manquant",IF(ISNA(MATCH(C1272,po_code,0)),"Poste inconnu",IF(AND(E1272&lt;&gt;"",ISNA(MATCH(E1272,art_ref,0))),"Article inconnu",IF(IF(E1272="",FALSE,INDEX(art_check,MATCH(E1272,art_ref,0))&lt;&gt;"OK"),"Article à corriger (feuille Articles)",IF(COUNTIFS(sj_date,A1272,sj_eq,B1272,sj_po,C1272)&gt;1,"Ligne en double (même jour, équipe et poste)",IF(OR(NOT(ISNUMBER(K1272)),N(K1272)&lt;=0,N(K1272)&gt;1440),"Temps d'ouverture invalide",IF(OR(AND(G1272&lt;&gt;"",NOT(ISNUMBER(G1272))),N(G1272)&lt;0,N(G1272)&lt;&gt;INT(N(G1272)),AND(H1272&lt;&gt;"",NOT(ISNUMBER(H1272))),N(H1272)&lt;0,N(H1272)&lt;&gt;INT(N(H1272)),AND(I1272&lt;&gt;"",NOT(ISNUMBER(I1272))),N(I1272)&lt;0,N(I1272)&lt;&gt;INT(N(I1272))),"Quantité invalide",IF(Q1272&lt;=0,"Cadence manquante (poste ou article)",IF(M1272&lt;=0,"Arrêts planifiés supérieurs au temps d'ouverture",IF(O1272&lt;0,"Arrêts supérieurs au temps requis",IF(AND(P1272&gt;0,O1272=0),"Pièces déclarées sans temps de marche",IF(AND(P1272=0,O1272&gt;0),"Aucune pièce déclarée",IF(P1272*60/Q1272&gt;O1272+0.001,"Cadence dépassée : vérifiez la cadence","OK"))))))))))))))))))</f>
        <v/>
      </c>
      <c r="AC1272">
        <f>IF(OR(AB1272="OK",AB1272="Aucune pièce déclarée",AB1272="Cadence dépassée : vérifiez la cadence"),1,0)</f>
        <v>0.0</v>
      </c>
      <c r="AD1272">
        <f>IF(AND(AC1272=1,A1272&gt;=p_from,A1272&lt;=p_to),1,0)</f>
        <v>0.0</v>
      </c>
      <c r="AE1272">
        <f>IF(AD1272=1,IF(COUNTIFS($A$6:A1272,A1272,$AD$6:AD1272,1)=1,1,0),0)</f>
        <v>0.0</v>
      </c>
      <c r="AF1272" t="str">
        <f>IF(AE1272=1,COUNTIFS(sj_first,1,sj_date,"&lt;"&amp;A1272)+1,"")</f>
        <v/>
      </c>
      <c r="AG1272" t="str">
        <f>IF(AND(AD1272=1,N(W1272)&lt;p_alert),ROUND(W1272,4),"")</f>
        <v/>
      </c>
      <c r="AH1272" t="str">
        <f>IF(AG1272="","",COUNTIF(sj_akey,"&lt;"&amp;AG1272)+COUNTIF($AG$6:AG1272,AG1272))</f>
        <v/>
      </c>
    </row>
    <row r="1273">
      <c r="A1273" s="51" t="n"/>
      <c r="B1273" s="52" t="n"/>
      <c r="C1273" s="52" t="n"/>
      <c r="D1273" s="53" t="n"/>
      <c r="E1273" s="53" t="n"/>
      <c r="F1273" s="54" t="n"/>
      <c r="G1273" s="54" t="n"/>
      <c r="H1273" s="54" t="n"/>
      <c r="I1273" s="54" t="n"/>
      <c r="J1273" s="53" t="n"/>
      <c r="K1273" s="55" t="str">
        <f>IF(COUNTA(A1273:I1273)=0,"",IF(F1273="",IFERROR(INDEX(eq_dur,MATCH(B1273,eq_code,0)),""),F1273))</f>
        <v/>
      </c>
      <c r="L1273" s="55" t="str">
        <f>IF(ISNUMBER(K1273),N(IFERROR(INDEX(eq_pause,MATCH(B1273,eq_code,0)),0))+SUMIFS(st_min,st_date,A1273,st_eq,B1273,st_po,C1273,st_type,"Planifié"),"")</f>
        <v/>
      </c>
      <c r="M1273" s="55" t="str">
        <f>IF(ISNUMBER(K1273),K1273-L1273,"")</f>
        <v/>
      </c>
      <c r="N1273" s="55" t="str">
        <f>IF(ISNUMBER(K1273),SUMIFS(st_min,st_date,A1273,st_eq,B1273,st_po,C1273,st_type,"Non planifié"),"")</f>
        <v/>
      </c>
      <c r="O1273" s="55" t="str">
        <f>IF(ISNUMBER(K1273),M1273-N1273,"")</f>
        <v/>
      </c>
      <c r="P1273" s="55" t="str">
        <f>IF(COUNTA(A1273:I1273)=0,"",N(G1273)+N(H1273)+N(I1273))</f>
        <v/>
      </c>
      <c r="Q1273" s="56" t="str">
        <f>IF(COUNTA(A1273:I1273)=0,"",IF(N(IFERROR(INDEX(art_rate,MATCH(E1273,art_ref,0)),0))&gt;0,N(IFERROR(INDEX(art_rate,MATCH(E1273,art_ref,0)),0)),N(IFERROR(INDEX(po_rate,MATCH(C1273,po_code,0)),0))))</f>
        <v/>
      </c>
      <c r="R1273" s="55" t="str">
        <f>IF(AC1273=1,P1273*60/Q1273,"")</f>
        <v/>
      </c>
      <c r="S1273" s="55" t="str">
        <f>IF(AC1273=1,N(G1273)*60/Q1273,"")</f>
        <v/>
      </c>
      <c r="T1273" s="57" t="str">
        <f>IF(AC1273=1,O1273/M1273,"")</f>
        <v/>
      </c>
      <c r="U1273" s="57" t="str">
        <f>IF(AC1273=1,IF(O1273&gt;0,R1273/O1273,""),"")</f>
        <v/>
      </c>
      <c r="V1273" s="57" t="str">
        <f>IF(AC1273=1,IF(P1273&gt;0,N(G1273)/P1273,""),"")</f>
        <v/>
      </c>
      <c r="W1273" s="57" t="str">
        <f>IF(AC1273=1,S1273/M1273,"")</f>
        <v/>
      </c>
      <c r="X1273" s="57" t="str">
        <f>IF(AC1273=1,S1273/K1273,"")</f>
        <v/>
      </c>
      <c r="Y1273" s="58" t="str">
        <f>IF(W1273="","",IF(W1273&gt;=p_target,"Bon",IF(W1273&gt;=p_alert,"À surveiller","Faible")))</f>
        <v/>
      </c>
      <c r="Z1273" s="58" t="str">
        <f>IF(W1273="","",IF(MIN(IF(T1273="",1,T1273),IF(U1273="",1,U1273),IF(V1273="",1,V1273))&gt;=1,"Aucune",IF(IF(T1273="",1,T1273)&lt;=MIN(IF(U1273="",1,U1273),IF(V1273="",1,V1273)),"Disponibilité",IF(IF(U1273="",1,U1273)&lt;=IF(V1273="",1,V1273),"Performance","Qualité"))))</f>
        <v/>
      </c>
      <c r="AA1273" s="59" t="str">
        <f>IF(AC1273=1,N(H1273)*N(IFERROR(INDEX(art_cost,MATCH(E1273,art_ref,0)),0)),"")</f>
        <v/>
      </c>
      <c r="AB1273" s="58" t="str">
        <f>IF(COUNTA(A1273:I1273)=0,"",IF(N(A1273)&lt;=0,"Date manquante ou invalide",IF(B1273="","Équipe manquante",IF(ISNA(MATCH(B1273,eq_code,0)),"Équipe inconnue",IF(INDEX(eq_check,MATCH(B1273,eq_code,0))&lt;&gt;"OK","Équipe à corriger dans Paramètres",IF(C1273="","Poste manquant",IF(ISNA(MATCH(C1273,po_code,0)),"Poste inconnu",IF(AND(E1273&lt;&gt;"",ISNA(MATCH(E1273,art_ref,0))),"Article inconnu",IF(IF(E1273="",FALSE,INDEX(art_check,MATCH(E1273,art_ref,0))&lt;&gt;"OK"),"Article à corriger (feuille Articles)",IF(COUNTIFS(sj_date,A1273,sj_eq,B1273,sj_po,C1273)&gt;1,"Ligne en double (même jour, équipe et poste)",IF(OR(NOT(ISNUMBER(K1273)),N(K1273)&lt;=0,N(K1273)&gt;1440),"Temps d'ouverture invalide",IF(OR(AND(G1273&lt;&gt;"",NOT(ISNUMBER(G1273))),N(G1273)&lt;0,N(G1273)&lt;&gt;INT(N(G1273)),AND(H1273&lt;&gt;"",NOT(ISNUMBER(H1273))),N(H1273)&lt;0,N(H1273)&lt;&gt;INT(N(H1273)),AND(I1273&lt;&gt;"",NOT(ISNUMBER(I1273))),N(I1273)&lt;0,N(I1273)&lt;&gt;INT(N(I1273))),"Quantité invalide",IF(Q1273&lt;=0,"Cadence manquante (poste ou article)",IF(M1273&lt;=0,"Arrêts planifiés supérieurs au temps d'ouverture",IF(O1273&lt;0,"Arrêts supérieurs au temps requis",IF(AND(P1273&gt;0,O1273=0),"Pièces déclarées sans temps de marche",IF(AND(P1273=0,O1273&gt;0),"Aucune pièce déclarée",IF(P1273*60/Q1273&gt;O1273+0.001,"Cadence dépassée : vérifiez la cadence","OK"))))))))))))))))))</f>
        <v/>
      </c>
      <c r="AC1273">
        <f>IF(OR(AB1273="OK",AB1273="Aucune pièce déclarée",AB1273="Cadence dépassée : vérifiez la cadence"),1,0)</f>
        <v>0.0</v>
      </c>
      <c r="AD1273">
        <f>IF(AND(AC1273=1,A1273&gt;=p_from,A1273&lt;=p_to),1,0)</f>
        <v>0.0</v>
      </c>
      <c r="AE1273">
        <f>IF(AD1273=1,IF(COUNTIFS($A$6:A1273,A1273,$AD$6:AD1273,1)=1,1,0),0)</f>
        <v>0.0</v>
      </c>
      <c r="AF1273" t="str">
        <f>IF(AE1273=1,COUNTIFS(sj_first,1,sj_date,"&lt;"&amp;A1273)+1,"")</f>
        <v/>
      </c>
      <c r="AG1273" t="str">
        <f>IF(AND(AD1273=1,N(W1273)&lt;p_alert),ROUND(W1273,4),"")</f>
        <v/>
      </c>
      <c r="AH1273" t="str">
        <f>IF(AG1273="","",COUNTIF(sj_akey,"&lt;"&amp;AG1273)+COUNTIF($AG$6:AG1273,AG1273))</f>
        <v/>
      </c>
    </row>
    <row r="1274">
      <c r="A1274" s="51" t="n"/>
      <c r="B1274" s="52" t="n"/>
      <c r="C1274" s="52" t="n"/>
      <c r="D1274" s="53" t="n"/>
      <c r="E1274" s="53" t="n"/>
      <c r="F1274" s="54" t="n"/>
      <c r="G1274" s="54" t="n"/>
      <c r="H1274" s="54" t="n"/>
      <c r="I1274" s="54" t="n"/>
      <c r="J1274" s="53" t="n"/>
      <c r="K1274" s="55" t="str">
        <f>IF(COUNTA(A1274:I1274)=0,"",IF(F1274="",IFERROR(INDEX(eq_dur,MATCH(B1274,eq_code,0)),""),F1274))</f>
        <v/>
      </c>
      <c r="L1274" s="55" t="str">
        <f>IF(ISNUMBER(K1274),N(IFERROR(INDEX(eq_pause,MATCH(B1274,eq_code,0)),0))+SUMIFS(st_min,st_date,A1274,st_eq,B1274,st_po,C1274,st_type,"Planifié"),"")</f>
        <v/>
      </c>
      <c r="M1274" s="55" t="str">
        <f>IF(ISNUMBER(K1274),K1274-L1274,"")</f>
        <v/>
      </c>
      <c r="N1274" s="55" t="str">
        <f>IF(ISNUMBER(K1274),SUMIFS(st_min,st_date,A1274,st_eq,B1274,st_po,C1274,st_type,"Non planifié"),"")</f>
        <v/>
      </c>
      <c r="O1274" s="55" t="str">
        <f>IF(ISNUMBER(K1274),M1274-N1274,"")</f>
        <v/>
      </c>
      <c r="P1274" s="55" t="str">
        <f>IF(COUNTA(A1274:I1274)=0,"",N(G1274)+N(H1274)+N(I1274))</f>
        <v/>
      </c>
      <c r="Q1274" s="56" t="str">
        <f>IF(COUNTA(A1274:I1274)=0,"",IF(N(IFERROR(INDEX(art_rate,MATCH(E1274,art_ref,0)),0))&gt;0,N(IFERROR(INDEX(art_rate,MATCH(E1274,art_ref,0)),0)),N(IFERROR(INDEX(po_rate,MATCH(C1274,po_code,0)),0))))</f>
        <v/>
      </c>
      <c r="R1274" s="55" t="str">
        <f>IF(AC1274=1,P1274*60/Q1274,"")</f>
        <v/>
      </c>
      <c r="S1274" s="55" t="str">
        <f>IF(AC1274=1,N(G1274)*60/Q1274,"")</f>
        <v/>
      </c>
      <c r="T1274" s="57" t="str">
        <f>IF(AC1274=1,O1274/M1274,"")</f>
        <v/>
      </c>
      <c r="U1274" s="57" t="str">
        <f>IF(AC1274=1,IF(O1274&gt;0,R1274/O1274,""),"")</f>
        <v/>
      </c>
      <c r="V1274" s="57" t="str">
        <f>IF(AC1274=1,IF(P1274&gt;0,N(G1274)/P1274,""),"")</f>
        <v/>
      </c>
      <c r="W1274" s="57" t="str">
        <f>IF(AC1274=1,S1274/M1274,"")</f>
        <v/>
      </c>
      <c r="X1274" s="57" t="str">
        <f>IF(AC1274=1,S1274/K1274,"")</f>
        <v/>
      </c>
      <c r="Y1274" s="58" t="str">
        <f>IF(W1274="","",IF(W1274&gt;=p_target,"Bon",IF(W1274&gt;=p_alert,"À surveiller","Faible")))</f>
        <v/>
      </c>
      <c r="Z1274" s="58" t="str">
        <f>IF(W1274="","",IF(MIN(IF(T1274="",1,T1274),IF(U1274="",1,U1274),IF(V1274="",1,V1274))&gt;=1,"Aucune",IF(IF(T1274="",1,T1274)&lt;=MIN(IF(U1274="",1,U1274),IF(V1274="",1,V1274)),"Disponibilité",IF(IF(U1274="",1,U1274)&lt;=IF(V1274="",1,V1274),"Performance","Qualité"))))</f>
        <v/>
      </c>
      <c r="AA1274" s="59" t="str">
        <f>IF(AC1274=1,N(H1274)*N(IFERROR(INDEX(art_cost,MATCH(E1274,art_ref,0)),0)),"")</f>
        <v/>
      </c>
      <c r="AB1274" s="58" t="str">
        <f>IF(COUNTA(A1274:I1274)=0,"",IF(N(A1274)&lt;=0,"Date manquante ou invalide",IF(B1274="","Équipe manquante",IF(ISNA(MATCH(B1274,eq_code,0)),"Équipe inconnue",IF(INDEX(eq_check,MATCH(B1274,eq_code,0))&lt;&gt;"OK","Équipe à corriger dans Paramètres",IF(C1274="","Poste manquant",IF(ISNA(MATCH(C1274,po_code,0)),"Poste inconnu",IF(AND(E1274&lt;&gt;"",ISNA(MATCH(E1274,art_ref,0))),"Article inconnu",IF(IF(E1274="",FALSE,INDEX(art_check,MATCH(E1274,art_ref,0))&lt;&gt;"OK"),"Article à corriger (feuille Articles)",IF(COUNTIFS(sj_date,A1274,sj_eq,B1274,sj_po,C1274)&gt;1,"Ligne en double (même jour, équipe et poste)",IF(OR(NOT(ISNUMBER(K1274)),N(K1274)&lt;=0,N(K1274)&gt;1440),"Temps d'ouverture invalide",IF(OR(AND(G1274&lt;&gt;"",NOT(ISNUMBER(G1274))),N(G1274)&lt;0,N(G1274)&lt;&gt;INT(N(G1274)),AND(H1274&lt;&gt;"",NOT(ISNUMBER(H1274))),N(H1274)&lt;0,N(H1274)&lt;&gt;INT(N(H1274)),AND(I1274&lt;&gt;"",NOT(ISNUMBER(I1274))),N(I1274)&lt;0,N(I1274)&lt;&gt;INT(N(I1274))),"Quantité invalide",IF(Q1274&lt;=0,"Cadence manquante (poste ou article)",IF(M1274&lt;=0,"Arrêts planifiés supérieurs au temps d'ouverture",IF(O1274&lt;0,"Arrêts supérieurs au temps requis",IF(AND(P1274&gt;0,O1274=0),"Pièces déclarées sans temps de marche",IF(AND(P1274=0,O1274&gt;0),"Aucune pièce déclarée",IF(P1274*60/Q1274&gt;O1274+0.001,"Cadence dépassée : vérifiez la cadence","OK"))))))))))))))))))</f>
        <v/>
      </c>
      <c r="AC1274">
        <f>IF(OR(AB1274="OK",AB1274="Aucune pièce déclarée",AB1274="Cadence dépassée : vérifiez la cadence"),1,0)</f>
        <v>0.0</v>
      </c>
      <c r="AD1274">
        <f>IF(AND(AC1274=1,A1274&gt;=p_from,A1274&lt;=p_to),1,0)</f>
        <v>0.0</v>
      </c>
      <c r="AE1274">
        <f>IF(AD1274=1,IF(COUNTIFS($A$6:A1274,A1274,$AD$6:AD1274,1)=1,1,0),0)</f>
        <v>0.0</v>
      </c>
      <c r="AF1274" t="str">
        <f>IF(AE1274=1,COUNTIFS(sj_first,1,sj_date,"&lt;"&amp;A1274)+1,"")</f>
        <v/>
      </c>
      <c r="AG1274" t="str">
        <f>IF(AND(AD1274=1,N(W1274)&lt;p_alert),ROUND(W1274,4),"")</f>
        <v/>
      </c>
      <c r="AH1274" t="str">
        <f>IF(AG1274="","",COUNTIF(sj_akey,"&lt;"&amp;AG1274)+COUNTIF($AG$6:AG1274,AG1274))</f>
        <v/>
      </c>
    </row>
    <row r="1275">
      <c r="A1275" s="51" t="n"/>
      <c r="B1275" s="52" t="n"/>
      <c r="C1275" s="52" t="n"/>
      <c r="D1275" s="53" t="n"/>
      <c r="E1275" s="53" t="n"/>
      <c r="F1275" s="54" t="n"/>
      <c r="G1275" s="54" t="n"/>
      <c r="H1275" s="54" t="n"/>
      <c r="I1275" s="54" t="n"/>
      <c r="J1275" s="53" t="n"/>
      <c r="K1275" s="55" t="str">
        <f>IF(COUNTA(A1275:I1275)=0,"",IF(F1275="",IFERROR(INDEX(eq_dur,MATCH(B1275,eq_code,0)),""),F1275))</f>
        <v/>
      </c>
      <c r="L1275" s="55" t="str">
        <f>IF(ISNUMBER(K1275),N(IFERROR(INDEX(eq_pause,MATCH(B1275,eq_code,0)),0))+SUMIFS(st_min,st_date,A1275,st_eq,B1275,st_po,C1275,st_type,"Planifié"),"")</f>
        <v/>
      </c>
      <c r="M1275" s="55" t="str">
        <f>IF(ISNUMBER(K1275),K1275-L1275,"")</f>
        <v/>
      </c>
      <c r="N1275" s="55" t="str">
        <f>IF(ISNUMBER(K1275),SUMIFS(st_min,st_date,A1275,st_eq,B1275,st_po,C1275,st_type,"Non planifié"),"")</f>
        <v/>
      </c>
      <c r="O1275" s="55" t="str">
        <f>IF(ISNUMBER(K1275),M1275-N1275,"")</f>
        <v/>
      </c>
      <c r="P1275" s="55" t="str">
        <f>IF(COUNTA(A1275:I1275)=0,"",N(G1275)+N(H1275)+N(I1275))</f>
        <v/>
      </c>
      <c r="Q1275" s="56" t="str">
        <f>IF(COUNTA(A1275:I1275)=0,"",IF(N(IFERROR(INDEX(art_rate,MATCH(E1275,art_ref,0)),0))&gt;0,N(IFERROR(INDEX(art_rate,MATCH(E1275,art_ref,0)),0)),N(IFERROR(INDEX(po_rate,MATCH(C1275,po_code,0)),0))))</f>
        <v/>
      </c>
      <c r="R1275" s="55" t="str">
        <f>IF(AC1275=1,P1275*60/Q1275,"")</f>
        <v/>
      </c>
      <c r="S1275" s="55" t="str">
        <f>IF(AC1275=1,N(G1275)*60/Q1275,"")</f>
        <v/>
      </c>
      <c r="T1275" s="57" t="str">
        <f>IF(AC1275=1,O1275/M1275,"")</f>
        <v/>
      </c>
      <c r="U1275" s="57" t="str">
        <f>IF(AC1275=1,IF(O1275&gt;0,R1275/O1275,""),"")</f>
        <v/>
      </c>
      <c r="V1275" s="57" t="str">
        <f>IF(AC1275=1,IF(P1275&gt;0,N(G1275)/P1275,""),"")</f>
        <v/>
      </c>
      <c r="W1275" s="57" t="str">
        <f>IF(AC1275=1,S1275/M1275,"")</f>
        <v/>
      </c>
      <c r="X1275" s="57" t="str">
        <f>IF(AC1275=1,S1275/K1275,"")</f>
        <v/>
      </c>
      <c r="Y1275" s="58" t="str">
        <f>IF(W1275="","",IF(W1275&gt;=p_target,"Bon",IF(W1275&gt;=p_alert,"À surveiller","Faible")))</f>
        <v/>
      </c>
      <c r="Z1275" s="58" t="str">
        <f>IF(W1275="","",IF(MIN(IF(T1275="",1,T1275),IF(U1275="",1,U1275),IF(V1275="",1,V1275))&gt;=1,"Aucune",IF(IF(T1275="",1,T1275)&lt;=MIN(IF(U1275="",1,U1275),IF(V1275="",1,V1275)),"Disponibilité",IF(IF(U1275="",1,U1275)&lt;=IF(V1275="",1,V1275),"Performance","Qualité"))))</f>
        <v/>
      </c>
      <c r="AA1275" s="59" t="str">
        <f>IF(AC1275=1,N(H1275)*N(IFERROR(INDEX(art_cost,MATCH(E1275,art_ref,0)),0)),"")</f>
        <v/>
      </c>
      <c r="AB1275" s="58" t="str">
        <f>IF(COUNTA(A1275:I1275)=0,"",IF(N(A1275)&lt;=0,"Date manquante ou invalide",IF(B1275="","Équipe manquante",IF(ISNA(MATCH(B1275,eq_code,0)),"Équipe inconnue",IF(INDEX(eq_check,MATCH(B1275,eq_code,0))&lt;&gt;"OK","Équipe à corriger dans Paramètres",IF(C1275="","Poste manquant",IF(ISNA(MATCH(C1275,po_code,0)),"Poste inconnu",IF(AND(E1275&lt;&gt;"",ISNA(MATCH(E1275,art_ref,0))),"Article inconnu",IF(IF(E1275="",FALSE,INDEX(art_check,MATCH(E1275,art_ref,0))&lt;&gt;"OK"),"Article à corriger (feuille Articles)",IF(COUNTIFS(sj_date,A1275,sj_eq,B1275,sj_po,C1275)&gt;1,"Ligne en double (même jour, équipe et poste)",IF(OR(NOT(ISNUMBER(K1275)),N(K1275)&lt;=0,N(K1275)&gt;1440),"Temps d'ouverture invalide",IF(OR(AND(G1275&lt;&gt;"",NOT(ISNUMBER(G1275))),N(G1275)&lt;0,N(G1275)&lt;&gt;INT(N(G1275)),AND(H1275&lt;&gt;"",NOT(ISNUMBER(H1275))),N(H1275)&lt;0,N(H1275)&lt;&gt;INT(N(H1275)),AND(I1275&lt;&gt;"",NOT(ISNUMBER(I1275))),N(I1275)&lt;0,N(I1275)&lt;&gt;INT(N(I1275))),"Quantité invalide",IF(Q1275&lt;=0,"Cadence manquante (poste ou article)",IF(M1275&lt;=0,"Arrêts planifiés supérieurs au temps d'ouverture",IF(O1275&lt;0,"Arrêts supérieurs au temps requis",IF(AND(P1275&gt;0,O1275=0),"Pièces déclarées sans temps de marche",IF(AND(P1275=0,O1275&gt;0),"Aucune pièce déclarée",IF(P1275*60/Q1275&gt;O1275+0.001,"Cadence dépassée : vérifiez la cadence","OK"))))))))))))))))))</f>
        <v/>
      </c>
      <c r="AC1275">
        <f>IF(OR(AB1275="OK",AB1275="Aucune pièce déclarée",AB1275="Cadence dépassée : vérifiez la cadence"),1,0)</f>
        <v>0.0</v>
      </c>
      <c r="AD1275">
        <f>IF(AND(AC1275=1,A1275&gt;=p_from,A1275&lt;=p_to),1,0)</f>
        <v>0.0</v>
      </c>
      <c r="AE1275">
        <f>IF(AD1275=1,IF(COUNTIFS($A$6:A1275,A1275,$AD$6:AD1275,1)=1,1,0),0)</f>
        <v>0.0</v>
      </c>
      <c r="AF1275" t="str">
        <f>IF(AE1275=1,COUNTIFS(sj_first,1,sj_date,"&lt;"&amp;A1275)+1,"")</f>
        <v/>
      </c>
      <c r="AG1275" t="str">
        <f>IF(AND(AD1275=1,N(W1275)&lt;p_alert),ROUND(W1275,4),"")</f>
        <v/>
      </c>
      <c r="AH1275" t="str">
        <f>IF(AG1275="","",COUNTIF(sj_akey,"&lt;"&amp;AG1275)+COUNTIF($AG$6:AG1275,AG1275))</f>
        <v/>
      </c>
    </row>
    <row r="1276">
      <c r="A1276" s="51" t="n"/>
      <c r="B1276" s="52" t="n"/>
      <c r="C1276" s="52" t="n"/>
      <c r="D1276" s="53" t="n"/>
      <c r="E1276" s="53" t="n"/>
      <c r="F1276" s="54" t="n"/>
      <c r="G1276" s="54" t="n"/>
      <c r="H1276" s="54" t="n"/>
      <c r="I1276" s="54" t="n"/>
      <c r="J1276" s="53" t="n"/>
      <c r="K1276" s="55" t="str">
        <f>IF(COUNTA(A1276:I1276)=0,"",IF(F1276="",IFERROR(INDEX(eq_dur,MATCH(B1276,eq_code,0)),""),F1276))</f>
        <v/>
      </c>
      <c r="L1276" s="55" t="str">
        <f>IF(ISNUMBER(K1276),N(IFERROR(INDEX(eq_pause,MATCH(B1276,eq_code,0)),0))+SUMIFS(st_min,st_date,A1276,st_eq,B1276,st_po,C1276,st_type,"Planifié"),"")</f>
        <v/>
      </c>
      <c r="M1276" s="55" t="str">
        <f>IF(ISNUMBER(K1276),K1276-L1276,"")</f>
        <v/>
      </c>
      <c r="N1276" s="55" t="str">
        <f>IF(ISNUMBER(K1276),SUMIFS(st_min,st_date,A1276,st_eq,B1276,st_po,C1276,st_type,"Non planifié"),"")</f>
        <v/>
      </c>
      <c r="O1276" s="55" t="str">
        <f>IF(ISNUMBER(K1276),M1276-N1276,"")</f>
        <v/>
      </c>
      <c r="P1276" s="55" t="str">
        <f>IF(COUNTA(A1276:I1276)=0,"",N(G1276)+N(H1276)+N(I1276))</f>
        <v/>
      </c>
      <c r="Q1276" s="56" t="str">
        <f>IF(COUNTA(A1276:I1276)=0,"",IF(N(IFERROR(INDEX(art_rate,MATCH(E1276,art_ref,0)),0))&gt;0,N(IFERROR(INDEX(art_rate,MATCH(E1276,art_ref,0)),0)),N(IFERROR(INDEX(po_rate,MATCH(C1276,po_code,0)),0))))</f>
        <v/>
      </c>
      <c r="R1276" s="55" t="str">
        <f>IF(AC1276=1,P1276*60/Q1276,"")</f>
        <v/>
      </c>
      <c r="S1276" s="55" t="str">
        <f>IF(AC1276=1,N(G1276)*60/Q1276,"")</f>
        <v/>
      </c>
      <c r="T1276" s="57" t="str">
        <f>IF(AC1276=1,O1276/M1276,"")</f>
        <v/>
      </c>
      <c r="U1276" s="57" t="str">
        <f>IF(AC1276=1,IF(O1276&gt;0,R1276/O1276,""),"")</f>
        <v/>
      </c>
      <c r="V1276" s="57" t="str">
        <f>IF(AC1276=1,IF(P1276&gt;0,N(G1276)/P1276,""),"")</f>
        <v/>
      </c>
      <c r="W1276" s="57" t="str">
        <f>IF(AC1276=1,S1276/M1276,"")</f>
        <v/>
      </c>
      <c r="X1276" s="57" t="str">
        <f>IF(AC1276=1,S1276/K1276,"")</f>
        <v/>
      </c>
      <c r="Y1276" s="58" t="str">
        <f>IF(W1276="","",IF(W1276&gt;=p_target,"Bon",IF(W1276&gt;=p_alert,"À surveiller","Faible")))</f>
        <v/>
      </c>
      <c r="Z1276" s="58" t="str">
        <f>IF(W1276="","",IF(MIN(IF(T1276="",1,T1276),IF(U1276="",1,U1276),IF(V1276="",1,V1276))&gt;=1,"Aucune",IF(IF(T1276="",1,T1276)&lt;=MIN(IF(U1276="",1,U1276),IF(V1276="",1,V1276)),"Disponibilité",IF(IF(U1276="",1,U1276)&lt;=IF(V1276="",1,V1276),"Performance","Qualité"))))</f>
        <v/>
      </c>
      <c r="AA1276" s="59" t="str">
        <f>IF(AC1276=1,N(H1276)*N(IFERROR(INDEX(art_cost,MATCH(E1276,art_ref,0)),0)),"")</f>
        <v/>
      </c>
      <c r="AB1276" s="58" t="str">
        <f>IF(COUNTA(A1276:I1276)=0,"",IF(N(A1276)&lt;=0,"Date manquante ou invalide",IF(B1276="","Équipe manquante",IF(ISNA(MATCH(B1276,eq_code,0)),"Équipe inconnue",IF(INDEX(eq_check,MATCH(B1276,eq_code,0))&lt;&gt;"OK","Équipe à corriger dans Paramètres",IF(C1276="","Poste manquant",IF(ISNA(MATCH(C1276,po_code,0)),"Poste inconnu",IF(AND(E1276&lt;&gt;"",ISNA(MATCH(E1276,art_ref,0))),"Article inconnu",IF(IF(E1276="",FALSE,INDEX(art_check,MATCH(E1276,art_ref,0))&lt;&gt;"OK"),"Article à corriger (feuille Articles)",IF(COUNTIFS(sj_date,A1276,sj_eq,B1276,sj_po,C1276)&gt;1,"Ligne en double (même jour, équipe et poste)",IF(OR(NOT(ISNUMBER(K1276)),N(K1276)&lt;=0,N(K1276)&gt;1440),"Temps d'ouverture invalide",IF(OR(AND(G1276&lt;&gt;"",NOT(ISNUMBER(G1276))),N(G1276)&lt;0,N(G1276)&lt;&gt;INT(N(G1276)),AND(H1276&lt;&gt;"",NOT(ISNUMBER(H1276))),N(H1276)&lt;0,N(H1276)&lt;&gt;INT(N(H1276)),AND(I1276&lt;&gt;"",NOT(ISNUMBER(I1276))),N(I1276)&lt;0,N(I1276)&lt;&gt;INT(N(I1276))),"Quantité invalide",IF(Q1276&lt;=0,"Cadence manquante (poste ou article)",IF(M1276&lt;=0,"Arrêts planifiés supérieurs au temps d'ouverture",IF(O1276&lt;0,"Arrêts supérieurs au temps requis",IF(AND(P1276&gt;0,O1276=0),"Pièces déclarées sans temps de marche",IF(AND(P1276=0,O1276&gt;0),"Aucune pièce déclarée",IF(P1276*60/Q1276&gt;O1276+0.001,"Cadence dépassée : vérifiez la cadence","OK"))))))))))))))))))</f>
        <v/>
      </c>
      <c r="AC1276">
        <f>IF(OR(AB1276="OK",AB1276="Aucune pièce déclarée",AB1276="Cadence dépassée : vérifiez la cadence"),1,0)</f>
        <v>0.0</v>
      </c>
      <c r="AD1276">
        <f>IF(AND(AC1276=1,A1276&gt;=p_from,A1276&lt;=p_to),1,0)</f>
        <v>0.0</v>
      </c>
      <c r="AE1276">
        <f>IF(AD1276=1,IF(COUNTIFS($A$6:A1276,A1276,$AD$6:AD1276,1)=1,1,0),0)</f>
        <v>0.0</v>
      </c>
      <c r="AF1276" t="str">
        <f>IF(AE1276=1,COUNTIFS(sj_first,1,sj_date,"&lt;"&amp;A1276)+1,"")</f>
        <v/>
      </c>
      <c r="AG1276" t="str">
        <f>IF(AND(AD1276=1,N(W1276)&lt;p_alert),ROUND(W1276,4),"")</f>
        <v/>
      </c>
      <c r="AH1276" t="str">
        <f>IF(AG1276="","",COUNTIF(sj_akey,"&lt;"&amp;AG1276)+COUNTIF($AG$6:AG1276,AG1276))</f>
        <v/>
      </c>
    </row>
    <row r="1277">
      <c r="A1277" s="51" t="n"/>
      <c r="B1277" s="52" t="n"/>
      <c r="C1277" s="52" t="n"/>
      <c r="D1277" s="53" t="n"/>
      <c r="E1277" s="53" t="n"/>
      <c r="F1277" s="54" t="n"/>
      <c r="G1277" s="54" t="n"/>
      <c r="H1277" s="54" t="n"/>
      <c r="I1277" s="54" t="n"/>
      <c r="J1277" s="53" t="n"/>
      <c r="K1277" s="55" t="str">
        <f>IF(COUNTA(A1277:I1277)=0,"",IF(F1277="",IFERROR(INDEX(eq_dur,MATCH(B1277,eq_code,0)),""),F1277))</f>
        <v/>
      </c>
      <c r="L1277" s="55" t="str">
        <f>IF(ISNUMBER(K1277),N(IFERROR(INDEX(eq_pause,MATCH(B1277,eq_code,0)),0))+SUMIFS(st_min,st_date,A1277,st_eq,B1277,st_po,C1277,st_type,"Planifié"),"")</f>
        <v/>
      </c>
      <c r="M1277" s="55" t="str">
        <f>IF(ISNUMBER(K1277),K1277-L1277,"")</f>
        <v/>
      </c>
      <c r="N1277" s="55" t="str">
        <f>IF(ISNUMBER(K1277),SUMIFS(st_min,st_date,A1277,st_eq,B1277,st_po,C1277,st_type,"Non planifié"),"")</f>
        <v/>
      </c>
      <c r="O1277" s="55" t="str">
        <f>IF(ISNUMBER(K1277),M1277-N1277,"")</f>
        <v/>
      </c>
      <c r="P1277" s="55" t="str">
        <f>IF(COUNTA(A1277:I1277)=0,"",N(G1277)+N(H1277)+N(I1277))</f>
        <v/>
      </c>
      <c r="Q1277" s="56" t="str">
        <f>IF(COUNTA(A1277:I1277)=0,"",IF(N(IFERROR(INDEX(art_rate,MATCH(E1277,art_ref,0)),0))&gt;0,N(IFERROR(INDEX(art_rate,MATCH(E1277,art_ref,0)),0)),N(IFERROR(INDEX(po_rate,MATCH(C1277,po_code,0)),0))))</f>
        <v/>
      </c>
      <c r="R1277" s="55" t="str">
        <f>IF(AC1277=1,P1277*60/Q1277,"")</f>
        <v/>
      </c>
      <c r="S1277" s="55" t="str">
        <f>IF(AC1277=1,N(G1277)*60/Q1277,"")</f>
        <v/>
      </c>
      <c r="T1277" s="57" t="str">
        <f>IF(AC1277=1,O1277/M1277,"")</f>
        <v/>
      </c>
      <c r="U1277" s="57" t="str">
        <f>IF(AC1277=1,IF(O1277&gt;0,R1277/O1277,""),"")</f>
        <v/>
      </c>
      <c r="V1277" s="57" t="str">
        <f>IF(AC1277=1,IF(P1277&gt;0,N(G1277)/P1277,""),"")</f>
        <v/>
      </c>
      <c r="W1277" s="57" t="str">
        <f>IF(AC1277=1,S1277/M1277,"")</f>
        <v/>
      </c>
      <c r="X1277" s="57" t="str">
        <f>IF(AC1277=1,S1277/K1277,"")</f>
        <v/>
      </c>
      <c r="Y1277" s="58" t="str">
        <f>IF(W1277="","",IF(W1277&gt;=p_target,"Bon",IF(W1277&gt;=p_alert,"À surveiller","Faible")))</f>
        <v/>
      </c>
      <c r="Z1277" s="58" t="str">
        <f>IF(W1277="","",IF(MIN(IF(T1277="",1,T1277),IF(U1277="",1,U1277),IF(V1277="",1,V1277))&gt;=1,"Aucune",IF(IF(T1277="",1,T1277)&lt;=MIN(IF(U1277="",1,U1277),IF(V1277="",1,V1277)),"Disponibilité",IF(IF(U1277="",1,U1277)&lt;=IF(V1277="",1,V1277),"Performance","Qualité"))))</f>
        <v/>
      </c>
      <c r="AA1277" s="59" t="str">
        <f>IF(AC1277=1,N(H1277)*N(IFERROR(INDEX(art_cost,MATCH(E1277,art_ref,0)),0)),"")</f>
        <v/>
      </c>
      <c r="AB1277" s="58" t="str">
        <f>IF(COUNTA(A1277:I1277)=0,"",IF(N(A1277)&lt;=0,"Date manquante ou invalide",IF(B1277="","Équipe manquante",IF(ISNA(MATCH(B1277,eq_code,0)),"Équipe inconnue",IF(INDEX(eq_check,MATCH(B1277,eq_code,0))&lt;&gt;"OK","Équipe à corriger dans Paramètres",IF(C1277="","Poste manquant",IF(ISNA(MATCH(C1277,po_code,0)),"Poste inconnu",IF(AND(E1277&lt;&gt;"",ISNA(MATCH(E1277,art_ref,0))),"Article inconnu",IF(IF(E1277="",FALSE,INDEX(art_check,MATCH(E1277,art_ref,0))&lt;&gt;"OK"),"Article à corriger (feuille Articles)",IF(COUNTIFS(sj_date,A1277,sj_eq,B1277,sj_po,C1277)&gt;1,"Ligne en double (même jour, équipe et poste)",IF(OR(NOT(ISNUMBER(K1277)),N(K1277)&lt;=0,N(K1277)&gt;1440),"Temps d'ouverture invalide",IF(OR(AND(G1277&lt;&gt;"",NOT(ISNUMBER(G1277))),N(G1277)&lt;0,N(G1277)&lt;&gt;INT(N(G1277)),AND(H1277&lt;&gt;"",NOT(ISNUMBER(H1277))),N(H1277)&lt;0,N(H1277)&lt;&gt;INT(N(H1277)),AND(I1277&lt;&gt;"",NOT(ISNUMBER(I1277))),N(I1277)&lt;0,N(I1277)&lt;&gt;INT(N(I1277))),"Quantité invalide",IF(Q1277&lt;=0,"Cadence manquante (poste ou article)",IF(M1277&lt;=0,"Arrêts planifiés supérieurs au temps d'ouverture",IF(O1277&lt;0,"Arrêts supérieurs au temps requis",IF(AND(P1277&gt;0,O1277=0),"Pièces déclarées sans temps de marche",IF(AND(P1277=0,O1277&gt;0),"Aucune pièce déclarée",IF(P1277*60/Q1277&gt;O1277+0.001,"Cadence dépassée : vérifiez la cadence","OK"))))))))))))))))))</f>
        <v/>
      </c>
      <c r="AC1277">
        <f>IF(OR(AB1277="OK",AB1277="Aucune pièce déclarée",AB1277="Cadence dépassée : vérifiez la cadence"),1,0)</f>
        <v>0.0</v>
      </c>
      <c r="AD1277">
        <f>IF(AND(AC1277=1,A1277&gt;=p_from,A1277&lt;=p_to),1,0)</f>
        <v>0.0</v>
      </c>
      <c r="AE1277">
        <f>IF(AD1277=1,IF(COUNTIFS($A$6:A1277,A1277,$AD$6:AD1277,1)=1,1,0),0)</f>
        <v>0.0</v>
      </c>
      <c r="AF1277" t="str">
        <f>IF(AE1277=1,COUNTIFS(sj_first,1,sj_date,"&lt;"&amp;A1277)+1,"")</f>
        <v/>
      </c>
      <c r="AG1277" t="str">
        <f>IF(AND(AD1277=1,N(W1277)&lt;p_alert),ROUND(W1277,4),"")</f>
        <v/>
      </c>
      <c r="AH1277" t="str">
        <f>IF(AG1277="","",COUNTIF(sj_akey,"&lt;"&amp;AG1277)+COUNTIF($AG$6:AG1277,AG1277))</f>
        <v/>
      </c>
    </row>
    <row r="1278">
      <c r="A1278" s="51" t="n"/>
      <c r="B1278" s="52" t="n"/>
      <c r="C1278" s="52" t="n"/>
      <c r="D1278" s="53" t="n"/>
      <c r="E1278" s="53" t="n"/>
      <c r="F1278" s="54" t="n"/>
      <c r="G1278" s="54" t="n"/>
      <c r="H1278" s="54" t="n"/>
      <c r="I1278" s="54" t="n"/>
      <c r="J1278" s="53" t="n"/>
      <c r="K1278" s="55" t="str">
        <f>IF(COUNTA(A1278:I1278)=0,"",IF(F1278="",IFERROR(INDEX(eq_dur,MATCH(B1278,eq_code,0)),""),F1278))</f>
        <v/>
      </c>
      <c r="L1278" s="55" t="str">
        <f>IF(ISNUMBER(K1278),N(IFERROR(INDEX(eq_pause,MATCH(B1278,eq_code,0)),0))+SUMIFS(st_min,st_date,A1278,st_eq,B1278,st_po,C1278,st_type,"Planifié"),"")</f>
        <v/>
      </c>
      <c r="M1278" s="55" t="str">
        <f>IF(ISNUMBER(K1278),K1278-L1278,"")</f>
        <v/>
      </c>
      <c r="N1278" s="55" t="str">
        <f>IF(ISNUMBER(K1278),SUMIFS(st_min,st_date,A1278,st_eq,B1278,st_po,C1278,st_type,"Non planifié"),"")</f>
        <v/>
      </c>
      <c r="O1278" s="55" t="str">
        <f>IF(ISNUMBER(K1278),M1278-N1278,"")</f>
        <v/>
      </c>
      <c r="P1278" s="55" t="str">
        <f>IF(COUNTA(A1278:I1278)=0,"",N(G1278)+N(H1278)+N(I1278))</f>
        <v/>
      </c>
      <c r="Q1278" s="56" t="str">
        <f>IF(COUNTA(A1278:I1278)=0,"",IF(N(IFERROR(INDEX(art_rate,MATCH(E1278,art_ref,0)),0))&gt;0,N(IFERROR(INDEX(art_rate,MATCH(E1278,art_ref,0)),0)),N(IFERROR(INDEX(po_rate,MATCH(C1278,po_code,0)),0))))</f>
        <v/>
      </c>
      <c r="R1278" s="55" t="str">
        <f>IF(AC1278=1,P1278*60/Q1278,"")</f>
        <v/>
      </c>
      <c r="S1278" s="55" t="str">
        <f>IF(AC1278=1,N(G1278)*60/Q1278,"")</f>
        <v/>
      </c>
      <c r="T1278" s="57" t="str">
        <f>IF(AC1278=1,O1278/M1278,"")</f>
        <v/>
      </c>
      <c r="U1278" s="57" t="str">
        <f>IF(AC1278=1,IF(O1278&gt;0,R1278/O1278,""),"")</f>
        <v/>
      </c>
      <c r="V1278" s="57" t="str">
        <f>IF(AC1278=1,IF(P1278&gt;0,N(G1278)/P1278,""),"")</f>
        <v/>
      </c>
      <c r="W1278" s="57" t="str">
        <f>IF(AC1278=1,S1278/M1278,"")</f>
        <v/>
      </c>
      <c r="X1278" s="57" t="str">
        <f>IF(AC1278=1,S1278/K1278,"")</f>
        <v/>
      </c>
      <c r="Y1278" s="58" t="str">
        <f>IF(W1278="","",IF(W1278&gt;=p_target,"Bon",IF(W1278&gt;=p_alert,"À surveiller","Faible")))</f>
        <v/>
      </c>
      <c r="Z1278" s="58" t="str">
        <f>IF(W1278="","",IF(MIN(IF(T1278="",1,T1278),IF(U1278="",1,U1278),IF(V1278="",1,V1278))&gt;=1,"Aucune",IF(IF(T1278="",1,T1278)&lt;=MIN(IF(U1278="",1,U1278),IF(V1278="",1,V1278)),"Disponibilité",IF(IF(U1278="",1,U1278)&lt;=IF(V1278="",1,V1278),"Performance","Qualité"))))</f>
        <v/>
      </c>
      <c r="AA1278" s="59" t="str">
        <f>IF(AC1278=1,N(H1278)*N(IFERROR(INDEX(art_cost,MATCH(E1278,art_ref,0)),0)),"")</f>
        <v/>
      </c>
      <c r="AB1278" s="58" t="str">
        <f>IF(COUNTA(A1278:I1278)=0,"",IF(N(A1278)&lt;=0,"Date manquante ou invalide",IF(B1278="","Équipe manquante",IF(ISNA(MATCH(B1278,eq_code,0)),"Équipe inconnue",IF(INDEX(eq_check,MATCH(B1278,eq_code,0))&lt;&gt;"OK","Équipe à corriger dans Paramètres",IF(C1278="","Poste manquant",IF(ISNA(MATCH(C1278,po_code,0)),"Poste inconnu",IF(AND(E1278&lt;&gt;"",ISNA(MATCH(E1278,art_ref,0))),"Article inconnu",IF(IF(E1278="",FALSE,INDEX(art_check,MATCH(E1278,art_ref,0))&lt;&gt;"OK"),"Article à corriger (feuille Articles)",IF(COUNTIFS(sj_date,A1278,sj_eq,B1278,sj_po,C1278)&gt;1,"Ligne en double (même jour, équipe et poste)",IF(OR(NOT(ISNUMBER(K1278)),N(K1278)&lt;=0,N(K1278)&gt;1440),"Temps d'ouverture invalide",IF(OR(AND(G1278&lt;&gt;"",NOT(ISNUMBER(G1278))),N(G1278)&lt;0,N(G1278)&lt;&gt;INT(N(G1278)),AND(H1278&lt;&gt;"",NOT(ISNUMBER(H1278))),N(H1278)&lt;0,N(H1278)&lt;&gt;INT(N(H1278)),AND(I1278&lt;&gt;"",NOT(ISNUMBER(I1278))),N(I1278)&lt;0,N(I1278)&lt;&gt;INT(N(I1278))),"Quantité invalide",IF(Q1278&lt;=0,"Cadence manquante (poste ou article)",IF(M1278&lt;=0,"Arrêts planifiés supérieurs au temps d'ouverture",IF(O1278&lt;0,"Arrêts supérieurs au temps requis",IF(AND(P1278&gt;0,O1278=0),"Pièces déclarées sans temps de marche",IF(AND(P1278=0,O1278&gt;0),"Aucune pièce déclarée",IF(P1278*60/Q1278&gt;O1278+0.001,"Cadence dépassée : vérifiez la cadence","OK"))))))))))))))))))</f>
        <v/>
      </c>
      <c r="AC1278">
        <f>IF(OR(AB1278="OK",AB1278="Aucune pièce déclarée",AB1278="Cadence dépassée : vérifiez la cadence"),1,0)</f>
        <v>0.0</v>
      </c>
      <c r="AD1278">
        <f>IF(AND(AC1278=1,A1278&gt;=p_from,A1278&lt;=p_to),1,0)</f>
        <v>0.0</v>
      </c>
      <c r="AE1278">
        <f>IF(AD1278=1,IF(COUNTIFS($A$6:A1278,A1278,$AD$6:AD1278,1)=1,1,0),0)</f>
        <v>0.0</v>
      </c>
      <c r="AF1278" t="str">
        <f>IF(AE1278=1,COUNTIFS(sj_first,1,sj_date,"&lt;"&amp;A1278)+1,"")</f>
        <v/>
      </c>
      <c r="AG1278" t="str">
        <f>IF(AND(AD1278=1,N(W1278)&lt;p_alert),ROUND(W1278,4),"")</f>
        <v/>
      </c>
      <c r="AH1278" t="str">
        <f>IF(AG1278="","",COUNTIF(sj_akey,"&lt;"&amp;AG1278)+COUNTIF($AG$6:AG1278,AG1278))</f>
        <v/>
      </c>
    </row>
    <row r="1279">
      <c r="A1279" s="51" t="n"/>
      <c r="B1279" s="52" t="n"/>
      <c r="C1279" s="52" t="n"/>
      <c r="D1279" s="53" t="n"/>
      <c r="E1279" s="53" t="n"/>
      <c r="F1279" s="54" t="n"/>
      <c r="G1279" s="54" t="n"/>
      <c r="H1279" s="54" t="n"/>
      <c r="I1279" s="54" t="n"/>
      <c r="J1279" s="53" t="n"/>
      <c r="K1279" s="55" t="str">
        <f>IF(COUNTA(A1279:I1279)=0,"",IF(F1279="",IFERROR(INDEX(eq_dur,MATCH(B1279,eq_code,0)),""),F1279))</f>
        <v/>
      </c>
      <c r="L1279" s="55" t="str">
        <f>IF(ISNUMBER(K1279),N(IFERROR(INDEX(eq_pause,MATCH(B1279,eq_code,0)),0))+SUMIFS(st_min,st_date,A1279,st_eq,B1279,st_po,C1279,st_type,"Planifié"),"")</f>
        <v/>
      </c>
      <c r="M1279" s="55" t="str">
        <f>IF(ISNUMBER(K1279),K1279-L1279,"")</f>
        <v/>
      </c>
      <c r="N1279" s="55" t="str">
        <f>IF(ISNUMBER(K1279),SUMIFS(st_min,st_date,A1279,st_eq,B1279,st_po,C1279,st_type,"Non planifié"),"")</f>
        <v/>
      </c>
      <c r="O1279" s="55" t="str">
        <f>IF(ISNUMBER(K1279),M1279-N1279,"")</f>
        <v/>
      </c>
      <c r="P1279" s="55" t="str">
        <f>IF(COUNTA(A1279:I1279)=0,"",N(G1279)+N(H1279)+N(I1279))</f>
        <v/>
      </c>
      <c r="Q1279" s="56" t="str">
        <f>IF(COUNTA(A1279:I1279)=0,"",IF(N(IFERROR(INDEX(art_rate,MATCH(E1279,art_ref,0)),0))&gt;0,N(IFERROR(INDEX(art_rate,MATCH(E1279,art_ref,0)),0)),N(IFERROR(INDEX(po_rate,MATCH(C1279,po_code,0)),0))))</f>
        <v/>
      </c>
      <c r="R1279" s="55" t="str">
        <f>IF(AC1279=1,P1279*60/Q1279,"")</f>
        <v/>
      </c>
      <c r="S1279" s="55" t="str">
        <f>IF(AC1279=1,N(G1279)*60/Q1279,"")</f>
        <v/>
      </c>
      <c r="T1279" s="57" t="str">
        <f>IF(AC1279=1,O1279/M1279,"")</f>
        <v/>
      </c>
      <c r="U1279" s="57" t="str">
        <f>IF(AC1279=1,IF(O1279&gt;0,R1279/O1279,""),"")</f>
        <v/>
      </c>
      <c r="V1279" s="57" t="str">
        <f>IF(AC1279=1,IF(P1279&gt;0,N(G1279)/P1279,""),"")</f>
        <v/>
      </c>
      <c r="W1279" s="57" t="str">
        <f>IF(AC1279=1,S1279/M1279,"")</f>
        <v/>
      </c>
      <c r="X1279" s="57" t="str">
        <f>IF(AC1279=1,S1279/K1279,"")</f>
        <v/>
      </c>
      <c r="Y1279" s="58" t="str">
        <f>IF(W1279="","",IF(W1279&gt;=p_target,"Bon",IF(W1279&gt;=p_alert,"À surveiller","Faible")))</f>
        <v/>
      </c>
      <c r="Z1279" s="58" t="str">
        <f>IF(W1279="","",IF(MIN(IF(T1279="",1,T1279),IF(U1279="",1,U1279),IF(V1279="",1,V1279))&gt;=1,"Aucune",IF(IF(T1279="",1,T1279)&lt;=MIN(IF(U1279="",1,U1279),IF(V1279="",1,V1279)),"Disponibilité",IF(IF(U1279="",1,U1279)&lt;=IF(V1279="",1,V1279),"Performance","Qualité"))))</f>
        <v/>
      </c>
      <c r="AA1279" s="59" t="str">
        <f>IF(AC1279=1,N(H1279)*N(IFERROR(INDEX(art_cost,MATCH(E1279,art_ref,0)),0)),"")</f>
        <v/>
      </c>
      <c r="AB1279" s="58" t="str">
        <f>IF(COUNTA(A1279:I1279)=0,"",IF(N(A1279)&lt;=0,"Date manquante ou invalide",IF(B1279="","Équipe manquante",IF(ISNA(MATCH(B1279,eq_code,0)),"Équipe inconnue",IF(INDEX(eq_check,MATCH(B1279,eq_code,0))&lt;&gt;"OK","Équipe à corriger dans Paramètres",IF(C1279="","Poste manquant",IF(ISNA(MATCH(C1279,po_code,0)),"Poste inconnu",IF(AND(E1279&lt;&gt;"",ISNA(MATCH(E1279,art_ref,0))),"Article inconnu",IF(IF(E1279="",FALSE,INDEX(art_check,MATCH(E1279,art_ref,0))&lt;&gt;"OK"),"Article à corriger (feuille Articles)",IF(COUNTIFS(sj_date,A1279,sj_eq,B1279,sj_po,C1279)&gt;1,"Ligne en double (même jour, équipe et poste)",IF(OR(NOT(ISNUMBER(K1279)),N(K1279)&lt;=0,N(K1279)&gt;1440),"Temps d'ouverture invalide",IF(OR(AND(G1279&lt;&gt;"",NOT(ISNUMBER(G1279))),N(G1279)&lt;0,N(G1279)&lt;&gt;INT(N(G1279)),AND(H1279&lt;&gt;"",NOT(ISNUMBER(H1279))),N(H1279)&lt;0,N(H1279)&lt;&gt;INT(N(H1279)),AND(I1279&lt;&gt;"",NOT(ISNUMBER(I1279))),N(I1279)&lt;0,N(I1279)&lt;&gt;INT(N(I1279))),"Quantité invalide",IF(Q1279&lt;=0,"Cadence manquante (poste ou article)",IF(M1279&lt;=0,"Arrêts planifiés supérieurs au temps d'ouverture",IF(O1279&lt;0,"Arrêts supérieurs au temps requis",IF(AND(P1279&gt;0,O1279=0),"Pièces déclarées sans temps de marche",IF(AND(P1279=0,O1279&gt;0),"Aucune pièce déclarée",IF(P1279*60/Q1279&gt;O1279+0.001,"Cadence dépassée : vérifiez la cadence","OK"))))))))))))))))))</f>
        <v/>
      </c>
      <c r="AC1279">
        <f>IF(OR(AB1279="OK",AB1279="Aucune pièce déclarée",AB1279="Cadence dépassée : vérifiez la cadence"),1,0)</f>
        <v>0.0</v>
      </c>
      <c r="AD1279">
        <f>IF(AND(AC1279=1,A1279&gt;=p_from,A1279&lt;=p_to),1,0)</f>
        <v>0.0</v>
      </c>
      <c r="AE1279">
        <f>IF(AD1279=1,IF(COUNTIFS($A$6:A1279,A1279,$AD$6:AD1279,1)=1,1,0),0)</f>
        <v>0.0</v>
      </c>
      <c r="AF1279" t="str">
        <f>IF(AE1279=1,COUNTIFS(sj_first,1,sj_date,"&lt;"&amp;A1279)+1,"")</f>
        <v/>
      </c>
      <c r="AG1279" t="str">
        <f>IF(AND(AD1279=1,N(W1279)&lt;p_alert),ROUND(W1279,4),"")</f>
        <v/>
      </c>
      <c r="AH1279" t="str">
        <f>IF(AG1279="","",COUNTIF(sj_akey,"&lt;"&amp;AG1279)+COUNTIF($AG$6:AG1279,AG1279))</f>
        <v/>
      </c>
    </row>
    <row r="1280">
      <c r="A1280" s="51" t="n"/>
      <c r="B1280" s="52" t="n"/>
      <c r="C1280" s="52" t="n"/>
      <c r="D1280" s="53" t="n"/>
      <c r="E1280" s="53" t="n"/>
      <c r="F1280" s="54" t="n"/>
      <c r="G1280" s="54" t="n"/>
      <c r="H1280" s="54" t="n"/>
      <c r="I1280" s="54" t="n"/>
      <c r="J1280" s="53" t="n"/>
      <c r="K1280" s="55" t="str">
        <f>IF(COUNTA(A1280:I1280)=0,"",IF(F1280="",IFERROR(INDEX(eq_dur,MATCH(B1280,eq_code,0)),""),F1280))</f>
        <v/>
      </c>
      <c r="L1280" s="55" t="str">
        <f>IF(ISNUMBER(K1280),N(IFERROR(INDEX(eq_pause,MATCH(B1280,eq_code,0)),0))+SUMIFS(st_min,st_date,A1280,st_eq,B1280,st_po,C1280,st_type,"Planifié"),"")</f>
        <v/>
      </c>
      <c r="M1280" s="55" t="str">
        <f>IF(ISNUMBER(K1280),K1280-L1280,"")</f>
        <v/>
      </c>
      <c r="N1280" s="55" t="str">
        <f>IF(ISNUMBER(K1280),SUMIFS(st_min,st_date,A1280,st_eq,B1280,st_po,C1280,st_type,"Non planifié"),"")</f>
        <v/>
      </c>
      <c r="O1280" s="55" t="str">
        <f>IF(ISNUMBER(K1280),M1280-N1280,"")</f>
        <v/>
      </c>
      <c r="P1280" s="55" t="str">
        <f>IF(COUNTA(A1280:I1280)=0,"",N(G1280)+N(H1280)+N(I1280))</f>
        <v/>
      </c>
      <c r="Q1280" s="56" t="str">
        <f>IF(COUNTA(A1280:I1280)=0,"",IF(N(IFERROR(INDEX(art_rate,MATCH(E1280,art_ref,0)),0))&gt;0,N(IFERROR(INDEX(art_rate,MATCH(E1280,art_ref,0)),0)),N(IFERROR(INDEX(po_rate,MATCH(C1280,po_code,0)),0))))</f>
        <v/>
      </c>
      <c r="R1280" s="55" t="str">
        <f>IF(AC1280=1,P1280*60/Q1280,"")</f>
        <v/>
      </c>
      <c r="S1280" s="55" t="str">
        <f>IF(AC1280=1,N(G1280)*60/Q1280,"")</f>
        <v/>
      </c>
      <c r="T1280" s="57" t="str">
        <f>IF(AC1280=1,O1280/M1280,"")</f>
        <v/>
      </c>
      <c r="U1280" s="57" t="str">
        <f>IF(AC1280=1,IF(O1280&gt;0,R1280/O1280,""),"")</f>
        <v/>
      </c>
      <c r="V1280" s="57" t="str">
        <f>IF(AC1280=1,IF(P1280&gt;0,N(G1280)/P1280,""),"")</f>
        <v/>
      </c>
      <c r="W1280" s="57" t="str">
        <f>IF(AC1280=1,S1280/M1280,"")</f>
        <v/>
      </c>
      <c r="X1280" s="57" t="str">
        <f>IF(AC1280=1,S1280/K1280,"")</f>
        <v/>
      </c>
      <c r="Y1280" s="58" t="str">
        <f>IF(W1280="","",IF(W1280&gt;=p_target,"Bon",IF(W1280&gt;=p_alert,"À surveiller","Faible")))</f>
        <v/>
      </c>
      <c r="Z1280" s="58" t="str">
        <f>IF(W1280="","",IF(MIN(IF(T1280="",1,T1280),IF(U1280="",1,U1280),IF(V1280="",1,V1280))&gt;=1,"Aucune",IF(IF(T1280="",1,T1280)&lt;=MIN(IF(U1280="",1,U1280),IF(V1280="",1,V1280)),"Disponibilité",IF(IF(U1280="",1,U1280)&lt;=IF(V1280="",1,V1280),"Performance","Qualité"))))</f>
        <v/>
      </c>
      <c r="AA1280" s="59" t="str">
        <f>IF(AC1280=1,N(H1280)*N(IFERROR(INDEX(art_cost,MATCH(E1280,art_ref,0)),0)),"")</f>
        <v/>
      </c>
      <c r="AB1280" s="58" t="str">
        <f>IF(COUNTA(A1280:I1280)=0,"",IF(N(A1280)&lt;=0,"Date manquante ou invalide",IF(B1280="","Équipe manquante",IF(ISNA(MATCH(B1280,eq_code,0)),"Équipe inconnue",IF(INDEX(eq_check,MATCH(B1280,eq_code,0))&lt;&gt;"OK","Équipe à corriger dans Paramètres",IF(C1280="","Poste manquant",IF(ISNA(MATCH(C1280,po_code,0)),"Poste inconnu",IF(AND(E1280&lt;&gt;"",ISNA(MATCH(E1280,art_ref,0))),"Article inconnu",IF(IF(E1280="",FALSE,INDEX(art_check,MATCH(E1280,art_ref,0))&lt;&gt;"OK"),"Article à corriger (feuille Articles)",IF(COUNTIFS(sj_date,A1280,sj_eq,B1280,sj_po,C1280)&gt;1,"Ligne en double (même jour, équipe et poste)",IF(OR(NOT(ISNUMBER(K1280)),N(K1280)&lt;=0,N(K1280)&gt;1440),"Temps d'ouverture invalide",IF(OR(AND(G1280&lt;&gt;"",NOT(ISNUMBER(G1280))),N(G1280)&lt;0,N(G1280)&lt;&gt;INT(N(G1280)),AND(H1280&lt;&gt;"",NOT(ISNUMBER(H1280))),N(H1280)&lt;0,N(H1280)&lt;&gt;INT(N(H1280)),AND(I1280&lt;&gt;"",NOT(ISNUMBER(I1280))),N(I1280)&lt;0,N(I1280)&lt;&gt;INT(N(I1280))),"Quantité invalide",IF(Q1280&lt;=0,"Cadence manquante (poste ou article)",IF(M1280&lt;=0,"Arrêts planifiés supérieurs au temps d'ouverture",IF(O1280&lt;0,"Arrêts supérieurs au temps requis",IF(AND(P1280&gt;0,O1280=0),"Pièces déclarées sans temps de marche",IF(AND(P1280=0,O1280&gt;0),"Aucune pièce déclarée",IF(P1280*60/Q1280&gt;O1280+0.001,"Cadence dépassée : vérifiez la cadence","OK"))))))))))))))))))</f>
        <v/>
      </c>
      <c r="AC1280">
        <f>IF(OR(AB1280="OK",AB1280="Aucune pièce déclarée",AB1280="Cadence dépassée : vérifiez la cadence"),1,0)</f>
        <v>0.0</v>
      </c>
      <c r="AD1280">
        <f>IF(AND(AC1280=1,A1280&gt;=p_from,A1280&lt;=p_to),1,0)</f>
        <v>0.0</v>
      </c>
      <c r="AE1280">
        <f>IF(AD1280=1,IF(COUNTIFS($A$6:A1280,A1280,$AD$6:AD1280,1)=1,1,0),0)</f>
        <v>0.0</v>
      </c>
      <c r="AF1280" t="str">
        <f>IF(AE1280=1,COUNTIFS(sj_first,1,sj_date,"&lt;"&amp;A1280)+1,"")</f>
        <v/>
      </c>
      <c r="AG1280" t="str">
        <f>IF(AND(AD1280=1,N(W1280)&lt;p_alert),ROUND(W1280,4),"")</f>
        <v/>
      </c>
      <c r="AH1280" t="str">
        <f>IF(AG1280="","",COUNTIF(sj_akey,"&lt;"&amp;AG1280)+COUNTIF($AG$6:AG1280,AG1280))</f>
        <v/>
      </c>
    </row>
    <row r="1281">
      <c r="A1281" s="51" t="n"/>
      <c r="B1281" s="52" t="n"/>
      <c r="C1281" s="52" t="n"/>
      <c r="D1281" s="53" t="n"/>
      <c r="E1281" s="53" t="n"/>
      <c r="F1281" s="54" t="n"/>
      <c r="G1281" s="54" t="n"/>
      <c r="H1281" s="54" t="n"/>
      <c r="I1281" s="54" t="n"/>
      <c r="J1281" s="53" t="n"/>
      <c r="K1281" s="55" t="str">
        <f>IF(COUNTA(A1281:I1281)=0,"",IF(F1281="",IFERROR(INDEX(eq_dur,MATCH(B1281,eq_code,0)),""),F1281))</f>
        <v/>
      </c>
      <c r="L1281" s="55" t="str">
        <f>IF(ISNUMBER(K1281),N(IFERROR(INDEX(eq_pause,MATCH(B1281,eq_code,0)),0))+SUMIFS(st_min,st_date,A1281,st_eq,B1281,st_po,C1281,st_type,"Planifié"),"")</f>
        <v/>
      </c>
      <c r="M1281" s="55" t="str">
        <f>IF(ISNUMBER(K1281),K1281-L1281,"")</f>
        <v/>
      </c>
      <c r="N1281" s="55" t="str">
        <f>IF(ISNUMBER(K1281),SUMIFS(st_min,st_date,A1281,st_eq,B1281,st_po,C1281,st_type,"Non planifié"),"")</f>
        <v/>
      </c>
      <c r="O1281" s="55" t="str">
        <f>IF(ISNUMBER(K1281),M1281-N1281,"")</f>
        <v/>
      </c>
      <c r="P1281" s="55" t="str">
        <f>IF(COUNTA(A1281:I1281)=0,"",N(G1281)+N(H1281)+N(I1281))</f>
        <v/>
      </c>
      <c r="Q1281" s="56" t="str">
        <f>IF(COUNTA(A1281:I1281)=0,"",IF(N(IFERROR(INDEX(art_rate,MATCH(E1281,art_ref,0)),0))&gt;0,N(IFERROR(INDEX(art_rate,MATCH(E1281,art_ref,0)),0)),N(IFERROR(INDEX(po_rate,MATCH(C1281,po_code,0)),0))))</f>
        <v/>
      </c>
      <c r="R1281" s="55" t="str">
        <f>IF(AC1281=1,P1281*60/Q1281,"")</f>
        <v/>
      </c>
      <c r="S1281" s="55" t="str">
        <f>IF(AC1281=1,N(G1281)*60/Q1281,"")</f>
        <v/>
      </c>
      <c r="T1281" s="57" t="str">
        <f>IF(AC1281=1,O1281/M1281,"")</f>
        <v/>
      </c>
      <c r="U1281" s="57" t="str">
        <f>IF(AC1281=1,IF(O1281&gt;0,R1281/O1281,""),"")</f>
        <v/>
      </c>
      <c r="V1281" s="57" t="str">
        <f>IF(AC1281=1,IF(P1281&gt;0,N(G1281)/P1281,""),"")</f>
        <v/>
      </c>
      <c r="W1281" s="57" t="str">
        <f>IF(AC1281=1,S1281/M1281,"")</f>
        <v/>
      </c>
      <c r="X1281" s="57" t="str">
        <f>IF(AC1281=1,S1281/K1281,"")</f>
        <v/>
      </c>
      <c r="Y1281" s="58" t="str">
        <f>IF(W1281="","",IF(W1281&gt;=p_target,"Bon",IF(W1281&gt;=p_alert,"À surveiller","Faible")))</f>
        <v/>
      </c>
      <c r="Z1281" s="58" t="str">
        <f>IF(W1281="","",IF(MIN(IF(T1281="",1,T1281),IF(U1281="",1,U1281),IF(V1281="",1,V1281))&gt;=1,"Aucune",IF(IF(T1281="",1,T1281)&lt;=MIN(IF(U1281="",1,U1281),IF(V1281="",1,V1281)),"Disponibilité",IF(IF(U1281="",1,U1281)&lt;=IF(V1281="",1,V1281),"Performance","Qualité"))))</f>
        <v/>
      </c>
      <c r="AA1281" s="59" t="str">
        <f>IF(AC1281=1,N(H1281)*N(IFERROR(INDEX(art_cost,MATCH(E1281,art_ref,0)),0)),"")</f>
        <v/>
      </c>
      <c r="AB1281" s="58" t="str">
        <f>IF(COUNTA(A1281:I1281)=0,"",IF(N(A1281)&lt;=0,"Date manquante ou invalide",IF(B1281="","Équipe manquante",IF(ISNA(MATCH(B1281,eq_code,0)),"Équipe inconnue",IF(INDEX(eq_check,MATCH(B1281,eq_code,0))&lt;&gt;"OK","Équipe à corriger dans Paramètres",IF(C1281="","Poste manquant",IF(ISNA(MATCH(C1281,po_code,0)),"Poste inconnu",IF(AND(E1281&lt;&gt;"",ISNA(MATCH(E1281,art_ref,0))),"Article inconnu",IF(IF(E1281="",FALSE,INDEX(art_check,MATCH(E1281,art_ref,0))&lt;&gt;"OK"),"Article à corriger (feuille Articles)",IF(COUNTIFS(sj_date,A1281,sj_eq,B1281,sj_po,C1281)&gt;1,"Ligne en double (même jour, équipe et poste)",IF(OR(NOT(ISNUMBER(K1281)),N(K1281)&lt;=0,N(K1281)&gt;1440),"Temps d'ouverture invalide",IF(OR(AND(G1281&lt;&gt;"",NOT(ISNUMBER(G1281))),N(G1281)&lt;0,N(G1281)&lt;&gt;INT(N(G1281)),AND(H1281&lt;&gt;"",NOT(ISNUMBER(H1281))),N(H1281)&lt;0,N(H1281)&lt;&gt;INT(N(H1281)),AND(I1281&lt;&gt;"",NOT(ISNUMBER(I1281))),N(I1281)&lt;0,N(I1281)&lt;&gt;INT(N(I1281))),"Quantité invalide",IF(Q1281&lt;=0,"Cadence manquante (poste ou article)",IF(M1281&lt;=0,"Arrêts planifiés supérieurs au temps d'ouverture",IF(O1281&lt;0,"Arrêts supérieurs au temps requis",IF(AND(P1281&gt;0,O1281=0),"Pièces déclarées sans temps de marche",IF(AND(P1281=0,O1281&gt;0),"Aucune pièce déclarée",IF(P1281*60/Q1281&gt;O1281+0.001,"Cadence dépassée : vérifiez la cadence","OK"))))))))))))))))))</f>
        <v/>
      </c>
      <c r="AC1281">
        <f>IF(OR(AB1281="OK",AB1281="Aucune pièce déclarée",AB1281="Cadence dépassée : vérifiez la cadence"),1,0)</f>
        <v>0.0</v>
      </c>
      <c r="AD1281">
        <f>IF(AND(AC1281=1,A1281&gt;=p_from,A1281&lt;=p_to),1,0)</f>
        <v>0.0</v>
      </c>
      <c r="AE1281">
        <f>IF(AD1281=1,IF(COUNTIFS($A$6:A1281,A1281,$AD$6:AD1281,1)=1,1,0),0)</f>
        <v>0.0</v>
      </c>
      <c r="AF1281" t="str">
        <f>IF(AE1281=1,COUNTIFS(sj_first,1,sj_date,"&lt;"&amp;A1281)+1,"")</f>
        <v/>
      </c>
      <c r="AG1281" t="str">
        <f>IF(AND(AD1281=1,N(W1281)&lt;p_alert),ROUND(W1281,4),"")</f>
        <v/>
      </c>
      <c r="AH1281" t="str">
        <f>IF(AG1281="","",COUNTIF(sj_akey,"&lt;"&amp;AG1281)+COUNTIF($AG$6:AG1281,AG1281))</f>
        <v/>
      </c>
    </row>
    <row r="1282">
      <c r="A1282" s="51" t="n"/>
      <c r="B1282" s="52" t="n"/>
      <c r="C1282" s="52" t="n"/>
      <c r="D1282" s="53" t="n"/>
      <c r="E1282" s="53" t="n"/>
      <c r="F1282" s="54" t="n"/>
      <c r="G1282" s="54" t="n"/>
      <c r="H1282" s="54" t="n"/>
      <c r="I1282" s="54" t="n"/>
      <c r="J1282" s="53" t="n"/>
      <c r="K1282" s="55" t="str">
        <f>IF(COUNTA(A1282:I1282)=0,"",IF(F1282="",IFERROR(INDEX(eq_dur,MATCH(B1282,eq_code,0)),""),F1282))</f>
        <v/>
      </c>
      <c r="L1282" s="55" t="str">
        <f>IF(ISNUMBER(K1282),N(IFERROR(INDEX(eq_pause,MATCH(B1282,eq_code,0)),0))+SUMIFS(st_min,st_date,A1282,st_eq,B1282,st_po,C1282,st_type,"Planifié"),"")</f>
        <v/>
      </c>
      <c r="M1282" s="55" t="str">
        <f>IF(ISNUMBER(K1282),K1282-L1282,"")</f>
        <v/>
      </c>
      <c r="N1282" s="55" t="str">
        <f>IF(ISNUMBER(K1282),SUMIFS(st_min,st_date,A1282,st_eq,B1282,st_po,C1282,st_type,"Non planifié"),"")</f>
        <v/>
      </c>
      <c r="O1282" s="55" t="str">
        <f>IF(ISNUMBER(K1282),M1282-N1282,"")</f>
        <v/>
      </c>
      <c r="P1282" s="55" t="str">
        <f>IF(COUNTA(A1282:I1282)=0,"",N(G1282)+N(H1282)+N(I1282))</f>
        <v/>
      </c>
      <c r="Q1282" s="56" t="str">
        <f>IF(COUNTA(A1282:I1282)=0,"",IF(N(IFERROR(INDEX(art_rate,MATCH(E1282,art_ref,0)),0))&gt;0,N(IFERROR(INDEX(art_rate,MATCH(E1282,art_ref,0)),0)),N(IFERROR(INDEX(po_rate,MATCH(C1282,po_code,0)),0))))</f>
        <v/>
      </c>
      <c r="R1282" s="55" t="str">
        <f>IF(AC1282=1,P1282*60/Q1282,"")</f>
        <v/>
      </c>
      <c r="S1282" s="55" t="str">
        <f>IF(AC1282=1,N(G1282)*60/Q1282,"")</f>
        <v/>
      </c>
      <c r="T1282" s="57" t="str">
        <f>IF(AC1282=1,O1282/M1282,"")</f>
        <v/>
      </c>
      <c r="U1282" s="57" t="str">
        <f>IF(AC1282=1,IF(O1282&gt;0,R1282/O1282,""),"")</f>
        <v/>
      </c>
      <c r="V1282" s="57" t="str">
        <f>IF(AC1282=1,IF(P1282&gt;0,N(G1282)/P1282,""),"")</f>
        <v/>
      </c>
      <c r="W1282" s="57" t="str">
        <f>IF(AC1282=1,S1282/M1282,"")</f>
        <v/>
      </c>
      <c r="X1282" s="57" t="str">
        <f>IF(AC1282=1,S1282/K1282,"")</f>
        <v/>
      </c>
      <c r="Y1282" s="58" t="str">
        <f>IF(W1282="","",IF(W1282&gt;=p_target,"Bon",IF(W1282&gt;=p_alert,"À surveiller","Faible")))</f>
        <v/>
      </c>
      <c r="Z1282" s="58" t="str">
        <f>IF(W1282="","",IF(MIN(IF(T1282="",1,T1282),IF(U1282="",1,U1282),IF(V1282="",1,V1282))&gt;=1,"Aucune",IF(IF(T1282="",1,T1282)&lt;=MIN(IF(U1282="",1,U1282),IF(V1282="",1,V1282)),"Disponibilité",IF(IF(U1282="",1,U1282)&lt;=IF(V1282="",1,V1282),"Performance","Qualité"))))</f>
        <v/>
      </c>
      <c r="AA1282" s="59" t="str">
        <f>IF(AC1282=1,N(H1282)*N(IFERROR(INDEX(art_cost,MATCH(E1282,art_ref,0)),0)),"")</f>
        <v/>
      </c>
      <c r="AB1282" s="58" t="str">
        <f>IF(COUNTA(A1282:I1282)=0,"",IF(N(A1282)&lt;=0,"Date manquante ou invalide",IF(B1282="","Équipe manquante",IF(ISNA(MATCH(B1282,eq_code,0)),"Équipe inconnue",IF(INDEX(eq_check,MATCH(B1282,eq_code,0))&lt;&gt;"OK","Équipe à corriger dans Paramètres",IF(C1282="","Poste manquant",IF(ISNA(MATCH(C1282,po_code,0)),"Poste inconnu",IF(AND(E1282&lt;&gt;"",ISNA(MATCH(E1282,art_ref,0))),"Article inconnu",IF(IF(E1282="",FALSE,INDEX(art_check,MATCH(E1282,art_ref,0))&lt;&gt;"OK"),"Article à corriger (feuille Articles)",IF(COUNTIFS(sj_date,A1282,sj_eq,B1282,sj_po,C1282)&gt;1,"Ligne en double (même jour, équipe et poste)",IF(OR(NOT(ISNUMBER(K1282)),N(K1282)&lt;=0,N(K1282)&gt;1440),"Temps d'ouverture invalide",IF(OR(AND(G1282&lt;&gt;"",NOT(ISNUMBER(G1282))),N(G1282)&lt;0,N(G1282)&lt;&gt;INT(N(G1282)),AND(H1282&lt;&gt;"",NOT(ISNUMBER(H1282))),N(H1282)&lt;0,N(H1282)&lt;&gt;INT(N(H1282)),AND(I1282&lt;&gt;"",NOT(ISNUMBER(I1282))),N(I1282)&lt;0,N(I1282)&lt;&gt;INT(N(I1282))),"Quantité invalide",IF(Q1282&lt;=0,"Cadence manquante (poste ou article)",IF(M1282&lt;=0,"Arrêts planifiés supérieurs au temps d'ouverture",IF(O1282&lt;0,"Arrêts supérieurs au temps requis",IF(AND(P1282&gt;0,O1282=0),"Pièces déclarées sans temps de marche",IF(AND(P1282=0,O1282&gt;0),"Aucune pièce déclarée",IF(P1282*60/Q1282&gt;O1282+0.001,"Cadence dépassée : vérifiez la cadence","OK"))))))))))))))))))</f>
        <v/>
      </c>
      <c r="AC1282">
        <f>IF(OR(AB1282="OK",AB1282="Aucune pièce déclarée",AB1282="Cadence dépassée : vérifiez la cadence"),1,0)</f>
        <v>0.0</v>
      </c>
      <c r="AD1282">
        <f>IF(AND(AC1282=1,A1282&gt;=p_from,A1282&lt;=p_to),1,0)</f>
        <v>0.0</v>
      </c>
      <c r="AE1282">
        <f>IF(AD1282=1,IF(COUNTIFS($A$6:A1282,A1282,$AD$6:AD1282,1)=1,1,0),0)</f>
        <v>0.0</v>
      </c>
      <c r="AF1282" t="str">
        <f>IF(AE1282=1,COUNTIFS(sj_first,1,sj_date,"&lt;"&amp;A1282)+1,"")</f>
        <v/>
      </c>
      <c r="AG1282" t="str">
        <f>IF(AND(AD1282=1,N(W1282)&lt;p_alert),ROUND(W1282,4),"")</f>
        <v/>
      </c>
      <c r="AH1282" t="str">
        <f>IF(AG1282="","",COUNTIF(sj_akey,"&lt;"&amp;AG1282)+COUNTIF($AG$6:AG1282,AG1282))</f>
        <v/>
      </c>
    </row>
    <row r="1283">
      <c r="A1283" s="51" t="n"/>
      <c r="B1283" s="52" t="n"/>
      <c r="C1283" s="52" t="n"/>
      <c r="D1283" s="53" t="n"/>
      <c r="E1283" s="53" t="n"/>
      <c r="F1283" s="54" t="n"/>
      <c r="G1283" s="54" t="n"/>
      <c r="H1283" s="54" t="n"/>
      <c r="I1283" s="54" t="n"/>
      <c r="J1283" s="53" t="n"/>
      <c r="K1283" s="55" t="str">
        <f>IF(COUNTA(A1283:I1283)=0,"",IF(F1283="",IFERROR(INDEX(eq_dur,MATCH(B1283,eq_code,0)),""),F1283))</f>
        <v/>
      </c>
      <c r="L1283" s="55" t="str">
        <f>IF(ISNUMBER(K1283),N(IFERROR(INDEX(eq_pause,MATCH(B1283,eq_code,0)),0))+SUMIFS(st_min,st_date,A1283,st_eq,B1283,st_po,C1283,st_type,"Planifié"),"")</f>
        <v/>
      </c>
      <c r="M1283" s="55" t="str">
        <f>IF(ISNUMBER(K1283),K1283-L1283,"")</f>
        <v/>
      </c>
      <c r="N1283" s="55" t="str">
        <f>IF(ISNUMBER(K1283),SUMIFS(st_min,st_date,A1283,st_eq,B1283,st_po,C1283,st_type,"Non planifié"),"")</f>
        <v/>
      </c>
      <c r="O1283" s="55" t="str">
        <f>IF(ISNUMBER(K1283),M1283-N1283,"")</f>
        <v/>
      </c>
      <c r="P1283" s="55" t="str">
        <f>IF(COUNTA(A1283:I1283)=0,"",N(G1283)+N(H1283)+N(I1283))</f>
        <v/>
      </c>
      <c r="Q1283" s="56" t="str">
        <f>IF(COUNTA(A1283:I1283)=0,"",IF(N(IFERROR(INDEX(art_rate,MATCH(E1283,art_ref,0)),0))&gt;0,N(IFERROR(INDEX(art_rate,MATCH(E1283,art_ref,0)),0)),N(IFERROR(INDEX(po_rate,MATCH(C1283,po_code,0)),0))))</f>
        <v/>
      </c>
      <c r="R1283" s="55" t="str">
        <f>IF(AC1283=1,P1283*60/Q1283,"")</f>
        <v/>
      </c>
      <c r="S1283" s="55" t="str">
        <f>IF(AC1283=1,N(G1283)*60/Q1283,"")</f>
        <v/>
      </c>
      <c r="T1283" s="57" t="str">
        <f>IF(AC1283=1,O1283/M1283,"")</f>
        <v/>
      </c>
      <c r="U1283" s="57" t="str">
        <f>IF(AC1283=1,IF(O1283&gt;0,R1283/O1283,""),"")</f>
        <v/>
      </c>
      <c r="V1283" s="57" t="str">
        <f>IF(AC1283=1,IF(P1283&gt;0,N(G1283)/P1283,""),"")</f>
        <v/>
      </c>
      <c r="W1283" s="57" t="str">
        <f>IF(AC1283=1,S1283/M1283,"")</f>
        <v/>
      </c>
      <c r="X1283" s="57" t="str">
        <f>IF(AC1283=1,S1283/K1283,"")</f>
        <v/>
      </c>
      <c r="Y1283" s="58" t="str">
        <f>IF(W1283="","",IF(W1283&gt;=p_target,"Bon",IF(W1283&gt;=p_alert,"À surveiller","Faible")))</f>
        <v/>
      </c>
      <c r="Z1283" s="58" t="str">
        <f>IF(W1283="","",IF(MIN(IF(T1283="",1,T1283),IF(U1283="",1,U1283),IF(V1283="",1,V1283))&gt;=1,"Aucune",IF(IF(T1283="",1,T1283)&lt;=MIN(IF(U1283="",1,U1283),IF(V1283="",1,V1283)),"Disponibilité",IF(IF(U1283="",1,U1283)&lt;=IF(V1283="",1,V1283),"Performance","Qualité"))))</f>
        <v/>
      </c>
      <c r="AA1283" s="59" t="str">
        <f>IF(AC1283=1,N(H1283)*N(IFERROR(INDEX(art_cost,MATCH(E1283,art_ref,0)),0)),"")</f>
        <v/>
      </c>
      <c r="AB1283" s="58" t="str">
        <f>IF(COUNTA(A1283:I1283)=0,"",IF(N(A1283)&lt;=0,"Date manquante ou invalide",IF(B1283="","Équipe manquante",IF(ISNA(MATCH(B1283,eq_code,0)),"Équipe inconnue",IF(INDEX(eq_check,MATCH(B1283,eq_code,0))&lt;&gt;"OK","Équipe à corriger dans Paramètres",IF(C1283="","Poste manquant",IF(ISNA(MATCH(C1283,po_code,0)),"Poste inconnu",IF(AND(E1283&lt;&gt;"",ISNA(MATCH(E1283,art_ref,0))),"Article inconnu",IF(IF(E1283="",FALSE,INDEX(art_check,MATCH(E1283,art_ref,0))&lt;&gt;"OK"),"Article à corriger (feuille Articles)",IF(COUNTIFS(sj_date,A1283,sj_eq,B1283,sj_po,C1283)&gt;1,"Ligne en double (même jour, équipe et poste)",IF(OR(NOT(ISNUMBER(K1283)),N(K1283)&lt;=0,N(K1283)&gt;1440),"Temps d'ouverture invalide",IF(OR(AND(G1283&lt;&gt;"",NOT(ISNUMBER(G1283))),N(G1283)&lt;0,N(G1283)&lt;&gt;INT(N(G1283)),AND(H1283&lt;&gt;"",NOT(ISNUMBER(H1283))),N(H1283)&lt;0,N(H1283)&lt;&gt;INT(N(H1283)),AND(I1283&lt;&gt;"",NOT(ISNUMBER(I1283))),N(I1283)&lt;0,N(I1283)&lt;&gt;INT(N(I1283))),"Quantité invalide",IF(Q1283&lt;=0,"Cadence manquante (poste ou article)",IF(M1283&lt;=0,"Arrêts planifiés supérieurs au temps d'ouverture",IF(O1283&lt;0,"Arrêts supérieurs au temps requis",IF(AND(P1283&gt;0,O1283=0),"Pièces déclarées sans temps de marche",IF(AND(P1283=0,O1283&gt;0),"Aucune pièce déclarée",IF(P1283*60/Q1283&gt;O1283+0.001,"Cadence dépassée : vérifiez la cadence","OK"))))))))))))))))))</f>
        <v/>
      </c>
      <c r="AC1283">
        <f>IF(OR(AB1283="OK",AB1283="Aucune pièce déclarée",AB1283="Cadence dépassée : vérifiez la cadence"),1,0)</f>
        <v>0.0</v>
      </c>
      <c r="AD1283">
        <f>IF(AND(AC1283=1,A1283&gt;=p_from,A1283&lt;=p_to),1,0)</f>
        <v>0.0</v>
      </c>
      <c r="AE1283">
        <f>IF(AD1283=1,IF(COUNTIFS($A$6:A1283,A1283,$AD$6:AD1283,1)=1,1,0),0)</f>
        <v>0.0</v>
      </c>
      <c r="AF1283" t="str">
        <f>IF(AE1283=1,COUNTIFS(sj_first,1,sj_date,"&lt;"&amp;A1283)+1,"")</f>
        <v/>
      </c>
      <c r="AG1283" t="str">
        <f>IF(AND(AD1283=1,N(W1283)&lt;p_alert),ROUND(W1283,4),"")</f>
        <v/>
      </c>
      <c r="AH1283" t="str">
        <f>IF(AG1283="","",COUNTIF(sj_akey,"&lt;"&amp;AG1283)+COUNTIF($AG$6:AG1283,AG1283))</f>
        <v/>
      </c>
    </row>
    <row r="1284">
      <c r="A1284" s="51" t="n"/>
      <c r="B1284" s="52" t="n"/>
      <c r="C1284" s="52" t="n"/>
      <c r="D1284" s="53" t="n"/>
      <c r="E1284" s="53" t="n"/>
      <c r="F1284" s="54" t="n"/>
      <c r="G1284" s="54" t="n"/>
      <c r="H1284" s="54" t="n"/>
      <c r="I1284" s="54" t="n"/>
      <c r="J1284" s="53" t="n"/>
      <c r="K1284" s="55" t="str">
        <f>IF(COUNTA(A1284:I1284)=0,"",IF(F1284="",IFERROR(INDEX(eq_dur,MATCH(B1284,eq_code,0)),""),F1284))</f>
        <v/>
      </c>
      <c r="L1284" s="55" t="str">
        <f>IF(ISNUMBER(K1284),N(IFERROR(INDEX(eq_pause,MATCH(B1284,eq_code,0)),0))+SUMIFS(st_min,st_date,A1284,st_eq,B1284,st_po,C1284,st_type,"Planifié"),"")</f>
        <v/>
      </c>
      <c r="M1284" s="55" t="str">
        <f>IF(ISNUMBER(K1284),K1284-L1284,"")</f>
        <v/>
      </c>
      <c r="N1284" s="55" t="str">
        <f>IF(ISNUMBER(K1284),SUMIFS(st_min,st_date,A1284,st_eq,B1284,st_po,C1284,st_type,"Non planifié"),"")</f>
        <v/>
      </c>
      <c r="O1284" s="55" t="str">
        <f>IF(ISNUMBER(K1284),M1284-N1284,"")</f>
        <v/>
      </c>
      <c r="P1284" s="55" t="str">
        <f>IF(COUNTA(A1284:I1284)=0,"",N(G1284)+N(H1284)+N(I1284))</f>
        <v/>
      </c>
      <c r="Q1284" s="56" t="str">
        <f>IF(COUNTA(A1284:I1284)=0,"",IF(N(IFERROR(INDEX(art_rate,MATCH(E1284,art_ref,0)),0))&gt;0,N(IFERROR(INDEX(art_rate,MATCH(E1284,art_ref,0)),0)),N(IFERROR(INDEX(po_rate,MATCH(C1284,po_code,0)),0))))</f>
        <v/>
      </c>
      <c r="R1284" s="55" t="str">
        <f>IF(AC1284=1,P1284*60/Q1284,"")</f>
        <v/>
      </c>
      <c r="S1284" s="55" t="str">
        <f>IF(AC1284=1,N(G1284)*60/Q1284,"")</f>
        <v/>
      </c>
      <c r="T1284" s="57" t="str">
        <f>IF(AC1284=1,O1284/M1284,"")</f>
        <v/>
      </c>
      <c r="U1284" s="57" t="str">
        <f>IF(AC1284=1,IF(O1284&gt;0,R1284/O1284,""),"")</f>
        <v/>
      </c>
      <c r="V1284" s="57" t="str">
        <f>IF(AC1284=1,IF(P1284&gt;0,N(G1284)/P1284,""),"")</f>
        <v/>
      </c>
      <c r="W1284" s="57" t="str">
        <f>IF(AC1284=1,S1284/M1284,"")</f>
        <v/>
      </c>
      <c r="X1284" s="57" t="str">
        <f>IF(AC1284=1,S1284/K1284,"")</f>
        <v/>
      </c>
      <c r="Y1284" s="58" t="str">
        <f>IF(W1284="","",IF(W1284&gt;=p_target,"Bon",IF(W1284&gt;=p_alert,"À surveiller","Faible")))</f>
        <v/>
      </c>
      <c r="Z1284" s="58" t="str">
        <f>IF(W1284="","",IF(MIN(IF(T1284="",1,T1284),IF(U1284="",1,U1284),IF(V1284="",1,V1284))&gt;=1,"Aucune",IF(IF(T1284="",1,T1284)&lt;=MIN(IF(U1284="",1,U1284),IF(V1284="",1,V1284)),"Disponibilité",IF(IF(U1284="",1,U1284)&lt;=IF(V1284="",1,V1284),"Performance","Qualité"))))</f>
        <v/>
      </c>
      <c r="AA1284" s="59" t="str">
        <f>IF(AC1284=1,N(H1284)*N(IFERROR(INDEX(art_cost,MATCH(E1284,art_ref,0)),0)),"")</f>
        <v/>
      </c>
      <c r="AB1284" s="58" t="str">
        <f>IF(COUNTA(A1284:I1284)=0,"",IF(N(A1284)&lt;=0,"Date manquante ou invalide",IF(B1284="","Équipe manquante",IF(ISNA(MATCH(B1284,eq_code,0)),"Équipe inconnue",IF(INDEX(eq_check,MATCH(B1284,eq_code,0))&lt;&gt;"OK","Équipe à corriger dans Paramètres",IF(C1284="","Poste manquant",IF(ISNA(MATCH(C1284,po_code,0)),"Poste inconnu",IF(AND(E1284&lt;&gt;"",ISNA(MATCH(E1284,art_ref,0))),"Article inconnu",IF(IF(E1284="",FALSE,INDEX(art_check,MATCH(E1284,art_ref,0))&lt;&gt;"OK"),"Article à corriger (feuille Articles)",IF(COUNTIFS(sj_date,A1284,sj_eq,B1284,sj_po,C1284)&gt;1,"Ligne en double (même jour, équipe et poste)",IF(OR(NOT(ISNUMBER(K1284)),N(K1284)&lt;=0,N(K1284)&gt;1440),"Temps d'ouverture invalide",IF(OR(AND(G1284&lt;&gt;"",NOT(ISNUMBER(G1284))),N(G1284)&lt;0,N(G1284)&lt;&gt;INT(N(G1284)),AND(H1284&lt;&gt;"",NOT(ISNUMBER(H1284))),N(H1284)&lt;0,N(H1284)&lt;&gt;INT(N(H1284)),AND(I1284&lt;&gt;"",NOT(ISNUMBER(I1284))),N(I1284)&lt;0,N(I1284)&lt;&gt;INT(N(I1284))),"Quantité invalide",IF(Q1284&lt;=0,"Cadence manquante (poste ou article)",IF(M1284&lt;=0,"Arrêts planifiés supérieurs au temps d'ouverture",IF(O1284&lt;0,"Arrêts supérieurs au temps requis",IF(AND(P1284&gt;0,O1284=0),"Pièces déclarées sans temps de marche",IF(AND(P1284=0,O1284&gt;0),"Aucune pièce déclarée",IF(P1284*60/Q1284&gt;O1284+0.001,"Cadence dépassée : vérifiez la cadence","OK"))))))))))))))))))</f>
        <v/>
      </c>
      <c r="AC1284">
        <f>IF(OR(AB1284="OK",AB1284="Aucune pièce déclarée",AB1284="Cadence dépassée : vérifiez la cadence"),1,0)</f>
        <v>0.0</v>
      </c>
      <c r="AD1284">
        <f>IF(AND(AC1284=1,A1284&gt;=p_from,A1284&lt;=p_to),1,0)</f>
        <v>0.0</v>
      </c>
      <c r="AE1284">
        <f>IF(AD1284=1,IF(COUNTIFS($A$6:A1284,A1284,$AD$6:AD1284,1)=1,1,0),0)</f>
        <v>0.0</v>
      </c>
      <c r="AF1284" t="str">
        <f>IF(AE1284=1,COUNTIFS(sj_first,1,sj_date,"&lt;"&amp;A1284)+1,"")</f>
        <v/>
      </c>
      <c r="AG1284" t="str">
        <f>IF(AND(AD1284=1,N(W1284)&lt;p_alert),ROUND(W1284,4),"")</f>
        <v/>
      </c>
      <c r="AH1284" t="str">
        <f>IF(AG1284="","",COUNTIF(sj_akey,"&lt;"&amp;AG1284)+COUNTIF($AG$6:AG1284,AG1284))</f>
        <v/>
      </c>
    </row>
    <row r="1285">
      <c r="A1285" s="51" t="n"/>
      <c r="B1285" s="52" t="n"/>
      <c r="C1285" s="52" t="n"/>
      <c r="D1285" s="53" t="n"/>
      <c r="E1285" s="53" t="n"/>
      <c r="F1285" s="54" t="n"/>
      <c r="G1285" s="54" t="n"/>
      <c r="H1285" s="54" t="n"/>
      <c r="I1285" s="54" t="n"/>
      <c r="J1285" s="53" t="n"/>
      <c r="K1285" s="55" t="str">
        <f>IF(COUNTA(A1285:I1285)=0,"",IF(F1285="",IFERROR(INDEX(eq_dur,MATCH(B1285,eq_code,0)),""),F1285))</f>
        <v/>
      </c>
      <c r="L1285" s="55" t="str">
        <f>IF(ISNUMBER(K1285),N(IFERROR(INDEX(eq_pause,MATCH(B1285,eq_code,0)),0))+SUMIFS(st_min,st_date,A1285,st_eq,B1285,st_po,C1285,st_type,"Planifié"),"")</f>
        <v/>
      </c>
      <c r="M1285" s="55" t="str">
        <f>IF(ISNUMBER(K1285),K1285-L1285,"")</f>
        <v/>
      </c>
      <c r="N1285" s="55" t="str">
        <f>IF(ISNUMBER(K1285),SUMIFS(st_min,st_date,A1285,st_eq,B1285,st_po,C1285,st_type,"Non planifié"),"")</f>
        <v/>
      </c>
      <c r="O1285" s="55" t="str">
        <f>IF(ISNUMBER(K1285),M1285-N1285,"")</f>
        <v/>
      </c>
      <c r="P1285" s="55" t="str">
        <f>IF(COUNTA(A1285:I1285)=0,"",N(G1285)+N(H1285)+N(I1285))</f>
        <v/>
      </c>
      <c r="Q1285" s="56" t="str">
        <f>IF(COUNTA(A1285:I1285)=0,"",IF(N(IFERROR(INDEX(art_rate,MATCH(E1285,art_ref,0)),0))&gt;0,N(IFERROR(INDEX(art_rate,MATCH(E1285,art_ref,0)),0)),N(IFERROR(INDEX(po_rate,MATCH(C1285,po_code,0)),0))))</f>
        <v/>
      </c>
      <c r="R1285" s="55" t="str">
        <f>IF(AC1285=1,P1285*60/Q1285,"")</f>
        <v/>
      </c>
      <c r="S1285" s="55" t="str">
        <f>IF(AC1285=1,N(G1285)*60/Q1285,"")</f>
        <v/>
      </c>
      <c r="T1285" s="57" t="str">
        <f>IF(AC1285=1,O1285/M1285,"")</f>
        <v/>
      </c>
      <c r="U1285" s="57" t="str">
        <f>IF(AC1285=1,IF(O1285&gt;0,R1285/O1285,""),"")</f>
        <v/>
      </c>
      <c r="V1285" s="57" t="str">
        <f>IF(AC1285=1,IF(P1285&gt;0,N(G1285)/P1285,""),"")</f>
        <v/>
      </c>
      <c r="W1285" s="57" t="str">
        <f>IF(AC1285=1,S1285/M1285,"")</f>
        <v/>
      </c>
      <c r="X1285" s="57" t="str">
        <f>IF(AC1285=1,S1285/K1285,"")</f>
        <v/>
      </c>
      <c r="Y1285" s="58" t="str">
        <f>IF(W1285="","",IF(W1285&gt;=p_target,"Bon",IF(W1285&gt;=p_alert,"À surveiller","Faible")))</f>
        <v/>
      </c>
      <c r="Z1285" s="58" t="str">
        <f>IF(W1285="","",IF(MIN(IF(T1285="",1,T1285),IF(U1285="",1,U1285),IF(V1285="",1,V1285))&gt;=1,"Aucune",IF(IF(T1285="",1,T1285)&lt;=MIN(IF(U1285="",1,U1285),IF(V1285="",1,V1285)),"Disponibilité",IF(IF(U1285="",1,U1285)&lt;=IF(V1285="",1,V1285),"Performance","Qualité"))))</f>
        <v/>
      </c>
      <c r="AA1285" s="59" t="str">
        <f>IF(AC1285=1,N(H1285)*N(IFERROR(INDEX(art_cost,MATCH(E1285,art_ref,0)),0)),"")</f>
        <v/>
      </c>
      <c r="AB1285" s="58" t="str">
        <f>IF(COUNTA(A1285:I1285)=0,"",IF(N(A1285)&lt;=0,"Date manquante ou invalide",IF(B1285="","Équipe manquante",IF(ISNA(MATCH(B1285,eq_code,0)),"Équipe inconnue",IF(INDEX(eq_check,MATCH(B1285,eq_code,0))&lt;&gt;"OK","Équipe à corriger dans Paramètres",IF(C1285="","Poste manquant",IF(ISNA(MATCH(C1285,po_code,0)),"Poste inconnu",IF(AND(E1285&lt;&gt;"",ISNA(MATCH(E1285,art_ref,0))),"Article inconnu",IF(IF(E1285="",FALSE,INDEX(art_check,MATCH(E1285,art_ref,0))&lt;&gt;"OK"),"Article à corriger (feuille Articles)",IF(COUNTIFS(sj_date,A1285,sj_eq,B1285,sj_po,C1285)&gt;1,"Ligne en double (même jour, équipe et poste)",IF(OR(NOT(ISNUMBER(K1285)),N(K1285)&lt;=0,N(K1285)&gt;1440),"Temps d'ouverture invalide",IF(OR(AND(G1285&lt;&gt;"",NOT(ISNUMBER(G1285))),N(G1285)&lt;0,N(G1285)&lt;&gt;INT(N(G1285)),AND(H1285&lt;&gt;"",NOT(ISNUMBER(H1285))),N(H1285)&lt;0,N(H1285)&lt;&gt;INT(N(H1285)),AND(I1285&lt;&gt;"",NOT(ISNUMBER(I1285))),N(I1285)&lt;0,N(I1285)&lt;&gt;INT(N(I1285))),"Quantité invalide",IF(Q1285&lt;=0,"Cadence manquante (poste ou article)",IF(M1285&lt;=0,"Arrêts planifiés supérieurs au temps d'ouverture",IF(O1285&lt;0,"Arrêts supérieurs au temps requis",IF(AND(P1285&gt;0,O1285=0),"Pièces déclarées sans temps de marche",IF(AND(P1285=0,O1285&gt;0),"Aucune pièce déclarée",IF(P1285*60/Q1285&gt;O1285+0.001,"Cadence dépassée : vérifiez la cadence","OK"))))))))))))))))))</f>
        <v/>
      </c>
      <c r="AC1285">
        <f>IF(OR(AB1285="OK",AB1285="Aucune pièce déclarée",AB1285="Cadence dépassée : vérifiez la cadence"),1,0)</f>
        <v>0.0</v>
      </c>
      <c r="AD1285">
        <f>IF(AND(AC1285=1,A1285&gt;=p_from,A1285&lt;=p_to),1,0)</f>
        <v>0.0</v>
      </c>
      <c r="AE1285">
        <f>IF(AD1285=1,IF(COUNTIFS($A$6:A1285,A1285,$AD$6:AD1285,1)=1,1,0),0)</f>
        <v>0.0</v>
      </c>
      <c r="AF1285" t="str">
        <f>IF(AE1285=1,COUNTIFS(sj_first,1,sj_date,"&lt;"&amp;A1285)+1,"")</f>
        <v/>
      </c>
      <c r="AG1285" t="str">
        <f>IF(AND(AD1285=1,N(W1285)&lt;p_alert),ROUND(W1285,4),"")</f>
        <v/>
      </c>
      <c r="AH1285" t="str">
        <f>IF(AG1285="","",COUNTIF(sj_akey,"&lt;"&amp;AG1285)+COUNTIF($AG$6:AG1285,AG1285))</f>
        <v/>
      </c>
    </row>
    <row r="1286">
      <c r="A1286" s="51" t="n"/>
      <c r="B1286" s="52" t="n"/>
      <c r="C1286" s="52" t="n"/>
      <c r="D1286" s="53" t="n"/>
      <c r="E1286" s="53" t="n"/>
      <c r="F1286" s="54" t="n"/>
      <c r="G1286" s="54" t="n"/>
      <c r="H1286" s="54" t="n"/>
      <c r="I1286" s="54" t="n"/>
      <c r="J1286" s="53" t="n"/>
      <c r="K1286" s="55" t="str">
        <f>IF(COUNTA(A1286:I1286)=0,"",IF(F1286="",IFERROR(INDEX(eq_dur,MATCH(B1286,eq_code,0)),""),F1286))</f>
        <v/>
      </c>
      <c r="L1286" s="55" t="str">
        <f>IF(ISNUMBER(K1286),N(IFERROR(INDEX(eq_pause,MATCH(B1286,eq_code,0)),0))+SUMIFS(st_min,st_date,A1286,st_eq,B1286,st_po,C1286,st_type,"Planifié"),"")</f>
        <v/>
      </c>
      <c r="M1286" s="55" t="str">
        <f>IF(ISNUMBER(K1286),K1286-L1286,"")</f>
        <v/>
      </c>
      <c r="N1286" s="55" t="str">
        <f>IF(ISNUMBER(K1286),SUMIFS(st_min,st_date,A1286,st_eq,B1286,st_po,C1286,st_type,"Non planifié"),"")</f>
        <v/>
      </c>
      <c r="O1286" s="55" t="str">
        <f>IF(ISNUMBER(K1286),M1286-N1286,"")</f>
        <v/>
      </c>
      <c r="P1286" s="55" t="str">
        <f>IF(COUNTA(A1286:I1286)=0,"",N(G1286)+N(H1286)+N(I1286))</f>
        <v/>
      </c>
      <c r="Q1286" s="56" t="str">
        <f>IF(COUNTA(A1286:I1286)=0,"",IF(N(IFERROR(INDEX(art_rate,MATCH(E1286,art_ref,0)),0))&gt;0,N(IFERROR(INDEX(art_rate,MATCH(E1286,art_ref,0)),0)),N(IFERROR(INDEX(po_rate,MATCH(C1286,po_code,0)),0))))</f>
        <v/>
      </c>
      <c r="R1286" s="55" t="str">
        <f>IF(AC1286=1,P1286*60/Q1286,"")</f>
        <v/>
      </c>
      <c r="S1286" s="55" t="str">
        <f>IF(AC1286=1,N(G1286)*60/Q1286,"")</f>
        <v/>
      </c>
      <c r="T1286" s="57" t="str">
        <f>IF(AC1286=1,O1286/M1286,"")</f>
        <v/>
      </c>
      <c r="U1286" s="57" t="str">
        <f>IF(AC1286=1,IF(O1286&gt;0,R1286/O1286,""),"")</f>
        <v/>
      </c>
      <c r="V1286" s="57" t="str">
        <f>IF(AC1286=1,IF(P1286&gt;0,N(G1286)/P1286,""),"")</f>
        <v/>
      </c>
      <c r="W1286" s="57" t="str">
        <f>IF(AC1286=1,S1286/M1286,"")</f>
        <v/>
      </c>
      <c r="X1286" s="57" t="str">
        <f>IF(AC1286=1,S1286/K1286,"")</f>
        <v/>
      </c>
      <c r="Y1286" s="58" t="str">
        <f>IF(W1286="","",IF(W1286&gt;=p_target,"Bon",IF(W1286&gt;=p_alert,"À surveiller","Faible")))</f>
        <v/>
      </c>
      <c r="Z1286" s="58" t="str">
        <f>IF(W1286="","",IF(MIN(IF(T1286="",1,T1286),IF(U1286="",1,U1286),IF(V1286="",1,V1286))&gt;=1,"Aucune",IF(IF(T1286="",1,T1286)&lt;=MIN(IF(U1286="",1,U1286),IF(V1286="",1,V1286)),"Disponibilité",IF(IF(U1286="",1,U1286)&lt;=IF(V1286="",1,V1286),"Performance","Qualité"))))</f>
        <v/>
      </c>
      <c r="AA1286" s="59" t="str">
        <f>IF(AC1286=1,N(H1286)*N(IFERROR(INDEX(art_cost,MATCH(E1286,art_ref,0)),0)),"")</f>
        <v/>
      </c>
      <c r="AB1286" s="58" t="str">
        <f>IF(COUNTA(A1286:I1286)=0,"",IF(N(A1286)&lt;=0,"Date manquante ou invalide",IF(B1286="","Équipe manquante",IF(ISNA(MATCH(B1286,eq_code,0)),"Équipe inconnue",IF(INDEX(eq_check,MATCH(B1286,eq_code,0))&lt;&gt;"OK","Équipe à corriger dans Paramètres",IF(C1286="","Poste manquant",IF(ISNA(MATCH(C1286,po_code,0)),"Poste inconnu",IF(AND(E1286&lt;&gt;"",ISNA(MATCH(E1286,art_ref,0))),"Article inconnu",IF(IF(E1286="",FALSE,INDEX(art_check,MATCH(E1286,art_ref,0))&lt;&gt;"OK"),"Article à corriger (feuille Articles)",IF(COUNTIFS(sj_date,A1286,sj_eq,B1286,sj_po,C1286)&gt;1,"Ligne en double (même jour, équipe et poste)",IF(OR(NOT(ISNUMBER(K1286)),N(K1286)&lt;=0,N(K1286)&gt;1440),"Temps d'ouverture invalide",IF(OR(AND(G1286&lt;&gt;"",NOT(ISNUMBER(G1286))),N(G1286)&lt;0,N(G1286)&lt;&gt;INT(N(G1286)),AND(H1286&lt;&gt;"",NOT(ISNUMBER(H1286))),N(H1286)&lt;0,N(H1286)&lt;&gt;INT(N(H1286)),AND(I1286&lt;&gt;"",NOT(ISNUMBER(I1286))),N(I1286)&lt;0,N(I1286)&lt;&gt;INT(N(I1286))),"Quantité invalide",IF(Q1286&lt;=0,"Cadence manquante (poste ou article)",IF(M1286&lt;=0,"Arrêts planifiés supérieurs au temps d'ouverture",IF(O1286&lt;0,"Arrêts supérieurs au temps requis",IF(AND(P1286&gt;0,O1286=0),"Pièces déclarées sans temps de marche",IF(AND(P1286=0,O1286&gt;0),"Aucune pièce déclarée",IF(P1286*60/Q1286&gt;O1286+0.001,"Cadence dépassée : vérifiez la cadence","OK"))))))))))))))))))</f>
        <v/>
      </c>
      <c r="AC1286">
        <f>IF(OR(AB1286="OK",AB1286="Aucune pièce déclarée",AB1286="Cadence dépassée : vérifiez la cadence"),1,0)</f>
        <v>0.0</v>
      </c>
      <c r="AD1286">
        <f>IF(AND(AC1286=1,A1286&gt;=p_from,A1286&lt;=p_to),1,0)</f>
        <v>0.0</v>
      </c>
      <c r="AE1286">
        <f>IF(AD1286=1,IF(COUNTIFS($A$6:A1286,A1286,$AD$6:AD1286,1)=1,1,0),0)</f>
        <v>0.0</v>
      </c>
      <c r="AF1286" t="str">
        <f>IF(AE1286=1,COUNTIFS(sj_first,1,sj_date,"&lt;"&amp;A1286)+1,"")</f>
        <v/>
      </c>
      <c r="AG1286" t="str">
        <f>IF(AND(AD1286=1,N(W1286)&lt;p_alert),ROUND(W1286,4),"")</f>
        <v/>
      </c>
      <c r="AH1286" t="str">
        <f>IF(AG1286="","",COUNTIF(sj_akey,"&lt;"&amp;AG1286)+COUNTIF($AG$6:AG1286,AG1286))</f>
        <v/>
      </c>
    </row>
    <row r="1287">
      <c r="A1287" s="51" t="n"/>
      <c r="B1287" s="52" t="n"/>
      <c r="C1287" s="52" t="n"/>
      <c r="D1287" s="53" t="n"/>
      <c r="E1287" s="53" t="n"/>
      <c r="F1287" s="54" t="n"/>
      <c r="G1287" s="54" t="n"/>
      <c r="H1287" s="54" t="n"/>
      <c r="I1287" s="54" t="n"/>
      <c r="J1287" s="53" t="n"/>
      <c r="K1287" s="55" t="str">
        <f>IF(COUNTA(A1287:I1287)=0,"",IF(F1287="",IFERROR(INDEX(eq_dur,MATCH(B1287,eq_code,0)),""),F1287))</f>
        <v/>
      </c>
      <c r="L1287" s="55" t="str">
        <f>IF(ISNUMBER(K1287),N(IFERROR(INDEX(eq_pause,MATCH(B1287,eq_code,0)),0))+SUMIFS(st_min,st_date,A1287,st_eq,B1287,st_po,C1287,st_type,"Planifié"),"")</f>
        <v/>
      </c>
      <c r="M1287" s="55" t="str">
        <f>IF(ISNUMBER(K1287),K1287-L1287,"")</f>
        <v/>
      </c>
      <c r="N1287" s="55" t="str">
        <f>IF(ISNUMBER(K1287),SUMIFS(st_min,st_date,A1287,st_eq,B1287,st_po,C1287,st_type,"Non planifié"),"")</f>
        <v/>
      </c>
      <c r="O1287" s="55" t="str">
        <f>IF(ISNUMBER(K1287),M1287-N1287,"")</f>
        <v/>
      </c>
      <c r="P1287" s="55" t="str">
        <f>IF(COUNTA(A1287:I1287)=0,"",N(G1287)+N(H1287)+N(I1287))</f>
        <v/>
      </c>
      <c r="Q1287" s="56" t="str">
        <f>IF(COUNTA(A1287:I1287)=0,"",IF(N(IFERROR(INDEX(art_rate,MATCH(E1287,art_ref,0)),0))&gt;0,N(IFERROR(INDEX(art_rate,MATCH(E1287,art_ref,0)),0)),N(IFERROR(INDEX(po_rate,MATCH(C1287,po_code,0)),0))))</f>
        <v/>
      </c>
      <c r="R1287" s="55" t="str">
        <f>IF(AC1287=1,P1287*60/Q1287,"")</f>
        <v/>
      </c>
      <c r="S1287" s="55" t="str">
        <f>IF(AC1287=1,N(G1287)*60/Q1287,"")</f>
        <v/>
      </c>
      <c r="T1287" s="57" t="str">
        <f>IF(AC1287=1,O1287/M1287,"")</f>
        <v/>
      </c>
      <c r="U1287" s="57" t="str">
        <f>IF(AC1287=1,IF(O1287&gt;0,R1287/O1287,""),"")</f>
        <v/>
      </c>
      <c r="V1287" s="57" t="str">
        <f>IF(AC1287=1,IF(P1287&gt;0,N(G1287)/P1287,""),"")</f>
        <v/>
      </c>
      <c r="W1287" s="57" t="str">
        <f>IF(AC1287=1,S1287/M1287,"")</f>
        <v/>
      </c>
      <c r="X1287" s="57" t="str">
        <f>IF(AC1287=1,S1287/K1287,"")</f>
        <v/>
      </c>
      <c r="Y1287" s="58" t="str">
        <f>IF(W1287="","",IF(W1287&gt;=p_target,"Bon",IF(W1287&gt;=p_alert,"À surveiller","Faible")))</f>
        <v/>
      </c>
      <c r="Z1287" s="58" t="str">
        <f>IF(W1287="","",IF(MIN(IF(T1287="",1,T1287),IF(U1287="",1,U1287),IF(V1287="",1,V1287))&gt;=1,"Aucune",IF(IF(T1287="",1,T1287)&lt;=MIN(IF(U1287="",1,U1287),IF(V1287="",1,V1287)),"Disponibilité",IF(IF(U1287="",1,U1287)&lt;=IF(V1287="",1,V1287),"Performance","Qualité"))))</f>
        <v/>
      </c>
      <c r="AA1287" s="59" t="str">
        <f>IF(AC1287=1,N(H1287)*N(IFERROR(INDEX(art_cost,MATCH(E1287,art_ref,0)),0)),"")</f>
        <v/>
      </c>
      <c r="AB1287" s="58" t="str">
        <f>IF(COUNTA(A1287:I1287)=0,"",IF(N(A1287)&lt;=0,"Date manquante ou invalide",IF(B1287="","Équipe manquante",IF(ISNA(MATCH(B1287,eq_code,0)),"Équipe inconnue",IF(INDEX(eq_check,MATCH(B1287,eq_code,0))&lt;&gt;"OK","Équipe à corriger dans Paramètres",IF(C1287="","Poste manquant",IF(ISNA(MATCH(C1287,po_code,0)),"Poste inconnu",IF(AND(E1287&lt;&gt;"",ISNA(MATCH(E1287,art_ref,0))),"Article inconnu",IF(IF(E1287="",FALSE,INDEX(art_check,MATCH(E1287,art_ref,0))&lt;&gt;"OK"),"Article à corriger (feuille Articles)",IF(COUNTIFS(sj_date,A1287,sj_eq,B1287,sj_po,C1287)&gt;1,"Ligne en double (même jour, équipe et poste)",IF(OR(NOT(ISNUMBER(K1287)),N(K1287)&lt;=0,N(K1287)&gt;1440),"Temps d'ouverture invalide",IF(OR(AND(G1287&lt;&gt;"",NOT(ISNUMBER(G1287))),N(G1287)&lt;0,N(G1287)&lt;&gt;INT(N(G1287)),AND(H1287&lt;&gt;"",NOT(ISNUMBER(H1287))),N(H1287)&lt;0,N(H1287)&lt;&gt;INT(N(H1287)),AND(I1287&lt;&gt;"",NOT(ISNUMBER(I1287))),N(I1287)&lt;0,N(I1287)&lt;&gt;INT(N(I1287))),"Quantité invalide",IF(Q1287&lt;=0,"Cadence manquante (poste ou article)",IF(M1287&lt;=0,"Arrêts planifiés supérieurs au temps d'ouverture",IF(O1287&lt;0,"Arrêts supérieurs au temps requis",IF(AND(P1287&gt;0,O1287=0),"Pièces déclarées sans temps de marche",IF(AND(P1287=0,O1287&gt;0),"Aucune pièce déclarée",IF(P1287*60/Q1287&gt;O1287+0.001,"Cadence dépassée : vérifiez la cadence","OK"))))))))))))))))))</f>
        <v/>
      </c>
      <c r="AC1287">
        <f>IF(OR(AB1287="OK",AB1287="Aucune pièce déclarée",AB1287="Cadence dépassée : vérifiez la cadence"),1,0)</f>
        <v>0.0</v>
      </c>
      <c r="AD1287">
        <f>IF(AND(AC1287=1,A1287&gt;=p_from,A1287&lt;=p_to),1,0)</f>
        <v>0.0</v>
      </c>
      <c r="AE1287">
        <f>IF(AD1287=1,IF(COUNTIFS($A$6:A1287,A1287,$AD$6:AD1287,1)=1,1,0),0)</f>
        <v>0.0</v>
      </c>
      <c r="AF1287" t="str">
        <f>IF(AE1287=1,COUNTIFS(sj_first,1,sj_date,"&lt;"&amp;A1287)+1,"")</f>
        <v/>
      </c>
      <c r="AG1287" t="str">
        <f>IF(AND(AD1287=1,N(W1287)&lt;p_alert),ROUND(W1287,4),"")</f>
        <v/>
      </c>
      <c r="AH1287" t="str">
        <f>IF(AG1287="","",COUNTIF(sj_akey,"&lt;"&amp;AG1287)+COUNTIF($AG$6:AG1287,AG1287))</f>
        <v/>
      </c>
    </row>
    <row r="1288">
      <c r="A1288" s="51" t="n"/>
      <c r="B1288" s="52" t="n"/>
      <c r="C1288" s="52" t="n"/>
      <c r="D1288" s="53" t="n"/>
      <c r="E1288" s="53" t="n"/>
      <c r="F1288" s="54" t="n"/>
      <c r="G1288" s="54" t="n"/>
      <c r="H1288" s="54" t="n"/>
      <c r="I1288" s="54" t="n"/>
      <c r="J1288" s="53" t="n"/>
      <c r="K1288" s="55" t="str">
        <f>IF(COUNTA(A1288:I1288)=0,"",IF(F1288="",IFERROR(INDEX(eq_dur,MATCH(B1288,eq_code,0)),""),F1288))</f>
        <v/>
      </c>
      <c r="L1288" s="55" t="str">
        <f>IF(ISNUMBER(K1288),N(IFERROR(INDEX(eq_pause,MATCH(B1288,eq_code,0)),0))+SUMIFS(st_min,st_date,A1288,st_eq,B1288,st_po,C1288,st_type,"Planifié"),"")</f>
        <v/>
      </c>
      <c r="M1288" s="55" t="str">
        <f>IF(ISNUMBER(K1288),K1288-L1288,"")</f>
        <v/>
      </c>
      <c r="N1288" s="55" t="str">
        <f>IF(ISNUMBER(K1288),SUMIFS(st_min,st_date,A1288,st_eq,B1288,st_po,C1288,st_type,"Non planifié"),"")</f>
        <v/>
      </c>
      <c r="O1288" s="55" t="str">
        <f>IF(ISNUMBER(K1288),M1288-N1288,"")</f>
        <v/>
      </c>
      <c r="P1288" s="55" t="str">
        <f>IF(COUNTA(A1288:I1288)=0,"",N(G1288)+N(H1288)+N(I1288))</f>
        <v/>
      </c>
      <c r="Q1288" s="56" t="str">
        <f>IF(COUNTA(A1288:I1288)=0,"",IF(N(IFERROR(INDEX(art_rate,MATCH(E1288,art_ref,0)),0))&gt;0,N(IFERROR(INDEX(art_rate,MATCH(E1288,art_ref,0)),0)),N(IFERROR(INDEX(po_rate,MATCH(C1288,po_code,0)),0))))</f>
        <v/>
      </c>
      <c r="R1288" s="55" t="str">
        <f>IF(AC1288=1,P1288*60/Q1288,"")</f>
        <v/>
      </c>
      <c r="S1288" s="55" t="str">
        <f>IF(AC1288=1,N(G1288)*60/Q1288,"")</f>
        <v/>
      </c>
      <c r="T1288" s="57" t="str">
        <f>IF(AC1288=1,O1288/M1288,"")</f>
        <v/>
      </c>
      <c r="U1288" s="57" t="str">
        <f>IF(AC1288=1,IF(O1288&gt;0,R1288/O1288,""),"")</f>
        <v/>
      </c>
      <c r="V1288" s="57" t="str">
        <f>IF(AC1288=1,IF(P1288&gt;0,N(G1288)/P1288,""),"")</f>
        <v/>
      </c>
      <c r="W1288" s="57" t="str">
        <f>IF(AC1288=1,S1288/M1288,"")</f>
        <v/>
      </c>
      <c r="X1288" s="57" t="str">
        <f>IF(AC1288=1,S1288/K1288,"")</f>
        <v/>
      </c>
      <c r="Y1288" s="58" t="str">
        <f>IF(W1288="","",IF(W1288&gt;=p_target,"Bon",IF(W1288&gt;=p_alert,"À surveiller","Faible")))</f>
        <v/>
      </c>
      <c r="Z1288" s="58" t="str">
        <f>IF(W1288="","",IF(MIN(IF(T1288="",1,T1288),IF(U1288="",1,U1288),IF(V1288="",1,V1288))&gt;=1,"Aucune",IF(IF(T1288="",1,T1288)&lt;=MIN(IF(U1288="",1,U1288),IF(V1288="",1,V1288)),"Disponibilité",IF(IF(U1288="",1,U1288)&lt;=IF(V1288="",1,V1288),"Performance","Qualité"))))</f>
        <v/>
      </c>
      <c r="AA1288" s="59" t="str">
        <f>IF(AC1288=1,N(H1288)*N(IFERROR(INDEX(art_cost,MATCH(E1288,art_ref,0)),0)),"")</f>
        <v/>
      </c>
      <c r="AB1288" s="58" t="str">
        <f>IF(COUNTA(A1288:I1288)=0,"",IF(N(A1288)&lt;=0,"Date manquante ou invalide",IF(B1288="","Équipe manquante",IF(ISNA(MATCH(B1288,eq_code,0)),"Équipe inconnue",IF(INDEX(eq_check,MATCH(B1288,eq_code,0))&lt;&gt;"OK","Équipe à corriger dans Paramètres",IF(C1288="","Poste manquant",IF(ISNA(MATCH(C1288,po_code,0)),"Poste inconnu",IF(AND(E1288&lt;&gt;"",ISNA(MATCH(E1288,art_ref,0))),"Article inconnu",IF(IF(E1288="",FALSE,INDEX(art_check,MATCH(E1288,art_ref,0))&lt;&gt;"OK"),"Article à corriger (feuille Articles)",IF(COUNTIFS(sj_date,A1288,sj_eq,B1288,sj_po,C1288)&gt;1,"Ligne en double (même jour, équipe et poste)",IF(OR(NOT(ISNUMBER(K1288)),N(K1288)&lt;=0,N(K1288)&gt;1440),"Temps d'ouverture invalide",IF(OR(AND(G1288&lt;&gt;"",NOT(ISNUMBER(G1288))),N(G1288)&lt;0,N(G1288)&lt;&gt;INT(N(G1288)),AND(H1288&lt;&gt;"",NOT(ISNUMBER(H1288))),N(H1288)&lt;0,N(H1288)&lt;&gt;INT(N(H1288)),AND(I1288&lt;&gt;"",NOT(ISNUMBER(I1288))),N(I1288)&lt;0,N(I1288)&lt;&gt;INT(N(I1288))),"Quantité invalide",IF(Q1288&lt;=0,"Cadence manquante (poste ou article)",IF(M1288&lt;=0,"Arrêts planifiés supérieurs au temps d'ouverture",IF(O1288&lt;0,"Arrêts supérieurs au temps requis",IF(AND(P1288&gt;0,O1288=0),"Pièces déclarées sans temps de marche",IF(AND(P1288=0,O1288&gt;0),"Aucune pièce déclarée",IF(P1288*60/Q1288&gt;O1288+0.001,"Cadence dépassée : vérifiez la cadence","OK"))))))))))))))))))</f>
        <v/>
      </c>
      <c r="AC1288">
        <f>IF(OR(AB1288="OK",AB1288="Aucune pièce déclarée",AB1288="Cadence dépassée : vérifiez la cadence"),1,0)</f>
        <v>0.0</v>
      </c>
      <c r="AD1288">
        <f>IF(AND(AC1288=1,A1288&gt;=p_from,A1288&lt;=p_to),1,0)</f>
        <v>0.0</v>
      </c>
      <c r="AE1288">
        <f>IF(AD1288=1,IF(COUNTIFS($A$6:A1288,A1288,$AD$6:AD1288,1)=1,1,0),0)</f>
        <v>0.0</v>
      </c>
      <c r="AF1288" t="str">
        <f>IF(AE1288=1,COUNTIFS(sj_first,1,sj_date,"&lt;"&amp;A1288)+1,"")</f>
        <v/>
      </c>
      <c r="AG1288" t="str">
        <f>IF(AND(AD1288=1,N(W1288)&lt;p_alert),ROUND(W1288,4),"")</f>
        <v/>
      </c>
      <c r="AH1288" t="str">
        <f>IF(AG1288="","",COUNTIF(sj_akey,"&lt;"&amp;AG1288)+COUNTIF($AG$6:AG1288,AG1288))</f>
        <v/>
      </c>
    </row>
    <row r="1289">
      <c r="A1289" s="51" t="n"/>
      <c r="B1289" s="52" t="n"/>
      <c r="C1289" s="52" t="n"/>
      <c r="D1289" s="53" t="n"/>
      <c r="E1289" s="53" t="n"/>
      <c r="F1289" s="54" t="n"/>
      <c r="G1289" s="54" t="n"/>
      <c r="H1289" s="54" t="n"/>
      <c r="I1289" s="54" t="n"/>
      <c r="J1289" s="53" t="n"/>
      <c r="K1289" s="55" t="str">
        <f>IF(COUNTA(A1289:I1289)=0,"",IF(F1289="",IFERROR(INDEX(eq_dur,MATCH(B1289,eq_code,0)),""),F1289))</f>
        <v/>
      </c>
      <c r="L1289" s="55" t="str">
        <f>IF(ISNUMBER(K1289),N(IFERROR(INDEX(eq_pause,MATCH(B1289,eq_code,0)),0))+SUMIFS(st_min,st_date,A1289,st_eq,B1289,st_po,C1289,st_type,"Planifié"),"")</f>
        <v/>
      </c>
      <c r="M1289" s="55" t="str">
        <f>IF(ISNUMBER(K1289),K1289-L1289,"")</f>
        <v/>
      </c>
      <c r="N1289" s="55" t="str">
        <f>IF(ISNUMBER(K1289),SUMIFS(st_min,st_date,A1289,st_eq,B1289,st_po,C1289,st_type,"Non planifié"),"")</f>
        <v/>
      </c>
      <c r="O1289" s="55" t="str">
        <f>IF(ISNUMBER(K1289),M1289-N1289,"")</f>
        <v/>
      </c>
      <c r="P1289" s="55" t="str">
        <f>IF(COUNTA(A1289:I1289)=0,"",N(G1289)+N(H1289)+N(I1289))</f>
        <v/>
      </c>
      <c r="Q1289" s="56" t="str">
        <f>IF(COUNTA(A1289:I1289)=0,"",IF(N(IFERROR(INDEX(art_rate,MATCH(E1289,art_ref,0)),0))&gt;0,N(IFERROR(INDEX(art_rate,MATCH(E1289,art_ref,0)),0)),N(IFERROR(INDEX(po_rate,MATCH(C1289,po_code,0)),0))))</f>
        <v/>
      </c>
      <c r="R1289" s="55" t="str">
        <f>IF(AC1289=1,P1289*60/Q1289,"")</f>
        <v/>
      </c>
      <c r="S1289" s="55" t="str">
        <f>IF(AC1289=1,N(G1289)*60/Q1289,"")</f>
        <v/>
      </c>
      <c r="T1289" s="57" t="str">
        <f>IF(AC1289=1,O1289/M1289,"")</f>
        <v/>
      </c>
      <c r="U1289" s="57" t="str">
        <f>IF(AC1289=1,IF(O1289&gt;0,R1289/O1289,""),"")</f>
        <v/>
      </c>
      <c r="V1289" s="57" t="str">
        <f>IF(AC1289=1,IF(P1289&gt;0,N(G1289)/P1289,""),"")</f>
        <v/>
      </c>
      <c r="W1289" s="57" t="str">
        <f>IF(AC1289=1,S1289/M1289,"")</f>
        <v/>
      </c>
      <c r="X1289" s="57" t="str">
        <f>IF(AC1289=1,S1289/K1289,"")</f>
        <v/>
      </c>
      <c r="Y1289" s="58" t="str">
        <f>IF(W1289="","",IF(W1289&gt;=p_target,"Bon",IF(W1289&gt;=p_alert,"À surveiller","Faible")))</f>
        <v/>
      </c>
      <c r="Z1289" s="58" t="str">
        <f>IF(W1289="","",IF(MIN(IF(T1289="",1,T1289),IF(U1289="",1,U1289),IF(V1289="",1,V1289))&gt;=1,"Aucune",IF(IF(T1289="",1,T1289)&lt;=MIN(IF(U1289="",1,U1289),IF(V1289="",1,V1289)),"Disponibilité",IF(IF(U1289="",1,U1289)&lt;=IF(V1289="",1,V1289),"Performance","Qualité"))))</f>
        <v/>
      </c>
      <c r="AA1289" s="59" t="str">
        <f>IF(AC1289=1,N(H1289)*N(IFERROR(INDEX(art_cost,MATCH(E1289,art_ref,0)),0)),"")</f>
        <v/>
      </c>
      <c r="AB1289" s="58" t="str">
        <f>IF(COUNTA(A1289:I1289)=0,"",IF(N(A1289)&lt;=0,"Date manquante ou invalide",IF(B1289="","Équipe manquante",IF(ISNA(MATCH(B1289,eq_code,0)),"Équipe inconnue",IF(INDEX(eq_check,MATCH(B1289,eq_code,0))&lt;&gt;"OK","Équipe à corriger dans Paramètres",IF(C1289="","Poste manquant",IF(ISNA(MATCH(C1289,po_code,0)),"Poste inconnu",IF(AND(E1289&lt;&gt;"",ISNA(MATCH(E1289,art_ref,0))),"Article inconnu",IF(IF(E1289="",FALSE,INDEX(art_check,MATCH(E1289,art_ref,0))&lt;&gt;"OK"),"Article à corriger (feuille Articles)",IF(COUNTIFS(sj_date,A1289,sj_eq,B1289,sj_po,C1289)&gt;1,"Ligne en double (même jour, équipe et poste)",IF(OR(NOT(ISNUMBER(K1289)),N(K1289)&lt;=0,N(K1289)&gt;1440),"Temps d'ouverture invalide",IF(OR(AND(G1289&lt;&gt;"",NOT(ISNUMBER(G1289))),N(G1289)&lt;0,N(G1289)&lt;&gt;INT(N(G1289)),AND(H1289&lt;&gt;"",NOT(ISNUMBER(H1289))),N(H1289)&lt;0,N(H1289)&lt;&gt;INT(N(H1289)),AND(I1289&lt;&gt;"",NOT(ISNUMBER(I1289))),N(I1289)&lt;0,N(I1289)&lt;&gt;INT(N(I1289))),"Quantité invalide",IF(Q1289&lt;=0,"Cadence manquante (poste ou article)",IF(M1289&lt;=0,"Arrêts planifiés supérieurs au temps d'ouverture",IF(O1289&lt;0,"Arrêts supérieurs au temps requis",IF(AND(P1289&gt;0,O1289=0),"Pièces déclarées sans temps de marche",IF(AND(P1289=0,O1289&gt;0),"Aucune pièce déclarée",IF(P1289*60/Q1289&gt;O1289+0.001,"Cadence dépassée : vérifiez la cadence","OK"))))))))))))))))))</f>
        <v/>
      </c>
      <c r="AC1289">
        <f>IF(OR(AB1289="OK",AB1289="Aucune pièce déclarée",AB1289="Cadence dépassée : vérifiez la cadence"),1,0)</f>
        <v>0.0</v>
      </c>
      <c r="AD1289">
        <f>IF(AND(AC1289=1,A1289&gt;=p_from,A1289&lt;=p_to),1,0)</f>
        <v>0.0</v>
      </c>
      <c r="AE1289">
        <f>IF(AD1289=1,IF(COUNTIFS($A$6:A1289,A1289,$AD$6:AD1289,1)=1,1,0),0)</f>
        <v>0.0</v>
      </c>
      <c r="AF1289" t="str">
        <f>IF(AE1289=1,COUNTIFS(sj_first,1,sj_date,"&lt;"&amp;A1289)+1,"")</f>
        <v/>
      </c>
      <c r="AG1289" t="str">
        <f>IF(AND(AD1289=1,N(W1289)&lt;p_alert),ROUND(W1289,4),"")</f>
        <v/>
      </c>
      <c r="AH1289" t="str">
        <f>IF(AG1289="","",COUNTIF(sj_akey,"&lt;"&amp;AG1289)+COUNTIF($AG$6:AG1289,AG1289))</f>
        <v/>
      </c>
    </row>
    <row r="1290">
      <c r="A1290" s="51" t="n"/>
      <c r="B1290" s="52" t="n"/>
      <c r="C1290" s="52" t="n"/>
      <c r="D1290" s="53" t="n"/>
      <c r="E1290" s="53" t="n"/>
      <c r="F1290" s="54" t="n"/>
      <c r="G1290" s="54" t="n"/>
      <c r="H1290" s="54" t="n"/>
      <c r="I1290" s="54" t="n"/>
      <c r="J1290" s="53" t="n"/>
      <c r="K1290" s="55" t="str">
        <f>IF(COUNTA(A1290:I1290)=0,"",IF(F1290="",IFERROR(INDEX(eq_dur,MATCH(B1290,eq_code,0)),""),F1290))</f>
        <v/>
      </c>
      <c r="L1290" s="55" t="str">
        <f>IF(ISNUMBER(K1290),N(IFERROR(INDEX(eq_pause,MATCH(B1290,eq_code,0)),0))+SUMIFS(st_min,st_date,A1290,st_eq,B1290,st_po,C1290,st_type,"Planifié"),"")</f>
        <v/>
      </c>
      <c r="M1290" s="55" t="str">
        <f>IF(ISNUMBER(K1290),K1290-L1290,"")</f>
        <v/>
      </c>
      <c r="N1290" s="55" t="str">
        <f>IF(ISNUMBER(K1290),SUMIFS(st_min,st_date,A1290,st_eq,B1290,st_po,C1290,st_type,"Non planifié"),"")</f>
        <v/>
      </c>
      <c r="O1290" s="55" t="str">
        <f>IF(ISNUMBER(K1290),M1290-N1290,"")</f>
        <v/>
      </c>
      <c r="P1290" s="55" t="str">
        <f>IF(COUNTA(A1290:I1290)=0,"",N(G1290)+N(H1290)+N(I1290))</f>
        <v/>
      </c>
      <c r="Q1290" s="56" t="str">
        <f>IF(COUNTA(A1290:I1290)=0,"",IF(N(IFERROR(INDEX(art_rate,MATCH(E1290,art_ref,0)),0))&gt;0,N(IFERROR(INDEX(art_rate,MATCH(E1290,art_ref,0)),0)),N(IFERROR(INDEX(po_rate,MATCH(C1290,po_code,0)),0))))</f>
        <v/>
      </c>
      <c r="R1290" s="55" t="str">
        <f>IF(AC1290=1,P1290*60/Q1290,"")</f>
        <v/>
      </c>
      <c r="S1290" s="55" t="str">
        <f>IF(AC1290=1,N(G1290)*60/Q1290,"")</f>
        <v/>
      </c>
      <c r="T1290" s="57" t="str">
        <f>IF(AC1290=1,O1290/M1290,"")</f>
        <v/>
      </c>
      <c r="U1290" s="57" t="str">
        <f>IF(AC1290=1,IF(O1290&gt;0,R1290/O1290,""),"")</f>
        <v/>
      </c>
      <c r="V1290" s="57" t="str">
        <f>IF(AC1290=1,IF(P1290&gt;0,N(G1290)/P1290,""),"")</f>
        <v/>
      </c>
      <c r="W1290" s="57" t="str">
        <f>IF(AC1290=1,S1290/M1290,"")</f>
        <v/>
      </c>
      <c r="X1290" s="57" t="str">
        <f>IF(AC1290=1,S1290/K1290,"")</f>
        <v/>
      </c>
      <c r="Y1290" s="58" t="str">
        <f>IF(W1290="","",IF(W1290&gt;=p_target,"Bon",IF(W1290&gt;=p_alert,"À surveiller","Faible")))</f>
        <v/>
      </c>
      <c r="Z1290" s="58" t="str">
        <f>IF(W1290="","",IF(MIN(IF(T1290="",1,T1290),IF(U1290="",1,U1290),IF(V1290="",1,V1290))&gt;=1,"Aucune",IF(IF(T1290="",1,T1290)&lt;=MIN(IF(U1290="",1,U1290),IF(V1290="",1,V1290)),"Disponibilité",IF(IF(U1290="",1,U1290)&lt;=IF(V1290="",1,V1290),"Performance","Qualité"))))</f>
        <v/>
      </c>
      <c r="AA1290" s="59" t="str">
        <f>IF(AC1290=1,N(H1290)*N(IFERROR(INDEX(art_cost,MATCH(E1290,art_ref,0)),0)),"")</f>
        <v/>
      </c>
      <c r="AB1290" s="58" t="str">
        <f>IF(COUNTA(A1290:I1290)=0,"",IF(N(A1290)&lt;=0,"Date manquante ou invalide",IF(B1290="","Équipe manquante",IF(ISNA(MATCH(B1290,eq_code,0)),"Équipe inconnue",IF(INDEX(eq_check,MATCH(B1290,eq_code,0))&lt;&gt;"OK","Équipe à corriger dans Paramètres",IF(C1290="","Poste manquant",IF(ISNA(MATCH(C1290,po_code,0)),"Poste inconnu",IF(AND(E1290&lt;&gt;"",ISNA(MATCH(E1290,art_ref,0))),"Article inconnu",IF(IF(E1290="",FALSE,INDEX(art_check,MATCH(E1290,art_ref,0))&lt;&gt;"OK"),"Article à corriger (feuille Articles)",IF(COUNTIFS(sj_date,A1290,sj_eq,B1290,sj_po,C1290)&gt;1,"Ligne en double (même jour, équipe et poste)",IF(OR(NOT(ISNUMBER(K1290)),N(K1290)&lt;=0,N(K1290)&gt;1440),"Temps d'ouverture invalide",IF(OR(AND(G1290&lt;&gt;"",NOT(ISNUMBER(G1290))),N(G1290)&lt;0,N(G1290)&lt;&gt;INT(N(G1290)),AND(H1290&lt;&gt;"",NOT(ISNUMBER(H1290))),N(H1290)&lt;0,N(H1290)&lt;&gt;INT(N(H1290)),AND(I1290&lt;&gt;"",NOT(ISNUMBER(I1290))),N(I1290)&lt;0,N(I1290)&lt;&gt;INT(N(I1290))),"Quantité invalide",IF(Q1290&lt;=0,"Cadence manquante (poste ou article)",IF(M1290&lt;=0,"Arrêts planifiés supérieurs au temps d'ouverture",IF(O1290&lt;0,"Arrêts supérieurs au temps requis",IF(AND(P1290&gt;0,O1290=0),"Pièces déclarées sans temps de marche",IF(AND(P1290=0,O1290&gt;0),"Aucune pièce déclarée",IF(P1290*60/Q1290&gt;O1290+0.001,"Cadence dépassée : vérifiez la cadence","OK"))))))))))))))))))</f>
        <v/>
      </c>
      <c r="AC1290">
        <f>IF(OR(AB1290="OK",AB1290="Aucune pièce déclarée",AB1290="Cadence dépassée : vérifiez la cadence"),1,0)</f>
        <v>0.0</v>
      </c>
      <c r="AD1290">
        <f>IF(AND(AC1290=1,A1290&gt;=p_from,A1290&lt;=p_to),1,0)</f>
        <v>0.0</v>
      </c>
      <c r="AE1290">
        <f>IF(AD1290=1,IF(COUNTIFS($A$6:A1290,A1290,$AD$6:AD1290,1)=1,1,0),0)</f>
        <v>0.0</v>
      </c>
      <c r="AF1290" t="str">
        <f>IF(AE1290=1,COUNTIFS(sj_first,1,sj_date,"&lt;"&amp;A1290)+1,"")</f>
        <v/>
      </c>
      <c r="AG1290" t="str">
        <f>IF(AND(AD1290=1,N(W1290)&lt;p_alert),ROUND(W1290,4),"")</f>
        <v/>
      </c>
      <c r="AH1290" t="str">
        <f>IF(AG1290="","",COUNTIF(sj_akey,"&lt;"&amp;AG1290)+COUNTIF($AG$6:AG1290,AG1290))</f>
        <v/>
      </c>
    </row>
    <row r="1291">
      <c r="A1291" s="51" t="n"/>
      <c r="B1291" s="52" t="n"/>
      <c r="C1291" s="52" t="n"/>
      <c r="D1291" s="53" t="n"/>
      <c r="E1291" s="53" t="n"/>
      <c r="F1291" s="54" t="n"/>
      <c r="G1291" s="54" t="n"/>
      <c r="H1291" s="54" t="n"/>
      <c r="I1291" s="54" t="n"/>
      <c r="J1291" s="53" t="n"/>
      <c r="K1291" s="55" t="str">
        <f>IF(COUNTA(A1291:I1291)=0,"",IF(F1291="",IFERROR(INDEX(eq_dur,MATCH(B1291,eq_code,0)),""),F1291))</f>
        <v/>
      </c>
      <c r="L1291" s="55" t="str">
        <f>IF(ISNUMBER(K1291),N(IFERROR(INDEX(eq_pause,MATCH(B1291,eq_code,0)),0))+SUMIFS(st_min,st_date,A1291,st_eq,B1291,st_po,C1291,st_type,"Planifié"),"")</f>
        <v/>
      </c>
      <c r="M1291" s="55" t="str">
        <f>IF(ISNUMBER(K1291),K1291-L1291,"")</f>
        <v/>
      </c>
      <c r="N1291" s="55" t="str">
        <f>IF(ISNUMBER(K1291),SUMIFS(st_min,st_date,A1291,st_eq,B1291,st_po,C1291,st_type,"Non planifié"),"")</f>
        <v/>
      </c>
      <c r="O1291" s="55" t="str">
        <f>IF(ISNUMBER(K1291),M1291-N1291,"")</f>
        <v/>
      </c>
      <c r="P1291" s="55" t="str">
        <f>IF(COUNTA(A1291:I1291)=0,"",N(G1291)+N(H1291)+N(I1291))</f>
        <v/>
      </c>
      <c r="Q1291" s="56" t="str">
        <f>IF(COUNTA(A1291:I1291)=0,"",IF(N(IFERROR(INDEX(art_rate,MATCH(E1291,art_ref,0)),0))&gt;0,N(IFERROR(INDEX(art_rate,MATCH(E1291,art_ref,0)),0)),N(IFERROR(INDEX(po_rate,MATCH(C1291,po_code,0)),0))))</f>
        <v/>
      </c>
      <c r="R1291" s="55" t="str">
        <f>IF(AC1291=1,P1291*60/Q1291,"")</f>
        <v/>
      </c>
      <c r="S1291" s="55" t="str">
        <f>IF(AC1291=1,N(G1291)*60/Q1291,"")</f>
        <v/>
      </c>
      <c r="T1291" s="57" t="str">
        <f>IF(AC1291=1,O1291/M1291,"")</f>
        <v/>
      </c>
      <c r="U1291" s="57" t="str">
        <f>IF(AC1291=1,IF(O1291&gt;0,R1291/O1291,""),"")</f>
        <v/>
      </c>
      <c r="V1291" s="57" t="str">
        <f>IF(AC1291=1,IF(P1291&gt;0,N(G1291)/P1291,""),"")</f>
        <v/>
      </c>
      <c r="W1291" s="57" t="str">
        <f>IF(AC1291=1,S1291/M1291,"")</f>
        <v/>
      </c>
      <c r="X1291" s="57" t="str">
        <f>IF(AC1291=1,S1291/K1291,"")</f>
        <v/>
      </c>
      <c r="Y1291" s="58" t="str">
        <f>IF(W1291="","",IF(W1291&gt;=p_target,"Bon",IF(W1291&gt;=p_alert,"À surveiller","Faible")))</f>
        <v/>
      </c>
      <c r="Z1291" s="58" t="str">
        <f>IF(W1291="","",IF(MIN(IF(T1291="",1,T1291),IF(U1291="",1,U1291),IF(V1291="",1,V1291))&gt;=1,"Aucune",IF(IF(T1291="",1,T1291)&lt;=MIN(IF(U1291="",1,U1291),IF(V1291="",1,V1291)),"Disponibilité",IF(IF(U1291="",1,U1291)&lt;=IF(V1291="",1,V1291),"Performance","Qualité"))))</f>
        <v/>
      </c>
      <c r="AA1291" s="59" t="str">
        <f>IF(AC1291=1,N(H1291)*N(IFERROR(INDEX(art_cost,MATCH(E1291,art_ref,0)),0)),"")</f>
        <v/>
      </c>
      <c r="AB1291" s="58" t="str">
        <f>IF(COUNTA(A1291:I1291)=0,"",IF(N(A1291)&lt;=0,"Date manquante ou invalide",IF(B1291="","Équipe manquante",IF(ISNA(MATCH(B1291,eq_code,0)),"Équipe inconnue",IF(INDEX(eq_check,MATCH(B1291,eq_code,0))&lt;&gt;"OK","Équipe à corriger dans Paramètres",IF(C1291="","Poste manquant",IF(ISNA(MATCH(C1291,po_code,0)),"Poste inconnu",IF(AND(E1291&lt;&gt;"",ISNA(MATCH(E1291,art_ref,0))),"Article inconnu",IF(IF(E1291="",FALSE,INDEX(art_check,MATCH(E1291,art_ref,0))&lt;&gt;"OK"),"Article à corriger (feuille Articles)",IF(COUNTIFS(sj_date,A1291,sj_eq,B1291,sj_po,C1291)&gt;1,"Ligne en double (même jour, équipe et poste)",IF(OR(NOT(ISNUMBER(K1291)),N(K1291)&lt;=0,N(K1291)&gt;1440),"Temps d'ouverture invalide",IF(OR(AND(G1291&lt;&gt;"",NOT(ISNUMBER(G1291))),N(G1291)&lt;0,N(G1291)&lt;&gt;INT(N(G1291)),AND(H1291&lt;&gt;"",NOT(ISNUMBER(H1291))),N(H1291)&lt;0,N(H1291)&lt;&gt;INT(N(H1291)),AND(I1291&lt;&gt;"",NOT(ISNUMBER(I1291))),N(I1291)&lt;0,N(I1291)&lt;&gt;INT(N(I1291))),"Quantité invalide",IF(Q1291&lt;=0,"Cadence manquante (poste ou article)",IF(M1291&lt;=0,"Arrêts planifiés supérieurs au temps d'ouverture",IF(O1291&lt;0,"Arrêts supérieurs au temps requis",IF(AND(P1291&gt;0,O1291=0),"Pièces déclarées sans temps de marche",IF(AND(P1291=0,O1291&gt;0),"Aucune pièce déclarée",IF(P1291*60/Q1291&gt;O1291+0.001,"Cadence dépassée : vérifiez la cadence","OK"))))))))))))))))))</f>
        <v/>
      </c>
      <c r="AC1291">
        <f>IF(OR(AB1291="OK",AB1291="Aucune pièce déclarée",AB1291="Cadence dépassée : vérifiez la cadence"),1,0)</f>
        <v>0.0</v>
      </c>
      <c r="AD1291">
        <f>IF(AND(AC1291=1,A1291&gt;=p_from,A1291&lt;=p_to),1,0)</f>
        <v>0.0</v>
      </c>
      <c r="AE1291">
        <f>IF(AD1291=1,IF(COUNTIFS($A$6:A1291,A1291,$AD$6:AD1291,1)=1,1,0),0)</f>
        <v>0.0</v>
      </c>
      <c r="AF1291" t="str">
        <f>IF(AE1291=1,COUNTIFS(sj_first,1,sj_date,"&lt;"&amp;A1291)+1,"")</f>
        <v/>
      </c>
      <c r="AG1291" t="str">
        <f>IF(AND(AD1291=1,N(W1291)&lt;p_alert),ROUND(W1291,4),"")</f>
        <v/>
      </c>
      <c r="AH1291" t="str">
        <f>IF(AG1291="","",COUNTIF(sj_akey,"&lt;"&amp;AG1291)+COUNTIF($AG$6:AG1291,AG1291))</f>
        <v/>
      </c>
    </row>
    <row r="1292">
      <c r="A1292" s="51" t="n"/>
      <c r="B1292" s="52" t="n"/>
      <c r="C1292" s="52" t="n"/>
      <c r="D1292" s="53" t="n"/>
      <c r="E1292" s="53" t="n"/>
      <c r="F1292" s="54" t="n"/>
      <c r="G1292" s="54" t="n"/>
      <c r="H1292" s="54" t="n"/>
      <c r="I1292" s="54" t="n"/>
      <c r="J1292" s="53" t="n"/>
      <c r="K1292" s="55" t="str">
        <f>IF(COUNTA(A1292:I1292)=0,"",IF(F1292="",IFERROR(INDEX(eq_dur,MATCH(B1292,eq_code,0)),""),F1292))</f>
        <v/>
      </c>
      <c r="L1292" s="55" t="str">
        <f>IF(ISNUMBER(K1292),N(IFERROR(INDEX(eq_pause,MATCH(B1292,eq_code,0)),0))+SUMIFS(st_min,st_date,A1292,st_eq,B1292,st_po,C1292,st_type,"Planifié"),"")</f>
        <v/>
      </c>
      <c r="M1292" s="55" t="str">
        <f>IF(ISNUMBER(K1292),K1292-L1292,"")</f>
        <v/>
      </c>
      <c r="N1292" s="55" t="str">
        <f>IF(ISNUMBER(K1292),SUMIFS(st_min,st_date,A1292,st_eq,B1292,st_po,C1292,st_type,"Non planifié"),"")</f>
        <v/>
      </c>
      <c r="O1292" s="55" t="str">
        <f>IF(ISNUMBER(K1292),M1292-N1292,"")</f>
        <v/>
      </c>
      <c r="P1292" s="55" t="str">
        <f>IF(COUNTA(A1292:I1292)=0,"",N(G1292)+N(H1292)+N(I1292))</f>
        <v/>
      </c>
      <c r="Q1292" s="56" t="str">
        <f>IF(COUNTA(A1292:I1292)=0,"",IF(N(IFERROR(INDEX(art_rate,MATCH(E1292,art_ref,0)),0))&gt;0,N(IFERROR(INDEX(art_rate,MATCH(E1292,art_ref,0)),0)),N(IFERROR(INDEX(po_rate,MATCH(C1292,po_code,0)),0))))</f>
        <v/>
      </c>
      <c r="R1292" s="55" t="str">
        <f>IF(AC1292=1,P1292*60/Q1292,"")</f>
        <v/>
      </c>
      <c r="S1292" s="55" t="str">
        <f>IF(AC1292=1,N(G1292)*60/Q1292,"")</f>
        <v/>
      </c>
      <c r="T1292" s="57" t="str">
        <f>IF(AC1292=1,O1292/M1292,"")</f>
        <v/>
      </c>
      <c r="U1292" s="57" t="str">
        <f>IF(AC1292=1,IF(O1292&gt;0,R1292/O1292,""),"")</f>
        <v/>
      </c>
      <c r="V1292" s="57" t="str">
        <f>IF(AC1292=1,IF(P1292&gt;0,N(G1292)/P1292,""),"")</f>
        <v/>
      </c>
      <c r="W1292" s="57" t="str">
        <f>IF(AC1292=1,S1292/M1292,"")</f>
        <v/>
      </c>
      <c r="X1292" s="57" t="str">
        <f>IF(AC1292=1,S1292/K1292,"")</f>
        <v/>
      </c>
      <c r="Y1292" s="58" t="str">
        <f>IF(W1292="","",IF(W1292&gt;=p_target,"Bon",IF(W1292&gt;=p_alert,"À surveiller","Faible")))</f>
        <v/>
      </c>
      <c r="Z1292" s="58" t="str">
        <f>IF(W1292="","",IF(MIN(IF(T1292="",1,T1292),IF(U1292="",1,U1292),IF(V1292="",1,V1292))&gt;=1,"Aucune",IF(IF(T1292="",1,T1292)&lt;=MIN(IF(U1292="",1,U1292),IF(V1292="",1,V1292)),"Disponibilité",IF(IF(U1292="",1,U1292)&lt;=IF(V1292="",1,V1292),"Performance","Qualité"))))</f>
        <v/>
      </c>
      <c r="AA1292" s="59" t="str">
        <f>IF(AC1292=1,N(H1292)*N(IFERROR(INDEX(art_cost,MATCH(E1292,art_ref,0)),0)),"")</f>
        <v/>
      </c>
      <c r="AB1292" s="58" t="str">
        <f>IF(COUNTA(A1292:I1292)=0,"",IF(N(A1292)&lt;=0,"Date manquante ou invalide",IF(B1292="","Équipe manquante",IF(ISNA(MATCH(B1292,eq_code,0)),"Équipe inconnue",IF(INDEX(eq_check,MATCH(B1292,eq_code,0))&lt;&gt;"OK","Équipe à corriger dans Paramètres",IF(C1292="","Poste manquant",IF(ISNA(MATCH(C1292,po_code,0)),"Poste inconnu",IF(AND(E1292&lt;&gt;"",ISNA(MATCH(E1292,art_ref,0))),"Article inconnu",IF(IF(E1292="",FALSE,INDEX(art_check,MATCH(E1292,art_ref,0))&lt;&gt;"OK"),"Article à corriger (feuille Articles)",IF(COUNTIFS(sj_date,A1292,sj_eq,B1292,sj_po,C1292)&gt;1,"Ligne en double (même jour, équipe et poste)",IF(OR(NOT(ISNUMBER(K1292)),N(K1292)&lt;=0,N(K1292)&gt;1440),"Temps d'ouverture invalide",IF(OR(AND(G1292&lt;&gt;"",NOT(ISNUMBER(G1292))),N(G1292)&lt;0,N(G1292)&lt;&gt;INT(N(G1292)),AND(H1292&lt;&gt;"",NOT(ISNUMBER(H1292))),N(H1292)&lt;0,N(H1292)&lt;&gt;INT(N(H1292)),AND(I1292&lt;&gt;"",NOT(ISNUMBER(I1292))),N(I1292)&lt;0,N(I1292)&lt;&gt;INT(N(I1292))),"Quantité invalide",IF(Q1292&lt;=0,"Cadence manquante (poste ou article)",IF(M1292&lt;=0,"Arrêts planifiés supérieurs au temps d'ouverture",IF(O1292&lt;0,"Arrêts supérieurs au temps requis",IF(AND(P1292&gt;0,O1292=0),"Pièces déclarées sans temps de marche",IF(AND(P1292=0,O1292&gt;0),"Aucune pièce déclarée",IF(P1292*60/Q1292&gt;O1292+0.001,"Cadence dépassée : vérifiez la cadence","OK"))))))))))))))))))</f>
        <v/>
      </c>
      <c r="AC1292">
        <f>IF(OR(AB1292="OK",AB1292="Aucune pièce déclarée",AB1292="Cadence dépassée : vérifiez la cadence"),1,0)</f>
        <v>0.0</v>
      </c>
      <c r="AD1292">
        <f>IF(AND(AC1292=1,A1292&gt;=p_from,A1292&lt;=p_to),1,0)</f>
        <v>0.0</v>
      </c>
      <c r="AE1292">
        <f>IF(AD1292=1,IF(COUNTIFS($A$6:A1292,A1292,$AD$6:AD1292,1)=1,1,0),0)</f>
        <v>0.0</v>
      </c>
      <c r="AF1292" t="str">
        <f>IF(AE1292=1,COUNTIFS(sj_first,1,sj_date,"&lt;"&amp;A1292)+1,"")</f>
        <v/>
      </c>
      <c r="AG1292" t="str">
        <f>IF(AND(AD1292=1,N(W1292)&lt;p_alert),ROUND(W1292,4),"")</f>
        <v/>
      </c>
      <c r="AH1292" t="str">
        <f>IF(AG1292="","",COUNTIF(sj_akey,"&lt;"&amp;AG1292)+COUNTIF($AG$6:AG1292,AG1292))</f>
        <v/>
      </c>
    </row>
    <row r="1293">
      <c r="A1293" s="51" t="n"/>
      <c r="B1293" s="52" t="n"/>
      <c r="C1293" s="52" t="n"/>
      <c r="D1293" s="53" t="n"/>
      <c r="E1293" s="53" t="n"/>
      <c r="F1293" s="54" t="n"/>
      <c r="G1293" s="54" t="n"/>
      <c r="H1293" s="54" t="n"/>
      <c r="I1293" s="54" t="n"/>
      <c r="J1293" s="53" t="n"/>
      <c r="K1293" s="55" t="str">
        <f>IF(COUNTA(A1293:I1293)=0,"",IF(F1293="",IFERROR(INDEX(eq_dur,MATCH(B1293,eq_code,0)),""),F1293))</f>
        <v/>
      </c>
      <c r="L1293" s="55" t="str">
        <f>IF(ISNUMBER(K1293),N(IFERROR(INDEX(eq_pause,MATCH(B1293,eq_code,0)),0))+SUMIFS(st_min,st_date,A1293,st_eq,B1293,st_po,C1293,st_type,"Planifié"),"")</f>
        <v/>
      </c>
      <c r="M1293" s="55" t="str">
        <f>IF(ISNUMBER(K1293),K1293-L1293,"")</f>
        <v/>
      </c>
      <c r="N1293" s="55" t="str">
        <f>IF(ISNUMBER(K1293),SUMIFS(st_min,st_date,A1293,st_eq,B1293,st_po,C1293,st_type,"Non planifié"),"")</f>
        <v/>
      </c>
      <c r="O1293" s="55" t="str">
        <f>IF(ISNUMBER(K1293),M1293-N1293,"")</f>
        <v/>
      </c>
      <c r="P1293" s="55" t="str">
        <f>IF(COUNTA(A1293:I1293)=0,"",N(G1293)+N(H1293)+N(I1293))</f>
        <v/>
      </c>
      <c r="Q1293" s="56" t="str">
        <f>IF(COUNTA(A1293:I1293)=0,"",IF(N(IFERROR(INDEX(art_rate,MATCH(E1293,art_ref,0)),0))&gt;0,N(IFERROR(INDEX(art_rate,MATCH(E1293,art_ref,0)),0)),N(IFERROR(INDEX(po_rate,MATCH(C1293,po_code,0)),0))))</f>
        <v/>
      </c>
      <c r="R1293" s="55" t="str">
        <f>IF(AC1293=1,P1293*60/Q1293,"")</f>
        <v/>
      </c>
      <c r="S1293" s="55" t="str">
        <f>IF(AC1293=1,N(G1293)*60/Q1293,"")</f>
        <v/>
      </c>
      <c r="T1293" s="57" t="str">
        <f>IF(AC1293=1,O1293/M1293,"")</f>
        <v/>
      </c>
      <c r="U1293" s="57" t="str">
        <f>IF(AC1293=1,IF(O1293&gt;0,R1293/O1293,""),"")</f>
        <v/>
      </c>
      <c r="V1293" s="57" t="str">
        <f>IF(AC1293=1,IF(P1293&gt;0,N(G1293)/P1293,""),"")</f>
        <v/>
      </c>
      <c r="W1293" s="57" t="str">
        <f>IF(AC1293=1,S1293/M1293,"")</f>
        <v/>
      </c>
      <c r="X1293" s="57" t="str">
        <f>IF(AC1293=1,S1293/K1293,"")</f>
        <v/>
      </c>
      <c r="Y1293" s="58" t="str">
        <f>IF(W1293="","",IF(W1293&gt;=p_target,"Bon",IF(W1293&gt;=p_alert,"À surveiller","Faible")))</f>
        <v/>
      </c>
      <c r="Z1293" s="58" t="str">
        <f>IF(W1293="","",IF(MIN(IF(T1293="",1,T1293),IF(U1293="",1,U1293),IF(V1293="",1,V1293))&gt;=1,"Aucune",IF(IF(T1293="",1,T1293)&lt;=MIN(IF(U1293="",1,U1293),IF(V1293="",1,V1293)),"Disponibilité",IF(IF(U1293="",1,U1293)&lt;=IF(V1293="",1,V1293),"Performance","Qualité"))))</f>
        <v/>
      </c>
      <c r="AA1293" s="59" t="str">
        <f>IF(AC1293=1,N(H1293)*N(IFERROR(INDEX(art_cost,MATCH(E1293,art_ref,0)),0)),"")</f>
        <v/>
      </c>
      <c r="AB1293" s="58" t="str">
        <f>IF(COUNTA(A1293:I1293)=0,"",IF(N(A1293)&lt;=0,"Date manquante ou invalide",IF(B1293="","Équipe manquante",IF(ISNA(MATCH(B1293,eq_code,0)),"Équipe inconnue",IF(INDEX(eq_check,MATCH(B1293,eq_code,0))&lt;&gt;"OK","Équipe à corriger dans Paramètres",IF(C1293="","Poste manquant",IF(ISNA(MATCH(C1293,po_code,0)),"Poste inconnu",IF(AND(E1293&lt;&gt;"",ISNA(MATCH(E1293,art_ref,0))),"Article inconnu",IF(IF(E1293="",FALSE,INDEX(art_check,MATCH(E1293,art_ref,0))&lt;&gt;"OK"),"Article à corriger (feuille Articles)",IF(COUNTIFS(sj_date,A1293,sj_eq,B1293,sj_po,C1293)&gt;1,"Ligne en double (même jour, équipe et poste)",IF(OR(NOT(ISNUMBER(K1293)),N(K1293)&lt;=0,N(K1293)&gt;1440),"Temps d'ouverture invalide",IF(OR(AND(G1293&lt;&gt;"",NOT(ISNUMBER(G1293))),N(G1293)&lt;0,N(G1293)&lt;&gt;INT(N(G1293)),AND(H1293&lt;&gt;"",NOT(ISNUMBER(H1293))),N(H1293)&lt;0,N(H1293)&lt;&gt;INT(N(H1293)),AND(I1293&lt;&gt;"",NOT(ISNUMBER(I1293))),N(I1293)&lt;0,N(I1293)&lt;&gt;INT(N(I1293))),"Quantité invalide",IF(Q1293&lt;=0,"Cadence manquante (poste ou article)",IF(M1293&lt;=0,"Arrêts planifiés supérieurs au temps d'ouverture",IF(O1293&lt;0,"Arrêts supérieurs au temps requis",IF(AND(P1293&gt;0,O1293=0),"Pièces déclarées sans temps de marche",IF(AND(P1293=0,O1293&gt;0),"Aucune pièce déclarée",IF(P1293*60/Q1293&gt;O1293+0.001,"Cadence dépassée : vérifiez la cadence","OK"))))))))))))))))))</f>
        <v/>
      </c>
      <c r="AC1293">
        <f>IF(OR(AB1293="OK",AB1293="Aucune pièce déclarée",AB1293="Cadence dépassée : vérifiez la cadence"),1,0)</f>
        <v>0.0</v>
      </c>
      <c r="AD1293">
        <f>IF(AND(AC1293=1,A1293&gt;=p_from,A1293&lt;=p_to),1,0)</f>
        <v>0.0</v>
      </c>
      <c r="AE1293">
        <f>IF(AD1293=1,IF(COUNTIFS($A$6:A1293,A1293,$AD$6:AD1293,1)=1,1,0),0)</f>
        <v>0.0</v>
      </c>
      <c r="AF1293" t="str">
        <f>IF(AE1293=1,COUNTIFS(sj_first,1,sj_date,"&lt;"&amp;A1293)+1,"")</f>
        <v/>
      </c>
      <c r="AG1293" t="str">
        <f>IF(AND(AD1293=1,N(W1293)&lt;p_alert),ROUND(W1293,4),"")</f>
        <v/>
      </c>
      <c r="AH1293" t="str">
        <f>IF(AG1293="","",COUNTIF(sj_akey,"&lt;"&amp;AG1293)+COUNTIF($AG$6:AG1293,AG1293))</f>
        <v/>
      </c>
    </row>
    <row r="1294">
      <c r="A1294" s="51" t="n"/>
      <c r="B1294" s="52" t="n"/>
      <c r="C1294" s="52" t="n"/>
      <c r="D1294" s="53" t="n"/>
      <c r="E1294" s="53" t="n"/>
      <c r="F1294" s="54" t="n"/>
      <c r="G1294" s="54" t="n"/>
      <c r="H1294" s="54" t="n"/>
      <c r="I1294" s="54" t="n"/>
      <c r="J1294" s="53" t="n"/>
      <c r="K1294" s="55" t="str">
        <f>IF(COUNTA(A1294:I1294)=0,"",IF(F1294="",IFERROR(INDEX(eq_dur,MATCH(B1294,eq_code,0)),""),F1294))</f>
        <v/>
      </c>
      <c r="L1294" s="55" t="str">
        <f>IF(ISNUMBER(K1294),N(IFERROR(INDEX(eq_pause,MATCH(B1294,eq_code,0)),0))+SUMIFS(st_min,st_date,A1294,st_eq,B1294,st_po,C1294,st_type,"Planifié"),"")</f>
        <v/>
      </c>
      <c r="M1294" s="55" t="str">
        <f>IF(ISNUMBER(K1294),K1294-L1294,"")</f>
        <v/>
      </c>
      <c r="N1294" s="55" t="str">
        <f>IF(ISNUMBER(K1294),SUMIFS(st_min,st_date,A1294,st_eq,B1294,st_po,C1294,st_type,"Non planifié"),"")</f>
        <v/>
      </c>
      <c r="O1294" s="55" t="str">
        <f>IF(ISNUMBER(K1294),M1294-N1294,"")</f>
        <v/>
      </c>
      <c r="P1294" s="55" t="str">
        <f>IF(COUNTA(A1294:I1294)=0,"",N(G1294)+N(H1294)+N(I1294))</f>
        <v/>
      </c>
      <c r="Q1294" s="56" t="str">
        <f>IF(COUNTA(A1294:I1294)=0,"",IF(N(IFERROR(INDEX(art_rate,MATCH(E1294,art_ref,0)),0))&gt;0,N(IFERROR(INDEX(art_rate,MATCH(E1294,art_ref,0)),0)),N(IFERROR(INDEX(po_rate,MATCH(C1294,po_code,0)),0))))</f>
        <v/>
      </c>
      <c r="R1294" s="55" t="str">
        <f>IF(AC1294=1,P1294*60/Q1294,"")</f>
        <v/>
      </c>
      <c r="S1294" s="55" t="str">
        <f>IF(AC1294=1,N(G1294)*60/Q1294,"")</f>
        <v/>
      </c>
      <c r="T1294" s="57" t="str">
        <f>IF(AC1294=1,O1294/M1294,"")</f>
        <v/>
      </c>
      <c r="U1294" s="57" t="str">
        <f>IF(AC1294=1,IF(O1294&gt;0,R1294/O1294,""),"")</f>
        <v/>
      </c>
      <c r="V1294" s="57" t="str">
        <f>IF(AC1294=1,IF(P1294&gt;0,N(G1294)/P1294,""),"")</f>
        <v/>
      </c>
      <c r="W1294" s="57" t="str">
        <f>IF(AC1294=1,S1294/M1294,"")</f>
        <v/>
      </c>
      <c r="X1294" s="57" t="str">
        <f>IF(AC1294=1,S1294/K1294,"")</f>
        <v/>
      </c>
      <c r="Y1294" s="58" t="str">
        <f>IF(W1294="","",IF(W1294&gt;=p_target,"Bon",IF(W1294&gt;=p_alert,"À surveiller","Faible")))</f>
        <v/>
      </c>
      <c r="Z1294" s="58" t="str">
        <f>IF(W1294="","",IF(MIN(IF(T1294="",1,T1294),IF(U1294="",1,U1294),IF(V1294="",1,V1294))&gt;=1,"Aucune",IF(IF(T1294="",1,T1294)&lt;=MIN(IF(U1294="",1,U1294),IF(V1294="",1,V1294)),"Disponibilité",IF(IF(U1294="",1,U1294)&lt;=IF(V1294="",1,V1294),"Performance","Qualité"))))</f>
        <v/>
      </c>
      <c r="AA1294" s="59" t="str">
        <f>IF(AC1294=1,N(H1294)*N(IFERROR(INDEX(art_cost,MATCH(E1294,art_ref,0)),0)),"")</f>
        <v/>
      </c>
      <c r="AB1294" s="58" t="str">
        <f>IF(COUNTA(A1294:I1294)=0,"",IF(N(A1294)&lt;=0,"Date manquante ou invalide",IF(B1294="","Équipe manquante",IF(ISNA(MATCH(B1294,eq_code,0)),"Équipe inconnue",IF(INDEX(eq_check,MATCH(B1294,eq_code,0))&lt;&gt;"OK","Équipe à corriger dans Paramètres",IF(C1294="","Poste manquant",IF(ISNA(MATCH(C1294,po_code,0)),"Poste inconnu",IF(AND(E1294&lt;&gt;"",ISNA(MATCH(E1294,art_ref,0))),"Article inconnu",IF(IF(E1294="",FALSE,INDEX(art_check,MATCH(E1294,art_ref,0))&lt;&gt;"OK"),"Article à corriger (feuille Articles)",IF(COUNTIFS(sj_date,A1294,sj_eq,B1294,sj_po,C1294)&gt;1,"Ligne en double (même jour, équipe et poste)",IF(OR(NOT(ISNUMBER(K1294)),N(K1294)&lt;=0,N(K1294)&gt;1440),"Temps d'ouverture invalide",IF(OR(AND(G1294&lt;&gt;"",NOT(ISNUMBER(G1294))),N(G1294)&lt;0,N(G1294)&lt;&gt;INT(N(G1294)),AND(H1294&lt;&gt;"",NOT(ISNUMBER(H1294))),N(H1294)&lt;0,N(H1294)&lt;&gt;INT(N(H1294)),AND(I1294&lt;&gt;"",NOT(ISNUMBER(I1294))),N(I1294)&lt;0,N(I1294)&lt;&gt;INT(N(I1294))),"Quantité invalide",IF(Q1294&lt;=0,"Cadence manquante (poste ou article)",IF(M1294&lt;=0,"Arrêts planifiés supérieurs au temps d'ouverture",IF(O1294&lt;0,"Arrêts supérieurs au temps requis",IF(AND(P1294&gt;0,O1294=0),"Pièces déclarées sans temps de marche",IF(AND(P1294=0,O1294&gt;0),"Aucune pièce déclarée",IF(P1294*60/Q1294&gt;O1294+0.001,"Cadence dépassée : vérifiez la cadence","OK"))))))))))))))))))</f>
        <v/>
      </c>
      <c r="AC1294">
        <f>IF(OR(AB1294="OK",AB1294="Aucune pièce déclarée",AB1294="Cadence dépassée : vérifiez la cadence"),1,0)</f>
        <v>0.0</v>
      </c>
      <c r="AD1294">
        <f>IF(AND(AC1294=1,A1294&gt;=p_from,A1294&lt;=p_to),1,0)</f>
        <v>0.0</v>
      </c>
      <c r="AE1294">
        <f>IF(AD1294=1,IF(COUNTIFS($A$6:A1294,A1294,$AD$6:AD1294,1)=1,1,0),0)</f>
        <v>0.0</v>
      </c>
      <c r="AF1294" t="str">
        <f>IF(AE1294=1,COUNTIFS(sj_first,1,sj_date,"&lt;"&amp;A1294)+1,"")</f>
        <v/>
      </c>
      <c r="AG1294" t="str">
        <f>IF(AND(AD1294=1,N(W1294)&lt;p_alert),ROUND(W1294,4),"")</f>
        <v/>
      </c>
      <c r="AH1294" t="str">
        <f>IF(AG1294="","",COUNTIF(sj_akey,"&lt;"&amp;AG1294)+COUNTIF($AG$6:AG1294,AG1294))</f>
        <v/>
      </c>
    </row>
    <row r="1295">
      <c r="A1295" s="51" t="n"/>
      <c r="B1295" s="52" t="n"/>
      <c r="C1295" s="52" t="n"/>
      <c r="D1295" s="53" t="n"/>
      <c r="E1295" s="53" t="n"/>
      <c r="F1295" s="54" t="n"/>
      <c r="G1295" s="54" t="n"/>
      <c r="H1295" s="54" t="n"/>
      <c r="I1295" s="54" t="n"/>
      <c r="J1295" s="53" t="n"/>
      <c r="K1295" s="55" t="str">
        <f>IF(COUNTA(A1295:I1295)=0,"",IF(F1295="",IFERROR(INDEX(eq_dur,MATCH(B1295,eq_code,0)),""),F1295))</f>
        <v/>
      </c>
      <c r="L1295" s="55" t="str">
        <f>IF(ISNUMBER(K1295),N(IFERROR(INDEX(eq_pause,MATCH(B1295,eq_code,0)),0))+SUMIFS(st_min,st_date,A1295,st_eq,B1295,st_po,C1295,st_type,"Planifié"),"")</f>
        <v/>
      </c>
      <c r="M1295" s="55" t="str">
        <f>IF(ISNUMBER(K1295),K1295-L1295,"")</f>
        <v/>
      </c>
      <c r="N1295" s="55" t="str">
        <f>IF(ISNUMBER(K1295),SUMIFS(st_min,st_date,A1295,st_eq,B1295,st_po,C1295,st_type,"Non planifié"),"")</f>
        <v/>
      </c>
      <c r="O1295" s="55" t="str">
        <f>IF(ISNUMBER(K1295),M1295-N1295,"")</f>
        <v/>
      </c>
      <c r="P1295" s="55" t="str">
        <f>IF(COUNTA(A1295:I1295)=0,"",N(G1295)+N(H1295)+N(I1295))</f>
        <v/>
      </c>
      <c r="Q1295" s="56" t="str">
        <f>IF(COUNTA(A1295:I1295)=0,"",IF(N(IFERROR(INDEX(art_rate,MATCH(E1295,art_ref,0)),0))&gt;0,N(IFERROR(INDEX(art_rate,MATCH(E1295,art_ref,0)),0)),N(IFERROR(INDEX(po_rate,MATCH(C1295,po_code,0)),0))))</f>
        <v/>
      </c>
      <c r="R1295" s="55" t="str">
        <f>IF(AC1295=1,P1295*60/Q1295,"")</f>
        <v/>
      </c>
      <c r="S1295" s="55" t="str">
        <f>IF(AC1295=1,N(G1295)*60/Q1295,"")</f>
        <v/>
      </c>
      <c r="T1295" s="57" t="str">
        <f>IF(AC1295=1,O1295/M1295,"")</f>
        <v/>
      </c>
      <c r="U1295" s="57" t="str">
        <f>IF(AC1295=1,IF(O1295&gt;0,R1295/O1295,""),"")</f>
        <v/>
      </c>
      <c r="V1295" s="57" t="str">
        <f>IF(AC1295=1,IF(P1295&gt;0,N(G1295)/P1295,""),"")</f>
        <v/>
      </c>
      <c r="W1295" s="57" t="str">
        <f>IF(AC1295=1,S1295/M1295,"")</f>
        <v/>
      </c>
      <c r="X1295" s="57" t="str">
        <f>IF(AC1295=1,S1295/K1295,"")</f>
        <v/>
      </c>
      <c r="Y1295" s="58" t="str">
        <f>IF(W1295="","",IF(W1295&gt;=p_target,"Bon",IF(W1295&gt;=p_alert,"À surveiller","Faible")))</f>
        <v/>
      </c>
      <c r="Z1295" s="58" t="str">
        <f>IF(W1295="","",IF(MIN(IF(T1295="",1,T1295),IF(U1295="",1,U1295),IF(V1295="",1,V1295))&gt;=1,"Aucune",IF(IF(T1295="",1,T1295)&lt;=MIN(IF(U1295="",1,U1295),IF(V1295="",1,V1295)),"Disponibilité",IF(IF(U1295="",1,U1295)&lt;=IF(V1295="",1,V1295),"Performance","Qualité"))))</f>
        <v/>
      </c>
      <c r="AA1295" s="59" t="str">
        <f>IF(AC1295=1,N(H1295)*N(IFERROR(INDEX(art_cost,MATCH(E1295,art_ref,0)),0)),"")</f>
        <v/>
      </c>
      <c r="AB1295" s="58" t="str">
        <f>IF(COUNTA(A1295:I1295)=0,"",IF(N(A1295)&lt;=0,"Date manquante ou invalide",IF(B1295="","Équipe manquante",IF(ISNA(MATCH(B1295,eq_code,0)),"Équipe inconnue",IF(INDEX(eq_check,MATCH(B1295,eq_code,0))&lt;&gt;"OK","Équipe à corriger dans Paramètres",IF(C1295="","Poste manquant",IF(ISNA(MATCH(C1295,po_code,0)),"Poste inconnu",IF(AND(E1295&lt;&gt;"",ISNA(MATCH(E1295,art_ref,0))),"Article inconnu",IF(IF(E1295="",FALSE,INDEX(art_check,MATCH(E1295,art_ref,0))&lt;&gt;"OK"),"Article à corriger (feuille Articles)",IF(COUNTIFS(sj_date,A1295,sj_eq,B1295,sj_po,C1295)&gt;1,"Ligne en double (même jour, équipe et poste)",IF(OR(NOT(ISNUMBER(K1295)),N(K1295)&lt;=0,N(K1295)&gt;1440),"Temps d'ouverture invalide",IF(OR(AND(G1295&lt;&gt;"",NOT(ISNUMBER(G1295))),N(G1295)&lt;0,N(G1295)&lt;&gt;INT(N(G1295)),AND(H1295&lt;&gt;"",NOT(ISNUMBER(H1295))),N(H1295)&lt;0,N(H1295)&lt;&gt;INT(N(H1295)),AND(I1295&lt;&gt;"",NOT(ISNUMBER(I1295))),N(I1295)&lt;0,N(I1295)&lt;&gt;INT(N(I1295))),"Quantité invalide",IF(Q1295&lt;=0,"Cadence manquante (poste ou article)",IF(M1295&lt;=0,"Arrêts planifiés supérieurs au temps d'ouverture",IF(O1295&lt;0,"Arrêts supérieurs au temps requis",IF(AND(P1295&gt;0,O1295=0),"Pièces déclarées sans temps de marche",IF(AND(P1295=0,O1295&gt;0),"Aucune pièce déclarée",IF(P1295*60/Q1295&gt;O1295+0.001,"Cadence dépassée : vérifiez la cadence","OK"))))))))))))))))))</f>
        <v/>
      </c>
      <c r="AC1295">
        <f>IF(OR(AB1295="OK",AB1295="Aucune pièce déclarée",AB1295="Cadence dépassée : vérifiez la cadence"),1,0)</f>
        <v>0.0</v>
      </c>
      <c r="AD1295">
        <f>IF(AND(AC1295=1,A1295&gt;=p_from,A1295&lt;=p_to),1,0)</f>
        <v>0.0</v>
      </c>
      <c r="AE1295">
        <f>IF(AD1295=1,IF(COUNTIFS($A$6:A1295,A1295,$AD$6:AD1295,1)=1,1,0),0)</f>
        <v>0.0</v>
      </c>
      <c r="AF1295" t="str">
        <f>IF(AE1295=1,COUNTIFS(sj_first,1,sj_date,"&lt;"&amp;A1295)+1,"")</f>
        <v/>
      </c>
      <c r="AG1295" t="str">
        <f>IF(AND(AD1295=1,N(W1295)&lt;p_alert),ROUND(W1295,4),"")</f>
        <v/>
      </c>
      <c r="AH1295" t="str">
        <f>IF(AG1295="","",COUNTIF(sj_akey,"&lt;"&amp;AG1295)+COUNTIF($AG$6:AG1295,AG1295))</f>
        <v/>
      </c>
    </row>
    <row r="1296">
      <c r="A1296" s="51" t="n"/>
      <c r="B1296" s="52" t="n"/>
      <c r="C1296" s="52" t="n"/>
      <c r="D1296" s="53" t="n"/>
      <c r="E1296" s="53" t="n"/>
      <c r="F1296" s="54" t="n"/>
      <c r="G1296" s="54" t="n"/>
      <c r="H1296" s="54" t="n"/>
      <c r="I1296" s="54" t="n"/>
      <c r="J1296" s="53" t="n"/>
      <c r="K1296" s="55" t="str">
        <f>IF(COUNTA(A1296:I1296)=0,"",IF(F1296="",IFERROR(INDEX(eq_dur,MATCH(B1296,eq_code,0)),""),F1296))</f>
        <v/>
      </c>
      <c r="L1296" s="55" t="str">
        <f>IF(ISNUMBER(K1296),N(IFERROR(INDEX(eq_pause,MATCH(B1296,eq_code,0)),0))+SUMIFS(st_min,st_date,A1296,st_eq,B1296,st_po,C1296,st_type,"Planifié"),"")</f>
        <v/>
      </c>
      <c r="M1296" s="55" t="str">
        <f>IF(ISNUMBER(K1296),K1296-L1296,"")</f>
        <v/>
      </c>
      <c r="N1296" s="55" t="str">
        <f>IF(ISNUMBER(K1296),SUMIFS(st_min,st_date,A1296,st_eq,B1296,st_po,C1296,st_type,"Non planifié"),"")</f>
        <v/>
      </c>
      <c r="O1296" s="55" t="str">
        <f>IF(ISNUMBER(K1296),M1296-N1296,"")</f>
        <v/>
      </c>
      <c r="P1296" s="55" t="str">
        <f>IF(COUNTA(A1296:I1296)=0,"",N(G1296)+N(H1296)+N(I1296))</f>
        <v/>
      </c>
      <c r="Q1296" s="56" t="str">
        <f>IF(COUNTA(A1296:I1296)=0,"",IF(N(IFERROR(INDEX(art_rate,MATCH(E1296,art_ref,0)),0))&gt;0,N(IFERROR(INDEX(art_rate,MATCH(E1296,art_ref,0)),0)),N(IFERROR(INDEX(po_rate,MATCH(C1296,po_code,0)),0))))</f>
        <v/>
      </c>
      <c r="R1296" s="55" t="str">
        <f>IF(AC1296=1,P1296*60/Q1296,"")</f>
        <v/>
      </c>
      <c r="S1296" s="55" t="str">
        <f>IF(AC1296=1,N(G1296)*60/Q1296,"")</f>
        <v/>
      </c>
      <c r="T1296" s="57" t="str">
        <f>IF(AC1296=1,O1296/M1296,"")</f>
        <v/>
      </c>
      <c r="U1296" s="57" t="str">
        <f>IF(AC1296=1,IF(O1296&gt;0,R1296/O1296,""),"")</f>
        <v/>
      </c>
      <c r="V1296" s="57" t="str">
        <f>IF(AC1296=1,IF(P1296&gt;0,N(G1296)/P1296,""),"")</f>
        <v/>
      </c>
      <c r="W1296" s="57" t="str">
        <f>IF(AC1296=1,S1296/M1296,"")</f>
        <v/>
      </c>
      <c r="X1296" s="57" t="str">
        <f>IF(AC1296=1,S1296/K1296,"")</f>
        <v/>
      </c>
      <c r="Y1296" s="58" t="str">
        <f>IF(W1296="","",IF(W1296&gt;=p_target,"Bon",IF(W1296&gt;=p_alert,"À surveiller","Faible")))</f>
        <v/>
      </c>
      <c r="Z1296" s="58" t="str">
        <f>IF(W1296="","",IF(MIN(IF(T1296="",1,T1296),IF(U1296="",1,U1296),IF(V1296="",1,V1296))&gt;=1,"Aucune",IF(IF(T1296="",1,T1296)&lt;=MIN(IF(U1296="",1,U1296),IF(V1296="",1,V1296)),"Disponibilité",IF(IF(U1296="",1,U1296)&lt;=IF(V1296="",1,V1296),"Performance","Qualité"))))</f>
        <v/>
      </c>
      <c r="AA1296" s="59" t="str">
        <f>IF(AC1296=1,N(H1296)*N(IFERROR(INDEX(art_cost,MATCH(E1296,art_ref,0)),0)),"")</f>
        <v/>
      </c>
      <c r="AB1296" s="58" t="str">
        <f>IF(COUNTA(A1296:I1296)=0,"",IF(N(A1296)&lt;=0,"Date manquante ou invalide",IF(B1296="","Équipe manquante",IF(ISNA(MATCH(B1296,eq_code,0)),"Équipe inconnue",IF(INDEX(eq_check,MATCH(B1296,eq_code,0))&lt;&gt;"OK","Équipe à corriger dans Paramètres",IF(C1296="","Poste manquant",IF(ISNA(MATCH(C1296,po_code,0)),"Poste inconnu",IF(AND(E1296&lt;&gt;"",ISNA(MATCH(E1296,art_ref,0))),"Article inconnu",IF(IF(E1296="",FALSE,INDEX(art_check,MATCH(E1296,art_ref,0))&lt;&gt;"OK"),"Article à corriger (feuille Articles)",IF(COUNTIFS(sj_date,A1296,sj_eq,B1296,sj_po,C1296)&gt;1,"Ligne en double (même jour, équipe et poste)",IF(OR(NOT(ISNUMBER(K1296)),N(K1296)&lt;=0,N(K1296)&gt;1440),"Temps d'ouverture invalide",IF(OR(AND(G1296&lt;&gt;"",NOT(ISNUMBER(G1296))),N(G1296)&lt;0,N(G1296)&lt;&gt;INT(N(G1296)),AND(H1296&lt;&gt;"",NOT(ISNUMBER(H1296))),N(H1296)&lt;0,N(H1296)&lt;&gt;INT(N(H1296)),AND(I1296&lt;&gt;"",NOT(ISNUMBER(I1296))),N(I1296)&lt;0,N(I1296)&lt;&gt;INT(N(I1296))),"Quantité invalide",IF(Q1296&lt;=0,"Cadence manquante (poste ou article)",IF(M1296&lt;=0,"Arrêts planifiés supérieurs au temps d'ouverture",IF(O1296&lt;0,"Arrêts supérieurs au temps requis",IF(AND(P1296&gt;0,O1296=0),"Pièces déclarées sans temps de marche",IF(AND(P1296=0,O1296&gt;0),"Aucune pièce déclarée",IF(P1296*60/Q1296&gt;O1296+0.001,"Cadence dépassée : vérifiez la cadence","OK"))))))))))))))))))</f>
        <v/>
      </c>
      <c r="AC1296">
        <f>IF(OR(AB1296="OK",AB1296="Aucune pièce déclarée",AB1296="Cadence dépassée : vérifiez la cadence"),1,0)</f>
        <v>0.0</v>
      </c>
      <c r="AD1296">
        <f>IF(AND(AC1296=1,A1296&gt;=p_from,A1296&lt;=p_to),1,0)</f>
        <v>0.0</v>
      </c>
      <c r="AE1296">
        <f>IF(AD1296=1,IF(COUNTIFS($A$6:A1296,A1296,$AD$6:AD1296,1)=1,1,0),0)</f>
        <v>0.0</v>
      </c>
      <c r="AF1296" t="str">
        <f>IF(AE1296=1,COUNTIFS(sj_first,1,sj_date,"&lt;"&amp;A1296)+1,"")</f>
        <v/>
      </c>
      <c r="AG1296" t="str">
        <f>IF(AND(AD1296=1,N(W1296)&lt;p_alert),ROUND(W1296,4),"")</f>
        <v/>
      </c>
      <c r="AH1296" t="str">
        <f>IF(AG1296="","",COUNTIF(sj_akey,"&lt;"&amp;AG1296)+COUNTIF($AG$6:AG1296,AG1296))</f>
        <v/>
      </c>
    </row>
    <row r="1297">
      <c r="A1297" s="51" t="n"/>
      <c r="B1297" s="52" t="n"/>
      <c r="C1297" s="52" t="n"/>
      <c r="D1297" s="53" t="n"/>
      <c r="E1297" s="53" t="n"/>
      <c r="F1297" s="54" t="n"/>
      <c r="G1297" s="54" t="n"/>
      <c r="H1297" s="54" t="n"/>
      <c r="I1297" s="54" t="n"/>
      <c r="J1297" s="53" t="n"/>
      <c r="K1297" s="55" t="str">
        <f>IF(COUNTA(A1297:I1297)=0,"",IF(F1297="",IFERROR(INDEX(eq_dur,MATCH(B1297,eq_code,0)),""),F1297))</f>
        <v/>
      </c>
      <c r="L1297" s="55" t="str">
        <f>IF(ISNUMBER(K1297),N(IFERROR(INDEX(eq_pause,MATCH(B1297,eq_code,0)),0))+SUMIFS(st_min,st_date,A1297,st_eq,B1297,st_po,C1297,st_type,"Planifié"),"")</f>
        <v/>
      </c>
      <c r="M1297" s="55" t="str">
        <f>IF(ISNUMBER(K1297),K1297-L1297,"")</f>
        <v/>
      </c>
      <c r="N1297" s="55" t="str">
        <f>IF(ISNUMBER(K1297),SUMIFS(st_min,st_date,A1297,st_eq,B1297,st_po,C1297,st_type,"Non planifié"),"")</f>
        <v/>
      </c>
      <c r="O1297" s="55" t="str">
        <f>IF(ISNUMBER(K1297),M1297-N1297,"")</f>
        <v/>
      </c>
      <c r="P1297" s="55" t="str">
        <f>IF(COUNTA(A1297:I1297)=0,"",N(G1297)+N(H1297)+N(I1297))</f>
        <v/>
      </c>
      <c r="Q1297" s="56" t="str">
        <f>IF(COUNTA(A1297:I1297)=0,"",IF(N(IFERROR(INDEX(art_rate,MATCH(E1297,art_ref,0)),0))&gt;0,N(IFERROR(INDEX(art_rate,MATCH(E1297,art_ref,0)),0)),N(IFERROR(INDEX(po_rate,MATCH(C1297,po_code,0)),0))))</f>
        <v/>
      </c>
      <c r="R1297" s="55" t="str">
        <f>IF(AC1297=1,P1297*60/Q1297,"")</f>
        <v/>
      </c>
      <c r="S1297" s="55" t="str">
        <f>IF(AC1297=1,N(G1297)*60/Q1297,"")</f>
        <v/>
      </c>
      <c r="T1297" s="57" t="str">
        <f>IF(AC1297=1,O1297/M1297,"")</f>
        <v/>
      </c>
      <c r="U1297" s="57" t="str">
        <f>IF(AC1297=1,IF(O1297&gt;0,R1297/O1297,""),"")</f>
        <v/>
      </c>
      <c r="V1297" s="57" t="str">
        <f>IF(AC1297=1,IF(P1297&gt;0,N(G1297)/P1297,""),"")</f>
        <v/>
      </c>
      <c r="W1297" s="57" t="str">
        <f>IF(AC1297=1,S1297/M1297,"")</f>
        <v/>
      </c>
      <c r="X1297" s="57" t="str">
        <f>IF(AC1297=1,S1297/K1297,"")</f>
        <v/>
      </c>
      <c r="Y1297" s="58" t="str">
        <f>IF(W1297="","",IF(W1297&gt;=p_target,"Bon",IF(W1297&gt;=p_alert,"À surveiller","Faible")))</f>
        <v/>
      </c>
      <c r="Z1297" s="58" t="str">
        <f>IF(W1297="","",IF(MIN(IF(T1297="",1,T1297),IF(U1297="",1,U1297),IF(V1297="",1,V1297))&gt;=1,"Aucune",IF(IF(T1297="",1,T1297)&lt;=MIN(IF(U1297="",1,U1297),IF(V1297="",1,V1297)),"Disponibilité",IF(IF(U1297="",1,U1297)&lt;=IF(V1297="",1,V1297),"Performance","Qualité"))))</f>
        <v/>
      </c>
      <c r="AA1297" s="59" t="str">
        <f>IF(AC1297=1,N(H1297)*N(IFERROR(INDEX(art_cost,MATCH(E1297,art_ref,0)),0)),"")</f>
        <v/>
      </c>
      <c r="AB1297" s="58" t="str">
        <f>IF(COUNTA(A1297:I1297)=0,"",IF(N(A1297)&lt;=0,"Date manquante ou invalide",IF(B1297="","Équipe manquante",IF(ISNA(MATCH(B1297,eq_code,0)),"Équipe inconnue",IF(INDEX(eq_check,MATCH(B1297,eq_code,0))&lt;&gt;"OK","Équipe à corriger dans Paramètres",IF(C1297="","Poste manquant",IF(ISNA(MATCH(C1297,po_code,0)),"Poste inconnu",IF(AND(E1297&lt;&gt;"",ISNA(MATCH(E1297,art_ref,0))),"Article inconnu",IF(IF(E1297="",FALSE,INDEX(art_check,MATCH(E1297,art_ref,0))&lt;&gt;"OK"),"Article à corriger (feuille Articles)",IF(COUNTIFS(sj_date,A1297,sj_eq,B1297,sj_po,C1297)&gt;1,"Ligne en double (même jour, équipe et poste)",IF(OR(NOT(ISNUMBER(K1297)),N(K1297)&lt;=0,N(K1297)&gt;1440),"Temps d'ouverture invalide",IF(OR(AND(G1297&lt;&gt;"",NOT(ISNUMBER(G1297))),N(G1297)&lt;0,N(G1297)&lt;&gt;INT(N(G1297)),AND(H1297&lt;&gt;"",NOT(ISNUMBER(H1297))),N(H1297)&lt;0,N(H1297)&lt;&gt;INT(N(H1297)),AND(I1297&lt;&gt;"",NOT(ISNUMBER(I1297))),N(I1297)&lt;0,N(I1297)&lt;&gt;INT(N(I1297))),"Quantité invalide",IF(Q1297&lt;=0,"Cadence manquante (poste ou article)",IF(M1297&lt;=0,"Arrêts planifiés supérieurs au temps d'ouverture",IF(O1297&lt;0,"Arrêts supérieurs au temps requis",IF(AND(P1297&gt;0,O1297=0),"Pièces déclarées sans temps de marche",IF(AND(P1297=0,O1297&gt;0),"Aucune pièce déclarée",IF(P1297*60/Q1297&gt;O1297+0.001,"Cadence dépassée : vérifiez la cadence","OK"))))))))))))))))))</f>
        <v/>
      </c>
      <c r="AC1297">
        <f>IF(OR(AB1297="OK",AB1297="Aucune pièce déclarée",AB1297="Cadence dépassée : vérifiez la cadence"),1,0)</f>
        <v>0.0</v>
      </c>
      <c r="AD1297">
        <f>IF(AND(AC1297=1,A1297&gt;=p_from,A1297&lt;=p_to),1,0)</f>
        <v>0.0</v>
      </c>
      <c r="AE1297">
        <f>IF(AD1297=1,IF(COUNTIFS($A$6:A1297,A1297,$AD$6:AD1297,1)=1,1,0),0)</f>
        <v>0.0</v>
      </c>
      <c r="AF1297" t="str">
        <f>IF(AE1297=1,COUNTIFS(sj_first,1,sj_date,"&lt;"&amp;A1297)+1,"")</f>
        <v/>
      </c>
      <c r="AG1297" t="str">
        <f>IF(AND(AD1297=1,N(W1297)&lt;p_alert),ROUND(W1297,4),"")</f>
        <v/>
      </c>
      <c r="AH1297" t="str">
        <f>IF(AG1297="","",COUNTIF(sj_akey,"&lt;"&amp;AG1297)+COUNTIF($AG$6:AG1297,AG1297))</f>
        <v/>
      </c>
    </row>
    <row r="1298">
      <c r="A1298" s="51" t="n"/>
      <c r="B1298" s="52" t="n"/>
      <c r="C1298" s="52" t="n"/>
      <c r="D1298" s="53" t="n"/>
      <c r="E1298" s="53" t="n"/>
      <c r="F1298" s="54" t="n"/>
      <c r="G1298" s="54" t="n"/>
      <c r="H1298" s="54" t="n"/>
      <c r="I1298" s="54" t="n"/>
      <c r="J1298" s="53" t="n"/>
      <c r="K1298" s="55" t="str">
        <f>IF(COUNTA(A1298:I1298)=0,"",IF(F1298="",IFERROR(INDEX(eq_dur,MATCH(B1298,eq_code,0)),""),F1298))</f>
        <v/>
      </c>
      <c r="L1298" s="55" t="str">
        <f>IF(ISNUMBER(K1298),N(IFERROR(INDEX(eq_pause,MATCH(B1298,eq_code,0)),0))+SUMIFS(st_min,st_date,A1298,st_eq,B1298,st_po,C1298,st_type,"Planifié"),"")</f>
        <v/>
      </c>
      <c r="M1298" s="55" t="str">
        <f>IF(ISNUMBER(K1298),K1298-L1298,"")</f>
        <v/>
      </c>
      <c r="N1298" s="55" t="str">
        <f>IF(ISNUMBER(K1298),SUMIFS(st_min,st_date,A1298,st_eq,B1298,st_po,C1298,st_type,"Non planifié"),"")</f>
        <v/>
      </c>
      <c r="O1298" s="55" t="str">
        <f>IF(ISNUMBER(K1298),M1298-N1298,"")</f>
        <v/>
      </c>
      <c r="P1298" s="55" t="str">
        <f>IF(COUNTA(A1298:I1298)=0,"",N(G1298)+N(H1298)+N(I1298))</f>
        <v/>
      </c>
      <c r="Q1298" s="56" t="str">
        <f>IF(COUNTA(A1298:I1298)=0,"",IF(N(IFERROR(INDEX(art_rate,MATCH(E1298,art_ref,0)),0))&gt;0,N(IFERROR(INDEX(art_rate,MATCH(E1298,art_ref,0)),0)),N(IFERROR(INDEX(po_rate,MATCH(C1298,po_code,0)),0))))</f>
        <v/>
      </c>
      <c r="R1298" s="55" t="str">
        <f>IF(AC1298=1,P1298*60/Q1298,"")</f>
        <v/>
      </c>
      <c r="S1298" s="55" t="str">
        <f>IF(AC1298=1,N(G1298)*60/Q1298,"")</f>
        <v/>
      </c>
      <c r="T1298" s="57" t="str">
        <f>IF(AC1298=1,O1298/M1298,"")</f>
        <v/>
      </c>
      <c r="U1298" s="57" t="str">
        <f>IF(AC1298=1,IF(O1298&gt;0,R1298/O1298,""),"")</f>
        <v/>
      </c>
      <c r="V1298" s="57" t="str">
        <f>IF(AC1298=1,IF(P1298&gt;0,N(G1298)/P1298,""),"")</f>
        <v/>
      </c>
      <c r="W1298" s="57" t="str">
        <f>IF(AC1298=1,S1298/M1298,"")</f>
        <v/>
      </c>
      <c r="X1298" s="57" t="str">
        <f>IF(AC1298=1,S1298/K1298,"")</f>
        <v/>
      </c>
      <c r="Y1298" s="58" t="str">
        <f>IF(W1298="","",IF(W1298&gt;=p_target,"Bon",IF(W1298&gt;=p_alert,"À surveiller","Faible")))</f>
        <v/>
      </c>
      <c r="Z1298" s="58" t="str">
        <f>IF(W1298="","",IF(MIN(IF(T1298="",1,T1298),IF(U1298="",1,U1298),IF(V1298="",1,V1298))&gt;=1,"Aucune",IF(IF(T1298="",1,T1298)&lt;=MIN(IF(U1298="",1,U1298),IF(V1298="",1,V1298)),"Disponibilité",IF(IF(U1298="",1,U1298)&lt;=IF(V1298="",1,V1298),"Performance","Qualité"))))</f>
        <v/>
      </c>
      <c r="AA1298" s="59" t="str">
        <f>IF(AC1298=1,N(H1298)*N(IFERROR(INDEX(art_cost,MATCH(E1298,art_ref,0)),0)),"")</f>
        <v/>
      </c>
      <c r="AB1298" s="58" t="str">
        <f>IF(COUNTA(A1298:I1298)=0,"",IF(N(A1298)&lt;=0,"Date manquante ou invalide",IF(B1298="","Équipe manquante",IF(ISNA(MATCH(B1298,eq_code,0)),"Équipe inconnue",IF(INDEX(eq_check,MATCH(B1298,eq_code,0))&lt;&gt;"OK","Équipe à corriger dans Paramètres",IF(C1298="","Poste manquant",IF(ISNA(MATCH(C1298,po_code,0)),"Poste inconnu",IF(AND(E1298&lt;&gt;"",ISNA(MATCH(E1298,art_ref,0))),"Article inconnu",IF(IF(E1298="",FALSE,INDEX(art_check,MATCH(E1298,art_ref,0))&lt;&gt;"OK"),"Article à corriger (feuille Articles)",IF(COUNTIFS(sj_date,A1298,sj_eq,B1298,sj_po,C1298)&gt;1,"Ligne en double (même jour, équipe et poste)",IF(OR(NOT(ISNUMBER(K1298)),N(K1298)&lt;=0,N(K1298)&gt;1440),"Temps d'ouverture invalide",IF(OR(AND(G1298&lt;&gt;"",NOT(ISNUMBER(G1298))),N(G1298)&lt;0,N(G1298)&lt;&gt;INT(N(G1298)),AND(H1298&lt;&gt;"",NOT(ISNUMBER(H1298))),N(H1298)&lt;0,N(H1298)&lt;&gt;INT(N(H1298)),AND(I1298&lt;&gt;"",NOT(ISNUMBER(I1298))),N(I1298)&lt;0,N(I1298)&lt;&gt;INT(N(I1298))),"Quantité invalide",IF(Q1298&lt;=0,"Cadence manquante (poste ou article)",IF(M1298&lt;=0,"Arrêts planifiés supérieurs au temps d'ouverture",IF(O1298&lt;0,"Arrêts supérieurs au temps requis",IF(AND(P1298&gt;0,O1298=0),"Pièces déclarées sans temps de marche",IF(AND(P1298=0,O1298&gt;0),"Aucune pièce déclarée",IF(P1298*60/Q1298&gt;O1298+0.001,"Cadence dépassée : vérifiez la cadence","OK"))))))))))))))))))</f>
        <v/>
      </c>
      <c r="AC1298">
        <f>IF(OR(AB1298="OK",AB1298="Aucune pièce déclarée",AB1298="Cadence dépassée : vérifiez la cadence"),1,0)</f>
        <v>0.0</v>
      </c>
      <c r="AD1298">
        <f>IF(AND(AC1298=1,A1298&gt;=p_from,A1298&lt;=p_to),1,0)</f>
        <v>0.0</v>
      </c>
      <c r="AE1298">
        <f>IF(AD1298=1,IF(COUNTIFS($A$6:A1298,A1298,$AD$6:AD1298,1)=1,1,0),0)</f>
        <v>0.0</v>
      </c>
      <c r="AF1298" t="str">
        <f>IF(AE1298=1,COUNTIFS(sj_first,1,sj_date,"&lt;"&amp;A1298)+1,"")</f>
        <v/>
      </c>
      <c r="AG1298" t="str">
        <f>IF(AND(AD1298=1,N(W1298)&lt;p_alert),ROUND(W1298,4),"")</f>
        <v/>
      </c>
      <c r="AH1298" t="str">
        <f>IF(AG1298="","",COUNTIF(sj_akey,"&lt;"&amp;AG1298)+COUNTIF($AG$6:AG1298,AG1298))</f>
        <v/>
      </c>
    </row>
    <row r="1299">
      <c r="A1299" s="51" t="n"/>
      <c r="B1299" s="52" t="n"/>
      <c r="C1299" s="52" t="n"/>
      <c r="D1299" s="53" t="n"/>
      <c r="E1299" s="53" t="n"/>
      <c r="F1299" s="54" t="n"/>
      <c r="G1299" s="54" t="n"/>
      <c r="H1299" s="54" t="n"/>
      <c r="I1299" s="54" t="n"/>
      <c r="J1299" s="53" t="n"/>
      <c r="K1299" s="55" t="str">
        <f>IF(COUNTA(A1299:I1299)=0,"",IF(F1299="",IFERROR(INDEX(eq_dur,MATCH(B1299,eq_code,0)),""),F1299))</f>
        <v/>
      </c>
      <c r="L1299" s="55" t="str">
        <f>IF(ISNUMBER(K1299),N(IFERROR(INDEX(eq_pause,MATCH(B1299,eq_code,0)),0))+SUMIFS(st_min,st_date,A1299,st_eq,B1299,st_po,C1299,st_type,"Planifié"),"")</f>
        <v/>
      </c>
      <c r="M1299" s="55" t="str">
        <f>IF(ISNUMBER(K1299),K1299-L1299,"")</f>
        <v/>
      </c>
      <c r="N1299" s="55" t="str">
        <f>IF(ISNUMBER(K1299),SUMIFS(st_min,st_date,A1299,st_eq,B1299,st_po,C1299,st_type,"Non planifié"),"")</f>
        <v/>
      </c>
      <c r="O1299" s="55" t="str">
        <f>IF(ISNUMBER(K1299),M1299-N1299,"")</f>
        <v/>
      </c>
      <c r="P1299" s="55" t="str">
        <f>IF(COUNTA(A1299:I1299)=0,"",N(G1299)+N(H1299)+N(I1299))</f>
        <v/>
      </c>
      <c r="Q1299" s="56" t="str">
        <f>IF(COUNTA(A1299:I1299)=0,"",IF(N(IFERROR(INDEX(art_rate,MATCH(E1299,art_ref,0)),0))&gt;0,N(IFERROR(INDEX(art_rate,MATCH(E1299,art_ref,0)),0)),N(IFERROR(INDEX(po_rate,MATCH(C1299,po_code,0)),0))))</f>
        <v/>
      </c>
      <c r="R1299" s="55" t="str">
        <f>IF(AC1299=1,P1299*60/Q1299,"")</f>
        <v/>
      </c>
      <c r="S1299" s="55" t="str">
        <f>IF(AC1299=1,N(G1299)*60/Q1299,"")</f>
        <v/>
      </c>
      <c r="T1299" s="57" t="str">
        <f>IF(AC1299=1,O1299/M1299,"")</f>
        <v/>
      </c>
      <c r="U1299" s="57" t="str">
        <f>IF(AC1299=1,IF(O1299&gt;0,R1299/O1299,""),"")</f>
        <v/>
      </c>
      <c r="V1299" s="57" t="str">
        <f>IF(AC1299=1,IF(P1299&gt;0,N(G1299)/P1299,""),"")</f>
        <v/>
      </c>
      <c r="W1299" s="57" t="str">
        <f>IF(AC1299=1,S1299/M1299,"")</f>
        <v/>
      </c>
      <c r="X1299" s="57" t="str">
        <f>IF(AC1299=1,S1299/K1299,"")</f>
        <v/>
      </c>
      <c r="Y1299" s="58" t="str">
        <f>IF(W1299="","",IF(W1299&gt;=p_target,"Bon",IF(W1299&gt;=p_alert,"À surveiller","Faible")))</f>
        <v/>
      </c>
      <c r="Z1299" s="58" t="str">
        <f>IF(W1299="","",IF(MIN(IF(T1299="",1,T1299),IF(U1299="",1,U1299),IF(V1299="",1,V1299))&gt;=1,"Aucune",IF(IF(T1299="",1,T1299)&lt;=MIN(IF(U1299="",1,U1299),IF(V1299="",1,V1299)),"Disponibilité",IF(IF(U1299="",1,U1299)&lt;=IF(V1299="",1,V1299),"Performance","Qualité"))))</f>
        <v/>
      </c>
      <c r="AA1299" s="59" t="str">
        <f>IF(AC1299=1,N(H1299)*N(IFERROR(INDEX(art_cost,MATCH(E1299,art_ref,0)),0)),"")</f>
        <v/>
      </c>
      <c r="AB1299" s="58" t="str">
        <f>IF(COUNTA(A1299:I1299)=0,"",IF(N(A1299)&lt;=0,"Date manquante ou invalide",IF(B1299="","Équipe manquante",IF(ISNA(MATCH(B1299,eq_code,0)),"Équipe inconnue",IF(INDEX(eq_check,MATCH(B1299,eq_code,0))&lt;&gt;"OK","Équipe à corriger dans Paramètres",IF(C1299="","Poste manquant",IF(ISNA(MATCH(C1299,po_code,0)),"Poste inconnu",IF(AND(E1299&lt;&gt;"",ISNA(MATCH(E1299,art_ref,0))),"Article inconnu",IF(IF(E1299="",FALSE,INDEX(art_check,MATCH(E1299,art_ref,0))&lt;&gt;"OK"),"Article à corriger (feuille Articles)",IF(COUNTIFS(sj_date,A1299,sj_eq,B1299,sj_po,C1299)&gt;1,"Ligne en double (même jour, équipe et poste)",IF(OR(NOT(ISNUMBER(K1299)),N(K1299)&lt;=0,N(K1299)&gt;1440),"Temps d'ouverture invalide",IF(OR(AND(G1299&lt;&gt;"",NOT(ISNUMBER(G1299))),N(G1299)&lt;0,N(G1299)&lt;&gt;INT(N(G1299)),AND(H1299&lt;&gt;"",NOT(ISNUMBER(H1299))),N(H1299)&lt;0,N(H1299)&lt;&gt;INT(N(H1299)),AND(I1299&lt;&gt;"",NOT(ISNUMBER(I1299))),N(I1299)&lt;0,N(I1299)&lt;&gt;INT(N(I1299))),"Quantité invalide",IF(Q1299&lt;=0,"Cadence manquante (poste ou article)",IF(M1299&lt;=0,"Arrêts planifiés supérieurs au temps d'ouverture",IF(O1299&lt;0,"Arrêts supérieurs au temps requis",IF(AND(P1299&gt;0,O1299=0),"Pièces déclarées sans temps de marche",IF(AND(P1299=0,O1299&gt;0),"Aucune pièce déclarée",IF(P1299*60/Q1299&gt;O1299+0.001,"Cadence dépassée : vérifiez la cadence","OK"))))))))))))))))))</f>
        <v/>
      </c>
      <c r="AC1299">
        <f>IF(OR(AB1299="OK",AB1299="Aucune pièce déclarée",AB1299="Cadence dépassée : vérifiez la cadence"),1,0)</f>
        <v>0.0</v>
      </c>
      <c r="AD1299">
        <f>IF(AND(AC1299=1,A1299&gt;=p_from,A1299&lt;=p_to),1,0)</f>
        <v>0.0</v>
      </c>
      <c r="AE1299">
        <f>IF(AD1299=1,IF(COUNTIFS($A$6:A1299,A1299,$AD$6:AD1299,1)=1,1,0),0)</f>
        <v>0.0</v>
      </c>
      <c r="AF1299" t="str">
        <f>IF(AE1299=1,COUNTIFS(sj_first,1,sj_date,"&lt;"&amp;A1299)+1,"")</f>
        <v/>
      </c>
      <c r="AG1299" t="str">
        <f>IF(AND(AD1299=1,N(W1299)&lt;p_alert),ROUND(W1299,4),"")</f>
        <v/>
      </c>
      <c r="AH1299" t="str">
        <f>IF(AG1299="","",COUNTIF(sj_akey,"&lt;"&amp;AG1299)+COUNTIF($AG$6:AG1299,AG1299))</f>
        <v/>
      </c>
    </row>
    <row r="1300">
      <c r="A1300" s="51" t="n"/>
      <c r="B1300" s="52" t="n"/>
      <c r="C1300" s="52" t="n"/>
      <c r="D1300" s="53" t="n"/>
      <c r="E1300" s="53" t="n"/>
      <c r="F1300" s="54" t="n"/>
      <c r="G1300" s="54" t="n"/>
      <c r="H1300" s="54" t="n"/>
      <c r="I1300" s="54" t="n"/>
      <c r="J1300" s="53" t="n"/>
      <c r="K1300" s="55" t="str">
        <f>IF(COUNTA(A1300:I1300)=0,"",IF(F1300="",IFERROR(INDEX(eq_dur,MATCH(B1300,eq_code,0)),""),F1300))</f>
        <v/>
      </c>
      <c r="L1300" s="55" t="str">
        <f>IF(ISNUMBER(K1300),N(IFERROR(INDEX(eq_pause,MATCH(B1300,eq_code,0)),0))+SUMIFS(st_min,st_date,A1300,st_eq,B1300,st_po,C1300,st_type,"Planifié"),"")</f>
        <v/>
      </c>
      <c r="M1300" s="55" t="str">
        <f>IF(ISNUMBER(K1300),K1300-L1300,"")</f>
        <v/>
      </c>
      <c r="N1300" s="55" t="str">
        <f>IF(ISNUMBER(K1300),SUMIFS(st_min,st_date,A1300,st_eq,B1300,st_po,C1300,st_type,"Non planifié"),"")</f>
        <v/>
      </c>
      <c r="O1300" s="55" t="str">
        <f>IF(ISNUMBER(K1300),M1300-N1300,"")</f>
        <v/>
      </c>
      <c r="P1300" s="55" t="str">
        <f>IF(COUNTA(A1300:I1300)=0,"",N(G1300)+N(H1300)+N(I1300))</f>
        <v/>
      </c>
      <c r="Q1300" s="56" t="str">
        <f>IF(COUNTA(A1300:I1300)=0,"",IF(N(IFERROR(INDEX(art_rate,MATCH(E1300,art_ref,0)),0))&gt;0,N(IFERROR(INDEX(art_rate,MATCH(E1300,art_ref,0)),0)),N(IFERROR(INDEX(po_rate,MATCH(C1300,po_code,0)),0))))</f>
        <v/>
      </c>
      <c r="R1300" s="55" t="str">
        <f>IF(AC1300=1,P1300*60/Q1300,"")</f>
        <v/>
      </c>
      <c r="S1300" s="55" t="str">
        <f>IF(AC1300=1,N(G1300)*60/Q1300,"")</f>
        <v/>
      </c>
      <c r="T1300" s="57" t="str">
        <f>IF(AC1300=1,O1300/M1300,"")</f>
        <v/>
      </c>
      <c r="U1300" s="57" t="str">
        <f>IF(AC1300=1,IF(O1300&gt;0,R1300/O1300,""),"")</f>
        <v/>
      </c>
      <c r="V1300" s="57" t="str">
        <f>IF(AC1300=1,IF(P1300&gt;0,N(G1300)/P1300,""),"")</f>
        <v/>
      </c>
      <c r="W1300" s="57" t="str">
        <f>IF(AC1300=1,S1300/M1300,"")</f>
        <v/>
      </c>
      <c r="X1300" s="57" t="str">
        <f>IF(AC1300=1,S1300/K1300,"")</f>
        <v/>
      </c>
      <c r="Y1300" s="58" t="str">
        <f>IF(W1300="","",IF(W1300&gt;=p_target,"Bon",IF(W1300&gt;=p_alert,"À surveiller","Faible")))</f>
        <v/>
      </c>
      <c r="Z1300" s="58" t="str">
        <f>IF(W1300="","",IF(MIN(IF(T1300="",1,T1300),IF(U1300="",1,U1300),IF(V1300="",1,V1300))&gt;=1,"Aucune",IF(IF(T1300="",1,T1300)&lt;=MIN(IF(U1300="",1,U1300),IF(V1300="",1,V1300)),"Disponibilité",IF(IF(U1300="",1,U1300)&lt;=IF(V1300="",1,V1300),"Performance","Qualité"))))</f>
        <v/>
      </c>
      <c r="AA1300" s="59" t="str">
        <f>IF(AC1300=1,N(H1300)*N(IFERROR(INDEX(art_cost,MATCH(E1300,art_ref,0)),0)),"")</f>
        <v/>
      </c>
      <c r="AB1300" s="58" t="str">
        <f>IF(COUNTA(A1300:I1300)=0,"",IF(N(A1300)&lt;=0,"Date manquante ou invalide",IF(B1300="","Équipe manquante",IF(ISNA(MATCH(B1300,eq_code,0)),"Équipe inconnue",IF(INDEX(eq_check,MATCH(B1300,eq_code,0))&lt;&gt;"OK","Équipe à corriger dans Paramètres",IF(C1300="","Poste manquant",IF(ISNA(MATCH(C1300,po_code,0)),"Poste inconnu",IF(AND(E1300&lt;&gt;"",ISNA(MATCH(E1300,art_ref,0))),"Article inconnu",IF(IF(E1300="",FALSE,INDEX(art_check,MATCH(E1300,art_ref,0))&lt;&gt;"OK"),"Article à corriger (feuille Articles)",IF(COUNTIFS(sj_date,A1300,sj_eq,B1300,sj_po,C1300)&gt;1,"Ligne en double (même jour, équipe et poste)",IF(OR(NOT(ISNUMBER(K1300)),N(K1300)&lt;=0,N(K1300)&gt;1440),"Temps d'ouverture invalide",IF(OR(AND(G1300&lt;&gt;"",NOT(ISNUMBER(G1300))),N(G1300)&lt;0,N(G1300)&lt;&gt;INT(N(G1300)),AND(H1300&lt;&gt;"",NOT(ISNUMBER(H1300))),N(H1300)&lt;0,N(H1300)&lt;&gt;INT(N(H1300)),AND(I1300&lt;&gt;"",NOT(ISNUMBER(I1300))),N(I1300)&lt;0,N(I1300)&lt;&gt;INT(N(I1300))),"Quantité invalide",IF(Q1300&lt;=0,"Cadence manquante (poste ou article)",IF(M1300&lt;=0,"Arrêts planifiés supérieurs au temps d'ouverture",IF(O1300&lt;0,"Arrêts supérieurs au temps requis",IF(AND(P1300&gt;0,O1300=0),"Pièces déclarées sans temps de marche",IF(AND(P1300=0,O1300&gt;0),"Aucune pièce déclarée",IF(P1300*60/Q1300&gt;O1300+0.001,"Cadence dépassée : vérifiez la cadence","OK"))))))))))))))))))</f>
        <v/>
      </c>
      <c r="AC1300">
        <f>IF(OR(AB1300="OK",AB1300="Aucune pièce déclarée",AB1300="Cadence dépassée : vérifiez la cadence"),1,0)</f>
        <v>0.0</v>
      </c>
      <c r="AD1300">
        <f>IF(AND(AC1300=1,A1300&gt;=p_from,A1300&lt;=p_to),1,0)</f>
        <v>0.0</v>
      </c>
      <c r="AE1300">
        <f>IF(AD1300=1,IF(COUNTIFS($A$6:A1300,A1300,$AD$6:AD1300,1)=1,1,0),0)</f>
        <v>0.0</v>
      </c>
      <c r="AF1300" t="str">
        <f>IF(AE1300=1,COUNTIFS(sj_first,1,sj_date,"&lt;"&amp;A1300)+1,"")</f>
        <v/>
      </c>
      <c r="AG1300" t="str">
        <f>IF(AND(AD1300=1,N(W1300)&lt;p_alert),ROUND(W1300,4),"")</f>
        <v/>
      </c>
      <c r="AH1300" t="str">
        <f>IF(AG1300="","",COUNTIF(sj_akey,"&lt;"&amp;AG1300)+COUNTIF($AG$6:AG1300,AG1300))</f>
        <v/>
      </c>
    </row>
    <row r="1301">
      <c r="A1301" s="51" t="n"/>
      <c r="B1301" s="52" t="n"/>
      <c r="C1301" s="52" t="n"/>
      <c r="D1301" s="53" t="n"/>
      <c r="E1301" s="53" t="n"/>
      <c r="F1301" s="54" t="n"/>
      <c r="G1301" s="54" t="n"/>
      <c r="H1301" s="54" t="n"/>
      <c r="I1301" s="54" t="n"/>
      <c r="J1301" s="53" t="n"/>
      <c r="K1301" s="55" t="str">
        <f>IF(COUNTA(A1301:I1301)=0,"",IF(F1301="",IFERROR(INDEX(eq_dur,MATCH(B1301,eq_code,0)),""),F1301))</f>
        <v/>
      </c>
      <c r="L1301" s="55" t="str">
        <f>IF(ISNUMBER(K1301),N(IFERROR(INDEX(eq_pause,MATCH(B1301,eq_code,0)),0))+SUMIFS(st_min,st_date,A1301,st_eq,B1301,st_po,C1301,st_type,"Planifié"),"")</f>
        <v/>
      </c>
      <c r="M1301" s="55" t="str">
        <f>IF(ISNUMBER(K1301),K1301-L1301,"")</f>
        <v/>
      </c>
      <c r="N1301" s="55" t="str">
        <f>IF(ISNUMBER(K1301),SUMIFS(st_min,st_date,A1301,st_eq,B1301,st_po,C1301,st_type,"Non planifié"),"")</f>
        <v/>
      </c>
      <c r="O1301" s="55" t="str">
        <f>IF(ISNUMBER(K1301),M1301-N1301,"")</f>
        <v/>
      </c>
      <c r="P1301" s="55" t="str">
        <f>IF(COUNTA(A1301:I1301)=0,"",N(G1301)+N(H1301)+N(I1301))</f>
        <v/>
      </c>
      <c r="Q1301" s="56" t="str">
        <f>IF(COUNTA(A1301:I1301)=0,"",IF(N(IFERROR(INDEX(art_rate,MATCH(E1301,art_ref,0)),0))&gt;0,N(IFERROR(INDEX(art_rate,MATCH(E1301,art_ref,0)),0)),N(IFERROR(INDEX(po_rate,MATCH(C1301,po_code,0)),0))))</f>
        <v/>
      </c>
      <c r="R1301" s="55" t="str">
        <f>IF(AC1301=1,P1301*60/Q1301,"")</f>
        <v/>
      </c>
      <c r="S1301" s="55" t="str">
        <f>IF(AC1301=1,N(G1301)*60/Q1301,"")</f>
        <v/>
      </c>
      <c r="T1301" s="57" t="str">
        <f>IF(AC1301=1,O1301/M1301,"")</f>
        <v/>
      </c>
      <c r="U1301" s="57" t="str">
        <f>IF(AC1301=1,IF(O1301&gt;0,R1301/O1301,""),"")</f>
        <v/>
      </c>
      <c r="V1301" s="57" t="str">
        <f>IF(AC1301=1,IF(P1301&gt;0,N(G1301)/P1301,""),"")</f>
        <v/>
      </c>
      <c r="W1301" s="57" t="str">
        <f>IF(AC1301=1,S1301/M1301,"")</f>
        <v/>
      </c>
      <c r="X1301" s="57" t="str">
        <f>IF(AC1301=1,S1301/K1301,"")</f>
        <v/>
      </c>
      <c r="Y1301" s="58" t="str">
        <f>IF(W1301="","",IF(W1301&gt;=p_target,"Bon",IF(W1301&gt;=p_alert,"À surveiller","Faible")))</f>
        <v/>
      </c>
      <c r="Z1301" s="58" t="str">
        <f>IF(W1301="","",IF(MIN(IF(T1301="",1,T1301),IF(U1301="",1,U1301),IF(V1301="",1,V1301))&gt;=1,"Aucune",IF(IF(T1301="",1,T1301)&lt;=MIN(IF(U1301="",1,U1301),IF(V1301="",1,V1301)),"Disponibilité",IF(IF(U1301="",1,U1301)&lt;=IF(V1301="",1,V1301),"Performance","Qualité"))))</f>
        <v/>
      </c>
      <c r="AA1301" s="59" t="str">
        <f>IF(AC1301=1,N(H1301)*N(IFERROR(INDEX(art_cost,MATCH(E1301,art_ref,0)),0)),"")</f>
        <v/>
      </c>
      <c r="AB1301" s="58" t="str">
        <f>IF(COUNTA(A1301:I1301)=0,"",IF(N(A1301)&lt;=0,"Date manquante ou invalide",IF(B1301="","Équipe manquante",IF(ISNA(MATCH(B1301,eq_code,0)),"Équipe inconnue",IF(INDEX(eq_check,MATCH(B1301,eq_code,0))&lt;&gt;"OK","Équipe à corriger dans Paramètres",IF(C1301="","Poste manquant",IF(ISNA(MATCH(C1301,po_code,0)),"Poste inconnu",IF(AND(E1301&lt;&gt;"",ISNA(MATCH(E1301,art_ref,0))),"Article inconnu",IF(IF(E1301="",FALSE,INDEX(art_check,MATCH(E1301,art_ref,0))&lt;&gt;"OK"),"Article à corriger (feuille Articles)",IF(COUNTIFS(sj_date,A1301,sj_eq,B1301,sj_po,C1301)&gt;1,"Ligne en double (même jour, équipe et poste)",IF(OR(NOT(ISNUMBER(K1301)),N(K1301)&lt;=0,N(K1301)&gt;1440),"Temps d'ouverture invalide",IF(OR(AND(G1301&lt;&gt;"",NOT(ISNUMBER(G1301))),N(G1301)&lt;0,N(G1301)&lt;&gt;INT(N(G1301)),AND(H1301&lt;&gt;"",NOT(ISNUMBER(H1301))),N(H1301)&lt;0,N(H1301)&lt;&gt;INT(N(H1301)),AND(I1301&lt;&gt;"",NOT(ISNUMBER(I1301))),N(I1301)&lt;0,N(I1301)&lt;&gt;INT(N(I1301))),"Quantité invalide",IF(Q1301&lt;=0,"Cadence manquante (poste ou article)",IF(M1301&lt;=0,"Arrêts planifiés supérieurs au temps d'ouverture",IF(O1301&lt;0,"Arrêts supérieurs au temps requis",IF(AND(P1301&gt;0,O1301=0),"Pièces déclarées sans temps de marche",IF(AND(P1301=0,O1301&gt;0),"Aucune pièce déclarée",IF(P1301*60/Q1301&gt;O1301+0.001,"Cadence dépassée : vérifiez la cadence","OK"))))))))))))))))))</f>
        <v/>
      </c>
      <c r="AC1301">
        <f>IF(OR(AB1301="OK",AB1301="Aucune pièce déclarée",AB1301="Cadence dépassée : vérifiez la cadence"),1,0)</f>
        <v>0.0</v>
      </c>
      <c r="AD1301">
        <f>IF(AND(AC1301=1,A1301&gt;=p_from,A1301&lt;=p_to),1,0)</f>
        <v>0.0</v>
      </c>
      <c r="AE1301">
        <f>IF(AD1301=1,IF(COUNTIFS($A$6:A1301,A1301,$AD$6:AD1301,1)=1,1,0),0)</f>
        <v>0.0</v>
      </c>
      <c r="AF1301" t="str">
        <f>IF(AE1301=1,COUNTIFS(sj_first,1,sj_date,"&lt;"&amp;A1301)+1,"")</f>
        <v/>
      </c>
      <c r="AG1301" t="str">
        <f>IF(AND(AD1301=1,N(W1301)&lt;p_alert),ROUND(W1301,4),"")</f>
        <v/>
      </c>
      <c r="AH1301" t="str">
        <f>IF(AG1301="","",COUNTIF(sj_akey,"&lt;"&amp;AG1301)+COUNTIF($AG$6:AG1301,AG1301))</f>
        <v/>
      </c>
    </row>
    <row r="1302">
      <c r="A1302" s="51" t="n"/>
      <c r="B1302" s="52" t="n"/>
      <c r="C1302" s="52" t="n"/>
      <c r="D1302" s="53" t="n"/>
      <c r="E1302" s="53" t="n"/>
      <c r="F1302" s="54" t="n"/>
      <c r="G1302" s="54" t="n"/>
      <c r="H1302" s="54" t="n"/>
      <c r="I1302" s="54" t="n"/>
      <c r="J1302" s="53" t="n"/>
      <c r="K1302" s="55" t="str">
        <f>IF(COUNTA(A1302:I1302)=0,"",IF(F1302="",IFERROR(INDEX(eq_dur,MATCH(B1302,eq_code,0)),""),F1302))</f>
        <v/>
      </c>
      <c r="L1302" s="55" t="str">
        <f>IF(ISNUMBER(K1302),N(IFERROR(INDEX(eq_pause,MATCH(B1302,eq_code,0)),0))+SUMIFS(st_min,st_date,A1302,st_eq,B1302,st_po,C1302,st_type,"Planifié"),"")</f>
        <v/>
      </c>
      <c r="M1302" s="55" t="str">
        <f>IF(ISNUMBER(K1302),K1302-L1302,"")</f>
        <v/>
      </c>
      <c r="N1302" s="55" t="str">
        <f>IF(ISNUMBER(K1302),SUMIFS(st_min,st_date,A1302,st_eq,B1302,st_po,C1302,st_type,"Non planifié"),"")</f>
        <v/>
      </c>
      <c r="O1302" s="55" t="str">
        <f>IF(ISNUMBER(K1302),M1302-N1302,"")</f>
        <v/>
      </c>
      <c r="P1302" s="55" t="str">
        <f>IF(COUNTA(A1302:I1302)=0,"",N(G1302)+N(H1302)+N(I1302))</f>
        <v/>
      </c>
      <c r="Q1302" s="56" t="str">
        <f>IF(COUNTA(A1302:I1302)=0,"",IF(N(IFERROR(INDEX(art_rate,MATCH(E1302,art_ref,0)),0))&gt;0,N(IFERROR(INDEX(art_rate,MATCH(E1302,art_ref,0)),0)),N(IFERROR(INDEX(po_rate,MATCH(C1302,po_code,0)),0))))</f>
        <v/>
      </c>
      <c r="R1302" s="55" t="str">
        <f>IF(AC1302=1,P1302*60/Q1302,"")</f>
        <v/>
      </c>
      <c r="S1302" s="55" t="str">
        <f>IF(AC1302=1,N(G1302)*60/Q1302,"")</f>
        <v/>
      </c>
      <c r="T1302" s="57" t="str">
        <f>IF(AC1302=1,O1302/M1302,"")</f>
        <v/>
      </c>
      <c r="U1302" s="57" t="str">
        <f>IF(AC1302=1,IF(O1302&gt;0,R1302/O1302,""),"")</f>
        <v/>
      </c>
      <c r="V1302" s="57" t="str">
        <f>IF(AC1302=1,IF(P1302&gt;0,N(G1302)/P1302,""),"")</f>
        <v/>
      </c>
      <c r="W1302" s="57" t="str">
        <f>IF(AC1302=1,S1302/M1302,"")</f>
        <v/>
      </c>
      <c r="X1302" s="57" t="str">
        <f>IF(AC1302=1,S1302/K1302,"")</f>
        <v/>
      </c>
      <c r="Y1302" s="58" t="str">
        <f>IF(W1302="","",IF(W1302&gt;=p_target,"Bon",IF(W1302&gt;=p_alert,"À surveiller","Faible")))</f>
        <v/>
      </c>
      <c r="Z1302" s="58" t="str">
        <f>IF(W1302="","",IF(MIN(IF(T1302="",1,T1302),IF(U1302="",1,U1302),IF(V1302="",1,V1302))&gt;=1,"Aucune",IF(IF(T1302="",1,T1302)&lt;=MIN(IF(U1302="",1,U1302),IF(V1302="",1,V1302)),"Disponibilité",IF(IF(U1302="",1,U1302)&lt;=IF(V1302="",1,V1302),"Performance","Qualité"))))</f>
        <v/>
      </c>
      <c r="AA1302" s="59" t="str">
        <f>IF(AC1302=1,N(H1302)*N(IFERROR(INDEX(art_cost,MATCH(E1302,art_ref,0)),0)),"")</f>
        <v/>
      </c>
      <c r="AB1302" s="58" t="str">
        <f>IF(COUNTA(A1302:I1302)=0,"",IF(N(A1302)&lt;=0,"Date manquante ou invalide",IF(B1302="","Équipe manquante",IF(ISNA(MATCH(B1302,eq_code,0)),"Équipe inconnue",IF(INDEX(eq_check,MATCH(B1302,eq_code,0))&lt;&gt;"OK","Équipe à corriger dans Paramètres",IF(C1302="","Poste manquant",IF(ISNA(MATCH(C1302,po_code,0)),"Poste inconnu",IF(AND(E1302&lt;&gt;"",ISNA(MATCH(E1302,art_ref,0))),"Article inconnu",IF(IF(E1302="",FALSE,INDEX(art_check,MATCH(E1302,art_ref,0))&lt;&gt;"OK"),"Article à corriger (feuille Articles)",IF(COUNTIFS(sj_date,A1302,sj_eq,B1302,sj_po,C1302)&gt;1,"Ligne en double (même jour, équipe et poste)",IF(OR(NOT(ISNUMBER(K1302)),N(K1302)&lt;=0,N(K1302)&gt;1440),"Temps d'ouverture invalide",IF(OR(AND(G1302&lt;&gt;"",NOT(ISNUMBER(G1302))),N(G1302)&lt;0,N(G1302)&lt;&gt;INT(N(G1302)),AND(H1302&lt;&gt;"",NOT(ISNUMBER(H1302))),N(H1302)&lt;0,N(H1302)&lt;&gt;INT(N(H1302)),AND(I1302&lt;&gt;"",NOT(ISNUMBER(I1302))),N(I1302)&lt;0,N(I1302)&lt;&gt;INT(N(I1302))),"Quantité invalide",IF(Q1302&lt;=0,"Cadence manquante (poste ou article)",IF(M1302&lt;=0,"Arrêts planifiés supérieurs au temps d'ouverture",IF(O1302&lt;0,"Arrêts supérieurs au temps requis",IF(AND(P1302&gt;0,O1302=0),"Pièces déclarées sans temps de marche",IF(AND(P1302=0,O1302&gt;0),"Aucune pièce déclarée",IF(P1302*60/Q1302&gt;O1302+0.001,"Cadence dépassée : vérifiez la cadence","OK"))))))))))))))))))</f>
        <v/>
      </c>
      <c r="AC1302">
        <f>IF(OR(AB1302="OK",AB1302="Aucune pièce déclarée",AB1302="Cadence dépassée : vérifiez la cadence"),1,0)</f>
        <v>0.0</v>
      </c>
      <c r="AD1302">
        <f>IF(AND(AC1302=1,A1302&gt;=p_from,A1302&lt;=p_to),1,0)</f>
        <v>0.0</v>
      </c>
      <c r="AE1302">
        <f>IF(AD1302=1,IF(COUNTIFS($A$6:A1302,A1302,$AD$6:AD1302,1)=1,1,0),0)</f>
        <v>0.0</v>
      </c>
      <c r="AF1302" t="str">
        <f>IF(AE1302=1,COUNTIFS(sj_first,1,sj_date,"&lt;"&amp;A1302)+1,"")</f>
        <v/>
      </c>
      <c r="AG1302" t="str">
        <f>IF(AND(AD1302=1,N(W1302)&lt;p_alert),ROUND(W1302,4),"")</f>
        <v/>
      </c>
      <c r="AH1302" t="str">
        <f>IF(AG1302="","",COUNTIF(sj_akey,"&lt;"&amp;AG1302)+COUNTIF($AG$6:AG1302,AG1302))</f>
        <v/>
      </c>
    </row>
    <row r="1303">
      <c r="A1303" s="51" t="n"/>
      <c r="B1303" s="52" t="n"/>
      <c r="C1303" s="52" t="n"/>
      <c r="D1303" s="53" t="n"/>
      <c r="E1303" s="53" t="n"/>
      <c r="F1303" s="54" t="n"/>
      <c r="G1303" s="54" t="n"/>
      <c r="H1303" s="54" t="n"/>
      <c r="I1303" s="54" t="n"/>
      <c r="J1303" s="53" t="n"/>
      <c r="K1303" s="55" t="str">
        <f>IF(COUNTA(A1303:I1303)=0,"",IF(F1303="",IFERROR(INDEX(eq_dur,MATCH(B1303,eq_code,0)),""),F1303))</f>
        <v/>
      </c>
      <c r="L1303" s="55" t="str">
        <f>IF(ISNUMBER(K1303),N(IFERROR(INDEX(eq_pause,MATCH(B1303,eq_code,0)),0))+SUMIFS(st_min,st_date,A1303,st_eq,B1303,st_po,C1303,st_type,"Planifié"),"")</f>
        <v/>
      </c>
      <c r="M1303" s="55" t="str">
        <f>IF(ISNUMBER(K1303),K1303-L1303,"")</f>
        <v/>
      </c>
      <c r="N1303" s="55" t="str">
        <f>IF(ISNUMBER(K1303),SUMIFS(st_min,st_date,A1303,st_eq,B1303,st_po,C1303,st_type,"Non planifié"),"")</f>
        <v/>
      </c>
      <c r="O1303" s="55" t="str">
        <f>IF(ISNUMBER(K1303),M1303-N1303,"")</f>
        <v/>
      </c>
      <c r="P1303" s="55" t="str">
        <f>IF(COUNTA(A1303:I1303)=0,"",N(G1303)+N(H1303)+N(I1303))</f>
        <v/>
      </c>
      <c r="Q1303" s="56" t="str">
        <f>IF(COUNTA(A1303:I1303)=0,"",IF(N(IFERROR(INDEX(art_rate,MATCH(E1303,art_ref,0)),0))&gt;0,N(IFERROR(INDEX(art_rate,MATCH(E1303,art_ref,0)),0)),N(IFERROR(INDEX(po_rate,MATCH(C1303,po_code,0)),0))))</f>
        <v/>
      </c>
      <c r="R1303" s="55" t="str">
        <f>IF(AC1303=1,P1303*60/Q1303,"")</f>
        <v/>
      </c>
      <c r="S1303" s="55" t="str">
        <f>IF(AC1303=1,N(G1303)*60/Q1303,"")</f>
        <v/>
      </c>
      <c r="T1303" s="57" t="str">
        <f>IF(AC1303=1,O1303/M1303,"")</f>
        <v/>
      </c>
      <c r="U1303" s="57" t="str">
        <f>IF(AC1303=1,IF(O1303&gt;0,R1303/O1303,""),"")</f>
        <v/>
      </c>
      <c r="V1303" s="57" t="str">
        <f>IF(AC1303=1,IF(P1303&gt;0,N(G1303)/P1303,""),"")</f>
        <v/>
      </c>
      <c r="W1303" s="57" t="str">
        <f>IF(AC1303=1,S1303/M1303,"")</f>
        <v/>
      </c>
      <c r="X1303" s="57" t="str">
        <f>IF(AC1303=1,S1303/K1303,"")</f>
        <v/>
      </c>
      <c r="Y1303" s="58" t="str">
        <f>IF(W1303="","",IF(W1303&gt;=p_target,"Bon",IF(W1303&gt;=p_alert,"À surveiller","Faible")))</f>
        <v/>
      </c>
      <c r="Z1303" s="58" t="str">
        <f>IF(W1303="","",IF(MIN(IF(T1303="",1,T1303),IF(U1303="",1,U1303),IF(V1303="",1,V1303))&gt;=1,"Aucune",IF(IF(T1303="",1,T1303)&lt;=MIN(IF(U1303="",1,U1303),IF(V1303="",1,V1303)),"Disponibilité",IF(IF(U1303="",1,U1303)&lt;=IF(V1303="",1,V1303),"Performance","Qualité"))))</f>
        <v/>
      </c>
      <c r="AA1303" s="59" t="str">
        <f>IF(AC1303=1,N(H1303)*N(IFERROR(INDEX(art_cost,MATCH(E1303,art_ref,0)),0)),"")</f>
        <v/>
      </c>
      <c r="AB1303" s="58" t="str">
        <f>IF(COUNTA(A1303:I1303)=0,"",IF(N(A1303)&lt;=0,"Date manquante ou invalide",IF(B1303="","Équipe manquante",IF(ISNA(MATCH(B1303,eq_code,0)),"Équipe inconnue",IF(INDEX(eq_check,MATCH(B1303,eq_code,0))&lt;&gt;"OK","Équipe à corriger dans Paramètres",IF(C1303="","Poste manquant",IF(ISNA(MATCH(C1303,po_code,0)),"Poste inconnu",IF(AND(E1303&lt;&gt;"",ISNA(MATCH(E1303,art_ref,0))),"Article inconnu",IF(IF(E1303="",FALSE,INDEX(art_check,MATCH(E1303,art_ref,0))&lt;&gt;"OK"),"Article à corriger (feuille Articles)",IF(COUNTIFS(sj_date,A1303,sj_eq,B1303,sj_po,C1303)&gt;1,"Ligne en double (même jour, équipe et poste)",IF(OR(NOT(ISNUMBER(K1303)),N(K1303)&lt;=0,N(K1303)&gt;1440),"Temps d'ouverture invalide",IF(OR(AND(G1303&lt;&gt;"",NOT(ISNUMBER(G1303))),N(G1303)&lt;0,N(G1303)&lt;&gt;INT(N(G1303)),AND(H1303&lt;&gt;"",NOT(ISNUMBER(H1303))),N(H1303)&lt;0,N(H1303)&lt;&gt;INT(N(H1303)),AND(I1303&lt;&gt;"",NOT(ISNUMBER(I1303))),N(I1303)&lt;0,N(I1303)&lt;&gt;INT(N(I1303))),"Quantité invalide",IF(Q1303&lt;=0,"Cadence manquante (poste ou article)",IF(M1303&lt;=0,"Arrêts planifiés supérieurs au temps d'ouverture",IF(O1303&lt;0,"Arrêts supérieurs au temps requis",IF(AND(P1303&gt;0,O1303=0),"Pièces déclarées sans temps de marche",IF(AND(P1303=0,O1303&gt;0),"Aucune pièce déclarée",IF(P1303*60/Q1303&gt;O1303+0.001,"Cadence dépassée : vérifiez la cadence","OK"))))))))))))))))))</f>
        <v/>
      </c>
      <c r="AC1303">
        <f>IF(OR(AB1303="OK",AB1303="Aucune pièce déclarée",AB1303="Cadence dépassée : vérifiez la cadence"),1,0)</f>
        <v>0.0</v>
      </c>
      <c r="AD1303">
        <f>IF(AND(AC1303=1,A1303&gt;=p_from,A1303&lt;=p_to),1,0)</f>
        <v>0.0</v>
      </c>
      <c r="AE1303">
        <f>IF(AD1303=1,IF(COUNTIFS($A$6:A1303,A1303,$AD$6:AD1303,1)=1,1,0),0)</f>
        <v>0.0</v>
      </c>
      <c r="AF1303" t="str">
        <f>IF(AE1303=1,COUNTIFS(sj_first,1,sj_date,"&lt;"&amp;A1303)+1,"")</f>
        <v/>
      </c>
      <c r="AG1303" t="str">
        <f>IF(AND(AD1303=1,N(W1303)&lt;p_alert),ROUND(W1303,4),"")</f>
        <v/>
      </c>
      <c r="AH1303" t="str">
        <f>IF(AG1303="","",COUNTIF(sj_akey,"&lt;"&amp;AG1303)+COUNTIF($AG$6:AG1303,AG1303))</f>
        <v/>
      </c>
    </row>
    <row r="1304">
      <c r="A1304" s="51" t="n"/>
      <c r="B1304" s="52" t="n"/>
      <c r="C1304" s="52" t="n"/>
      <c r="D1304" s="53" t="n"/>
      <c r="E1304" s="53" t="n"/>
      <c r="F1304" s="54" t="n"/>
      <c r="G1304" s="54" t="n"/>
      <c r="H1304" s="54" t="n"/>
      <c r="I1304" s="54" t="n"/>
      <c r="J1304" s="53" t="n"/>
      <c r="K1304" s="55" t="str">
        <f>IF(COUNTA(A1304:I1304)=0,"",IF(F1304="",IFERROR(INDEX(eq_dur,MATCH(B1304,eq_code,0)),""),F1304))</f>
        <v/>
      </c>
      <c r="L1304" s="55" t="str">
        <f>IF(ISNUMBER(K1304),N(IFERROR(INDEX(eq_pause,MATCH(B1304,eq_code,0)),0))+SUMIFS(st_min,st_date,A1304,st_eq,B1304,st_po,C1304,st_type,"Planifié"),"")</f>
        <v/>
      </c>
      <c r="M1304" s="55" t="str">
        <f>IF(ISNUMBER(K1304),K1304-L1304,"")</f>
        <v/>
      </c>
      <c r="N1304" s="55" t="str">
        <f>IF(ISNUMBER(K1304),SUMIFS(st_min,st_date,A1304,st_eq,B1304,st_po,C1304,st_type,"Non planifié"),"")</f>
        <v/>
      </c>
      <c r="O1304" s="55" t="str">
        <f>IF(ISNUMBER(K1304),M1304-N1304,"")</f>
        <v/>
      </c>
      <c r="P1304" s="55" t="str">
        <f>IF(COUNTA(A1304:I1304)=0,"",N(G1304)+N(H1304)+N(I1304))</f>
        <v/>
      </c>
      <c r="Q1304" s="56" t="str">
        <f>IF(COUNTA(A1304:I1304)=0,"",IF(N(IFERROR(INDEX(art_rate,MATCH(E1304,art_ref,0)),0))&gt;0,N(IFERROR(INDEX(art_rate,MATCH(E1304,art_ref,0)),0)),N(IFERROR(INDEX(po_rate,MATCH(C1304,po_code,0)),0))))</f>
        <v/>
      </c>
      <c r="R1304" s="55" t="str">
        <f>IF(AC1304=1,P1304*60/Q1304,"")</f>
        <v/>
      </c>
      <c r="S1304" s="55" t="str">
        <f>IF(AC1304=1,N(G1304)*60/Q1304,"")</f>
        <v/>
      </c>
      <c r="T1304" s="57" t="str">
        <f>IF(AC1304=1,O1304/M1304,"")</f>
        <v/>
      </c>
      <c r="U1304" s="57" t="str">
        <f>IF(AC1304=1,IF(O1304&gt;0,R1304/O1304,""),"")</f>
        <v/>
      </c>
      <c r="V1304" s="57" t="str">
        <f>IF(AC1304=1,IF(P1304&gt;0,N(G1304)/P1304,""),"")</f>
        <v/>
      </c>
      <c r="W1304" s="57" t="str">
        <f>IF(AC1304=1,S1304/M1304,"")</f>
        <v/>
      </c>
      <c r="X1304" s="57" t="str">
        <f>IF(AC1304=1,S1304/K1304,"")</f>
        <v/>
      </c>
      <c r="Y1304" s="58" t="str">
        <f>IF(W1304="","",IF(W1304&gt;=p_target,"Bon",IF(W1304&gt;=p_alert,"À surveiller","Faible")))</f>
        <v/>
      </c>
      <c r="Z1304" s="58" t="str">
        <f>IF(W1304="","",IF(MIN(IF(T1304="",1,T1304),IF(U1304="",1,U1304),IF(V1304="",1,V1304))&gt;=1,"Aucune",IF(IF(T1304="",1,T1304)&lt;=MIN(IF(U1304="",1,U1304),IF(V1304="",1,V1304)),"Disponibilité",IF(IF(U1304="",1,U1304)&lt;=IF(V1304="",1,V1304),"Performance","Qualité"))))</f>
        <v/>
      </c>
      <c r="AA1304" s="59" t="str">
        <f>IF(AC1304=1,N(H1304)*N(IFERROR(INDEX(art_cost,MATCH(E1304,art_ref,0)),0)),"")</f>
        <v/>
      </c>
      <c r="AB1304" s="58" t="str">
        <f>IF(COUNTA(A1304:I1304)=0,"",IF(N(A1304)&lt;=0,"Date manquante ou invalide",IF(B1304="","Équipe manquante",IF(ISNA(MATCH(B1304,eq_code,0)),"Équipe inconnue",IF(INDEX(eq_check,MATCH(B1304,eq_code,0))&lt;&gt;"OK","Équipe à corriger dans Paramètres",IF(C1304="","Poste manquant",IF(ISNA(MATCH(C1304,po_code,0)),"Poste inconnu",IF(AND(E1304&lt;&gt;"",ISNA(MATCH(E1304,art_ref,0))),"Article inconnu",IF(IF(E1304="",FALSE,INDEX(art_check,MATCH(E1304,art_ref,0))&lt;&gt;"OK"),"Article à corriger (feuille Articles)",IF(COUNTIFS(sj_date,A1304,sj_eq,B1304,sj_po,C1304)&gt;1,"Ligne en double (même jour, équipe et poste)",IF(OR(NOT(ISNUMBER(K1304)),N(K1304)&lt;=0,N(K1304)&gt;1440),"Temps d'ouverture invalide",IF(OR(AND(G1304&lt;&gt;"",NOT(ISNUMBER(G1304))),N(G1304)&lt;0,N(G1304)&lt;&gt;INT(N(G1304)),AND(H1304&lt;&gt;"",NOT(ISNUMBER(H1304))),N(H1304)&lt;0,N(H1304)&lt;&gt;INT(N(H1304)),AND(I1304&lt;&gt;"",NOT(ISNUMBER(I1304))),N(I1304)&lt;0,N(I1304)&lt;&gt;INT(N(I1304))),"Quantité invalide",IF(Q1304&lt;=0,"Cadence manquante (poste ou article)",IF(M1304&lt;=0,"Arrêts planifiés supérieurs au temps d'ouverture",IF(O1304&lt;0,"Arrêts supérieurs au temps requis",IF(AND(P1304&gt;0,O1304=0),"Pièces déclarées sans temps de marche",IF(AND(P1304=0,O1304&gt;0),"Aucune pièce déclarée",IF(P1304*60/Q1304&gt;O1304+0.001,"Cadence dépassée : vérifiez la cadence","OK"))))))))))))))))))</f>
        <v/>
      </c>
      <c r="AC1304">
        <f>IF(OR(AB1304="OK",AB1304="Aucune pièce déclarée",AB1304="Cadence dépassée : vérifiez la cadence"),1,0)</f>
        <v>0.0</v>
      </c>
      <c r="AD1304">
        <f>IF(AND(AC1304=1,A1304&gt;=p_from,A1304&lt;=p_to),1,0)</f>
        <v>0.0</v>
      </c>
      <c r="AE1304">
        <f>IF(AD1304=1,IF(COUNTIFS($A$6:A1304,A1304,$AD$6:AD1304,1)=1,1,0),0)</f>
        <v>0.0</v>
      </c>
      <c r="AF1304" t="str">
        <f>IF(AE1304=1,COUNTIFS(sj_first,1,sj_date,"&lt;"&amp;A1304)+1,"")</f>
        <v/>
      </c>
      <c r="AG1304" t="str">
        <f>IF(AND(AD1304=1,N(W1304)&lt;p_alert),ROUND(W1304,4),"")</f>
        <v/>
      </c>
      <c r="AH1304" t="str">
        <f>IF(AG1304="","",COUNTIF(sj_akey,"&lt;"&amp;AG1304)+COUNTIF($AG$6:AG1304,AG1304))</f>
        <v/>
      </c>
    </row>
    <row r="1305">
      <c r="A1305" s="51" t="n"/>
      <c r="B1305" s="52" t="n"/>
      <c r="C1305" s="52" t="n"/>
      <c r="D1305" s="53" t="n"/>
      <c r="E1305" s="53" t="n"/>
      <c r="F1305" s="54" t="n"/>
      <c r="G1305" s="54" t="n"/>
      <c r="H1305" s="54" t="n"/>
      <c r="I1305" s="54" t="n"/>
      <c r="J1305" s="53" t="n"/>
      <c r="K1305" s="55" t="str">
        <f>IF(COUNTA(A1305:I1305)=0,"",IF(F1305="",IFERROR(INDEX(eq_dur,MATCH(B1305,eq_code,0)),""),F1305))</f>
        <v/>
      </c>
      <c r="L1305" s="55" t="str">
        <f>IF(ISNUMBER(K1305),N(IFERROR(INDEX(eq_pause,MATCH(B1305,eq_code,0)),0))+SUMIFS(st_min,st_date,A1305,st_eq,B1305,st_po,C1305,st_type,"Planifié"),"")</f>
        <v/>
      </c>
      <c r="M1305" s="55" t="str">
        <f>IF(ISNUMBER(K1305),K1305-L1305,"")</f>
        <v/>
      </c>
      <c r="N1305" s="55" t="str">
        <f>IF(ISNUMBER(K1305),SUMIFS(st_min,st_date,A1305,st_eq,B1305,st_po,C1305,st_type,"Non planifié"),"")</f>
        <v/>
      </c>
      <c r="O1305" s="55" t="str">
        <f>IF(ISNUMBER(K1305),M1305-N1305,"")</f>
        <v/>
      </c>
      <c r="P1305" s="55" t="str">
        <f>IF(COUNTA(A1305:I1305)=0,"",N(G1305)+N(H1305)+N(I1305))</f>
        <v/>
      </c>
      <c r="Q1305" s="56" t="str">
        <f>IF(COUNTA(A1305:I1305)=0,"",IF(N(IFERROR(INDEX(art_rate,MATCH(E1305,art_ref,0)),0))&gt;0,N(IFERROR(INDEX(art_rate,MATCH(E1305,art_ref,0)),0)),N(IFERROR(INDEX(po_rate,MATCH(C1305,po_code,0)),0))))</f>
        <v/>
      </c>
      <c r="R1305" s="55" t="str">
        <f>IF(AC1305=1,P1305*60/Q1305,"")</f>
        <v/>
      </c>
      <c r="S1305" s="55" t="str">
        <f>IF(AC1305=1,N(G1305)*60/Q1305,"")</f>
        <v/>
      </c>
      <c r="T1305" s="57" t="str">
        <f>IF(AC1305=1,O1305/M1305,"")</f>
        <v/>
      </c>
      <c r="U1305" s="57" t="str">
        <f>IF(AC1305=1,IF(O1305&gt;0,R1305/O1305,""),"")</f>
        <v/>
      </c>
      <c r="V1305" s="57" t="str">
        <f>IF(AC1305=1,IF(P1305&gt;0,N(G1305)/P1305,""),"")</f>
        <v/>
      </c>
      <c r="W1305" s="57" t="str">
        <f>IF(AC1305=1,S1305/M1305,"")</f>
        <v/>
      </c>
      <c r="X1305" s="57" t="str">
        <f>IF(AC1305=1,S1305/K1305,"")</f>
        <v/>
      </c>
      <c r="Y1305" s="58" t="str">
        <f>IF(W1305="","",IF(W1305&gt;=p_target,"Bon",IF(W1305&gt;=p_alert,"À surveiller","Faible")))</f>
        <v/>
      </c>
      <c r="Z1305" s="58" t="str">
        <f>IF(W1305="","",IF(MIN(IF(T1305="",1,T1305),IF(U1305="",1,U1305),IF(V1305="",1,V1305))&gt;=1,"Aucune",IF(IF(T1305="",1,T1305)&lt;=MIN(IF(U1305="",1,U1305),IF(V1305="",1,V1305)),"Disponibilité",IF(IF(U1305="",1,U1305)&lt;=IF(V1305="",1,V1305),"Performance","Qualité"))))</f>
        <v/>
      </c>
      <c r="AA1305" s="59" t="str">
        <f>IF(AC1305=1,N(H1305)*N(IFERROR(INDEX(art_cost,MATCH(E1305,art_ref,0)),0)),"")</f>
        <v/>
      </c>
      <c r="AB1305" s="58" t="str">
        <f>IF(COUNTA(A1305:I1305)=0,"",IF(N(A1305)&lt;=0,"Date manquante ou invalide",IF(B1305="","Équipe manquante",IF(ISNA(MATCH(B1305,eq_code,0)),"Équipe inconnue",IF(INDEX(eq_check,MATCH(B1305,eq_code,0))&lt;&gt;"OK","Équipe à corriger dans Paramètres",IF(C1305="","Poste manquant",IF(ISNA(MATCH(C1305,po_code,0)),"Poste inconnu",IF(AND(E1305&lt;&gt;"",ISNA(MATCH(E1305,art_ref,0))),"Article inconnu",IF(IF(E1305="",FALSE,INDEX(art_check,MATCH(E1305,art_ref,0))&lt;&gt;"OK"),"Article à corriger (feuille Articles)",IF(COUNTIFS(sj_date,A1305,sj_eq,B1305,sj_po,C1305)&gt;1,"Ligne en double (même jour, équipe et poste)",IF(OR(NOT(ISNUMBER(K1305)),N(K1305)&lt;=0,N(K1305)&gt;1440),"Temps d'ouverture invalide",IF(OR(AND(G1305&lt;&gt;"",NOT(ISNUMBER(G1305))),N(G1305)&lt;0,N(G1305)&lt;&gt;INT(N(G1305)),AND(H1305&lt;&gt;"",NOT(ISNUMBER(H1305))),N(H1305)&lt;0,N(H1305)&lt;&gt;INT(N(H1305)),AND(I1305&lt;&gt;"",NOT(ISNUMBER(I1305))),N(I1305)&lt;0,N(I1305)&lt;&gt;INT(N(I1305))),"Quantité invalide",IF(Q1305&lt;=0,"Cadence manquante (poste ou article)",IF(M1305&lt;=0,"Arrêts planifiés supérieurs au temps d'ouverture",IF(O1305&lt;0,"Arrêts supérieurs au temps requis",IF(AND(P1305&gt;0,O1305=0),"Pièces déclarées sans temps de marche",IF(AND(P1305=0,O1305&gt;0),"Aucune pièce déclarée",IF(P1305*60/Q1305&gt;O1305+0.001,"Cadence dépassée : vérifiez la cadence","OK"))))))))))))))))))</f>
        <v/>
      </c>
      <c r="AC1305">
        <f>IF(OR(AB1305="OK",AB1305="Aucune pièce déclarée",AB1305="Cadence dépassée : vérifiez la cadence"),1,0)</f>
        <v>0.0</v>
      </c>
      <c r="AD1305">
        <f>IF(AND(AC1305=1,A1305&gt;=p_from,A1305&lt;=p_to),1,0)</f>
        <v>0.0</v>
      </c>
      <c r="AE1305">
        <f>IF(AD1305=1,IF(COUNTIFS($A$6:A1305,A1305,$AD$6:AD1305,1)=1,1,0),0)</f>
        <v>0.0</v>
      </c>
      <c r="AF1305" t="str">
        <f>IF(AE1305=1,COUNTIFS(sj_first,1,sj_date,"&lt;"&amp;A1305)+1,"")</f>
        <v/>
      </c>
      <c r="AG1305" t="str">
        <f>IF(AND(AD1305=1,N(W1305)&lt;p_alert),ROUND(W1305,4),"")</f>
        <v/>
      </c>
      <c r="AH1305" t="str">
        <f>IF(AG1305="","",COUNTIF(sj_akey,"&lt;"&amp;AG1305)+COUNTIF($AG$6:AG1305,AG1305))</f>
        <v/>
      </c>
    </row>
    <row r="1306">
      <c r="A1306" s="51" t="n"/>
      <c r="B1306" s="52" t="n"/>
      <c r="C1306" s="52" t="n"/>
      <c r="D1306" s="53" t="n"/>
      <c r="E1306" s="53" t="n"/>
      <c r="F1306" s="54" t="n"/>
      <c r="G1306" s="54" t="n"/>
      <c r="H1306" s="54" t="n"/>
      <c r="I1306" s="54" t="n"/>
      <c r="J1306" s="53" t="n"/>
      <c r="K1306" s="55" t="str">
        <f>IF(COUNTA(A1306:I1306)=0,"",IF(F1306="",IFERROR(INDEX(eq_dur,MATCH(B1306,eq_code,0)),""),F1306))</f>
        <v/>
      </c>
      <c r="L1306" s="55" t="str">
        <f>IF(ISNUMBER(K1306),N(IFERROR(INDEX(eq_pause,MATCH(B1306,eq_code,0)),0))+SUMIFS(st_min,st_date,A1306,st_eq,B1306,st_po,C1306,st_type,"Planifié"),"")</f>
        <v/>
      </c>
      <c r="M1306" s="55" t="str">
        <f>IF(ISNUMBER(K1306),K1306-L1306,"")</f>
        <v/>
      </c>
      <c r="N1306" s="55" t="str">
        <f>IF(ISNUMBER(K1306),SUMIFS(st_min,st_date,A1306,st_eq,B1306,st_po,C1306,st_type,"Non planifié"),"")</f>
        <v/>
      </c>
      <c r="O1306" s="55" t="str">
        <f>IF(ISNUMBER(K1306),M1306-N1306,"")</f>
        <v/>
      </c>
      <c r="P1306" s="55" t="str">
        <f>IF(COUNTA(A1306:I1306)=0,"",N(G1306)+N(H1306)+N(I1306))</f>
        <v/>
      </c>
      <c r="Q1306" s="56" t="str">
        <f>IF(COUNTA(A1306:I1306)=0,"",IF(N(IFERROR(INDEX(art_rate,MATCH(E1306,art_ref,0)),0))&gt;0,N(IFERROR(INDEX(art_rate,MATCH(E1306,art_ref,0)),0)),N(IFERROR(INDEX(po_rate,MATCH(C1306,po_code,0)),0))))</f>
        <v/>
      </c>
      <c r="R1306" s="55" t="str">
        <f>IF(AC1306=1,P1306*60/Q1306,"")</f>
        <v/>
      </c>
      <c r="S1306" s="55" t="str">
        <f>IF(AC1306=1,N(G1306)*60/Q1306,"")</f>
        <v/>
      </c>
      <c r="T1306" s="57" t="str">
        <f>IF(AC1306=1,O1306/M1306,"")</f>
        <v/>
      </c>
      <c r="U1306" s="57" t="str">
        <f>IF(AC1306=1,IF(O1306&gt;0,R1306/O1306,""),"")</f>
        <v/>
      </c>
      <c r="V1306" s="57" t="str">
        <f>IF(AC1306=1,IF(P1306&gt;0,N(G1306)/P1306,""),"")</f>
        <v/>
      </c>
      <c r="W1306" s="57" t="str">
        <f>IF(AC1306=1,S1306/M1306,"")</f>
        <v/>
      </c>
      <c r="X1306" s="57" t="str">
        <f>IF(AC1306=1,S1306/K1306,"")</f>
        <v/>
      </c>
      <c r="Y1306" s="58" t="str">
        <f>IF(W1306="","",IF(W1306&gt;=p_target,"Bon",IF(W1306&gt;=p_alert,"À surveiller","Faible")))</f>
        <v/>
      </c>
      <c r="Z1306" s="58" t="str">
        <f>IF(W1306="","",IF(MIN(IF(T1306="",1,T1306),IF(U1306="",1,U1306),IF(V1306="",1,V1306))&gt;=1,"Aucune",IF(IF(T1306="",1,T1306)&lt;=MIN(IF(U1306="",1,U1306),IF(V1306="",1,V1306)),"Disponibilité",IF(IF(U1306="",1,U1306)&lt;=IF(V1306="",1,V1306),"Performance","Qualité"))))</f>
        <v/>
      </c>
      <c r="AA1306" s="59" t="str">
        <f>IF(AC1306=1,N(H1306)*N(IFERROR(INDEX(art_cost,MATCH(E1306,art_ref,0)),0)),"")</f>
        <v/>
      </c>
      <c r="AB1306" s="58" t="str">
        <f>IF(COUNTA(A1306:I1306)=0,"",IF(N(A1306)&lt;=0,"Date manquante ou invalide",IF(B1306="","Équipe manquante",IF(ISNA(MATCH(B1306,eq_code,0)),"Équipe inconnue",IF(INDEX(eq_check,MATCH(B1306,eq_code,0))&lt;&gt;"OK","Équipe à corriger dans Paramètres",IF(C1306="","Poste manquant",IF(ISNA(MATCH(C1306,po_code,0)),"Poste inconnu",IF(AND(E1306&lt;&gt;"",ISNA(MATCH(E1306,art_ref,0))),"Article inconnu",IF(IF(E1306="",FALSE,INDEX(art_check,MATCH(E1306,art_ref,0))&lt;&gt;"OK"),"Article à corriger (feuille Articles)",IF(COUNTIFS(sj_date,A1306,sj_eq,B1306,sj_po,C1306)&gt;1,"Ligne en double (même jour, équipe et poste)",IF(OR(NOT(ISNUMBER(K1306)),N(K1306)&lt;=0,N(K1306)&gt;1440),"Temps d'ouverture invalide",IF(OR(AND(G1306&lt;&gt;"",NOT(ISNUMBER(G1306))),N(G1306)&lt;0,N(G1306)&lt;&gt;INT(N(G1306)),AND(H1306&lt;&gt;"",NOT(ISNUMBER(H1306))),N(H1306)&lt;0,N(H1306)&lt;&gt;INT(N(H1306)),AND(I1306&lt;&gt;"",NOT(ISNUMBER(I1306))),N(I1306)&lt;0,N(I1306)&lt;&gt;INT(N(I1306))),"Quantité invalide",IF(Q1306&lt;=0,"Cadence manquante (poste ou article)",IF(M1306&lt;=0,"Arrêts planifiés supérieurs au temps d'ouverture",IF(O1306&lt;0,"Arrêts supérieurs au temps requis",IF(AND(P1306&gt;0,O1306=0),"Pièces déclarées sans temps de marche",IF(AND(P1306=0,O1306&gt;0),"Aucune pièce déclarée",IF(P1306*60/Q1306&gt;O1306+0.001,"Cadence dépassée : vérifiez la cadence","OK"))))))))))))))))))</f>
        <v/>
      </c>
      <c r="AC1306">
        <f>IF(OR(AB1306="OK",AB1306="Aucune pièce déclarée",AB1306="Cadence dépassée : vérifiez la cadence"),1,0)</f>
        <v>0.0</v>
      </c>
      <c r="AD1306">
        <f>IF(AND(AC1306=1,A1306&gt;=p_from,A1306&lt;=p_to),1,0)</f>
        <v>0.0</v>
      </c>
      <c r="AE1306">
        <f>IF(AD1306=1,IF(COUNTIFS($A$6:A1306,A1306,$AD$6:AD1306,1)=1,1,0),0)</f>
        <v>0.0</v>
      </c>
      <c r="AF1306" t="str">
        <f>IF(AE1306=1,COUNTIFS(sj_first,1,sj_date,"&lt;"&amp;A1306)+1,"")</f>
        <v/>
      </c>
      <c r="AG1306" t="str">
        <f>IF(AND(AD1306=1,N(W1306)&lt;p_alert),ROUND(W1306,4),"")</f>
        <v/>
      </c>
      <c r="AH1306" t="str">
        <f>IF(AG1306="","",COUNTIF(sj_akey,"&lt;"&amp;AG1306)+COUNTIF($AG$6:AG1306,AG1306))</f>
        <v/>
      </c>
    </row>
    <row r="1307">
      <c r="A1307" s="51" t="n"/>
      <c r="B1307" s="52" t="n"/>
      <c r="C1307" s="52" t="n"/>
      <c r="D1307" s="53" t="n"/>
      <c r="E1307" s="53" t="n"/>
      <c r="F1307" s="54" t="n"/>
      <c r="G1307" s="54" t="n"/>
      <c r="H1307" s="54" t="n"/>
      <c r="I1307" s="54" t="n"/>
      <c r="J1307" s="53" t="n"/>
      <c r="K1307" s="55" t="str">
        <f>IF(COUNTA(A1307:I1307)=0,"",IF(F1307="",IFERROR(INDEX(eq_dur,MATCH(B1307,eq_code,0)),""),F1307))</f>
        <v/>
      </c>
      <c r="L1307" s="55" t="str">
        <f>IF(ISNUMBER(K1307),N(IFERROR(INDEX(eq_pause,MATCH(B1307,eq_code,0)),0))+SUMIFS(st_min,st_date,A1307,st_eq,B1307,st_po,C1307,st_type,"Planifié"),"")</f>
        <v/>
      </c>
      <c r="M1307" s="55" t="str">
        <f>IF(ISNUMBER(K1307),K1307-L1307,"")</f>
        <v/>
      </c>
      <c r="N1307" s="55" t="str">
        <f>IF(ISNUMBER(K1307),SUMIFS(st_min,st_date,A1307,st_eq,B1307,st_po,C1307,st_type,"Non planifié"),"")</f>
        <v/>
      </c>
      <c r="O1307" s="55" t="str">
        <f>IF(ISNUMBER(K1307),M1307-N1307,"")</f>
        <v/>
      </c>
      <c r="P1307" s="55" t="str">
        <f>IF(COUNTA(A1307:I1307)=0,"",N(G1307)+N(H1307)+N(I1307))</f>
        <v/>
      </c>
      <c r="Q1307" s="56" t="str">
        <f>IF(COUNTA(A1307:I1307)=0,"",IF(N(IFERROR(INDEX(art_rate,MATCH(E1307,art_ref,0)),0))&gt;0,N(IFERROR(INDEX(art_rate,MATCH(E1307,art_ref,0)),0)),N(IFERROR(INDEX(po_rate,MATCH(C1307,po_code,0)),0))))</f>
        <v/>
      </c>
      <c r="R1307" s="55" t="str">
        <f>IF(AC1307=1,P1307*60/Q1307,"")</f>
        <v/>
      </c>
      <c r="S1307" s="55" t="str">
        <f>IF(AC1307=1,N(G1307)*60/Q1307,"")</f>
        <v/>
      </c>
      <c r="T1307" s="57" t="str">
        <f>IF(AC1307=1,O1307/M1307,"")</f>
        <v/>
      </c>
      <c r="U1307" s="57" t="str">
        <f>IF(AC1307=1,IF(O1307&gt;0,R1307/O1307,""),"")</f>
        <v/>
      </c>
      <c r="V1307" s="57" t="str">
        <f>IF(AC1307=1,IF(P1307&gt;0,N(G1307)/P1307,""),"")</f>
        <v/>
      </c>
      <c r="W1307" s="57" t="str">
        <f>IF(AC1307=1,S1307/M1307,"")</f>
        <v/>
      </c>
      <c r="X1307" s="57" t="str">
        <f>IF(AC1307=1,S1307/K1307,"")</f>
        <v/>
      </c>
      <c r="Y1307" s="58" t="str">
        <f>IF(W1307="","",IF(W1307&gt;=p_target,"Bon",IF(W1307&gt;=p_alert,"À surveiller","Faible")))</f>
        <v/>
      </c>
      <c r="Z1307" s="58" t="str">
        <f>IF(W1307="","",IF(MIN(IF(T1307="",1,T1307),IF(U1307="",1,U1307),IF(V1307="",1,V1307))&gt;=1,"Aucune",IF(IF(T1307="",1,T1307)&lt;=MIN(IF(U1307="",1,U1307),IF(V1307="",1,V1307)),"Disponibilité",IF(IF(U1307="",1,U1307)&lt;=IF(V1307="",1,V1307),"Performance","Qualité"))))</f>
        <v/>
      </c>
      <c r="AA1307" s="59" t="str">
        <f>IF(AC1307=1,N(H1307)*N(IFERROR(INDEX(art_cost,MATCH(E1307,art_ref,0)),0)),"")</f>
        <v/>
      </c>
      <c r="AB1307" s="58" t="str">
        <f>IF(COUNTA(A1307:I1307)=0,"",IF(N(A1307)&lt;=0,"Date manquante ou invalide",IF(B1307="","Équipe manquante",IF(ISNA(MATCH(B1307,eq_code,0)),"Équipe inconnue",IF(INDEX(eq_check,MATCH(B1307,eq_code,0))&lt;&gt;"OK","Équipe à corriger dans Paramètres",IF(C1307="","Poste manquant",IF(ISNA(MATCH(C1307,po_code,0)),"Poste inconnu",IF(AND(E1307&lt;&gt;"",ISNA(MATCH(E1307,art_ref,0))),"Article inconnu",IF(IF(E1307="",FALSE,INDEX(art_check,MATCH(E1307,art_ref,0))&lt;&gt;"OK"),"Article à corriger (feuille Articles)",IF(COUNTIFS(sj_date,A1307,sj_eq,B1307,sj_po,C1307)&gt;1,"Ligne en double (même jour, équipe et poste)",IF(OR(NOT(ISNUMBER(K1307)),N(K1307)&lt;=0,N(K1307)&gt;1440),"Temps d'ouverture invalide",IF(OR(AND(G1307&lt;&gt;"",NOT(ISNUMBER(G1307))),N(G1307)&lt;0,N(G1307)&lt;&gt;INT(N(G1307)),AND(H1307&lt;&gt;"",NOT(ISNUMBER(H1307))),N(H1307)&lt;0,N(H1307)&lt;&gt;INT(N(H1307)),AND(I1307&lt;&gt;"",NOT(ISNUMBER(I1307))),N(I1307)&lt;0,N(I1307)&lt;&gt;INT(N(I1307))),"Quantité invalide",IF(Q1307&lt;=0,"Cadence manquante (poste ou article)",IF(M1307&lt;=0,"Arrêts planifiés supérieurs au temps d'ouverture",IF(O1307&lt;0,"Arrêts supérieurs au temps requis",IF(AND(P1307&gt;0,O1307=0),"Pièces déclarées sans temps de marche",IF(AND(P1307=0,O1307&gt;0),"Aucune pièce déclarée",IF(P1307*60/Q1307&gt;O1307+0.001,"Cadence dépassée : vérifiez la cadence","OK"))))))))))))))))))</f>
        <v/>
      </c>
      <c r="AC1307">
        <f>IF(OR(AB1307="OK",AB1307="Aucune pièce déclarée",AB1307="Cadence dépassée : vérifiez la cadence"),1,0)</f>
        <v>0.0</v>
      </c>
      <c r="AD1307">
        <f>IF(AND(AC1307=1,A1307&gt;=p_from,A1307&lt;=p_to),1,0)</f>
        <v>0.0</v>
      </c>
      <c r="AE1307">
        <f>IF(AD1307=1,IF(COUNTIFS($A$6:A1307,A1307,$AD$6:AD1307,1)=1,1,0),0)</f>
        <v>0.0</v>
      </c>
      <c r="AF1307" t="str">
        <f>IF(AE1307=1,COUNTIFS(sj_first,1,sj_date,"&lt;"&amp;A1307)+1,"")</f>
        <v/>
      </c>
      <c r="AG1307" t="str">
        <f>IF(AND(AD1307=1,N(W1307)&lt;p_alert),ROUND(W1307,4),"")</f>
        <v/>
      </c>
      <c r="AH1307" t="str">
        <f>IF(AG1307="","",COUNTIF(sj_akey,"&lt;"&amp;AG1307)+COUNTIF($AG$6:AG1307,AG1307))</f>
        <v/>
      </c>
    </row>
    <row r="1308">
      <c r="A1308" s="51" t="n"/>
      <c r="B1308" s="52" t="n"/>
      <c r="C1308" s="52" t="n"/>
      <c r="D1308" s="53" t="n"/>
      <c r="E1308" s="53" t="n"/>
      <c r="F1308" s="54" t="n"/>
      <c r="G1308" s="54" t="n"/>
      <c r="H1308" s="54" t="n"/>
      <c r="I1308" s="54" t="n"/>
      <c r="J1308" s="53" t="n"/>
      <c r="K1308" s="55" t="str">
        <f>IF(COUNTA(A1308:I1308)=0,"",IF(F1308="",IFERROR(INDEX(eq_dur,MATCH(B1308,eq_code,0)),""),F1308))</f>
        <v/>
      </c>
      <c r="L1308" s="55" t="str">
        <f>IF(ISNUMBER(K1308),N(IFERROR(INDEX(eq_pause,MATCH(B1308,eq_code,0)),0))+SUMIFS(st_min,st_date,A1308,st_eq,B1308,st_po,C1308,st_type,"Planifié"),"")</f>
        <v/>
      </c>
      <c r="M1308" s="55" t="str">
        <f>IF(ISNUMBER(K1308),K1308-L1308,"")</f>
        <v/>
      </c>
      <c r="N1308" s="55" t="str">
        <f>IF(ISNUMBER(K1308),SUMIFS(st_min,st_date,A1308,st_eq,B1308,st_po,C1308,st_type,"Non planifié"),"")</f>
        <v/>
      </c>
      <c r="O1308" s="55" t="str">
        <f>IF(ISNUMBER(K1308),M1308-N1308,"")</f>
        <v/>
      </c>
      <c r="P1308" s="55" t="str">
        <f>IF(COUNTA(A1308:I1308)=0,"",N(G1308)+N(H1308)+N(I1308))</f>
        <v/>
      </c>
      <c r="Q1308" s="56" t="str">
        <f>IF(COUNTA(A1308:I1308)=0,"",IF(N(IFERROR(INDEX(art_rate,MATCH(E1308,art_ref,0)),0))&gt;0,N(IFERROR(INDEX(art_rate,MATCH(E1308,art_ref,0)),0)),N(IFERROR(INDEX(po_rate,MATCH(C1308,po_code,0)),0))))</f>
        <v/>
      </c>
      <c r="R1308" s="55" t="str">
        <f>IF(AC1308=1,P1308*60/Q1308,"")</f>
        <v/>
      </c>
      <c r="S1308" s="55" t="str">
        <f>IF(AC1308=1,N(G1308)*60/Q1308,"")</f>
        <v/>
      </c>
      <c r="T1308" s="57" t="str">
        <f>IF(AC1308=1,O1308/M1308,"")</f>
        <v/>
      </c>
      <c r="U1308" s="57" t="str">
        <f>IF(AC1308=1,IF(O1308&gt;0,R1308/O1308,""),"")</f>
        <v/>
      </c>
      <c r="V1308" s="57" t="str">
        <f>IF(AC1308=1,IF(P1308&gt;0,N(G1308)/P1308,""),"")</f>
        <v/>
      </c>
      <c r="W1308" s="57" t="str">
        <f>IF(AC1308=1,S1308/M1308,"")</f>
        <v/>
      </c>
      <c r="X1308" s="57" t="str">
        <f>IF(AC1308=1,S1308/K1308,"")</f>
        <v/>
      </c>
      <c r="Y1308" s="58" t="str">
        <f>IF(W1308="","",IF(W1308&gt;=p_target,"Bon",IF(W1308&gt;=p_alert,"À surveiller","Faible")))</f>
        <v/>
      </c>
      <c r="Z1308" s="58" t="str">
        <f>IF(W1308="","",IF(MIN(IF(T1308="",1,T1308),IF(U1308="",1,U1308),IF(V1308="",1,V1308))&gt;=1,"Aucune",IF(IF(T1308="",1,T1308)&lt;=MIN(IF(U1308="",1,U1308),IF(V1308="",1,V1308)),"Disponibilité",IF(IF(U1308="",1,U1308)&lt;=IF(V1308="",1,V1308),"Performance","Qualité"))))</f>
        <v/>
      </c>
      <c r="AA1308" s="59" t="str">
        <f>IF(AC1308=1,N(H1308)*N(IFERROR(INDEX(art_cost,MATCH(E1308,art_ref,0)),0)),"")</f>
        <v/>
      </c>
      <c r="AB1308" s="58" t="str">
        <f>IF(COUNTA(A1308:I1308)=0,"",IF(N(A1308)&lt;=0,"Date manquante ou invalide",IF(B1308="","Équipe manquante",IF(ISNA(MATCH(B1308,eq_code,0)),"Équipe inconnue",IF(INDEX(eq_check,MATCH(B1308,eq_code,0))&lt;&gt;"OK","Équipe à corriger dans Paramètres",IF(C1308="","Poste manquant",IF(ISNA(MATCH(C1308,po_code,0)),"Poste inconnu",IF(AND(E1308&lt;&gt;"",ISNA(MATCH(E1308,art_ref,0))),"Article inconnu",IF(IF(E1308="",FALSE,INDEX(art_check,MATCH(E1308,art_ref,0))&lt;&gt;"OK"),"Article à corriger (feuille Articles)",IF(COUNTIFS(sj_date,A1308,sj_eq,B1308,sj_po,C1308)&gt;1,"Ligne en double (même jour, équipe et poste)",IF(OR(NOT(ISNUMBER(K1308)),N(K1308)&lt;=0,N(K1308)&gt;1440),"Temps d'ouverture invalide",IF(OR(AND(G1308&lt;&gt;"",NOT(ISNUMBER(G1308))),N(G1308)&lt;0,N(G1308)&lt;&gt;INT(N(G1308)),AND(H1308&lt;&gt;"",NOT(ISNUMBER(H1308))),N(H1308)&lt;0,N(H1308)&lt;&gt;INT(N(H1308)),AND(I1308&lt;&gt;"",NOT(ISNUMBER(I1308))),N(I1308)&lt;0,N(I1308)&lt;&gt;INT(N(I1308))),"Quantité invalide",IF(Q1308&lt;=0,"Cadence manquante (poste ou article)",IF(M1308&lt;=0,"Arrêts planifiés supérieurs au temps d'ouverture",IF(O1308&lt;0,"Arrêts supérieurs au temps requis",IF(AND(P1308&gt;0,O1308=0),"Pièces déclarées sans temps de marche",IF(AND(P1308=0,O1308&gt;0),"Aucune pièce déclarée",IF(P1308*60/Q1308&gt;O1308+0.001,"Cadence dépassée : vérifiez la cadence","OK"))))))))))))))))))</f>
        <v/>
      </c>
      <c r="AC1308">
        <f>IF(OR(AB1308="OK",AB1308="Aucune pièce déclarée",AB1308="Cadence dépassée : vérifiez la cadence"),1,0)</f>
        <v>0.0</v>
      </c>
      <c r="AD1308">
        <f>IF(AND(AC1308=1,A1308&gt;=p_from,A1308&lt;=p_to),1,0)</f>
        <v>0.0</v>
      </c>
      <c r="AE1308">
        <f>IF(AD1308=1,IF(COUNTIFS($A$6:A1308,A1308,$AD$6:AD1308,1)=1,1,0),0)</f>
        <v>0.0</v>
      </c>
      <c r="AF1308" t="str">
        <f>IF(AE1308=1,COUNTIFS(sj_first,1,sj_date,"&lt;"&amp;A1308)+1,"")</f>
        <v/>
      </c>
      <c r="AG1308" t="str">
        <f>IF(AND(AD1308=1,N(W1308)&lt;p_alert),ROUND(W1308,4),"")</f>
        <v/>
      </c>
      <c r="AH1308" t="str">
        <f>IF(AG1308="","",COUNTIF(sj_akey,"&lt;"&amp;AG1308)+COUNTIF($AG$6:AG1308,AG1308))</f>
        <v/>
      </c>
    </row>
    <row r="1309">
      <c r="A1309" s="51" t="n"/>
      <c r="B1309" s="52" t="n"/>
      <c r="C1309" s="52" t="n"/>
      <c r="D1309" s="53" t="n"/>
      <c r="E1309" s="53" t="n"/>
      <c r="F1309" s="54" t="n"/>
      <c r="G1309" s="54" t="n"/>
      <c r="H1309" s="54" t="n"/>
      <c r="I1309" s="54" t="n"/>
      <c r="J1309" s="53" t="n"/>
      <c r="K1309" s="55" t="str">
        <f>IF(COUNTA(A1309:I1309)=0,"",IF(F1309="",IFERROR(INDEX(eq_dur,MATCH(B1309,eq_code,0)),""),F1309))</f>
        <v/>
      </c>
      <c r="L1309" s="55" t="str">
        <f>IF(ISNUMBER(K1309),N(IFERROR(INDEX(eq_pause,MATCH(B1309,eq_code,0)),0))+SUMIFS(st_min,st_date,A1309,st_eq,B1309,st_po,C1309,st_type,"Planifié"),"")</f>
        <v/>
      </c>
      <c r="M1309" s="55" t="str">
        <f>IF(ISNUMBER(K1309),K1309-L1309,"")</f>
        <v/>
      </c>
      <c r="N1309" s="55" t="str">
        <f>IF(ISNUMBER(K1309),SUMIFS(st_min,st_date,A1309,st_eq,B1309,st_po,C1309,st_type,"Non planifié"),"")</f>
        <v/>
      </c>
      <c r="O1309" s="55" t="str">
        <f>IF(ISNUMBER(K1309),M1309-N1309,"")</f>
        <v/>
      </c>
      <c r="P1309" s="55" t="str">
        <f>IF(COUNTA(A1309:I1309)=0,"",N(G1309)+N(H1309)+N(I1309))</f>
        <v/>
      </c>
      <c r="Q1309" s="56" t="str">
        <f>IF(COUNTA(A1309:I1309)=0,"",IF(N(IFERROR(INDEX(art_rate,MATCH(E1309,art_ref,0)),0))&gt;0,N(IFERROR(INDEX(art_rate,MATCH(E1309,art_ref,0)),0)),N(IFERROR(INDEX(po_rate,MATCH(C1309,po_code,0)),0))))</f>
        <v/>
      </c>
      <c r="R1309" s="55" t="str">
        <f>IF(AC1309=1,P1309*60/Q1309,"")</f>
        <v/>
      </c>
      <c r="S1309" s="55" t="str">
        <f>IF(AC1309=1,N(G1309)*60/Q1309,"")</f>
        <v/>
      </c>
      <c r="T1309" s="57" t="str">
        <f>IF(AC1309=1,O1309/M1309,"")</f>
        <v/>
      </c>
      <c r="U1309" s="57" t="str">
        <f>IF(AC1309=1,IF(O1309&gt;0,R1309/O1309,""),"")</f>
        <v/>
      </c>
      <c r="V1309" s="57" t="str">
        <f>IF(AC1309=1,IF(P1309&gt;0,N(G1309)/P1309,""),"")</f>
        <v/>
      </c>
      <c r="W1309" s="57" t="str">
        <f>IF(AC1309=1,S1309/M1309,"")</f>
        <v/>
      </c>
      <c r="X1309" s="57" t="str">
        <f>IF(AC1309=1,S1309/K1309,"")</f>
        <v/>
      </c>
      <c r="Y1309" s="58" t="str">
        <f>IF(W1309="","",IF(W1309&gt;=p_target,"Bon",IF(W1309&gt;=p_alert,"À surveiller","Faible")))</f>
        <v/>
      </c>
      <c r="Z1309" s="58" t="str">
        <f>IF(W1309="","",IF(MIN(IF(T1309="",1,T1309),IF(U1309="",1,U1309),IF(V1309="",1,V1309))&gt;=1,"Aucune",IF(IF(T1309="",1,T1309)&lt;=MIN(IF(U1309="",1,U1309),IF(V1309="",1,V1309)),"Disponibilité",IF(IF(U1309="",1,U1309)&lt;=IF(V1309="",1,V1309),"Performance","Qualité"))))</f>
        <v/>
      </c>
      <c r="AA1309" s="59" t="str">
        <f>IF(AC1309=1,N(H1309)*N(IFERROR(INDEX(art_cost,MATCH(E1309,art_ref,0)),0)),"")</f>
        <v/>
      </c>
      <c r="AB1309" s="58" t="str">
        <f>IF(COUNTA(A1309:I1309)=0,"",IF(N(A1309)&lt;=0,"Date manquante ou invalide",IF(B1309="","Équipe manquante",IF(ISNA(MATCH(B1309,eq_code,0)),"Équipe inconnue",IF(INDEX(eq_check,MATCH(B1309,eq_code,0))&lt;&gt;"OK","Équipe à corriger dans Paramètres",IF(C1309="","Poste manquant",IF(ISNA(MATCH(C1309,po_code,0)),"Poste inconnu",IF(AND(E1309&lt;&gt;"",ISNA(MATCH(E1309,art_ref,0))),"Article inconnu",IF(IF(E1309="",FALSE,INDEX(art_check,MATCH(E1309,art_ref,0))&lt;&gt;"OK"),"Article à corriger (feuille Articles)",IF(COUNTIFS(sj_date,A1309,sj_eq,B1309,sj_po,C1309)&gt;1,"Ligne en double (même jour, équipe et poste)",IF(OR(NOT(ISNUMBER(K1309)),N(K1309)&lt;=0,N(K1309)&gt;1440),"Temps d'ouverture invalide",IF(OR(AND(G1309&lt;&gt;"",NOT(ISNUMBER(G1309))),N(G1309)&lt;0,N(G1309)&lt;&gt;INT(N(G1309)),AND(H1309&lt;&gt;"",NOT(ISNUMBER(H1309))),N(H1309)&lt;0,N(H1309)&lt;&gt;INT(N(H1309)),AND(I1309&lt;&gt;"",NOT(ISNUMBER(I1309))),N(I1309)&lt;0,N(I1309)&lt;&gt;INT(N(I1309))),"Quantité invalide",IF(Q1309&lt;=0,"Cadence manquante (poste ou article)",IF(M1309&lt;=0,"Arrêts planifiés supérieurs au temps d'ouverture",IF(O1309&lt;0,"Arrêts supérieurs au temps requis",IF(AND(P1309&gt;0,O1309=0),"Pièces déclarées sans temps de marche",IF(AND(P1309=0,O1309&gt;0),"Aucune pièce déclarée",IF(P1309*60/Q1309&gt;O1309+0.001,"Cadence dépassée : vérifiez la cadence","OK"))))))))))))))))))</f>
        <v/>
      </c>
      <c r="AC1309">
        <f>IF(OR(AB1309="OK",AB1309="Aucune pièce déclarée",AB1309="Cadence dépassée : vérifiez la cadence"),1,0)</f>
        <v>0.0</v>
      </c>
      <c r="AD1309">
        <f>IF(AND(AC1309=1,A1309&gt;=p_from,A1309&lt;=p_to),1,0)</f>
        <v>0.0</v>
      </c>
      <c r="AE1309">
        <f>IF(AD1309=1,IF(COUNTIFS($A$6:A1309,A1309,$AD$6:AD1309,1)=1,1,0),0)</f>
        <v>0.0</v>
      </c>
      <c r="AF1309" t="str">
        <f>IF(AE1309=1,COUNTIFS(sj_first,1,sj_date,"&lt;"&amp;A1309)+1,"")</f>
        <v/>
      </c>
      <c r="AG1309" t="str">
        <f>IF(AND(AD1309=1,N(W1309)&lt;p_alert),ROUND(W1309,4),"")</f>
        <v/>
      </c>
      <c r="AH1309" t="str">
        <f>IF(AG1309="","",COUNTIF(sj_akey,"&lt;"&amp;AG1309)+COUNTIF($AG$6:AG1309,AG1309))</f>
        <v/>
      </c>
    </row>
    <row r="1310">
      <c r="A1310" s="51" t="n"/>
      <c r="B1310" s="52" t="n"/>
      <c r="C1310" s="52" t="n"/>
      <c r="D1310" s="53" t="n"/>
      <c r="E1310" s="53" t="n"/>
      <c r="F1310" s="54" t="n"/>
      <c r="G1310" s="54" t="n"/>
      <c r="H1310" s="54" t="n"/>
      <c r="I1310" s="54" t="n"/>
      <c r="J1310" s="53" t="n"/>
      <c r="K1310" s="55" t="str">
        <f>IF(COUNTA(A1310:I1310)=0,"",IF(F1310="",IFERROR(INDEX(eq_dur,MATCH(B1310,eq_code,0)),""),F1310))</f>
        <v/>
      </c>
      <c r="L1310" s="55" t="str">
        <f>IF(ISNUMBER(K1310),N(IFERROR(INDEX(eq_pause,MATCH(B1310,eq_code,0)),0))+SUMIFS(st_min,st_date,A1310,st_eq,B1310,st_po,C1310,st_type,"Planifié"),"")</f>
        <v/>
      </c>
      <c r="M1310" s="55" t="str">
        <f>IF(ISNUMBER(K1310),K1310-L1310,"")</f>
        <v/>
      </c>
      <c r="N1310" s="55" t="str">
        <f>IF(ISNUMBER(K1310),SUMIFS(st_min,st_date,A1310,st_eq,B1310,st_po,C1310,st_type,"Non planifié"),"")</f>
        <v/>
      </c>
      <c r="O1310" s="55" t="str">
        <f>IF(ISNUMBER(K1310),M1310-N1310,"")</f>
        <v/>
      </c>
      <c r="P1310" s="55" t="str">
        <f>IF(COUNTA(A1310:I1310)=0,"",N(G1310)+N(H1310)+N(I1310))</f>
        <v/>
      </c>
      <c r="Q1310" s="56" t="str">
        <f>IF(COUNTA(A1310:I1310)=0,"",IF(N(IFERROR(INDEX(art_rate,MATCH(E1310,art_ref,0)),0))&gt;0,N(IFERROR(INDEX(art_rate,MATCH(E1310,art_ref,0)),0)),N(IFERROR(INDEX(po_rate,MATCH(C1310,po_code,0)),0))))</f>
        <v/>
      </c>
      <c r="R1310" s="55" t="str">
        <f>IF(AC1310=1,P1310*60/Q1310,"")</f>
        <v/>
      </c>
      <c r="S1310" s="55" t="str">
        <f>IF(AC1310=1,N(G1310)*60/Q1310,"")</f>
        <v/>
      </c>
      <c r="T1310" s="57" t="str">
        <f>IF(AC1310=1,O1310/M1310,"")</f>
        <v/>
      </c>
      <c r="U1310" s="57" t="str">
        <f>IF(AC1310=1,IF(O1310&gt;0,R1310/O1310,""),"")</f>
        <v/>
      </c>
      <c r="V1310" s="57" t="str">
        <f>IF(AC1310=1,IF(P1310&gt;0,N(G1310)/P1310,""),"")</f>
        <v/>
      </c>
      <c r="W1310" s="57" t="str">
        <f>IF(AC1310=1,S1310/M1310,"")</f>
        <v/>
      </c>
      <c r="X1310" s="57" t="str">
        <f>IF(AC1310=1,S1310/K1310,"")</f>
        <v/>
      </c>
      <c r="Y1310" s="58" t="str">
        <f>IF(W1310="","",IF(W1310&gt;=p_target,"Bon",IF(W1310&gt;=p_alert,"À surveiller","Faible")))</f>
        <v/>
      </c>
      <c r="Z1310" s="58" t="str">
        <f>IF(W1310="","",IF(MIN(IF(T1310="",1,T1310),IF(U1310="",1,U1310),IF(V1310="",1,V1310))&gt;=1,"Aucune",IF(IF(T1310="",1,T1310)&lt;=MIN(IF(U1310="",1,U1310),IF(V1310="",1,V1310)),"Disponibilité",IF(IF(U1310="",1,U1310)&lt;=IF(V1310="",1,V1310),"Performance","Qualité"))))</f>
        <v/>
      </c>
      <c r="AA1310" s="59" t="str">
        <f>IF(AC1310=1,N(H1310)*N(IFERROR(INDEX(art_cost,MATCH(E1310,art_ref,0)),0)),"")</f>
        <v/>
      </c>
      <c r="AB1310" s="58" t="str">
        <f>IF(COUNTA(A1310:I1310)=0,"",IF(N(A1310)&lt;=0,"Date manquante ou invalide",IF(B1310="","Équipe manquante",IF(ISNA(MATCH(B1310,eq_code,0)),"Équipe inconnue",IF(INDEX(eq_check,MATCH(B1310,eq_code,0))&lt;&gt;"OK","Équipe à corriger dans Paramètres",IF(C1310="","Poste manquant",IF(ISNA(MATCH(C1310,po_code,0)),"Poste inconnu",IF(AND(E1310&lt;&gt;"",ISNA(MATCH(E1310,art_ref,0))),"Article inconnu",IF(IF(E1310="",FALSE,INDEX(art_check,MATCH(E1310,art_ref,0))&lt;&gt;"OK"),"Article à corriger (feuille Articles)",IF(COUNTIFS(sj_date,A1310,sj_eq,B1310,sj_po,C1310)&gt;1,"Ligne en double (même jour, équipe et poste)",IF(OR(NOT(ISNUMBER(K1310)),N(K1310)&lt;=0,N(K1310)&gt;1440),"Temps d'ouverture invalide",IF(OR(AND(G1310&lt;&gt;"",NOT(ISNUMBER(G1310))),N(G1310)&lt;0,N(G1310)&lt;&gt;INT(N(G1310)),AND(H1310&lt;&gt;"",NOT(ISNUMBER(H1310))),N(H1310)&lt;0,N(H1310)&lt;&gt;INT(N(H1310)),AND(I1310&lt;&gt;"",NOT(ISNUMBER(I1310))),N(I1310)&lt;0,N(I1310)&lt;&gt;INT(N(I1310))),"Quantité invalide",IF(Q1310&lt;=0,"Cadence manquante (poste ou article)",IF(M1310&lt;=0,"Arrêts planifiés supérieurs au temps d'ouverture",IF(O1310&lt;0,"Arrêts supérieurs au temps requis",IF(AND(P1310&gt;0,O1310=0),"Pièces déclarées sans temps de marche",IF(AND(P1310=0,O1310&gt;0),"Aucune pièce déclarée",IF(P1310*60/Q1310&gt;O1310+0.001,"Cadence dépassée : vérifiez la cadence","OK"))))))))))))))))))</f>
        <v/>
      </c>
      <c r="AC1310">
        <f>IF(OR(AB1310="OK",AB1310="Aucune pièce déclarée",AB1310="Cadence dépassée : vérifiez la cadence"),1,0)</f>
        <v>0.0</v>
      </c>
      <c r="AD1310">
        <f>IF(AND(AC1310=1,A1310&gt;=p_from,A1310&lt;=p_to),1,0)</f>
        <v>0.0</v>
      </c>
      <c r="AE1310">
        <f>IF(AD1310=1,IF(COUNTIFS($A$6:A1310,A1310,$AD$6:AD1310,1)=1,1,0),0)</f>
        <v>0.0</v>
      </c>
      <c r="AF1310" t="str">
        <f>IF(AE1310=1,COUNTIFS(sj_first,1,sj_date,"&lt;"&amp;A1310)+1,"")</f>
        <v/>
      </c>
      <c r="AG1310" t="str">
        <f>IF(AND(AD1310=1,N(W1310)&lt;p_alert),ROUND(W1310,4),"")</f>
        <v/>
      </c>
      <c r="AH1310" t="str">
        <f>IF(AG1310="","",COUNTIF(sj_akey,"&lt;"&amp;AG1310)+COUNTIF($AG$6:AG1310,AG1310))</f>
        <v/>
      </c>
    </row>
    <row r="1311">
      <c r="A1311" s="51" t="n"/>
      <c r="B1311" s="52" t="n"/>
      <c r="C1311" s="52" t="n"/>
      <c r="D1311" s="53" t="n"/>
      <c r="E1311" s="53" t="n"/>
      <c r="F1311" s="54" t="n"/>
      <c r="G1311" s="54" t="n"/>
      <c r="H1311" s="54" t="n"/>
      <c r="I1311" s="54" t="n"/>
      <c r="J1311" s="53" t="n"/>
      <c r="K1311" s="55" t="str">
        <f>IF(COUNTA(A1311:I1311)=0,"",IF(F1311="",IFERROR(INDEX(eq_dur,MATCH(B1311,eq_code,0)),""),F1311))</f>
        <v/>
      </c>
      <c r="L1311" s="55" t="str">
        <f>IF(ISNUMBER(K1311),N(IFERROR(INDEX(eq_pause,MATCH(B1311,eq_code,0)),0))+SUMIFS(st_min,st_date,A1311,st_eq,B1311,st_po,C1311,st_type,"Planifié"),"")</f>
        <v/>
      </c>
      <c r="M1311" s="55" t="str">
        <f>IF(ISNUMBER(K1311),K1311-L1311,"")</f>
        <v/>
      </c>
      <c r="N1311" s="55" t="str">
        <f>IF(ISNUMBER(K1311),SUMIFS(st_min,st_date,A1311,st_eq,B1311,st_po,C1311,st_type,"Non planifié"),"")</f>
        <v/>
      </c>
      <c r="O1311" s="55" t="str">
        <f>IF(ISNUMBER(K1311),M1311-N1311,"")</f>
        <v/>
      </c>
      <c r="P1311" s="55" t="str">
        <f>IF(COUNTA(A1311:I1311)=0,"",N(G1311)+N(H1311)+N(I1311))</f>
        <v/>
      </c>
      <c r="Q1311" s="56" t="str">
        <f>IF(COUNTA(A1311:I1311)=0,"",IF(N(IFERROR(INDEX(art_rate,MATCH(E1311,art_ref,0)),0))&gt;0,N(IFERROR(INDEX(art_rate,MATCH(E1311,art_ref,0)),0)),N(IFERROR(INDEX(po_rate,MATCH(C1311,po_code,0)),0))))</f>
        <v/>
      </c>
      <c r="R1311" s="55" t="str">
        <f>IF(AC1311=1,P1311*60/Q1311,"")</f>
        <v/>
      </c>
      <c r="S1311" s="55" t="str">
        <f>IF(AC1311=1,N(G1311)*60/Q1311,"")</f>
        <v/>
      </c>
      <c r="T1311" s="57" t="str">
        <f>IF(AC1311=1,O1311/M1311,"")</f>
        <v/>
      </c>
      <c r="U1311" s="57" t="str">
        <f>IF(AC1311=1,IF(O1311&gt;0,R1311/O1311,""),"")</f>
        <v/>
      </c>
      <c r="V1311" s="57" t="str">
        <f>IF(AC1311=1,IF(P1311&gt;0,N(G1311)/P1311,""),"")</f>
        <v/>
      </c>
      <c r="W1311" s="57" t="str">
        <f>IF(AC1311=1,S1311/M1311,"")</f>
        <v/>
      </c>
      <c r="X1311" s="57" t="str">
        <f>IF(AC1311=1,S1311/K1311,"")</f>
        <v/>
      </c>
      <c r="Y1311" s="58" t="str">
        <f>IF(W1311="","",IF(W1311&gt;=p_target,"Bon",IF(W1311&gt;=p_alert,"À surveiller","Faible")))</f>
        <v/>
      </c>
      <c r="Z1311" s="58" t="str">
        <f>IF(W1311="","",IF(MIN(IF(T1311="",1,T1311),IF(U1311="",1,U1311),IF(V1311="",1,V1311))&gt;=1,"Aucune",IF(IF(T1311="",1,T1311)&lt;=MIN(IF(U1311="",1,U1311),IF(V1311="",1,V1311)),"Disponibilité",IF(IF(U1311="",1,U1311)&lt;=IF(V1311="",1,V1311),"Performance","Qualité"))))</f>
        <v/>
      </c>
      <c r="AA1311" s="59" t="str">
        <f>IF(AC1311=1,N(H1311)*N(IFERROR(INDEX(art_cost,MATCH(E1311,art_ref,0)),0)),"")</f>
        <v/>
      </c>
      <c r="AB1311" s="58" t="str">
        <f>IF(COUNTA(A1311:I1311)=0,"",IF(N(A1311)&lt;=0,"Date manquante ou invalide",IF(B1311="","Équipe manquante",IF(ISNA(MATCH(B1311,eq_code,0)),"Équipe inconnue",IF(INDEX(eq_check,MATCH(B1311,eq_code,0))&lt;&gt;"OK","Équipe à corriger dans Paramètres",IF(C1311="","Poste manquant",IF(ISNA(MATCH(C1311,po_code,0)),"Poste inconnu",IF(AND(E1311&lt;&gt;"",ISNA(MATCH(E1311,art_ref,0))),"Article inconnu",IF(IF(E1311="",FALSE,INDEX(art_check,MATCH(E1311,art_ref,0))&lt;&gt;"OK"),"Article à corriger (feuille Articles)",IF(COUNTIFS(sj_date,A1311,sj_eq,B1311,sj_po,C1311)&gt;1,"Ligne en double (même jour, équipe et poste)",IF(OR(NOT(ISNUMBER(K1311)),N(K1311)&lt;=0,N(K1311)&gt;1440),"Temps d'ouverture invalide",IF(OR(AND(G1311&lt;&gt;"",NOT(ISNUMBER(G1311))),N(G1311)&lt;0,N(G1311)&lt;&gt;INT(N(G1311)),AND(H1311&lt;&gt;"",NOT(ISNUMBER(H1311))),N(H1311)&lt;0,N(H1311)&lt;&gt;INT(N(H1311)),AND(I1311&lt;&gt;"",NOT(ISNUMBER(I1311))),N(I1311)&lt;0,N(I1311)&lt;&gt;INT(N(I1311))),"Quantité invalide",IF(Q1311&lt;=0,"Cadence manquante (poste ou article)",IF(M1311&lt;=0,"Arrêts planifiés supérieurs au temps d'ouverture",IF(O1311&lt;0,"Arrêts supérieurs au temps requis",IF(AND(P1311&gt;0,O1311=0),"Pièces déclarées sans temps de marche",IF(AND(P1311=0,O1311&gt;0),"Aucune pièce déclarée",IF(P1311*60/Q1311&gt;O1311+0.001,"Cadence dépassée : vérifiez la cadence","OK"))))))))))))))))))</f>
        <v/>
      </c>
      <c r="AC1311">
        <f>IF(OR(AB1311="OK",AB1311="Aucune pièce déclarée",AB1311="Cadence dépassée : vérifiez la cadence"),1,0)</f>
        <v>0.0</v>
      </c>
      <c r="AD1311">
        <f>IF(AND(AC1311=1,A1311&gt;=p_from,A1311&lt;=p_to),1,0)</f>
        <v>0.0</v>
      </c>
      <c r="AE1311">
        <f>IF(AD1311=1,IF(COUNTIFS($A$6:A1311,A1311,$AD$6:AD1311,1)=1,1,0),0)</f>
        <v>0.0</v>
      </c>
      <c r="AF1311" t="str">
        <f>IF(AE1311=1,COUNTIFS(sj_first,1,sj_date,"&lt;"&amp;A1311)+1,"")</f>
        <v/>
      </c>
      <c r="AG1311" t="str">
        <f>IF(AND(AD1311=1,N(W1311)&lt;p_alert),ROUND(W1311,4),"")</f>
        <v/>
      </c>
      <c r="AH1311" t="str">
        <f>IF(AG1311="","",COUNTIF(sj_akey,"&lt;"&amp;AG1311)+COUNTIF($AG$6:AG1311,AG1311))</f>
        <v/>
      </c>
    </row>
    <row r="1312">
      <c r="A1312" s="51" t="n"/>
      <c r="B1312" s="52" t="n"/>
      <c r="C1312" s="52" t="n"/>
      <c r="D1312" s="53" t="n"/>
      <c r="E1312" s="53" t="n"/>
      <c r="F1312" s="54" t="n"/>
      <c r="G1312" s="54" t="n"/>
      <c r="H1312" s="54" t="n"/>
      <c r="I1312" s="54" t="n"/>
      <c r="J1312" s="53" t="n"/>
      <c r="K1312" s="55" t="str">
        <f>IF(COUNTA(A1312:I1312)=0,"",IF(F1312="",IFERROR(INDEX(eq_dur,MATCH(B1312,eq_code,0)),""),F1312))</f>
        <v/>
      </c>
      <c r="L1312" s="55" t="str">
        <f>IF(ISNUMBER(K1312),N(IFERROR(INDEX(eq_pause,MATCH(B1312,eq_code,0)),0))+SUMIFS(st_min,st_date,A1312,st_eq,B1312,st_po,C1312,st_type,"Planifié"),"")</f>
        <v/>
      </c>
      <c r="M1312" s="55" t="str">
        <f>IF(ISNUMBER(K1312),K1312-L1312,"")</f>
        <v/>
      </c>
      <c r="N1312" s="55" t="str">
        <f>IF(ISNUMBER(K1312),SUMIFS(st_min,st_date,A1312,st_eq,B1312,st_po,C1312,st_type,"Non planifié"),"")</f>
        <v/>
      </c>
      <c r="O1312" s="55" t="str">
        <f>IF(ISNUMBER(K1312),M1312-N1312,"")</f>
        <v/>
      </c>
      <c r="P1312" s="55" t="str">
        <f>IF(COUNTA(A1312:I1312)=0,"",N(G1312)+N(H1312)+N(I1312))</f>
        <v/>
      </c>
      <c r="Q1312" s="56" t="str">
        <f>IF(COUNTA(A1312:I1312)=0,"",IF(N(IFERROR(INDEX(art_rate,MATCH(E1312,art_ref,0)),0))&gt;0,N(IFERROR(INDEX(art_rate,MATCH(E1312,art_ref,0)),0)),N(IFERROR(INDEX(po_rate,MATCH(C1312,po_code,0)),0))))</f>
        <v/>
      </c>
      <c r="R1312" s="55" t="str">
        <f>IF(AC1312=1,P1312*60/Q1312,"")</f>
        <v/>
      </c>
      <c r="S1312" s="55" t="str">
        <f>IF(AC1312=1,N(G1312)*60/Q1312,"")</f>
        <v/>
      </c>
      <c r="T1312" s="57" t="str">
        <f>IF(AC1312=1,O1312/M1312,"")</f>
        <v/>
      </c>
      <c r="U1312" s="57" t="str">
        <f>IF(AC1312=1,IF(O1312&gt;0,R1312/O1312,""),"")</f>
        <v/>
      </c>
      <c r="V1312" s="57" t="str">
        <f>IF(AC1312=1,IF(P1312&gt;0,N(G1312)/P1312,""),"")</f>
        <v/>
      </c>
      <c r="W1312" s="57" t="str">
        <f>IF(AC1312=1,S1312/M1312,"")</f>
        <v/>
      </c>
      <c r="X1312" s="57" t="str">
        <f>IF(AC1312=1,S1312/K1312,"")</f>
        <v/>
      </c>
      <c r="Y1312" s="58" t="str">
        <f>IF(W1312="","",IF(W1312&gt;=p_target,"Bon",IF(W1312&gt;=p_alert,"À surveiller","Faible")))</f>
        <v/>
      </c>
      <c r="Z1312" s="58" t="str">
        <f>IF(W1312="","",IF(MIN(IF(T1312="",1,T1312),IF(U1312="",1,U1312),IF(V1312="",1,V1312))&gt;=1,"Aucune",IF(IF(T1312="",1,T1312)&lt;=MIN(IF(U1312="",1,U1312),IF(V1312="",1,V1312)),"Disponibilité",IF(IF(U1312="",1,U1312)&lt;=IF(V1312="",1,V1312),"Performance","Qualité"))))</f>
        <v/>
      </c>
      <c r="AA1312" s="59" t="str">
        <f>IF(AC1312=1,N(H1312)*N(IFERROR(INDEX(art_cost,MATCH(E1312,art_ref,0)),0)),"")</f>
        <v/>
      </c>
      <c r="AB1312" s="58" t="str">
        <f>IF(COUNTA(A1312:I1312)=0,"",IF(N(A1312)&lt;=0,"Date manquante ou invalide",IF(B1312="","Équipe manquante",IF(ISNA(MATCH(B1312,eq_code,0)),"Équipe inconnue",IF(INDEX(eq_check,MATCH(B1312,eq_code,0))&lt;&gt;"OK","Équipe à corriger dans Paramètres",IF(C1312="","Poste manquant",IF(ISNA(MATCH(C1312,po_code,0)),"Poste inconnu",IF(AND(E1312&lt;&gt;"",ISNA(MATCH(E1312,art_ref,0))),"Article inconnu",IF(IF(E1312="",FALSE,INDEX(art_check,MATCH(E1312,art_ref,0))&lt;&gt;"OK"),"Article à corriger (feuille Articles)",IF(COUNTIFS(sj_date,A1312,sj_eq,B1312,sj_po,C1312)&gt;1,"Ligne en double (même jour, équipe et poste)",IF(OR(NOT(ISNUMBER(K1312)),N(K1312)&lt;=0,N(K1312)&gt;1440),"Temps d'ouverture invalide",IF(OR(AND(G1312&lt;&gt;"",NOT(ISNUMBER(G1312))),N(G1312)&lt;0,N(G1312)&lt;&gt;INT(N(G1312)),AND(H1312&lt;&gt;"",NOT(ISNUMBER(H1312))),N(H1312)&lt;0,N(H1312)&lt;&gt;INT(N(H1312)),AND(I1312&lt;&gt;"",NOT(ISNUMBER(I1312))),N(I1312)&lt;0,N(I1312)&lt;&gt;INT(N(I1312))),"Quantité invalide",IF(Q1312&lt;=0,"Cadence manquante (poste ou article)",IF(M1312&lt;=0,"Arrêts planifiés supérieurs au temps d'ouverture",IF(O1312&lt;0,"Arrêts supérieurs au temps requis",IF(AND(P1312&gt;0,O1312=0),"Pièces déclarées sans temps de marche",IF(AND(P1312=0,O1312&gt;0),"Aucune pièce déclarée",IF(P1312*60/Q1312&gt;O1312+0.001,"Cadence dépassée : vérifiez la cadence","OK"))))))))))))))))))</f>
        <v/>
      </c>
      <c r="AC1312">
        <f>IF(OR(AB1312="OK",AB1312="Aucune pièce déclarée",AB1312="Cadence dépassée : vérifiez la cadence"),1,0)</f>
        <v>0.0</v>
      </c>
      <c r="AD1312">
        <f>IF(AND(AC1312=1,A1312&gt;=p_from,A1312&lt;=p_to),1,0)</f>
        <v>0.0</v>
      </c>
      <c r="AE1312">
        <f>IF(AD1312=1,IF(COUNTIFS($A$6:A1312,A1312,$AD$6:AD1312,1)=1,1,0),0)</f>
        <v>0.0</v>
      </c>
      <c r="AF1312" t="str">
        <f>IF(AE1312=1,COUNTIFS(sj_first,1,sj_date,"&lt;"&amp;A1312)+1,"")</f>
        <v/>
      </c>
      <c r="AG1312" t="str">
        <f>IF(AND(AD1312=1,N(W1312)&lt;p_alert),ROUND(W1312,4),"")</f>
        <v/>
      </c>
      <c r="AH1312" t="str">
        <f>IF(AG1312="","",COUNTIF(sj_akey,"&lt;"&amp;AG1312)+COUNTIF($AG$6:AG1312,AG1312))</f>
        <v/>
      </c>
    </row>
    <row r="1313">
      <c r="A1313" s="51" t="n"/>
      <c r="B1313" s="52" t="n"/>
      <c r="C1313" s="52" t="n"/>
      <c r="D1313" s="53" t="n"/>
      <c r="E1313" s="53" t="n"/>
      <c r="F1313" s="54" t="n"/>
      <c r="G1313" s="54" t="n"/>
      <c r="H1313" s="54" t="n"/>
      <c r="I1313" s="54" t="n"/>
      <c r="J1313" s="53" t="n"/>
      <c r="K1313" s="55" t="str">
        <f>IF(COUNTA(A1313:I1313)=0,"",IF(F1313="",IFERROR(INDEX(eq_dur,MATCH(B1313,eq_code,0)),""),F1313))</f>
        <v/>
      </c>
      <c r="L1313" s="55" t="str">
        <f>IF(ISNUMBER(K1313),N(IFERROR(INDEX(eq_pause,MATCH(B1313,eq_code,0)),0))+SUMIFS(st_min,st_date,A1313,st_eq,B1313,st_po,C1313,st_type,"Planifié"),"")</f>
        <v/>
      </c>
      <c r="M1313" s="55" t="str">
        <f>IF(ISNUMBER(K1313),K1313-L1313,"")</f>
        <v/>
      </c>
      <c r="N1313" s="55" t="str">
        <f>IF(ISNUMBER(K1313),SUMIFS(st_min,st_date,A1313,st_eq,B1313,st_po,C1313,st_type,"Non planifié"),"")</f>
        <v/>
      </c>
      <c r="O1313" s="55" t="str">
        <f>IF(ISNUMBER(K1313),M1313-N1313,"")</f>
        <v/>
      </c>
      <c r="P1313" s="55" t="str">
        <f>IF(COUNTA(A1313:I1313)=0,"",N(G1313)+N(H1313)+N(I1313))</f>
        <v/>
      </c>
      <c r="Q1313" s="56" t="str">
        <f>IF(COUNTA(A1313:I1313)=0,"",IF(N(IFERROR(INDEX(art_rate,MATCH(E1313,art_ref,0)),0))&gt;0,N(IFERROR(INDEX(art_rate,MATCH(E1313,art_ref,0)),0)),N(IFERROR(INDEX(po_rate,MATCH(C1313,po_code,0)),0))))</f>
        <v/>
      </c>
      <c r="R1313" s="55" t="str">
        <f>IF(AC1313=1,P1313*60/Q1313,"")</f>
        <v/>
      </c>
      <c r="S1313" s="55" t="str">
        <f>IF(AC1313=1,N(G1313)*60/Q1313,"")</f>
        <v/>
      </c>
      <c r="T1313" s="57" t="str">
        <f>IF(AC1313=1,O1313/M1313,"")</f>
        <v/>
      </c>
      <c r="U1313" s="57" t="str">
        <f>IF(AC1313=1,IF(O1313&gt;0,R1313/O1313,""),"")</f>
        <v/>
      </c>
      <c r="V1313" s="57" t="str">
        <f>IF(AC1313=1,IF(P1313&gt;0,N(G1313)/P1313,""),"")</f>
        <v/>
      </c>
      <c r="W1313" s="57" t="str">
        <f>IF(AC1313=1,S1313/M1313,"")</f>
        <v/>
      </c>
      <c r="X1313" s="57" t="str">
        <f>IF(AC1313=1,S1313/K1313,"")</f>
        <v/>
      </c>
      <c r="Y1313" s="58" t="str">
        <f>IF(W1313="","",IF(W1313&gt;=p_target,"Bon",IF(W1313&gt;=p_alert,"À surveiller","Faible")))</f>
        <v/>
      </c>
      <c r="Z1313" s="58" t="str">
        <f>IF(W1313="","",IF(MIN(IF(T1313="",1,T1313),IF(U1313="",1,U1313),IF(V1313="",1,V1313))&gt;=1,"Aucune",IF(IF(T1313="",1,T1313)&lt;=MIN(IF(U1313="",1,U1313),IF(V1313="",1,V1313)),"Disponibilité",IF(IF(U1313="",1,U1313)&lt;=IF(V1313="",1,V1313),"Performance","Qualité"))))</f>
        <v/>
      </c>
      <c r="AA1313" s="59" t="str">
        <f>IF(AC1313=1,N(H1313)*N(IFERROR(INDEX(art_cost,MATCH(E1313,art_ref,0)),0)),"")</f>
        <v/>
      </c>
      <c r="AB1313" s="58" t="str">
        <f>IF(COUNTA(A1313:I1313)=0,"",IF(N(A1313)&lt;=0,"Date manquante ou invalide",IF(B1313="","Équipe manquante",IF(ISNA(MATCH(B1313,eq_code,0)),"Équipe inconnue",IF(INDEX(eq_check,MATCH(B1313,eq_code,0))&lt;&gt;"OK","Équipe à corriger dans Paramètres",IF(C1313="","Poste manquant",IF(ISNA(MATCH(C1313,po_code,0)),"Poste inconnu",IF(AND(E1313&lt;&gt;"",ISNA(MATCH(E1313,art_ref,0))),"Article inconnu",IF(IF(E1313="",FALSE,INDEX(art_check,MATCH(E1313,art_ref,0))&lt;&gt;"OK"),"Article à corriger (feuille Articles)",IF(COUNTIFS(sj_date,A1313,sj_eq,B1313,sj_po,C1313)&gt;1,"Ligne en double (même jour, équipe et poste)",IF(OR(NOT(ISNUMBER(K1313)),N(K1313)&lt;=0,N(K1313)&gt;1440),"Temps d'ouverture invalide",IF(OR(AND(G1313&lt;&gt;"",NOT(ISNUMBER(G1313))),N(G1313)&lt;0,N(G1313)&lt;&gt;INT(N(G1313)),AND(H1313&lt;&gt;"",NOT(ISNUMBER(H1313))),N(H1313)&lt;0,N(H1313)&lt;&gt;INT(N(H1313)),AND(I1313&lt;&gt;"",NOT(ISNUMBER(I1313))),N(I1313)&lt;0,N(I1313)&lt;&gt;INT(N(I1313))),"Quantité invalide",IF(Q1313&lt;=0,"Cadence manquante (poste ou article)",IF(M1313&lt;=0,"Arrêts planifiés supérieurs au temps d'ouverture",IF(O1313&lt;0,"Arrêts supérieurs au temps requis",IF(AND(P1313&gt;0,O1313=0),"Pièces déclarées sans temps de marche",IF(AND(P1313=0,O1313&gt;0),"Aucune pièce déclarée",IF(P1313*60/Q1313&gt;O1313+0.001,"Cadence dépassée : vérifiez la cadence","OK"))))))))))))))))))</f>
        <v/>
      </c>
      <c r="AC1313">
        <f>IF(OR(AB1313="OK",AB1313="Aucune pièce déclarée",AB1313="Cadence dépassée : vérifiez la cadence"),1,0)</f>
        <v>0.0</v>
      </c>
      <c r="AD1313">
        <f>IF(AND(AC1313=1,A1313&gt;=p_from,A1313&lt;=p_to),1,0)</f>
        <v>0.0</v>
      </c>
      <c r="AE1313">
        <f>IF(AD1313=1,IF(COUNTIFS($A$6:A1313,A1313,$AD$6:AD1313,1)=1,1,0),0)</f>
        <v>0.0</v>
      </c>
      <c r="AF1313" t="str">
        <f>IF(AE1313=1,COUNTIFS(sj_first,1,sj_date,"&lt;"&amp;A1313)+1,"")</f>
        <v/>
      </c>
      <c r="AG1313" t="str">
        <f>IF(AND(AD1313=1,N(W1313)&lt;p_alert),ROUND(W1313,4),"")</f>
        <v/>
      </c>
      <c r="AH1313" t="str">
        <f>IF(AG1313="","",COUNTIF(sj_akey,"&lt;"&amp;AG1313)+COUNTIF($AG$6:AG1313,AG1313))</f>
        <v/>
      </c>
    </row>
    <row r="1314">
      <c r="A1314" s="51" t="n"/>
      <c r="B1314" s="52" t="n"/>
      <c r="C1314" s="52" t="n"/>
      <c r="D1314" s="53" t="n"/>
      <c r="E1314" s="53" t="n"/>
      <c r="F1314" s="54" t="n"/>
      <c r="G1314" s="54" t="n"/>
      <c r="H1314" s="54" t="n"/>
      <c r="I1314" s="54" t="n"/>
      <c r="J1314" s="53" t="n"/>
      <c r="K1314" s="55" t="str">
        <f>IF(COUNTA(A1314:I1314)=0,"",IF(F1314="",IFERROR(INDEX(eq_dur,MATCH(B1314,eq_code,0)),""),F1314))</f>
        <v/>
      </c>
      <c r="L1314" s="55" t="str">
        <f>IF(ISNUMBER(K1314),N(IFERROR(INDEX(eq_pause,MATCH(B1314,eq_code,0)),0))+SUMIFS(st_min,st_date,A1314,st_eq,B1314,st_po,C1314,st_type,"Planifié"),"")</f>
        <v/>
      </c>
      <c r="M1314" s="55" t="str">
        <f>IF(ISNUMBER(K1314),K1314-L1314,"")</f>
        <v/>
      </c>
      <c r="N1314" s="55" t="str">
        <f>IF(ISNUMBER(K1314),SUMIFS(st_min,st_date,A1314,st_eq,B1314,st_po,C1314,st_type,"Non planifié"),"")</f>
        <v/>
      </c>
      <c r="O1314" s="55" t="str">
        <f>IF(ISNUMBER(K1314),M1314-N1314,"")</f>
        <v/>
      </c>
      <c r="P1314" s="55" t="str">
        <f>IF(COUNTA(A1314:I1314)=0,"",N(G1314)+N(H1314)+N(I1314))</f>
        <v/>
      </c>
      <c r="Q1314" s="56" t="str">
        <f>IF(COUNTA(A1314:I1314)=0,"",IF(N(IFERROR(INDEX(art_rate,MATCH(E1314,art_ref,0)),0))&gt;0,N(IFERROR(INDEX(art_rate,MATCH(E1314,art_ref,0)),0)),N(IFERROR(INDEX(po_rate,MATCH(C1314,po_code,0)),0))))</f>
        <v/>
      </c>
      <c r="R1314" s="55" t="str">
        <f>IF(AC1314=1,P1314*60/Q1314,"")</f>
        <v/>
      </c>
      <c r="S1314" s="55" t="str">
        <f>IF(AC1314=1,N(G1314)*60/Q1314,"")</f>
        <v/>
      </c>
      <c r="T1314" s="57" t="str">
        <f>IF(AC1314=1,O1314/M1314,"")</f>
        <v/>
      </c>
      <c r="U1314" s="57" t="str">
        <f>IF(AC1314=1,IF(O1314&gt;0,R1314/O1314,""),"")</f>
        <v/>
      </c>
      <c r="V1314" s="57" t="str">
        <f>IF(AC1314=1,IF(P1314&gt;0,N(G1314)/P1314,""),"")</f>
        <v/>
      </c>
      <c r="W1314" s="57" t="str">
        <f>IF(AC1314=1,S1314/M1314,"")</f>
        <v/>
      </c>
      <c r="X1314" s="57" t="str">
        <f>IF(AC1314=1,S1314/K1314,"")</f>
        <v/>
      </c>
      <c r="Y1314" s="58" t="str">
        <f>IF(W1314="","",IF(W1314&gt;=p_target,"Bon",IF(W1314&gt;=p_alert,"À surveiller","Faible")))</f>
        <v/>
      </c>
      <c r="Z1314" s="58" t="str">
        <f>IF(W1314="","",IF(MIN(IF(T1314="",1,T1314),IF(U1314="",1,U1314),IF(V1314="",1,V1314))&gt;=1,"Aucune",IF(IF(T1314="",1,T1314)&lt;=MIN(IF(U1314="",1,U1314),IF(V1314="",1,V1314)),"Disponibilité",IF(IF(U1314="",1,U1314)&lt;=IF(V1314="",1,V1314),"Performance","Qualité"))))</f>
        <v/>
      </c>
      <c r="AA1314" s="59" t="str">
        <f>IF(AC1314=1,N(H1314)*N(IFERROR(INDEX(art_cost,MATCH(E1314,art_ref,0)),0)),"")</f>
        <v/>
      </c>
      <c r="AB1314" s="58" t="str">
        <f>IF(COUNTA(A1314:I1314)=0,"",IF(N(A1314)&lt;=0,"Date manquante ou invalide",IF(B1314="","Équipe manquante",IF(ISNA(MATCH(B1314,eq_code,0)),"Équipe inconnue",IF(INDEX(eq_check,MATCH(B1314,eq_code,0))&lt;&gt;"OK","Équipe à corriger dans Paramètres",IF(C1314="","Poste manquant",IF(ISNA(MATCH(C1314,po_code,0)),"Poste inconnu",IF(AND(E1314&lt;&gt;"",ISNA(MATCH(E1314,art_ref,0))),"Article inconnu",IF(IF(E1314="",FALSE,INDEX(art_check,MATCH(E1314,art_ref,0))&lt;&gt;"OK"),"Article à corriger (feuille Articles)",IF(COUNTIFS(sj_date,A1314,sj_eq,B1314,sj_po,C1314)&gt;1,"Ligne en double (même jour, équipe et poste)",IF(OR(NOT(ISNUMBER(K1314)),N(K1314)&lt;=0,N(K1314)&gt;1440),"Temps d'ouverture invalide",IF(OR(AND(G1314&lt;&gt;"",NOT(ISNUMBER(G1314))),N(G1314)&lt;0,N(G1314)&lt;&gt;INT(N(G1314)),AND(H1314&lt;&gt;"",NOT(ISNUMBER(H1314))),N(H1314)&lt;0,N(H1314)&lt;&gt;INT(N(H1314)),AND(I1314&lt;&gt;"",NOT(ISNUMBER(I1314))),N(I1314)&lt;0,N(I1314)&lt;&gt;INT(N(I1314))),"Quantité invalide",IF(Q1314&lt;=0,"Cadence manquante (poste ou article)",IF(M1314&lt;=0,"Arrêts planifiés supérieurs au temps d'ouverture",IF(O1314&lt;0,"Arrêts supérieurs au temps requis",IF(AND(P1314&gt;0,O1314=0),"Pièces déclarées sans temps de marche",IF(AND(P1314=0,O1314&gt;0),"Aucune pièce déclarée",IF(P1314*60/Q1314&gt;O1314+0.001,"Cadence dépassée : vérifiez la cadence","OK"))))))))))))))))))</f>
        <v/>
      </c>
      <c r="AC1314">
        <f>IF(OR(AB1314="OK",AB1314="Aucune pièce déclarée",AB1314="Cadence dépassée : vérifiez la cadence"),1,0)</f>
        <v>0.0</v>
      </c>
      <c r="AD1314">
        <f>IF(AND(AC1314=1,A1314&gt;=p_from,A1314&lt;=p_to),1,0)</f>
        <v>0.0</v>
      </c>
      <c r="AE1314">
        <f>IF(AD1314=1,IF(COUNTIFS($A$6:A1314,A1314,$AD$6:AD1314,1)=1,1,0),0)</f>
        <v>0.0</v>
      </c>
      <c r="AF1314" t="str">
        <f>IF(AE1314=1,COUNTIFS(sj_first,1,sj_date,"&lt;"&amp;A1314)+1,"")</f>
        <v/>
      </c>
      <c r="AG1314" t="str">
        <f>IF(AND(AD1314=1,N(W1314)&lt;p_alert),ROUND(W1314,4),"")</f>
        <v/>
      </c>
      <c r="AH1314" t="str">
        <f>IF(AG1314="","",COUNTIF(sj_akey,"&lt;"&amp;AG1314)+COUNTIF($AG$6:AG1314,AG1314))</f>
        <v/>
      </c>
    </row>
    <row r="1315">
      <c r="A1315" s="51" t="n"/>
      <c r="B1315" s="52" t="n"/>
      <c r="C1315" s="52" t="n"/>
      <c r="D1315" s="53" t="n"/>
      <c r="E1315" s="53" t="n"/>
      <c r="F1315" s="54" t="n"/>
      <c r="G1315" s="54" t="n"/>
      <c r="H1315" s="54" t="n"/>
      <c r="I1315" s="54" t="n"/>
      <c r="J1315" s="53" t="n"/>
      <c r="K1315" s="55" t="str">
        <f>IF(COUNTA(A1315:I1315)=0,"",IF(F1315="",IFERROR(INDEX(eq_dur,MATCH(B1315,eq_code,0)),""),F1315))</f>
        <v/>
      </c>
      <c r="L1315" s="55" t="str">
        <f>IF(ISNUMBER(K1315),N(IFERROR(INDEX(eq_pause,MATCH(B1315,eq_code,0)),0))+SUMIFS(st_min,st_date,A1315,st_eq,B1315,st_po,C1315,st_type,"Planifié"),"")</f>
        <v/>
      </c>
      <c r="M1315" s="55" t="str">
        <f>IF(ISNUMBER(K1315),K1315-L1315,"")</f>
        <v/>
      </c>
      <c r="N1315" s="55" t="str">
        <f>IF(ISNUMBER(K1315),SUMIFS(st_min,st_date,A1315,st_eq,B1315,st_po,C1315,st_type,"Non planifié"),"")</f>
        <v/>
      </c>
      <c r="O1315" s="55" t="str">
        <f>IF(ISNUMBER(K1315),M1315-N1315,"")</f>
        <v/>
      </c>
      <c r="P1315" s="55" t="str">
        <f>IF(COUNTA(A1315:I1315)=0,"",N(G1315)+N(H1315)+N(I1315))</f>
        <v/>
      </c>
      <c r="Q1315" s="56" t="str">
        <f>IF(COUNTA(A1315:I1315)=0,"",IF(N(IFERROR(INDEX(art_rate,MATCH(E1315,art_ref,0)),0))&gt;0,N(IFERROR(INDEX(art_rate,MATCH(E1315,art_ref,0)),0)),N(IFERROR(INDEX(po_rate,MATCH(C1315,po_code,0)),0))))</f>
        <v/>
      </c>
      <c r="R1315" s="55" t="str">
        <f>IF(AC1315=1,P1315*60/Q1315,"")</f>
        <v/>
      </c>
      <c r="S1315" s="55" t="str">
        <f>IF(AC1315=1,N(G1315)*60/Q1315,"")</f>
        <v/>
      </c>
      <c r="T1315" s="57" t="str">
        <f>IF(AC1315=1,O1315/M1315,"")</f>
        <v/>
      </c>
      <c r="U1315" s="57" t="str">
        <f>IF(AC1315=1,IF(O1315&gt;0,R1315/O1315,""),"")</f>
        <v/>
      </c>
      <c r="V1315" s="57" t="str">
        <f>IF(AC1315=1,IF(P1315&gt;0,N(G1315)/P1315,""),"")</f>
        <v/>
      </c>
      <c r="W1315" s="57" t="str">
        <f>IF(AC1315=1,S1315/M1315,"")</f>
        <v/>
      </c>
      <c r="X1315" s="57" t="str">
        <f>IF(AC1315=1,S1315/K1315,"")</f>
        <v/>
      </c>
      <c r="Y1315" s="58" t="str">
        <f>IF(W1315="","",IF(W1315&gt;=p_target,"Bon",IF(W1315&gt;=p_alert,"À surveiller","Faible")))</f>
        <v/>
      </c>
      <c r="Z1315" s="58" t="str">
        <f>IF(W1315="","",IF(MIN(IF(T1315="",1,T1315),IF(U1315="",1,U1315),IF(V1315="",1,V1315))&gt;=1,"Aucune",IF(IF(T1315="",1,T1315)&lt;=MIN(IF(U1315="",1,U1315),IF(V1315="",1,V1315)),"Disponibilité",IF(IF(U1315="",1,U1315)&lt;=IF(V1315="",1,V1315),"Performance","Qualité"))))</f>
        <v/>
      </c>
      <c r="AA1315" s="59" t="str">
        <f>IF(AC1315=1,N(H1315)*N(IFERROR(INDEX(art_cost,MATCH(E1315,art_ref,0)),0)),"")</f>
        <v/>
      </c>
      <c r="AB1315" s="58" t="str">
        <f>IF(COUNTA(A1315:I1315)=0,"",IF(N(A1315)&lt;=0,"Date manquante ou invalide",IF(B1315="","Équipe manquante",IF(ISNA(MATCH(B1315,eq_code,0)),"Équipe inconnue",IF(INDEX(eq_check,MATCH(B1315,eq_code,0))&lt;&gt;"OK","Équipe à corriger dans Paramètres",IF(C1315="","Poste manquant",IF(ISNA(MATCH(C1315,po_code,0)),"Poste inconnu",IF(AND(E1315&lt;&gt;"",ISNA(MATCH(E1315,art_ref,0))),"Article inconnu",IF(IF(E1315="",FALSE,INDEX(art_check,MATCH(E1315,art_ref,0))&lt;&gt;"OK"),"Article à corriger (feuille Articles)",IF(COUNTIFS(sj_date,A1315,sj_eq,B1315,sj_po,C1315)&gt;1,"Ligne en double (même jour, équipe et poste)",IF(OR(NOT(ISNUMBER(K1315)),N(K1315)&lt;=0,N(K1315)&gt;1440),"Temps d'ouverture invalide",IF(OR(AND(G1315&lt;&gt;"",NOT(ISNUMBER(G1315))),N(G1315)&lt;0,N(G1315)&lt;&gt;INT(N(G1315)),AND(H1315&lt;&gt;"",NOT(ISNUMBER(H1315))),N(H1315)&lt;0,N(H1315)&lt;&gt;INT(N(H1315)),AND(I1315&lt;&gt;"",NOT(ISNUMBER(I1315))),N(I1315)&lt;0,N(I1315)&lt;&gt;INT(N(I1315))),"Quantité invalide",IF(Q1315&lt;=0,"Cadence manquante (poste ou article)",IF(M1315&lt;=0,"Arrêts planifiés supérieurs au temps d'ouverture",IF(O1315&lt;0,"Arrêts supérieurs au temps requis",IF(AND(P1315&gt;0,O1315=0),"Pièces déclarées sans temps de marche",IF(AND(P1315=0,O1315&gt;0),"Aucune pièce déclarée",IF(P1315*60/Q1315&gt;O1315+0.001,"Cadence dépassée : vérifiez la cadence","OK"))))))))))))))))))</f>
        <v/>
      </c>
      <c r="AC1315">
        <f>IF(OR(AB1315="OK",AB1315="Aucune pièce déclarée",AB1315="Cadence dépassée : vérifiez la cadence"),1,0)</f>
        <v>0.0</v>
      </c>
      <c r="AD1315">
        <f>IF(AND(AC1315=1,A1315&gt;=p_from,A1315&lt;=p_to),1,0)</f>
        <v>0.0</v>
      </c>
      <c r="AE1315">
        <f>IF(AD1315=1,IF(COUNTIFS($A$6:A1315,A1315,$AD$6:AD1315,1)=1,1,0),0)</f>
        <v>0.0</v>
      </c>
      <c r="AF1315" t="str">
        <f>IF(AE1315=1,COUNTIFS(sj_first,1,sj_date,"&lt;"&amp;A1315)+1,"")</f>
        <v/>
      </c>
      <c r="AG1315" t="str">
        <f>IF(AND(AD1315=1,N(W1315)&lt;p_alert),ROUND(W1315,4),"")</f>
        <v/>
      </c>
      <c r="AH1315" t="str">
        <f>IF(AG1315="","",COUNTIF(sj_akey,"&lt;"&amp;AG1315)+COUNTIF($AG$6:AG1315,AG1315))</f>
        <v/>
      </c>
    </row>
    <row r="1316">
      <c r="A1316" s="51" t="n"/>
      <c r="B1316" s="52" t="n"/>
      <c r="C1316" s="52" t="n"/>
      <c r="D1316" s="53" t="n"/>
      <c r="E1316" s="53" t="n"/>
      <c r="F1316" s="54" t="n"/>
      <c r="G1316" s="54" t="n"/>
      <c r="H1316" s="54" t="n"/>
      <c r="I1316" s="54" t="n"/>
      <c r="J1316" s="53" t="n"/>
      <c r="K1316" s="55" t="str">
        <f>IF(COUNTA(A1316:I1316)=0,"",IF(F1316="",IFERROR(INDEX(eq_dur,MATCH(B1316,eq_code,0)),""),F1316))</f>
        <v/>
      </c>
      <c r="L1316" s="55" t="str">
        <f>IF(ISNUMBER(K1316),N(IFERROR(INDEX(eq_pause,MATCH(B1316,eq_code,0)),0))+SUMIFS(st_min,st_date,A1316,st_eq,B1316,st_po,C1316,st_type,"Planifié"),"")</f>
        <v/>
      </c>
      <c r="M1316" s="55" t="str">
        <f>IF(ISNUMBER(K1316),K1316-L1316,"")</f>
        <v/>
      </c>
      <c r="N1316" s="55" t="str">
        <f>IF(ISNUMBER(K1316),SUMIFS(st_min,st_date,A1316,st_eq,B1316,st_po,C1316,st_type,"Non planifié"),"")</f>
        <v/>
      </c>
      <c r="O1316" s="55" t="str">
        <f>IF(ISNUMBER(K1316),M1316-N1316,"")</f>
        <v/>
      </c>
      <c r="P1316" s="55" t="str">
        <f>IF(COUNTA(A1316:I1316)=0,"",N(G1316)+N(H1316)+N(I1316))</f>
        <v/>
      </c>
      <c r="Q1316" s="56" t="str">
        <f>IF(COUNTA(A1316:I1316)=0,"",IF(N(IFERROR(INDEX(art_rate,MATCH(E1316,art_ref,0)),0))&gt;0,N(IFERROR(INDEX(art_rate,MATCH(E1316,art_ref,0)),0)),N(IFERROR(INDEX(po_rate,MATCH(C1316,po_code,0)),0))))</f>
        <v/>
      </c>
      <c r="R1316" s="55" t="str">
        <f>IF(AC1316=1,P1316*60/Q1316,"")</f>
        <v/>
      </c>
      <c r="S1316" s="55" t="str">
        <f>IF(AC1316=1,N(G1316)*60/Q1316,"")</f>
        <v/>
      </c>
      <c r="T1316" s="57" t="str">
        <f>IF(AC1316=1,O1316/M1316,"")</f>
        <v/>
      </c>
      <c r="U1316" s="57" t="str">
        <f>IF(AC1316=1,IF(O1316&gt;0,R1316/O1316,""),"")</f>
        <v/>
      </c>
      <c r="V1316" s="57" t="str">
        <f>IF(AC1316=1,IF(P1316&gt;0,N(G1316)/P1316,""),"")</f>
        <v/>
      </c>
      <c r="W1316" s="57" t="str">
        <f>IF(AC1316=1,S1316/M1316,"")</f>
        <v/>
      </c>
      <c r="X1316" s="57" t="str">
        <f>IF(AC1316=1,S1316/K1316,"")</f>
        <v/>
      </c>
      <c r="Y1316" s="58" t="str">
        <f>IF(W1316="","",IF(W1316&gt;=p_target,"Bon",IF(W1316&gt;=p_alert,"À surveiller","Faible")))</f>
        <v/>
      </c>
      <c r="Z1316" s="58" t="str">
        <f>IF(W1316="","",IF(MIN(IF(T1316="",1,T1316),IF(U1316="",1,U1316),IF(V1316="",1,V1316))&gt;=1,"Aucune",IF(IF(T1316="",1,T1316)&lt;=MIN(IF(U1316="",1,U1316),IF(V1316="",1,V1316)),"Disponibilité",IF(IF(U1316="",1,U1316)&lt;=IF(V1316="",1,V1316),"Performance","Qualité"))))</f>
        <v/>
      </c>
      <c r="AA1316" s="59" t="str">
        <f>IF(AC1316=1,N(H1316)*N(IFERROR(INDEX(art_cost,MATCH(E1316,art_ref,0)),0)),"")</f>
        <v/>
      </c>
      <c r="AB1316" s="58" t="str">
        <f>IF(COUNTA(A1316:I1316)=0,"",IF(N(A1316)&lt;=0,"Date manquante ou invalide",IF(B1316="","Équipe manquante",IF(ISNA(MATCH(B1316,eq_code,0)),"Équipe inconnue",IF(INDEX(eq_check,MATCH(B1316,eq_code,0))&lt;&gt;"OK","Équipe à corriger dans Paramètres",IF(C1316="","Poste manquant",IF(ISNA(MATCH(C1316,po_code,0)),"Poste inconnu",IF(AND(E1316&lt;&gt;"",ISNA(MATCH(E1316,art_ref,0))),"Article inconnu",IF(IF(E1316="",FALSE,INDEX(art_check,MATCH(E1316,art_ref,0))&lt;&gt;"OK"),"Article à corriger (feuille Articles)",IF(COUNTIFS(sj_date,A1316,sj_eq,B1316,sj_po,C1316)&gt;1,"Ligne en double (même jour, équipe et poste)",IF(OR(NOT(ISNUMBER(K1316)),N(K1316)&lt;=0,N(K1316)&gt;1440),"Temps d'ouverture invalide",IF(OR(AND(G1316&lt;&gt;"",NOT(ISNUMBER(G1316))),N(G1316)&lt;0,N(G1316)&lt;&gt;INT(N(G1316)),AND(H1316&lt;&gt;"",NOT(ISNUMBER(H1316))),N(H1316)&lt;0,N(H1316)&lt;&gt;INT(N(H1316)),AND(I1316&lt;&gt;"",NOT(ISNUMBER(I1316))),N(I1316)&lt;0,N(I1316)&lt;&gt;INT(N(I1316))),"Quantité invalide",IF(Q1316&lt;=0,"Cadence manquante (poste ou article)",IF(M1316&lt;=0,"Arrêts planifiés supérieurs au temps d'ouverture",IF(O1316&lt;0,"Arrêts supérieurs au temps requis",IF(AND(P1316&gt;0,O1316=0),"Pièces déclarées sans temps de marche",IF(AND(P1316=0,O1316&gt;0),"Aucune pièce déclarée",IF(P1316*60/Q1316&gt;O1316+0.001,"Cadence dépassée : vérifiez la cadence","OK"))))))))))))))))))</f>
        <v/>
      </c>
      <c r="AC1316">
        <f>IF(OR(AB1316="OK",AB1316="Aucune pièce déclarée",AB1316="Cadence dépassée : vérifiez la cadence"),1,0)</f>
        <v>0.0</v>
      </c>
      <c r="AD1316">
        <f>IF(AND(AC1316=1,A1316&gt;=p_from,A1316&lt;=p_to),1,0)</f>
        <v>0.0</v>
      </c>
      <c r="AE1316">
        <f>IF(AD1316=1,IF(COUNTIFS($A$6:A1316,A1316,$AD$6:AD1316,1)=1,1,0),0)</f>
        <v>0.0</v>
      </c>
      <c r="AF1316" t="str">
        <f>IF(AE1316=1,COUNTIFS(sj_first,1,sj_date,"&lt;"&amp;A1316)+1,"")</f>
        <v/>
      </c>
      <c r="AG1316" t="str">
        <f>IF(AND(AD1316=1,N(W1316)&lt;p_alert),ROUND(W1316,4),"")</f>
        <v/>
      </c>
      <c r="AH1316" t="str">
        <f>IF(AG1316="","",COUNTIF(sj_akey,"&lt;"&amp;AG1316)+COUNTIF($AG$6:AG1316,AG1316))</f>
        <v/>
      </c>
    </row>
    <row r="1317">
      <c r="A1317" s="51" t="n"/>
      <c r="B1317" s="52" t="n"/>
      <c r="C1317" s="52" t="n"/>
      <c r="D1317" s="53" t="n"/>
      <c r="E1317" s="53" t="n"/>
      <c r="F1317" s="54" t="n"/>
      <c r="G1317" s="54" t="n"/>
      <c r="H1317" s="54" t="n"/>
      <c r="I1317" s="54" t="n"/>
      <c r="J1317" s="53" t="n"/>
      <c r="K1317" s="55" t="str">
        <f>IF(COUNTA(A1317:I1317)=0,"",IF(F1317="",IFERROR(INDEX(eq_dur,MATCH(B1317,eq_code,0)),""),F1317))</f>
        <v/>
      </c>
      <c r="L1317" s="55" t="str">
        <f>IF(ISNUMBER(K1317),N(IFERROR(INDEX(eq_pause,MATCH(B1317,eq_code,0)),0))+SUMIFS(st_min,st_date,A1317,st_eq,B1317,st_po,C1317,st_type,"Planifié"),"")</f>
        <v/>
      </c>
      <c r="M1317" s="55" t="str">
        <f>IF(ISNUMBER(K1317),K1317-L1317,"")</f>
        <v/>
      </c>
      <c r="N1317" s="55" t="str">
        <f>IF(ISNUMBER(K1317),SUMIFS(st_min,st_date,A1317,st_eq,B1317,st_po,C1317,st_type,"Non planifié"),"")</f>
        <v/>
      </c>
      <c r="O1317" s="55" t="str">
        <f>IF(ISNUMBER(K1317),M1317-N1317,"")</f>
        <v/>
      </c>
      <c r="P1317" s="55" t="str">
        <f>IF(COUNTA(A1317:I1317)=0,"",N(G1317)+N(H1317)+N(I1317))</f>
        <v/>
      </c>
      <c r="Q1317" s="56" t="str">
        <f>IF(COUNTA(A1317:I1317)=0,"",IF(N(IFERROR(INDEX(art_rate,MATCH(E1317,art_ref,0)),0))&gt;0,N(IFERROR(INDEX(art_rate,MATCH(E1317,art_ref,0)),0)),N(IFERROR(INDEX(po_rate,MATCH(C1317,po_code,0)),0))))</f>
        <v/>
      </c>
      <c r="R1317" s="55" t="str">
        <f>IF(AC1317=1,P1317*60/Q1317,"")</f>
        <v/>
      </c>
      <c r="S1317" s="55" t="str">
        <f>IF(AC1317=1,N(G1317)*60/Q1317,"")</f>
        <v/>
      </c>
      <c r="T1317" s="57" t="str">
        <f>IF(AC1317=1,O1317/M1317,"")</f>
        <v/>
      </c>
      <c r="U1317" s="57" t="str">
        <f>IF(AC1317=1,IF(O1317&gt;0,R1317/O1317,""),"")</f>
        <v/>
      </c>
      <c r="V1317" s="57" t="str">
        <f>IF(AC1317=1,IF(P1317&gt;0,N(G1317)/P1317,""),"")</f>
        <v/>
      </c>
      <c r="W1317" s="57" t="str">
        <f>IF(AC1317=1,S1317/M1317,"")</f>
        <v/>
      </c>
      <c r="X1317" s="57" t="str">
        <f>IF(AC1317=1,S1317/K1317,"")</f>
        <v/>
      </c>
      <c r="Y1317" s="58" t="str">
        <f>IF(W1317="","",IF(W1317&gt;=p_target,"Bon",IF(W1317&gt;=p_alert,"À surveiller","Faible")))</f>
        <v/>
      </c>
      <c r="Z1317" s="58" t="str">
        <f>IF(W1317="","",IF(MIN(IF(T1317="",1,T1317),IF(U1317="",1,U1317),IF(V1317="",1,V1317))&gt;=1,"Aucune",IF(IF(T1317="",1,T1317)&lt;=MIN(IF(U1317="",1,U1317),IF(V1317="",1,V1317)),"Disponibilité",IF(IF(U1317="",1,U1317)&lt;=IF(V1317="",1,V1317),"Performance","Qualité"))))</f>
        <v/>
      </c>
      <c r="AA1317" s="59" t="str">
        <f>IF(AC1317=1,N(H1317)*N(IFERROR(INDEX(art_cost,MATCH(E1317,art_ref,0)),0)),"")</f>
        <v/>
      </c>
      <c r="AB1317" s="58" t="str">
        <f>IF(COUNTA(A1317:I1317)=0,"",IF(N(A1317)&lt;=0,"Date manquante ou invalide",IF(B1317="","Équipe manquante",IF(ISNA(MATCH(B1317,eq_code,0)),"Équipe inconnue",IF(INDEX(eq_check,MATCH(B1317,eq_code,0))&lt;&gt;"OK","Équipe à corriger dans Paramètres",IF(C1317="","Poste manquant",IF(ISNA(MATCH(C1317,po_code,0)),"Poste inconnu",IF(AND(E1317&lt;&gt;"",ISNA(MATCH(E1317,art_ref,0))),"Article inconnu",IF(IF(E1317="",FALSE,INDEX(art_check,MATCH(E1317,art_ref,0))&lt;&gt;"OK"),"Article à corriger (feuille Articles)",IF(COUNTIFS(sj_date,A1317,sj_eq,B1317,sj_po,C1317)&gt;1,"Ligne en double (même jour, équipe et poste)",IF(OR(NOT(ISNUMBER(K1317)),N(K1317)&lt;=0,N(K1317)&gt;1440),"Temps d'ouverture invalide",IF(OR(AND(G1317&lt;&gt;"",NOT(ISNUMBER(G1317))),N(G1317)&lt;0,N(G1317)&lt;&gt;INT(N(G1317)),AND(H1317&lt;&gt;"",NOT(ISNUMBER(H1317))),N(H1317)&lt;0,N(H1317)&lt;&gt;INT(N(H1317)),AND(I1317&lt;&gt;"",NOT(ISNUMBER(I1317))),N(I1317)&lt;0,N(I1317)&lt;&gt;INT(N(I1317))),"Quantité invalide",IF(Q1317&lt;=0,"Cadence manquante (poste ou article)",IF(M1317&lt;=0,"Arrêts planifiés supérieurs au temps d'ouverture",IF(O1317&lt;0,"Arrêts supérieurs au temps requis",IF(AND(P1317&gt;0,O1317=0),"Pièces déclarées sans temps de marche",IF(AND(P1317=0,O1317&gt;0),"Aucune pièce déclarée",IF(P1317*60/Q1317&gt;O1317+0.001,"Cadence dépassée : vérifiez la cadence","OK"))))))))))))))))))</f>
        <v/>
      </c>
      <c r="AC1317">
        <f>IF(OR(AB1317="OK",AB1317="Aucune pièce déclarée",AB1317="Cadence dépassée : vérifiez la cadence"),1,0)</f>
        <v>0.0</v>
      </c>
      <c r="AD1317">
        <f>IF(AND(AC1317=1,A1317&gt;=p_from,A1317&lt;=p_to),1,0)</f>
        <v>0.0</v>
      </c>
      <c r="AE1317">
        <f>IF(AD1317=1,IF(COUNTIFS($A$6:A1317,A1317,$AD$6:AD1317,1)=1,1,0),0)</f>
        <v>0.0</v>
      </c>
      <c r="AF1317" t="str">
        <f>IF(AE1317=1,COUNTIFS(sj_first,1,sj_date,"&lt;"&amp;A1317)+1,"")</f>
        <v/>
      </c>
      <c r="AG1317" t="str">
        <f>IF(AND(AD1317=1,N(W1317)&lt;p_alert),ROUND(W1317,4),"")</f>
        <v/>
      </c>
      <c r="AH1317" t="str">
        <f>IF(AG1317="","",COUNTIF(sj_akey,"&lt;"&amp;AG1317)+COUNTIF($AG$6:AG1317,AG1317))</f>
        <v/>
      </c>
    </row>
    <row r="1318">
      <c r="A1318" s="51" t="n"/>
      <c r="B1318" s="52" t="n"/>
      <c r="C1318" s="52" t="n"/>
      <c r="D1318" s="53" t="n"/>
      <c r="E1318" s="53" t="n"/>
      <c r="F1318" s="54" t="n"/>
      <c r="G1318" s="54" t="n"/>
      <c r="H1318" s="54" t="n"/>
      <c r="I1318" s="54" t="n"/>
      <c r="J1318" s="53" t="n"/>
      <c r="K1318" s="55" t="str">
        <f>IF(COUNTA(A1318:I1318)=0,"",IF(F1318="",IFERROR(INDEX(eq_dur,MATCH(B1318,eq_code,0)),""),F1318))</f>
        <v/>
      </c>
      <c r="L1318" s="55" t="str">
        <f>IF(ISNUMBER(K1318),N(IFERROR(INDEX(eq_pause,MATCH(B1318,eq_code,0)),0))+SUMIFS(st_min,st_date,A1318,st_eq,B1318,st_po,C1318,st_type,"Planifié"),"")</f>
        <v/>
      </c>
      <c r="M1318" s="55" t="str">
        <f>IF(ISNUMBER(K1318),K1318-L1318,"")</f>
        <v/>
      </c>
      <c r="N1318" s="55" t="str">
        <f>IF(ISNUMBER(K1318),SUMIFS(st_min,st_date,A1318,st_eq,B1318,st_po,C1318,st_type,"Non planifié"),"")</f>
        <v/>
      </c>
      <c r="O1318" s="55" t="str">
        <f>IF(ISNUMBER(K1318),M1318-N1318,"")</f>
        <v/>
      </c>
      <c r="P1318" s="55" t="str">
        <f>IF(COUNTA(A1318:I1318)=0,"",N(G1318)+N(H1318)+N(I1318))</f>
        <v/>
      </c>
      <c r="Q1318" s="56" t="str">
        <f>IF(COUNTA(A1318:I1318)=0,"",IF(N(IFERROR(INDEX(art_rate,MATCH(E1318,art_ref,0)),0))&gt;0,N(IFERROR(INDEX(art_rate,MATCH(E1318,art_ref,0)),0)),N(IFERROR(INDEX(po_rate,MATCH(C1318,po_code,0)),0))))</f>
        <v/>
      </c>
      <c r="R1318" s="55" t="str">
        <f>IF(AC1318=1,P1318*60/Q1318,"")</f>
        <v/>
      </c>
      <c r="S1318" s="55" t="str">
        <f>IF(AC1318=1,N(G1318)*60/Q1318,"")</f>
        <v/>
      </c>
      <c r="T1318" s="57" t="str">
        <f>IF(AC1318=1,O1318/M1318,"")</f>
        <v/>
      </c>
      <c r="U1318" s="57" t="str">
        <f>IF(AC1318=1,IF(O1318&gt;0,R1318/O1318,""),"")</f>
        <v/>
      </c>
      <c r="V1318" s="57" t="str">
        <f>IF(AC1318=1,IF(P1318&gt;0,N(G1318)/P1318,""),"")</f>
        <v/>
      </c>
      <c r="W1318" s="57" t="str">
        <f>IF(AC1318=1,S1318/M1318,"")</f>
        <v/>
      </c>
      <c r="X1318" s="57" t="str">
        <f>IF(AC1318=1,S1318/K1318,"")</f>
        <v/>
      </c>
      <c r="Y1318" s="58" t="str">
        <f>IF(W1318="","",IF(W1318&gt;=p_target,"Bon",IF(W1318&gt;=p_alert,"À surveiller","Faible")))</f>
        <v/>
      </c>
      <c r="Z1318" s="58" t="str">
        <f>IF(W1318="","",IF(MIN(IF(T1318="",1,T1318),IF(U1318="",1,U1318),IF(V1318="",1,V1318))&gt;=1,"Aucune",IF(IF(T1318="",1,T1318)&lt;=MIN(IF(U1318="",1,U1318),IF(V1318="",1,V1318)),"Disponibilité",IF(IF(U1318="",1,U1318)&lt;=IF(V1318="",1,V1318),"Performance","Qualité"))))</f>
        <v/>
      </c>
      <c r="AA1318" s="59" t="str">
        <f>IF(AC1318=1,N(H1318)*N(IFERROR(INDEX(art_cost,MATCH(E1318,art_ref,0)),0)),"")</f>
        <v/>
      </c>
      <c r="AB1318" s="58" t="str">
        <f>IF(COUNTA(A1318:I1318)=0,"",IF(N(A1318)&lt;=0,"Date manquante ou invalide",IF(B1318="","Équipe manquante",IF(ISNA(MATCH(B1318,eq_code,0)),"Équipe inconnue",IF(INDEX(eq_check,MATCH(B1318,eq_code,0))&lt;&gt;"OK","Équipe à corriger dans Paramètres",IF(C1318="","Poste manquant",IF(ISNA(MATCH(C1318,po_code,0)),"Poste inconnu",IF(AND(E1318&lt;&gt;"",ISNA(MATCH(E1318,art_ref,0))),"Article inconnu",IF(IF(E1318="",FALSE,INDEX(art_check,MATCH(E1318,art_ref,0))&lt;&gt;"OK"),"Article à corriger (feuille Articles)",IF(COUNTIFS(sj_date,A1318,sj_eq,B1318,sj_po,C1318)&gt;1,"Ligne en double (même jour, équipe et poste)",IF(OR(NOT(ISNUMBER(K1318)),N(K1318)&lt;=0,N(K1318)&gt;1440),"Temps d'ouverture invalide",IF(OR(AND(G1318&lt;&gt;"",NOT(ISNUMBER(G1318))),N(G1318)&lt;0,N(G1318)&lt;&gt;INT(N(G1318)),AND(H1318&lt;&gt;"",NOT(ISNUMBER(H1318))),N(H1318)&lt;0,N(H1318)&lt;&gt;INT(N(H1318)),AND(I1318&lt;&gt;"",NOT(ISNUMBER(I1318))),N(I1318)&lt;0,N(I1318)&lt;&gt;INT(N(I1318))),"Quantité invalide",IF(Q1318&lt;=0,"Cadence manquante (poste ou article)",IF(M1318&lt;=0,"Arrêts planifiés supérieurs au temps d'ouverture",IF(O1318&lt;0,"Arrêts supérieurs au temps requis",IF(AND(P1318&gt;0,O1318=0),"Pièces déclarées sans temps de marche",IF(AND(P1318=0,O1318&gt;0),"Aucune pièce déclarée",IF(P1318*60/Q1318&gt;O1318+0.001,"Cadence dépassée : vérifiez la cadence","OK"))))))))))))))))))</f>
        <v/>
      </c>
      <c r="AC1318">
        <f>IF(OR(AB1318="OK",AB1318="Aucune pièce déclarée",AB1318="Cadence dépassée : vérifiez la cadence"),1,0)</f>
        <v>0.0</v>
      </c>
      <c r="AD1318">
        <f>IF(AND(AC1318=1,A1318&gt;=p_from,A1318&lt;=p_to),1,0)</f>
        <v>0.0</v>
      </c>
      <c r="AE1318">
        <f>IF(AD1318=1,IF(COUNTIFS($A$6:A1318,A1318,$AD$6:AD1318,1)=1,1,0),0)</f>
        <v>0.0</v>
      </c>
      <c r="AF1318" t="str">
        <f>IF(AE1318=1,COUNTIFS(sj_first,1,sj_date,"&lt;"&amp;A1318)+1,"")</f>
        <v/>
      </c>
      <c r="AG1318" t="str">
        <f>IF(AND(AD1318=1,N(W1318)&lt;p_alert),ROUND(W1318,4),"")</f>
        <v/>
      </c>
      <c r="AH1318" t="str">
        <f>IF(AG1318="","",COUNTIF(sj_akey,"&lt;"&amp;AG1318)+COUNTIF($AG$6:AG1318,AG1318))</f>
        <v/>
      </c>
    </row>
    <row r="1319">
      <c r="A1319" s="51" t="n"/>
      <c r="B1319" s="52" t="n"/>
      <c r="C1319" s="52" t="n"/>
      <c r="D1319" s="53" t="n"/>
      <c r="E1319" s="53" t="n"/>
      <c r="F1319" s="54" t="n"/>
      <c r="G1319" s="54" t="n"/>
      <c r="H1319" s="54" t="n"/>
      <c r="I1319" s="54" t="n"/>
      <c r="J1319" s="53" t="n"/>
      <c r="K1319" s="55" t="str">
        <f>IF(COUNTA(A1319:I1319)=0,"",IF(F1319="",IFERROR(INDEX(eq_dur,MATCH(B1319,eq_code,0)),""),F1319))</f>
        <v/>
      </c>
      <c r="L1319" s="55" t="str">
        <f>IF(ISNUMBER(K1319),N(IFERROR(INDEX(eq_pause,MATCH(B1319,eq_code,0)),0))+SUMIFS(st_min,st_date,A1319,st_eq,B1319,st_po,C1319,st_type,"Planifié"),"")</f>
        <v/>
      </c>
      <c r="M1319" s="55" t="str">
        <f>IF(ISNUMBER(K1319),K1319-L1319,"")</f>
        <v/>
      </c>
      <c r="N1319" s="55" t="str">
        <f>IF(ISNUMBER(K1319),SUMIFS(st_min,st_date,A1319,st_eq,B1319,st_po,C1319,st_type,"Non planifié"),"")</f>
        <v/>
      </c>
      <c r="O1319" s="55" t="str">
        <f>IF(ISNUMBER(K1319),M1319-N1319,"")</f>
        <v/>
      </c>
      <c r="P1319" s="55" t="str">
        <f>IF(COUNTA(A1319:I1319)=0,"",N(G1319)+N(H1319)+N(I1319))</f>
        <v/>
      </c>
      <c r="Q1319" s="56" t="str">
        <f>IF(COUNTA(A1319:I1319)=0,"",IF(N(IFERROR(INDEX(art_rate,MATCH(E1319,art_ref,0)),0))&gt;0,N(IFERROR(INDEX(art_rate,MATCH(E1319,art_ref,0)),0)),N(IFERROR(INDEX(po_rate,MATCH(C1319,po_code,0)),0))))</f>
        <v/>
      </c>
      <c r="R1319" s="55" t="str">
        <f>IF(AC1319=1,P1319*60/Q1319,"")</f>
        <v/>
      </c>
      <c r="S1319" s="55" t="str">
        <f>IF(AC1319=1,N(G1319)*60/Q1319,"")</f>
        <v/>
      </c>
      <c r="T1319" s="57" t="str">
        <f>IF(AC1319=1,O1319/M1319,"")</f>
        <v/>
      </c>
      <c r="U1319" s="57" t="str">
        <f>IF(AC1319=1,IF(O1319&gt;0,R1319/O1319,""),"")</f>
        <v/>
      </c>
      <c r="V1319" s="57" t="str">
        <f>IF(AC1319=1,IF(P1319&gt;0,N(G1319)/P1319,""),"")</f>
        <v/>
      </c>
      <c r="W1319" s="57" t="str">
        <f>IF(AC1319=1,S1319/M1319,"")</f>
        <v/>
      </c>
      <c r="X1319" s="57" t="str">
        <f>IF(AC1319=1,S1319/K1319,"")</f>
        <v/>
      </c>
      <c r="Y1319" s="58" t="str">
        <f>IF(W1319="","",IF(W1319&gt;=p_target,"Bon",IF(W1319&gt;=p_alert,"À surveiller","Faible")))</f>
        <v/>
      </c>
      <c r="Z1319" s="58" t="str">
        <f>IF(W1319="","",IF(MIN(IF(T1319="",1,T1319),IF(U1319="",1,U1319),IF(V1319="",1,V1319))&gt;=1,"Aucune",IF(IF(T1319="",1,T1319)&lt;=MIN(IF(U1319="",1,U1319),IF(V1319="",1,V1319)),"Disponibilité",IF(IF(U1319="",1,U1319)&lt;=IF(V1319="",1,V1319),"Performance","Qualité"))))</f>
        <v/>
      </c>
      <c r="AA1319" s="59" t="str">
        <f>IF(AC1319=1,N(H1319)*N(IFERROR(INDEX(art_cost,MATCH(E1319,art_ref,0)),0)),"")</f>
        <v/>
      </c>
      <c r="AB1319" s="58" t="str">
        <f>IF(COUNTA(A1319:I1319)=0,"",IF(N(A1319)&lt;=0,"Date manquante ou invalide",IF(B1319="","Équipe manquante",IF(ISNA(MATCH(B1319,eq_code,0)),"Équipe inconnue",IF(INDEX(eq_check,MATCH(B1319,eq_code,0))&lt;&gt;"OK","Équipe à corriger dans Paramètres",IF(C1319="","Poste manquant",IF(ISNA(MATCH(C1319,po_code,0)),"Poste inconnu",IF(AND(E1319&lt;&gt;"",ISNA(MATCH(E1319,art_ref,0))),"Article inconnu",IF(IF(E1319="",FALSE,INDEX(art_check,MATCH(E1319,art_ref,0))&lt;&gt;"OK"),"Article à corriger (feuille Articles)",IF(COUNTIFS(sj_date,A1319,sj_eq,B1319,sj_po,C1319)&gt;1,"Ligne en double (même jour, équipe et poste)",IF(OR(NOT(ISNUMBER(K1319)),N(K1319)&lt;=0,N(K1319)&gt;1440),"Temps d'ouverture invalide",IF(OR(AND(G1319&lt;&gt;"",NOT(ISNUMBER(G1319))),N(G1319)&lt;0,N(G1319)&lt;&gt;INT(N(G1319)),AND(H1319&lt;&gt;"",NOT(ISNUMBER(H1319))),N(H1319)&lt;0,N(H1319)&lt;&gt;INT(N(H1319)),AND(I1319&lt;&gt;"",NOT(ISNUMBER(I1319))),N(I1319)&lt;0,N(I1319)&lt;&gt;INT(N(I1319))),"Quantité invalide",IF(Q1319&lt;=0,"Cadence manquante (poste ou article)",IF(M1319&lt;=0,"Arrêts planifiés supérieurs au temps d'ouverture",IF(O1319&lt;0,"Arrêts supérieurs au temps requis",IF(AND(P1319&gt;0,O1319=0),"Pièces déclarées sans temps de marche",IF(AND(P1319=0,O1319&gt;0),"Aucune pièce déclarée",IF(P1319*60/Q1319&gt;O1319+0.001,"Cadence dépassée : vérifiez la cadence","OK"))))))))))))))))))</f>
        <v/>
      </c>
      <c r="AC1319">
        <f>IF(OR(AB1319="OK",AB1319="Aucune pièce déclarée",AB1319="Cadence dépassée : vérifiez la cadence"),1,0)</f>
        <v>0.0</v>
      </c>
      <c r="AD1319">
        <f>IF(AND(AC1319=1,A1319&gt;=p_from,A1319&lt;=p_to),1,0)</f>
        <v>0.0</v>
      </c>
      <c r="AE1319">
        <f>IF(AD1319=1,IF(COUNTIFS($A$6:A1319,A1319,$AD$6:AD1319,1)=1,1,0),0)</f>
        <v>0.0</v>
      </c>
      <c r="AF1319" t="str">
        <f>IF(AE1319=1,COUNTIFS(sj_first,1,sj_date,"&lt;"&amp;A1319)+1,"")</f>
        <v/>
      </c>
      <c r="AG1319" t="str">
        <f>IF(AND(AD1319=1,N(W1319)&lt;p_alert),ROUND(W1319,4),"")</f>
        <v/>
      </c>
      <c r="AH1319" t="str">
        <f>IF(AG1319="","",COUNTIF(sj_akey,"&lt;"&amp;AG1319)+COUNTIF($AG$6:AG1319,AG1319))</f>
        <v/>
      </c>
    </row>
    <row r="1320">
      <c r="A1320" s="51" t="n"/>
      <c r="B1320" s="52" t="n"/>
      <c r="C1320" s="52" t="n"/>
      <c r="D1320" s="53" t="n"/>
      <c r="E1320" s="53" t="n"/>
      <c r="F1320" s="54" t="n"/>
      <c r="G1320" s="54" t="n"/>
      <c r="H1320" s="54" t="n"/>
      <c r="I1320" s="54" t="n"/>
      <c r="J1320" s="53" t="n"/>
      <c r="K1320" s="55" t="str">
        <f>IF(COUNTA(A1320:I1320)=0,"",IF(F1320="",IFERROR(INDEX(eq_dur,MATCH(B1320,eq_code,0)),""),F1320))</f>
        <v/>
      </c>
      <c r="L1320" s="55" t="str">
        <f>IF(ISNUMBER(K1320),N(IFERROR(INDEX(eq_pause,MATCH(B1320,eq_code,0)),0))+SUMIFS(st_min,st_date,A1320,st_eq,B1320,st_po,C1320,st_type,"Planifié"),"")</f>
        <v/>
      </c>
      <c r="M1320" s="55" t="str">
        <f>IF(ISNUMBER(K1320),K1320-L1320,"")</f>
        <v/>
      </c>
      <c r="N1320" s="55" t="str">
        <f>IF(ISNUMBER(K1320),SUMIFS(st_min,st_date,A1320,st_eq,B1320,st_po,C1320,st_type,"Non planifié"),"")</f>
        <v/>
      </c>
      <c r="O1320" s="55" t="str">
        <f>IF(ISNUMBER(K1320),M1320-N1320,"")</f>
        <v/>
      </c>
      <c r="P1320" s="55" t="str">
        <f>IF(COUNTA(A1320:I1320)=0,"",N(G1320)+N(H1320)+N(I1320))</f>
        <v/>
      </c>
      <c r="Q1320" s="56" t="str">
        <f>IF(COUNTA(A1320:I1320)=0,"",IF(N(IFERROR(INDEX(art_rate,MATCH(E1320,art_ref,0)),0))&gt;0,N(IFERROR(INDEX(art_rate,MATCH(E1320,art_ref,0)),0)),N(IFERROR(INDEX(po_rate,MATCH(C1320,po_code,0)),0))))</f>
        <v/>
      </c>
      <c r="R1320" s="55" t="str">
        <f>IF(AC1320=1,P1320*60/Q1320,"")</f>
        <v/>
      </c>
      <c r="S1320" s="55" t="str">
        <f>IF(AC1320=1,N(G1320)*60/Q1320,"")</f>
        <v/>
      </c>
      <c r="T1320" s="57" t="str">
        <f>IF(AC1320=1,O1320/M1320,"")</f>
        <v/>
      </c>
      <c r="U1320" s="57" t="str">
        <f>IF(AC1320=1,IF(O1320&gt;0,R1320/O1320,""),"")</f>
        <v/>
      </c>
      <c r="V1320" s="57" t="str">
        <f>IF(AC1320=1,IF(P1320&gt;0,N(G1320)/P1320,""),"")</f>
        <v/>
      </c>
      <c r="W1320" s="57" t="str">
        <f>IF(AC1320=1,S1320/M1320,"")</f>
        <v/>
      </c>
      <c r="X1320" s="57" t="str">
        <f>IF(AC1320=1,S1320/K1320,"")</f>
        <v/>
      </c>
      <c r="Y1320" s="58" t="str">
        <f>IF(W1320="","",IF(W1320&gt;=p_target,"Bon",IF(W1320&gt;=p_alert,"À surveiller","Faible")))</f>
        <v/>
      </c>
      <c r="Z1320" s="58" t="str">
        <f>IF(W1320="","",IF(MIN(IF(T1320="",1,T1320),IF(U1320="",1,U1320),IF(V1320="",1,V1320))&gt;=1,"Aucune",IF(IF(T1320="",1,T1320)&lt;=MIN(IF(U1320="",1,U1320),IF(V1320="",1,V1320)),"Disponibilité",IF(IF(U1320="",1,U1320)&lt;=IF(V1320="",1,V1320),"Performance","Qualité"))))</f>
        <v/>
      </c>
      <c r="AA1320" s="59" t="str">
        <f>IF(AC1320=1,N(H1320)*N(IFERROR(INDEX(art_cost,MATCH(E1320,art_ref,0)),0)),"")</f>
        <v/>
      </c>
      <c r="AB1320" s="58" t="str">
        <f>IF(COUNTA(A1320:I1320)=0,"",IF(N(A1320)&lt;=0,"Date manquante ou invalide",IF(B1320="","Équipe manquante",IF(ISNA(MATCH(B1320,eq_code,0)),"Équipe inconnue",IF(INDEX(eq_check,MATCH(B1320,eq_code,0))&lt;&gt;"OK","Équipe à corriger dans Paramètres",IF(C1320="","Poste manquant",IF(ISNA(MATCH(C1320,po_code,0)),"Poste inconnu",IF(AND(E1320&lt;&gt;"",ISNA(MATCH(E1320,art_ref,0))),"Article inconnu",IF(IF(E1320="",FALSE,INDEX(art_check,MATCH(E1320,art_ref,0))&lt;&gt;"OK"),"Article à corriger (feuille Articles)",IF(COUNTIFS(sj_date,A1320,sj_eq,B1320,sj_po,C1320)&gt;1,"Ligne en double (même jour, équipe et poste)",IF(OR(NOT(ISNUMBER(K1320)),N(K1320)&lt;=0,N(K1320)&gt;1440),"Temps d'ouverture invalide",IF(OR(AND(G1320&lt;&gt;"",NOT(ISNUMBER(G1320))),N(G1320)&lt;0,N(G1320)&lt;&gt;INT(N(G1320)),AND(H1320&lt;&gt;"",NOT(ISNUMBER(H1320))),N(H1320)&lt;0,N(H1320)&lt;&gt;INT(N(H1320)),AND(I1320&lt;&gt;"",NOT(ISNUMBER(I1320))),N(I1320)&lt;0,N(I1320)&lt;&gt;INT(N(I1320))),"Quantité invalide",IF(Q1320&lt;=0,"Cadence manquante (poste ou article)",IF(M1320&lt;=0,"Arrêts planifiés supérieurs au temps d'ouverture",IF(O1320&lt;0,"Arrêts supérieurs au temps requis",IF(AND(P1320&gt;0,O1320=0),"Pièces déclarées sans temps de marche",IF(AND(P1320=0,O1320&gt;0),"Aucune pièce déclarée",IF(P1320*60/Q1320&gt;O1320+0.001,"Cadence dépassée : vérifiez la cadence","OK"))))))))))))))))))</f>
        <v/>
      </c>
      <c r="AC1320">
        <f>IF(OR(AB1320="OK",AB1320="Aucune pièce déclarée",AB1320="Cadence dépassée : vérifiez la cadence"),1,0)</f>
        <v>0.0</v>
      </c>
      <c r="AD1320">
        <f>IF(AND(AC1320=1,A1320&gt;=p_from,A1320&lt;=p_to),1,0)</f>
        <v>0.0</v>
      </c>
      <c r="AE1320">
        <f>IF(AD1320=1,IF(COUNTIFS($A$6:A1320,A1320,$AD$6:AD1320,1)=1,1,0),0)</f>
        <v>0.0</v>
      </c>
      <c r="AF1320" t="str">
        <f>IF(AE1320=1,COUNTIFS(sj_first,1,sj_date,"&lt;"&amp;A1320)+1,"")</f>
        <v/>
      </c>
      <c r="AG1320" t="str">
        <f>IF(AND(AD1320=1,N(W1320)&lt;p_alert),ROUND(W1320,4),"")</f>
        <v/>
      </c>
      <c r="AH1320" t="str">
        <f>IF(AG1320="","",COUNTIF(sj_akey,"&lt;"&amp;AG1320)+COUNTIF($AG$6:AG1320,AG1320))</f>
        <v/>
      </c>
    </row>
    <row r="1321">
      <c r="A1321" s="51" t="n"/>
      <c r="B1321" s="52" t="n"/>
      <c r="C1321" s="52" t="n"/>
      <c r="D1321" s="53" t="n"/>
      <c r="E1321" s="53" t="n"/>
      <c r="F1321" s="54" t="n"/>
      <c r="G1321" s="54" t="n"/>
      <c r="H1321" s="54" t="n"/>
      <c r="I1321" s="54" t="n"/>
      <c r="J1321" s="53" t="n"/>
      <c r="K1321" s="55" t="str">
        <f>IF(COUNTA(A1321:I1321)=0,"",IF(F1321="",IFERROR(INDEX(eq_dur,MATCH(B1321,eq_code,0)),""),F1321))</f>
        <v/>
      </c>
      <c r="L1321" s="55" t="str">
        <f>IF(ISNUMBER(K1321),N(IFERROR(INDEX(eq_pause,MATCH(B1321,eq_code,0)),0))+SUMIFS(st_min,st_date,A1321,st_eq,B1321,st_po,C1321,st_type,"Planifié"),"")</f>
        <v/>
      </c>
      <c r="M1321" s="55" t="str">
        <f>IF(ISNUMBER(K1321),K1321-L1321,"")</f>
        <v/>
      </c>
      <c r="N1321" s="55" t="str">
        <f>IF(ISNUMBER(K1321),SUMIFS(st_min,st_date,A1321,st_eq,B1321,st_po,C1321,st_type,"Non planifié"),"")</f>
        <v/>
      </c>
      <c r="O1321" s="55" t="str">
        <f>IF(ISNUMBER(K1321),M1321-N1321,"")</f>
        <v/>
      </c>
      <c r="P1321" s="55" t="str">
        <f>IF(COUNTA(A1321:I1321)=0,"",N(G1321)+N(H1321)+N(I1321))</f>
        <v/>
      </c>
      <c r="Q1321" s="56" t="str">
        <f>IF(COUNTA(A1321:I1321)=0,"",IF(N(IFERROR(INDEX(art_rate,MATCH(E1321,art_ref,0)),0))&gt;0,N(IFERROR(INDEX(art_rate,MATCH(E1321,art_ref,0)),0)),N(IFERROR(INDEX(po_rate,MATCH(C1321,po_code,0)),0))))</f>
        <v/>
      </c>
      <c r="R1321" s="55" t="str">
        <f>IF(AC1321=1,P1321*60/Q1321,"")</f>
        <v/>
      </c>
      <c r="S1321" s="55" t="str">
        <f>IF(AC1321=1,N(G1321)*60/Q1321,"")</f>
        <v/>
      </c>
      <c r="T1321" s="57" t="str">
        <f>IF(AC1321=1,O1321/M1321,"")</f>
        <v/>
      </c>
      <c r="U1321" s="57" t="str">
        <f>IF(AC1321=1,IF(O1321&gt;0,R1321/O1321,""),"")</f>
        <v/>
      </c>
      <c r="V1321" s="57" t="str">
        <f>IF(AC1321=1,IF(P1321&gt;0,N(G1321)/P1321,""),"")</f>
        <v/>
      </c>
      <c r="W1321" s="57" t="str">
        <f>IF(AC1321=1,S1321/M1321,"")</f>
        <v/>
      </c>
      <c r="X1321" s="57" t="str">
        <f>IF(AC1321=1,S1321/K1321,"")</f>
        <v/>
      </c>
      <c r="Y1321" s="58" t="str">
        <f>IF(W1321="","",IF(W1321&gt;=p_target,"Bon",IF(W1321&gt;=p_alert,"À surveiller","Faible")))</f>
        <v/>
      </c>
      <c r="Z1321" s="58" t="str">
        <f>IF(W1321="","",IF(MIN(IF(T1321="",1,T1321),IF(U1321="",1,U1321),IF(V1321="",1,V1321))&gt;=1,"Aucune",IF(IF(T1321="",1,T1321)&lt;=MIN(IF(U1321="",1,U1321),IF(V1321="",1,V1321)),"Disponibilité",IF(IF(U1321="",1,U1321)&lt;=IF(V1321="",1,V1321),"Performance","Qualité"))))</f>
        <v/>
      </c>
      <c r="AA1321" s="59" t="str">
        <f>IF(AC1321=1,N(H1321)*N(IFERROR(INDEX(art_cost,MATCH(E1321,art_ref,0)),0)),"")</f>
        <v/>
      </c>
      <c r="AB1321" s="58" t="str">
        <f>IF(COUNTA(A1321:I1321)=0,"",IF(N(A1321)&lt;=0,"Date manquante ou invalide",IF(B1321="","Équipe manquante",IF(ISNA(MATCH(B1321,eq_code,0)),"Équipe inconnue",IF(INDEX(eq_check,MATCH(B1321,eq_code,0))&lt;&gt;"OK","Équipe à corriger dans Paramètres",IF(C1321="","Poste manquant",IF(ISNA(MATCH(C1321,po_code,0)),"Poste inconnu",IF(AND(E1321&lt;&gt;"",ISNA(MATCH(E1321,art_ref,0))),"Article inconnu",IF(IF(E1321="",FALSE,INDEX(art_check,MATCH(E1321,art_ref,0))&lt;&gt;"OK"),"Article à corriger (feuille Articles)",IF(COUNTIFS(sj_date,A1321,sj_eq,B1321,sj_po,C1321)&gt;1,"Ligne en double (même jour, équipe et poste)",IF(OR(NOT(ISNUMBER(K1321)),N(K1321)&lt;=0,N(K1321)&gt;1440),"Temps d'ouverture invalide",IF(OR(AND(G1321&lt;&gt;"",NOT(ISNUMBER(G1321))),N(G1321)&lt;0,N(G1321)&lt;&gt;INT(N(G1321)),AND(H1321&lt;&gt;"",NOT(ISNUMBER(H1321))),N(H1321)&lt;0,N(H1321)&lt;&gt;INT(N(H1321)),AND(I1321&lt;&gt;"",NOT(ISNUMBER(I1321))),N(I1321)&lt;0,N(I1321)&lt;&gt;INT(N(I1321))),"Quantité invalide",IF(Q1321&lt;=0,"Cadence manquante (poste ou article)",IF(M1321&lt;=0,"Arrêts planifiés supérieurs au temps d'ouverture",IF(O1321&lt;0,"Arrêts supérieurs au temps requis",IF(AND(P1321&gt;0,O1321=0),"Pièces déclarées sans temps de marche",IF(AND(P1321=0,O1321&gt;0),"Aucune pièce déclarée",IF(P1321*60/Q1321&gt;O1321+0.001,"Cadence dépassée : vérifiez la cadence","OK"))))))))))))))))))</f>
        <v/>
      </c>
      <c r="AC1321">
        <f>IF(OR(AB1321="OK",AB1321="Aucune pièce déclarée",AB1321="Cadence dépassée : vérifiez la cadence"),1,0)</f>
        <v>0.0</v>
      </c>
      <c r="AD1321">
        <f>IF(AND(AC1321=1,A1321&gt;=p_from,A1321&lt;=p_to),1,0)</f>
        <v>0.0</v>
      </c>
      <c r="AE1321">
        <f>IF(AD1321=1,IF(COUNTIFS($A$6:A1321,A1321,$AD$6:AD1321,1)=1,1,0),0)</f>
        <v>0.0</v>
      </c>
      <c r="AF1321" t="str">
        <f>IF(AE1321=1,COUNTIFS(sj_first,1,sj_date,"&lt;"&amp;A1321)+1,"")</f>
        <v/>
      </c>
      <c r="AG1321" t="str">
        <f>IF(AND(AD1321=1,N(W1321)&lt;p_alert),ROUND(W1321,4),"")</f>
        <v/>
      </c>
      <c r="AH1321" t="str">
        <f>IF(AG1321="","",COUNTIF(sj_akey,"&lt;"&amp;AG1321)+COUNTIF($AG$6:AG1321,AG1321))</f>
        <v/>
      </c>
    </row>
    <row r="1322">
      <c r="A1322" s="51" t="n"/>
      <c r="B1322" s="52" t="n"/>
      <c r="C1322" s="52" t="n"/>
      <c r="D1322" s="53" t="n"/>
      <c r="E1322" s="53" t="n"/>
      <c r="F1322" s="54" t="n"/>
      <c r="G1322" s="54" t="n"/>
      <c r="H1322" s="54" t="n"/>
      <c r="I1322" s="54" t="n"/>
      <c r="J1322" s="53" t="n"/>
      <c r="K1322" s="55" t="str">
        <f>IF(COUNTA(A1322:I1322)=0,"",IF(F1322="",IFERROR(INDEX(eq_dur,MATCH(B1322,eq_code,0)),""),F1322))</f>
        <v/>
      </c>
      <c r="L1322" s="55" t="str">
        <f>IF(ISNUMBER(K1322),N(IFERROR(INDEX(eq_pause,MATCH(B1322,eq_code,0)),0))+SUMIFS(st_min,st_date,A1322,st_eq,B1322,st_po,C1322,st_type,"Planifié"),"")</f>
        <v/>
      </c>
      <c r="M1322" s="55" t="str">
        <f>IF(ISNUMBER(K1322),K1322-L1322,"")</f>
        <v/>
      </c>
      <c r="N1322" s="55" t="str">
        <f>IF(ISNUMBER(K1322),SUMIFS(st_min,st_date,A1322,st_eq,B1322,st_po,C1322,st_type,"Non planifié"),"")</f>
        <v/>
      </c>
      <c r="O1322" s="55" t="str">
        <f>IF(ISNUMBER(K1322),M1322-N1322,"")</f>
        <v/>
      </c>
      <c r="P1322" s="55" t="str">
        <f>IF(COUNTA(A1322:I1322)=0,"",N(G1322)+N(H1322)+N(I1322))</f>
        <v/>
      </c>
      <c r="Q1322" s="56" t="str">
        <f>IF(COUNTA(A1322:I1322)=0,"",IF(N(IFERROR(INDEX(art_rate,MATCH(E1322,art_ref,0)),0))&gt;0,N(IFERROR(INDEX(art_rate,MATCH(E1322,art_ref,0)),0)),N(IFERROR(INDEX(po_rate,MATCH(C1322,po_code,0)),0))))</f>
        <v/>
      </c>
      <c r="R1322" s="55" t="str">
        <f>IF(AC1322=1,P1322*60/Q1322,"")</f>
        <v/>
      </c>
      <c r="S1322" s="55" t="str">
        <f>IF(AC1322=1,N(G1322)*60/Q1322,"")</f>
        <v/>
      </c>
      <c r="T1322" s="57" t="str">
        <f>IF(AC1322=1,O1322/M1322,"")</f>
        <v/>
      </c>
      <c r="U1322" s="57" t="str">
        <f>IF(AC1322=1,IF(O1322&gt;0,R1322/O1322,""),"")</f>
        <v/>
      </c>
      <c r="V1322" s="57" t="str">
        <f>IF(AC1322=1,IF(P1322&gt;0,N(G1322)/P1322,""),"")</f>
        <v/>
      </c>
      <c r="W1322" s="57" t="str">
        <f>IF(AC1322=1,S1322/M1322,"")</f>
        <v/>
      </c>
      <c r="X1322" s="57" t="str">
        <f>IF(AC1322=1,S1322/K1322,"")</f>
        <v/>
      </c>
      <c r="Y1322" s="58" t="str">
        <f>IF(W1322="","",IF(W1322&gt;=p_target,"Bon",IF(W1322&gt;=p_alert,"À surveiller","Faible")))</f>
        <v/>
      </c>
      <c r="Z1322" s="58" t="str">
        <f>IF(W1322="","",IF(MIN(IF(T1322="",1,T1322),IF(U1322="",1,U1322),IF(V1322="",1,V1322))&gt;=1,"Aucune",IF(IF(T1322="",1,T1322)&lt;=MIN(IF(U1322="",1,U1322),IF(V1322="",1,V1322)),"Disponibilité",IF(IF(U1322="",1,U1322)&lt;=IF(V1322="",1,V1322),"Performance","Qualité"))))</f>
        <v/>
      </c>
      <c r="AA1322" s="59" t="str">
        <f>IF(AC1322=1,N(H1322)*N(IFERROR(INDEX(art_cost,MATCH(E1322,art_ref,0)),0)),"")</f>
        <v/>
      </c>
      <c r="AB1322" s="58" t="str">
        <f>IF(COUNTA(A1322:I1322)=0,"",IF(N(A1322)&lt;=0,"Date manquante ou invalide",IF(B1322="","Équipe manquante",IF(ISNA(MATCH(B1322,eq_code,0)),"Équipe inconnue",IF(INDEX(eq_check,MATCH(B1322,eq_code,0))&lt;&gt;"OK","Équipe à corriger dans Paramètres",IF(C1322="","Poste manquant",IF(ISNA(MATCH(C1322,po_code,0)),"Poste inconnu",IF(AND(E1322&lt;&gt;"",ISNA(MATCH(E1322,art_ref,0))),"Article inconnu",IF(IF(E1322="",FALSE,INDEX(art_check,MATCH(E1322,art_ref,0))&lt;&gt;"OK"),"Article à corriger (feuille Articles)",IF(COUNTIFS(sj_date,A1322,sj_eq,B1322,sj_po,C1322)&gt;1,"Ligne en double (même jour, équipe et poste)",IF(OR(NOT(ISNUMBER(K1322)),N(K1322)&lt;=0,N(K1322)&gt;1440),"Temps d'ouverture invalide",IF(OR(AND(G1322&lt;&gt;"",NOT(ISNUMBER(G1322))),N(G1322)&lt;0,N(G1322)&lt;&gt;INT(N(G1322)),AND(H1322&lt;&gt;"",NOT(ISNUMBER(H1322))),N(H1322)&lt;0,N(H1322)&lt;&gt;INT(N(H1322)),AND(I1322&lt;&gt;"",NOT(ISNUMBER(I1322))),N(I1322)&lt;0,N(I1322)&lt;&gt;INT(N(I1322))),"Quantité invalide",IF(Q1322&lt;=0,"Cadence manquante (poste ou article)",IF(M1322&lt;=0,"Arrêts planifiés supérieurs au temps d'ouverture",IF(O1322&lt;0,"Arrêts supérieurs au temps requis",IF(AND(P1322&gt;0,O1322=0),"Pièces déclarées sans temps de marche",IF(AND(P1322=0,O1322&gt;0),"Aucune pièce déclarée",IF(P1322*60/Q1322&gt;O1322+0.001,"Cadence dépassée : vérifiez la cadence","OK"))))))))))))))))))</f>
        <v/>
      </c>
      <c r="AC1322">
        <f>IF(OR(AB1322="OK",AB1322="Aucune pièce déclarée",AB1322="Cadence dépassée : vérifiez la cadence"),1,0)</f>
        <v>0.0</v>
      </c>
      <c r="AD1322">
        <f>IF(AND(AC1322=1,A1322&gt;=p_from,A1322&lt;=p_to),1,0)</f>
        <v>0.0</v>
      </c>
      <c r="AE1322">
        <f>IF(AD1322=1,IF(COUNTIFS($A$6:A1322,A1322,$AD$6:AD1322,1)=1,1,0),0)</f>
        <v>0.0</v>
      </c>
      <c r="AF1322" t="str">
        <f>IF(AE1322=1,COUNTIFS(sj_first,1,sj_date,"&lt;"&amp;A1322)+1,"")</f>
        <v/>
      </c>
      <c r="AG1322" t="str">
        <f>IF(AND(AD1322=1,N(W1322)&lt;p_alert),ROUND(W1322,4),"")</f>
        <v/>
      </c>
      <c r="AH1322" t="str">
        <f>IF(AG1322="","",COUNTIF(sj_akey,"&lt;"&amp;AG1322)+COUNTIF($AG$6:AG1322,AG1322))</f>
        <v/>
      </c>
    </row>
    <row r="1323">
      <c r="A1323" s="51" t="n"/>
      <c r="B1323" s="52" t="n"/>
      <c r="C1323" s="52" t="n"/>
      <c r="D1323" s="53" t="n"/>
      <c r="E1323" s="53" t="n"/>
      <c r="F1323" s="54" t="n"/>
      <c r="G1323" s="54" t="n"/>
      <c r="H1323" s="54" t="n"/>
      <c r="I1323" s="54" t="n"/>
      <c r="J1323" s="53" t="n"/>
      <c r="K1323" s="55" t="str">
        <f>IF(COUNTA(A1323:I1323)=0,"",IF(F1323="",IFERROR(INDEX(eq_dur,MATCH(B1323,eq_code,0)),""),F1323))</f>
        <v/>
      </c>
      <c r="L1323" s="55" t="str">
        <f>IF(ISNUMBER(K1323),N(IFERROR(INDEX(eq_pause,MATCH(B1323,eq_code,0)),0))+SUMIFS(st_min,st_date,A1323,st_eq,B1323,st_po,C1323,st_type,"Planifié"),"")</f>
        <v/>
      </c>
      <c r="M1323" s="55" t="str">
        <f>IF(ISNUMBER(K1323),K1323-L1323,"")</f>
        <v/>
      </c>
      <c r="N1323" s="55" t="str">
        <f>IF(ISNUMBER(K1323),SUMIFS(st_min,st_date,A1323,st_eq,B1323,st_po,C1323,st_type,"Non planifié"),"")</f>
        <v/>
      </c>
      <c r="O1323" s="55" t="str">
        <f>IF(ISNUMBER(K1323),M1323-N1323,"")</f>
        <v/>
      </c>
      <c r="P1323" s="55" t="str">
        <f>IF(COUNTA(A1323:I1323)=0,"",N(G1323)+N(H1323)+N(I1323))</f>
        <v/>
      </c>
      <c r="Q1323" s="56" t="str">
        <f>IF(COUNTA(A1323:I1323)=0,"",IF(N(IFERROR(INDEX(art_rate,MATCH(E1323,art_ref,0)),0))&gt;0,N(IFERROR(INDEX(art_rate,MATCH(E1323,art_ref,0)),0)),N(IFERROR(INDEX(po_rate,MATCH(C1323,po_code,0)),0))))</f>
        <v/>
      </c>
      <c r="R1323" s="55" t="str">
        <f>IF(AC1323=1,P1323*60/Q1323,"")</f>
        <v/>
      </c>
      <c r="S1323" s="55" t="str">
        <f>IF(AC1323=1,N(G1323)*60/Q1323,"")</f>
        <v/>
      </c>
      <c r="T1323" s="57" t="str">
        <f>IF(AC1323=1,O1323/M1323,"")</f>
        <v/>
      </c>
      <c r="U1323" s="57" t="str">
        <f>IF(AC1323=1,IF(O1323&gt;0,R1323/O1323,""),"")</f>
        <v/>
      </c>
      <c r="V1323" s="57" t="str">
        <f>IF(AC1323=1,IF(P1323&gt;0,N(G1323)/P1323,""),"")</f>
        <v/>
      </c>
      <c r="W1323" s="57" t="str">
        <f>IF(AC1323=1,S1323/M1323,"")</f>
        <v/>
      </c>
      <c r="X1323" s="57" t="str">
        <f>IF(AC1323=1,S1323/K1323,"")</f>
        <v/>
      </c>
      <c r="Y1323" s="58" t="str">
        <f>IF(W1323="","",IF(W1323&gt;=p_target,"Bon",IF(W1323&gt;=p_alert,"À surveiller","Faible")))</f>
        <v/>
      </c>
      <c r="Z1323" s="58" t="str">
        <f>IF(W1323="","",IF(MIN(IF(T1323="",1,T1323),IF(U1323="",1,U1323),IF(V1323="",1,V1323))&gt;=1,"Aucune",IF(IF(T1323="",1,T1323)&lt;=MIN(IF(U1323="",1,U1323),IF(V1323="",1,V1323)),"Disponibilité",IF(IF(U1323="",1,U1323)&lt;=IF(V1323="",1,V1323),"Performance","Qualité"))))</f>
        <v/>
      </c>
      <c r="AA1323" s="59" t="str">
        <f>IF(AC1323=1,N(H1323)*N(IFERROR(INDEX(art_cost,MATCH(E1323,art_ref,0)),0)),"")</f>
        <v/>
      </c>
      <c r="AB1323" s="58" t="str">
        <f>IF(COUNTA(A1323:I1323)=0,"",IF(N(A1323)&lt;=0,"Date manquante ou invalide",IF(B1323="","Équipe manquante",IF(ISNA(MATCH(B1323,eq_code,0)),"Équipe inconnue",IF(INDEX(eq_check,MATCH(B1323,eq_code,0))&lt;&gt;"OK","Équipe à corriger dans Paramètres",IF(C1323="","Poste manquant",IF(ISNA(MATCH(C1323,po_code,0)),"Poste inconnu",IF(AND(E1323&lt;&gt;"",ISNA(MATCH(E1323,art_ref,0))),"Article inconnu",IF(IF(E1323="",FALSE,INDEX(art_check,MATCH(E1323,art_ref,0))&lt;&gt;"OK"),"Article à corriger (feuille Articles)",IF(COUNTIFS(sj_date,A1323,sj_eq,B1323,sj_po,C1323)&gt;1,"Ligne en double (même jour, équipe et poste)",IF(OR(NOT(ISNUMBER(K1323)),N(K1323)&lt;=0,N(K1323)&gt;1440),"Temps d'ouverture invalide",IF(OR(AND(G1323&lt;&gt;"",NOT(ISNUMBER(G1323))),N(G1323)&lt;0,N(G1323)&lt;&gt;INT(N(G1323)),AND(H1323&lt;&gt;"",NOT(ISNUMBER(H1323))),N(H1323)&lt;0,N(H1323)&lt;&gt;INT(N(H1323)),AND(I1323&lt;&gt;"",NOT(ISNUMBER(I1323))),N(I1323)&lt;0,N(I1323)&lt;&gt;INT(N(I1323))),"Quantité invalide",IF(Q1323&lt;=0,"Cadence manquante (poste ou article)",IF(M1323&lt;=0,"Arrêts planifiés supérieurs au temps d'ouverture",IF(O1323&lt;0,"Arrêts supérieurs au temps requis",IF(AND(P1323&gt;0,O1323=0),"Pièces déclarées sans temps de marche",IF(AND(P1323=0,O1323&gt;0),"Aucune pièce déclarée",IF(P1323*60/Q1323&gt;O1323+0.001,"Cadence dépassée : vérifiez la cadence","OK"))))))))))))))))))</f>
        <v/>
      </c>
      <c r="AC1323">
        <f>IF(OR(AB1323="OK",AB1323="Aucune pièce déclarée",AB1323="Cadence dépassée : vérifiez la cadence"),1,0)</f>
        <v>0.0</v>
      </c>
      <c r="AD1323">
        <f>IF(AND(AC1323=1,A1323&gt;=p_from,A1323&lt;=p_to),1,0)</f>
        <v>0.0</v>
      </c>
      <c r="AE1323">
        <f>IF(AD1323=1,IF(COUNTIFS($A$6:A1323,A1323,$AD$6:AD1323,1)=1,1,0),0)</f>
        <v>0.0</v>
      </c>
      <c r="AF1323" t="str">
        <f>IF(AE1323=1,COUNTIFS(sj_first,1,sj_date,"&lt;"&amp;A1323)+1,"")</f>
        <v/>
      </c>
      <c r="AG1323" t="str">
        <f>IF(AND(AD1323=1,N(W1323)&lt;p_alert),ROUND(W1323,4),"")</f>
        <v/>
      </c>
      <c r="AH1323" t="str">
        <f>IF(AG1323="","",COUNTIF(sj_akey,"&lt;"&amp;AG1323)+COUNTIF($AG$6:AG1323,AG1323))</f>
        <v/>
      </c>
    </row>
    <row r="1324">
      <c r="A1324" s="51" t="n"/>
      <c r="B1324" s="52" t="n"/>
      <c r="C1324" s="52" t="n"/>
      <c r="D1324" s="53" t="n"/>
      <c r="E1324" s="53" t="n"/>
      <c r="F1324" s="54" t="n"/>
      <c r="G1324" s="54" t="n"/>
      <c r="H1324" s="54" t="n"/>
      <c r="I1324" s="54" t="n"/>
      <c r="J1324" s="53" t="n"/>
      <c r="K1324" s="55" t="str">
        <f>IF(COUNTA(A1324:I1324)=0,"",IF(F1324="",IFERROR(INDEX(eq_dur,MATCH(B1324,eq_code,0)),""),F1324))</f>
        <v/>
      </c>
      <c r="L1324" s="55" t="str">
        <f>IF(ISNUMBER(K1324),N(IFERROR(INDEX(eq_pause,MATCH(B1324,eq_code,0)),0))+SUMIFS(st_min,st_date,A1324,st_eq,B1324,st_po,C1324,st_type,"Planifié"),"")</f>
        <v/>
      </c>
      <c r="M1324" s="55" t="str">
        <f>IF(ISNUMBER(K1324),K1324-L1324,"")</f>
        <v/>
      </c>
      <c r="N1324" s="55" t="str">
        <f>IF(ISNUMBER(K1324),SUMIFS(st_min,st_date,A1324,st_eq,B1324,st_po,C1324,st_type,"Non planifié"),"")</f>
        <v/>
      </c>
      <c r="O1324" s="55" t="str">
        <f>IF(ISNUMBER(K1324),M1324-N1324,"")</f>
        <v/>
      </c>
      <c r="P1324" s="55" t="str">
        <f>IF(COUNTA(A1324:I1324)=0,"",N(G1324)+N(H1324)+N(I1324))</f>
        <v/>
      </c>
      <c r="Q1324" s="56" t="str">
        <f>IF(COUNTA(A1324:I1324)=0,"",IF(N(IFERROR(INDEX(art_rate,MATCH(E1324,art_ref,0)),0))&gt;0,N(IFERROR(INDEX(art_rate,MATCH(E1324,art_ref,0)),0)),N(IFERROR(INDEX(po_rate,MATCH(C1324,po_code,0)),0))))</f>
        <v/>
      </c>
      <c r="R1324" s="55" t="str">
        <f>IF(AC1324=1,P1324*60/Q1324,"")</f>
        <v/>
      </c>
      <c r="S1324" s="55" t="str">
        <f>IF(AC1324=1,N(G1324)*60/Q1324,"")</f>
        <v/>
      </c>
      <c r="T1324" s="57" t="str">
        <f>IF(AC1324=1,O1324/M1324,"")</f>
        <v/>
      </c>
      <c r="U1324" s="57" t="str">
        <f>IF(AC1324=1,IF(O1324&gt;0,R1324/O1324,""),"")</f>
        <v/>
      </c>
      <c r="V1324" s="57" t="str">
        <f>IF(AC1324=1,IF(P1324&gt;0,N(G1324)/P1324,""),"")</f>
        <v/>
      </c>
      <c r="W1324" s="57" t="str">
        <f>IF(AC1324=1,S1324/M1324,"")</f>
        <v/>
      </c>
      <c r="X1324" s="57" t="str">
        <f>IF(AC1324=1,S1324/K1324,"")</f>
        <v/>
      </c>
      <c r="Y1324" s="58" t="str">
        <f>IF(W1324="","",IF(W1324&gt;=p_target,"Bon",IF(W1324&gt;=p_alert,"À surveiller","Faible")))</f>
        <v/>
      </c>
      <c r="Z1324" s="58" t="str">
        <f>IF(W1324="","",IF(MIN(IF(T1324="",1,T1324),IF(U1324="",1,U1324),IF(V1324="",1,V1324))&gt;=1,"Aucune",IF(IF(T1324="",1,T1324)&lt;=MIN(IF(U1324="",1,U1324),IF(V1324="",1,V1324)),"Disponibilité",IF(IF(U1324="",1,U1324)&lt;=IF(V1324="",1,V1324),"Performance","Qualité"))))</f>
        <v/>
      </c>
      <c r="AA1324" s="59" t="str">
        <f>IF(AC1324=1,N(H1324)*N(IFERROR(INDEX(art_cost,MATCH(E1324,art_ref,0)),0)),"")</f>
        <v/>
      </c>
      <c r="AB1324" s="58" t="str">
        <f>IF(COUNTA(A1324:I1324)=0,"",IF(N(A1324)&lt;=0,"Date manquante ou invalide",IF(B1324="","Équipe manquante",IF(ISNA(MATCH(B1324,eq_code,0)),"Équipe inconnue",IF(INDEX(eq_check,MATCH(B1324,eq_code,0))&lt;&gt;"OK","Équipe à corriger dans Paramètres",IF(C1324="","Poste manquant",IF(ISNA(MATCH(C1324,po_code,0)),"Poste inconnu",IF(AND(E1324&lt;&gt;"",ISNA(MATCH(E1324,art_ref,0))),"Article inconnu",IF(IF(E1324="",FALSE,INDEX(art_check,MATCH(E1324,art_ref,0))&lt;&gt;"OK"),"Article à corriger (feuille Articles)",IF(COUNTIFS(sj_date,A1324,sj_eq,B1324,sj_po,C1324)&gt;1,"Ligne en double (même jour, équipe et poste)",IF(OR(NOT(ISNUMBER(K1324)),N(K1324)&lt;=0,N(K1324)&gt;1440),"Temps d'ouverture invalide",IF(OR(AND(G1324&lt;&gt;"",NOT(ISNUMBER(G1324))),N(G1324)&lt;0,N(G1324)&lt;&gt;INT(N(G1324)),AND(H1324&lt;&gt;"",NOT(ISNUMBER(H1324))),N(H1324)&lt;0,N(H1324)&lt;&gt;INT(N(H1324)),AND(I1324&lt;&gt;"",NOT(ISNUMBER(I1324))),N(I1324)&lt;0,N(I1324)&lt;&gt;INT(N(I1324))),"Quantité invalide",IF(Q1324&lt;=0,"Cadence manquante (poste ou article)",IF(M1324&lt;=0,"Arrêts planifiés supérieurs au temps d'ouverture",IF(O1324&lt;0,"Arrêts supérieurs au temps requis",IF(AND(P1324&gt;0,O1324=0),"Pièces déclarées sans temps de marche",IF(AND(P1324=0,O1324&gt;0),"Aucune pièce déclarée",IF(P1324*60/Q1324&gt;O1324+0.001,"Cadence dépassée : vérifiez la cadence","OK"))))))))))))))))))</f>
        <v/>
      </c>
      <c r="AC1324">
        <f>IF(OR(AB1324="OK",AB1324="Aucune pièce déclarée",AB1324="Cadence dépassée : vérifiez la cadence"),1,0)</f>
        <v>0.0</v>
      </c>
      <c r="AD1324">
        <f>IF(AND(AC1324=1,A1324&gt;=p_from,A1324&lt;=p_to),1,0)</f>
        <v>0.0</v>
      </c>
      <c r="AE1324">
        <f>IF(AD1324=1,IF(COUNTIFS($A$6:A1324,A1324,$AD$6:AD1324,1)=1,1,0),0)</f>
        <v>0.0</v>
      </c>
      <c r="AF1324" t="str">
        <f>IF(AE1324=1,COUNTIFS(sj_first,1,sj_date,"&lt;"&amp;A1324)+1,"")</f>
        <v/>
      </c>
      <c r="AG1324" t="str">
        <f>IF(AND(AD1324=1,N(W1324)&lt;p_alert),ROUND(W1324,4),"")</f>
        <v/>
      </c>
      <c r="AH1324" t="str">
        <f>IF(AG1324="","",COUNTIF(sj_akey,"&lt;"&amp;AG1324)+COUNTIF($AG$6:AG1324,AG1324))</f>
        <v/>
      </c>
    </row>
    <row r="1325">
      <c r="A1325" s="51" t="n"/>
      <c r="B1325" s="52" t="n"/>
      <c r="C1325" s="52" t="n"/>
      <c r="D1325" s="53" t="n"/>
      <c r="E1325" s="53" t="n"/>
      <c r="F1325" s="54" t="n"/>
      <c r="G1325" s="54" t="n"/>
      <c r="H1325" s="54" t="n"/>
      <c r="I1325" s="54" t="n"/>
      <c r="J1325" s="53" t="n"/>
      <c r="K1325" s="55" t="str">
        <f>IF(COUNTA(A1325:I1325)=0,"",IF(F1325="",IFERROR(INDEX(eq_dur,MATCH(B1325,eq_code,0)),""),F1325))</f>
        <v/>
      </c>
      <c r="L1325" s="55" t="str">
        <f>IF(ISNUMBER(K1325),N(IFERROR(INDEX(eq_pause,MATCH(B1325,eq_code,0)),0))+SUMIFS(st_min,st_date,A1325,st_eq,B1325,st_po,C1325,st_type,"Planifié"),"")</f>
        <v/>
      </c>
      <c r="M1325" s="55" t="str">
        <f>IF(ISNUMBER(K1325),K1325-L1325,"")</f>
        <v/>
      </c>
      <c r="N1325" s="55" t="str">
        <f>IF(ISNUMBER(K1325),SUMIFS(st_min,st_date,A1325,st_eq,B1325,st_po,C1325,st_type,"Non planifié"),"")</f>
        <v/>
      </c>
      <c r="O1325" s="55" t="str">
        <f>IF(ISNUMBER(K1325),M1325-N1325,"")</f>
        <v/>
      </c>
      <c r="P1325" s="55" t="str">
        <f>IF(COUNTA(A1325:I1325)=0,"",N(G1325)+N(H1325)+N(I1325))</f>
        <v/>
      </c>
      <c r="Q1325" s="56" t="str">
        <f>IF(COUNTA(A1325:I1325)=0,"",IF(N(IFERROR(INDEX(art_rate,MATCH(E1325,art_ref,0)),0))&gt;0,N(IFERROR(INDEX(art_rate,MATCH(E1325,art_ref,0)),0)),N(IFERROR(INDEX(po_rate,MATCH(C1325,po_code,0)),0))))</f>
        <v/>
      </c>
      <c r="R1325" s="55" t="str">
        <f>IF(AC1325=1,P1325*60/Q1325,"")</f>
        <v/>
      </c>
      <c r="S1325" s="55" t="str">
        <f>IF(AC1325=1,N(G1325)*60/Q1325,"")</f>
        <v/>
      </c>
      <c r="T1325" s="57" t="str">
        <f>IF(AC1325=1,O1325/M1325,"")</f>
        <v/>
      </c>
      <c r="U1325" s="57" t="str">
        <f>IF(AC1325=1,IF(O1325&gt;0,R1325/O1325,""),"")</f>
        <v/>
      </c>
      <c r="V1325" s="57" t="str">
        <f>IF(AC1325=1,IF(P1325&gt;0,N(G1325)/P1325,""),"")</f>
        <v/>
      </c>
      <c r="W1325" s="57" t="str">
        <f>IF(AC1325=1,S1325/M1325,"")</f>
        <v/>
      </c>
      <c r="X1325" s="57" t="str">
        <f>IF(AC1325=1,S1325/K1325,"")</f>
        <v/>
      </c>
      <c r="Y1325" s="58" t="str">
        <f>IF(W1325="","",IF(W1325&gt;=p_target,"Bon",IF(W1325&gt;=p_alert,"À surveiller","Faible")))</f>
        <v/>
      </c>
      <c r="Z1325" s="58" t="str">
        <f>IF(W1325="","",IF(MIN(IF(T1325="",1,T1325),IF(U1325="",1,U1325),IF(V1325="",1,V1325))&gt;=1,"Aucune",IF(IF(T1325="",1,T1325)&lt;=MIN(IF(U1325="",1,U1325),IF(V1325="",1,V1325)),"Disponibilité",IF(IF(U1325="",1,U1325)&lt;=IF(V1325="",1,V1325),"Performance","Qualité"))))</f>
        <v/>
      </c>
      <c r="AA1325" s="59" t="str">
        <f>IF(AC1325=1,N(H1325)*N(IFERROR(INDEX(art_cost,MATCH(E1325,art_ref,0)),0)),"")</f>
        <v/>
      </c>
      <c r="AB1325" s="58" t="str">
        <f>IF(COUNTA(A1325:I1325)=0,"",IF(N(A1325)&lt;=0,"Date manquante ou invalide",IF(B1325="","Équipe manquante",IF(ISNA(MATCH(B1325,eq_code,0)),"Équipe inconnue",IF(INDEX(eq_check,MATCH(B1325,eq_code,0))&lt;&gt;"OK","Équipe à corriger dans Paramètres",IF(C1325="","Poste manquant",IF(ISNA(MATCH(C1325,po_code,0)),"Poste inconnu",IF(AND(E1325&lt;&gt;"",ISNA(MATCH(E1325,art_ref,0))),"Article inconnu",IF(IF(E1325="",FALSE,INDEX(art_check,MATCH(E1325,art_ref,0))&lt;&gt;"OK"),"Article à corriger (feuille Articles)",IF(COUNTIFS(sj_date,A1325,sj_eq,B1325,sj_po,C1325)&gt;1,"Ligne en double (même jour, équipe et poste)",IF(OR(NOT(ISNUMBER(K1325)),N(K1325)&lt;=0,N(K1325)&gt;1440),"Temps d'ouverture invalide",IF(OR(AND(G1325&lt;&gt;"",NOT(ISNUMBER(G1325))),N(G1325)&lt;0,N(G1325)&lt;&gt;INT(N(G1325)),AND(H1325&lt;&gt;"",NOT(ISNUMBER(H1325))),N(H1325)&lt;0,N(H1325)&lt;&gt;INT(N(H1325)),AND(I1325&lt;&gt;"",NOT(ISNUMBER(I1325))),N(I1325)&lt;0,N(I1325)&lt;&gt;INT(N(I1325))),"Quantité invalide",IF(Q1325&lt;=0,"Cadence manquante (poste ou article)",IF(M1325&lt;=0,"Arrêts planifiés supérieurs au temps d'ouverture",IF(O1325&lt;0,"Arrêts supérieurs au temps requis",IF(AND(P1325&gt;0,O1325=0),"Pièces déclarées sans temps de marche",IF(AND(P1325=0,O1325&gt;0),"Aucune pièce déclarée",IF(P1325*60/Q1325&gt;O1325+0.001,"Cadence dépassée : vérifiez la cadence","OK"))))))))))))))))))</f>
        <v/>
      </c>
      <c r="AC1325">
        <f>IF(OR(AB1325="OK",AB1325="Aucune pièce déclarée",AB1325="Cadence dépassée : vérifiez la cadence"),1,0)</f>
        <v>0.0</v>
      </c>
      <c r="AD1325">
        <f>IF(AND(AC1325=1,A1325&gt;=p_from,A1325&lt;=p_to),1,0)</f>
        <v>0.0</v>
      </c>
      <c r="AE1325">
        <f>IF(AD1325=1,IF(COUNTIFS($A$6:A1325,A1325,$AD$6:AD1325,1)=1,1,0),0)</f>
        <v>0.0</v>
      </c>
      <c r="AF1325" t="str">
        <f>IF(AE1325=1,COUNTIFS(sj_first,1,sj_date,"&lt;"&amp;A1325)+1,"")</f>
        <v/>
      </c>
      <c r="AG1325" t="str">
        <f>IF(AND(AD1325=1,N(W1325)&lt;p_alert),ROUND(W1325,4),"")</f>
        <v/>
      </c>
      <c r="AH1325" t="str">
        <f>IF(AG1325="","",COUNTIF(sj_akey,"&lt;"&amp;AG1325)+COUNTIF($AG$6:AG1325,AG1325))</f>
        <v/>
      </c>
    </row>
    <row r="1326">
      <c r="A1326" s="51" t="n"/>
      <c r="B1326" s="52" t="n"/>
      <c r="C1326" s="52" t="n"/>
      <c r="D1326" s="53" t="n"/>
      <c r="E1326" s="53" t="n"/>
      <c r="F1326" s="54" t="n"/>
      <c r="G1326" s="54" t="n"/>
      <c r="H1326" s="54" t="n"/>
      <c r="I1326" s="54" t="n"/>
      <c r="J1326" s="53" t="n"/>
      <c r="K1326" s="55" t="str">
        <f>IF(COUNTA(A1326:I1326)=0,"",IF(F1326="",IFERROR(INDEX(eq_dur,MATCH(B1326,eq_code,0)),""),F1326))</f>
        <v/>
      </c>
      <c r="L1326" s="55" t="str">
        <f>IF(ISNUMBER(K1326),N(IFERROR(INDEX(eq_pause,MATCH(B1326,eq_code,0)),0))+SUMIFS(st_min,st_date,A1326,st_eq,B1326,st_po,C1326,st_type,"Planifié"),"")</f>
        <v/>
      </c>
      <c r="M1326" s="55" t="str">
        <f>IF(ISNUMBER(K1326),K1326-L1326,"")</f>
        <v/>
      </c>
      <c r="N1326" s="55" t="str">
        <f>IF(ISNUMBER(K1326),SUMIFS(st_min,st_date,A1326,st_eq,B1326,st_po,C1326,st_type,"Non planifié"),"")</f>
        <v/>
      </c>
      <c r="O1326" s="55" t="str">
        <f>IF(ISNUMBER(K1326),M1326-N1326,"")</f>
        <v/>
      </c>
      <c r="P1326" s="55" t="str">
        <f>IF(COUNTA(A1326:I1326)=0,"",N(G1326)+N(H1326)+N(I1326))</f>
        <v/>
      </c>
      <c r="Q1326" s="56" t="str">
        <f>IF(COUNTA(A1326:I1326)=0,"",IF(N(IFERROR(INDEX(art_rate,MATCH(E1326,art_ref,0)),0))&gt;0,N(IFERROR(INDEX(art_rate,MATCH(E1326,art_ref,0)),0)),N(IFERROR(INDEX(po_rate,MATCH(C1326,po_code,0)),0))))</f>
        <v/>
      </c>
      <c r="R1326" s="55" t="str">
        <f>IF(AC1326=1,P1326*60/Q1326,"")</f>
        <v/>
      </c>
      <c r="S1326" s="55" t="str">
        <f>IF(AC1326=1,N(G1326)*60/Q1326,"")</f>
        <v/>
      </c>
      <c r="T1326" s="57" t="str">
        <f>IF(AC1326=1,O1326/M1326,"")</f>
        <v/>
      </c>
      <c r="U1326" s="57" t="str">
        <f>IF(AC1326=1,IF(O1326&gt;0,R1326/O1326,""),"")</f>
        <v/>
      </c>
      <c r="V1326" s="57" t="str">
        <f>IF(AC1326=1,IF(P1326&gt;0,N(G1326)/P1326,""),"")</f>
        <v/>
      </c>
      <c r="W1326" s="57" t="str">
        <f>IF(AC1326=1,S1326/M1326,"")</f>
        <v/>
      </c>
      <c r="X1326" s="57" t="str">
        <f>IF(AC1326=1,S1326/K1326,"")</f>
        <v/>
      </c>
      <c r="Y1326" s="58" t="str">
        <f>IF(W1326="","",IF(W1326&gt;=p_target,"Bon",IF(W1326&gt;=p_alert,"À surveiller","Faible")))</f>
        <v/>
      </c>
      <c r="Z1326" s="58" t="str">
        <f>IF(W1326="","",IF(MIN(IF(T1326="",1,T1326),IF(U1326="",1,U1326),IF(V1326="",1,V1326))&gt;=1,"Aucune",IF(IF(T1326="",1,T1326)&lt;=MIN(IF(U1326="",1,U1326),IF(V1326="",1,V1326)),"Disponibilité",IF(IF(U1326="",1,U1326)&lt;=IF(V1326="",1,V1326),"Performance","Qualité"))))</f>
        <v/>
      </c>
      <c r="AA1326" s="59" t="str">
        <f>IF(AC1326=1,N(H1326)*N(IFERROR(INDEX(art_cost,MATCH(E1326,art_ref,0)),0)),"")</f>
        <v/>
      </c>
      <c r="AB1326" s="58" t="str">
        <f>IF(COUNTA(A1326:I1326)=0,"",IF(N(A1326)&lt;=0,"Date manquante ou invalide",IF(B1326="","Équipe manquante",IF(ISNA(MATCH(B1326,eq_code,0)),"Équipe inconnue",IF(INDEX(eq_check,MATCH(B1326,eq_code,0))&lt;&gt;"OK","Équipe à corriger dans Paramètres",IF(C1326="","Poste manquant",IF(ISNA(MATCH(C1326,po_code,0)),"Poste inconnu",IF(AND(E1326&lt;&gt;"",ISNA(MATCH(E1326,art_ref,0))),"Article inconnu",IF(IF(E1326="",FALSE,INDEX(art_check,MATCH(E1326,art_ref,0))&lt;&gt;"OK"),"Article à corriger (feuille Articles)",IF(COUNTIFS(sj_date,A1326,sj_eq,B1326,sj_po,C1326)&gt;1,"Ligne en double (même jour, équipe et poste)",IF(OR(NOT(ISNUMBER(K1326)),N(K1326)&lt;=0,N(K1326)&gt;1440),"Temps d'ouverture invalide",IF(OR(AND(G1326&lt;&gt;"",NOT(ISNUMBER(G1326))),N(G1326)&lt;0,N(G1326)&lt;&gt;INT(N(G1326)),AND(H1326&lt;&gt;"",NOT(ISNUMBER(H1326))),N(H1326)&lt;0,N(H1326)&lt;&gt;INT(N(H1326)),AND(I1326&lt;&gt;"",NOT(ISNUMBER(I1326))),N(I1326)&lt;0,N(I1326)&lt;&gt;INT(N(I1326))),"Quantité invalide",IF(Q1326&lt;=0,"Cadence manquante (poste ou article)",IF(M1326&lt;=0,"Arrêts planifiés supérieurs au temps d'ouverture",IF(O1326&lt;0,"Arrêts supérieurs au temps requis",IF(AND(P1326&gt;0,O1326=0),"Pièces déclarées sans temps de marche",IF(AND(P1326=0,O1326&gt;0),"Aucune pièce déclarée",IF(P1326*60/Q1326&gt;O1326+0.001,"Cadence dépassée : vérifiez la cadence","OK"))))))))))))))))))</f>
        <v/>
      </c>
      <c r="AC1326">
        <f>IF(OR(AB1326="OK",AB1326="Aucune pièce déclarée",AB1326="Cadence dépassée : vérifiez la cadence"),1,0)</f>
        <v>0.0</v>
      </c>
      <c r="AD1326">
        <f>IF(AND(AC1326=1,A1326&gt;=p_from,A1326&lt;=p_to),1,0)</f>
        <v>0.0</v>
      </c>
      <c r="AE1326">
        <f>IF(AD1326=1,IF(COUNTIFS($A$6:A1326,A1326,$AD$6:AD1326,1)=1,1,0),0)</f>
        <v>0.0</v>
      </c>
      <c r="AF1326" t="str">
        <f>IF(AE1326=1,COUNTIFS(sj_first,1,sj_date,"&lt;"&amp;A1326)+1,"")</f>
        <v/>
      </c>
      <c r="AG1326" t="str">
        <f>IF(AND(AD1326=1,N(W1326)&lt;p_alert),ROUND(W1326,4),"")</f>
        <v/>
      </c>
      <c r="AH1326" t="str">
        <f>IF(AG1326="","",COUNTIF(sj_akey,"&lt;"&amp;AG1326)+COUNTIF($AG$6:AG1326,AG1326))</f>
        <v/>
      </c>
    </row>
    <row r="1327">
      <c r="A1327" s="51" t="n"/>
      <c r="B1327" s="52" t="n"/>
      <c r="C1327" s="52" t="n"/>
      <c r="D1327" s="53" t="n"/>
      <c r="E1327" s="53" t="n"/>
      <c r="F1327" s="54" t="n"/>
      <c r="G1327" s="54" t="n"/>
      <c r="H1327" s="54" t="n"/>
      <c r="I1327" s="54" t="n"/>
      <c r="J1327" s="53" t="n"/>
      <c r="K1327" s="55" t="str">
        <f>IF(COUNTA(A1327:I1327)=0,"",IF(F1327="",IFERROR(INDEX(eq_dur,MATCH(B1327,eq_code,0)),""),F1327))</f>
        <v/>
      </c>
      <c r="L1327" s="55" t="str">
        <f>IF(ISNUMBER(K1327),N(IFERROR(INDEX(eq_pause,MATCH(B1327,eq_code,0)),0))+SUMIFS(st_min,st_date,A1327,st_eq,B1327,st_po,C1327,st_type,"Planifié"),"")</f>
        <v/>
      </c>
      <c r="M1327" s="55" t="str">
        <f>IF(ISNUMBER(K1327),K1327-L1327,"")</f>
        <v/>
      </c>
      <c r="N1327" s="55" t="str">
        <f>IF(ISNUMBER(K1327),SUMIFS(st_min,st_date,A1327,st_eq,B1327,st_po,C1327,st_type,"Non planifié"),"")</f>
        <v/>
      </c>
      <c r="O1327" s="55" t="str">
        <f>IF(ISNUMBER(K1327),M1327-N1327,"")</f>
        <v/>
      </c>
      <c r="P1327" s="55" t="str">
        <f>IF(COUNTA(A1327:I1327)=0,"",N(G1327)+N(H1327)+N(I1327))</f>
        <v/>
      </c>
      <c r="Q1327" s="56" t="str">
        <f>IF(COUNTA(A1327:I1327)=0,"",IF(N(IFERROR(INDEX(art_rate,MATCH(E1327,art_ref,0)),0))&gt;0,N(IFERROR(INDEX(art_rate,MATCH(E1327,art_ref,0)),0)),N(IFERROR(INDEX(po_rate,MATCH(C1327,po_code,0)),0))))</f>
        <v/>
      </c>
      <c r="R1327" s="55" t="str">
        <f>IF(AC1327=1,P1327*60/Q1327,"")</f>
        <v/>
      </c>
      <c r="S1327" s="55" t="str">
        <f>IF(AC1327=1,N(G1327)*60/Q1327,"")</f>
        <v/>
      </c>
      <c r="T1327" s="57" t="str">
        <f>IF(AC1327=1,O1327/M1327,"")</f>
        <v/>
      </c>
      <c r="U1327" s="57" t="str">
        <f>IF(AC1327=1,IF(O1327&gt;0,R1327/O1327,""),"")</f>
        <v/>
      </c>
      <c r="V1327" s="57" t="str">
        <f>IF(AC1327=1,IF(P1327&gt;0,N(G1327)/P1327,""),"")</f>
        <v/>
      </c>
      <c r="W1327" s="57" t="str">
        <f>IF(AC1327=1,S1327/M1327,"")</f>
        <v/>
      </c>
      <c r="X1327" s="57" t="str">
        <f>IF(AC1327=1,S1327/K1327,"")</f>
        <v/>
      </c>
      <c r="Y1327" s="58" t="str">
        <f>IF(W1327="","",IF(W1327&gt;=p_target,"Bon",IF(W1327&gt;=p_alert,"À surveiller","Faible")))</f>
        <v/>
      </c>
      <c r="Z1327" s="58" t="str">
        <f>IF(W1327="","",IF(MIN(IF(T1327="",1,T1327),IF(U1327="",1,U1327),IF(V1327="",1,V1327))&gt;=1,"Aucune",IF(IF(T1327="",1,T1327)&lt;=MIN(IF(U1327="",1,U1327),IF(V1327="",1,V1327)),"Disponibilité",IF(IF(U1327="",1,U1327)&lt;=IF(V1327="",1,V1327),"Performance","Qualité"))))</f>
        <v/>
      </c>
      <c r="AA1327" s="59" t="str">
        <f>IF(AC1327=1,N(H1327)*N(IFERROR(INDEX(art_cost,MATCH(E1327,art_ref,0)),0)),"")</f>
        <v/>
      </c>
      <c r="AB1327" s="58" t="str">
        <f>IF(COUNTA(A1327:I1327)=0,"",IF(N(A1327)&lt;=0,"Date manquante ou invalide",IF(B1327="","Équipe manquante",IF(ISNA(MATCH(B1327,eq_code,0)),"Équipe inconnue",IF(INDEX(eq_check,MATCH(B1327,eq_code,0))&lt;&gt;"OK","Équipe à corriger dans Paramètres",IF(C1327="","Poste manquant",IF(ISNA(MATCH(C1327,po_code,0)),"Poste inconnu",IF(AND(E1327&lt;&gt;"",ISNA(MATCH(E1327,art_ref,0))),"Article inconnu",IF(IF(E1327="",FALSE,INDEX(art_check,MATCH(E1327,art_ref,0))&lt;&gt;"OK"),"Article à corriger (feuille Articles)",IF(COUNTIFS(sj_date,A1327,sj_eq,B1327,sj_po,C1327)&gt;1,"Ligne en double (même jour, équipe et poste)",IF(OR(NOT(ISNUMBER(K1327)),N(K1327)&lt;=0,N(K1327)&gt;1440),"Temps d'ouverture invalide",IF(OR(AND(G1327&lt;&gt;"",NOT(ISNUMBER(G1327))),N(G1327)&lt;0,N(G1327)&lt;&gt;INT(N(G1327)),AND(H1327&lt;&gt;"",NOT(ISNUMBER(H1327))),N(H1327)&lt;0,N(H1327)&lt;&gt;INT(N(H1327)),AND(I1327&lt;&gt;"",NOT(ISNUMBER(I1327))),N(I1327)&lt;0,N(I1327)&lt;&gt;INT(N(I1327))),"Quantité invalide",IF(Q1327&lt;=0,"Cadence manquante (poste ou article)",IF(M1327&lt;=0,"Arrêts planifiés supérieurs au temps d'ouverture",IF(O1327&lt;0,"Arrêts supérieurs au temps requis",IF(AND(P1327&gt;0,O1327=0),"Pièces déclarées sans temps de marche",IF(AND(P1327=0,O1327&gt;0),"Aucune pièce déclarée",IF(P1327*60/Q1327&gt;O1327+0.001,"Cadence dépassée : vérifiez la cadence","OK"))))))))))))))))))</f>
        <v/>
      </c>
      <c r="AC1327">
        <f>IF(OR(AB1327="OK",AB1327="Aucune pièce déclarée",AB1327="Cadence dépassée : vérifiez la cadence"),1,0)</f>
        <v>0.0</v>
      </c>
      <c r="AD1327">
        <f>IF(AND(AC1327=1,A1327&gt;=p_from,A1327&lt;=p_to),1,0)</f>
        <v>0.0</v>
      </c>
      <c r="AE1327">
        <f>IF(AD1327=1,IF(COUNTIFS($A$6:A1327,A1327,$AD$6:AD1327,1)=1,1,0),0)</f>
        <v>0.0</v>
      </c>
      <c r="AF1327" t="str">
        <f>IF(AE1327=1,COUNTIFS(sj_first,1,sj_date,"&lt;"&amp;A1327)+1,"")</f>
        <v/>
      </c>
      <c r="AG1327" t="str">
        <f>IF(AND(AD1327=1,N(W1327)&lt;p_alert),ROUND(W1327,4),"")</f>
        <v/>
      </c>
      <c r="AH1327" t="str">
        <f>IF(AG1327="","",COUNTIF(sj_akey,"&lt;"&amp;AG1327)+COUNTIF($AG$6:AG1327,AG1327))</f>
        <v/>
      </c>
    </row>
    <row r="1328">
      <c r="A1328" s="51" t="n"/>
      <c r="B1328" s="52" t="n"/>
      <c r="C1328" s="52" t="n"/>
      <c r="D1328" s="53" t="n"/>
      <c r="E1328" s="53" t="n"/>
      <c r="F1328" s="54" t="n"/>
      <c r="G1328" s="54" t="n"/>
      <c r="H1328" s="54" t="n"/>
      <c r="I1328" s="54" t="n"/>
      <c r="J1328" s="53" t="n"/>
      <c r="K1328" s="55" t="str">
        <f>IF(COUNTA(A1328:I1328)=0,"",IF(F1328="",IFERROR(INDEX(eq_dur,MATCH(B1328,eq_code,0)),""),F1328))</f>
        <v/>
      </c>
      <c r="L1328" s="55" t="str">
        <f>IF(ISNUMBER(K1328),N(IFERROR(INDEX(eq_pause,MATCH(B1328,eq_code,0)),0))+SUMIFS(st_min,st_date,A1328,st_eq,B1328,st_po,C1328,st_type,"Planifié"),"")</f>
        <v/>
      </c>
      <c r="M1328" s="55" t="str">
        <f>IF(ISNUMBER(K1328),K1328-L1328,"")</f>
        <v/>
      </c>
      <c r="N1328" s="55" t="str">
        <f>IF(ISNUMBER(K1328),SUMIFS(st_min,st_date,A1328,st_eq,B1328,st_po,C1328,st_type,"Non planifié"),"")</f>
        <v/>
      </c>
      <c r="O1328" s="55" t="str">
        <f>IF(ISNUMBER(K1328),M1328-N1328,"")</f>
        <v/>
      </c>
      <c r="P1328" s="55" t="str">
        <f>IF(COUNTA(A1328:I1328)=0,"",N(G1328)+N(H1328)+N(I1328))</f>
        <v/>
      </c>
      <c r="Q1328" s="56" t="str">
        <f>IF(COUNTA(A1328:I1328)=0,"",IF(N(IFERROR(INDEX(art_rate,MATCH(E1328,art_ref,0)),0))&gt;0,N(IFERROR(INDEX(art_rate,MATCH(E1328,art_ref,0)),0)),N(IFERROR(INDEX(po_rate,MATCH(C1328,po_code,0)),0))))</f>
        <v/>
      </c>
      <c r="R1328" s="55" t="str">
        <f>IF(AC1328=1,P1328*60/Q1328,"")</f>
        <v/>
      </c>
      <c r="S1328" s="55" t="str">
        <f>IF(AC1328=1,N(G1328)*60/Q1328,"")</f>
        <v/>
      </c>
      <c r="T1328" s="57" t="str">
        <f>IF(AC1328=1,O1328/M1328,"")</f>
        <v/>
      </c>
      <c r="U1328" s="57" t="str">
        <f>IF(AC1328=1,IF(O1328&gt;0,R1328/O1328,""),"")</f>
        <v/>
      </c>
      <c r="V1328" s="57" t="str">
        <f>IF(AC1328=1,IF(P1328&gt;0,N(G1328)/P1328,""),"")</f>
        <v/>
      </c>
      <c r="W1328" s="57" t="str">
        <f>IF(AC1328=1,S1328/M1328,"")</f>
        <v/>
      </c>
      <c r="X1328" s="57" t="str">
        <f>IF(AC1328=1,S1328/K1328,"")</f>
        <v/>
      </c>
      <c r="Y1328" s="58" t="str">
        <f>IF(W1328="","",IF(W1328&gt;=p_target,"Bon",IF(W1328&gt;=p_alert,"À surveiller","Faible")))</f>
        <v/>
      </c>
      <c r="Z1328" s="58" t="str">
        <f>IF(W1328="","",IF(MIN(IF(T1328="",1,T1328),IF(U1328="",1,U1328),IF(V1328="",1,V1328))&gt;=1,"Aucune",IF(IF(T1328="",1,T1328)&lt;=MIN(IF(U1328="",1,U1328),IF(V1328="",1,V1328)),"Disponibilité",IF(IF(U1328="",1,U1328)&lt;=IF(V1328="",1,V1328),"Performance","Qualité"))))</f>
        <v/>
      </c>
      <c r="AA1328" s="59" t="str">
        <f>IF(AC1328=1,N(H1328)*N(IFERROR(INDEX(art_cost,MATCH(E1328,art_ref,0)),0)),"")</f>
        <v/>
      </c>
      <c r="AB1328" s="58" t="str">
        <f>IF(COUNTA(A1328:I1328)=0,"",IF(N(A1328)&lt;=0,"Date manquante ou invalide",IF(B1328="","Équipe manquante",IF(ISNA(MATCH(B1328,eq_code,0)),"Équipe inconnue",IF(INDEX(eq_check,MATCH(B1328,eq_code,0))&lt;&gt;"OK","Équipe à corriger dans Paramètres",IF(C1328="","Poste manquant",IF(ISNA(MATCH(C1328,po_code,0)),"Poste inconnu",IF(AND(E1328&lt;&gt;"",ISNA(MATCH(E1328,art_ref,0))),"Article inconnu",IF(IF(E1328="",FALSE,INDEX(art_check,MATCH(E1328,art_ref,0))&lt;&gt;"OK"),"Article à corriger (feuille Articles)",IF(COUNTIFS(sj_date,A1328,sj_eq,B1328,sj_po,C1328)&gt;1,"Ligne en double (même jour, équipe et poste)",IF(OR(NOT(ISNUMBER(K1328)),N(K1328)&lt;=0,N(K1328)&gt;1440),"Temps d'ouverture invalide",IF(OR(AND(G1328&lt;&gt;"",NOT(ISNUMBER(G1328))),N(G1328)&lt;0,N(G1328)&lt;&gt;INT(N(G1328)),AND(H1328&lt;&gt;"",NOT(ISNUMBER(H1328))),N(H1328)&lt;0,N(H1328)&lt;&gt;INT(N(H1328)),AND(I1328&lt;&gt;"",NOT(ISNUMBER(I1328))),N(I1328)&lt;0,N(I1328)&lt;&gt;INT(N(I1328))),"Quantité invalide",IF(Q1328&lt;=0,"Cadence manquante (poste ou article)",IF(M1328&lt;=0,"Arrêts planifiés supérieurs au temps d'ouverture",IF(O1328&lt;0,"Arrêts supérieurs au temps requis",IF(AND(P1328&gt;0,O1328=0),"Pièces déclarées sans temps de marche",IF(AND(P1328=0,O1328&gt;0),"Aucune pièce déclarée",IF(P1328*60/Q1328&gt;O1328+0.001,"Cadence dépassée : vérifiez la cadence","OK"))))))))))))))))))</f>
        <v/>
      </c>
      <c r="AC1328">
        <f>IF(OR(AB1328="OK",AB1328="Aucune pièce déclarée",AB1328="Cadence dépassée : vérifiez la cadence"),1,0)</f>
        <v>0.0</v>
      </c>
      <c r="AD1328">
        <f>IF(AND(AC1328=1,A1328&gt;=p_from,A1328&lt;=p_to),1,0)</f>
        <v>0.0</v>
      </c>
      <c r="AE1328">
        <f>IF(AD1328=1,IF(COUNTIFS($A$6:A1328,A1328,$AD$6:AD1328,1)=1,1,0),0)</f>
        <v>0.0</v>
      </c>
      <c r="AF1328" t="str">
        <f>IF(AE1328=1,COUNTIFS(sj_first,1,sj_date,"&lt;"&amp;A1328)+1,"")</f>
        <v/>
      </c>
      <c r="AG1328" t="str">
        <f>IF(AND(AD1328=1,N(W1328)&lt;p_alert),ROUND(W1328,4),"")</f>
        <v/>
      </c>
      <c r="AH1328" t="str">
        <f>IF(AG1328="","",COUNTIF(sj_akey,"&lt;"&amp;AG1328)+COUNTIF($AG$6:AG1328,AG1328))</f>
        <v/>
      </c>
    </row>
    <row r="1329">
      <c r="A1329" s="51" t="n"/>
      <c r="B1329" s="52" t="n"/>
      <c r="C1329" s="52" t="n"/>
      <c r="D1329" s="53" t="n"/>
      <c r="E1329" s="53" t="n"/>
      <c r="F1329" s="54" t="n"/>
      <c r="G1329" s="54" t="n"/>
      <c r="H1329" s="54" t="n"/>
      <c r="I1329" s="54" t="n"/>
      <c r="J1329" s="53" t="n"/>
      <c r="K1329" s="55" t="str">
        <f>IF(COUNTA(A1329:I1329)=0,"",IF(F1329="",IFERROR(INDEX(eq_dur,MATCH(B1329,eq_code,0)),""),F1329))</f>
        <v/>
      </c>
      <c r="L1329" s="55" t="str">
        <f>IF(ISNUMBER(K1329),N(IFERROR(INDEX(eq_pause,MATCH(B1329,eq_code,0)),0))+SUMIFS(st_min,st_date,A1329,st_eq,B1329,st_po,C1329,st_type,"Planifié"),"")</f>
        <v/>
      </c>
      <c r="M1329" s="55" t="str">
        <f>IF(ISNUMBER(K1329),K1329-L1329,"")</f>
        <v/>
      </c>
      <c r="N1329" s="55" t="str">
        <f>IF(ISNUMBER(K1329),SUMIFS(st_min,st_date,A1329,st_eq,B1329,st_po,C1329,st_type,"Non planifié"),"")</f>
        <v/>
      </c>
      <c r="O1329" s="55" t="str">
        <f>IF(ISNUMBER(K1329),M1329-N1329,"")</f>
        <v/>
      </c>
      <c r="P1329" s="55" t="str">
        <f>IF(COUNTA(A1329:I1329)=0,"",N(G1329)+N(H1329)+N(I1329))</f>
        <v/>
      </c>
      <c r="Q1329" s="56" t="str">
        <f>IF(COUNTA(A1329:I1329)=0,"",IF(N(IFERROR(INDEX(art_rate,MATCH(E1329,art_ref,0)),0))&gt;0,N(IFERROR(INDEX(art_rate,MATCH(E1329,art_ref,0)),0)),N(IFERROR(INDEX(po_rate,MATCH(C1329,po_code,0)),0))))</f>
        <v/>
      </c>
      <c r="R1329" s="55" t="str">
        <f>IF(AC1329=1,P1329*60/Q1329,"")</f>
        <v/>
      </c>
      <c r="S1329" s="55" t="str">
        <f>IF(AC1329=1,N(G1329)*60/Q1329,"")</f>
        <v/>
      </c>
      <c r="T1329" s="57" t="str">
        <f>IF(AC1329=1,O1329/M1329,"")</f>
        <v/>
      </c>
      <c r="U1329" s="57" t="str">
        <f>IF(AC1329=1,IF(O1329&gt;0,R1329/O1329,""),"")</f>
        <v/>
      </c>
      <c r="V1329" s="57" t="str">
        <f>IF(AC1329=1,IF(P1329&gt;0,N(G1329)/P1329,""),"")</f>
        <v/>
      </c>
      <c r="W1329" s="57" t="str">
        <f>IF(AC1329=1,S1329/M1329,"")</f>
        <v/>
      </c>
      <c r="X1329" s="57" t="str">
        <f>IF(AC1329=1,S1329/K1329,"")</f>
        <v/>
      </c>
      <c r="Y1329" s="58" t="str">
        <f>IF(W1329="","",IF(W1329&gt;=p_target,"Bon",IF(W1329&gt;=p_alert,"À surveiller","Faible")))</f>
        <v/>
      </c>
      <c r="Z1329" s="58" t="str">
        <f>IF(W1329="","",IF(MIN(IF(T1329="",1,T1329),IF(U1329="",1,U1329),IF(V1329="",1,V1329))&gt;=1,"Aucune",IF(IF(T1329="",1,T1329)&lt;=MIN(IF(U1329="",1,U1329),IF(V1329="",1,V1329)),"Disponibilité",IF(IF(U1329="",1,U1329)&lt;=IF(V1329="",1,V1329),"Performance","Qualité"))))</f>
        <v/>
      </c>
      <c r="AA1329" s="59" t="str">
        <f>IF(AC1329=1,N(H1329)*N(IFERROR(INDEX(art_cost,MATCH(E1329,art_ref,0)),0)),"")</f>
        <v/>
      </c>
      <c r="AB1329" s="58" t="str">
        <f>IF(COUNTA(A1329:I1329)=0,"",IF(N(A1329)&lt;=0,"Date manquante ou invalide",IF(B1329="","Équipe manquante",IF(ISNA(MATCH(B1329,eq_code,0)),"Équipe inconnue",IF(INDEX(eq_check,MATCH(B1329,eq_code,0))&lt;&gt;"OK","Équipe à corriger dans Paramètres",IF(C1329="","Poste manquant",IF(ISNA(MATCH(C1329,po_code,0)),"Poste inconnu",IF(AND(E1329&lt;&gt;"",ISNA(MATCH(E1329,art_ref,0))),"Article inconnu",IF(IF(E1329="",FALSE,INDEX(art_check,MATCH(E1329,art_ref,0))&lt;&gt;"OK"),"Article à corriger (feuille Articles)",IF(COUNTIFS(sj_date,A1329,sj_eq,B1329,sj_po,C1329)&gt;1,"Ligne en double (même jour, équipe et poste)",IF(OR(NOT(ISNUMBER(K1329)),N(K1329)&lt;=0,N(K1329)&gt;1440),"Temps d'ouverture invalide",IF(OR(AND(G1329&lt;&gt;"",NOT(ISNUMBER(G1329))),N(G1329)&lt;0,N(G1329)&lt;&gt;INT(N(G1329)),AND(H1329&lt;&gt;"",NOT(ISNUMBER(H1329))),N(H1329)&lt;0,N(H1329)&lt;&gt;INT(N(H1329)),AND(I1329&lt;&gt;"",NOT(ISNUMBER(I1329))),N(I1329)&lt;0,N(I1329)&lt;&gt;INT(N(I1329))),"Quantité invalide",IF(Q1329&lt;=0,"Cadence manquante (poste ou article)",IF(M1329&lt;=0,"Arrêts planifiés supérieurs au temps d'ouverture",IF(O1329&lt;0,"Arrêts supérieurs au temps requis",IF(AND(P1329&gt;0,O1329=0),"Pièces déclarées sans temps de marche",IF(AND(P1329=0,O1329&gt;0),"Aucune pièce déclarée",IF(P1329*60/Q1329&gt;O1329+0.001,"Cadence dépassée : vérifiez la cadence","OK"))))))))))))))))))</f>
        <v/>
      </c>
      <c r="AC1329">
        <f>IF(OR(AB1329="OK",AB1329="Aucune pièce déclarée",AB1329="Cadence dépassée : vérifiez la cadence"),1,0)</f>
        <v>0.0</v>
      </c>
      <c r="AD1329">
        <f>IF(AND(AC1329=1,A1329&gt;=p_from,A1329&lt;=p_to),1,0)</f>
        <v>0.0</v>
      </c>
      <c r="AE1329">
        <f>IF(AD1329=1,IF(COUNTIFS($A$6:A1329,A1329,$AD$6:AD1329,1)=1,1,0),0)</f>
        <v>0.0</v>
      </c>
      <c r="AF1329" t="str">
        <f>IF(AE1329=1,COUNTIFS(sj_first,1,sj_date,"&lt;"&amp;A1329)+1,"")</f>
        <v/>
      </c>
      <c r="AG1329" t="str">
        <f>IF(AND(AD1329=1,N(W1329)&lt;p_alert),ROUND(W1329,4),"")</f>
        <v/>
      </c>
      <c r="AH1329" t="str">
        <f>IF(AG1329="","",COUNTIF(sj_akey,"&lt;"&amp;AG1329)+COUNTIF($AG$6:AG1329,AG1329))</f>
        <v/>
      </c>
    </row>
    <row r="1330">
      <c r="A1330" s="51" t="n"/>
      <c r="B1330" s="52" t="n"/>
      <c r="C1330" s="52" t="n"/>
      <c r="D1330" s="53" t="n"/>
      <c r="E1330" s="53" t="n"/>
      <c r="F1330" s="54" t="n"/>
      <c r="G1330" s="54" t="n"/>
      <c r="H1330" s="54" t="n"/>
      <c r="I1330" s="54" t="n"/>
      <c r="J1330" s="53" t="n"/>
      <c r="K1330" s="55" t="str">
        <f>IF(COUNTA(A1330:I1330)=0,"",IF(F1330="",IFERROR(INDEX(eq_dur,MATCH(B1330,eq_code,0)),""),F1330))</f>
        <v/>
      </c>
      <c r="L1330" s="55" t="str">
        <f>IF(ISNUMBER(K1330),N(IFERROR(INDEX(eq_pause,MATCH(B1330,eq_code,0)),0))+SUMIFS(st_min,st_date,A1330,st_eq,B1330,st_po,C1330,st_type,"Planifié"),"")</f>
        <v/>
      </c>
      <c r="M1330" s="55" t="str">
        <f>IF(ISNUMBER(K1330),K1330-L1330,"")</f>
        <v/>
      </c>
      <c r="N1330" s="55" t="str">
        <f>IF(ISNUMBER(K1330),SUMIFS(st_min,st_date,A1330,st_eq,B1330,st_po,C1330,st_type,"Non planifié"),"")</f>
        <v/>
      </c>
      <c r="O1330" s="55" t="str">
        <f>IF(ISNUMBER(K1330),M1330-N1330,"")</f>
        <v/>
      </c>
      <c r="P1330" s="55" t="str">
        <f>IF(COUNTA(A1330:I1330)=0,"",N(G1330)+N(H1330)+N(I1330))</f>
        <v/>
      </c>
      <c r="Q1330" s="56" t="str">
        <f>IF(COUNTA(A1330:I1330)=0,"",IF(N(IFERROR(INDEX(art_rate,MATCH(E1330,art_ref,0)),0))&gt;0,N(IFERROR(INDEX(art_rate,MATCH(E1330,art_ref,0)),0)),N(IFERROR(INDEX(po_rate,MATCH(C1330,po_code,0)),0))))</f>
        <v/>
      </c>
      <c r="R1330" s="55" t="str">
        <f>IF(AC1330=1,P1330*60/Q1330,"")</f>
        <v/>
      </c>
      <c r="S1330" s="55" t="str">
        <f>IF(AC1330=1,N(G1330)*60/Q1330,"")</f>
        <v/>
      </c>
      <c r="T1330" s="57" t="str">
        <f>IF(AC1330=1,O1330/M1330,"")</f>
        <v/>
      </c>
      <c r="U1330" s="57" t="str">
        <f>IF(AC1330=1,IF(O1330&gt;0,R1330/O1330,""),"")</f>
        <v/>
      </c>
      <c r="V1330" s="57" t="str">
        <f>IF(AC1330=1,IF(P1330&gt;0,N(G1330)/P1330,""),"")</f>
        <v/>
      </c>
      <c r="W1330" s="57" t="str">
        <f>IF(AC1330=1,S1330/M1330,"")</f>
        <v/>
      </c>
      <c r="X1330" s="57" t="str">
        <f>IF(AC1330=1,S1330/K1330,"")</f>
        <v/>
      </c>
      <c r="Y1330" s="58" t="str">
        <f>IF(W1330="","",IF(W1330&gt;=p_target,"Bon",IF(W1330&gt;=p_alert,"À surveiller","Faible")))</f>
        <v/>
      </c>
      <c r="Z1330" s="58" t="str">
        <f>IF(W1330="","",IF(MIN(IF(T1330="",1,T1330),IF(U1330="",1,U1330),IF(V1330="",1,V1330))&gt;=1,"Aucune",IF(IF(T1330="",1,T1330)&lt;=MIN(IF(U1330="",1,U1330),IF(V1330="",1,V1330)),"Disponibilité",IF(IF(U1330="",1,U1330)&lt;=IF(V1330="",1,V1330),"Performance","Qualité"))))</f>
        <v/>
      </c>
      <c r="AA1330" s="59" t="str">
        <f>IF(AC1330=1,N(H1330)*N(IFERROR(INDEX(art_cost,MATCH(E1330,art_ref,0)),0)),"")</f>
        <v/>
      </c>
      <c r="AB1330" s="58" t="str">
        <f>IF(COUNTA(A1330:I1330)=0,"",IF(N(A1330)&lt;=0,"Date manquante ou invalide",IF(B1330="","Équipe manquante",IF(ISNA(MATCH(B1330,eq_code,0)),"Équipe inconnue",IF(INDEX(eq_check,MATCH(B1330,eq_code,0))&lt;&gt;"OK","Équipe à corriger dans Paramètres",IF(C1330="","Poste manquant",IF(ISNA(MATCH(C1330,po_code,0)),"Poste inconnu",IF(AND(E1330&lt;&gt;"",ISNA(MATCH(E1330,art_ref,0))),"Article inconnu",IF(IF(E1330="",FALSE,INDEX(art_check,MATCH(E1330,art_ref,0))&lt;&gt;"OK"),"Article à corriger (feuille Articles)",IF(COUNTIFS(sj_date,A1330,sj_eq,B1330,sj_po,C1330)&gt;1,"Ligne en double (même jour, équipe et poste)",IF(OR(NOT(ISNUMBER(K1330)),N(K1330)&lt;=0,N(K1330)&gt;1440),"Temps d'ouverture invalide",IF(OR(AND(G1330&lt;&gt;"",NOT(ISNUMBER(G1330))),N(G1330)&lt;0,N(G1330)&lt;&gt;INT(N(G1330)),AND(H1330&lt;&gt;"",NOT(ISNUMBER(H1330))),N(H1330)&lt;0,N(H1330)&lt;&gt;INT(N(H1330)),AND(I1330&lt;&gt;"",NOT(ISNUMBER(I1330))),N(I1330)&lt;0,N(I1330)&lt;&gt;INT(N(I1330))),"Quantité invalide",IF(Q1330&lt;=0,"Cadence manquante (poste ou article)",IF(M1330&lt;=0,"Arrêts planifiés supérieurs au temps d'ouverture",IF(O1330&lt;0,"Arrêts supérieurs au temps requis",IF(AND(P1330&gt;0,O1330=0),"Pièces déclarées sans temps de marche",IF(AND(P1330=0,O1330&gt;0),"Aucune pièce déclarée",IF(P1330*60/Q1330&gt;O1330+0.001,"Cadence dépassée : vérifiez la cadence","OK"))))))))))))))))))</f>
        <v/>
      </c>
      <c r="AC1330">
        <f>IF(OR(AB1330="OK",AB1330="Aucune pièce déclarée",AB1330="Cadence dépassée : vérifiez la cadence"),1,0)</f>
        <v>0.0</v>
      </c>
      <c r="AD1330">
        <f>IF(AND(AC1330=1,A1330&gt;=p_from,A1330&lt;=p_to),1,0)</f>
        <v>0.0</v>
      </c>
      <c r="AE1330">
        <f>IF(AD1330=1,IF(COUNTIFS($A$6:A1330,A1330,$AD$6:AD1330,1)=1,1,0),0)</f>
        <v>0.0</v>
      </c>
      <c r="AF1330" t="str">
        <f>IF(AE1330=1,COUNTIFS(sj_first,1,sj_date,"&lt;"&amp;A1330)+1,"")</f>
        <v/>
      </c>
      <c r="AG1330" t="str">
        <f>IF(AND(AD1330=1,N(W1330)&lt;p_alert),ROUND(W1330,4),"")</f>
        <v/>
      </c>
      <c r="AH1330" t="str">
        <f>IF(AG1330="","",COUNTIF(sj_akey,"&lt;"&amp;AG1330)+COUNTIF($AG$6:AG1330,AG1330))</f>
        <v/>
      </c>
    </row>
    <row r="1331">
      <c r="A1331" s="51" t="n"/>
      <c r="B1331" s="52" t="n"/>
      <c r="C1331" s="52" t="n"/>
      <c r="D1331" s="53" t="n"/>
      <c r="E1331" s="53" t="n"/>
      <c r="F1331" s="54" t="n"/>
      <c r="G1331" s="54" t="n"/>
      <c r="H1331" s="54" t="n"/>
      <c r="I1331" s="54" t="n"/>
      <c r="J1331" s="53" t="n"/>
      <c r="K1331" s="55" t="str">
        <f>IF(COUNTA(A1331:I1331)=0,"",IF(F1331="",IFERROR(INDEX(eq_dur,MATCH(B1331,eq_code,0)),""),F1331))</f>
        <v/>
      </c>
      <c r="L1331" s="55" t="str">
        <f>IF(ISNUMBER(K1331),N(IFERROR(INDEX(eq_pause,MATCH(B1331,eq_code,0)),0))+SUMIFS(st_min,st_date,A1331,st_eq,B1331,st_po,C1331,st_type,"Planifié"),"")</f>
        <v/>
      </c>
      <c r="M1331" s="55" t="str">
        <f>IF(ISNUMBER(K1331),K1331-L1331,"")</f>
        <v/>
      </c>
      <c r="N1331" s="55" t="str">
        <f>IF(ISNUMBER(K1331),SUMIFS(st_min,st_date,A1331,st_eq,B1331,st_po,C1331,st_type,"Non planifié"),"")</f>
        <v/>
      </c>
      <c r="O1331" s="55" t="str">
        <f>IF(ISNUMBER(K1331),M1331-N1331,"")</f>
        <v/>
      </c>
      <c r="P1331" s="55" t="str">
        <f>IF(COUNTA(A1331:I1331)=0,"",N(G1331)+N(H1331)+N(I1331))</f>
        <v/>
      </c>
      <c r="Q1331" s="56" t="str">
        <f>IF(COUNTA(A1331:I1331)=0,"",IF(N(IFERROR(INDEX(art_rate,MATCH(E1331,art_ref,0)),0))&gt;0,N(IFERROR(INDEX(art_rate,MATCH(E1331,art_ref,0)),0)),N(IFERROR(INDEX(po_rate,MATCH(C1331,po_code,0)),0))))</f>
        <v/>
      </c>
      <c r="R1331" s="55" t="str">
        <f>IF(AC1331=1,P1331*60/Q1331,"")</f>
        <v/>
      </c>
      <c r="S1331" s="55" t="str">
        <f>IF(AC1331=1,N(G1331)*60/Q1331,"")</f>
        <v/>
      </c>
      <c r="T1331" s="57" t="str">
        <f>IF(AC1331=1,O1331/M1331,"")</f>
        <v/>
      </c>
      <c r="U1331" s="57" t="str">
        <f>IF(AC1331=1,IF(O1331&gt;0,R1331/O1331,""),"")</f>
        <v/>
      </c>
      <c r="V1331" s="57" t="str">
        <f>IF(AC1331=1,IF(P1331&gt;0,N(G1331)/P1331,""),"")</f>
        <v/>
      </c>
      <c r="W1331" s="57" t="str">
        <f>IF(AC1331=1,S1331/M1331,"")</f>
        <v/>
      </c>
      <c r="X1331" s="57" t="str">
        <f>IF(AC1331=1,S1331/K1331,"")</f>
        <v/>
      </c>
      <c r="Y1331" s="58" t="str">
        <f>IF(W1331="","",IF(W1331&gt;=p_target,"Bon",IF(W1331&gt;=p_alert,"À surveiller","Faible")))</f>
        <v/>
      </c>
      <c r="Z1331" s="58" t="str">
        <f>IF(W1331="","",IF(MIN(IF(T1331="",1,T1331),IF(U1331="",1,U1331),IF(V1331="",1,V1331))&gt;=1,"Aucune",IF(IF(T1331="",1,T1331)&lt;=MIN(IF(U1331="",1,U1331),IF(V1331="",1,V1331)),"Disponibilité",IF(IF(U1331="",1,U1331)&lt;=IF(V1331="",1,V1331),"Performance","Qualité"))))</f>
        <v/>
      </c>
      <c r="AA1331" s="59" t="str">
        <f>IF(AC1331=1,N(H1331)*N(IFERROR(INDEX(art_cost,MATCH(E1331,art_ref,0)),0)),"")</f>
        <v/>
      </c>
      <c r="AB1331" s="58" t="str">
        <f>IF(COUNTA(A1331:I1331)=0,"",IF(N(A1331)&lt;=0,"Date manquante ou invalide",IF(B1331="","Équipe manquante",IF(ISNA(MATCH(B1331,eq_code,0)),"Équipe inconnue",IF(INDEX(eq_check,MATCH(B1331,eq_code,0))&lt;&gt;"OK","Équipe à corriger dans Paramètres",IF(C1331="","Poste manquant",IF(ISNA(MATCH(C1331,po_code,0)),"Poste inconnu",IF(AND(E1331&lt;&gt;"",ISNA(MATCH(E1331,art_ref,0))),"Article inconnu",IF(IF(E1331="",FALSE,INDEX(art_check,MATCH(E1331,art_ref,0))&lt;&gt;"OK"),"Article à corriger (feuille Articles)",IF(COUNTIFS(sj_date,A1331,sj_eq,B1331,sj_po,C1331)&gt;1,"Ligne en double (même jour, équipe et poste)",IF(OR(NOT(ISNUMBER(K1331)),N(K1331)&lt;=0,N(K1331)&gt;1440),"Temps d'ouverture invalide",IF(OR(AND(G1331&lt;&gt;"",NOT(ISNUMBER(G1331))),N(G1331)&lt;0,N(G1331)&lt;&gt;INT(N(G1331)),AND(H1331&lt;&gt;"",NOT(ISNUMBER(H1331))),N(H1331)&lt;0,N(H1331)&lt;&gt;INT(N(H1331)),AND(I1331&lt;&gt;"",NOT(ISNUMBER(I1331))),N(I1331)&lt;0,N(I1331)&lt;&gt;INT(N(I1331))),"Quantité invalide",IF(Q1331&lt;=0,"Cadence manquante (poste ou article)",IF(M1331&lt;=0,"Arrêts planifiés supérieurs au temps d'ouverture",IF(O1331&lt;0,"Arrêts supérieurs au temps requis",IF(AND(P1331&gt;0,O1331=0),"Pièces déclarées sans temps de marche",IF(AND(P1331=0,O1331&gt;0),"Aucune pièce déclarée",IF(P1331*60/Q1331&gt;O1331+0.001,"Cadence dépassée : vérifiez la cadence","OK"))))))))))))))))))</f>
        <v/>
      </c>
      <c r="AC1331">
        <f>IF(OR(AB1331="OK",AB1331="Aucune pièce déclarée",AB1331="Cadence dépassée : vérifiez la cadence"),1,0)</f>
        <v>0.0</v>
      </c>
      <c r="AD1331">
        <f>IF(AND(AC1331=1,A1331&gt;=p_from,A1331&lt;=p_to),1,0)</f>
        <v>0.0</v>
      </c>
      <c r="AE1331">
        <f>IF(AD1331=1,IF(COUNTIFS($A$6:A1331,A1331,$AD$6:AD1331,1)=1,1,0),0)</f>
        <v>0.0</v>
      </c>
      <c r="AF1331" t="str">
        <f>IF(AE1331=1,COUNTIFS(sj_first,1,sj_date,"&lt;"&amp;A1331)+1,"")</f>
        <v/>
      </c>
      <c r="AG1331" t="str">
        <f>IF(AND(AD1331=1,N(W1331)&lt;p_alert),ROUND(W1331,4),"")</f>
        <v/>
      </c>
      <c r="AH1331" t="str">
        <f>IF(AG1331="","",COUNTIF(sj_akey,"&lt;"&amp;AG1331)+COUNTIF($AG$6:AG1331,AG1331))</f>
        <v/>
      </c>
    </row>
    <row r="1332">
      <c r="A1332" s="51" t="n"/>
      <c r="B1332" s="52" t="n"/>
      <c r="C1332" s="52" t="n"/>
      <c r="D1332" s="53" t="n"/>
      <c r="E1332" s="53" t="n"/>
      <c r="F1332" s="54" t="n"/>
      <c r="G1332" s="54" t="n"/>
      <c r="H1332" s="54" t="n"/>
      <c r="I1332" s="54" t="n"/>
      <c r="J1332" s="53" t="n"/>
      <c r="K1332" s="55" t="str">
        <f>IF(COUNTA(A1332:I1332)=0,"",IF(F1332="",IFERROR(INDEX(eq_dur,MATCH(B1332,eq_code,0)),""),F1332))</f>
        <v/>
      </c>
      <c r="L1332" s="55" t="str">
        <f>IF(ISNUMBER(K1332),N(IFERROR(INDEX(eq_pause,MATCH(B1332,eq_code,0)),0))+SUMIFS(st_min,st_date,A1332,st_eq,B1332,st_po,C1332,st_type,"Planifié"),"")</f>
        <v/>
      </c>
      <c r="M1332" s="55" t="str">
        <f>IF(ISNUMBER(K1332),K1332-L1332,"")</f>
        <v/>
      </c>
      <c r="N1332" s="55" t="str">
        <f>IF(ISNUMBER(K1332),SUMIFS(st_min,st_date,A1332,st_eq,B1332,st_po,C1332,st_type,"Non planifié"),"")</f>
        <v/>
      </c>
      <c r="O1332" s="55" t="str">
        <f>IF(ISNUMBER(K1332),M1332-N1332,"")</f>
        <v/>
      </c>
      <c r="P1332" s="55" t="str">
        <f>IF(COUNTA(A1332:I1332)=0,"",N(G1332)+N(H1332)+N(I1332))</f>
        <v/>
      </c>
      <c r="Q1332" s="56" t="str">
        <f>IF(COUNTA(A1332:I1332)=0,"",IF(N(IFERROR(INDEX(art_rate,MATCH(E1332,art_ref,0)),0))&gt;0,N(IFERROR(INDEX(art_rate,MATCH(E1332,art_ref,0)),0)),N(IFERROR(INDEX(po_rate,MATCH(C1332,po_code,0)),0))))</f>
        <v/>
      </c>
      <c r="R1332" s="55" t="str">
        <f>IF(AC1332=1,P1332*60/Q1332,"")</f>
        <v/>
      </c>
      <c r="S1332" s="55" t="str">
        <f>IF(AC1332=1,N(G1332)*60/Q1332,"")</f>
        <v/>
      </c>
      <c r="T1332" s="57" t="str">
        <f>IF(AC1332=1,O1332/M1332,"")</f>
        <v/>
      </c>
      <c r="U1332" s="57" t="str">
        <f>IF(AC1332=1,IF(O1332&gt;0,R1332/O1332,""),"")</f>
        <v/>
      </c>
      <c r="V1332" s="57" t="str">
        <f>IF(AC1332=1,IF(P1332&gt;0,N(G1332)/P1332,""),"")</f>
        <v/>
      </c>
      <c r="W1332" s="57" t="str">
        <f>IF(AC1332=1,S1332/M1332,"")</f>
        <v/>
      </c>
      <c r="X1332" s="57" t="str">
        <f>IF(AC1332=1,S1332/K1332,"")</f>
        <v/>
      </c>
      <c r="Y1332" s="58" t="str">
        <f>IF(W1332="","",IF(W1332&gt;=p_target,"Bon",IF(W1332&gt;=p_alert,"À surveiller","Faible")))</f>
        <v/>
      </c>
      <c r="Z1332" s="58" t="str">
        <f>IF(W1332="","",IF(MIN(IF(T1332="",1,T1332),IF(U1332="",1,U1332),IF(V1332="",1,V1332))&gt;=1,"Aucune",IF(IF(T1332="",1,T1332)&lt;=MIN(IF(U1332="",1,U1332),IF(V1332="",1,V1332)),"Disponibilité",IF(IF(U1332="",1,U1332)&lt;=IF(V1332="",1,V1332),"Performance","Qualité"))))</f>
        <v/>
      </c>
      <c r="AA1332" s="59" t="str">
        <f>IF(AC1332=1,N(H1332)*N(IFERROR(INDEX(art_cost,MATCH(E1332,art_ref,0)),0)),"")</f>
        <v/>
      </c>
      <c r="AB1332" s="58" t="str">
        <f>IF(COUNTA(A1332:I1332)=0,"",IF(N(A1332)&lt;=0,"Date manquante ou invalide",IF(B1332="","Équipe manquante",IF(ISNA(MATCH(B1332,eq_code,0)),"Équipe inconnue",IF(INDEX(eq_check,MATCH(B1332,eq_code,0))&lt;&gt;"OK","Équipe à corriger dans Paramètres",IF(C1332="","Poste manquant",IF(ISNA(MATCH(C1332,po_code,0)),"Poste inconnu",IF(AND(E1332&lt;&gt;"",ISNA(MATCH(E1332,art_ref,0))),"Article inconnu",IF(IF(E1332="",FALSE,INDEX(art_check,MATCH(E1332,art_ref,0))&lt;&gt;"OK"),"Article à corriger (feuille Articles)",IF(COUNTIFS(sj_date,A1332,sj_eq,B1332,sj_po,C1332)&gt;1,"Ligne en double (même jour, équipe et poste)",IF(OR(NOT(ISNUMBER(K1332)),N(K1332)&lt;=0,N(K1332)&gt;1440),"Temps d'ouverture invalide",IF(OR(AND(G1332&lt;&gt;"",NOT(ISNUMBER(G1332))),N(G1332)&lt;0,N(G1332)&lt;&gt;INT(N(G1332)),AND(H1332&lt;&gt;"",NOT(ISNUMBER(H1332))),N(H1332)&lt;0,N(H1332)&lt;&gt;INT(N(H1332)),AND(I1332&lt;&gt;"",NOT(ISNUMBER(I1332))),N(I1332)&lt;0,N(I1332)&lt;&gt;INT(N(I1332))),"Quantité invalide",IF(Q1332&lt;=0,"Cadence manquante (poste ou article)",IF(M1332&lt;=0,"Arrêts planifiés supérieurs au temps d'ouverture",IF(O1332&lt;0,"Arrêts supérieurs au temps requis",IF(AND(P1332&gt;0,O1332=0),"Pièces déclarées sans temps de marche",IF(AND(P1332=0,O1332&gt;0),"Aucune pièce déclarée",IF(P1332*60/Q1332&gt;O1332+0.001,"Cadence dépassée : vérifiez la cadence","OK"))))))))))))))))))</f>
        <v/>
      </c>
      <c r="AC1332">
        <f>IF(OR(AB1332="OK",AB1332="Aucune pièce déclarée",AB1332="Cadence dépassée : vérifiez la cadence"),1,0)</f>
        <v>0.0</v>
      </c>
      <c r="AD1332">
        <f>IF(AND(AC1332=1,A1332&gt;=p_from,A1332&lt;=p_to),1,0)</f>
        <v>0.0</v>
      </c>
      <c r="AE1332">
        <f>IF(AD1332=1,IF(COUNTIFS($A$6:A1332,A1332,$AD$6:AD1332,1)=1,1,0),0)</f>
        <v>0.0</v>
      </c>
      <c r="AF1332" t="str">
        <f>IF(AE1332=1,COUNTIFS(sj_first,1,sj_date,"&lt;"&amp;A1332)+1,"")</f>
        <v/>
      </c>
      <c r="AG1332" t="str">
        <f>IF(AND(AD1332=1,N(W1332)&lt;p_alert),ROUND(W1332,4),"")</f>
        <v/>
      </c>
      <c r="AH1332" t="str">
        <f>IF(AG1332="","",COUNTIF(sj_akey,"&lt;"&amp;AG1332)+COUNTIF($AG$6:AG1332,AG1332))</f>
        <v/>
      </c>
    </row>
    <row r="1333">
      <c r="A1333" s="51" t="n"/>
      <c r="B1333" s="52" t="n"/>
      <c r="C1333" s="52" t="n"/>
      <c r="D1333" s="53" t="n"/>
      <c r="E1333" s="53" t="n"/>
      <c r="F1333" s="54" t="n"/>
      <c r="G1333" s="54" t="n"/>
      <c r="H1333" s="54" t="n"/>
      <c r="I1333" s="54" t="n"/>
      <c r="J1333" s="53" t="n"/>
      <c r="K1333" s="55" t="str">
        <f>IF(COUNTA(A1333:I1333)=0,"",IF(F1333="",IFERROR(INDEX(eq_dur,MATCH(B1333,eq_code,0)),""),F1333))</f>
        <v/>
      </c>
      <c r="L1333" s="55" t="str">
        <f>IF(ISNUMBER(K1333),N(IFERROR(INDEX(eq_pause,MATCH(B1333,eq_code,0)),0))+SUMIFS(st_min,st_date,A1333,st_eq,B1333,st_po,C1333,st_type,"Planifié"),"")</f>
        <v/>
      </c>
      <c r="M1333" s="55" t="str">
        <f>IF(ISNUMBER(K1333),K1333-L1333,"")</f>
        <v/>
      </c>
      <c r="N1333" s="55" t="str">
        <f>IF(ISNUMBER(K1333),SUMIFS(st_min,st_date,A1333,st_eq,B1333,st_po,C1333,st_type,"Non planifié"),"")</f>
        <v/>
      </c>
      <c r="O1333" s="55" t="str">
        <f>IF(ISNUMBER(K1333),M1333-N1333,"")</f>
        <v/>
      </c>
      <c r="P1333" s="55" t="str">
        <f>IF(COUNTA(A1333:I1333)=0,"",N(G1333)+N(H1333)+N(I1333))</f>
        <v/>
      </c>
      <c r="Q1333" s="56" t="str">
        <f>IF(COUNTA(A1333:I1333)=0,"",IF(N(IFERROR(INDEX(art_rate,MATCH(E1333,art_ref,0)),0))&gt;0,N(IFERROR(INDEX(art_rate,MATCH(E1333,art_ref,0)),0)),N(IFERROR(INDEX(po_rate,MATCH(C1333,po_code,0)),0))))</f>
        <v/>
      </c>
      <c r="R1333" s="55" t="str">
        <f>IF(AC1333=1,P1333*60/Q1333,"")</f>
        <v/>
      </c>
      <c r="S1333" s="55" t="str">
        <f>IF(AC1333=1,N(G1333)*60/Q1333,"")</f>
        <v/>
      </c>
      <c r="T1333" s="57" t="str">
        <f>IF(AC1333=1,O1333/M1333,"")</f>
        <v/>
      </c>
      <c r="U1333" s="57" t="str">
        <f>IF(AC1333=1,IF(O1333&gt;0,R1333/O1333,""),"")</f>
        <v/>
      </c>
      <c r="V1333" s="57" t="str">
        <f>IF(AC1333=1,IF(P1333&gt;0,N(G1333)/P1333,""),"")</f>
        <v/>
      </c>
      <c r="W1333" s="57" t="str">
        <f>IF(AC1333=1,S1333/M1333,"")</f>
        <v/>
      </c>
      <c r="X1333" s="57" t="str">
        <f>IF(AC1333=1,S1333/K1333,"")</f>
        <v/>
      </c>
      <c r="Y1333" s="58" t="str">
        <f>IF(W1333="","",IF(W1333&gt;=p_target,"Bon",IF(W1333&gt;=p_alert,"À surveiller","Faible")))</f>
        <v/>
      </c>
      <c r="Z1333" s="58" t="str">
        <f>IF(W1333="","",IF(MIN(IF(T1333="",1,T1333),IF(U1333="",1,U1333),IF(V1333="",1,V1333))&gt;=1,"Aucune",IF(IF(T1333="",1,T1333)&lt;=MIN(IF(U1333="",1,U1333),IF(V1333="",1,V1333)),"Disponibilité",IF(IF(U1333="",1,U1333)&lt;=IF(V1333="",1,V1333),"Performance","Qualité"))))</f>
        <v/>
      </c>
      <c r="AA1333" s="59" t="str">
        <f>IF(AC1333=1,N(H1333)*N(IFERROR(INDEX(art_cost,MATCH(E1333,art_ref,0)),0)),"")</f>
        <v/>
      </c>
      <c r="AB1333" s="58" t="str">
        <f>IF(COUNTA(A1333:I1333)=0,"",IF(N(A1333)&lt;=0,"Date manquante ou invalide",IF(B1333="","Équipe manquante",IF(ISNA(MATCH(B1333,eq_code,0)),"Équipe inconnue",IF(INDEX(eq_check,MATCH(B1333,eq_code,0))&lt;&gt;"OK","Équipe à corriger dans Paramètres",IF(C1333="","Poste manquant",IF(ISNA(MATCH(C1333,po_code,0)),"Poste inconnu",IF(AND(E1333&lt;&gt;"",ISNA(MATCH(E1333,art_ref,0))),"Article inconnu",IF(IF(E1333="",FALSE,INDEX(art_check,MATCH(E1333,art_ref,0))&lt;&gt;"OK"),"Article à corriger (feuille Articles)",IF(COUNTIFS(sj_date,A1333,sj_eq,B1333,sj_po,C1333)&gt;1,"Ligne en double (même jour, équipe et poste)",IF(OR(NOT(ISNUMBER(K1333)),N(K1333)&lt;=0,N(K1333)&gt;1440),"Temps d'ouverture invalide",IF(OR(AND(G1333&lt;&gt;"",NOT(ISNUMBER(G1333))),N(G1333)&lt;0,N(G1333)&lt;&gt;INT(N(G1333)),AND(H1333&lt;&gt;"",NOT(ISNUMBER(H1333))),N(H1333)&lt;0,N(H1333)&lt;&gt;INT(N(H1333)),AND(I1333&lt;&gt;"",NOT(ISNUMBER(I1333))),N(I1333)&lt;0,N(I1333)&lt;&gt;INT(N(I1333))),"Quantité invalide",IF(Q1333&lt;=0,"Cadence manquante (poste ou article)",IF(M1333&lt;=0,"Arrêts planifiés supérieurs au temps d'ouverture",IF(O1333&lt;0,"Arrêts supérieurs au temps requis",IF(AND(P1333&gt;0,O1333=0),"Pièces déclarées sans temps de marche",IF(AND(P1333=0,O1333&gt;0),"Aucune pièce déclarée",IF(P1333*60/Q1333&gt;O1333+0.001,"Cadence dépassée : vérifiez la cadence","OK"))))))))))))))))))</f>
        <v/>
      </c>
      <c r="AC1333">
        <f>IF(OR(AB1333="OK",AB1333="Aucune pièce déclarée",AB1333="Cadence dépassée : vérifiez la cadence"),1,0)</f>
        <v>0.0</v>
      </c>
      <c r="AD1333">
        <f>IF(AND(AC1333=1,A1333&gt;=p_from,A1333&lt;=p_to),1,0)</f>
        <v>0.0</v>
      </c>
      <c r="AE1333">
        <f>IF(AD1333=1,IF(COUNTIFS($A$6:A1333,A1333,$AD$6:AD1333,1)=1,1,0),0)</f>
        <v>0.0</v>
      </c>
      <c r="AF1333" t="str">
        <f>IF(AE1333=1,COUNTIFS(sj_first,1,sj_date,"&lt;"&amp;A1333)+1,"")</f>
        <v/>
      </c>
      <c r="AG1333" t="str">
        <f>IF(AND(AD1333=1,N(W1333)&lt;p_alert),ROUND(W1333,4),"")</f>
        <v/>
      </c>
      <c r="AH1333" t="str">
        <f>IF(AG1333="","",COUNTIF(sj_akey,"&lt;"&amp;AG1333)+COUNTIF($AG$6:AG1333,AG1333))</f>
        <v/>
      </c>
    </row>
    <row r="1334">
      <c r="A1334" s="51" t="n"/>
      <c r="B1334" s="52" t="n"/>
      <c r="C1334" s="52" t="n"/>
      <c r="D1334" s="53" t="n"/>
      <c r="E1334" s="53" t="n"/>
      <c r="F1334" s="54" t="n"/>
      <c r="G1334" s="54" t="n"/>
      <c r="H1334" s="54" t="n"/>
      <c r="I1334" s="54" t="n"/>
      <c r="J1334" s="53" t="n"/>
      <c r="K1334" s="55" t="str">
        <f>IF(COUNTA(A1334:I1334)=0,"",IF(F1334="",IFERROR(INDEX(eq_dur,MATCH(B1334,eq_code,0)),""),F1334))</f>
        <v/>
      </c>
      <c r="L1334" s="55" t="str">
        <f>IF(ISNUMBER(K1334),N(IFERROR(INDEX(eq_pause,MATCH(B1334,eq_code,0)),0))+SUMIFS(st_min,st_date,A1334,st_eq,B1334,st_po,C1334,st_type,"Planifié"),"")</f>
        <v/>
      </c>
      <c r="M1334" s="55" t="str">
        <f>IF(ISNUMBER(K1334),K1334-L1334,"")</f>
        <v/>
      </c>
      <c r="N1334" s="55" t="str">
        <f>IF(ISNUMBER(K1334),SUMIFS(st_min,st_date,A1334,st_eq,B1334,st_po,C1334,st_type,"Non planifié"),"")</f>
        <v/>
      </c>
      <c r="O1334" s="55" t="str">
        <f>IF(ISNUMBER(K1334),M1334-N1334,"")</f>
        <v/>
      </c>
      <c r="P1334" s="55" t="str">
        <f>IF(COUNTA(A1334:I1334)=0,"",N(G1334)+N(H1334)+N(I1334))</f>
        <v/>
      </c>
      <c r="Q1334" s="56" t="str">
        <f>IF(COUNTA(A1334:I1334)=0,"",IF(N(IFERROR(INDEX(art_rate,MATCH(E1334,art_ref,0)),0))&gt;0,N(IFERROR(INDEX(art_rate,MATCH(E1334,art_ref,0)),0)),N(IFERROR(INDEX(po_rate,MATCH(C1334,po_code,0)),0))))</f>
        <v/>
      </c>
      <c r="R1334" s="55" t="str">
        <f>IF(AC1334=1,P1334*60/Q1334,"")</f>
        <v/>
      </c>
      <c r="S1334" s="55" t="str">
        <f>IF(AC1334=1,N(G1334)*60/Q1334,"")</f>
        <v/>
      </c>
      <c r="T1334" s="57" t="str">
        <f>IF(AC1334=1,O1334/M1334,"")</f>
        <v/>
      </c>
      <c r="U1334" s="57" t="str">
        <f>IF(AC1334=1,IF(O1334&gt;0,R1334/O1334,""),"")</f>
        <v/>
      </c>
      <c r="V1334" s="57" t="str">
        <f>IF(AC1334=1,IF(P1334&gt;0,N(G1334)/P1334,""),"")</f>
        <v/>
      </c>
      <c r="W1334" s="57" t="str">
        <f>IF(AC1334=1,S1334/M1334,"")</f>
        <v/>
      </c>
      <c r="X1334" s="57" t="str">
        <f>IF(AC1334=1,S1334/K1334,"")</f>
        <v/>
      </c>
      <c r="Y1334" s="58" t="str">
        <f>IF(W1334="","",IF(W1334&gt;=p_target,"Bon",IF(W1334&gt;=p_alert,"À surveiller","Faible")))</f>
        <v/>
      </c>
      <c r="Z1334" s="58" t="str">
        <f>IF(W1334="","",IF(MIN(IF(T1334="",1,T1334),IF(U1334="",1,U1334),IF(V1334="",1,V1334))&gt;=1,"Aucune",IF(IF(T1334="",1,T1334)&lt;=MIN(IF(U1334="",1,U1334),IF(V1334="",1,V1334)),"Disponibilité",IF(IF(U1334="",1,U1334)&lt;=IF(V1334="",1,V1334),"Performance","Qualité"))))</f>
        <v/>
      </c>
      <c r="AA1334" s="59" t="str">
        <f>IF(AC1334=1,N(H1334)*N(IFERROR(INDEX(art_cost,MATCH(E1334,art_ref,0)),0)),"")</f>
        <v/>
      </c>
      <c r="AB1334" s="58" t="str">
        <f>IF(COUNTA(A1334:I1334)=0,"",IF(N(A1334)&lt;=0,"Date manquante ou invalide",IF(B1334="","Équipe manquante",IF(ISNA(MATCH(B1334,eq_code,0)),"Équipe inconnue",IF(INDEX(eq_check,MATCH(B1334,eq_code,0))&lt;&gt;"OK","Équipe à corriger dans Paramètres",IF(C1334="","Poste manquant",IF(ISNA(MATCH(C1334,po_code,0)),"Poste inconnu",IF(AND(E1334&lt;&gt;"",ISNA(MATCH(E1334,art_ref,0))),"Article inconnu",IF(IF(E1334="",FALSE,INDEX(art_check,MATCH(E1334,art_ref,0))&lt;&gt;"OK"),"Article à corriger (feuille Articles)",IF(COUNTIFS(sj_date,A1334,sj_eq,B1334,sj_po,C1334)&gt;1,"Ligne en double (même jour, équipe et poste)",IF(OR(NOT(ISNUMBER(K1334)),N(K1334)&lt;=0,N(K1334)&gt;1440),"Temps d'ouverture invalide",IF(OR(AND(G1334&lt;&gt;"",NOT(ISNUMBER(G1334))),N(G1334)&lt;0,N(G1334)&lt;&gt;INT(N(G1334)),AND(H1334&lt;&gt;"",NOT(ISNUMBER(H1334))),N(H1334)&lt;0,N(H1334)&lt;&gt;INT(N(H1334)),AND(I1334&lt;&gt;"",NOT(ISNUMBER(I1334))),N(I1334)&lt;0,N(I1334)&lt;&gt;INT(N(I1334))),"Quantité invalide",IF(Q1334&lt;=0,"Cadence manquante (poste ou article)",IF(M1334&lt;=0,"Arrêts planifiés supérieurs au temps d'ouverture",IF(O1334&lt;0,"Arrêts supérieurs au temps requis",IF(AND(P1334&gt;0,O1334=0),"Pièces déclarées sans temps de marche",IF(AND(P1334=0,O1334&gt;0),"Aucune pièce déclarée",IF(P1334*60/Q1334&gt;O1334+0.001,"Cadence dépassée : vérifiez la cadence","OK"))))))))))))))))))</f>
        <v/>
      </c>
      <c r="AC1334">
        <f>IF(OR(AB1334="OK",AB1334="Aucune pièce déclarée",AB1334="Cadence dépassée : vérifiez la cadence"),1,0)</f>
        <v>0.0</v>
      </c>
      <c r="AD1334">
        <f>IF(AND(AC1334=1,A1334&gt;=p_from,A1334&lt;=p_to),1,0)</f>
        <v>0.0</v>
      </c>
      <c r="AE1334">
        <f>IF(AD1334=1,IF(COUNTIFS($A$6:A1334,A1334,$AD$6:AD1334,1)=1,1,0),0)</f>
        <v>0.0</v>
      </c>
      <c r="AF1334" t="str">
        <f>IF(AE1334=1,COUNTIFS(sj_first,1,sj_date,"&lt;"&amp;A1334)+1,"")</f>
        <v/>
      </c>
      <c r="AG1334" t="str">
        <f>IF(AND(AD1334=1,N(W1334)&lt;p_alert),ROUND(W1334,4),"")</f>
        <v/>
      </c>
      <c r="AH1334" t="str">
        <f>IF(AG1334="","",COUNTIF(sj_akey,"&lt;"&amp;AG1334)+COUNTIF($AG$6:AG1334,AG1334))</f>
        <v/>
      </c>
    </row>
    <row r="1335">
      <c r="A1335" s="51" t="n"/>
      <c r="B1335" s="52" t="n"/>
      <c r="C1335" s="52" t="n"/>
      <c r="D1335" s="53" t="n"/>
      <c r="E1335" s="53" t="n"/>
      <c r="F1335" s="54" t="n"/>
      <c r="G1335" s="54" t="n"/>
      <c r="H1335" s="54" t="n"/>
      <c r="I1335" s="54" t="n"/>
      <c r="J1335" s="53" t="n"/>
      <c r="K1335" s="55" t="str">
        <f>IF(COUNTA(A1335:I1335)=0,"",IF(F1335="",IFERROR(INDEX(eq_dur,MATCH(B1335,eq_code,0)),""),F1335))</f>
        <v/>
      </c>
      <c r="L1335" s="55" t="str">
        <f>IF(ISNUMBER(K1335),N(IFERROR(INDEX(eq_pause,MATCH(B1335,eq_code,0)),0))+SUMIFS(st_min,st_date,A1335,st_eq,B1335,st_po,C1335,st_type,"Planifié"),"")</f>
        <v/>
      </c>
      <c r="M1335" s="55" t="str">
        <f>IF(ISNUMBER(K1335),K1335-L1335,"")</f>
        <v/>
      </c>
      <c r="N1335" s="55" t="str">
        <f>IF(ISNUMBER(K1335),SUMIFS(st_min,st_date,A1335,st_eq,B1335,st_po,C1335,st_type,"Non planifié"),"")</f>
        <v/>
      </c>
      <c r="O1335" s="55" t="str">
        <f>IF(ISNUMBER(K1335),M1335-N1335,"")</f>
        <v/>
      </c>
      <c r="P1335" s="55" t="str">
        <f>IF(COUNTA(A1335:I1335)=0,"",N(G1335)+N(H1335)+N(I1335))</f>
        <v/>
      </c>
      <c r="Q1335" s="56" t="str">
        <f>IF(COUNTA(A1335:I1335)=0,"",IF(N(IFERROR(INDEX(art_rate,MATCH(E1335,art_ref,0)),0))&gt;0,N(IFERROR(INDEX(art_rate,MATCH(E1335,art_ref,0)),0)),N(IFERROR(INDEX(po_rate,MATCH(C1335,po_code,0)),0))))</f>
        <v/>
      </c>
      <c r="R1335" s="55" t="str">
        <f>IF(AC1335=1,P1335*60/Q1335,"")</f>
        <v/>
      </c>
      <c r="S1335" s="55" t="str">
        <f>IF(AC1335=1,N(G1335)*60/Q1335,"")</f>
        <v/>
      </c>
      <c r="T1335" s="57" t="str">
        <f>IF(AC1335=1,O1335/M1335,"")</f>
        <v/>
      </c>
      <c r="U1335" s="57" t="str">
        <f>IF(AC1335=1,IF(O1335&gt;0,R1335/O1335,""),"")</f>
        <v/>
      </c>
      <c r="V1335" s="57" t="str">
        <f>IF(AC1335=1,IF(P1335&gt;0,N(G1335)/P1335,""),"")</f>
        <v/>
      </c>
      <c r="W1335" s="57" t="str">
        <f>IF(AC1335=1,S1335/M1335,"")</f>
        <v/>
      </c>
      <c r="X1335" s="57" t="str">
        <f>IF(AC1335=1,S1335/K1335,"")</f>
        <v/>
      </c>
      <c r="Y1335" s="58" t="str">
        <f>IF(W1335="","",IF(W1335&gt;=p_target,"Bon",IF(W1335&gt;=p_alert,"À surveiller","Faible")))</f>
        <v/>
      </c>
      <c r="Z1335" s="58" t="str">
        <f>IF(W1335="","",IF(MIN(IF(T1335="",1,T1335),IF(U1335="",1,U1335),IF(V1335="",1,V1335))&gt;=1,"Aucune",IF(IF(T1335="",1,T1335)&lt;=MIN(IF(U1335="",1,U1335),IF(V1335="",1,V1335)),"Disponibilité",IF(IF(U1335="",1,U1335)&lt;=IF(V1335="",1,V1335),"Performance","Qualité"))))</f>
        <v/>
      </c>
      <c r="AA1335" s="59" t="str">
        <f>IF(AC1335=1,N(H1335)*N(IFERROR(INDEX(art_cost,MATCH(E1335,art_ref,0)),0)),"")</f>
        <v/>
      </c>
      <c r="AB1335" s="58" t="str">
        <f>IF(COUNTA(A1335:I1335)=0,"",IF(N(A1335)&lt;=0,"Date manquante ou invalide",IF(B1335="","Équipe manquante",IF(ISNA(MATCH(B1335,eq_code,0)),"Équipe inconnue",IF(INDEX(eq_check,MATCH(B1335,eq_code,0))&lt;&gt;"OK","Équipe à corriger dans Paramètres",IF(C1335="","Poste manquant",IF(ISNA(MATCH(C1335,po_code,0)),"Poste inconnu",IF(AND(E1335&lt;&gt;"",ISNA(MATCH(E1335,art_ref,0))),"Article inconnu",IF(IF(E1335="",FALSE,INDEX(art_check,MATCH(E1335,art_ref,0))&lt;&gt;"OK"),"Article à corriger (feuille Articles)",IF(COUNTIFS(sj_date,A1335,sj_eq,B1335,sj_po,C1335)&gt;1,"Ligne en double (même jour, équipe et poste)",IF(OR(NOT(ISNUMBER(K1335)),N(K1335)&lt;=0,N(K1335)&gt;1440),"Temps d'ouverture invalide",IF(OR(AND(G1335&lt;&gt;"",NOT(ISNUMBER(G1335))),N(G1335)&lt;0,N(G1335)&lt;&gt;INT(N(G1335)),AND(H1335&lt;&gt;"",NOT(ISNUMBER(H1335))),N(H1335)&lt;0,N(H1335)&lt;&gt;INT(N(H1335)),AND(I1335&lt;&gt;"",NOT(ISNUMBER(I1335))),N(I1335)&lt;0,N(I1335)&lt;&gt;INT(N(I1335))),"Quantité invalide",IF(Q1335&lt;=0,"Cadence manquante (poste ou article)",IF(M1335&lt;=0,"Arrêts planifiés supérieurs au temps d'ouverture",IF(O1335&lt;0,"Arrêts supérieurs au temps requis",IF(AND(P1335&gt;0,O1335=0),"Pièces déclarées sans temps de marche",IF(AND(P1335=0,O1335&gt;0),"Aucune pièce déclarée",IF(P1335*60/Q1335&gt;O1335+0.001,"Cadence dépassée : vérifiez la cadence","OK"))))))))))))))))))</f>
        <v/>
      </c>
      <c r="AC1335">
        <f>IF(OR(AB1335="OK",AB1335="Aucune pièce déclarée",AB1335="Cadence dépassée : vérifiez la cadence"),1,0)</f>
        <v>0.0</v>
      </c>
      <c r="AD1335">
        <f>IF(AND(AC1335=1,A1335&gt;=p_from,A1335&lt;=p_to),1,0)</f>
        <v>0.0</v>
      </c>
      <c r="AE1335">
        <f>IF(AD1335=1,IF(COUNTIFS($A$6:A1335,A1335,$AD$6:AD1335,1)=1,1,0),0)</f>
        <v>0.0</v>
      </c>
      <c r="AF1335" t="str">
        <f>IF(AE1335=1,COUNTIFS(sj_first,1,sj_date,"&lt;"&amp;A1335)+1,"")</f>
        <v/>
      </c>
      <c r="AG1335" t="str">
        <f>IF(AND(AD1335=1,N(W1335)&lt;p_alert),ROUND(W1335,4),"")</f>
        <v/>
      </c>
      <c r="AH1335" t="str">
        <f>IF(AG1335="","",COUNTIF(sj_akey,"&lt;"&amp;AG1335)+COUNTIF($AG$6:AG1335,AG1335))</f>
        <v/>
      </c>
    </row>
    <row r="1336">
      <c r="A1336" s="51" t="n"/>
      <c r="B1336" s="52" t="n"/>
      <c r="C1336" s="52" t="n"/>
      <c r="D1336" s="53" t="n"/>
      <c r="E1336" s="53" t="n"/>
      <c r="F1336" s="54" t="n"/>
      <c r="G1336" s="54" t="n"/>
      <c r="H1336" s="54" t="n"/>
      <c r="I1336" s="54" t="n"/>
      <c r="J1336" s="53" t="n"/>
      <c r="K1336" s="55" t="str">
        <f>IF(COUNTA(A1336:I1336)=0,"",IF(F1336="",IFERROR(INDEX(eq_dur,MATCH(B1336,eq_code,0)),""),F1336))</f>
        <v/>
      </c>
      <c r="L1336" s="55" t="str">
        <f>IF(ISNUMBER(K1336),N(IFERROR(INDEX(eq_pause,MATCH(B1336,eq_code,0)),0))+SUMIFS(st_min,st_date,A1336,st_eq,B1336,st_po,C1336,st_type,"Planifié"),"")</f>
        <v/>
      </c>
      <c r="M1336" s="55" t="str">
        <f>IF(ISNUMBER(K1336),K1336-L1336,"")</f>
        <v/>
      </c>
      <c r="N1336" s="55" t="str">
        <f>IF(ISNUMBER(K1336),SUMIFS(st_min,st_date,A1336,st_eq,B1336,st_po,C1336,st_type,"Non planifié"),"")</f>
        <v/>
      </c>
      <c r="O1336" s="55" t="str">
        <f>IF(ISNUMBER(K1336),M1336-N1336,"")</f>
        <v/>
      </c>
      <c r="P1336" s="55" t="str">
        <f>IF(COUNTA(A1336:I1336)=0,"",N(G1336)+N(H1336)+N(I1336))</f>
        <v/>
      </c>
      <c r="Q1336" s="56" t="str">
        <f>IF(COUNTA(A1336:I1336)=0,"",IF(N(IFERROR(INDEX(art_rate,MATCH(E1336,art_ref,0)),0))&gt;0,N(IFERROR(INDEX(art_rate,MATCH(E1336,art_ref,0)),0)),N(IFERROR(INDEX(po_rate,MATCH(C1336,po_code,0)),0))))</f>
        <v/>
      </c>
      <c r="R1336" s="55" t="str">
        <f>IF(AC1336=1,P1336*60/Q1336,"")</f>
        <v/>
      </c>
      <c r="S1336" s="55" t="str">
        <f>IF(AC1336=1,N(G1336)*60/Q1336,"")</f>
        <v/>
      </c>
      <c r="T1336" s="57" t="str">
        <f>IF(AC1336=1,O1336/M1336,"")</f>
        <v/>
      </c>
      <c r="U1336" s="57" t="str">
        <f>IF(AC1336=1,IF(O1336&gt;0,R1336/O1336,""),"")</f>
        <v/>
      </c>
      <c r="V1336" s="57" t="str">
        <f>IF(AC1336=1,IF(P1336&gt;0,N(G1336)/P1336,""),"")</f>
        <v/>
      </c>
      <c r="W1336" s="57" t="str">
        <f>IF(AC1336=1,S1336/M1336,"")</f>
        <v/>
      </c>
      <c r="X1336" s="57" t="str">
        <f>IF(AC1336=1,S1336/K1336,"")</f>
        <v/>
      </c>
      <c r="Y1336" s="58" t="str">
        <f>IF(W1336="","",IF(W1336&gt;=p_target,"Bon",IF(W1336&gt;=p_alert,"À surveiller","Faible")))</f>
        <v/>
      </c>
      <c r="Z1336" s="58" t="str">
        <f>IF(W1336="","",IF(MIN(IF(T1336="",1,T1336),IF(U1336="",1,U1336),IF(V1336="",1,V1336))&gt;=1,"Aucune",IF(IF(T1336="",1,T1336)&lt;=MIN(IF(U1336="",1,U1336),IF(V1336="",1,V1336)),"Disponibilité",IF(IF(U1336="",1,U1336)&lt;=IF(V1336="",1,V1336),"Performance","Qualité"))))</f>
        <v/>
      </c>
      <c r="AA1336" s="59" t="str">
        <f>IF(AC1336=1,N(H1336)*N(IFERROR(INDEX(art_cost,MATCH(E1336,art_ref,0)),0)),"")</f>
        <v/>
      </c>
      <c r="AB1336" s="58" t="str">
        <f>IF(COUNTA(A1336:I1336)=0,"",IF(N(A1336)&lt;=0,"Date manquante ou invalide",IF(B1336="","Équipe manquante",IF(ISNA(MATCH(B1336,eq_code,0)),"Équipe inconnue",IF(INDEX(eq_check,MATCH(B1336,eq_code,0))&lt;&gt;"OK","Équipe à corriger dans Paramètres",IF(C1336="","Poste manquant",IF(ISNA(MATCH(C1336,po_code,0)),"Poste inconnu",IF(AND(E1336&lt;&gt;"",ISNA(MATCH(E1336,art_ref,0))),"Article inconnu",IF(IF(E1336="",FALSE,INDEX(art_check,MATCH(E1336,art_ref,0))&lt;&gt;"OK"),"Article à corriger (feuille Articles)",IF(COUNTIFS(sj_date,A1336,sj_eq,B1336,sj_po,C1336)&gt;1,"Ligne en double (même jour, équipe et poste)",IF(OR(NOT(ISNUMBER(K1336)),N(K1336)&lt;=0,N(K1336)&gt;1440),"Temps d'ouverture invalide",IF(OR(AND(G1336&lt;&gt;"",NOT(ISNUMBER(G1336))),N(G1336)&lt;0,N(G1336)&lt;&gt;INT(N(G1336)),AND(H1336&lt;&gt;"",NOT(ISNUMBER(H1336))),N(H1336)&lt;0,N(H1336)&lt;&gt;INT(N(H1336)),AND(I1336&lt;&gt;"",NOT(ISNUMBER(I1336))),N(I1336)&lt;0,N(I1336)&lt;&gt;INT(N(I1336))),"Quantité invalide",IF(Q1336&lt;=0,"Cadence manquante (poste ou article)",IF(M1336&lt;=0,"Arrêts planifiés supérieurs au temps d'ouverture",IF(O1336&lt;0,"Arrêts supérieurs au temps requis",IF(AND(P1336&gt;0,O1336=0),"Pièces déclarées sans temps de marche",IF(AND(P1336=0,O1336&gt;0),"Aucune pièce déclarée",IF(P1336*60/Q1336&gt;O1336+0.001,"Cadence dépassée : vérifiez la cadence","OK"))))))))))))))))))</f>
        <v/>
      </c>
      <c r="AC1336">
        <f>IF(OR(AB1336="OK",AB1336="Aucune pièce déclarée",AB1336="Cadence dépassée : vérifiez la cadence"),1,0)</f>
        <v>0.0</v>
      </c>
      <c r="AD1336">
        <f>IF(AND(AC1336=1,A1336&gt;=p_from,A1336&lt;=p_to),1,0)</f>
        <v>0.0</v>
      </c>
      <c r="AE1336">
        <f>IF(AD1336=1,IF(COUNTIFS($A$6:A1336,A1336,$AD$6:AD1336,1)=1,1,0),0)</f>
        <v>0.0</v>
      </c>
      <c r="AF1336" t="str">
        <f>IF(AE1336=1,COUNTIFS(sj_first,1,sj_date,"&lt;"&amp;A1336)+1,"")</f>
        <v/>
      </c>
      <c r="AG1336" t="str">
        <f>IF(AND(AD1336=1,N(W1336)&lt;p_alert),ROUND(W1336,4),"")</f>
        <v/>
      </c>
      <c r="AH1336" t="str">
        <f>IF(AG1336="","",COUNTIF(sj_akey,"&lt;"&amp;AG1336)+COUNTIF($AG$6:AG1336,AG1336))</f>
        <v/>
      </c>
    </row>
    <row r="1337">
      <c r="A1337" s="51" t="n"/>
      <c r="B1337" s="52" t="n"/>
      <c r="C1337" s="52" t="n"/>
      <c r="D1337" s="53" t="n"/>
      <c r="E1337" s="53" t="n"/>
      <c r="F1337" s="54" t="n"/>
      <c r="G1337" s="54" t="n"/>
      <c r="H1337" s="54" t="n"/>
      <c r="I1337" s="54" t="n"/>
      <c r="J1337" s="53" t="n"/>
      <c r="K1337" s="55" t="str">
        <f>IF(COUNTA(A1337:I1337)=0,"",IF(F1337="",IFERROR(INDEX(eq_dur,MATCH(B1337,eq_code,0)),""),F1337))</f>
        <v/>
      </c>
      <c r="L1337" s="55" t="str">
        <f>IF(ISNUMBER(K1337),N(IFERROR(INDEX(eq_pause,MATCH(B1337,eq_code,0)),0))+SUMIFS(st_min,st_date,A1337,st_eq,B1337,st_po,C1337,st_type,"Planifié"),"")</f>
        <v/>
      </c>
      <c r="M1337" s="55" t="str">
        <f>IF(ISNUMBER(K1337),K1337-L1337,"")</f>
        <v/>
      </c>
      <c r="N1337" s="55" t="str">
        <f>IF(ISNUMBER(K1337),SUMIFS(st_min,st_date,A1337,st_eq,B1337,st_po,C1337,st_type,"Non planifié"),"")</f>
        <v/>
      </c>
      <c r="O1337" s="55" t="str">
        <f>IF(ISNUMBER(K1337),M1337-N1337,"")</f>
        <v/>
      </c>
      <c r="P1337" s="55" t="str">
        <f>IF(COUNTA(A1337:I1337)=0,"",N(G1337)+N(H1337)+N(I1337))</f>
        <v/>
      </c>
      <c r="Q1337" s="56" t="str">
        <f>IF(COUNTA(A1337:I1337)=0,"",IF(N(IFERROR(INDEX(art_rate,MATCH(E1337,art_ref,0)),0))&gt;0,N(IFERROR(INDEX(art_rate,MATCH(E1337,art_ref,0)),0)),N(IFERROR(INDEX(po_rate,MATCH(C1337,po_code,0)),0))))</f>
        <v/>
      </c>
      <c r="R1337" s="55" t="str">
        <f>IF(AC1337=1,P1337*60/Q1337,"")</f>
        <v/>
      </c>
      <c r="S1337" s="55" t="str">
        <f>IF(AC1337=1,N(G1337)*60/Q1337,"")</f>
        <v/>
      </c>
      <c r="T1337" s="57" t="str">
        <f>IF(AC1337=1,O1337/M1337,"")</f>
        <v/>
      </c>
      <c r="U1337" s="57" t="str">
        <f>IF(AC1337=1,IF(O1337&gt;0,R1337/O1337,""),"")</f>
        <v/>
      </c>
      <c r="V1337" s="57" t="str">
        <f>IF(AC1337=1,IF(P1337&gt;0,N(G1337)/P1337,""),"")</f>
        <v/>
      </c>
      <c r="W1337" s="57" t="str">
        <f>IF(AC1337=1,S1337/M1337,"")</f>
        <v/>
      </c>
      <c r="X1337" s="57" t="str">
        <f>IF(AC1337=1,S1337/K1337,"")</f>
        <v/>
      </c>
      <c r="Y1337" s="58" t="str">
        <f>IF(W1337="","",IF(W1337&gt;=p_target,"Bon",IF(W1337&gt;=p_alert,"À surveiller","Faible")))</f>
        <v/>
      </c>
      <c r="Z1337" s="58" t="str">
        <f>IF(W1337="","",IF(MIN(IF(T1337="",1,T1337),IF(U1337="",1,U1337),IF(V1337="",1,V1337))&gt;=1,"Aucune",IF(IF(T1337="",1,T1337)&lt;=MIN(IF(U1337="",1,U1337),IF(V1337="",1,V1337)),"Disponibilité",IF(IF(U1337="",1,U1337)&lt;=IF(V1337="",1,V1337),"Performance","Qualité"))))</f>
        <v/>
      </c>
      <c r="AA1337" s="59" t="str">
        <f>IF(AC1337=1,N(H1337)*N(IFERROR(INDEX(art_cost,MATCH(E1337,art_ref,0)),0)),"")</f>
        <v/>
      </c>
      <c r="AB1337" s="58" t="str">
        <f>IF(COUNTA(A1337:I1337)=0,"",IF(N(A1337)&lt;=0,"Date manquante ou invalide",IF(B1337="","Équipe manquante",IF(ISNA(MATCH(B1337,eq_code,0)),"Équipe inconnue",IF(INDEX(eq_check,MATCH(B1337,eq_code,0))&lt;&gt;"OK","Équipe à corriger dans Paramètres",IF(C1337="","Poste manquant",IF(ISNA(MATCH(C1337,po_code,0)),"Poste inconnu",IF(AND(E1337&lt;&gt;"",ISNA(MATCH(E1337,art_ref,0))),"Article inconnu",IF(IF(E1337="",FALSE,INDEX(art_check,MATCH(E1337,art_ref,0))&lt;&gt;"OK"),"Article à corriger (feuille Articles)",IF(COUNTIFS(sj_date,A1337,sj_eq,B1337,sj_po,C1337)&gt;1,"Ligne en double (même jour, équipe et poste)",IF(OR(NOT(ISNUMBER(K1337)),N(K1337)&lt;=0,N(K1337)&gt;1440),"Temps d'ouverture invalide",IF(OR(AND(G1337&lt;&gt;"",NOT(ISNUMBER(G1337))),N(G1337)&lt;0,N(G1337)&lt;&gt;INT(N(G1337)),AND(H1337&lt;&gt;"",NOT(ISNUMBER(H1337))),N(H1337)&lt;0,N(H1337)&lt;&gt;INT(N(H1337)),AND(I1337&lt;&gt;"",NOT(ISNUMBER(I1337))),N(I1337)&lt;0,N(I1337)&lt;&gt;INT(N(I1337))),"Quantité invalide",IF(Q1337&lt;=0,"Cadence manquante (poste ou article)",IF(M1337&lt;=0,"Arrêts planifiés supérieurs au temps d'ouverture",IF(O1337&lt;0,"Arrêts supérieurs au temps requis",IF(AND(P1337&gt;0,O1337=0),"Pièces déclarées sans temps de marche",IF(AND(P1337=0,O1337&gt;0),"Aucune pièce déclarée",IF(P1337*60/Q1337&gt;O1337+0.001,"Cadence dépassée : vérifiez la cadence","OK"))))))))))))))))))</f>
        <v/>
      </c>
      <c r="AC1337">
        <f>IF(OR(AB1337="OK",AB1337="Aucune pièce déclarée",AB1337="Cadence dépassée : vérifiez la cadence"),1,0)</f>
        <v>0.0</v>
      </c>
      <c r="AD1337">
        <f>IF(AND(AC1337=1,A1337&gt;=p_from,A1337&lt;=p_to),1,0)</f>
        <v>0.0</v>
      </c>
      <c r="AE1337">
        <f>IF(AD1337=1,IF(COUNTIFS($A$6:A1337,A1337,$AD$6:AD1337,1)=1,1,0),0)</f>
        <v>0.0</v>
      </c>
      <c r="AF1337" t="str">
        <f>IF(AE1337=1,COUNTIFS(sj_first,1,sj_date,"&lt;"&amp;A1337)+1,"")</f>
        <v/>
      </c>
      <c r="AG1337" t="str">
        <f>IF(AND(AD1337=1,N(W1337)&lt;p_alert),ROUND(W1337,4),"")</f>
        <v/>
      </c>
      <c r="AH1337" t="str">
        <f>IF(AG1337="","",COUNTIF(sj_akey,"&lt;"&amp;AG1337)+COUNTIF($AG$6:AG1337,AG1337))</f>
        <v/>
      </c>
    </row>
    <row r="1338">
      <c r="A1338" s="51" t="n"/>
      <c r="B1338" s="52" t="n"/>
      <c r="C1338" s="52" t="n"/>
      <c r="D1338" s="53" t="n"/>
      <c r="E1338" s="53" t="n"/>
      <c r="F1338" s="54" t="n"/>
      <c r="G1338" s="54" t="n"/>
      <c r="H1338" s="54" t="n"/>
      <c r="I1338" s="54" t="n"/>
      <c r="J1338" s="53" t="n"/>
      <c r="K1338" s="55" t="str">
        <f>IF(COUNTA(A1338:I1338)=0,"",IF(F1338="",IFERROR(INDEX(eq_dur,MATCH(B1338,eq_code,0)),""),F1338))</f>
        <v/>
      </c>
      <c r="L1338" s="55" t="str">
        <f>IF(ISNUMBER(K1338),N(IFERROR(INDEX(eq_pause,MATCH(B1338,eq_code,0)),0))+SUMIFS(st_min,st_date,A1338,st_eq,B1338,st_po,C1338,st_type,"Planifié"),"")</f>
        <v/>
      </c>
      <c r="M1338" s="55" t="str">
        <f>IF(ISNUMBER(K1338),K1338-L1338,"")</f>
        <v/>
      </c>
      <c r="N1338" s="55" t="str">
        <f>IF(ISNUMBER(K1338),SUMIFS(st_min,st_date,A1338,st_eq,B1338,st_po,C1338,st_type,"Non planifié"),"")</f>
        <v/>
      </c>
      <c r="O1338" s="55" t="str">
        <f>IF(ISNUMBER(K1338),M1338-N1338,"")</f>
        <v/>
      </c>
      <c r="P1338" s="55" t="str">
        <f>IF(COUNTA(A1338:I1338)=0,"",N(G1338)+N(H1338)+N(I1338))</f>
        <v/>
      </c>
      <c r="Q1338" s="56" t="str">
        <f>IF(COUNTA(A1338:I1338)=0,"",IF(N(IFERROR(INDEX(art_rate,MATCH(E1338,art_ref,0)),0))&gt;0,N(IFERROR(INDEX(art_rate,MATCH(E1338,art_ref,0)),0)),N(IFERROR(INDEX(po_rate,MATCH(C1338,po_code,0)),0))))</f>
        <v/>
      </c>
      <c r="R1338" s="55" t="str">
        <f>IF(AC1338=1,P1338*60/Q1338,"")</f>
        <v/>
      </c>
      <c r="S1338" s="55" t="str">
        <f>IF(AC1338=1,N(G1338)*60/Q1338,"")</f>
        <v/>
      </c>
      <c r="T1338" s="57" t="str">
        <f>IF(AC1338=1,O1338/M1338,"")</f>
        <v/>
      </c>
      <c r="U1338" s="57" t="str">
        <f>IF(AC1338=1,IF(O1338&gt;0,R1338/O1338,""),"")</f>
        <v/>
      </c>
      <c r="V1338" s="57" t="str">
        <f>IF(AC1338=1,IF(P1338&gt;0,N(G1338)/P1338,""),"")</f>
        <v/>
      </c>
      <c r="W1338" s="57" t="str">
        <f>IF(AC1338=1,S1338/M1338,"")</f>
        <v/>
      </c>
      <c r="X1338" s="57" t="str">
        <f>IF(AC1338=1,S1338/K1338,"")</f>
        <v/>
      </c>
      <c r="Y1338" s="58" t="str">
        <f>IF(W1338="","",IF(W1338&gt;=p_target,"Bon",IF(W1338&gt;=p_alert,"À surveiller","Faible")))</f>
        <v/>
      </c>
      <c r="Z1338" s="58" t="str">
        <f>IF(W1338="","",IF(MIN(IF(T1338="",1,T1338),IF(U1338="",1,U1338),IF(V1338="",1,V1338))&gt;=1,"Aucune",IF(IF(T1338="",1,T1338)&lt;=MIN(IF(U1338="",1,U1338),IF(V1338="",1,V1338)),"Disponibilité",IF(IF(U1338="",1,U1338)&lt;=IF(V1338="",1,V1338),"Performance","Qualité"))))</f>
        <v/>
      </c>
      <c r="AA1338" s="59" t="str">
        <f>IF(AC1338=1,N(H1338)*N(IFERROR(INDEX(art_cost,MATCH(E1338,art_ref,0)),0)),"")</f>
        <v/>
      </c>
      <c r="AB1338" s="58" t="str">
        <f>IF(COUNTA(A1338:I1338)=0,"",IF(N(A1338)&lt;=0,"Date manquante ou invalide",IF(B1338="","Équipe manquante",IF(ISNA(MATCH(B1338,eq_code,0)),"Équipe inconnue",IF(INDEX(eq_check,MATCH(B1338,eq_code,0))&lt;&gt;"OK","Équipe à corriger dans Paramètres",IF(C1338="","Poste manquant",IF(ISNA(MATCH(C1338,po_code,0)),"Poste inconnu",IF(AND(E1338&lt;&gt;"",ISNA(MATCH(E1338,art_ref,0))),"Article inconnu",IF(IF(E1338="",FALSE,INDEX(art_check,MATCH(E1338,art_ref,0))&lt;&gt;"OK"),"Article à corriger (feuille Articles)",IF(COUNTIFS(sj_date,A1338,sj_eq,B1338,sj_po,C1338)&gt;1,"Ligne en double (même jour, équipe et poste)",IF(OR(NOT(ISNUMBER(K1338)),N(K1338)&lt;=0,N(K1338)&gt;1440),"Temps d'ouverture invalide",IF(OR(AND(G1338&lt;&gt;"",NOT(ISNUMBER(G1338))),N(G1338)&lt;0,N(G1338)&lt;&gt;INT(N(G1338)),AND(H1338&lt;&gt;"",NOT(ISNUMBER(H1338))),N(H1338)&lt;0,N(H1338)&lt;&gt;INT(N(H1338)),AND(I1338&lt;&gt;"",NOT(ISNUMBER(I1338))),N(I1338)&lt;0,N(I1338)&lt;&gt;INT(N(I1338))),"Quantité invalide",IF(Q1338&lt;=0,"Cadence manquante (poste ou article)",IF(M1338&lt;=0,"Arrêts planifiés supérieurs au temps d'ouverture",IF(O1338&lt;0,"Arrêts supérieurs au temps requis",IF(AND(P1338&gt;0,O1338=0),"Pièces déclarées sans temps de marche",IF(AND(P1338=0,O1338&gt;0),"Aucune pièce déclarée",IF(P1338*60/Q1338&gt;O1338+0.001,"Cadence dépassée : vérifiez la cadence","OK"))))))))))))))))))</f>
        <v/>
      </c>
      <c r="AC1338">
        <f>IF(OR(AB1338="OK",AB1338="Aucune pièce déclarée",AB1338="Cadence dépassée : vérifiez la cadence"),1,0)</f>
        <v>0.0</v>
      </c>
      <c r="AD1338">
        <f>IF(AND(AC1338=1,A1338&gt;=p_from,A1338&lt;=p_to),1,0)</f>
        <v>0.0</v>
      </c>
      <c r="AE1338">
        <f>IF(AD1338=1,IF(COUNTIFS($A$6:A1338,A1338,$AD$6:AD1338,1)=1,1,0),0)</f>
        <v>0.0</v>
      </c>
      <c r="AF1338" t="str">
        <f>IF(AE1338=1,COUNTIFS(sj_first,1,sj_date,"&lt;"&amp;A1338)+1,"")</f>
        <v/>
      </c>
      <c r="AG1338" t="str">
        <f>IF(AND(AD1338=1,N(W1338)&lt;p_alert),ROUND(W1338,4),"")</f>
        <v/>
      </c>
      <c r="AH1338" t="str">
        <f>IF(AG1338="","",COUNTIF(sj_akey,"&lt;"&amp;AG1338)+COUNTIF($AG$6:AG1338,AG1338))</f>
        <v/>
      </c>
    </row>
    <row r="1339">
      <c r="A1339" s="51" t="n"/>
      <c r="B1339" s="52" t="n"/>
      <c r="C1339" s="52" t="n"/>
      <c r="D1339" s="53" t="n"/>
      <c r="E1339" s="53" t="n"/>
      <c r="F1339" s="54" t="n"/>
      <c r="G1339" s="54" t="n"/>
      <c r="H1339" s="54" t="n"/>
      <c r="I1339" s="54" t="n"/>
      <c r="J1339" s="53" t="n"/>
      <c r="K1339" s="55" t="str">
        <f>IF(COUNTA(A1339:I1339)=0,"",IF(F1339="",IFERROR(INDEX(eq_dur,MATCH(B1339,eq_code,0)),""),F1339))</f>
        <v/>
      </c>
      <c r="L1339" s="55" t="str">
        <f>IF(ISNUMBER(K1339),N(IFERROR(INDEX(eq_pause,MATCH(B1339,eq_code,0)),0))+SUMIFS(st_min,st_date,A1339,st_eq,B1339,st_po,C1339,st_type,"Planifié"),"")</f>
        <v/>
      </c>
      <c r="M1339" s="55" t="str">
        <f>IF(ISNUMBER(K1339),K1339-L1339,"")</f>
        <v/>
      </c>
      <c r="N1339" s="55" t="str">
        <f>IF(ISNUMBER(K1339),SUMIFS(st_min,st_date,A1339,st_eq,B1339,st_po,C1339,st_type,"Non planifié"),"")</f>
        <v/>
      </c>
      <c r="O1339" s="55" t="str">
        <f>IF(ISNUMBER(K1339),M1339-N1339,"")</f>
        <v/>
      </c>
      <c r="P1339" s="55" t="str">
        <f>IF(COUNTA(A1339:I1339)=0,"",N(G1339)+N(H1339)+N(I1339))</f>
        <v/>
      </c>
      <c r="Q1339" s="56" t="str">
        <f>IF(COUNTA(A1339:I1339)=0,"",IF(N(IFERROR(INDEX(art_rate,MATCH(E1339,art_ref,0)),0))&gt;0,N(IFERROR(INDEX(art_rate,MATCH(E1339,art_ref,0)),0)),N(IFERROR(INDEX(po_rate,MATCH(C1339,po_code,0)),0))))</f>
        <v/>
      </c>
      <c r="R1339" s="55" t="str">
        <f>IF(AC1339=1,P1339*60/Q1339,"")</f>
        <v/>
      </c>
      <c r="S1339" s="55" t="str">
        <f>IF(AC1339=1,N(G1339)*60/Q1339,"")</f>
        <v/>
      </c>
      <c r="T1339" s="57" t="str">
        <f>IF(AC1339=1,O1339/M1339,"")</f>
        <v/>
      </c>
      <c r="U1339" s="57" t="str">
        <f>IF(AC1339=1,IF(O1339&gt;0,R1339/O1339,""),"")</f>
        <v/>
      </c>
      <c r="V1339" s="57" t="str">
        <f>IF(AC1339=1,IF(P1339&gt;0,N(G1339)/P1339,""),"")</f>
        <v/>
      </c>
      <c r="W1339" s="57" t="str">
        <f>IF(AC1339=1,S1339/M1339,"")</f>
        <v/>
      </c>
      <c r="X1339" s="57" t="str">
        <f>IF(AC1339=1,S1339/K1339,"")</f>
        <v/>
      </c>
      <c r="Y1339" s="58" t="str">
        <f>IF(W1339="","",IF(W1339&gt;=p_target,"Bon",IF(W1339&gt;=p_alert,"À surveiller","Faible")))</f>
        <v/>
      </c>
      <c r="Z1339" s="58" t="str">
        <f>IF(W1339="","",IF(MIN(IF(T1339="",1,T1339),IF(U1339="",1,U1339),IF(V1339="",1,V1339))&gt;=1,"Aucune",IF(IF(T1339="",1,T1339)&lt;=MIN(IF(U1339="",1,U1339),IF(V1339="",1,V1339)),"Disponibilité",IF(IF(U1339="",1,U1339)&lt;=IF(V1339="",1,V1339),"Performance","Qualité"))))</f>
        <v/>
      </c>
      <c r="AA1339" s="59" t="str">
        <f>IF(AC1339=1,N(H1339)*N(IFERROR(INDEX(art_cost,MATCH(E1339,art_ref,0)),0)),"")</f>
        <v/>
      </c>
      <c r="AB1339" s="58" t="str">
        <f>IF(COUNTA(A1339:I1339)=0,"",IF(N(A1339)&lt;=0,"Date manquante ou invalide",IF(B1339="","Équipe manquante",IF(ISNA(MATCH(B1339,eq_code,0)),"Équipe inconnue",IF(INDEX(eq_check,MATCH(B1339,eq_code,0))&lt;&gt;"OK","Équipe à corriger dans Paramètres",IF(C1339="","Poste manquant",IF(ISNA(MATCH(C1339,po_code,0)),"Poste inconnu",IF(AND(E1339&lt;&gt;"",ISNA(MATCH(E1339,art_ref,0))),"Article inconnu",IF(IF(E1339="",FALSE,INDEX(art_check,MATCH(E1339,art_ref,0))&lt;&gt;"OK"),"Article à corriger (feuille Articles)",IF(COUNTIFS(sj_date,A1339,sj_eq,B1339,sj_po,C1339)&gt;1,"Ligne en double (même jour, équipe et poste)",IF(OR(NOT(ISNUMBER(K1339)),N(K1339)&lt;=0,N(K1339)&gt;1440),"Temps d'ouverture invalide",IF(OR(AND(G1339&lt;&gt;"",NOT(ISNUMBER(G1339))),N(G1339)&lt;0,N(G1339)&lt;&gt;INT(N(G1339)),AND(H1339&lt;&gt;"",NOT(ISNUMBER(H1339))),N(H1339)&lt;0,N(H1339)&lt;&gt;INT(N(H1339)),AND(I1339&lt;&gt;"",NOT(ISNUMBER(I1339))),N(I1339)&lt;0,N(I1339)&lt;&gt;INT(N(I1339))),"Quantité invalide",IF(Q1339&lt;=0,"Cadence manquante (poste ou article)",IF(M1339&lt;=0,"Arrêts planifiés supérieurs au temps d'ouverture",IF(O1339&lt;0,"Arrêts supérieurs au temps requis",IF(AND(P1339&gt;0,O1339=0),"Pièces déclarées sans temps de marche",IF(AND(P1339=0,O1339&gt;0),"Aucune pièce déclarée",IF(P1339*60/Q1339&gt;O1339+0.001,"Cadence dépassée : vérifiez la cadence","OK"))))))))))))))))))</f>
        <v/>
      </c>
      <c r="AC1339">
        <f>IF(OR(AB1339="OK",AB1339="Aucune pièce déclarée",AB1339="Cadence dépassée : vérifiez la cadence"),1,0)</f>
        <v>0.0</v>
      </c>
      <c r="AD1339">
        <f>IF(AND(AC1339=1,A1339&gt;=p_from,A1339&lt;=p_to),1,0)</f>
        <v>0.0</v>
      </c>
      <c r="AE1339">
        <f>IF(AD1339=1,IF(COUNTIFS($A$6:A1339,A1339,$AD$6:AD1339,1)=1,1,0),0)</f>
        <v>0.0</v>
      </c>
      <c r="AF1339" t="str">
        <f>IF(AE1339=1,COUNTIFS(sj_first,1,sj_date,"&lt;"&amp;A1339)+1,"")</f>
        <v/>
      </c>
      <c r="AG1339" t="str">
        <f>IF(AND(AD1339=1,N(W1339)&lt;p_alert),ROUND(W1339,4),"")</f>
        <v/>
      </c>
      <c r="AH1339" t="str">
        <f>IF(AG1339="","",COUNTIF(sj_akey,"&lt;"&amp;AG1339)+COUNTIF($AG$6:AG1339,AG1339))</f>
        <v/>
      </c>
    </row>
    <row r="1340">
      <c r="A1340" s="51" t="n"/>
      <c r="B1340" s="52" t="n"/>
      <c r="C1340" s="52" t="n"/>
      <c r="D1340" s="53" t="n"/>
      <c r="E1340" s="53" t="n"/>
      <c r="F1340" s="54" t="n"/>
      <c r="G1340" s="54" t="n"/>
      <c r="H1340" s="54" t="n"/>
      <c r="I1340" s="54" t="n"/>
      <c r="J1340" s="53" t="n"/>
      <c r="K1340" s="55" t="str">
        <f>IF(COUNTA(A1340:I1340)=0,"",IF(F1340="",IFERROR(INDEX(eq_dur,MATCH(B1340,eq_code,0)),""),F1340))</f>
        <v/>
      </c>
      <c r="L1340" s="55" t="str">
        <f>IF(ISNUMBER(K1340),N(IFERROR(INDEX(eq_pause,MATCH(B1340,eq_code,0)),0))+SUMIFS(st_min,st_date,A1340,st_eq,B1340,st_po,C1340,st_type,"Planifié"),"")</f>
        <v/>
      </c>
      <c r="M1340" s="55" t="str">
        <f>IF(ISNUMBER(K1340),K1340-L1340,"")</f>
        <v/>
      </c>
      <c r="N1340" s="55" t="str">
        <f>IF(ISNUMBER(K1340),SUMIFS(st_min,st_date,A1340,st_eq,B1340,st_po,C1340,st_type,"Non planifié"),"")</f>
        <v/>
      </c>
      <c r="O1340" s="55" t="str">
        <f>IF(ISNUMBER(K1340),M1340-N1340,"")</f>
        <v/>
      </c>
      <c r="P1340" s="55" t="str">
        <f>IF(COUNTA(A1340:I1340)=0,"",N(G1340)+N(H1340)+N(I1340))</f>
        <v/>
      </c>
      <c r="Q1340" s="56" t="str">
        <f>IF(COUNTA(A1340:I1340)=0,"",IF(N(IFERROR(INDEX(art_rate,MATCH(E1340,art_ref,0)),0))&gt;0,N(IFERROR(INDEX(art_rate,MATCH(E1340,art_ref,0)),0)),N(IFERROR(INDEX(po_rate,MATCH(C1340,po_code,0)),0))))</f>
        <v/>
      </c>
      <c r="R1340" s="55" t="str">
        <f>IF(AC1340=1,P1340*60/Q1340,"")</f>
        <v/>
      </c>
      <c r="S1340" s="55" t="str">
        <f>IF(AC1340=1,N(G1340)*60/Q1340,"")</f>
        <v/>
      </c>
      <c r="T1340" s="57" t="str">
        <f>IF(AC1340=1,O1340/M1340,"")</f>
        <v/>
      </c>
      <c r="U1340" s="57" t="str">
        <f>IF(AC1340=1,IF(O1340&gt;0,R1340/O1340,""),"")</f>
        <v/>
      </c>
      <c r="V1340" s="57" t="str">
        <f>IF(AC1340=1,IF(P1340&gt;0,N(G1340)/P1340,""),"")</f>
        <v/>
      </c>
      <c r="W1340" s="57" t="str">
        <f>IF(AC1340=1,S1340/M1340,"")</f>
        <v/>
      </c>
      <c r="X1340" s="57" t="str">
        <f>IF(AC1340=1,S1340/K1340,"")</f>
        <v/>
      </c>
      <c r="Y1340" s="58" t="str">
        <f>IF(W1340="","",IF(W1340&gt;=p_target,"Bon",IF(W1340&gt;=p_alert,"À surveiller","Faible")))</f>
        <v/>
      </c>
      <c r="Z1340" s="58" t="str">
        <f>IF(W1340="","",IF(MIN(IF(T1340="",1,T1340),IF(U1340="",1,U1340),IF(V1340="",1,V1340))&gt;=1,"Aucune",IF(IF(T1340="",1,T1340)&lt;=MIN(IF(U1340="",1,U1340),IF(V1340="",1,V1340)),"Disponibilité",IF(IF(U1340="",1,U1340)&lt;=IF(V1340="",1,V1340),"Performance","Qualité"))))</f>
        <v/>
      </c>
      <c r="AA1340" s="59" t="str">
        <f>IF(AC1340=1,N(H1340)*N(IFERROR(INDEX(art_cost,MATCH(E1340,art_ref,0)),0)),"")</f>
        <v/>
      </c>
      <c r="AB1340" s="58" t="str">
        <f>IF(COUNTA(A1340:I1340)=0,"",IF(N(A1340)&lt;=0,"Date manquante ou invalide",IF(B1340="","Équipe manquante",IF(ISNA(MATCH(B1340,eq_code,0)),"Équipe inconnue",IF(INDEX(eq_check,MATCH(B1340,eq_code,0))&lt;&gt;"OK","Équipe à corriger dans Paramètres",IF(C1340="","Poste manquant",IF(ISNA(MATCH(C1340,po_code,0)),"Poste inconnu",IF(AND(E1340&lt;&gt;"",ISNA(MATCH(E1340,art_ref,0))),"Article inconnu",IF(IF(E1340="",FALSE,INDEX(art_check,MATCH(E1340,art_ref,0))&lt;&gt;"OK"),"Article à corriger (feuille Articles)",IF(COUNTIFS(sj_date,A1340,sj_eq,B1340,sj_po,C1340)&gt;1,"Ligne en double (même jour, équipe et poste)",IF(OR(NOT(ISNUMBER(K1340)),N(K1340)&lt;=0,N(K1340)&gt;1440),"Temps d'ouverture invalide",IF(OR(AND(G1340&lt;&gt;"",NOT(ISNUMBER(G1340))),N(G1340)&lt;0,N(G1340)&lt;&gt;INT(N(G1340)),AND(H1340&lt;&gt;"",NOT(ISNUMBER(H1340))),N(H1340)&lt;0,N(H1340)&lt;&gt;INT(N(H1340)),AND(I1340&lt;&gt;"",NOT(ISNUMBER(I1340))),N(I1340)&lt;0,N(I1340)&lt;&gt;INT(N(I1340))),"Quantité invalide",IF(Q1340&lt;=0,"Cadence manquante (poste ou article)",IF(M1340&lt;=0,"Arrêts planifiés supérieurs au temps d'ouverture",IF(O1340&lt;0,"Arrêts supérieurs au temps requis",IF(AND(P1340&gt;0,O1340=0),"Pièces déclarées sans temps de marche",IF(AND(P1340=0,O1340&gt;0),"Aucune pièce déclarée",IF(P1340*60/Q1340&gt;O1340+0.001,"Cadence dépassée : vérifiez la cadence","OK"))))))))))))))))))</f>
        <v/>
      </c>
      <c r="AC1340">
        <f>IF(OR(AB1340="OK",AB1340="Aucune pièce déclarée",AB1340="Cadence dépassée : vérifiez la cadence"),1,0)</f>
        <v>0.0</v>
      </c>
      <c r="AD1340">
        <f>IF(AND(AC1340=1,A1340&gt;=p_from,A1340&lt;=p_to),1,0)</f>
        <v>0.0</v>
      </c>
      <c r="AE1340">
        <f>IF(AD1340=1,IF(COUNTIFS($A$6:A1340,A1340,$AD$6:AD1340,1)=1,1,0),0)</f>
        <v>0.0</v>
      </c>
      <c r="AF1340" t="str">
        <f>IF(AE1340=1,COUNTIFS(sj_first,1,sj_date,"&lt;"&amp;A1340)+1,"")</f>
        <v/>
      </c>
      <c r="AG1340" t="str">
        <f>IF(AND(AD1340=1,N(W1340)&lt;p_alert),ROUND(W1340,4),"")</f>
        <v/>
      </c>
      <c r="AH1340" t="str">
        <f>IF(AG1340="","",COUNTIF(sj_akey,"&lt;"&amp;AG1340)+COUNTIF($AG$6:AG1340,AG1340))</f>
        <v/>
      </c>
    </row>
    <row r="1341">
      <c r="A1341" s="51" t="n"/>
      <c r="B1341" s="52" t="n"/>
      <c r="C1341" s="52" t="n"/>
      <c r="D1341" s="53" t="n"/>
      <c r="E1341" s="53" t="n"/>
      <c r="F1341" s="54" t="n"/>
      <c r="G1341" s="54" t="n"/>
      <c r="H1341" s="54" t="n"/>
      <c r="I1341" s="54" t="n"/>
      <c r="J1341" s="53" t="n"/>
      <c r="K1341" s="55" t="str">
        <f>IF(COUNTA(A1341:I1341)=0,"",IF(F1341="",IFERROR(INDEX(eq_dur,MATCH(B1341,eq_code,0)),""),F1341))</f>
        <v/>
      </c>
      <c r="L1341" s="55" t="str">
        <f>IF(ISNUMBER(K1341),N(IFERROR(INDEX(eq_pause,MATCH(B1341,eq_code,0)),0))+SUMIFS(st_min,st_date,A1341,st_eq,B1341,st_po,C1341,st_type,"Planifié"),"")</f>
        <v/>
      </c>
      <c r="M1341" s="55" t="str">
        <f>IF(ISNUMBER(K1341),K1341-L1341,"")</f>
        <v/>
      </c>
      <c r="N1341" s="55" t="str">
        <f>IF(ISNUMBER(K1341),SUMIFS(st_min,st_date,A1341,st_eq,B1341,st_po,C1341,st_type,"Non planifié"),"")</f>
        <v/>
      </c>
      <c r="O1341" s="55" t="str">
        <f>IF(ISNUMBER(K1341),M1341-N1341,"")</f>
        <v/>
      </c>
      <c r="P1341" s="55" t="str">
        <f>IF(COUNTA(A1341:I1341)=0,"",N(G1341)+N(H1341)+N(I1341))</f>
        <v/>
      </c>
      <c r="Q1341" s="56" t="str">
        <f>IF(COUNTA(A1341:I1341)=0,"",IF(N(IFERROR(INDEX(art_rate,MATCH(E1341,art_ref,0)),0))&gt;0,N(IFERROR(INDEX(art_rate,MATCH(E1341,art_ref,0)),0)),N(IFERROR(INDEX(po_rate,MATCH(C1341,po_code,0)),0))))</f>
        <v/>
      </c>
      <c r="R1341" s="55" t="str">
        <f>IF(AC1341=1,P1341*60/Q1341,"")</f>
        <v/>
      </c>
      <c r="S1341" s="55" t="str">
        <f>IF(AC1341=1,N(G1341)*60/Q1341,"")</f>
        <v/>
      </c>
      <c r="T1341" s="57" t="str">
        <f>IF(AC1341=1,O1341/M1341,"")</f>
        <v/>
      </c>
      <c r="U1341" s="57" t="str">
        <f>IF(AC1341=1,IF(O1341&gt;0,R1341/O1341,""),"")</f>
        <v/>
      </c>
      <c r="V1341" s="57" t="str">
        <f>IF(AC1341=1,IF(P1341&gt;0,N(G1341)/P1341,""),"")</f>
        <v/>
      </c>
      <c r="W1341" s="57" t="str">
        <f>IF(AC1341=1,S1341/M1341,"")</f>
        <v/>
      </c>
      <c r="X1341" s="57" t="str">
        <f>IF(AC1341=1,S1341/K1341,"")</f>
        <v/>
      </c>
      <c r="Y1341" s="58" t="str">
        <f>IF(W1341="","",IF(W1341&gt;=p_target,"Bon",IF(W1341&gt;=p_alert,"À surveiller","Faible")))</f>
        <v/>
      </c>
      <c r="Z1341" s="58" t="str">
        <f>IF(W1341="","",IF(MIN(IF(T1341="",1,T1341),IF(U1341="",1,U1341),IF(V1341="",1,V1341))&gt;=1,"Aucune",IF(IF(T1341="",1,T1341)&lt;=MIN(IF(U1341="",1,U1341),IF(V1341="",1,V1341)),"Disponibilité",IF(IF(U1341="",1,U1341)&lt;=IF(V1341="",1,V1341),"Performance","Qualité"))))</f>
        <v/>
      </c>
      <c r="AA1341" s="59" t="str">
        <f>IF(AC1341=1,N(H1341)*N(IFERROR(INDEX(art_cost,MATCH(E1341,art_ref,0)),0)),"")</f>
        <v/>
      </c>
      <c r="AB1341" s="58" t="str">
        <f>IF(COUNTA(A1341:I1341)=0,"",IF(N(A1341)&lt;=0,"Date manquante ou invalide",IF(B1341="","Équipe manquante",IF(ISNA(MATCH(B1341,eq_code,0)),"Équipe inconnue",IF(INDEX(eq_check,MATCH(B1341,eq_code,0))&lt;&gt;"OK","Équipe à corriger dans Paramètres",IF(C1341="","Poste manquant",IF(ISNA(MATCH(C1341,po_code,0)),"Poste inconnu",IF(AND(E1341&lt;&gt;"",ISNA(MATCH(E1341,art_ref,0))),"Article inconnu",IF(IF(E1341="",FALSE,INDEX(art_check,MATCH(E1341,art_ref,0))&lt;&gt;"OK"),"Article à corriger (feuille Articles)",IF(COUNTIFS(sj_date,A1341,sj_eq,B1341,sj_po,C1341)&gt;1,"Ligne en double (même jour, équipe et poste)",IF(OR(NOT(ISNUMBER(K1341)),N(K1341)&lt;=0,N(K1341)&gt;1440),"Temps d'ouverture invalide",IF(OR(AND(G1341&lt;&gt;"",NOT(ISNUMBER(G1341))),N(G1341)&lt;0,N(G1341)&lt;&gt;INT(N(G1341)),AND(H1341&lt;&gt;"",NOT(ISNUMBER(H1341))),N(H1341)&lt;0,N(H1341)&lt;&gt;INT(N(H1341)),AND(I1341&lt;&gt;"",NOT(ISNUMBER(I1341))),N(I1341)&lt;0,N(I1341)&lt;&gt;INT(N(I1341))),"Quantité invalide",IF(Q1341&lt;=0,"Cadence manquante (poste ou article)",IF(M1341&lt;=0,"Arrêts planifiés supérieurs au temps d'ouverture",IF(O1341&lt;0,"Arrêts supérieurs au temps requis",IF(AND(P1341&gt;0,O1341=0),"Pièces déclarées sans temps de marche",IF(AND(P1341=0,O1341&gt;0),"Aucune pièce déclarée",IF(P1341*60/Q1341&gt;O1341+0.001,"Cadence dépassée : vérifiez la cadence","OK"))))))))))))))))))</f>
        <v/>
      </c>
      <c r="AC1341">
        <f>IF(OR(AB1341="OK",AB1341="Aucune pièce déclarée",AB1341="Cadence dépassée : vérifiez la cadence"),1,0)</f>
        <v>0.0</v>
      </c>
      <c r="AD1341">
        <f>IF(AND(AC1341=1,A1341&gt;=p_from,A1341&lt;=p_to),1,0)</f>
        <v>0.0</v>
      </c>
      <c r="AE1341">
        <f>IF(AD1341=1,IF(COUNTIFS($A$6:A1341,A1341,$AD$6:AD1341,1)=1,1,0),0)</f>
        <v>0.0</v>
      </c>
      <c r="AF1341" t="str">
        <f>IF(AE1341=1,COUNTIFS(sj_first,1,sj_date,"&lt;"&amp;A1341)+1,"")</f>
        <v/>
      </c>
      <c r="AG1341" t="str">
        <f>IF(AND(AD1341=1,N(W1341)&lt;p_alert),ROUND(W1341,4),"")</f>
        <v/>
      </c>
      <c r="AH1341" t="str">
        <f>IF(AG1341="","",COUNTIF(sj_akey,"&lt;"&amp;AG1341)+COUNTIF($AG$6:AG1341,AG1341))</f>
        <v/>
      </c>
    </row>
    <row r="1342">
      <c r="A1342" s="51" t="n"/>
      <c r="B1342" s="52" t="n"/>
      <c r="C1342" s="52" t="n"/>
      <c r="D1342" s="53" t="n"/>
      <c r="E1342" s="53" t="n"/>
      <c r="F1342" s="54" t="n"/>
      <c r="G1342" s="54" t="n"/>
      <c r="H1342" s="54" t="n"/>
      <c r="I1342" s="54" t="n"/>
      <c r="J1342" s="53" t="n"/>
      <c r="K1342" s="55" t="str">
        <f>IF(COUNTA(A1342:I1342)=0,"",IF(F1342="",IFERROR(INDEX(eq_dur,MATCH(B1342,eq_code,0)),""),F1342))</f>
        <v/>
      </c>
      <c r="L1342" s="55" t="str">
        <f>IF(ISNUMBER(K1342),N(IFERROR(INDEX(eq_pause,MATCH(B1342,eq_code,0)),0))+SUMIFS(st_min,st_date,A1342,st_eq,B1342,st_po,C1342,st_type,"Planifié"),"")</f>
        <v/>
      </c>
      <c r="M1342" s="55" t="str">
        <f>IF(ISNUMBER(K1342),K1342-L1342,"")</f>
        <v/>
      </c>
      <c r="N1342" s="55" t="str">
        <f>IF(ISNUMBER(K1342),SUMIFS(st_min,st_date,A1342,st_eq,B1342,st_po,C1342,st_type,"Non planifié"),"")</f>
        <v/>
      </c>
      <c r="O1342" s="55" t="str">
        <f>IF(ISNUMBER(K1342),M1342-N1342,"")</f>
        <v/>
      </c>
      <c r="P1342" s="55" t="str">
        <f>IF(COUNTA(A1342:I1342)=0,"",N(G1342)+N(H1342)+N(I1342))</f>
        <v/>
      </c>
      <c r="Q1342" s="56" t="str">
        <f>IF(COUNTA(A1342:I1342)=0,"",IF(N(IFERROR(INDEX(art_rate,MATCH(E1342,art_ref,0)),0))&gt;0,N(IFERROR(INDEX(art_rate,MATCH(E1342,art_ref,0)),0)),N(IFERROR(INDEX(po_rate,MATCH(C1342,po_code,0)),0))))</f>
        <v/>
      </c>
      <c r="R1342" s="55" t="str">
        <f>IF(AC1342=1,P1342*60/Q1342,"")</f>
        <v/>
      </c>
      <c r="S1342" s="55" t="str">
        <f>IF(AC1342=1,N(G1342)*60/Q1342,"")</f>
        <v/>
      </c>
      <c r="T1342" s="57" t="str">
        <f>IF(AC1342=1,O1342/M1342,"")</f>
        <v/>
      </c>
      <c r="U1342" s="57" t="str">
        <f>IF(AC1342=1,IF(O1342&gt;0,R1342/O1342,""),"")</f>
        <v/>
      </c>
      <c r="V1342" s="57" t="str">
        <f>IF(AC1342=1,IF(P1342&gt;0,N(G1342)/P1342,""),"")</f>
        <v/>
      </c>
      <c r="W1342" s="57" t="str">
        <f>IF(AC1342=1,S1342/M1342,"")</f>
        <v/>
      </c>
      <c r="X1342" s="57" t="str">
        <f>IF(AC1342=1,S1342/K1342,"")</f>
        <v/>
      </c>
      <c r="Y1342" s="58" t="str">
        <f>IF(W1342="","",IF(W1342&gt;=p_target,"Bon",IF(W1342&gt;=p_alert,"À surveiller","Faible")))</f>
        <v/>
      </c>
      <c r="Z1342" s="58" t="str">
        <f>IF(W1342="","",IF(MIN(IF(T1342="",1,T1342),IF(U1342="",1,U1342),IF(V1342="",1,V1342))&gt;=1,"Aucune",IF(IF(T1342="",1,T1342)&lt;=MIN(IF(U1342="",1,U1342),IF(V1342="",1,V1342)),"Disponibilité",IF(IF(U1342="",1,U1342)&lt;=IF(V1342="",1,V1342),"Performance","Qualité"))))</f>
        <v/>
      </c>
      <c r="AA1342" s="59" t="str">
        <f>IF(AC1342=1,N(H1342)*N(IFERROR(INDEX(art_cost,MATCH(E1342,art_ref,0)),0)),"")</f>
        <v/>
      </c>
      <c r="AB1342" s="58" t="str">
        <f>IF(COUNTA(A1342:I1342)=0,"",IF(N(A1342)&lt;=0,"Date manquante ou invalide",IF(B1342="","Équipe manquante",IF(ISNA(MATCH(B1342,eq_code,0)),"Équipe inconnue",IF(INDEX(eq_check,MATCH(B1342,eq_code,0))&lt;&gt;"OK","Équipe à corriger dans Paramètres",IF(C1342="","Poste manquant",IF(ISNA(MATCH(C1342,po_code,0)),"Poste inconnu",IF(AND(E1342&lt;&gt;"",ISNA(MATCH(E1342,art_ref,0))),"Article inconnu",IF(IF(E1342="",FALSE,INDEX(art_check,MATCH(E1342,art_ref,0))&lt;&gt;"OK"),"Article à corriger (feuille Articles)",IF(COUNTIFS(sj_date,A1342,sj_eq,B1342,sj_po,C1342)&gt;1,"Ligne en double (même jour, équipe et poste)",IF(OR(NOT(ISNUMBER(K1342)),N(K1342)&lt;=0,N(K1342)&gt;1440),"Temps d'ouverture invalide",IF(OR(AND(G1342&lt;&gt;"",NOT(ISNUMBER(G1342))),N(G1342)&lt;0,N(G1342)&lt;&gt;INT(N(G1342)),AND(H1342&lt;&gt;"",NOT(ISNUMBER(H1342))),N(H1342)&lt;0,N(H1342)&lt;&gt;INT(N(H1342)),AND(I1342&lt;&gt;"",NOT(ISNUMBER(I1342))),N(I1342)&lt;0,N(I1342)&lt;&gt;INT(N(I1342))),"Quantité invalide",IF(Q1342&lt;=0,"Cadence manquante (poste ou article)",IF(M1342&lt;=0,"Arrêts planifiés supérieurs au temps d'ouverture",IF(O1342&lt;0,"Arrêts supérieurs au temps requis",IF(AND(P1342&gt;0,O1342=0),"Pièces déclarées sans temps de marche",IF(AND(P1342=0,O1342&gt;0),"Aucune pièce déclarée",IF(P1342*60/Q1342&gt;O1342+0.001,"Cadence dépassée : vérifiez la cadence","OK"))))))))))))))))))</f>
        <v/>
      </c>
      <c r="AC1342">
        <f>IF(OR(AB1342="OK",AB1342="Aucune pièce déclarée",AB1342="Cadence dépassée : vérifiez la cadence"),1,0)</f>
        <v>0.0</v>
      </c>
      <c r="AD1342">
        <f>IF(AND(AC1342=1,A1342&gt;=p_from,A1342&lt;=p_to),1,0)</f>
        <v>0.0</v>
      </c>
      <c r="AE1342">
        <f>IF(AD1342=1,IF(COUNTIFS($A$6:A1342,A1342,$AD$6:AD1342,1)=1,1,0),0)</f>
        <v>0.0</v>
      </c>
      <c r="AF1342" t="str">
        <f>IF(AE1342=1,COUNTIFS(sj_first,1,sj_date,"&lt;"&amp;A1342)+1,"")</f>
        <v/>
      </c>
      <c r="AG1342" t="str">
        <f>IF(AND(AD1342=1,N(W1342)&lt;p_alert),ROUND(W1342,4),"")</f>
        <v/>
      </c>
      <c r="AH1342" t="str">
        <f>IF(AG1342="","",COUNTIF(sj_akey,"&lt;"&amp;AG1342)+COUNTIF($AG$6:AG1342,AG1342))</f>
        <v/>
      </c>
    </row>
    <row r="1343">
      <c r="A1343" s="51" t="n"/>
      <c r="B1343" s="52" t="n"/>
      <c r="C1343" s="52" t="n"/>
      <c r="D1343" s="53" t="n"/>
      <c r="E1343" s="53" t="n"/>
      <c r="F1343" s="54" t="n"/>
      <c r="G1343" s="54" t="n"/>
      <c r="H1343" s="54" t="n"/>
      <c r="I1343" s="54" t="n"/>
      <c r="J1343" s="53" t="n"/>
      <c r="K1343" s="55" t="str">
        <f>IF(COUNTA(A1343:I1343)=0,"",IF(F1343="",IFERROR(INDEX(eq_dur,MATCH(B1343,eq_code,0)),""),F1343))</f>
        <v/>
      </c>
      <c r="L1343" s="55" t="str">
        <f>IF(ISNUMBER(K1343),N(IFERROR(INDEX(eq_pause,MATCH(B1343,eq_code,0)),0))+SUMIFS(st_min,st_date,A1343,st_eq,B1343,st_po,C1343,st_type,"Planifié"),"")</f>
        <v/>
      </c>
      <c r="M1343" s="55" t="str">
        <f>IF(ISNUMBER(K1343),K1343-L1343,"")</f>
        <v/>
      </c>
      <c r="N1343" s="55" t="str">
        <f>IF(ISNUMBER(K1343),SUMIFS(st_min,st_date,A1343,st_eq,B1343,st_po,C1343,st_type,"Non planifié"),"")</f>
        <v/>
      </c>
      <c r="O1343" s="55" t="str">
        <f>IF(ISNUMBER(K1343),M1343-N1343,"")</f>
        <v/>
      </c>
      <c r="P1343" s="55" t="str">
        <f>IF(COUNTA(A1343:I1343)=0,"",N(G1343)+N(H1343)+N(I1343))</f>
        <v/>
      </c>
      <c r="Q1343" s="56" t="str">
        <f>IF(COUNTA(A1343:I1343)=0,"",IF(N(IFERROR(INDEX(art_rate,MATCH(E1343,art_ref,0)),0))&gt;0,N(IFERROR(INDEX(art_rate,MATCH(E1343,art_ref,0)),0)),N(IFERROR(INDEX(po_rate,MATCH(C1343,po_code,0)),0))))</f>
        <v/>
      </c>
      <c r="R1343" s="55" t="str">
        <f>IF(AC1343=1,P1343*60/Q1343,"")</f>
        <v/>
      </c>
      <c r="S1343" s="55" t="str">
        <f>IF(AC1343=1,N(G1343)*60/Q1343,"")</f>
        <v/>
      </c>
      <c r="T1343" s="57" t="str">
        <f>IF(AC1343=1,O1343/M1343,"")</f>
        <v/>
      </c>
      <c r="U1343" s="57" t="str">
        <f>IF(AC1343=1,IF(O1343&gt;0,R1343/O1343,""),"")</f>
        <v/>
      </c>
      <c r="V1343" s="57" t="str">
        <f>IF(AC1343=1,IF(P1343&gt;0,N(G1343)/P1343,""),"")</f>
        <v/>
      </c>
      <c r="W1343" s="57" t="str">
        <f>IF(AC1343=1,S1343/M1343,"")</f>
        <v/>
      </c>
      <c r="X1343" s="57" t="str">
        <f>IF(AC1343=1,S1343/K1343,"")</f>
        <v/>
      </c>
      <c r="Y1343" s="58" t="str">
        <f>IF(W1343="","",IF(W1343&gt;=p_target,"Bon",IF(W1343&gt;=p_alert,"À surveiller","Faible")))</f>
        <v/>
      </c>
      <c r="Z1343" s="58" t="str">
        <f>IF(W1343="","",IF(MIN(IF(T1343="",1,T1343),IF(U1343="",1,U1343),IF(V1343="",1,V1343))&gt;=1,"Aucune",IF(IF(T1343="",1,T1343)&lt;=MIN(IF(U1343="",1,U1343),IF(V1343="",1,V1343)),"Disponibilité",IF(IF(U1343="",1,U1343)&lt;=IF(V1343="",1,V1343),"Performance","Qualité"))))</f>
        <v/>
      </c>
      <c r="AA1343" s="59" t="str">
        <f>IF(AC1343=1,N(H1343)*N(IFERROR(INDEX(art_cost,MATCH(E1343,art_ref,0)),0)),"")</f>
        <v/>
      </c>
      <c r="AB1343" s="58" t="str">
        <f>IF(COUNTA(A1343:I1343)=0,"",IF(N(A1343)&lt;=0,"Date manquante ou invalide",IF(B1343="","Équipe manquante",IF(ISNA(MATCH(B1343,eq_code,0)),"Équipe inconnue",IF(INDEX(eq_check,MATCH(B1343,eq_code,0))&lt;&gt;"OK","Équipe à corriger dans Paramètres",IF(C1343="","Poste manquant",IF(ISNA(MATCH(C1343,po_code,0)),"Poste inconnu",IF(AND(E1343&lt;&gt;"",ISNA(MATCH(E1343,art_ref,0))),"Article inconnu",IF(IF(E1343="",FALSE,INDEX(art_check,MATCH(E1343,art_ref,0))&lt;&gt;"OK"),"Article à corriger (feuille Articles)",IF(COUNTIFS(sj_date,A1343,sj_eq,B1343,sj_po,C1343)&gt;1,"Ligne en double (même jour, équipe et poste)",IF(OR(NOT(ISNUMBER(K1343)),N(K1343)&lt;=0,N(K1343)&gt;1440),"Temps d'ouverture invalide",IF(OR(AND(G1343&lt;&gt;"",NOT(ISNUMBER(G1343))),N(G1343)&lt;0,N(G1343)&lt;&gt;INT(N(G1343)),AND(H1343&lt;&gt;"",NOT(ISNUMBER(H1343))),N(H1343)&lt;0,N(H1343)&lt;&gt;INT(N(H1343)),AND(I1343&lt;&gt;"",NOT(ISNUMBER(I1343))),N(I1343)&lt;0,N(I1343)&lt;&gt;INT(N(I1343))),"Quantité invalide",IF(Q1343&lt;=0,"Cadence manquante (poste ou article)",IF(M1343&lt;=0,"Arrêts planifiés supérieurs au temps d'ouverture",IF(O1343&lt;0,"Arrêts supérieurs au temps requis",IF(AND(P1343&gt;0,O1343=0),"Pièces déclarées sans temps de marche",IF(AND(P1343=0,O1343&gt;0),"Aucune pièce déclarée",IF(P1343*60/Q1343&gt;O1343+0.001,"Cadence dépassée : vérifiez la cadence","OK"))))))))))))))))))</f>
        <v/>
      </c>
      <c r="AC1343">
        <f>IF(OR(AB1343="OK",AB1343="Aucune pièce déclarée",AB1343="Cadence dépassée : vérifiez la cadence"),1,0)</f>
        <v>0.0</v>
      </c>
      <c r="AD1343">
        <f>IF(AND(AC1343=1,A1343&gt;=p_from,A1343&lt;=p_to),1,0)</f>
        <v>0.0</v>
      </c>
      <c r="AE1343">
        <f>IF(AD1343=1,IF(COUNTIFS($A$6:A1343,A1343,$AD$6:AD1343,1)=1,1,0),0)</f>
        <v>0.0</v>
      </c>
      <c r="AF1343" t="str">
        <f>IF(AE1343=1,COUNTIFS(sj_first,1,sj_date,"&lt;"&amp;A1343)+1,"")</f>
        <v/>
      </c>
      <c r="AG1343" t="str">
        <f>IF(AND(AD1343=1,N(W1343)&lt;p_alert),ROUND(W1343,4),"")</f>
        <v/>
      </c>
      <c r="AH1343" t="str">
        <f>IF(AG1343="","",COUNTIF(sj_akey,"&lt;"&amp;AG1343)+COUNTIF($AG$6:AG1343,AG1343))</f>
        <v/>
      </c>
    </row>
    <row r="1344">
      <c r="A1344" s="51" t="n"/>
      <c r="B1344" s="52" t="n"/>
      <c r="C1344" s="52" t="n"/>
      <c r="D1344" s="53" t="n"/>
      <c r="E1344" s="53" t="n"/>
      <c r="F1344" s="54" t="n"/>
      <c r="G1344" s="54" t="n"/>
      <c r="H1344" s="54" t="n"/>
      <c r="I1344" s="54" t="n"/>
      <c r="J1344" s="53" t="n"/>
      <c r="K1344" s="55" t="str">
        <f>IF(COUNTA(A1344:I1344)=0,"",IF(F1344="",IFERROR(INDEX(eq_dur,MATCH(B1344,eq_code,0)),""),F1344))</f>
        <v/>
      </c>
      <c r="L1344" s="55" t="str">
        <f>IF(ISNUMBER(K1344),N(IFERROR(INDEX(eq_pause,MATCH(B1344,eq_code,0)),0))+SUMIFS(st_min,st_date,A1344,st_eq,B1344,st_po,C1344,st_type,"Planifié"),"")</f>
        <v/>
      </c>
      <c r="M1344" s="55" t="str">
        <f>IF(ISNUMBER(K1344),K1344-L1344,"")</f>
        <v/>
      </c>
      <c r="N1344" s="55" t="str">
        <f>IF(ISNUMBER(K1344),SUMIFS(st_min,st_date,A1344,st_eq,B1344,st_po,C1344,st_type,"Non planifié"),"")</f>
        <v/>
      </c>
      <c r="O1344" s="55" t="str">
        <f>IF(ISNUMBER(K1344),M1344-N1344,"")</f>
        <v/>
      </c>
      <c r="P1344" s="55" t="str">
        <f>IF(COUNTA(A1344:I1344)=0,"",N(G1344)+N(H1344)+N(I1344))</f>
        <v/>
      </c>
      <c r="Q1344" s="56" t="str">
        <f>IF(COUNTA(A1344:I1344)=0,"",IF(N(IFERROR(INDEX(art_rate,MATCH(E1344,art_ref,0)),0))&gt;0,N(IFERROR(INDEX(art_rate,MATCH(E1344,art_ref,0)),0)),N(IFERROR(INDEX(po_rate,MATCH(C1344,po_code,0)),0))))</f>
        <v/>
      </c>
      <c r="R1344" s="55" t="str">
        <f>IF(AC1344=1,P1344*60/Q1344,"")</f>
        <v/>
      </c>
      <c r="S1344" s="55" t="str">
        <f>IF(AC1344=1,N(G1344)*60/Q1344,"")</f>
        <v/>
      </c>
      <c r="T1344" s="57" t="str">
        <f>IF(AC1344=1,O1344/M1344,"")</f>
        <v/>
      </c>
      <c r="U1344" s="57" t="str">
        <f>IF(AC1344=1,IF(O1344&gt;0,R1344/O1344,""),"")</f>
        <v/>
      </c>
      <c r="V1344" s="57" t="str">
        <f>IF(AC1344=1,IF(P1344&gt;0,N(G1344)/P1344,""),"")</f>
        <v/>
      </c>
      <c r="W1344" s="57" t="str">
        <f>IF(AC1344=1,S1344/M1344,"")</f>
        <v/>
      </c>
      <c r="X1344" s="57" t="str">
        <f>IF(AC1344=1,S1344/K1344,"")</f>
        <v/>
      </c>
      <c r="Y1344" s="58" t="str">
        <f>IF(W1344="","",IF(W1344&gt;=p_target,"Bon",IF(W1344&gt;=p_alert,"À surveiller","Faible")))</f>
        <v/>
      </c>
      <c r="Z1344" s="58" t="str">
        <f>IF(W1344="","",IF(MIN(IF(T1344="",1,T1344),IF(U1344="",1,U1344),IF(V1344="",1,V1344))&gt;=1,"Aucune",IF(IF(T1344="",1,T1344)&lt;=MIN(IF(U1344="",1,U1344),IF(V1344="",1,V1344)),"Disponibilité",IF(IF(U1344="",1,U1344)&lt;=IF(V1344="",1,V1344),"Performance","Qualité"))))</f>
        <v/>
      </c>
      <c r="AA1344" s="59" t="str">
        <f>IF(AC1344=1,N(H1344)*N(IFERROR(INDEX(art_cost,MATCH(E1344,art_ref,0)),0)),"")</f>
        <v/>
      </c>
      <c r="AB1344" s="58" t="str">
        <f>IF(COUNTA(A1344:I1344)=0,"",IF(N(A1344)&lt;=0,"Date manquante ou invalide",IF(B1344="","Équipe manquante",IF(ISNA(MATCH(B1344,eq_code,0)),"Équipe inconnue",IF(INDEX(eq_check,MATCH(B1344,eq_code,0))&lt;&gt;"OK","Équipe à corriger dans Paramètres",IF(C1344="","Poste manquant",IF(ISNA(MATCH(C1344,po_code,0)),"Poste inconnu",IF(AND(E1344&lt;&gt;"",ISNA(MATCH(E1344,art_ref,0))),"Article inconnu",IF(IF(E1344="",FALSE,INDEX(art_check,MATCH(E1344,art_ref,0))&lt;&gt;"OK"),"Article à corriger (feuille Articles)",IF(COUNTIFS(sj_date,A1344,sj_eq,B1344,sj_po,C1344)&gt;1,"Ligne en double (même jour, équipe et poste)",IF(OR(NOT(ISNUMBER(K1344)),N(K1344)&lt;=0,N(K1344)&gt;1440),"Temps d'ouverture invalide",IF(OR(AND(G1344&lt;&gt;"",NOT(ISNUMBER(G1344))),N(G1344)&lt;0,N(G1344)&lt;&gt;INT(N(G1344)),AND(H1344&lt;&gt;"",NOT(ISNUMBER(H1344))),N(H1344)&lt;0,N(H1344)&lt;&gt;INT(N(H1344)),AND(I1344&lt;&gt;"",NOT(ISNUMBER(I1344))),N(I1344)&lt;0,N(I1344)&lt;&gt;INT(N(I1344))),"Quantité invalide",IF(Q1344&lt;=0,"Cadence manquante (poste ou article)",IF(M1344&lt;=0,"Arrêts planifiés supérieurs au temps d'ouverture",IF(O1344&lt;0,"Arrêts supérieurs au temps requis",IF(AND(P1344&gt;0,O1344=0),"Pièces déclarées sans temps de marche",IF(AND(P1344=0,O1344&gt;0),"Aucune pièce déclarée",IF(P1344*60/Q1344&gt;O1344+0.001,"Cadence dépassée : vérifiez la cadence","OK"))))))))))))))))))</f>
        <v/>
      </c>
      <c r="AC1344">
        <f>IF(OR(AB1344="OK",AB1344="Aucune pièce déclarée",AB1344="Cadence dépassée : vérifiez la cadence"),1,0)</f>
        <v>0.0</v>
      </c>
      <c r="AD1344">
        <f>IF(AND(AC1344=1,A1344&gt;=p_from,A1344&lt;=p_to),1,0)</f>
        <v>0.0</v>
      </c>
      <c r="AE1344">
        <f>IF(AD1344=1,IF(COUNTIFS($A$6:A1344,A1344,$AD$6:AD1344,1)=1,1,0),0)</f>
        <v>0.0</v>
      </c>
      <c r="AF1344" t="str">
        <f>IF(AE1344=1,COUNTIFS(sj_first,1,sj_date,"&lt;"&amp;A1344)+1,"")</f>
        <v/>
      </c>
      <c r="AG1344" t="str">
        <f>IF(AND(AD1344=1,N(W1344)&lt;p_alert),ROUND(W1344,4),"")</f>
        <v/>
      </c>
      <c r="AH1344" t="str">
        <f>IF(AG1344="","",COUNTIF(sj_akey,"&lt;"&amp;AG1344)+COUNTIF($AG$6:AG1344,AG1344))</f>
        <v/>
      </c>
    </row>
    <row r="1345">
      <c r="A1345" s="51" t="n"/>
      <c r="B1345" s="52" t="n"/>
      <c r="C1345" s="52" t="n"/>
      <c r="D1345" s="53" t="n"/>
      <c r="E1345" s="53" t="n"/>
      <c r="F1345" s="54" t="n"/>
      <c r="G1345" s="54" t="n"/>
      <c r="H1345" s="54" t="n"/>
      <c r="I1345" s="54" t="n"/>
      <c r="J1345" s="53" t="n"/>
      <c r="K1345" s="55" t="str">
        <f>IF(COUNTA(A1345:I1345)=0,"",IF(F1345="",IFERROR(INDEX(eq_dur,MATCH(B1345,eq_code,0)),""),F1345))</f>
        <v/>
      </c>
      <c r="L1345" s="55" t="str">
        <f>IF(ISNUMBER(K1345),N(IFERROR(INDEX(eq_pause,MATCH(B1345,eq_code,0)),0))+SUMIFS(st_min,st_date,A1345,st_eq,B1345,st_po,C1345,st_type,"Planifié"),"")</f>
        <v/>
      </c>
      <c r="M1345" s="55" t="str">
        <f>IF(ISNUMBER(K1345),K1345-L1345,"")</f>
        <v/>
      </c>
      <c r="N1345" s="55" t="str">
        <f>IF(ISNUMBER(K1345),SUMIFS(st_min,st_date,A1345,st_eq,B1345,st_po,C1345,st_type,"Non planifié"),"")</f>
        <v/>
      </c>
      <c r="O1345" s="55" t="str">
        <f>IF(ISNUMBER(K1345),M1345-N1345,"")</f>
        <v/>
      </c>
      <c r="P1345" s="55" t="str">
        <f>IF(COUNTA(A1345:I1345)=0,"",N(G1345)+N(H1345)+N(I1345))</f>
        <v/>
      </c>
      <c r="Q1345" s="56" t="str">
        <f>IF(COUNTA(A1345:I1345)=0,"",IF(N(IFERROR(INDEX(art_rate,MATCH(E1345,art_ref,0)),0))&gt;0,N(IFERROR(INDEX(art_rate,MATCH(E1345,art_ref,0)),0)),N(IFERROR(INDEX(po_rate,MATCH(C1345,po_code,0)),0))))</f>
        <v/>
      </c>
      <c r="R1345" s="55" t="str">
        <f>IF(AC1345=1,P1345*60/Q1345,"")</f>
        <v/>
      </c>
      <c r="S1345" s="55" t="str">
        <f>IF(AC1345=1,N(G1345)*60/Q1345,"")</f>
        <v/>
      </c>
      <c r="T1345" s="57" t="str">
        <f>IF(AC1345=1,O1345/M1345,"")</f>
        <v/>
      </c>
      <c r="U1345" s="57" t="str">
        <f>IF(AC1345=1,IF(O1345&gt;0,R1345/O1345,""),"")</f>
        <v/>
      </c>
      <c r="V1345" s="57" t="str">
        <f>IF(AC1345=1,IF(P1345&gt;0,N(G1345)/P1345,""),"")</f>
        <v/>
      </c>
      <c r="W1345" s="57" t="str">
        <f>IF(AC1345=1,S1345/M1345,"")</f>
        <v/>
      </c>
      <c r="X1345" s="57" t="str">
        <f>IF(AC1345=1,S1345/K1345,"")</f>
        <v/>
      </c>
      <c r="Y1345" s="58" t="str">
        <f>IF(W1345="","",IF(W1345&gt;=p_target,"Bon",IF(W1345&gt;=p_alert,"À surveiller","Faible")))</f>
        <v/>
      </c>
      <c r="Z1345" s="58" t="str">
        <f>IF(W1345="","",IF(MIN(IF(T1345="",1,T1345),IF(U1345="",1,U1345),IF(V1345="",1,V1345))&gt;=1,"Aucune",IF(IF(T1345="",1,T1345)&lt;=MIN(IF(U1345="",1,U1345),IF(V1345="",1,V1345)),"Disponibilité",IF(IF(U1345="",1,U1345)&lt;=IF(V1345="",1,V1345),"Performance","Qualité"))))</f>
        <v/>
      </c>
      <c r="AA1345" s="59" t="str">
        <f>IF(AC1345=1,N(H1345)*N(IFERROR(INDEX(art_cost,MATCH(E1345,art_ref,0)),0)),"")</f>
        <v/>
      </c>
      <c r="AB1345" s="58" t="str">
        <f>IF(COUNTA(A1345:I1345)=0,"",IF(N(A1345)&lt;=0,"Date manquante ou invalide",IF(B1345="","Équipe manquante",IF(ISNA(MATCH(B1345,eq_code,0)),"Équipe inconnue",IF(INDEX(eq_check,MATCH(B1345,eq_code,0))&lt;&gt;"OK","Équipe à corriger dans Paramètres",IF(C1345="","Poste manquant",IF(ISNA(MATCH(C1345,po_code,0)),"Poste inconnu",IF(AND(E1345&lt;&gt;"",ISNA(MATCH(E1345,art_ref,0))),"Article inconnu",IF(IF(E1345="",FALSE,INDEX(art_check,MATCH(E1345,art_ref,0))&lt;&gt;"OK"),"Article à corriger (feuille Articles)",IF(COUNTIFS(sj_date,A1345,sj_eq,B1345,sj_po,C1345)&gt;1,"Ligne en double (même jour, équipe et poste)",IF(OR(NOT(ISNUMBER(K1345)),N(K1345)&lt;=0,N(K1345)&gt;1440),"Temps d'ouverture invalide",IF(OR(AND(G1345&lt;&gt;"",NOT(ISNUMBER(G1345))),N(G1345)&lt;0,N(G1345)&lt;&gt;INT(N(G1345)),AND(H1345&lt;&gt;"",NOT(ISNUMBER(H1345))),N(H1345)&lt;0,N(H1345)&lt;&gt;INT(N(H1345)),AND(I1345&lt;&gt;"",NOT(ISNUMBER(I1345))),N(I1345)&lt;0,N(I1345)&lt;&gt;INT(N(I1345))),"Quantité invalide",IF(Q1345&lt;=0,"Cadence manquante (poste ou article)",IF(M1345&lt;=0,"Arrêts planifiés supérieurs au temps d'ouverture",IF(O1345&lt;0,"Arrêts supérieurs au temps requis",IF(AND(P1345&gt;0,O1345=0),"Pièces déclarées sans temps de marche",IF(AND(P1345=0,O1345&gt;0),"Aucune pièce déclarée",IF(P1345*60/Q1345&gt;O1345+0.001,"Cadence dépassée : vérifiez la cadence","OK"))))))))))))))))))</f>
        <v/>
      </c>
      <c r="AC1345">
        <f>IF(OR(AB1345="OK",AB1345="Aucune pièce déclarée",AB1345="Cadence dépassée : vérifiez la cadence"),1,0)</f>
        <v>0.0</v>
      </c>
      <c r="AD1345">
        <f>IF(AND(AC1345=1,A1345&gt;=p_from,A1345&lt;=p_to),1,0)</f>
        <v>0.0</v>
      </c>
      <c r="AE1345">
        <f>IF(AD1345=1,IF(COUNTIFS($A$6:A1345,A1345,$AD$6:AD1345,1)=1,1,0),0)</f>
        <v>0.0</v>
      </c>
      <c r="AF1345" t="str">
        <f>IF(AE1345=1,COUNTIFS(sj_first,1,sj_date,"&lt;"&amp;A1345)+1,"")</f>
        <v/>
      </c>
      <c r="AG1345" t="str">
        <f>IF(AND(AD1345=1,N(W1345)&lt;p_alert),ROUND(W1345,4),"")</f>
        <v/>
      </c>
      <c r="AH1345" t="str">
        <f>IF(AG1345="","",COUNTIF(sj_akey,"&lt;"&amp;AG1345)+COUNTIF($AG$6:AG1345,AG1345))</f>
        <v/>
      </c>
    </row>
    <row r="1346">
      <c r="A1346" s="51" t="n"/>
      <c r="B1346" s="52" t="n"/>
      <c r="C1346" s="52" t="n"/>
      <c r="D1346" s="53" t="n"/>
      <c r="E1346" s="53" t="n"/>
      <c r="F1346" s="54" t="n"/>
      <c r="G1346" s="54" t="n"/>
      <c r="H1346" s="54" t="n"/>
      <c r="I1346" s="54" t="n"/>
      <c r="J1346" s="53" t="n"/>
      <c r="K1346" s="55" t="str">
        <f>IF(COUNTA(A1346:I1346)=0,"",IF(F1346="",IFERROR(INDEX(eq_dur,MATCH(B1346,eq_code,0)),""),F1346))</f>
        <v/>
      </c>
      <c r="L1346" s="55" t="str">
        <f>IF(ISNUMBER(K1346),N(IFERROR(INDEX(eq_pause,MATCH(B1346,eq_code,0)),0))+SUMIFS(st_min,st_date,A1346,st_eq,B1346,st_po,C1346,st_type,"Planifié"),"")</f>
        <v/>
      </c>
      <c r="M1346" s="55" t="str">
        <f>IF(ISNUMBER(K1346),K1346-L1346,"")</f>
        <v/>
      </c>
      <c r="N1346" s="55" t="str">
        <f>IF(ISNUMBER(K1346),SUMIFS(st_min,st_date,A1346,st_eq,B1346,st_po,C1346,st_type,"Non planifié"),"")</f>
        <v/>
      </c>
      <c r="O1346" s="55" t="str">
        <f>IF(ISNUMBER(K1346),M1346-N1346,"")</f>
        <v/>
      </c>
      <c r="P1346" s="55" t="str">
        <f>IF(COUNTA(A1346:I1346)=0,"",N(G1346)+N(H1346)+N(I1346))</f>
        <v/>
      </c>
      <c r="Q1346" s="56" t="str">
        <f>IF(COUNTA(A1346:I1346)=0,"",IF(N(IFERROR(INDEX(art_rate,MATCH(E1346,art_ref,0)),0))&gt;0,N(IFERROR(INDEX(art_rate,MATCH(E1346,art_ref,0)),0)),N(IFERROR(INDEX(po_rate,MATCH(C1346,po_code,0)),0))))</f>
        <v/>
      </c>
      <c r="R1346" s="55" t="str">
        <f>IF(AC1346=1,P1346*60/Q1346,"")</f>
        <v/>
      </c>
      <c r="S1346" s="55" t="str">
        <f>IF(AC1346=1,N(G1346)*60/Q1346,"")</f>
        <v/>
      </c>
      <c r="T1346" s="57" t="str">
        <f>IF(AC1346=1,O1346/M1346,"")</f>
        <v/>
      </c>
      <c r="U1346" s="57" t="str">
        <f>IF(AC1346=1,IF(O1346&gt;0,R1346/O1346,""),"")</f>
        <v/>
      </c>
      <c r="V1346" s="57" t="str">
        <f>IF(AC1346=1,IF(P1346&gt;0,N(G1346)/P1346,""),"")</f>
        <v/>
      </c>
      <c r="W1346" s="57" t="str">
        <f>IF(AC1346=1,S1346/M1346,"")</f>
        <v/>
      </c>
      <c r="X1346" s="57" t="str">
        <f>IF(AC1346=1,S1346/K1346,"")</f>
        <v/>
      </c>
      <c r="Y1346" s="58" t="str">
        <f>IF(W1346="","",IF(W1346&gt;=p_target,"Bon",IF(W1346&gt;=p_alert,"À surveiller","Faible")))</f>
        <v/>
      </c>
      <c r="Z1346" s="58" t="str">
        <f>IF(W1346="","",IF(MIN(IF(T1346="",1,T1346),IF(U1346="",1,U1346),IF(V1346="",1,V1346))&gt;=1,"Aucune",IF(IF(T1346="",1,T1346)&lt;=MIN(IF(U1346="",1,U1346),IF(V1346="",1,V1346)),"Disponibilité",IF(IF(U1346="",1,U1346)&lt;=IF(V1346="",1,V1346),"Performance","Qualité"))))</f>
        <v/>
      </c>
      <c r="AA1346" s="59" t="str">
        <f>IF(AC1346=1,N(H1346)*N(IFERROR(INDEX(art_cost,MATCH(E1346,art_ref,0)),0)),"")</f>
        <v/>
      </c>
      <c r="AB1346" s="58" t="str">
        <f>IF(COUNTA(A1346:I1346)=0,"",IF(N(A1346)&lt;=0,"Date manquante ou invalide",IF(B1346="","Équipe manquante",IF(ISNA(MATCH(B1346,eq_code,0)),"Équipe inconnue",IF(INDEX(eq_check,MATCH(B1346,eq_code,0))&lt;&gt;"OK","Équipe à corriger dans Paramètres",IF(C1346="","Poste manquant",IF(ISNA(MATCH(C1346,po_code,0)),"Poste inconnu",IF(AND(E1346&lt;&gt;"",ISNA(MATCH(E1346,art_ref,0))),"Article inconnu",IF(IF(E1346="",FALSE,INDEX(art_check,MATCH(E1346,art_ref,0))&lt;&gt;"OK"),"Article à corriger (feuille Articles)",IF(COUNTIFS(sj_date,A1346,sj_eq,B1346,sj_po,C1346)&gt;1,"Ligne en double (même jour, équipe et poste)",IF(OR(NOT(ISNUMBER(K1346)),N(K1346)&lt;=0,N(K1346)&gt;1440),"Temps d'ouverture invalide",IF(OR(AND(G1346&lt;&gt;"",NOT(ISNUMBER(G1346))),N(G1346)&lt;0,N(G1346)&lt;&gt;INT(N(G1346)),AND(H1346&lt;&gt;"",NOT(ISNUMBER(H1346))),N(H1346)&lt;0,N(H1346)&lt;&gt;INT(N(H1346)),AND(I1346&lt;&gt;"",NOT(ISNUMBER(I1346))),N(I1346)&lt;0,N(I1346)&lt;&gt;INT(N(I1346))),"Quantité invalide",IF(Q1346&lt;=0,"Cadence manquante (poste ou article)",IF(M1346&lt;=0,"Arrêts planifiés supérieurs au temps d'ouverture",IF(O1346&lt;0,"Arrêts supérieurs au temps requis",IF(AND(P1346&gt;0,O1346=0),"Pièces déclarées sans temps de marche",IF(AND(P1346=0,O1346&gt;0),"Aucune pièce déclarée",IF(P1346*60/Q1346&gt;O1346+0.001,"Cadence dépassée : vérifiez la cadence","OK"))))))))))))))))))</f>
        <v/>
      </c>
      <c r="AC1346">
        <f>IF(OR(AB1346="OK",AB1346="Aucune pièce déclarée",AB1346="Cadence dépassée : vérifiez la cadence"),1,0)</f>
        <v>0.0</v>
      </c>
      <c r="AD1346">
        <f>IF(AND(AC1346=1,A1346&gt;=p_from,A1346&lt;=p_to),1,0)</f>
        <v>0.0</v>
      </c>
      <c r="AE1346">
        <f>IF(AD1346=1,IF(COUNTIFS($A$6:A1346,A1346,$AD$6:AD1346,1)=1,1,0),0)</f>
        <v>0.0</v>
      </c>
      <c r="AF1346" t="str">
        <f>IF(AE1346=1,COUNTIFS(sj_first,1,sj_date,"&lt;"&amp;A1346)+1,"")</f>
        <v/>
      </c>
      <c r="AG1346" t="str">
        <f>IF(AND(AD1346=1,N(W1346)&lt;p_alert),ROUND(W1346,4),"")</f>
        <v/>
      </c>
      <c r="AH1346" t="str">
        <f>IF(AG1346="","",COUNTIF(sj_akey,"&lt;"&amp;AG1346)+COUNTIF($AG$6:AG1346,AG1346))</f>
        <v/>
      </c>
    </row>
    <row r="1347">
      <c r="A1347" s="51" t="n"/>
      <c r="B1347" s="52" t="n"/>
      <c r="C1347" s="52" t="n"/>
      <c r="D1347" s="53" t="n"/>
      <c r="E1347" s="53" t="n"/>
      <c r="F1347" s="54" t="n"/>
      <c r="G1347" s="54" t="n"/>
      <c r="H1347" s="54" t="n"/>
      <c r="I1347" s="54" t="n"/>
      <c r="J1347" s="53" t="n"/>
      <c r="K1347" s="55" t="str">
        <f>IF(COUNTA(A1347:I1347)=0,"",IF(F1347="",IFERROR(INDEX(eq_dur,MATCH(B1347,eq_code,0)),""),F1347))</f>
        <v/>
      </c>
      <c r="L1347" s="55" t="str">
        <f>IF(ISNUMBER(K1347),N(IFERROR(INDEX(eq_pause,MATCH(B1347,eq_code,0)),0))+SUMIFS(st_min,st_date,A1347,st_eq,B1347,st_po,C1347,st_type,"Planifié"),"")</f>
        <v/>
      </c>
      <c r="M1347" s="55" t="str">
        <f>IF(ISNUMBER(K1347),K1347-L1347,"")</f>
        <v/>
      </c>
      <c r="N1347" s="55" t="str">
        <f>IF(ISNUMBER(K1347),SUMIFS(st_min,st_date,A1347,st_eq,B1347,st_po,C1347,st_type,"Non planifié"),"")</f>
        <v/>
      </c>
      <c r="O1347" s="55" t="str">
        <f>IF(ISNUMBER(K1347),M1347-N1347,"")</f>
        <v/>
      </c>
      <c r="P1347" s="55" t="str">
        <f>IF(COUNTA(A1347:I1347)=0,"",N(G1347)+N(H1347)+N(I1347))</f>
        <v/>
      </c>
      <c r="Q1347" s="56" t="str">
        <f>IF(COUNTA(A1347:I1347)=0,"",IF(N(IFERROR(INDEX(art_rate,MATCH(E1347,art_ref,0)),0))&gt;0,N(IFERROR(INDEX(art_rate,MATCH(E1347,art_ref,0)),0)),N(IFERROR(INDEX(po_rate,MATCH(C1347,po_code,0)),0))))</f>
        <v/>
      </c>
      <c r="R1347" s="55" t="str">
        <f>IF(AC1347=1,P1347*60/Q1347,"")</f>
        <v/>
      </c>
      <c r="S1347" s="55" t="str">
        <f>IF(AC1347=1,N(G1347)*60/Q1347,"")</f>
        <v/>
      </c>
      <c r="T1347" s="57" t="str">
        <f>IF(AC1347=1,O1347/M1347,"")</f>
        <v/>
      </c>
      <c r="U1347" s="57" t="str">
        <f>IF(AC1347=1,IF(O1347&gt;0,R1347/O1347,""),"")</f>
        <v/>
      </c>
      <c r="V1347" s="57" t="str">
        <f>IF(AC1347=1,IF(P1347&gt;0,N(G1347)/P1347,""),"")</f>
        <v/>
      </c>
      <c r="W1347" s="57" t="str">
        <f>IF(AC1347=1,S1347/M1347,"")</f>
        <v/>
      </c>
      <c r="X1347" s="57" t="str">
        <f>IF(AC1347=1,S1347/K1347,"")</f>
        <v/>
      </c>
      <c r="Y1347" s="58" t="str">
        <f>IF(W1347="","",IF(W1347&gt;=p_target,"Bon",IF(W1347&gt;=p_alert,"À surveiller","Faible")))</f>
        <v/>
      </c>
      <c r="Z1347" s="58" t="str">
        <f>IF(W1347="","",IF(MIN(IF(T1347="",1,T1347),IF(U1347="",1,U1347),IF(V1347="",1,V1347))&gt;=1,"Aucune",IF(IF(T1347="",1,T1347)&lt;=MIN(IF(U1347="",1,U1347),IF(V1347="",1,V1347)),"Disponibilité",IF(IF(U1347="",1,U1347)&lt;=IF(V1347="",1,V1347),"Performance","Qualité"))))</f>
        <v/>
      </c>
      <c r="AA1347" s="59" t="str">
        <f>IF(AC1347=1,N(H1347)*N(IFERROR(INDEX(art_cost,MATCH(E1347,art_ref,0)),0)),"")</f>
        <v/>
      </c>
      <c r="AB1347" s="58" t="str">
        <f>IF(COUNTA(A1347:I1347)=0,"",IF(N(A1347)&lt;=0,"Date manquante ou invalide",IF(B1347="","Équipe manquante",IF(ISNA(MATCH(B1347,eq_code,0)),"Équipe inconnue",IF(INDEX(eq_check,MATCH(B1347,eq_code,0))&lt;&gt;"OK","Équipe à corriger dans Paramètres",IF(C1347="","Poste manquant",IF(ISNA(MATCH(C1347,po_code,0)),"Poste inconnu",IF(AND(E1347&lt;&gt;"",ISNA(MATCH(E1347,art_ref,0))),"Article inconnu",IF(IF(E1347="",FALSE,INDEX(art_check,MATCH(E1347,art_ref,0))&lt;&gt;"OK"),"Article à corriger (feuille Articles)",IF(COUNTIFS(sj_date,A1347,sj_eq,B1347,sj_po,C1347)&gt;1,"Ligne en double (même jour, équipe et poste)",IF(OR(NOT(ISNUMBER(K1347)),N(K1347)&lt;=0,N(K1347)&gt;1440),"Temps d'ouverture invalide",IF(OR(AND(G1347&lt;&gt;"",NOT(ISNUMBER(G1347))),N(G1347)&lt;0,N(G1347)&lt;&gt;INT(N(G1347)),AND(H1347&lt;&gt;"",NOT(ISNUMBER(H1347))),N(H1347)&lt;0,N(H1347)&lt;&gt;INT(N(H1347)),AND(I1347&lt;&gt;"",NOT(ISNUMBER(I1347))),N(I1347)&lt;0,N(I1347)&lt;&gt;INT(N(I1347))),"Quantité invalide",IF(Q1347&lt;=0,"Cadence manquante (poste ou article)",IF(M1347&lt;=0,"Arrêts planifiés supérieurs au temps d'ouverture",IF(O1347&lt;0,"Arrêts supérieurs au temps requis",IF(AND(P1347&gt;0,O1347=0),"Pièces déclarées sans temps de marche",IF(AND(P1347=0,O1347&gt;0),"Aucune pièce déclarée",IF(P1347*60/Q1347&gt;O1347+0.001,"Cadence dépassée : vérifiez la cadence","OK"))))))))))))))))))</f>
        <v/>
      </c>
      <c r="AC1347">
        <f>IF(OR(AB1347="OK",AB1347="Aucune pièce déclarée",AB1347="Cadence dépassée : vérifiez la cadence"),1,0)</f>
        <v>0.0</v>
      </c>
      <c r="AD1347">
        <f>IF(AND(AC1347=1,A1347&gt;=p_from,A1347&lt;=p_to),1,0)</f>
        <v>0.0</v>
      </c>
      <c r="AE1347">
        <f>IF(AD1347=1,IF(COUNTIFS($A$6:A1347,A1347,$AD$6:AD1347,1)=1,1,0),0)</f>
        <v>0.0</v>
      </c>
      <c r="AF1347" t="str">
        <f>IF(AE1347=1,COUNTIFS(sj_first,1,sj_date,"&lt;"&amp;A1347)+1,"")</f>
        <v/>
      </c>
      <c r="AG1347" t="str">
        <f>IF(AND(AD1347=1,N(W1347)&lt;p_alert),ROUND(W1347,4),"")</f>
        <v/>
      </c>
      <c r="AH1347" t="str">
        <f>IF(AG1347="","",COUNTIF(sj_akey,"&lt;"&amp;AG1347)+COUNTIF($AG$6:AG1347,AG1347))</f>
        <v/>
      </c>
    </row>
    <row r="1348">
      <c r="A1348" s="51" t="n"/>
      <c r="B1348" s="52" t="n"/>
      <c r="C1348" s="52" t="n"/>
      <c r="D1348" s="53" t="n"/>
      <c r="E1348" s="53" t="n"/>
      <c r="F1348" s="54" t="n"/>
      <c r="G1348" s="54" t="n"/>
      <c r="H1348" s="54" t="n"/>
      <c r="I1348" s="54" t="n"/>
      <c r="J1348" s="53" t="n"/>
      <c r="K1348" s="55" t="str">
        <f>IF(COUNTA(A1348:I1348)=0,"",IF(F1348="",IFERROR(INDEX(eq_dur,MATCH(B1348,eq_code,0)),""),F1348))</f>
        <v/>
      </c>
      <c r="L1348" s="55" t="str">
        <f>IF(ISNUMBER(K1348),N(IFERROR(INDEX(eq_pause,MATCH(B1348,eq_code,0)),0))+SUMIFS(st_min,st_date,A1348,st_eq,B1348,st_po,C1348,st_type,"Planifié"),"")</f>
        <v/>
      </c>
      <c r="M1348" s="55" t="str">
        <f>IF(ISNUMBER(K1348),K1348-L1348,"")</f>
        <v/>
      </c>
      <c r="N1348" s="55" t="str">
        <f>IF(ISNUMBER(K1348),SUMIFS(st_min,st_date,A1348,st_eq,B1348,st_po,C1348,st_type,"Non planifié"),"")</f>
        <v/>
      </c>
      <c r="O1348" s="55" t="str">
        <f>IF(ISNUMBER(K1348),M1348-N1348,"")</f>
        <v/>
      </c>
      <c r="P1348" s="55" t="str">
        <f>IF(COUNTA(A1348:I1348)=0,"",N(G1348)+N(H1348)+N(I1348))</f>
        <v/>
      </c>
      <c r="Q1348" s="56" t="str">
        <f>IF(COUNTA(A1348:I1348)=0,"",IF(N(IFERROR(INDEX(art_rate,MATCH(E1348,art_ref,0)),0))&gt;0,N(IFERROR(INDEX(art_rate,MATCH(E1348,art_ref,0)),0)),N(IFERROR(INDEX(po_rate,MATCH(C1348,po_code,0)),0))))</f>
        <v/>
      </c>
      <c r="R1348" s="55" t="str">
        <f>IF(AC1348=1,P1348*60/Q1348,"")</f>
        <v/>
      </c>
      <c r="S1348" s="55" t="str">
        <f>IF(AC1348=1,N(G1348)*60/Q1348,"")</f>
        <v/>
      </c>
      <c r="T1348" s="57" t="str">
        <f>IF(AC1348=1,O1348/M1348,"")</f>
        <v/>
      </c>
      <c r="U1348" s="57" t="str">
        <f>IF(AC1348=1,IF(O1348&gt;0,R1348/O1348,""),"")</f>
        <v/>
      </c>
      <c r="V1348" s="57" t="str">
        <f>IF(AC1348=1,IF(P1348&gt;0,N(G1348)/P1348,""),"")</f>
        <v/>
      </c>
      <c r="W1348" s="57" t="str">
        <f>IF(AC1348=1,S1348/M1348,"")</f>
        <v/>
      </c>
      <c r="X1348" s="57" t="str">
        <f>IF(AC1348=1,S1348/K1348,"")</f>
        <v/>
      </c>
      <c r="Y1348" s="58" t="str">
        <f>IF(W1348="","",IF(W1348&gt;=p_target,"Bon",IF(W1348&gt;=p_alert,"À surveiller","Faible")))</f>
        <v/>
      </c>
      <c r="Z1348" s="58" t="str">
        <f>IF(W1348="","",IF(MIN(IF(T1348="",1,T1348),IF(U1348="",1,U1348),IF(V1348="",1,V1348))&gt;=1,"Aucune",IF(IF(T1348="",1,T1348)&lt;=MIN(IF(U1348="",1,U1348),IF(V1348="",1,V1348)),"Disponibilité",IF(IF(U1348="",1,U1348)&lt;=IF(V1348="",1,V1348),"Performance","Qualité"))))</f>
        <v/>
      </c>
      <c r="AA1348" s="59" t="str">
        <f>IF(AC1348=1,N(H1348)*N(IFERROR(INDEX(art_cost,MATCH(E1348,art_ref,0)),0)),"")</f>
        <v/>
      </c>
      <c r="AB1348" s="58" t="str">
        <f>IF(COUNTA(A1348:I1348)=0,"",IF(N(A1348)&lt;=0,"Date manquante ou invalide",IF(B1348="","Équipe manquante",IF(ISNA(MATCH(B1348,eq_code,0)),"Équipe inconnue",IF(INDEX(eq_check,MATCH(B1348,eq_code,0))&lt;&gt;"OK","Équipe à corriger dans Paramètres",IF(C1348="","Poste manquant",IF(ISNA(MATCH(C1348,po_code,0)),"Poste inconnu",IF(AND(E1348&lt;&gt;"",ISNA(MATCH(E1348,art_ref,0))),"Article inconnu",IF(IF(E1348="",FALSE,INDEX(art_check,MATCH(E1348,art_ref,0))&lt;&gt;"OK"),"Article à corriger (feuille Articles)",IF(COUNTIFS(sj_date,A1348,sj_eq,B1348,sj_po,C1348)&gt;1,"Ligne en double (même jour, équipe et poste)",IF(OR(NOT(ISNUMBER(K1348)),N(K1348)&lt;=0,N(K1348)&gt;1440),"Temps d'ouverture invalide",IF(OR(AND(G1348&lt;&gt;"",NOT(ISNUMBER(G1348))),N(G1348)&lt;0,N(G1348)&lt;&gt;INT(N(G1348)),AND(H1348&lt;&gt;"",NOT(ISNUMBER(H1348))),N(H1348)&lt;0,N(H1348)&lt;&gt;INT(N(H1348)),AND(I1348&lt;&gt;"",NOT(ISNUMBER(I1348))),N(I1348)&lt;0,N(I1348)&lt;&gt;INT(N(I1348))),"Quantité invalide",IF(Q1348&lt;=0,"Cadence manquante (poste ou article)",IF(M1348&lt;=0,"Arrêts planifiés supérieurs au temps d'ouverture",IF(O1348&lt;0,"Arrêts supérieurs au temps requis",IF(AND(P1348&gt;0,O1348=0),"Pièces déclarées sans temps de marche",IF(AND(P1348=0,O1348&gt;0),"Aucune pièce déclarée",IF(P1348*60/Q1348&gt;O1348+0.001,"Cadence dépassée : vérifiez la cadence","OK"))))))))))))))))))</f>
        <v/>
      </c>
      <c r="AC1348">
        <f>IF(OR(AB1348="OK",AB1348="Aucune pièce déclarée",AB1348="Cadence dépassée : vérifiez la cadence"),1,0)</f>
        <v>0.0</v>
      </c>
      <c r="AD1348">
        <f>IF(AND(AC1348=1,A1348&gt;=p_from,A1348&lt;=p_to),1,0)</f>
        <v>0.0</v>
      </c>
      <c r="AE1348">
        <f>IF(AD1348=1,IF(COUNTIFS($A$6:A1348,A1348,$AD$6:AD1348,1)=1,1,0),0)</f>
        <v>0.0</v>
      </c>
      <c r="AF1348" t="str">
        <f>IF(AE1348=1,COUNTIFS(sj_first,1,sj_date,"&lt;"&amp;A1348)+1,"")</f>
        <v/>
      </c>
      <c r="AG1348" t="str">
        <f>IF(AND(AD1348=1,N(W1348)&lt;p_alert),ROUND(W1348,4),"")</f>
        <v/>
      </c>
      <c r="AH1348" t="str">
        <f>IF(AG1348="","",COUNTIF(sj_akey,"&lt;"&amp;AG1348)+COUNTIF($AG$6:AG1348,AG1348))</f>
        <v/>
      </c>
    </row>
    <row r="1349">
      <c r="A1349" s="51" t="n"/>
      <c r="B1349" s="52" t="n"/>
      <c r="C1349" s="52" t="n"/>
      <c r="D1349" s="53" t="n"/>
      <c r="E1349" s="53" t="n"/>
      <c r="F1349" s="54" t="n"/>
      <c r="G1349" s="54" t="n"/>
      <c r="H1349" s="54" t="n"/>
      <c r="I1349" s="54" t="n"/>
      <c r="J1349" s="53" t="n"/>
      <c r="K1349" s="55" t="str">
        <f>IF(COUNTA(A1349:I1349)=0,"",IF(F1349="",IFERROR(INDEX(eq_dur,MATCH(B1349,eq_code,0)),""),F1349))</f>
        <v/>
      </c>
      <c r="L1349" s="55" t="str">
        <f>IF(ISNUMBER(K1349),N(IFERROR(INDEX(eq_pause,MATCH(B1349,eq_code,0)),0))+SUMIFS(st_min,st_date,A1349,st_eq,B1349,st_po,C1349,st_type,"Planifié"),"")</f>
        <v/>
      </c>
      <c r="M1349" s="55" t="str">
        <f>IF(ISNUMBER(K1349),K1349-L1349,"")</f>
        <v/>
      </c>
      <c r="N1349" s="55" t="str">
        <f>IF(ISNUMBER(K1349),SUMIFS(st_min,st_date,A1349,st_eq,B1349,st_po,C1349,st_type,"Non planifié"),"")</f>
        <v/>
      </c>
      <c r="O1349" s="55" t="str">
        <f>IF(ISNUMBER(K1349),M1349-N1349,"")</f>
        <v/>
      </c>
      <c r="P1349" s="55" t="str">
        <f>IF(COUNTA(A1349:I1349)=0,"",N(G1349)+N(H1349)+N(I1349))</f>
        <v/>
      </c>
      <c r="Q1349" s="56" t="str">
        <f>IF(COUNTA(A1349:I1349)=0,"",IF(N(IFERROR(INDEX(art_rate,MATCH(E1349,art_ref,0)),0))&gt;0,N(IFERROR(INDEX(art_rate,MATCH(E1349,art_ref,0)),0)),N(IFERROR(INDEX(po_rate,MATCH(C1349,po_code,0)),0))))</f>
        <v/>
      </c>
      <c r="R1349" s="55" t="str">
        <f>IF(AC1349=1,P1349*60/Q1349,"")</f>
        <v/>
      </c>
      <c r="S1349" s="55" t="str">
        <f>IF(AC1349=1,N(G1349)*60/Q1349,"")</f>
        <v/>
      </c>
      <c r="T1349" s="57" t="str">
        <f>IF(AC1349=1,O1349/M1349,"")</f>
        <v/>
      </c>
      <c r="U1349" s="57" t="str">
        <f>IF(AC1349=1,IF(O1349&gt;0,R1349/O1349,""),"")</f>
        <v/>
      </c>
      <c r="V1349" s="57" t="str">
        <f>IF(AC1349=1,IF(P1349&gt;0,N(G1349)/P1349,""),"")</f>
        <v/>
      </c>
      <c r="W1349" s="57" t="str">
        <f>IF(AC1349=1,S1349/M1349,"")</f>
        <v/>
      </c>
      <c r="X1349" s="57" t="str">
        <f>IF(AC1349=1,S1349/K1349,"")</f>
        <v/>
      </c>
      <c r="Y1349" s="58" t="str">
        <f>IF(W1349="","",IF(W1349&gt;=p_target,"Bon",IF(W1349&gt;=p_alert,"À surveiller","Faible")))</f>
        <v/>
      </c>
      <c r="Z1349" s="58" t="str">
        <f>IF(W1349="","",IF(MIN(IF(T1349="",1,T1349),IF(U1349="",1,U1349),IF(V1349="",1,V1349))&gt;=1,"Aucune",IF(IF(T1349="",1,T1349)&lt;=MIN(IF(U1349="",1,U1349),IF(V1349="",1,V1349)),"Disponibilité",IF(IF(U1349="",1,U1349)&lt;=IF(V1349="",1,V1349),"Performance","Qualité"))))</f>
        <v/>
      </c>
      <c r="AA1349" s="59" t="str">
        <f>IF(AC1349=1,N(H1349)*N(IFERROR(INDEX(art_cost,MATCH(E1349,art_ref,0)),0)),"")</f>
        <v/>
      </c>
      <c r="AB1349" s="58" t="str">
        <f>IF(COUNTA(A1349:I1349)=0,"",IF(N(A1349)&lt;=0,"Date manquante ou invalide",IF(B1349="","Équipe manquante",IF(ISNA(MATCH(B1349,eq_code,0)),"Équipe inconnue",IF(INDEX(eq_check,MATCH(B1349,eq_code,0))&lt;&gt;"OK","Équipe à corriger dans Paramètres",IF(C1349="","Poste manquant",IF(ISNA(MATCH(C1349,po_code,0)),"Poste inconnu",IF(AND(E1349&lt;&gt;"",ISNA(MATCH(E1349,art_ref,0))),"Article inconnu",IF(IF(E1349="",FALSE,INDEX(art_check,MATCH(E1349,art_ref,0))&lt;&gt;"OK"),"Article à corriger (feuille Articles)",IF(COUNTIFS(sj_date,A1349,sj_eq,B1349,sj_po,C1349)&gt;1,"Ligne en double (même jour, équipe et poste)",IF(OR(NOT(ISNUMBER(K1349)),N(K1349)&lt;=0,N(K1349)&gt;1440),"Temps d'ouverture invalide",IF(OR(AND(G1349&lt;&gt;"",NOT(ISNUMBER(G1349))),N(G1349)&lt;0,N(G1349)&lt;&gt;INT(N(G1349)),AND(H1349&lt;&gt;"",NOT(ISNUMBER(H1349))),N(H1349)&lt;0,N(H1349)&lt;&gt;INT(N(H1349)),AND(I1349&lt;&gt;"",NOT(ISNUMBER(I1349))),N(I1349)&lt;0,N(I1349)&lt;&gt;INT(N(I1349))),"Quantité invalide",IF(Q1349&lt;=0,"Cadence manquante (poste ou article)",IF(M1349&lt;=0,"Arrêts planifiés supérieurs au temps d'ouverture",IF(O1349&lt;0,"Arrêts supérieurs au temps requis",IF(AND(P1349&gt;0,O1349=0),"Pièces déclarées sans temps de marche",IF(AND(P1349=0,O1349&gt;0),"Aucune pièce déclarée",IF(P1349*60/Q1349&gt;O1349+0.001,"Cadence dépassée : vérifiez la cadence","OK"))))))))))))))))))</f>
        <v/>
      </c>
      <c r="AC1349">
        <f>IF(OR(AB1349="OK",AB1349="Aucune pièce déclarée",AB1349="Cadence dépassée : vérifiez la cadence"),1,0)</f>
        <v>0.0</v>
      </c>
      <c r="AD1349">
        <f>IF(AND(AC1349=1,A1349&gt;=p_from,A1349&lt;=p_to),1,0)</f>
        <v>0.0</v>
      </c>
      <c r="AE1349">
        <f>IF(AD1349=1,IF(COUNTIFS($A$6:A1349,A1349,$AD$6:AD1349,1)=1,1,0),0)</f>
        <v>0.0</v>
      </c>
      <c r="AF1349" t="str">
        <f>IF(AE1349=1,COUNTIFS(sj_first,1,sj_date,"&lt;"&amp;A1349)+1,"")</f>
        <v/>
      </c>
      <c r="AG1349" t="str">
        <f>IF(AND(AD1349=1,N(W1349)&lt;p_alert),ROUND(W1349,4),"")</f>
        <v/>
      </c>
      <c r="AH1349" t="str">
        <f>IF(AG1349="","",COUNTIF(sj_akey,"&lt;"&amp;AG1349)+COUNTIF($AG$6:AG1349,AG1349))</f>
        <v/>
      </c>
    </row>
    <row r="1350">
      <c r="A1350" s="51" t="n"/>
      <c r="B1350" s="52" t="n"/>
      <c r="C1350" s="52" t="n"/>
      <c r="D1350" s="53" t="n"/>
      <c r="E1350" s="53" t="n"/>
      <c r="F1350" s="54" t="n"/>
      <c r="G1350" s="54" t="n"/>
      <c r="H1350" s="54" t="n"/>
      <c r="I1350" s="54" t="n"/>
      <c r="J1350" s="53" t="n"/>
      <c r="K1350" s="55" t="str">
        <f>IF(COUNTA(A1350:I1350)=0,"",IF(F1350="",IFERROR(INDEX(eq_dur,MATCH(B1350,eq_code,0)),""),F1350))</f>
        <v/>
      </c>
      <c r="L1350" s="55" t="str">
        <f>IF(ISNUMBER(K1350),N(IFERROR(INDEX(eq_pause,MATCH(B1350,eq_code,0)),0))+SUMIFS(st_min,st_date,A1350,st_eq,B1350,st_po,C1350,st_type,"Planifié"),"")</f>
        <v/>
      </c>
      <c r="M1350" s="55" t="str">
        <f>IF(ISNUMBER(K1350),K1350-L1350,"")</f>
        <v/>
      </c>
      <c r="N1350" s="55" t="str">
        <f>IF(ISNUMBER(K1350),SUMIFS(st_min,st_date,A1350,st_eq,B1350,st_po,C1350,st_type,"Non planifié"),"")</f>
        <v/>
      </c>
      <c r="O1350" s="55" t="str">
        <f>IF(ISNUMBER(K1350),M1350-N1350,"")</f>
        <v/>
      </c>
      <c r="P1350" s="55" t="str">
        <f>IF(COUNTA(A1350:I1350)=0,"",N(G1350)+N(H1350)+N(I1350))</f>
        <v/>
      </c>
      <c r="Q1350" s="56" t="str">
        <f>IF(COUNTA(A1350:I1350)=0,"",IF(N(IFERROR(INDEX(art_rate,MATCH(E1350,art_ref,0)),0))&gt;0,N(IFERROR(INDEX(art_rate,MATCH(E1350,art_ref,0)),0)),N(IFERROR(INDEX(po_rate,MATCH(C1350,po_code,0)),0))))</f>
        <v/>
      </c>
      <c r="R1350" s="55" t="str">
        <f>IF(AC1350=1,P1350*60/Q1350,"")</f>
        <v/>
      </c>
      <c r="S1350" s="55" t="str">
        <f>IF(AC1350=1,N(G1350)*60/Q1350,"")</f>
        <v/>
      </c>
      <c r="T1350" s="57" t="str">
        <f>IF(AC1350=1,O1350/M1350,"")</f>
        <v/>
      </c>
      <c r="U1350" s="57" t="str">
        <f>IF(AC1350=1,IF(O1350&gt;0,R1350/O1350,""),"")</f>
        <v/>
      </c>
      <c r="V1350" s="57" t="str">
        <f>IF(AC1350=1,IF(P1350&gt;0,N(G1350)/P1350,""),"")</f>
        <v/>
      </c>
      <c r="W1350" s="57" t="str">
        <f>IF(AC1350=1,S1350/M1350,"")</f>
        <v/>
      </c>
      <c r="X1350" s="57" t="str">
        <f>IF(AC1350=1,S1350/K1350,"")</f>
        <v/>
      </c>
      <c r="Y1350" s="58" t="str">
        <f>IF(W1350="","",IF(W1350&gt;=p_target,"Bon",IF(W1350&gt;=p_alert,"À surveiller","Faible")))</f>
        <v/>
      </c>
      <c r="Z1350" s="58" t="str">
        <f>IF(W1350="","",IF(MIN(IF(T1350="",1,T1350),IF(U1350="",1,U1350),IF(V1350="",1,V1350))&gt;=1,"Aucune",IF(IF(T1350="",1,T1350)&lt;=MIN(IF(U1350="",1,U1350),IF(V1350="",1,V1350)),"Disponibilité",IF(IF(U1350="",1,U1350)&lt;=IF(V1350="",1,V1350),"Performance","Qualité"))))</f>
        <v/>
      </c>
      <c r="AA1350" s="59" t="str">
        <f>IF(AC1350=1,N(H1350)*N(IFERROR(INDEX(art_cost,MATCH(E1350,art_ref,0)),0)),"")</f>
        <v/>
      </c>
      <c r="AB1350" s="58" t="str">
        <f>IF(COUNTA(A1350:I1350)=0,"",IF(N(A1350)&lt;=0,"Date manquante ou invalide",IF(B1350="","Équipe manquante",IF(ISNA(MATCH(B1350,eq_code,0)),"Équipe inconnue",IF(INDEX(eq_check,MATCH(B1350,eq_code,0))&lt;&gt;"OK","Équipe à corriger dans Paramètres",IF(C1350="","Poste manquant",IF(ISNA(MATCH(C1350,po_code,0)),"Poste inconnu",IF(AND(E1350&lt;&gt;"",ISNA(MATCH(E1350,art_ref,0))),"Article inconnu",IF(IF(E1350="",FALSE,INDEX(art_check,MATCH(E1350,art_ref,0))&lt;&gt;"OK"),"Article à corriger (feuille Articles)",IF(COUNTIFS(sj_date,A1350,sj_eq,B1350,sj_po,C1350)&gt;1,"Ligne en double (même jour, équipe et poste)",IF(OR(NOT(ISNUMBER(K1350)),N(K1350)&lt;=0,N(K1350)&gt;1440),"Temps d'ouverture invalide",IF(OR(AND(G1350&lt;&gt;"",NOT(ISNUMBER(G1350))),N(G1350)&lt;0,N(G1350)&lt;&gt;INT(N(G1350)),AND(H1350&lt;&gt;"",NOT(ISNUMBER(H1350))),N(H1350)&lt;0,N(H1350)&lt;&gt;INT(N(H1350)),AND(I1350&lt;&gt;"",NOT(ISNUMBER(I1350))),N(I1350)&lt;0,N(I1350)&lt;&gt;INT(N(I1350))),"Quantité invalide",IF(Q1350&lt;=0,"Cadence manquante (poste ou article)",IF(M1350&lt;=0,"Arrêts planifiés supérieurs au temps d'ouverture",IF(O1350&lt;0,"Arrêts supérieurs au temps requis",IF(AND(P1350&gt;0,O1350=0),"Pièces déclarées sans temps de marche",IF(AND(P1350=0,O1350&gt;0),"Aucune pièce déclarée",IF(P1350*60/Q1350&gt;O1350+0.001,"Cadence dépassée : vérifiez la cadence","OK"))))))))))))))))))</f>
        <v/>
      </c>
      <c r="AC1350">
        <f>IF(OR(AB1350="OK",AB1350="Aucune pièce déclarée",AB1350="Cadence dépassée : vérifiez la cadence"),1,0)</f>
        <v>0.0</v>
      </c>
      <c r="AD1350">
        <f>IF(AND(AC1350=1,A1350&gt;=p_from,A1350&lt;=p_to),1,0)</f>
        <v>0.0</v>
      </c>
      <c r="AE1350">
        <f>IF(AD1350=1,IF(COUNTIFS($A$6:A1350,A1350,$AD$6:AD1350,1)=1,1,0),0)</f>
        <v>0.0</v>
      </c>
      <c r="AF1350" t="str">
        <f>IF(AE1350=1,COUNTIFS(sj_first,1,sj_date,"&lt;"&amp;A1350)+1,"")</f>
        <v/>
      </c>
      <c r="AG1350" t="str">
        <f>IF(AND(AD1350=1,N(W1350)&lt;p_alert),ROUND(W1350,4),"")</f>
        <v/>
      </c>
      <c r="AH1350" t="str">
        <f>IF(AG1350="","",COUNTIF(sj_akey,"&lt;"&amp;AG1350)+COUNTIF($AG$6:AG1350,AG1350))</f>
        <v/>
      </c>
    </row>
    <row r="1351">
      <c r="A1351" s="51" t="n"/>
      <c r="B1351" s="52" t="n"/>
      <c r="C1351" s="52" t="n"/>
      <c r="D1351" s="53" t="n"/>
      <c r="E1351" s="53" t="n"/>
      <c r="F1351" s="54" t="n"/>
      <c r="G1351" s="54" t="n"/>
      <c r="H1351" s="54" t="n"/>
      <c r="I1351" s="54" t="n"/>
      <c r="J1351" s="53" t="n"/>
      <c r="K1351" s="55" t="str">
        <f>IF(COUNTA(A1351:I1351)=0,"",IF(F1351="",IFERROR(INDEX(eq_dur,MATCH(B1351,eq_code,0)),""),F1351))</f>
        <v/>
      </c>
      <c r="L1351" s="55" t="str">
        <f>IF(ISNUMBER(K1351),N(IFERROR(INDEX(eq_pause,MATCH(B1351,eq_code,0)),0))+SUMIFS(st_min,st_date,A1351,st_eq,B1351,st_po,C1351,st_type,"Planifié"),"")</f>
        <v/>
      </c>
      <c r="M1351" s="55" t="str">
        <f>IF(ISNUMBER(K1351),K1351-L1351,"")</f>
        <v/>
      </c>
      <c r="N1351" s="55" t="str">
        <f>IF(ISNUMBER(K1351),SUMIFS(st_min,st_date,A1351,st_eq,B1351,st_po,C1351,st_type,"Non planifié"),"")</f>
        <v/>
      </c>
      <c r="O1351" s="55" t="str">
        <f>IF(ISNUMBER(K1351),M1351-N1351,"")</f>
        <v/>
      </c>
      <c r="P1351" s="55" t="str">
        <f>IF(COUNTA(A1351:I1351)=0,"",N(G1351)+N(H1351)+N(I1351))</f>
        <v/>
      </c>
      <c r="Q1351" s="56" t="str">
        <f>IF(COUNTA(A1351:I1351)=0,"",IF(N(IFERROR(INDEX(art_rate,MATCH(E1351,art_ref,0)),0))&gt;0,N(IFERROR(INDEX(art_rate,MATCH(E1351,art_ref,0)),0)),N(IFERROR(INDEX(po_rate,MATCH(C1351,po_code,0)),0))))</f>
        <v/>
      </c>
      <c r="R1351" s="55" t="str">
        <f>IF(AC1351=1,P1351*60/Q1351,"")</f>
        <v/>
      </c>
      <c r="S1351" s="55" t="str">
        <f>IF(AC1351=1,N(G1351)*60/Q1351,"")</f>
        <v/>
      </c>
      <c r="T1351" s="57" t="str">
        <f>IF(AC1351=1,O1351/M1351,"")</f>
        <v/>
      </c>
      <c r="U1351" s="57" t="str">
        <f>IF(AC1351=1,IF(O1351&gt;0,R1351/O1351,""),"")</f>
        <v/>
      </c>
      <c r="V1351" s="57" t="str">
        <f>IF(AC1351=1,IF(P1351&gt;0,N(G1351)/P1351,""),"")</f>
        <v/>
      </c>
      <c r="W1351" s="57" t="str">
        <f>IF(AC1351=1,S1351/M1351,"")</f>
        <v/>
      </c>
      <c r="X1351" s="57" t="str">
        <f>IF(AC1351=1,S1351/K1351,"")</f>
        <v/>
      </c>
      <c r="Y1351" s="58" t="str">
        <f>IF(W1351="","",IF(W1351&gt;=p_target,"Bon",IF(W1351&gt;=p_alert,"À surveiller","Faible")))</f>
        <v/>
      </c>
      <c r="Z1351" s="58" t="str">
        <f>IF(W1351="","",IF(MIN(IF(T1351="",1,T1351),IF(U1351="",1,U1351),IF(V1351="",1,V1351))&gt;=1,"Aucune",IF(IF(T1351="",1,T1351)&lt;=MIN(IF(U1351="",1,U1351),IF(V1351="",1,V1351)),"Disponibilité",IF(IF(U1351="",1,U1351)&lt;=IF(V1351="",1,V1351),"Performance","Qualité"))))</f>
        <v/>
      </c>
      <c r="AA1351" s="59" t="str">
        <f>IF(AC1351=1,N(H1351)*N(IFERROR(INDEX(art_cost,MATCH(E1351,art_ref,0)),0)),"")</f>
        <v/>
      </c>
      <c r="AB1351" s="58" t="str">
        <f>IF(COUNTA(A1351:I1351)=0,"",IF(N(A1351)&lt;=0,"Date manquante ou invalide",IF(B1351="","Équipe manquante",IF(ISNA(MATCH(B1351,eq_code,0)),"Équipe inconnue",IF(INDEX(eq_check,MATCH(B1351,eq_code,0))&lt;&gt;"OK","Équipe à corriger dans Paramètres",IF(C1351="","Poste manquant",IF(ISNA(MATCH(C1351,po_code,0)),"Poste inconnu",IF(AND(E1351&lt;&gt;"",ISNA(MATCH(E1351,art_ref,0))),"Article inconnu",IF(IF(E1351="",FALSE,INDEX(art_check,MATCH(E1351,art_ref,0))&lt;&gt;"OK"),"Article à corriger (feuille Articles)",IF(COUNTIFS(sj_date,A1351,sj_eq,B1351,sj_po,C1351)&gt;1,"Ligne en double (même jour, équipe et poste)",IF(OR(NOT(ISNUMBER(K1351)),N(K1351)&lt;=0,N(K1351)&gt;1440),"Temps d'ouverture invalide",IF(OR(AND(G1351&lt;&gt;"",NOT(ISNUMBER(G1351))),N(G1351)&lt;0,N(G1351)&lt;&gt;INT(N(G1351)),AND(H1351&lt;&gt;"",NOT(ISNUMBER(H1351))),N(H1351)&lt;0,N(H1351)&lt;&gt;INT(N(H1351)),AND(I1351&lt;&gt;"",NOT(ISNUMBER(I1351))),N(I1351)&lt;0,N(I1351)&lt;&gt;INT(N(I1351))),"Quantité invalide",IF(Q1351&lt;=0,"Cadence manquante (poste ou article)",IF(M1351&lt;=0,"Arrêts planifiés supérieurs au temps d'ouverture",IF(O1351&lt;0,"Arrêts supérieurs au temps requis",IF(AND(P1351&gt;0,O1351=0),"Pièces déclarées sans temps de marche",IF(AND(P1351=0,O1351&gt;0),"Aucune pièce déclarée",IF(P1351*60/Q1351&gt;O1351+0.001,"Cadence dépassée : vérifiez la cadence","OK"))))))))))))))))))</f>
        <v/>
      </c>
      <c r="AC1351">
        <f>IF(OR(AB1351="OK",AB1351="Aucune pièce déclarée",AB1351="Cadence dépassée : vérifiez la cadence"),1,0)</f>
        <v>0.0</v>
      </c>
      <c r="AD1351">
        <f>IF(AND(AC1351=1,A1351&gt;=p_from,A1351&lt;=p_to),1,0)</f>
        <v>0.0</v>
      </c>
      <c r="AE1351">
        <f>IF(AD1351=1,IF(COUNTIFS($A$6:A1351,A1351,$AD$6:AD1351,1)=1,1,0),0)</f>
        <v>0.0</v>
      </c>
      <c r="AF1351" t="str">
        <f>IF(AE1351=1,COUNTIFS(sj_first,1,sj_date,"&lt;"&amp;A1351)+1,"")</f>
        <v/>
      </c>
      <c r="AG1351" t="str">
        <f>IF(AND(AD1351=1,N(W1351)&lt;p_alert),ROUND(W1351,4),"")</f>
        <v/>
      </c>
      <c r="AH1351" t="str">
        <f>IF(AG1351="","",COUNTIF(sj_akey,"&lt;"&amp;AG1351)+COUNTIF($AG$6:AG1351,AG1351))</f>
        <v/>
      </c>
    </row>
    <row r="1352">
      <c r="A1352" s="51" t="n"/>
      <c r="B1352" s="52" t="n"/>
      <c r="C1352" s="52" t="n"/>
      <c r="D1352" s="53" t="n"/>
      <c r="E1352" s="53" t="n"/>
      <c r="F1352" s="54" t="n"/>
      <c r="G1352" s="54" t="n"/>
      <c r="H1352" s="54" t="n"/>
      <c r="I1352" s="54" t="n"/>
      <c r="J1352" s="53" t="n"/>
      <c r="K1352" s="55" t="str">
        <f>IF(COUNTA(A1352:I1352)=0,"",IF(F1352="",IFERROR(INDEX(eq_dur,MATCH(B1352,eq_code,0)),""),F1352))</f>
        <v/>
      </c>
      <c r="L1352" s="55" t="str">
        <f>IF(ISNUMBER(K1352),N(IFERROR(INDEX(eq_pause,MATCH(B1352,eq_code,0)),0))+SUMIFS(st_min,st_date,A1352,st_eq,B1352,st_po,C1352,st_type,"Planifié"),"")</f>
        <v/>
      </c>
      <c r="M1352" s="55" t="str">
        <f>IF(ISNUMBER(K1352),K1352-L1352,"")</f>
        <v/>
      </c>
      <c r="N1352" s="55" t="str">
        <f>IF(ISNUMBER(K1352),SUMIFS(st_min,st_date,A1352,st_eq,B1352,st_po,C1352,st_type,"Non planifié"),"")</f>
        <v/>
      </c>
      <c r="O1352" s="55" t="str">
        <f>IF(ISNUMBER(K1352),M1352-N1352,"")</f>
        <v/>
      </c>
      <c r="P1352" s="55" t="str">
        <f>IF(COUNTA(A1352:I1352)=0,"",N(G1352)+N(H1352)+N(I1352))</f>
        <v/>
      </c>
      <c r="Q1352" s="56" t="str">
        <f>IF(COUNTA(A1352:I1352)=0,"",IF(N(IFERROR(INDEX(art_rate,MATCH(E1352,art_ref,0)),0))&gt;0,N(IFERROR(INDEX(art_rate,MATCH(E1352,art_ref,0)),0)),N(IFERROR(INDEX(po_rate,MATCH(C1352,po_code,0)),0))))</f>
        <v/>
      </c>
      <c r="R1352" s="55" t="str">
        <f>IF(AC1352=1,P1352*60/Q1352,"")</f>
        <v/>
      </c>
      <c r="S1352" s="55" t="str">
        <f>IF(AC1352=1,N(G1352)*60/Q1352,"")</f>
        <v/>
      </c>
      <c r="T1352" s="57" t="str">
        <f>IF(AC1352=1,O1352/M1352,"")</f>
        <v/>
      </c>
      <c r="U1352" s="57" t="str">
        <f>IF(AC1352=1,IF(O1352&gt;0,R1352/O1352,""),"")</f>
        <v/>
      </c>
      <c r="V1352" s="57" t="str">
        <f>IF(AC1352=1,IF(P1352&gt;0,N(G1352)/P1352,""),"")</f>
        <v/>
      </c>
      <c r="W1352" s="57" t="str">
        <f>IF(AC1352=1,S1352/M1352,"")</f>
        <v/>
      </c>
      <c r="X1352" s="57" t="str">
        <f>IF(AC1352=1,S1352/K1352,"")</f>
        <v/>
      </c>
      <c r="Y1352" s="58" t="str">
        <f>IF(W1352="","",IF(W1352&gt;=p_target,"Bon",IF(W1352&gt;=p_alert,"À surveiller","Faible")))</f>
        <v/>
      </c>
      <c r="Z1352" s="58" t="str">
        <f>IF(W1352="","",IF(MIN(IF(T1352="",1,T1352),IF(U1352="",1,U1352),IF(V1352="",1,V1352))&gt;=1,"Aucune",IF(IF(T1352="",1,T1352)&lt;=MIN(IF(U1352="",1,U1352),IF(V1352="",1,V1352)),"Disponibilité",IF(IF(U1352="",1,U1352)&lt;=IF(V1352="",1,V1352),"Performance","Qualité"))))</f>
        <v/>
      </c>
      <c r="AA1352" s="59" t="str">
        <f>IF(AC1352=1,N(H1352)*N(IFERROR(INDEX(art_cost,MATCH(E1352,art_ref,0)),0)),"")</f>
        <v/>
      </c>
      <c r="AB1352" s="58" t="str">
        <f>IF(COUNTA(A1352:I1352)=0,"",IF(N(A1352)&lt;=0,"Date manquante ou invalide",IF(B1352="","Équipe manquante",IF(ISNA(MATCH(B1352,eq_code,0)),"Équipe inconnue",IF(INDEX(eq_check,MATCH(B1352,eq_code,0))&lt;&gt;"OK","Équipe à corriger dans Paramètres",IF(C1352="","Poste manquant",IF(ISNA(MATCH(C1352,po_code,0)),"Poste inconnu",IF(AND(E1352&lt;&gt;"",ISNA(MATCH(E1352,art_ref,0))),"Article inconnu",IF(IF(E1352="",FALSE,INDEX(art_check,MATCH(E1352,art_ref,0))&lt;&gt;"OK"),"Article à corriger (feuille Articles)",IF(COUNTIFS(sj_date,A1352,sj_eq,B1352,sj_po,C1352)&gt;1,"Ligne en double (même jour, équipe et poste)",IF(OR(NOT(ISNUMBER(K1352)),N(K1352)&lt;=0,N(K1352)&gt;1440),"Temps d'ouverture invalide",IF(OR(AND(G1352&lt;&gt;"",NOT(ISNUMBER(G1352))),N(G1352)&lt;0,N(G1352)&lt;&gt;INT(N(G1352)),AND(H1352&lt;&gt;"",NOT(ISNUMBER(H1352))),N(H1352)&lt;0,N(H1352)&lt;&gt;INT(N(H1352)),AND(I1352&lt;&gt;"",NOT(ISNUMBER(I1352))),N(I1352)&lt;0,N(I1352)&lt;&gt;INT(N(I1352))),"Quantité invalide",IF(Q1352&lt;=0,"Cadence manquante (poste ou article)",IF(M1352&lt;=0,"Arrêts planifiés supérieurs au temps d'ouverture",IF(O1352&lt;0,"Arrêts supérieurs au temps requis",IF(AND(P1352&gt;0,O1352=0),"Pièces déclarées sans temps de marche",IF(AND(P1352=0,O1352&gt;0),"Aucune pièce déclarée",IF(P1352*60/Q1352&gt;O1352+0.001,"Cadence dépassée : vérifiez la cadence","OK"))))))))))))))))))</f>
        <v/>
      </c>
      <c r="AC1352">
        <f>IF(OR(AB1352="OK",AB1352="Aucune pièce déclarée",AB1352="Cadence dépassée : vérifiez la cadence"),1,0)</f>
        <v>0.0</v>
      </c>
      <c r="AD1352">
        <f>IF(AND(AC1352=1,A1352&gt;=p_from,A1352&lt;=p_to),1,0)</f>
        <v>0.0</v>
      </c>
      <c r="AE1352">
        <f>IF(AD1352=1,IF(COUNTIFS($A$6:A1352,A1352,$AD$6:AD1352,1)=1,1,0),0)</f>
        <v>0.0</v>
      </c>
      <c r="AF1352" t="str">
        <f>IF(AE1352=1,COUNTIFS(sj_first,1,sj_date,"&lt;"&amp;A1352)+1,"")</f>
        <v/>
      </c>
      <c r="AG1352" t="str">
        <f>IF(AND(AD1352=1,N(W1352)&lt;p_alert),ROUND(W1352,4),"")</f>
        <v/>
      </c>
      <c r="AH1352" t="str">
        <f>IF(AG1352="","",COUNTIF(sj_akey,"&lt;"&amp;AG1352)+COUNTIF($AG$6:AG1352,AG1352))</f>
        <v/>
      </c>
    </row>
    <row r="1353">
      <c r="A1353" s="51" t="n"/>
      <c r="B1353" s="52" t="n"/>
      <c r="C1353" s="52" t="n"/>
      <c r="D1353" s="53" t="n"/>
      <c r="E1353" s="53" t="n"/>
      <c r="F1353" s="54" t="n"/>
      <c r="G1353" s="54" t="n"/>
      <c r="H1353" s="54" t="n"/>
      <c r="I1353" s="54" t="n"/>
      <c r="J1353" s="53" t="n"/>
      <c r="K1353" s="55" t="str">
        <f>IF(COUNTA(A1353:I1353)=0,"",IF(F1353="",IFERROR(INDEX(eq_dur,MATCH(B1353,eq_code,0)),""),F1353))</f>
        <v/>
      </c>
      <c r="L1353" s="55" t="str">
        <f>IF(ISNUMBER(K1353),N(IFERROR(INDEX(eq_pause,MATCH(B1353,eq_code,0)),0))+SUMIFS(st_min,st_date,A1353,st_eq,B1353,st_po,C1353,st_type,"Planifié"),"")</f>
        <v/>
      </c>
      <c r="M1353" s="55" t="str">
        <f>IF(ISNUMBER(K1353),K1353-L1353,"")</f>
        <v/>
      </c>
      <c r="N1353" s="55" t="str">
        <f>IF(ISNUMBER(K1353),SUMIFS(st_min,st_date,A1353,st_eq,B1353,st_po,C1353,st_type,"Non planifié"),"")</f>
        <v/>
      </c>
      <c r="O1353" s="55" t="str">
        <f>IF(ISNUMBER(K1353),M1353-N1353,"")</f>
        <v/>
      </c>
      <c r="P1353" s="55" t="str">
        <f>IF(COUNTA(A1353:I1353)=0,"",N(G1353)+N(H1353)+N(I1353))</f>
        <v/>
      </c>
      <c r="Q1353" s="56" t="str">
        <f>IF(COUNTA(A1353:I1353)=0,"",IF(N(IFERROR(INDEX(art_rate,MATCH(E1353,art_ref,0)),0))&gt;0,N(IFERROR(INDEX(art_rate,MATCH(E1353,art_ref,0)),0)),N(IFERROR(INDEX(po_rate,MATCH(C1353,po_code,0)),0))))</f>
        <v/>
      </c>
      <c r="R1353" s="55" t="str">
        <f>IF(AC1353=1,P1353*60/Q1353,"")</f>
        <v/>
      </c>
      <c r="S1353" s="55" t="str">
        <f>IF(AC1353=1,N(G1353)*60/Q1353,"")</f>
        <v/>
      </c>
      <c r="T1353" s="57" t="str">
        <f>IF(AC1353=1,O1353/M1353,"")</f>
        <v/>
      </c>
      <c r="U1353" s="57" t="str">
        <f>IF(AC1353=1,IF(O1353&gt;0,R1353/O1353,""),"")</f>
        <v/>
      </c>
      <c r="V1353" s="57" t="str">
        <f>IF(AC1353=1,IF(P1353&gt;0,N(G1353)/P1353,""),"")</f>
        <v/>
      </c>
      <c r="W1353" s="57" t="str">
        <f>IF(AC1353=1,S1353/M1353,"")</f>
        <v/>
      </c>
      <c r="X1353" s="57" t="str">
        <f>IF(AC1353=1,S1353/K1353,"")</f>
        <v/>
      </c>
      <c r="Y1353" s="58" t="str">
        <f>IF(W1353="","",IF(W1353&gt;=p_target,"Bon",IF(W1353&gt;=p_alert,"À surveiller","Faible")))</f>
        <v/>
      </c>
      <c r="Z1353" s="58" t="str">
        <f>IF(W1353="","",IF(MIN(IF(T1353="",1,T1353),IF(U1353="",1,U1353),IF(V1353="",1,V1353))&gt;=1,"Aucune",IF(IF(T1353="",1,T1353)&lt;=MIN(IF(U1353="",1,U1353),IF(V1353="",1,V1353)),"Disponibilité",IF(IF(U1353="",1,U1353)&lt;=IF(V1353="",1,V1353),"Performance","Qualité"))))</f>
        <v/>
      </c>
      <c r="AA1353" s="59" t="str">
        <f>IF(AC1353=1,N(H1353)*N(IFERROR(INDEX(art_cost,MATCH(E1353,art_ref,0)),0)),"")</f>
        <v/>
      </c>
      <c r="AB1353" s="58" t="str">
        <f>IF(COUNTA(A1353:I1353)=0,"",IF(N(A1353)&lt;=0,"Date manquante ou invalide",IF(B1353="","Équipe manquante",IF(ISNA(MATCH(B1353,eq_code,0)),"Équipe inconnue",IF(INDEX(eq_check,MATCH(B1353,eq_code,0))&lt;&gt;"OK","Équipe à corriger dans Paramètres",IF(C1353="","Poste manquant",IF(ISNA(MATCH(C1353,po_code,0)),"Poste inconnu",IF(AND(E1353&lt;&gt;"",ISNA(MATCH(E1353,art_ref,0))),"Article inconnu",IF(IF(E1353="",FALSE,INDEX(art_check,MATCH(E1353,art_ref,0))&lt;&gt;"OK"),"Article à corriger (feuille Articles)",IF(COUNTIFS(sj_date,A1353,sj_eq,B1353,sj_po,C1353)&gt;1,"Ligne en double (même jour, équipe et poste)",IF(OR(NOT(ISNUMBER(K1353)),N(K1353)&lt;=0,N(K1353)&gt;1440),"Temps d'ouverture invalide",IF(OR(AND(G1353&lt;&gt;"",NOT(ISNUMBER(G1353))),N(G1353)&lt;0,N(G1353)&lt;&gt;INT(N(G1353)),AND(H1353&lt;&gt;"",NOT(ISNUMBER(H1353))),N(H1353)&lt;0,N(H1353)&lt;&gt;INT(N(H1353)),AND(I1353&lt;&gt;"",NOT(ISNUMBER(I1353))),N(I1353)&lt;0,N(I1353)&lt;&gt;INT(N(I1353))),"Quantité invalide",IF(Q1353&lt;=0,"Cadence manquante (poste ou article)",IF(M1353&lt;=0,"Arrêts planifiés supérieurs au temps d'ouverture",IF(O1353&lt;0,"Arrêts supérieurs au temps requis",IF(AND(P1353&gt;0,O1353=0),"Pièces déclarées sans temps de marche",IF(AND(P1353=0,O1353&gt;0),"Aucune pièce déclarée",IF(P1353*60/Q1353&gt;O1353+0.001,"Cadence dépassée : vérifiez la cadence","OK"))))))))))))))))))</f>
        <v/>
      </c>
      <c r="AC1353">
        <f>IF(OR(AB1353="OK",AB1353="Aucune pièce déclarée",AB1353="Cadence dépassée : vérifiez la cadence"),1,0)</f>
        <v>0.0</v>
      </c>
      <c r="AD1353">
        <f>IF(AND(AC1353=1,A1353&gt;=p_from,A1353&lt;=p_to),1,0)</f>
        <v>0.0</v>
      </c>
      <c r="AE1353">
        <f>IF(AD1353=1,IF(COUNTIFS($A$6:A1353,A1353,$AD$6:AD1353,1)=1,1,0),0)</f>
        <v>0.0</v>
      </c>
      <c r="AF1353" t="str">
        <f>IF(AE1353=1,COUNTIFS(sj_first,1,sj_date,"&lt;"&amp;A1353)+1,"")</f>
        <v/>
      </c>
      <c r="AG1353" t="str">
        <f>IF(AND(AD1353=1,N(W1353)&lt;p_alert),ROUND(W1353,4),"")</f>
        <v/>
      </c>
      <c r="AH1353" t="str">
        <f>IF(AG1353="","",COUNTIF(sj_akey,"&lt;"&amp;AG1353)+COUNTIF($AG$6:AG1353,AG1353))</f>
        <v/>
      </c>
    </row>
    <row r="1354">
      <c r="A1354" s="51" t="n"/>
      <c r="B1354" s="52" t="n"/>
      <c r="C1354" s="52" t="n"/>
      <c r="D1354" s="53" t="n"/>
      <c r="E1354" s="53" t="n"/>
      <c r="F1354" s="54" t="n"/>
      <c r="G1354" s="54" t="n"/>
      <c r="H1354" s="54" t="n"/>
      <c r="I1354" s="54" t="n"/>
      <c r="J1354" s="53" t="n"/>
      <c r="K1354" s="55" t="str">
        <f>IF(COUNTA(A1354:I1354)=0,"",IF(F1354="",IFERROR(INDEX(eq_dur,MATCH(B1354,eq_code,0)),""),F1354))</f>
        <v/>
      </c>
      <c r="L1354" s="55" t="str">
        <f>IF(ISNUMBER(K1354),N(IFERROR(INDEX(eq_pause,MATCH(B1354,eq_code,0)),0))+SUMIFS(st_min,st_date,A1354,st_eq,B1354,st_po,C1354,st_type,"Planifié"),"")</f>
        <v/>
      </c>
      <c r="M1354" s="55" t="str">
        <f>IF(ISNUMBER(K1354),K1354-L1354,"")</f>
        <v/>
      </c>
      <c r="N1354" s="55" t="str">
        <f>IF(ISNUMBER(K1354),SUMIFS(st_min,st_date,A1354,st_eq,B1354,st_po,C1354,st_type,"Non planifié"),"")</f>
        <v/>
      </c>
      <c r="O1354" s="55" t="str">
        <f>IF(ISNUMBER(K1354),M1354-N1354,"")</f>
        <v/>
      </c>
      <c r="P1354" s="55" t="str">
        <f>IF(COUNTA(A1354:I1354)=0,"",N(G1354)+N(H1354)+N(I1354))</f>
        <v/>
      </c>
      <c r="Q1354" s="56" t="str">
        <f>IF(COUNTA(A1354:I1354)=0,"",IF(N(IFERROR(INDEX(art_rate,MATCH(E1354,art_ref,0)),0))&gt;0,N(IFERROR(INDEX(art_rate,MATCH(E1354,art_ref,0)),0)),N(IFERROR(INDEX(po_rate,MATCH(C1354,po_code,0)),0))))</f>
        <v/>
      </c>
      <c r="R1354" s="55" t="str">
        <f>IF(AC1354=1,P1354*60/Q1354,"")</f>
        <v/>
      </c>
      <c r="S1354" s="55" t="str">
        <f>IF(AC1354=1,N(G1354)*60/Q1354,"")</f>
        <v/>
      </c>
      <c r="T1354" s="57" t="str">
        <f>IF(AC1354=1,O1354/M1354,"")</f>
        <v/>
      </c>
      <c r="U1354" s="57" t="str">
        <f>IF(AC1354=1,IF(O1354&gt;0,R1354/O1354,""),"")</f>
        <v/>
      </c>
      <c r="V1354" s="57" t="str">
        <f>IF(AC1354=1,IF(P1354&gt;0,N(G1354)/P1354,""),"")</f>
        <v/>
      </c>
      <c r="W1354" s="57" t="str">
        <f>IF(AC1354=1,S1354/M1354,"")</f>
        <v/>
      </c>
      <c r="X1354" s="57" t="str">
        <f>IF(AC1354=1,S1354/K1354,"")</f>
        <v/>
      </c>
      <c r="Y1354" s="58" t="str">
        <f>IF(W1354="","",IF(W1354&gt;=p_target,"Bon",IF(W1354&gt;=p_alert,"À surveiller","Faible")))</f>
        <v/>
      </c>
      <c r="Z1354" s="58" t="str">
        <f>IF(W1354="","",IF(MIN(IF(T1354="",1,T1354),IF(U1354="",1,U1354),IF(V1354="",1,V1354))&gt;=1,"Aucune",IF(IF(T1354="",1,T1354)&lt;=MIN(IF(U1354="",1,U1354),IF(V1354="",1,V1354)),"Disponibilité",IF(IF(U1354="",1,U1354)&lt;=IF(V1354="",1,V1354),"Performance","Qualité"))))</f>
        <v/>
      </c>
      <c r="AA1354" s="59" t="str">
        <f>IF(AC1354=1,N(H1354)*N(IFERROR(INDEX(art_cost,MATCH(E1354,art_ref,0)),0)),"")</f>
        <v/>
      </c>
      <c r="AB1354" s="58" t="str">
        <f>IF(COUNTA(A1354:I1354)=0,"",IF(N(A1354)&lt;=0,"Date manquante ou invalide",IF(B1354="","Équipe manquante",IF(ISNA(MATCH(B1354,eq_code,0)),"Équipe inconnue",IF(INDEX(eq_check,MATCH(B1354,eq_code,0))&lt;&gt;"OK","Équipe à corriger dans Paramètres",IF(C1354="","Poste manquant",IF(ISNA(MATCH(C1354,po_code,0)),"Poste inconnu",IF(AND(E1354&lt;&gt;"",ISNA(MATCH(E1354,art_ref,0))),"Article inconnu",IF(IF(E1354="",FALSE,INDEX(art_check,MATCH(E1354,art_ref,0))&lt;&gt;"OK"),"Article à corriger (feuille Articles)",IF(COUNTIFS(sj_date,A1354,sj_eq,B1354,sj_po,C1354)&gt;1,"Ligne en double (même jour, équipe et poste)",IF(OR(NOT(ISNUMBER(K1354)),N(K1354)&lt;=0,N(K1354)&gt;1440),"Temps d'ouverture invalide",IF(OR(AND(G1354&lt;&gt;"",NOT(ISNUMBER(G1354))),N(G1354)&lt;0,N(G1354)&lt;&gt;INT(N(G1354)),AND(H1354&lt;&gt;"",NOT(ISNUMBER(H1354))),N(H1354)&lt;0,N(H1354)&lt;&gt;INT(N(H1354)),AND(I1354&lt;&gt;"",NOT(ISNUMBER(I1354))),N(I1354)&lt;0,N(I1354)&lt;&gt;INT(N(I1354))),"Quantité invalide",IF(Q1354&lt;=0,"Cadence manquante (poste ou article)",IF(M1354&lt;=0,"Arrêts planifiés supérieurs au temps d'ouverture",IF(O1354&lt;0,"Arrêts supérieurs au temps requis",IF(AND(P1354&gt;0,O1354=0),"Pièces déclarées sans temps de marche",IF(AND(P1354=0,O1354&gt;0),"Aucune pièce déclarée",IF(P1354*60/Q1354&gt;O1354+0.001,"Cadence dépassée : vérifiez la cadence","OK"))))))))))))))))))</f>
        <v/>
      </c>
      <c r="AC1354">
        <f>IF(OR(AB1354="OK",AB1354="Aucune pièce déclarée",AB1354="Cadence dépassée : vérifiez la cadence"),1,0)</f>
        <v>0.0</v>
      </c>
      <c r="AD1354">
        <f>IF(AND(AC1354=1,A1354&gt;=p_from,A1354&lt;=p_to),1,0)</f>
        <v>0.0</v>
      </c>
      <c r="AE1354">
        <f>IF(AD1354=1,IF(COUNTIFS($A$6:A1354,A1354,$AD$6:AD1354,1)=1,1,0),0)</f>
        <v>0.0</v>
      </c>
      <c r="AF1354" t="str">
        <f>IF(AE1354=1,COUNTIFS(sj_first,1,sj_date,"&lt;"&amp;A1354)+1,"")</f>
        <v/>
      </c>
      <c r="AG1354" t="str">
        <f>IF(AND(AD1354=1,N(W1354)&lt;p_alert),ROUND(W1354,4),"")</f>
        <v/>
      </c>
      <c r="AH1354" t="str">
        <f>IF(AG1354="","",COUNTIF(sj_akey,"&lt;"&amp;AG1354)+COUNTIF($AG$6:AG1354,AG1354))</f>
        <v/>
      </c>
    </row>
    <row r="1355">
      <c r="A1355" s="51" t="n"/>
      <c r="B1355" s="52" t="n"/>
      <c r="C1355" s="52" t="n"/>
      <c r="D1355" s="53" t="n"/>
      <c r="E1355" s="53" t="n"/>
      <c r="F1355" s="54" t="n"/>
      <c r="G1355" s="54" t="n"/>
      <c r="H1355" s="54" t="n"/>
      <c r="I1355" s="54" t="n"/>
      <c r="J1355" s="53" t="n"/>
      <c r="K1355" s="55" t="str">
        <f>IF(COUNTA(A1355:I1355)=0,"",IF(F1355="",IFERROR(INDEX(eq_dur,MATCH(B1355,eq_code,0)),""),F1355))</f>
        <v/>
      </c>
      <c r="L1355" s="55" t="str">
        <f>IF(ISNUMBER(K1355),N(IFERROR(INDEX(eq_pause,MATCH(B1355,eq_code,0)),0))+SUMIFS(st_min,st_date,A1355,st_eq,B1355,st_po,C1355,st_type,"Planifié"),"")</f>
        <v/>
      </c>
      <c r="M1355" s="55" t="str">
        <f>IF(ISNUMBER(K1355),K1355-L1355,"")</f>
        <v/>
      </c>
      <c r="N1355" s="55" t="str">
        <f>IF(ISNUMBER(K1355),SUMIFS(st_min,st_date,A1355,st_eq,B1355,st_po,C1355,st_type,"Non planifié"),"")</f>
        <v/>
      </c>
      <c r="O1355" s="55" t="str">
        <f>IF(ISNUMBER(K1355),M1355-N1355,"")</f>
        <v/>
      </c>
      <c r="P1355" s="55" t="str">
        <f>IF(COUNTA(A1355:I1355)=0,"",N(G1355)+N(H1355)+N(I1355))</f>
        <v/>
      </c>
      <c r="Q1355" s="56" t="str">
        <f>IF(COUNTA(A1355:I1355)=0,"",IF(N(IFERROR(INDEX(art_rate,MATCH(E1355,art_ref,0)),0))&gt;0,N(IFERROR(INDEX(art_rate,MATCH(E1355,art_ref,0)),0)),N(IFERROR(INDEX(po_rate,MATCH(C1355,po_code,0)),0))))</f>
        <v/>
      </c>
      <c r="R1355" s="55" t="str">
        <f>IF(AC1355=1,P1355*60/Q1355,"")</f>
        <v/>
      </c>
      <c r="S1355" s="55" t="str">
        <f>IF(AC1355=1,N(G1355)*60/Q1355,"")</f>
        <v/>
      </c>
      <c r="T1355" s="57" t="str">
        <f>IF(AC1355=1,O1355/M1355,"")</f>
        <v/>
      </c>
      <c r="U1355" s="57" t="str">
        <f>IF(AC1355=1,IF(O1355&gt;0,R1355/O1355,""),"")</f>
        <v/>
      </c>
      <c r="V1355" s="57" t="str">
        <f>IF(AC1355=1,IF(P1355&gt;0,N(G1355)/P1355,""),"")</f>
        <v/>
      </c>
      <c r="W1355" s="57" t="str">
        <f>IF(AC1355=1,S1355/M1355,"")</f>
        <v/>
      </c>
      <c r="X1355" s="57" t="str">
        <f>IF(AC1355=1,S1355/K1355,"")</f>
        <v/>
      </c>
      <c r="Y1355" s="58" t="str">
        <f>IF(W1355="","",IF(W1355&gt;=p_target,"Bon",IF(W1355&gt;=p_alert,"À surveiller","Faible")))</f>
        <v/>
      </c>
      <c r="Z1355" s="58" t="str">
        <f>IF(W1355="","",IF(MIN(IF(T1355="",1,T1355),IF(U1355="",1,U1355),IF(V1355="",1,V1355))&gt;=1,"Aucune",IF(IF(T1355="",1,T1355)&lt;=MIN(IF(U1355="",1,U1355),IF(V1355="",1,V1355)),"Disponibilité",IF(IF(U1355="",1,U1355)&lt;=IF(V1355="",1,V1355),"Performance","Qualité"))))</f>
        <v/>
      </c>
      <c r="AA1355" s="59" t="str">
        <f>IF(AC1355=1,N(H1355)*N(IFERROR(INDEX(art_cost,MATCH(E1355,art_ref,0)),0)),"")</f>
        <v/>
      </c>
      <c r="AB1355" s="58" t="str">
        <f>IF(COUNTA(A1355:I1355)=0,"",IF(N(A1355)&lt;=0,"Date manquante ou invalide",IF(B1355="","Équipe manquante",IF(ISNA(MATCH(B1355,eq_code,0)),"Équipe inconnue",IF(INDEX(eq_check,MATCH(B1355,eq_code,0))&lt;&gt;"OK","Équipe à corriger dans Paramètres",IF(C1355="","Poste manquant",IF(ISNA(MATCH(C1355,po_code,0)),"Poste inconnu",IF(AND(E1355&lt;&gt;"",ISNA(MATCH(E1355,art_ref,0))),"Article inconnu",IF(IF(E1355="",FALSE,INDEX(art_check,MATCH(E1355,art_ref,0))&lt;&gt;"OK"),"Article à corriger (feuille Articles)",IF(COUNTIFS(sj_date,A1355,sj_eq,B1355,sj_po,C1355)&gt;1,"Ligne en double (même jour, équipe et poste)",IF(OR(NOT(ISNUMBER(K1355)),N(K1355)&lt;=0,N(K1355)&gt;1440),"Temps d'ouverture invalide",IF(OR(AND(G1355&lt;&gt;"",NOT(ISNUMBER(G1355))),N(G1355)&lt;0,N(G1355)&lt;&gt;INT(N(G1355)),AND(H1355&lt;&gt;"",NOT(ISNUMBER(H1355))),N(H1355)&lt;0,N(H1355)&lt;&gt;INT(N(H1355)),AND(I1355&lt;&gt;"",NOT(ISNUMBER(I1355))),N(I1355)&lt;0,N(I1355)&lt;&gt;INT(N(I1355))),"Quantité invalide",IF(Q1355&lt;=0,"Cadence manquante (poste ou article)",IF(M1355&lt;=0,"Arrêts planifiés supérieurs au temps d'ouverture",IF(O1355&lt;0,"Arrêts supérieurs au temps requis",IF(AND(P1355&gt;0,O1355=0),"Pièces déclarées sans temps de marche",IF(AND(P1355=0,O1355&gt;0),"Aucune pièce déclarée",IF(P1355*60/Q1355&gt;O1355+0.001,"Cadence dépassée : vérifiez la cadence","OK"))))))))))))))))))</f>
        <v/>
      </c>
      <c r="AC1355">
        <f>IF(OR(AB1355="OK",AB1355="Aucune pièce déclarée",AB1355="Cadence dépassée : vérifiez la cadence"),1,0)</f>
        <v>0.0</v>
      </c>
      <c r="AD1355">
        <f>IF(AND(AC1355=1,A1355&gt;=p_from,A1355&lt;=p_to),1,0)</f>
        <v>0.0</v>
      </c>
      <c r="AE1355">
        <f>IF(AD1355=1,IF(COUNTIFS($A$6:A1355,A1355,$AD$6:AD1355,1)=1,1,0),0)</f>
        <v>0.0</v>
      </c>
      <c r="AF1355" t="str">
        <f>IF(AE1355=1,COUNTIFS(sj_first,1,sj_date,"&lt;"&amp;A1355)+1,"")</f>
        <v/>
      </c>
      <c r="AG1355" t="str">
        <f>IF(AND(AD1355=1,N(W1355)&lt;p_alert),ROUND(W1355,4),"")</f>
        <v/>
      </c>
      <c r="AH1355" t="str">
        <f>IF(AG1355="","",COUNTIF(sj_akey,"&lt;"&amp;AG1355)+COUNTIF($AG$6:AG1355,AG1355))</f>
        <v/>
      </c>
    </row>
    <row r="1356">
      <c r="A1356" s="51" t="n"/>
      <c r="B1356" s="52" t="n"/>
      <c r="C1356" s="52" t="n"/>
      <c r="D1356" s="53" t="n"/>
      <c r="E1356" s="53" t="n"/>
      <c r="F1356" s="54" t="n"/>
      <c r="G1356" s="54" t="n"/>
      <c r="H1356" s="54" t="n"/>
      <c r="I1356" s="54" t="n"/>
      <c r="J1356" s="53" t="n"/>
      <c r="K1356" s="55" t="str">
        <f>IF(COUNTA(A1356:I1356)=0,"",IF(F1356="",IFERROR(INDEX(eq_dur,MATCH(B1356,eq_code,0)),""),F1356))</f>
        <v/>
      </c>
      <c r="L1356" s="55" t="str">
        <f>IF(ISNUMBER(K1356),N(IFERROR(INDEX(eq_pause,MATCH(B1356,eq_code,0)),0))+SUMIFS(st_min,st_date,A1356,st_eq,B1356,st_po,C1356,st_type,"Planifié"),"")</f>
        <v/>
      </c>
      <c r="M1356" s="55" t="str">
        <f>IF(ISNUMBER(K1356),K1356-L1356,"")</f>
        <v/>
      </c>
      <c r="N1356" s="55" t="str">
        <f>IF(ISNUMBER(K1356),SUMIFS(st_min,st_date,A1356,st_eq,B1356,st_po,C1356,st_type,"Non planifié"),"")</f>
        <v/>
      </c>
      <c r="O1356" s="55" t="str">
        <f>IF(ISNUMBER(K1356),M1356-N1356,"")</f>
        <v/>
      </c>
      <c r="P1356" s="55" t="str">
        <f>IF(COUNTA(A1356:I1356)=0,"",N(G1356)+N(H1356)+N(I1356))</f>
        <v/>
      </c>
      <c r="Q1356" s="56" t="str">
        <f>IF(COUNTA(A1356:I1356)=0,"",IF(N(IFERROR(INDEX(art_rate,MATCH(E1356,art_ref,0)),0))&gt;0,N(IFERROR(INDEX(art_rate,MATCH(E1356,art_ref,0)),0)),N(IFERROR(INDEX(po_rate,MATCH(C1356,po_code,0)),0))))</f>
        <v/>
      </c>
      <c r="R1356" s="55" t="str">
        <f>IF(AC1356=1,P1356*60/Q1356,"")</f>
        <v/>
      </c>
      <c r="S1356" s="55" t="str">
        <f>IF(AC1356=1,N(G1356)*60/Q1356,"")</f>
        <v/>
      </c>
      <c r="T1356" s="57" t="str">
        <f>IF(AC1356=1,O1356/M1356,"")</f>
        <v/>
      </c>
      <c r="U1356" s="57" t="str">
        <f>IF(AC1356=1,IF(O1356&gt;0,R1356/O1356,""),"")</f>
        <v/>
      </c>
      <c r="V1356" s="57" t="str">
        <f>IF(AC1356=1,IF(P1356&gt;0,N(G1356)/P1356,""),"")</f>
        <v/>
      </c>
      <c r="W1356" s="57" t="str">
        <f>IF(AC1356=1,S1356/M1356,"")</f>
        <v/>
      </c>
      <c r="X1356" s="57" t="str">
        <f>IF(AC1356=1,S1356/K1356,"")</f>
        <v/>
      </c>
      <c r="Y1356" s="58" t="str">
        <f>IF(W1356="","",IF(W1356&gt;=p_target,"Bon",IF(W1356&gt;=p_alert,"À surveiller","Faible")))</f>
        <v/>
      </c>
      <c r="Z1356" s="58" t="str">
        <f>IF(W1356="","",IF(MIN(IF(T1356="",1,T1356),IF(U1356="",1,U1356),IF(V1356="",1,V1356))&gt;=1,"Aucune",IF(IF(T1356="",1,T1356)&lt;=MIN(IF(U1356="",1,U1356),IF(V1356="",1,V1356)),"Disponibilité",IF(IF(U1356="",1,U1356)&lt;=IF(V1356="",1,V1356),"Performance","Qualité"))))</f>
        <v/>
      </c>
      <c r="AA1356" s="59" t="str">
        <f>IF(AC1356=1,N(H1356)*N(IFERROR(INDEX(art_cost,MATCH(E1356,art_ref,0)),0)),"")</f>
        <v/>
      </c>
      <c r="AB1356" s="58" t="str">
        <f>IF(COUNTA(A1356:I1356)=0,"",IF(N(A1356)&lt;=0,"Date manquante ou invalide",IF(B1356="","Équipe manquante",IF(ISNA(MATCH(B1356,eq_code,0)),"Équipe inconnue",IF(INDEX(eq_check,MATCH(B1356,eq_code,0))&lt;&gt;"OK","Équipe à corriger dans Paramètres",IF(C1356="","Poste manquant",IF(ISNA(MATCH(C1356,po_code,0)),"Poste inconnu",IF(AND(E1356&lt;&gt;"",ISNA(MATCH(E1356,art_ref,0))),"Article inconnu",IF(IF(E1356="",FALSE,INDEX(art_check,MATCH(E1356,art_ref,0))&lt;&gt;"OK"),"Article à corriger (feuille Articles)",IF(COUNTIFS(sj_date,A1356,sj_eq,B1356,sj_po,C1356)&gt;1,"Ligne en double (même jour, équipe et poste)",IF(OR(NOT(ISNUMBER(K1356)),N(K1356)&lt;=0,N(K1356)&gt;1440),"Temps d'ouverture invalide",IF(OR(AND(G1356&lt;&gt;"",NOT(ISNUMBER(G1356))),N(G1356)&lt;0,N(G1356)&lt;&gt;INT(N(G1356)),AND(H1356&lt;&gt;"",NOT(ISNUMBER(H1356))),N(H1356)&lt;0,N(H1356)&lt;&gt;INT(N(H1356)),AND(I1356&lt;&gt;"",NOT(ISNUMBER(I1356))),N(I1356)&lt;0,N(I1356)&lt;&gt;INT(N(I1356))),"Quantité invalide",IF(Q1356&lt;=0,"Cadence manquante (poste ou article)",IF(M1356&lt;=0,"Arrêts planifiés supérieurs au temps d'ouverture",IF(O1356&lt;0,"Arrêts supérieurs au temps requis",IF(AND(P1356&gt;0,O1356=0),"Pièces déclarées sans temps de marche",IF(AND(P1356=0,O1356&gt;0),"Aucune pièce déclarée",IF(P1356*60/Q1356&gt;O1356+0.001,"Cadence dépassée : vérifiez la cadence","OK"))))))))))))))))))</f>
        <v/>
      </c>
      <c r="AC1356">
        <f>IF(OR(AB1356="OK",AB1356="Aucune pièce déclarée",AB1356="Cadence dépassée : vérifiez la cadence"),1,0)</f>
        <v>0.0</v>
      </c>
      <c r="AD1356">
        <f>IF(AND(AC1356=1,A1356&gt;=p_from,A1356&lt;=p_to),1,0)</f>
        <v>0.0</v>
      </c>
      <c r="AE1356">
        <f>IF(AD1356=1,IF(COUNTIFS($A$6:A1356,A1356,$AD$6:AD1356,1)=1,1,0),0)</f>
        <v>0.0</v>
      </c>
      <c r="AF1356" t="str">
        <f>IF(AE1356=1,COUNTIFS(sj_first,1,sj_date,"&lt;"&amp;A1356)+1,"")</f>
        <v/>
      </c>
      <c r="AG1356" t="str">
        <f>IF(AND(AD1356=1,N(W1356)&lt;p_alert),ROUND(W1356,4),"")</f>
        <v/>
      </c>
      <c r="AH1356" t="str">
        <f>IF(AG1356="","",COUNTIF(sj_akey,"&lt;"&amp;AG1356)+COUNTIF($AG$6:AG1356,AG1356))</f>
        <v/>
      </c>
    </row>
    <row r="1357">
      <c r="A1357" s="51" t="n"/>
      <c r="B1357" s="52" t="n"/>
      <c r="C1357" s="52" t="n"/>
      <c r="D1357" s="53" t="n"/>
      <c r="E1357" s="53" t="n"/>
      <c r="F1357" s="54" t="n"/>
      <c r="G1357" s="54" t="n"/>
      <c r="H1357" s="54" t="n"/>
      <c r="I1357" s="54" t="n"/>
      <c r="J1357" s="53" t="n"/>
      <c r="K1357" s="55" t="str">
        <f>IF(COUNTA(A1357:I1357)=0,"",IF(F1357="",IFERROR(INDEX(eq_dur,MATCH(B1357,eq_code,0)),""),F1357))</f>
        <v/>
      </c>
      <c r="L1357" s="55" t="str">
        <f>IF(ISNUMBER(K1357),N(IFERROR(INDEX(eq_pause,MATCH(B1357,eq_code,0)),0))+SUMIFS(st_min,st_date,A1357,st_eq,B1357,st_po,C1357,st_type,"Planifié"),"")</f>
        <v/>
      </c>
      <c r="M1357" s="55" t="str">
        <f>IF(ISNUMBER(K1357),K1357-L1357,"")</f>
        <v/>
      </c>
      <c r="N1357" s="55" t="str">
        <f>IF(ISNUMBER(K1357),SUMIFS(st_min,st_date,A1357,st_eq,B1357,st_po,C1357,st_type,"Non planifié"),"")</f>
        <v/>
      </c>
      <c r="O1357" s="55" t="str">
        <f>IF(ISNUMBER(K1357),M1357-N1357,"")</f>
        <v/>
      </c>
      <c r="P1357" s="55" t="str">
        <f>IF(COUNTA(A1357:I1357)=0,"",N(G1357)+N(H1357)+N(I1357))</f>
        <v/>
      </c>
      <c r="Q1357" s="56" t="str">
        <f>IF(COUNTA(A1357:I1357)=0,"",IF(N(IFERROR(INDEX(art_rate,MATCH(E1357,art_ref,0)),0))&gt;0,N(IFERROR(INDEX(art_rate,MATCH(E1357,art_ref,0)),0)),N(IFERROR(INDEX(po_rate,MATCH(C1357,po_code,0)),0))))</f>
        <v/>
      </c>
      <c r="R1357" s="55" t="str">
        <f>IF(AC1357=1,P1357*60/Q1357,"")</f>
        <v/>
      </c>
      <c r="S1357" s="55" t="str">
        <f>IF(AC1357=1,N(G1357)*60/Q1357,"")</f>
        <v/>
      </c>
      <c r="T1357" s="57" t="str">
        <f>IF(AC1357=1,O1357/M1357,"")</f>
        <v/>
      </c>
      <c r="U1357" s="57" t="str">
        <f>IF(AC1357=1,IF(O1357&gt;0,R1357/O1357,""),"")</f>
        <v/>
      </c>
      <c r="V1357" s="57" t="str">
        <f>IF(AC1357=1,IF(P1357&gt;0,N(G1357)/P1357,""),"")</f>
        <v/>
      </c>
      <c r="W1357" s="57" t="str">
        <f>IF(AC1357=1,S1357/M1357,"")</f>
        <v/>
      </c>
      <c r="X1357" s="57" t="str">
        <f>IF(AC1357=1,S1357/K1357,"")</f>
        <v/>
      </c>
      <c r="Y1357" s="58" t="str">
        <f>IF(W1357="","",IF(W1357&gt;=p_target,"Bon",IF(W1357&gt;=p_alert,"À surveiller","Faible")))</f>
        <v/>
      </c>
      <c r="Z1357" s="58" t="str">
        <f>IF(W1357="","",IF(MIN(IF(T1357="",1,T1357),IF(U1357="",1,U1357),IF(V1357="",1,V1357))&gt;=1,"Aucune",IF(IF(T1357="",1,T1357)&lt;=MIN(IF(U1357="",1,U1357),IF(V1357="",1,V1357)),"Disponibilité",IF(IF(U1357="",1,U1357)&lt;=IF(V1357="",1,V1357),"Performance","Qualité"))))</f>
        <v/>
      </c>
      <c r="AA1357" s="59" t="str">
        <f>IF(AC1357=1,N(H1357)*N(IFERROR(INDEX(art_cost,MATCH(E1357,art_ref,0)),0)),"")</f>
        <v/>
      </c>
      <c r="AB1357" s="58" t="str">
        <f>IF(COUNTA(A1357:I1357)=0,"",IF(N(A1357)&lt;=0,"Date manquante ou invalide",IF(B1357="","Équipe manquante",IF(ISNA(MATCH(B1357,eq_code,0)),"Équipe inconnue",IF(INDEX(eq_check,MATCH(B1357,eq_code,0))&lt;&gt;"OK","Équipe à corriger dans Paramètres",IF(C1357="","Poste manquant",IF(ISNA(MATCH(C1357,po_code,0)),"Poste inconnu",IF(AND(E1357&lt;&gt;"",ISNA(MATCH(E1357,art_ref,0))),"Article inconnu",IF(IF(E1357="",FALSE,INDEX(art_check,MATCH(E1357,art_ref,0))&lt;&gt;"OK"),"Article à corriger (feuille Articles)",IF(COUNTIFS(sj_date,A1357,sj_eq,B1357,sj_po,C1357)&gt;1,"Ligne en double (même jour, équipe et poste)",IF(OR(NOT(ISNUMBER(K1357)),N(K1357)&lt;=0,N(K1357)&gt;1440),"Temps d'ouverture invalide",IF(OR(AND(G1357&lt;&gt;"",NOT(ISNUMBER(G1357))),N(G1357)&lt;0,N(G1357)&lt;&gt;INT(N(G1357)),AND(H1357&lt;&gt;"",NOT(ISNUMBER(H1357))),N(H1357)&lt;0,N(H1357)&lt;&gt;INT(N(H1357)),AND(I1357&lt;&gt;"",NOT(ISNUMBER(I1357))),N(I1357)&lt;0,N(I1357)&lt;&gt;INT(N(I1357))),"Quantité invalide",IF(Q1357&lt;=0,"Cadence manquante (poste ou article)",IF(M1357&lt;=0,"Arrêts planifiés supérieurs au temps d'ouverture",IF(O1357&lt;0,"Arrêts supérieurs au temps requis",IF(AND(P1357&gt;0,O1357=0),"Pièces déclarées sans temps de marche",IF(AND(P1357=0,O1357&gt;0),"Aucune pièce déclarée",IF(P1357*60/Q1357&gt;O1357+0.001,"Cadence dépassée : vérifiez la cadence","OK"))))))))))))))))))</f>
        <v/>
      </c>
      <c r="AC1357">
        <f>IF(OR(AB1357="OK",AB1357="Aucune pièce déclarée",AB1357="Cadence dépassée : vérifiez la cadence"),1,0)</f>
        <v>0.0</v>
      </c>
      <c r="AD1357">
        <f>IF(AND(AC1357=1,A1357&gt;=p_from,A1357&lt;=p_to),1,0)</f>
        <v>0.0</v>
      </c>
      <c r="AE1357">
        <f>IF(AD1357=1,IF(COUNTIFS($A$6:A1357,A1357,$AD$6:AD1357,1)=1,1,0),0)</f>
        <v>0.0</v>
      </c>
      <c r="AF1357" t="str">
        <f>IF(AE1357=1,COUNTIFS(sj_first,1,sj_date,"&lt;"&amp;A1357)+1,"")</f>
        <v/>
      </c>
      <c r="AG1357" t="str">
        <f>IF(AND(AD1357=1,N(W1357)&lt;p_alert),ROUND(W1357,4),"")</f>
        <v/>
      </c>
      <c r="AH1357" t="str">
        <f>IF(AG1357="","",COUNTIF(sj_akey,"&lt;"&amp;AG1357)+COUNTIF($AG$6:AG1357,AG1357))</f>
        <v/>
      </c>
    </row>
    <row r="1358">
      <c r="A1358" s="51" t="n"/>
      <c r="B1358" s="52" t="n"/>
      <c r="C1358" s="52" t="n"/>
      <c r="D1358" s="53" t="n"/>
      <c r="E1358" s="53" t="n"/>
      <c r="F1358" s="54" t="n"/>
      <c r="G1358" s="54" t="n"/>
      <c r="H1358" s="54" t="n"/>
      <c r="I1358" s="54" t="n"/>
      <c r="J1358" s="53" t="n"/>
      <c r="K1358" s="55" t="str">
        <f>IF(COUNTA(A1358:I1358)=0,"",IF(F1358="",IFERROR(INDEX(eq_dur,MATCH(B1358,eq_code,0)),""),F1358))</f>
        <v/>
      </c>
      <c r="L1358" s="55" t="str">
        <f>IF(ISNUMBER(K1358),N(IFERROR(INDEX(eq_pause,MATCH(B1358,eq_code,0)),0))+SUMIFS(st_min,st_date,A1358,st_eq,B1358,st_po,C1358,st_type,"Planifié"),"")</f>
        <v/>
      </c>
      <c r="M1358" s="55" t="str">
        <f>IF(ISNUMBER(K1358),K1358-L1358,"")</f>
        <v/>
      </c>
      <c r="N1358" s="55" t="str">
        <f>IF(ISNUMBER(K1358),SUMIFS(st_min,st_date,A1358,st_eq,B1358,st_po,C1358,st_type,"Non planifié"),"")</f>
        <v/>
      </c>
      <c r="O1358" s="55" t="str">
        <f>IF(ISNUMBER(K1358),M1358-N1358,"")</f>
        <v/>
      </c>
      <c r="P1358" s="55" t="str">
        <f>IF(COUNTA(A1358:I1358)=0,"",N(G1358)+N(H1358)+N(I1358))</f>
        <v/>
      </c>
      <c r="Q1358" s="56" t="str">
        <f>IF(COUNTA(A1358:I1358)=0,"",IF(N(IFERROR(INDEX(art_rate,MATCH(E1358,art_ref,0)),0))&gt;0,N(IFERROR(INDEX(art_rate,MATCH(E1358,art_ref,0)),0)),N(IFERROR(INDEX(po_rate,MATCH(C1358,po_code,0)),0))))</f>
        <v/>
      </c>
      <c r="R1358" s="55" t="str">
        <f>IF(AC1358=1,P1358*60/Q1358,"")</f>
        <v/>
      </c>
      <c r="S1358" s="55" t="str">
        <f>IF(AC1358=1,N(G1358)*60/Q1358,"")</f>
        <v/>
      </c>
      <c r="T1358" s="57" t="str">
        <f>IF(AC1358=1,O1358/M1358,"")</f>
        <v/>
      </c>
      <c r="U1358" s="57" t="str">
        <f>IF(AC1358=1,IF(O1358&gt;0,R1358/O1358,""),"")</f>
        <v/>
      </c>
      <c r="V1358" s="57" t="str">
        <f>IF(AC1358=1,IF(P1358&gt;0,N(G1358)/P1358,""),"")</f>
        <v/>
      </c>
      <c r="W1358" s="57" t="str">
        <f>IF(AC1358=1,S1358/M1358,"")</f>
        <v/>
      </c>
      <c r="X1358" s="57" t="str">
        <f>IF(AC1358=1,S1358/K1358,"")</f>
        <v/>
      </c>
      <c r="Y1358" s="58" t="str">
        <f>IF(W1358="","",IF(W1358&gt;=p_target,"Bon",IF(W1358&gt;=p_alert,"À surveiller","Faible")))</f>
        <v/>
      </c>
      <c r="Z1358" s="58" t="str">
        <f>IF(W1358="","",IF(MIN(IF(T1358="",1,T1358),IF(U1358="",1,U1358),IF(V1358="",1,V1358))&gt;=1,"Aucune",IF(IF(T1358="",1,T1358)&lt;=MIN(IF(U1358="",1,U1358),IF(V1358="",1,V1358)),"Disponibilité",IF(IF(U1358="",1,U1358)&lt;=IF(V1358="",1,V1358),"Performance","Qualité"))))</f>
        <v/>
      </c>
      <c r="AA1358" s="59" t="str">
        <f>IF(AC1358=1,N(H1358)*N(IFERROR(INDEX(art_cost,MATCH(E1358,art_ref,0)),0)),"")</f>
        <v/>
      </c>
      <c r="AB1358" s="58" t="str">
        <f>IF(COUNTA(A1358:I1358)=0,"",IF(N(A1358)&lt;=0,"Date manquante ou invalide",IF(B1358="","Équipe manquante",IF(ISNA(MATCH(B1358,eq_code,0)),"Équipe inconnue",IF(INDEX(eq_check,MATCH(B1358,eq_code,0))&lt;&gt;"OK","Équipe à corriger dans Paramètres",IF(C1358="","Poste manquant",IF(ISNA(MATCH(C1358,po_code,0)),"Poste inconnu",IF(AND(E1358&lt;&gt;"",ISNA(MATCH(E1358,art_ref,0))),"Article inconnu",IF(IF(E1358="",FALSE,INDEX(art_check,MATCH(E1358,art_ref,0))&lt;&gt;"OK"),"Article à corriger (feuille Articles)",IF(COUNTIFS(sj_date,A1358,sj_eq,B1358,sj_po,C1358)&gt;1,"Ligne en double (même jour, équipe et poste)",IF(OR(NOT(ISNUMBER(K1358)),N(K1358)&lt;=0,N(K1358)&gt;1440),"Temps d'ouverture invalide",IF(OR(AND(G1358&lt;&gt;"",NOT(ISNUMBER(G1358))),N(G1358)&lt;0,N(G1358)&lt;&gt;INT(N(G1358)),AND(H1358&lt;&gt;"",NOT(ISNUMBER(H1358))),N(H1358)&lt;0,N(H1358)&lt;&gt;INT(N(H1358)),AND(I1358&lt;&gt;"",NOT(ISNUMBER(I1358))),N(I1358)&lt;0,N(I1358)&lt;&gt;INT(N(I1358))),"Quantité invalide",IF(Q1358&lt;=0,"Cadence manquante (poste ou article)",IF(M1358&lt;=0,"Arrêts planifiés supérieurs au temps d'ouverture",IF(O1358&lt;0,"Arrêts supérieurs au temps requis",IF(AND(P1358&gt;0,O1358=0),"Pièces déclarées sans temps de marche",IF(AND(P1358=0,O1358&gt;0),"Aucune pièce déclarée",IF(P1358*60/Q1358&gt;O1358+0.001,"Cadence dépassée : vérifiez la cadence","OK"))))))))))))))))))</f>
        <v/>
      </c>
      <c r="AC1358">
        <f>IF(OR(AB1358="OK",AB1358="Aucune pièce déclarée",AB1358="Cadence dépassée : vérifiez la cadence"),1,0)</f>
        <v>0.0</v>
      </c>
      <c r="AD1358">
        <f>IF(AND(AC1358=1,A1358&gt;=p_from,A1358&lt;=p_to),1,0)</f>
        <v>0.0</v>
      </c>
      <c r="AE1358">
        <f>IF(AD1358=1,IF(COUNTIFS($A$6:A1358,A1358,$AD$6:AD1358,1)=1,1,0),0)</f>
        <v>0.0</v>
      </c>
      <c r="AF1358" t="str">
        <f>IF(AE1358=1,COUNTIFS(sj_first,1,sj_date,"&lt;"&amp;A1358)+1,"")</f>
        <v/>
      </c>
      <c r="AG1358" t="str">
        <f>IF(AND(AD1358=1,N(W1358)&lt;p_alert),ROUND(W1358,4),"")</f>
        <v/>
      </c>
      <c r="AH1358" t="str">
        <f>IF(AG1358="","",COUNTIF(sj_akey,"&lt;"&amp;AG1358)+COUNTIF($AG$6:AG1358,AG1358))</f>
        <v/>
      </c>
    </row>
    <row r="1359">
      <c r="A1359" s="51" t="n"/>
      <c r="B1359" s="52" t="n"/>
      <c r="C1359" s="52" t="n"/>
      <c r="D1359" s="53" t="n"/>
      <c r="E1359" s="53" t="n"/>
      <c r="F1359" s="54" t="n"/>
      <c r="G1359" s="54" t="n"/>
      <c r="H1359" s="54" t="n"/>
      <c r="I1359" s="54" t="n"/>
      <c r="J1359" s="53" t="n"/>
      <c r="K1359" s="55" t="str">
        <f>IF(COUNTA(A1359:I1359)=0,"",IF(F1359="",IFERROR(INDEX(eq_dur,MATCH(B1359,eq_code,0)),""),F1359))</f>
        <v/>
      </c>
      <c r="L1359" s="55" t="str">
        <f>IF(ISNUMBER(K1359),N(IFERROR(INDEX(eq_pause,MATCH(B1359,eq_code,0)),0))+SUMIFS(st_min,st_date,A1359,st_eq,B1359,st_po,C1359,st_type,"Planifié"),"")</f>
        <v/>
      </c>
      <c r="M1359" s="55" t="str">
        <f>IF(ISNUMBER(K1359),K1359-L1359,"")</f>
        <v/>
      </c>
      <c r="N1359" s="55" t="str">
        <f>IF(ISNUMBER(K1359),SUMIFS(st_min,st_date,A1359,st_eq,B1359,st_po,C1359,st_type,"Non planifié"),"")</f>
        <v/>
      </c>
      <c r="O1359" s="55" t="str">
        <f>IF(ISNUMBER(K1359),M1359-N1359,"")</f>
        <v/>
      </c>
      <c r="P1359" s="55" t="str">
        <f>IF(COUNTA(A1359:I1359)=0,"",N(G1359)+N(H1359)+N(I1359))</f>
        <v/>
      </c>
      <c r="Q1359" s="56" t="str">
        <f>IF(COUNTA(A1359:I1359)=0,"",IF(N(IFERROR(INDEX(art_rate,MATCH(E1359,art_ref,0)),0))&gt;0,N(IFERROR(INDEX(art_rate,MATCH(E1359,art_ref,0)),0)),N(IFERROR(INDEX(po_rate,MATCH(C1359,po_code,0)),0))))</f>
        <v/>
      </c>
      <c r="R1359" s="55" t="str">
        <f>IF(AC1359=1,P1359*60/Q1359,"")</f>
        <v/>
      </c>
      <c r="S1359" s="55" t="str">
        <f>IF(AC1359=1,N(G1359)*60/Q1359,"")</f>
        <v/>
      </c>
      <c r="T1359" s="57" t="str">
        <f>IF(AC1359=1,O1359/M1359,"")</f>
        <v/>
      </c>
      <c r="U1359" s="57" t="str">
        <f>IF(AC1359=1,IF(O1359&gt;0,R1359/O1359,""),"")</f>
        <v/>
      </c>
      <c r="V1359" s="57" t="str">
        <f>IF(AC1359=1,IF(P1359&gt;0,N(G1359)/P1359,""),"")</f>
        <v/>
      </c>
      <c r="W1359" s="57" t="str">
        <f>IF(AC1359=1,S1359/M1359,"")</f>
        <v/>
      </c>
      <c r="X1359" s="57" t="str">
        <f>IF(AC1359=1,S1359/K1359,"")</f>
        <v/>
      </c>
      <c r="Y1359" s="58" t="str">
        <f>IF(W1359="","",IF(W1359&gt;=p_target,"Bon",IF(W1359&gt;=p_alert,"À surveiller","Faible")))</f>
        <v/>
      </c>
      <c r="Z1359" s="58" t="str">
        <f>IF(W1359="","",IF(MIN(IF(T1359="",1,T1359),IF(U1359="",1,U1359),IF(V1359="",1,V1359))&gt;=1,"Aucune",IF(IF(T1359="",1,T1359)&lt;=MIN(IF(U1359="",1,U1359),IF(V1359="",1,V1359)),"Disponibilité",IF(IF(U1359="",1,U1359)&lt;=IF(V1359="",1,V1359),"Performance","Qualité"))))</f>
        <v/>
      </c>
      <c r="AA1359" s="59" t="str">
        <f>IF(AC1359=1,N(H1359)*N(IFERROR(INDEX(art_cost,MATCH(E1359,art_ref,0)),0)),"")</f>
        <v/>
      </c>
      <c r="AB1359" s="58" t="str">
        <f>IF(COUNTA(A1359:I1359)=0,"",IF(N(A1359)&lt;=0,"Date manquante ou invalide",IF(B1359="","Équipe manquante",IF(ISNA(MATCH(B1359,eq_code,0)),"Équipe inconnue",IF(INDEX(eq_check,MATCH(B1359,eq_code,0))&lt;&gt;"OK","Équipe à corriger dans Paramètres",IF(C1359="","Poste manquant",IF(ISNA(MATCH(C1359,po_code,0)),"Poste inconnu",IF(AND(E1359&lt;&gt;"",ISNA(MATCH(E1359,art_ref,0))),"Article inconnu",IF(IF(E1359="",FALSE,INDEX(art_check,MATCH(E1359,art_ref,0))&lt;&gt;"OK"),"Article à corriger (feuille Articles)",IF(COUNTIFS(sj_date,A1359,sj_eq,B1359,sj_po,C1359)&gt;1,"Ligne en double (même jour, équipe et poste)",IF(OR(NOT(ISNUMBER(K1359)),N(K1359)&lt;=0,N(K1359)&gt;1440),"Temps d'ouverture invalide",IF(OR(AND(G1359&lt;&gt;"",NOT(ISNUMBER(G1359))),N(G1359)&lt;0,N(G1359)&lt;&gt;INT(N(G1359)),AND(H1359&lt;&gt;"",NOT(ISNUMBER(H1359))),N(H1359)&lt;0,N(H1359)&lt;&gt;INT(N(H1359)),AND(I1359&lt;&gt;"",NOT(ISNUMBER(I1359))),N(I1359)&lt;0,N(I1359)&lt;&gt;INT(N(I1359))),"Quantité invalide",IF(Q1359&lt;=0,"Cadence manquante (poste ou article)",IF(M1359&lt;=0,"Arrêts planifiés supérieurs au temps d'ouverture",IF(O1359&lt;0,"Arrêts supérieurs au temps requis",IF(AND(P1359&gt;0,O1359=0),"Pièces déclarées sans temps de marche",IF(AND(P1359=0,O1359&gt;0),"Aucune pièce déclarée",IF(P1359*60/Q1359&gt;O1359+0.001,"Cadence dépassée : vérifiez la cadence","OK"))))))))))))))))))</f>
        <v/>
      </c>
      <c r="AC1359">
        <f>IF(OR(AB1359="OK",AB1359="Aucune pièce déclarée",AB1359="Cadence dépassée : vérifiez la cadence"),1,0)</f>
        <v>0.0</v>
      </c>
      <c r="AD1359">
        <f>IF(AND(AC1359=1,A1359&gt;=p_from,A1359&lt;=p_to),1,0)</f>
        <v>0.0</v>
      </c>
      <c r="AE1359">
        <f>IF(AD1359=1,IF(COUNTIFS($A$6:A1359,A1359,$AD$6:AD1359,1)=1,1,0),0)</f>
        <v>0.0</v>
      </c>
      <c r="AF1359" t="str">
        <f>IF(AE1359=1,COUNTIFS(sj_first,1,sj_date,"&lt;"&amp;A1359)+1,"")</f>
        <v/>
      </c>
      <c r="AG1359" t="str">
        <f>IF(AND(AD1359=1,N(W1359)&lt;p_alert),ROUND(W1359,4),"")</f>
        <v/>
      </c>
      <c r="AH1359" t="str">
        <f>IF(AG1359="","",COUNTIF(sj_akey,"&lt;"&amp;AG1359)+COUNTIF($AG$6:AG1359,AG1359))</f>
        <v/>
      </c>
    </row>
    <row r="1360">
      <c r="A1360" s="51" t="n"/>
      <c r="B1360" s="52" t="n"/>
      <c r="C1360" s="52" t="n"/>
      <c r="D1360" s="53" t="n"/>
      <c r="E1360" s="53" t="n"/>
      <c r="F1360" s="54" t="n"/>
      <c r="G1360" s="54" t="n"/>
      <c r="H1360" s="54" t="n"/>
      <c r="I1360" s="54" t="n"/>
      <c r="J1360" s="53" t="n"/>
      <c r="K1360" s="55" t="str">
        <f>IF(COUNTA(A1360:I1360)=0,"",IF(F1360="",IFERROR(INDEX(eq_dur,MATCH(B1360,eq_code,0)),""),F1360))</f>
        <v/>
      </c>
      <c r="L1360" s="55" t="str">
        <f>IF(ISNUMBER(K1360),N(IFERROR(INDEX(eq_pause,MATCH(B1360,eq_code,0)),0))+SUMIFS(st_min,st_date,A1360,st_eq,B1360,st_po,C1360,st_type,"Planifié"),"")</f>
        <v/>
      </c>
      <c r="M1360" s="55" t="str">
        <f>IF(ISNUMBER(K1360),K1360-L1360,"")</f>
        <v/>
      </c>
      <c r="N1360" s="55" t="str">
        <f>IF(ISNUMBER(K1360),SUMIFS(st_min,st_date,A1360,st_eq,B1360,st_po,C1360,st_type,"Non planifié"),"")</f>
        <v/>
      </c>
      <c r="O1360" s="55" t="str">
        <f>IF(ISNUMBER(K1360),M1360-N1360,"")</f>
        <v/>
      </c>
      <c r="P1360" s="55" t="str">
        <f>IF(COUNTA(A1360:I1360)=0,"",N(G1360)+N(H1360)+N(I1360))</f>
        <v/>
      </c>
      <c r="Q1360" s="56" t="str">
        <f>IF(COUNTA(A1360:I1360)=0,"",IF(N(IFERROR(INDEX(art_rate,MATCH(E1360,art_ref,0)),0))&gt;0,N(IFERROR(INDEX(art_rate,MATCH(E1360,art_ref,0)),0)),N(IFERROR(INDEX(po_rate,MATCH(C1360,po_code,0)),0))))</f>
        <v/>
      </c>
      <c r="R1360" s="55" t="str">
        <f>IF(AC1360=1,P1360*60/Q1360,"")</f>
        <v/>
      </c>
      <c r="S1360" s="55" t="str">
        <f>IF(AC1360=1,N(G1360)*60/Q1360,"")</f>
        <v/>
      </c>
      <c r="T1360" s="57" t="str">
        <f>IF(AC1360=1,O1360/M1360,"")</f>
        <v/>
      </c>
      <c r="U1360" s="57" t="str">
        <f>IF(AC1360=1,IF(O1360&gt;0,R1360/O1360,""),"")</f>
        <v/>
      </c>
      <c r="V1360" s="57" t="str">
        <f>IF(AC1360=1,IF(P1360&gt;0,N(G1360)/P1360,""),"")</f>
        <v/>
      </c>
      <c r="W1360" s="57" t="str">
        <f>IF(AC1360=1,S1360/M1360,"")</f>
        <v/>
      </c>
      <c r="X1360" s="57" t="str">
        <f>IF(AC1360=1,S1360/K1360,"")</f>
        <v/>
      </c>
      <c r="Y1360" s="58" t="str">
        <f>IF(W1360="","",IF(W1360&gt;=p_target,"Bon",IF(W1360&gt;=p_alert,"À surveiller","Faible")))</f>
        <v/>
      </c>
      <c r="Z1360" s="58" t="str">
        <f>IF(W1360="","",IF(MIN(IF(T1360="",1,T1360),IF(U1360="",1,U1360),IF(V1360="",1,V1360))&gt;=1,"Aucune",IF(IF(T1360="",1,T1360)&lt;=MIN(IF(U1360="",1,U1360),IF(V1360="",1,V1360)),"Disponibilité",IF(IF(U1360="",1,U1360)&lt;=IF(V1360="",1,V1360),"Performance","Qualité"))))</f>
        <v/>
      </c>
      <c r="AA1360" s="59" t="str">
        <f>IF(AC1360=1,N(H1360)*N(IFERROR(INDEX(art_cost,MATCH(E1360,art_ref,0)),0)),"")</f>
        <v/>
      </c>
      <c r="AB1360" s="58" t="str">
        <f>IF(COUNTA(A1360:I1360)=0,"",IF(N(A1360)&lt;=0,"Date manquante ou invalide",IF(B1360="","Équipe manquante",IF(ISNA(MATCH(B1360,eq_code,0)),"Équipe inconnue",IF(INDEX(eq_check,MATCH(B1360,eq_code,0))&lt;&gt;"OK","Équipe à corriger dans Paramètres",IF(C1360="","Poste manquant",IF(ISNA(MATCH(C1360,po_code,0)),"Poste inconnu",IF(AND(E1360&lt;&gt;"",ISNA(MATCH(E1360,art_ref,0))),"Article inconnu",IF(IF(E1360="",FALSE,INDEX(art_check,MATCH(E1360,art_ref,0))&lt;&gt;"OK"),"Article à corriger (feuille Articles)",IF(COUNTIFS(sj_date,A1360,sj_eq,B1360,sj_po,C1360)&gt;1,"Ligne en double (même jour, équipe et poste)",IF(OR(NOT(ISNUMBER(K1360)),N(K1360)&lt;=0,N(K1360)&gt;1440),"Temps d'ouverture invalide",IF(OR(AND(G1360&lt;&gt;"",NOT(ISNUMBER(G1360))),N(G1360)&lt;0,N(G1360)&lt;&gt;INT(N(G1360)),AND(H1360&lt;&gt;"",NOT(ISNUMBER(H1360))),N(H1360)&lt;0,N(H1360)&lt;&gt;INT(N(H1360)),AND(I1360&lt;&gt;"",NOT(ISNUMBER(I1360))),N(I1360)&lt;0,N(I1360)&lt;&gt;INT(N(I1360))),"Quantité invalide",IF(Q1360&lt;=0,"Cadence manquante (poste ou article)",IF(M1360&lt;=0,"Arrêts planifiés supérieurs au temps d'ouverture",IF(O1360&lt;0,"Arrêts supérieurs au temps requis",IF(AND(P1360&gt;0,O1360=0),"Pièces déclarées sans temps de marche",IF(AND(P1360=0,O1360&gt;0),"Aucune pièce déclarée",IF(P1360*60/Q1360&gt;O1360+0.001,"Cadence dépassée : vérifiez la cadence","OK"))))))))))))))))))</f>
        <v/>
      </c>
      <c r="AC1360">
        <f>IF(OR(AB1360="OK",AB1360="Aucune pièce déclarée",AB1360="Cadence dépassée : vérifiez la cadence"),1,0)</f>
        <v>0.0</v>
      </c>
      <c r="AD1360">
        <f>IF(AND(AC1360=1,A1360&gt;=p_from,A1360&lt;=p_to),1,0)</f>
        <v>0.0</v>
      </c>
      <c r="AE1360">
        <f>IF(AD1360=1,IF(COUNTIFS($A$6:A1360,A1360,$AD$6:AD1360,1)=1,1,0),0)</f>
        <v>0.0</v>
      </c>
      <c r="AF1360" t="str">
        <f>IF(AE1360=1,COUNTIFS(sj_first,1,sj_date,"&lt;"&amp;A1360)+1,"")</f>
        <v/>
      </c>
      <c r="AG1360" t="str">
        <f>IF(AND(AD1360=1,N(W1360)&lt;p_alert),ROUND(W1360,4),"")</f>
        <v/>
      </c>
      <c r="AH1360" t="str">
        <f>IF(AG1360="","",COUNTIF(sj_akey,"&lt;"&amp;AG1360)+COUNTIF($AG$6:AG1360,AG1360))</f>
        <v/>
      </c>
    </row>
    <row r="1361">
      <c r="A1361" s="51" t="n"/>
      <c r="B1361" s="52" t="n"/>
      <c r="C1361" s="52" t="n"/>
      <c r="D1361" s="53" t="n"/>
      <c r="E1361" s="53" t="n"/>
      <c r="F1361" s="54" t="n"/>
      <c r="G1361" s="54" t="n"/>
      <c r="H1361" s="54" t="n"/>
      <c r="I1361" s="54" t="n"/>
      <c r="J1361" s="53" t="n"/>
      <c r="K1361" s="55" t="str">
        <f>IF(COUNTA(A1361:I1361)=0,"",IF(F1361="",IFERROR(INDEX(eq_dur,MATCH(B1361,eq_code,0)),""),F1361))</f>
        <v/>
      </c>
      <c r="L1361" s="55" t="str">
        <f>IF(ISNUMBER(K1361),N(IFERROR(INDEX(eq_pause,MATCH(B1361,eq_code,0)),0))+SUMIFS(st_min,st_date,A1361,st_eq,B1361,st_po,C1361,st_type,"Planifié"),"")</f>
        <v/>
      </c>
      <c r="M1361" s="55" t="str">
        <f>IF(ISNUMBER(K1361),K1361-L1361,"")</f>
        <v/>
      </c>
      <c r="N1361" s="55" t="str">
        <f>IF(ISNUMBER(K1361),SUMIFS(st_min,st_date,A1361,st_eq,B1361,st_po,C1361,st_type,"Non planifié"),"")</f>
        <v/>
      </c>
      <c r="O1361" s="55" t="str">
        <f>IF(ISNUMBER(K1361),M1361-N1361,"")</f>
        <v/>
      </c>
      <c r="P1361" s="55" t="str">
        <f>IF(COUNTA(A1361:I1361)=0,"",N(G1361)+N(H1361)+N(I1361))</f>
        <v/>
      </c>
      <c r="Q1361" s="56" t="str">
        <f>IF(COUNTA(A1361:I1361)=0,"",IF(N(IFERROR(INDEX(art_rate,MATCH(E1361,art_ref,0)),0))&gt;0,N(IFERROR(INDEX(art_rate,MATCH(E1361,art_ref,0)),0)),N(IFERROR(INDEX(po_rate,MATCH(C1361,po_code,0)),0))))</f>
        <v/>
      </c>
      <c r="R1361" s="55" t="str">
        <f>IF(AC1361=1,P1361*60/Q1361,"")</f>
        <v/>
      </c>
      <c r="S1361" s="55" t="str">
        <f>IF(AC1361=1,N(G1361)*60/Q1361,"")</f>
        <v/>
      </c>
      <c r="T1361" s="57" t="str">
        <f>IF(AC1361=1,O1361/M1361,"")</f>
        <v/>
      </c>
      <c r="U1361" s="57" t="str">
        <f>IF(AC1361=1,IF(O1361&gt;0,R1361/O1361,""),"")</f>
        <v/>
      </c>
      <c r="V1361" s="57" t="str">
        <f>IF(AC1361=1,IF(P1361&gt;0,N(G1361)/P1361,""),"")</f>
        <v/>
      </c>
      <c r="W1361" s="57" t="str">
        <f>IF(AC1361=1,S1361/M1361,"")</f>
        <v/>
      </c>
      <c r="X1361" s="57" t="str">
        <f>IF(AC1361=1,S1361/K1361,"")</f>
        <v/>
      </c>
      <c r="Y1361" s="58" t="str">
        <f>IF(W1361="","",IF(W1361&gt;=p_target,"Bon",IF(W1361&gt;=p_alert,"À surveiller","Faible")))</f>
        <v/>
      </c>
      <c r="Z1361" s="58" t="str">
        <f>IF(W1361="","",IF(MIN(IF(T1361="",1,T1361),IF(U1361="",1,U1361),IF(V1361="",1,V1361))&gt;=1,"Aucune",IF(IF(T1361="",1,T1361)&lt;=MIN(IF(U1361="",1,U1361),IF(V1361="",1,V1361)),"Disponibilité",IF(IF(U1361="",1,U1361)&lt;=IF(V1361="",1,V1361),"Performance","Qualité"))))</f>
        <v/>
      </c>
      <c r="AA1361" s="59" t="str">
        <f>IF(AC1361=1,N(H1361)*N(IFERROR(INDEX(art_cost,MATCH(E1361,art_ref,0)),0)),"")</f>
        <v/>
      </c>
      <c r="AB1361" s="58" t="str">
        <f>IF(COUNTA(A1361:I1361)=0,"",IF(N(A1361)&lt;=0,"Date manquante ou invalide",IF(B1361="","Équipe manquante",IF(ISNA(MATCH(B1361,eq_code,0)),"Équipe inconnue",IF(INDEX(eq_check,MATCH(B1361,eq_code,0))&lt;&gt;"OK","Équipe à corriger dans Paramètres",IF(C1361="","Poste manquant",IF(ISNA(MATCH(C1361,po_code,0)),"Poste inconnu",IF(AND(E1361&lt;&gt;"",ISNA(MATCH(E1361,art_ref,0))),"Article inconnu",IF(IF(E1361="",FALSE,INDEX(art_check,MATCH(E1361,art_ref,0))&lt;&gt;"OK"),"Article à corriger (feuille Articles)",IF(COUNTIFS(sj_date,A1361,sj_eq,B1361,sj_po,C1361)&gt;1,"Ligne en double (même jour, équipe et poste)",IF(OR(NOT(ISNUMBER(K1361)),N(K1361)&lt;=0,N(K1361)&gt;1440),"Temps d'ouverture invalide",IF(OR(AND(G1361&lt;&gt;"",NOT(ISNUMBER(G1361))),N(G1361)&lt;0,N(G1361)&lt;&gt;INT(N(G1361)),AND(H1361&lt;&gt;"",NOT(ISNUMBER(H1361))),N(H1361)&lt;0,N(H1361)&lt;&gt;INT(N(H1361)),AND(I1361&lt;&gt;"",NOT(ISNUMBER(I1361))),N(I1361)&lt;0,N(I1361)&lt;&gt;INT(N(I1361))),"Quantité invalide",IF(Q1361&lt;=0,"Cadence manquante (poste ou article)",IF(M1361&lt;=0,"Arrêts planifiés supérieurs au temps d'ouverture",IF(O1361&lt;0,"Arrêts supérieurs au temps requis",IF(AND(P1361&gt;0,O1361=0),"Pièces déclarées sans temps de marche",IF(AND(P1361=0,O1361&gt;0),"Aucune pièce déclarée",IF(P1361*60/Q1361&gt;O1361+0.001,"Cadence dépassée : vérifiez la cadence","OK"))))))))))))))))))</f>
        <v/>
      </c>
      <c r="AC1361">
        <f>IF(OR(AB1361="OK",AB1361="Aucune pièce déclarée",AB1361="Cadence dépassée : vérifiez la cadence"),1,0)</f>
        <v>0.0</v>
      </c>
      <c r="AD1361">
        <f>IF(AND(AC1361=1,A1361&gt;=p_from,A1361&lt;=p_to),1,0)</f>
        <v>0.0</v>
      </c>
      <c r="AE1361">
        <f>IF(AD1361=1,IF(COUNTIFS($A$6:A1361,A1361,$AD$6:AD1361,1)=1,1,0),0)</f>
        <v>0.0</v>
      </c>
      <c r="AF1361" t="str">
        <f>IF(AE1361=1,COUNTIFS(sj_first,1,sj_date,"&lt;"&amp;A1361)+1,"")</f>
        <v/>
      </c>
      <c r="AG1361" t="str">
        <f>IF(AND(AD1361=1,N(W1361)&lt;p_alert),ROUND(W1361,4),"")</f>
        <v/>
      </c>
      <c r="AH1361" t="str">
        <f>IF(AG1361="","",COUNTIF(sj_akey,"&lt;"&amp;AG1361)+COUNTIF($AG$6:AG1361,AG1361))</f>
        <v/>
      </c>
    </row>
    <row r="1362">
      <c r="A1362" s="51" t="n"/>
      <c r="B1362" s="52" t="n"/>
      <c r="C1362" s="52" t="n"/>
      <c r="D1362" s="53" t="n"/>
      <c r="E1362" s="53" t="n"/>
      <c r="F1362" s="54" t="n"/>
      <c r="G1362" s="54" t="n"/>
      <c r="H1362" s="54" t="n"/>
      <c r="I1362" s="54" t="n"/>
      <c r="J1362" s="53" t="n"/>
      <c r="K1362" s="55" t="str">
        <f>IF(COUNTA(A1362:I1362)=0,"",IF(F1362="",IFERROR(INDEX(eq_dur,MATCH(B1362,eq_code,0)),""),F1362))</f>
        <v/>
      </c>
      <c r="L1362" s="55" t="str">
        <f>IF(ISNUMBER(K1362),N(IFERROR(INDEX(eq_pause,MATCH(B1362,eq_code,0)),0))+SUMIFS(st_min,st_date,A1362,st_eq,B1362,st_po,C1362,st_type,"Planifié"),"")</f>
        <v/>
      </c>
      <c r="M1362" s="55" t="str">
        <f>IF(ISNUMBER(K1362),K1362-L1362,"")</f>
        <v/>
      </c>
      <c r="N1362" s="55" t="str">
        <f>IF(ISNUMBER(K1362),SUMIFS(st_min,st_date,A1362,st_eq,B1362,st_po,C1362,st_type,"Non planifié"),"")</f>
        <v/>
      </c>
      <c r="O1362" s="55" t="str">
        <f>IF(ISNUMBER(K1362),M1362-N1362,"")</f>
        <v/>
      </c>
      <c r="P1362" s="55" t="str">
        <f>IF(COUNTA(A1362:I1362)=0,"",N(G1362)+N(H1362)+N(I1362))</f>
        <v/>
      </c>
      <c r="Q1362" s="56" t="str">
        <f>IF(COUNTA(A1362:I1362)=0,"",IF(N(IFERROR(INDEX(art_rate,MATCH(E1362,art_ref,0)),0))&gt;0,N(IFERROR(INDEX(art_rate,MATCH(E1362,art_ref,0)),0)),N(IFERROR(INDEX(po_rate,MATCH(C1362,po_code,0)),0))))</f>
        <v/>
      </c>
      <c r="R1362" s="55" t="str">
        <f>IF(AC1362=1,P1362*60/Q1362,"")</f>
        <v/>
      </c>
      <c r="S1362" s="55" t="str">
        <f>IF(AC1362=1,N(G1362)*60/Q1362,"")</f>
        <v/>
      </c>
      <c r="T1362" s="57" t="str">
        <f>IF(AC1362=1,O1362/M1362,"")</f>
        <v/>
      </c>
      <c r="U1362" s="57" t="str">
        <f>IF(AC1362=1,IF(O1362&gt;0,R1362/O1362,""),"")</f>
        <v/>
      </c>
      <c r="V1362" s="57" t="str">
        <f>IF(AC1362=1,IF(P1362&gt;0,N(G1362)/P1362,""),"")</f>
        <v/>
      </c>
      <c r="W1362" s="57" t="str">
        <f>IF(AC1362=1,S1362/M1362,"")</f>
        <v/>
      </c>
      <c r="X1362" s="57" t="str">
        <f>IF(AC1362=1,S1362/K1362,"")</f>
        <v/>
      </c>
      <c r="Y1362" s="58" t="str">
        <f>IF(W1362="","",IF(W1362&gt;=p_target,"Bon",IF(W1362&gt;=p_alert,"À surveiller","Faible")))</f>
        <v/>
      </c>
      <c r="Z1362" s="58" t="str">
        <f>IF(W1362="","",IF(MIN(IF(T1362="",1,T1362),IF(U1362="",1,U1362),IF(V1362="",1,V1362))&gt;=1,"Aucune",IF(IF(T1362="",1,T1362)&lt;=MIN(IF(U1362="",1,U1362),IF(V1362="",1,V1362)),"Disponibilité",IF(IF(U1362="",1,U1362)&lt;=IF(V1362="",1,V1362),"Performance","Qualité"))))</f>
        <v/>
      </c>
      <c r="AA1362" s="59" t="str">
        <f>IF(AC1362=1,N(H1362)*N(IFERROR(INDEX(art_cost,MATCH(E1362,art_ref,0)),0)),"")</f>
        <v/>
      </c>
      <c r="AB1362" s="58" t="str">
        <f>IF(COUNTA(A1362:I1362)=0,"",IF(N(A1362)&lt;=0,"Date manquante ou invalide",IF(B1362="","Équipe manquante",IF(ISNA(MATCH(B1362,eq_code,0)),"Équipe inconnue",IF(INDEX(eq_check,MATCH(B1362,eq_code,0))&lt;&gt;"OK","Équipe à corriger dans Paramètres",IF(C1362="","Poste manquant",IF(ISNA(MATCH(C1362,po_code,0)),"Poste inconnu",IF(AND(E1362&lt;&gt;"",ISNA(MATCH(E1362,art_ref,0))),"Article inconnu",IF(IF(E1362="",FALSE,INDEX(art_check,MATCH(E1362,art_ref,0))&lt;&gt;"OK"),"Article à corriger (feuille Articles)",IF(COUNTIFS(sj_date,A1362,sj_eq,B1362,sj_po,C1362)&gt;1,"Ligne en double (même jour, équipe et poste)",IF(OR(NOT(ISNUMBER(K1362)),N(K1362)&lt;=0,N(K1362)&gt;1440),"Temps d'ouverture invalide",IF(OR(AND(G1362&lt;&gt;"",NOT(ISNUMBER(G1362))),N(G1362)&lt;0,N(G1362)&lt;&gt;INT(N(G1362)),AND(H1362&lt;&gt;"",NOT(ISNUMBER(H1362))),N(H1362)&lt;0,N(H1362)&lt;&gt;INT(N(H1362)),AND(I1362&lt;&gt;"",NOT(ISNUMBER(I1362))),N(I1362)&lt;0,N(I1362)&lt;&gt;INT(N(I1362))),"Quantité invalide",IF(Q1362&lt;=0,"Cadence manquante (poste ou article)",IF(M1362&lt;=0,"Arrêts planifiés supérieurs au temps d'ouverture",IF(O1362&lt;0,"Arrêts supérieurs au temps requis",IF(AND(P1362&gt;0,O1362=0),"Pièces déclarées sans temps de marche",IF(AND(P1362=0,O1362&gt;0),"Aucune pièce déclarée",IF(P1362*60/Q1362&gt;O1362+0.001,"Cadence dépassée : vérifiez la cadence","OK"))))))))))))))))))</f>
        <v/>
      </c>
      <c r="AC1362">
        <f>IF(OR(AB1362="OK",AB1362="Aucune pièce déclarée",AB1362="Cadence dépassée : vérifiez la cadence"),1,0)</f>
        <v>0.0</v>
      </c>
      <c r="AD1362">
        <f>IF(AND(AC1362=1,A1362&gt;=p_from,A1362&lt;=p_to),1,0)</f>
        <v>0.0</v>
      </c>
      <c r="AE1362">
        <f>IF(AD1362=1,IF(COUNTIFS($A$6:A1362,A1362,$AD$6:AD1362,1)=1,1,0),0)</f>
        <v>0.0</v>
      </c>
      <c r="AF1362" t="str">
        <f>IF(AE1362=1,COUNTIFS(sj_first,1,sj_date,"&lt;"&amp;A1362)+1,"")</f>
        <v/>
      </c>
      <c r="AG1362" t="str">
        <f>IF(AND(AD1362=1,N(W1362)&lt;p_alert),ROUND(W1362,4),"")</f>
        <v/>
      </c>
      <c r="AH1362" t="str">
        <f>IF(AG1362="","",COUNTIF(sj_akey,"&lt;"&amp;AG1362)+COUNTIF($AG$6:AG1362,AG1362))</f>
        <v/>
      </c>
    </row>
    <row r="1363">
      <c r="A1363" s="51" t="n"/>
      <c r="B1363" s="52" t="n"/>
      <c r="C1363" s="52" t="n"/>
      <c r="D1363" s="53" t="n"/>
      <c r="E1363" s="53" t="n"/>
      <c r="F1363" s="54" t="n"/>
      <c r="G1363" s="54" t="n"/>
      <c r="H1363" s="54" t="n"/>
      <c r="I1363" s="54" t="n"/>
      <c r="J1363" s="53" t="n"/>
      <c r="K1363" s="55" t="str">
        <f>IF(COUNTA(A1363:I1363)=0,"",IF(F1363="",IFERROR(INDEX(eq_dur,MATCH(B1363,eq_code,0)),""),F1363))</f>
        <v/>
      </c>
      <c r="L1363" s="55" t="str">
        <f>IF(ISNUMBER(K1363),N(IFERROR(INDEX(eq_pause,MATCH(B1363,eq_code,0)),0))+SUMIFS(st_min,st_date,A1363,st_eq,B1363,st_po,C1363,st_type,"Planifié"),"")</f>
        <v/>
      </c>
      <c r="M1363" s="55" t="str">
        <f>IF(ISNUMBER(K1363),K1363-L1363,"")</f>
        <v/>
      </c>
      <c r="N1363" s="55" t="str">
        <f>IF(ISNUMBER(K1363),SUMIFS(st_min,st_date,A1363,st_eq,B1363,st_po,C1363,st_type,"Non planifié"),"")</f>
        <v/>
      </c>
      <c r="O1363" s="55" t="str">
        <f>IF(ISNUMBER(K1363),M1363-N1363,"")</f>
        <v/>
      </c>
      <c r="P1363" s="55" t="str">
        <f>IF(COUNTA(A1363:I1363)=0,"",N(G1363)+N(H1363)+N(I1363))</f>
        <v/>
      </c>
      <c r="Q1363" s="56" t="str">
        <f>IF(COUNTA(A1363:I1363)=0,"",IF(N(IFERROR(INDEX(art_rate,MATCH(E1363,art_ref,0)),0))&gt;0,N(IFERROR(INDEX(art_rate,MATCH(E1363,art_ref,0)),0)),N(IFERROR(INDEX(po_rate,MATCH(C1363,po_code,0)),0))))</f>
        <v/>
      </c>
      <c r="R1363" s="55" t="str">
        <f>IF(AC1363=1,P1363*60/Q1363,"")</f>
        <v/>
      </c>
      <c r="S1363" s="55" t="str">
        <f>IF(AC1363=1,N(G1363)*60/Q1363,"")</f>
        <v/>
      </c>
      <c r="T1363" s="57" t="str">
        <f>IF(AC1363=1,O1363/M1363,"")</f>
        <v/>
      </c>
      <c r="U1363" s="57" t="str">
        <f>IF(AC1363=1,IF(O1363&gt;0,R1363/O1363,""),"")</f>
        <v/>
      </c>
      <c r="V1363" s="57" t="str">
        <f>IF(AC1363=1,IF(P1363&gt;0,N(G1363)/P1363,""),"")</f>
        <v/>
      </c>
      <c r="W1363" s="57" t="str">
        <f>IF(AC1363=1,S1363/M1363,"")</f>
        <v/>
      </c>
      <c r="X1363" s="57" t="str">
        <f>IF(AC1363=1,S1363/K1363,"")</f>
        <v/>
      </c>
      <c r="Y1363" s="58" t="str">
        <f>IF(W1363="","",IF(W1363&gt;=p_target,"Bon",IF(W1363&gt;=p_alert,"À surveiller","Faible")))</f>
        <v/>
      </c>
      <c r="Z1363" s="58" t="str">
        <f>IF(W1363="","",IF(MIN(IF(T1363="",1,T1363),IF(U1363="",1,U1363),IF(V1363="",1,V1363))&gt;=1,"Aucune",IF(IF(T1363="",1,T1363)&lt;=MIN(IF(U1363="",1,U1363),IF(V1363="",1,V1363)),"Disponibilité",IF(IF(U1363="",1,U1363)&lt;=IF(V1363="",1,V1363),"Performance","Qualité"))))</f>
        <v/>
      </c>
      <c r="AA1363" s="59" t="str">
        <f>IF(AC1363=1,N(H1363)*N(IFERROR(INDEX(art_cost,MATCH(E1363,art_ref,0)),0)),"")</f>
        <v/>
      </c>
      <c r="AB1363" s="58" t="str">
        <f>IF(COUNTA(A1363:I1363)=0,"",IF(N(A1363)&lt;=0,"Date manquante ou invalide",IF(B1363="","Équipe manquante",IF(ISNA(MATCH(B1363,eq_code,0)),"Équipe inconnue",IF(INDEX(eq_check,MATCH(B1363,eq_code,0))&lt;&gt;"OK","Équipe à corriger dans Paramètres",IF(C1363="","Poste manquant",IF(ISNA(MATCH(C1363,po_code,0)),"Poste inconnu",IF(AND(E1363&lt;&gt;"",ISNA(MATCH(E1363,art_ref,0))),"Article inconnu",IF(IF(E1363="",FALSE,INDEX(art_check,MATCH(E1363,art_ref,0))&lt;&gt;"OK"),"Article à corriger (feuille Articles)",IF(COUNTIFS(sj_date,A1363,sj_eq,B1363,sj_po,C1363)&gt;1,"Ligne en double (même jour, équipe et poste)",IF(OR(NOT(ISNUMBER(K1363)),N(K1363)&lt;=0,N(K1363)&gt;1440),"Temps d'ouverture invalide",IF(OR(AND(G1363&lt;&gt;"",NOT(ISNUMBER(G1363))),N(G1363)&lt;0,N(G1363)&lt;&gt;INT(N(G1363)),AND(H1363&lt;&gt;"",NOT(ISNUMBER(H1363))),N(H1363)&lt;0,N(H1363)&lt;&gt;INT(N(H1363)),AND(I1363&lt;&gt;"",NOT(ISNUMBER(I1363))),N(I1363)&lt;0,N(I1363)&lt;&gt;INT(N(I1363))),"Quantité invalide",IF(Q1363&lt;=0,"Cadence manquante (poste ou article)",IF(M1363&lt;=0,"Arrêts planifiés supérieurs au temps d'ouverture",IF(O1363&lt;0,"Arrêts supérieurs au temps requis",IF(AND(P1363&gt;0,O1363=0),"Pièces déclarées sans temps de marche",IF(AND(P1363=0,O1363&gt;0),"Aucune pièce déclarée",IF(P1363*60/Q1363&gt;O1363+0.001,"Cadence dépassée : vérifiez la cadence","OK"))))))))))))))))))</f>
        <v/>
      </c>
      <c r="AC1363">
        <f>IF(OR(AB1363="OK",AB1363="Aucune pièce déclarée",AB1363="Cadence dépassée : vérifiez la cadence"),1,0)</f>
        <v>0.0</v>
      </c>
      <c r="AD1363">
        <f>IF(AND(AC1363=1,A1363&gt;=p_from,A1363&lt;=p_to),1,0)</f>
        <v>0.0</v>
      </c>
      <c r="AE1363">
        <f>IF(AD1363=1,IF(COUNTIFS($A$6:A1363,A1363,$AD$6:AD1363,1)=1,1,0),0)</f>
        <v>0.0</v>
      </c>
      <c r="AF1363" t="str">
        <f>IF(AE1363=1,COUNTIFS(sj_first,1,sj_date,"&lt;"&amp;A1363)+1,"")</f>
        <v/>
      </c>
      <c r="AG1363" t="str">
        <f>IF(AND(AD1363=1,N(W1363)&lt;p_alert),ROUND(W1363,4),"")</f>
        <v/>
      </c>
      <c r="AH1363" t="str">
        <f>IF(AG1363="","",COUNTIF(sj_akey,"&lt;"&amp;AG1363)+COUNTIF($AG$6:AG1363,AG1363))</f>
        <v/>
      </c>
    </row>
    <row r="1364">
      <c r="A1364" s="51" t="n"/>
      <c r="B1364" s="52" t="n"/>
      <c r="C1364" s="52" t="n"/>
      <c r="D1364" s="53" t="n"/>
      <c r="E1364" s="53" t="n"/>
      <c r="F1364" s="54" t="n"/>
      <c r="G1364" s="54" t="n"/>
      <c r="H1364" s="54" t="n"/>
      <c r="I1364" s="54" t="n"/>
      <c r="J1364" s="53" t="n"/>
      <c r="K1364" s="55" t="str">
        <f>IF(COUNTA(A1364:I1364)=0,"",IF(F1364="",IFERROR(INDEX(eq_dur,MATCH(B1364,eq_code,0)),""),F1364))</f>
        <v/>
      </c>
      <c r="L1364" s="55" t="str">
        <f>IF(ISNUMBER(K1364),N(IFERROR(INDEX(eq_pause,MATCH(B1364,eq_code,0)),0))+SUMIFS(st_min,st_date,A1364,st_eq,B1364,st_po,C1364,st_type,"Planifié"),"")</f>
        <v/>
      </c>
      <c r="M1364" s="55" t="str">
        <f>IF(ISNUMBER(K1364),K1364-L1364,"")</f>
        <v/>
      </c>
      <c r="N1364" s="55" t="str">
        <f>IF(ISNUMBER(K1364),SUMIFS(st_min,st_date,A1364,st_eq,B1364,st_po,C1364,st_type,"Non planifié"),"")</f>
        <v/>
      </c>
      <c r="O1364" s="55" t="str">
        <f>IF(ISNUMBER(K1364),M1364-N1364,"")</f>
        <v/>
      </c>
      <c r="P1364" s="55" t="str">
        <f>IF(COUNTA(A1364:I1364)=0,"",N(G1364)+N(H1364)+N(I1364))</f>
        <v/>
      </c>
      <c r="Q1364" s="56" t="str">
        <f>IF(COUNTA(A1364:I1364)=0,"",IF(N(IFERROR(INDEX(art_rate,MATCH(E1364,art_ref,0)),0))&gt;0,N(IFERROR(INDEX(art_rate,MATCH(E1364,art_ref,0)),0)),N(IFERROR(INDEX(po_rate,MATCH(C1364,po_code,0)),0))))</f>
        <v/>
      </c>
      <c r="R1364" s="55" t="str">
        <f>IF(AC1364=1,P1364*60/Q1364,"")</f>
        <v/>
      </c>
      <c r="S1364" s="55" t="str">
        <f>IF(AC1364=1,N(G1364)*60/Q1364,"")</f>
        <v/>
      </c>
      <c r="T1364" s="57" t="str">
        <f>IF(AC1364=1,O1364/M1364,"")</f>
        <v/>
      </c>
      <c r="U1364" s="57" t="str">
        <f>IF(AC1364=1,IF(O1364&gt;0,R1364/O1364,""),"")</f>
        <v/>
      </c>
      <c r="V1364" s="57" t="str">
        <f>IF(AC1364=1,IF(P1364&gt;0,N(G1364)/P1364,""),"")</f>
        <v/>
      </c>
      <c r="W1364" s="57" t="str">
        <f>IF(AC1364=1,S1364/M1364,"")</f>
        <v/>
      </c>
      <c r="X1364" s="57" t="str">
        <f>IF(AC1364=1,S1364/K1364,"")</f>
        <v/>
      </c>
      <c r="Y1364" s="58" t="str">
        <f>IF(W1364="","",IF(W1364&gt;=p_target,"Bon",IF(W1364&gt;=p_alert,"À surveiller","Faible")))</f>
        <v/>
      </c>
      <c r="Z1364" s="58" t="str">
        <f>IF(W1364="","",IF(MIN(IF(T1364="",1,T1364),IF(U1364="",1,U1364),IF(V1364="",1,V1364))&gt;=1,"Aucune",IF(IF(T1364="",1,T1364)&lt;=MIN(IF(U1364="",1,U1364),IF(V1364="",1,V1364)),"Disponibilité",IF(IF(U1364="",1,U1364)&lt;=IF(V1364="",1,V1364),"Performance","Qualité"))))</f>
        <v/>
      </c>
      <c r="AA1364" s="59" t="str">
        <f>IF(AC1364=1,N(H1364)*N(IFERROR(INDEX(art_cost,MATCH(E1364,art_ref,0)),0)),"")</f>
        <v/>
      </c>
      <c r="AB1364" s="58" t="str">
        <f>IF(COUNTA(A1364:I1364)=0,"",IF(N(A1364)&lt;=0,"Date manquante ou invalide",IF(B1364="","Équipe manquante",IF(ISNA(MATCH(B1364,eq_code,0)),"Équipe inconnue",IF(INDEX(eq_check,MATCH(B1364,eq_code,0))&lt;&gt;"OK","Équipe à corriger dans Paramètres",IF(C1364="","Poste manquant",IF(ISNA(MATCH(C1364,po_code,0)),"Poste inconnu",IF(AND(E1364&lt;&gt;"",ISNA(MATCH(E1364,art_ref,0))),"Article inconnu",IF(IF(E1364="",FALSE,INDEX(art_check,MATCH(E1364,art_ref,0))&lt;&gt;"OK"),"Article à corriger (feuille Articles)",IF(COUNTIFS(sj_date,A1364,sj_eq,B1364,sj_po,C1364)&gt;1,"Ligne en double (même jour, équipe et poste)",IF(OR(NOT(ISNUMBER(K1364)),N(K1364)&lt;=0,N(K1364)&gt;1440),"Temps d'ouverture invalide",IF(OR(AND(G1364&lt;&gt;"",NOT(ISNUMBER(G1364))),N(G1364)&lt;0,N(G1364)&lt;&gt;INT(N(G1364)),AND(H1364&lt;&gt;"",NOT(ISNUMBER(H1364))),N(H1364)&lt;0,N(H1364)&lt;&gt;INT(N(H1364)),AND(I1364&lt;&gt;"",NOT(ISNUMBER(I1364))),N(I1364)&lt;0,N(I1364)&lt;&gt;INT(N(I1364))),"Quantité invalide",IF(Q1364&lt;=0,"Cadence manquante (poste ou article)",IF(M1364&lt;=0,"Arrêts planifiés supérieurs au temps d'ouverture",IF(O1364&lt;0,"Arrêts supérieurs au temps requis",IF(AND(P1364&gt;0,O1364=0),"Pièces déclarées sans temps de marche",IF(AND(P1364=0,O1364&gt;0),"Aucune pièce déclarée",IF(P1364*60/Q1364&gt;O1364+0.001,"Cadence dépassée : vérifiez la cadence","OK"))))))))))))))))))</f>
        <v/>
      </c>
      <c r="AC1364">
        <f>IF(OR(AB1364="OK",AB1364="Aucune pièce déclarée",AB1364="Cadence dépassée : vérifiez la cadence"),1,0)</f>
        <v>0.0</v>
      </c>
      <c r="AD1364">
        <f>IF(AND(AC1364=1,A1364&gt;=p_from,A1364&lt;=p_to),1,0)</f>
        <v>0.0</v>
      </c>
      <c r="AE1364">
        <f>IF(AD1364=1,IF(COUNTIFS($A$6:A1364,A1364,$AD$6:AD1364,1)=1,1,0),0)</f>
        <v>0.0</v>
      </c>
      <c r="AF1364" t="str">
        <f>IF(AE1364=1,COUNTIFS(sj_first,1,sj_date,"&lt;"&amp;A1364)+1,"")</f>
        <v/>
      </c>
      <c r="AG1364" t="str">
        <f>IF(AND(AD1364=1,N(W1364)&lt;p_alert),ROUND(W1364,4),"")</f>
        <v/>
      </c>
      <c r="AH1364" t="str">
        <f>IF(AG1364="","",COUNTIF(sj_akey,"&lt;"&amp;AG1364)+COUNTIF($AG$6:AG1364,AG1364))</f>
        <v/>
      </c>
    </row>
    <row r="1365">
      <c r="A1365" s="51" t="n"/>
      <c r="B1365" s="52" t="n"/>
      <c r="C1365" s="52" t="n"/>
      <c r="D1365" s="53" t="n"/>
      <c r="E1365" s="53" t="n"/>
      <c r="F1365" s="54" t="n"/>
      <c r="G1365" s="54" t="n"/>
      <c r="H1365" s="54" t="n"/>
      <c r="I1365" s="54" t="n"/>
      <c r="J1365" s="53" t="n"/>
      <c r="K1365" s="55" t="str">
        <f>IF(COUNTA(A1365:I1365)=0,"",IF(F1365="",IFERROR(INDEX(eq_dur,MATCH(B1365,eq_code,0)),""),F1365))</f>
        <v/>
      </c>
      <c r="L1365" s="55" t="str">
        <f>IF(ISNUMBER(K1365),N(IFERROR(INDEX(eq_pause,MATCH(B1365,eq_code,0)),0))+SUMIFS(st_min,st_date,A1365,st_eq,B1365,st_po,C1365,st_type,"Planifié"),"")</f>
        <v/>
      </c>
      <c r="M1365" s="55" t="str">
        <f>IF(ISNUMBER(K1365),K1365-L1365,"")</f>
        <v/>
      </c>
      <c r="N1365" s="55" t="str">
        <f>IF(ISNUMBER(K1365),SUMIFS(st_min,st_date,A1365,st_eq,B1365,st_po,C1365,st_type,"Non planifié"),"")</f>
        <v/>
      </c>
      <c r="O1365" s="55" t="str">
        <f>IF(ISNUMBER(K1365),M1365-N1365,"")</f>
        <v/>
      </c>
      <c r="P1365" s="55" t="str">
        <f>IF(COUNTA(A1365:I1365)=0,"",N(G1365)+N(H1365)+N(I1365))</f>
        <v/>
      </c>
      <c r="Q1365" s="56" t="str">
        <f>IF(COUNTA(A1365:I1365)=0,"",IF(N(IFERROR(INDEX(art_rate,MATCH(E1365,art_ref,0)),0))&gt;0,N(IFERROR(INDEX(art_rate,MATCH(E1365,art_ref,0)),0)),N(IFERROR(INDEX(po_rate,MATCH(C1365,po_code,0)),0))))</f>
        <v/>
      </c>
      <c r="R1365" s="55" t="str">
        <f>IF(AC1365=1,P1365*60/Q1365,"")</f>
        <v/>
      </c>
      <c r="S1365" s="55" t="str">
        <f>IF(AC1365=1,N(G1365)*60/Q1365,"")</f>
        <v/>
      </c>
      <c r="T1365" s="57" t="str">
        <f>IF(AC1365=1,O1365/M1365,"")</f>
        <v/>
      </c>
      <c r="U1365" s="57" t="str">
        <f>IF(AC1365=1,IF(O1365&gt;0,R1365/O1365,""),"")</f>
        <v/>
      </c>
      <c r="V1365" s="57" t="str">
        <f>IF(AC1365=1,IF(P1365&gt;0,N(G1365)/P1365,""),"")</f>
        <v/>
      </c>
      <c r="W1365" s="57" t="str">
        <f>IF(AC1365=1,S1365/M1365,"")</f>
        <v/>
      </c>
      <c r="X1365" s="57" t="str">
        <f>IF(AC1365=1,S1365/K1365,"")</f>
        <v/>
      </c>
      <c r="Y1365" s="58" t="str">
        <f>IF(W1365="","",IF(W1365&gt;=p_target,"Bon",IF(W1365&gt;=p_alert,"À surveiller","Faible")))</f>
        <v/>
      </c>
      <c r="Z1365" s="58" t="str">
        <f>IF(W1365="","",IF(MIN(IF(T1365="",1,T1365),IF(U1365="",1,U1365),IF(V1365="",1,V1365))&gt;=1,"Aucune",IF(IF(T1365="",1,T1365)&lt;=MIN(IF(U1365="",1,U1365),IF(V1365="",1,V1365)),"Disponibilité",IF(IF(U1365="",1,U1365)&lt;=IF(V1365="",1,V1365),"Performance","Qualité"))))</f>
        <v/>
      </c>
      <c r="AA1365" s="59" t="str">
        <f>IF(AC1365=1,N(H1365)*N(IFERROR(INDEX(art_cost,MATCH(E1365,art_ref,0)),0)),"")</f>
        <v/>
      </c>
      <c r="AB1365" s="58" t="str">
        <f>IF(COUNTA(A1365:I1365)=0,"",IF(N(A1365)&lt;=0,"Date manquante ou invalide",IF(B1365="","Équipe manquante",IF(ISNA(MATCH(B1365,eq_code,0)),"Équipe inconnue",IF(INDEX(eq_check,MATCH(B1365,eq_code,0))&lt;&gt;"OK","Équipe à corriger dans Paramètres",IF(C1365="","Poste manquant",IF(ISNA(MATCH(C1365,po_code,0)),"Poste inconnu",IF(AND(E1365&lt;&gt;"",ISNA(MATCH(E1365,art_ref,0))),"Article inconnu",IF(IF(E1365="",FALSE,INDEX(art_check,MATCH(E1365,art_ref,0))&lt;&gt;"OK"),"Article à corriger (feuille Articles)",IF(COUNTIFS(sj_date,A1365,sj_eq,B1365,sj_po,C1365)&gt;1,"Ligne en double (même jour, équipe et poste)",IF(OR(NOT(ISNUMBER(K1365)),N(K1365)&lt;=0,N(K1365)&gt;1440),"Temps d'ouverture invalide",IF(OR(AND(G1365&lt;&gt;"",NOT(ISNUMBER(G1365))),N(G1365)&lt;0,N(G1365)&lt;&gt;INT(N(G1365)),AND(H1365&lt;&gt;"",NOT(ISNUMBER(H1365))),N(H1365)&lt;0,N(H1365)&lt;&gt;INT(N(H1365)),AND(I1365&lt;&gt;"",NOT(ISNUMBER(I1365))),N(I1365)&lt;0,N(I1365)&lt;&gt;INT(N(I1365))),"Quantité invalide",IF(Q1365&lt;=0,"Cadence manquante (poste ou article)",IF(M1365&lt;=0,"Arrêts planifiés supérieurs au temps d'ouverture",IF(O1365&lt;0,"Arrêts supérieurs au temps requis",IF(AND(P1365&gt;0,O1365=0),"Pièces déclarées sans temps de marche",IF(AND(P1365=0,O1365&gt;0),"Aucune pièce déclarée",IF(P1365*60/Q1365&gt;O1365+0.001,"Cadence dépassée : vérifiez la cadence","OK"))))))))))))))))))</f>
        <v/>
      </c>
      <c r="AC1365">
        <f>IF(OR(AB1365="OK",AB1365="Aucune pièce déclarée",AB1365="Cadence dépassée : vérifiez la cadence"),1,0)</f>
        <v>0.0</v>
      </c>
      <c r="AD1365">
        <f>IF(AND(AC1365=1,A1365&gt;=p_from,A1365&lt;=p_to),1,0)</f>
        <v>0.0</v>
      </c>
      <c r="AE1365">
        <f>IF(AD1365=1,IF(COUNTIFS($A$6:A1365,A1365,$AD$6:AD1365,1)=1,1,0),0)</f>
        <v>0.0</v>
      </c>
      <c r="AF1365" t="str">
        <f>IF(AE1365=1,COUNTIFS(sj_first,1,sj_date,"&lt;"&amp;A1365)+1,"")</f>
        <v/>
      </c>
      <c r="AG1365" t="str">
        <f>IF(AND(AD1365=1,N(W1365)&lt;p_alert),ROUND(W1365,4),"")</f>
        <v/>
      </c>
      <c r="AH1365" t="str">
        <f>IF(AG1365="","",COUNTIF(sj_akey,"&lt;"&amp;AG1365)+COUNTIF($AG$6:AG1365,AG1365))</f>
        <v/>
      </c>
    </row>
    <row r="1366">
      <c r="A1366" s="51" t="n"/>
      <c r="B1366" s="52" t="n"/>
      <c r="C1366" s="52" t="n"/>
      <c r="D1366" s="53" t="n"/>
      <c r="E1366" s="53" t="n"/>
      <c r="F1366" s="54" t="n"/>
      <c r="G1366" s="54" t="n"/>
      <c r="H1366" s="54" t="n"/>
      <c r="I1366" s="54" t="n"/>
      <c r="J1366" s="53" t="n"/>
      <c r="K1366" s="55" t="str">
        <f>IF(COUNTA(A1366:I1366)=0,"",IF(F1366="",IFERROR(INDEX(eq_dur,MATCH(B1366,eq_code,0)),""),F1366))</f>
        <v/>
      </c>
      <c r="L1366" s="55" t="str">
        <f>IF(ISNUMBER(K1366),N(IFERROR(INDEX(eq_pause,MATCH(B1366,eq_code,0)),0))+SUMIFS(st_min,st_date,A1366,st_eq,B1366,st_po,C1366,st_type,"Planifié"),"")</f>
        <v/>
      </c>
      <c r="M1366" s="55" t="str">
        <f>IF(ISNUMBER(K1366),K1366-L1366,"")</f>
        <v/>
      </c>
      <c r="N1366" s="55" t="str">
        <f>IF(ISNUMBER(K1366),SUMIFS(st_min,st_date,A1366,st_eq,B1366,st_po,C1366,st_type,"Non planifié"),"")</f>
        <v/>
      </c>
      <c r="O1366" s="55" t="str">
        <f>IF(ISNUMBER(K1366),M1366-N1366,"")</f>
        <v/>
      </c>
      <c r="P1366" s="55" t="str">
        <f>IF(COUNTA(A1366:I1366)=0,"",N(G1366)+N(H1366)+N(I1366))</f>
        <v/>
      </c>
      <c r="Q1366" s="56" t="str">
        <f>IF(COUNTA(A1366:I1366)=0,"",IF(N(IFERROR(INDEX(art_rate,MATCH(E1366,art_ref,0)),0))&gt;0,N(IFERROR(INDEX(art_rate,MATCH(E1366,art_ref,0)),0)),N(IFERROR(INDEX(po_rate,MATCH(C1366,po_code,0)),0))))</f>
        <v/>
      </c>
      <c r="R1366" s="55" t="str">
        <f>IF(AC1366=1,P1366*60/Q1366,"")</f>
        <v/>
      </c>
      <c r="S1366" s="55" t="str">
        <f>IF(AC1366=1,N(G1366)*60/Q1366,"")</f>
        <v/>
      </c>
      <c r="T1366" s="57" t="str">
        <f>IF(AC1366=1,O1366/M1366,"")</f>
        <v/>
      </c>
      <c r="U1366" s="57" t="str">
        <f>IF(AC1366=1,IF(O1366&gt;0,R1366/O1366,""),"")</f>
        <v/>
      </c>
      <c r="V1366" s="57" t="str">
        <f>IF(AC1366=1,IF(P1366&gt;0,N(G1366)/P1366,""),"")</f>
        <v/>
      </c>
      <c r="W1366" s="57" t="str">
        <f>IF(AC1366=1,S1366/M1366,"")</f>
        <v/>
      </c>
      <c r="X1366" s="57" t="str">
        <f>IF(AC1366=1,S1366/K1366,"")</f>
        <v/>
      </c>
      <c r="Y1366" s="58" t="str">
        <f>IF(W1366="","",IF(W1366&gt;=p_target,"Bon",IF(W1366&gt;=p_alert,"À surveiller","Faible")))</f>
        <v/>
      </c>
      <c r="Z1366" s="58" t="str">
        <f>IF(W1366="","",IF(MIN(IF(T1366="",1,T1366),IF(U1366="",1,U1366),IF(V1366="",1,V1366))&gt;=1,"Aucune",IF(IF(T1366="",1,T1366)&lt;=MIN(IF(U1366="",1,U1366),IF(V1366="",1,V1366)),"Disponibilité",IF(IF(U1366="",1,U1366)&lt;=IF(V1366="",1,V1366),"Performance","Qualité"))))</f>
        <v/>
      </c>
      <c r="AA1366" s="59" t="str">
        <f>IF(AC1366=1,N(H1366)*N(IFERROR(INDEX(art_cost,MATCH(E1366,art_ref,0)),0)),"")</f>
        <v/>
      </c>
      <c r="AB1366" s="58" t="str">
        <f>IF(COUNTA(A1366:I1366)=0,"",IF(N(A1366)&lt;=0,"Date manquante ou invalide",IF(B1366="","Équipe manquante",IF(ISNA(MATCH(B1366,eq_code,0)),"Équipe inconnue",IF(INDEX(eq_check,MATCH(B1366,eq_code,0))&lt;&gt;"OK","Équipe à corriger dans Paramètres",IF(C1366="","Poste manquant",IF(ISNA(MATCH(C1366,po_code,0)),"Poste inconnu",IF(AND(E1366&lt;&gt;"",ISNA(MATCH(E1366,art_ref,0))),"Article inconnu",IF(IF(E1366="",FALSE,INDEX(art_check,MATCH(E1366,art_ref,0))&lt;&gt;"OK"),"Article à corriger (feuille Articles)",IF(COUNTIFS(sj_date,A1366,sj_eq,B1366,sj_po,C1366)&gt;1,"Ligne en double (même jour, équipe et poste)",IF(OR(NOT(ISNUMBER(K1366)),N(K1366)&lt;=0,N(K1366)&gt;1440),"Temps d'ouverture invalide",IF(OR(AND(G1366&lt;&gt;"",NOT(ISNUMBER(G1366))),N(G1366)&lt;0,N(G1366)&lt;&gt;INT(N(G1366)),AND(H1366&lt;&gt;"",NOT(ISNUMBER(H1366))),N(H1366)&lt;0,N(H1366)&lt;&gt;INT(N(H1366)),AND(I1366&lt;&gt;"",NOT(ISNUMBER(I1366))),N(I1366)&lt;0,N(I1366)&lt;&gt;INT(N(I1366))),"Quantité invalide",IF(Q1366&lt;=0,"Cadence manquante (poste ou article)",IF(M1366&lt;=0,"Arrêts planifiés supérieurs au temps d'ouverture",IF(O1366&lt;0,"Arrêts supérieurs au temps requis",IF(AND(P1366&gt;0,O1366=0),"Pièces déclarées sans temps de marche",IF(AND(P1366=0,O1366&gt;0),"Aucune pièce déclarée",IF(P1366*60/Q1366&gt;O1366+0.001,"Cadence dépassée : vérifiez la cadence","OK"))))))))))))))))))</f>
        <v/>
      </c>
      <c r="AC1366">
        <f>IF(OR(AB1366="OK",AB1366="Aucune pièce déclarée",AB1366="Cadence dépassée : vérifiez la cadence"),1,0)</f>
        <v>0.0</v>
      </c>
      <c r="AD1366">
        <f>IF(AND(AC1366=1,A1366&gt;=p_from,A1366&lt;=p_to),1,0)</f>
        <v>0.0</v>
      </c>
      <c r="AE1366">
        <f>IF(AD1366=1,IF(COUNTIFS($A$6:A1366,A1366,$AD$6:AD1366,1)=1,1,0),0)</f>
        <v>0.0</v>
      </c>
      <c r="AF1366" t="str">
        <f>IF(AE1366=1,COUNTIFS(sj_first,1,sj_date,"&lt;"&amp;A1366)+1,"")</f>
        <v/>
      </c>
      <c r="AG1366" t="str">
        <f>IF(AND(AD1366=1,N(W1366)&lt;p_alert),ROUND(W1366,4),"")</f>
        <v/>
      </c>
      <c r="AH1366" t="str">
        <f>IF(AG1366="","",COUNTIF(sj_akey,"&lt;"&amp;AG1366)+COUNTIF($AG$6:AG1366,AG1366))</f>
        <v/>
      </c>
    </row>
    <row r="1367">
      <c r="A1367" s="51" t="n"/>
      <c r="B1367" s="52" t="n"/>
      <c r="C1367" s="52" t="n"/>
      <c r="D1367" s="53" t="n"/>
      <c r="E1367" s="53" t="n"/>
      <c r="F1367" s="54" t="n"/>
      <c r="G1367" s="54" t="n"/>
      <c r="H1367" s="54" t="n"/>
      <c r="I1367" s="54" t="n"/>
      <c r="J1367" s="53" t="n"/>
      <c r="K1367" s="55" t="str">
        <f>IF(COUNTA(A1367:I1367)=0,"",IF(F1367="",IFERROR(INDEX(eq_dur,MATCH(B1367,eq_code,0)),""),F1367))</f>
        <v/>
      </c>
      <c r="L1367" s="55" t="str">
        <f>IF(ISNUMBER(K1367),N(IFERROR(INDEX(eq_pause,MATCH(B1367,eq_code,0)),0))+SUMIFS(st_min,st_date,A1367,st_eq,B1367,st_po,C1367,st_type,"Planifié"),"")</f>
        <v/>
      </c>
      <c r="M1367" s="55" t="str">
        <f>IF(ISNUMBER(K1367),K1367-L1367,"")</f>
        <v/>
      </c>
      <c r="N1367" s="55" t="str">
        <f>IF(ISNUMBER(K1367),SUMIFS(st_min,st_date,A1367,st_eq,B1367,st_po,C1367,st_type,"Non planifié"),"")</f>
        <v/>
      </c>
      <c r="O1367" s="55" t="str">
        <f>IF(ISNUMBER(K1367),M1367-N1367,"")</f>
        <v/>
      </c>
      <c r="P1367" s="55" t="str">
        <f>IF(COUNTA(A1367:I1367)=0,"",N(G1367)+N(H1367)+N(I1367))</f>
        <v/>
      </c>
      <c r="Q1367" s="56" t="str">
        <f>IF(COUNTA(A1367:I1367)=0,"",IF(N(IFERROR(INDEX(art_rate,MATCH(E1367,art_ref,0)),0))&gt;0,N(IFERROR(INDEX(art_rate,MATCH(E1367,art_ref,0)),0)),N(IFERROR(INDEX(po_rate,MATCH(C1367,po_code,0)),0))))</f>
        <v/>
      </c>
      <c r="R1367" s="55" t="str">
        <f>IF(AC1367=1,P1367*60/Q1367,"")</f>
        <v/>
      </c>
      <c r="S1367" s="55" t="str">
        <f>IF(AC1367=1,N(G1367)*60/Q1367,"")</f>
        <v/>
      </c>
      <c r="T1367" s="57" t="str">
        <f>IF(AC1367=1,O1367/M1367,"")</f>
        <v/>
      </c>
      <c r="U1367" s="57" t="str">
        <f>IF(AC1367=1,IF(O1367&gt;0,R1367/O1367,""),"")</f>
        <v/>
      </c>
      <c r="V1367" s="57" t="str">
        <f>IF(AC1367=1,IF(P1367&gt;0,N(G1367)/P1367,""),"")</f>
        <v/>
      </c>
      <c r="W1367" s="57" t="str">
        <f>IF(AC1367=1,S1367/M1367,"")</f>
        <v/>
      </c>
      <c r="X1367" s="57" t="str">
        <f>IF(AC1367=1,S1367/K1367,"")</f>
        <v/>
      </c>
      <c r="Y1367" s="58" t="str">
        <f>IF(W1367="","",IF(W1367&gt;=p_target,"Bon",IF(W1367&gt;=p_alert,"À surveiller","Faible")))</f>
        <v/>
      </c>
      <c r="Z1367" s="58" t="str">
        <f>IF(W1367="","",IF(MIN(IF(T1367="",1,T1367),IF(U1367="",1,U1367),IF(V1367="",1,V1367))&gt;=1,"Aucune",IF(IF(T1367="",1,T1367)&lt;=MIN(IF(U1367="",1,U1367),IF(V1367="",1,V1367)),"Disponibilité",IF(IF(U1367="",1,U1367)&lt;=IF(V1367="",1,V1367),"Performance","Qualité"))))</f>
        <v/>
      </c>
      <c r="AA1367" s="59" t="str">
        <f>IF(AC1367=1,N(H1367)*N(IFERROR(INDEX(art_cost,MATCH(E1367,art_ref,0)),0)),"")</f>
        <v/>
      </c>
      <c r="AB1367" s="58" t="str">
        <f>IF(COUNTA(A1367:I1367)=0,"",IF(N(A1367)&lt;=0,"Date manquante ou invalide",IF(B1367="","Équipe manquante",IF(ISNA(MATCH(B1367,eq_code,0)),"Équipe inconnue",IF(INDEX(eq_check,MATCH(B1367,eq_code,0))&lt;&gt;"OK","Équipe à corriger dans Paramètres",IF(C1367="","Poste manquant",IF(ISNA(MATCH(C1367,po_code,0)),"Poste inconnu",IF(AND(E1367&lt;&gt;"",ISNA(MATCH(E1367,art_ref,0))),"Article inconnu",IF(IF(E1367="",FALSE,INDEX(art_check,MATCH(E1367,art_ref,0))&lt;&gt;"OK"),"Article à corriger (feuille Articles)",IF(COUNTIFS(sj_date,A1367,sj_eq,B1367,sj_po,C1367)&gt;1,"Ligne en double (même jour, équipe et poste)",IF(OR(NOT(ISNUMBER(K1367)),N(K1367)&lt;=0,N(K1367)&gt;1440),"Temps d'ouverture invalide",IF(OR(AND(G1367&lt;&gt;"",NOT(ISNUMBER(G1367))),N(G1367)&lt;0,N(G1367)&lt;&gt;INT(N(G1367)),AND(H1367&lt;&gt;"",NOT(ISNUMBER(H1367))),N(H1367)&lt;0,N(H1367)&lt;&gt;INT(N(H1367)),AND(I1367&lt;&gt;"",NOT(ISNUMBER(I1367))),N(I1367)&lt;0,N(I1367)&lt;&gt;INT(N(I1367))),"Quantité invalide",IF(Q1367&lt;=0,"Cadence manquante (poste ou article)",IF(M1367&lt;=0,"Arrêts planifiés supérieurs au temps d'ouverture",IF(O1367&lt;0,"Arrêts supérieurs au temps requis",IF(AND(P1367&gt;0,O1367=0),"Pièces déclarées sans temps de marche",IF(AND(P1367=0,O1367&gt;0),"Aucune pièce déclarée",IF(P1367*60/Q1367&gt;O1367+0.001,"Cadence dépassée : vérifiez la cadence","OK"))))))))))))))))))</f>
        <v/>
      </c>
      <c r="AC1367">
        <f>IF(OR(AB1367="OK",AB1367="Aucune pièce déclarée",AB1367="Cadence dépassée : vérifiez la cadence"),1,0)</f>
        <v>0.0</v>
      </c>
      <c r="AD1367">
        <f>IF(AND(AC1367=1,A1367&gt;=p_from,A1367&lt;=p_to),1,0)</f>
        <v>0.0</v>
      </c>
      <c r="AE1367">
        <f>IF(AD1367=1,IF(COUNTIFS($A$6:A1367,A1367,$AD$6:AD1367,1)=1,1,0),0)</f>
        <v>0.0</v>
      </c>
      <c r="AF1367" t="str">
        <f>IF(AE1367=1,COUNTIFS(sj_first,1,sj_date,"&lt;"&amp;A1367)+1,"")</f>
        <v/>
      </c>
      <c r="AG1367" t="str">
        <f>IF(AND(AD1367=1,N(W1367)&lt;p_alert),ROUND(W1367,4),"")</f>
        <v/>
      </c>
      <c r="AH1367" t="str">
        <f>IF(AG1367="","",COUNTIF(sj_akey,"&lt;"&amp;AG1367)+COUNTIF($AG$6:AG1367,AG1367))</f>
        <v/>
      </c>
    </row>
    <row r="1368">
      <c r="A1368" s="51" t="n"/>
      <c r="B1368" s="52" t="n"/>
      <c r="C1368" s="52" t="n"/>
      <c r="D1368" s="53" t="n"/>
      <c r="E1368" s="53" t="n"/>
      <c r="F1368" s="54" t="n"/>
      <c r="G1368" s="54" t="n"/>
      <c r="H1368" s="54" t="n"/>
      <c r="I1368" s="54" t="n"/>
      <c r="J1368" s="53" t="n"/>
      <c r="K1368" s="55" t="str">
        <f>IF(COUNTA(A1368:I1368)=0,"",IF(F1368="",IFERROR(INDEX(eq_dur,MATCH(B1368,eq_code,0)),""),F1368))</f>
        <v/>
      </c>
      <c r="L1368" s="55" t="str">
        <f>IF(ISNUMBER(K1368),N(IFERROR(INDEX(eq_pause,MATCH(B1368,eq_code,0)),0))+SUMIFS(st_min,st_date,A1368,st_eq,B1368,st_po,C1368,st_type,"Planifié"),"")</f>
        <v/>
      </c>
      <c r="M1368" s="55" t="str">
        <f>IF(ISNUMBER(K1368),K1368-L1368,"")</f>
        <v/>
      </c>
      <c r="N1368" s="55" t="str">
        <f>IF(ISNUMBER(K1368),SUMIFS(st_min,st_date,A1368,st_eq,B1368,st_po,C1368,st_type,"Non planifié"),"")</f>
        <v/>
      </c>
      <c r="O1368" s="55" t="str">
        <f>IF(ISNUMBER(K1368),M1368-N1368,"")</f>
        <v/>
      </c>
      <c r="P1368" s="55" t="str">
        <f>IF(COUNTA(A1368:I1368)=0,"",N(G1368)+N(H1368)+N(I1368))</f>
        <v/>
      </c>
      <c r="Q1368" s="56" t="str">
        <f>IF(COUNTA(A1368:I1368)=0,"",IF(N(IFERROR(INDEX(art_rate,MATCH(E1368,art_ref,0)),0))&gt;0,N(IFERROR(INDEX(art_rate,MATCH(E1368,art_ref,0)),0)),N(IFERROR(INDEX(po_rate,MATCH(C1368,po_code,0)),0))))</f>
        <v/>
      </c>
      <c r="R1368" s="55" t="str">
        <f>IF(AC1368=1,P1368*60/Q1368,"")</f>
        <v/>
      </c>
      <c r="S1368" s="55" t="str">
        <f>IF(AC1368=1,N(G1368)*60/Q1368,"")</f>
        <v/>
      </c>
      <c r="T1368" s="57" t="str">
        <f>IF(AC1368=1,O1368/M1368,"")</f>
        <v/>
      </c>
      <c r="U1368" s="57" t="str">
        <f>IF(AC1368=1,IF(O1368&gt;0,R1368/O1368,""),"")</f>
        <v/>
      </c>
      <c r="V1368" s="57" t="str">
        <f>IF(AC1368=1,IF(P1368&gt;0,N(G1368)/P1368,""),"")</f>
        <v/>
      </c>
      <c r="W1368" s="57" t="str">
        <f>IF(AC1368=1,S1368/M1368,"")</f>
        <v/>
      </c>
      <c r="X1368" s="57" t="str">
        <f>IF(AC1368=1,S1368/K1368,"")</f>
        <v/>
      </c>
      <c r="Y1368" s="58" t="str">
        <f>IF(W1368="","",IF(W1368&gt;=p_target,"Bon",IF(W1368&gt;=p_alert,"À surveiller","Faible")))</f>
        <v/>
      </c>
      <c r="Z1368" s="58" t="str">
        <f>IF(W1368="","",IF(MIN(IF(T1368="",1,T1368),IF(U1368="",1,U1368),IF(V1368="",1,V1368))&gt;=1,"Aucune",IF(IF(T1368="",1,T1368)&lt;=MIN(IF(U1368="",1,U1368),IF(V1368="",1,V1368)),"Disponibilité",IF(IF(U1368="",1,U1368)&lt;=IF(V1368="",1,V1368),"Performance","Qualité"))))</f>
        <v/>
      </c>
      <c r="AA1368" s="59" t="str">
        <f>IF(AC1368=1,N(H1368)*N(IFERROR(INDEX(art_cost,MATCH(E1368,art_ref,0)),0)),"")</f>
        <v/>
      </c>
      <c r="AB1368" s="58" t="str">
        <f>IF(COUNTA(A1368:I1368)=0,"",IF(N(A1368)&lt;=0,"Date manquante ou invalide",IF(B1368="","Équipe manquante",IF(ISNA(MATCH(B1368,eq_code,0)),"Équipe inconnue",IF(INDEX(eq_check,MATCH(B1368,eq_code,0))&lt;&gt;"OK","Équipe à corriger dans Paramètres",IF(C1368="","Poste manquant",IF(ISNA(MATCH(C1368,po_code,0)),"Poste inconnu",IF(AND(E1368&lt;&gt;"",ISNA(MATCH(E1368,art_ref,0))),"Article inconnu",IF(IF(E1368="",FALSE,INDEX(art_check,MATCH(E1368,art_ref,0))&lt;&gt;"OK"),"Article à corriger (feuille Articles)",IF(COUNTIFS(sj_date,A1368,sj_eq,B1368,sj_po,C1368)&gt;1,"Ligne en double (même jour, équipe et poste)",IF(OR(NOT(ISNUMBER(K1368)),N(K1368)&lt;=0,N(K1368)&gt;1440),"Temps d'ouverture invalide",IF(OR(AND(G1368&lt;&gt;"",NOT(ISNUMBER(G1368))),N(G1368)&lt;0,N(G1368)&lt;&gt;INT(N(G1368)),AND(H1368&lt;&gt;"",NOT(ISNUMBER(H1368))),N(H1368)&lt;0,N(H1368)&lt;&gt;INT(N(H1368)),AND(I1368&lt;&gt;"",NOT(ISNUMBER(I1368))),N(I1368)&lt;0,N(I1368)&lt;&gt;INT(N(I1368))),"Quantité invalide",IF(Q1368&lt;=0,"Cadence manquante (poste ou article)",IF(M1368&lt;=0,"Arrêts planifiés supérieurs au temps d'ouverture",IF(O1368&lt;0,"Arrêts supérieurs au temps requis",IF(AND(P1368&gt;0,O1368=0),"Pièces déclarées sans temps de marche",IF(AND(P1368=0,O1368&gt;0),"Aucune pièce déclarée",IF(P1368*60/Q1368&gt;O1368+0.001,"Cadence dépassée : vérifiez la cadence","OK"))))))))))))))))))</f>
        <v/>
      </c>
      <c r="AC1368">
        <f>IF(OR(AB1368="OK",AB1368="Aucune pièce déclarée",AB1368="Cadence dépassée : vérifiez la cadence"),1,0)</f>
        <v>0.0</v>
      </c>
      <c r="AD1368">
        <f>IF(AND(AC1368=1,A1368&gt;=p_from,A1368&lt;=p_to),1,0)</f>
        <v>0.0</v>
      </c>
      <c r="AE1368">
        <f>IF(AD1368=1,IF(COUNTIFS($A$6:A1368,A1368,$AD$6:AD1368,1)=1,1,0),0)</f>
        <v>0.0</v>
      </c>
      <c r="AF1368" t="str">
        <f>IF(AE1368=1,COUNTIFS(sj_first,1,sj_date,"&lt;"&amp;A1368)+1,"")</f>
        <v/>
      </c>
      <c r="AG1368" t="str">
        <f>IF(AND(AD1368=1,N(W1368)&lt;p_alert),ROUND(W1368,4),"")</f>
        <v/>
      </c>
      <c r="AH1368" t="str">
        <f>IF(AG1368="","",COUNTIF(sj_akey,"&lt;"&amp;AG1368)+COUNTIF($AG$6:AG1368,AG1368))</f>
        <v/>
      </c>
    </row>
    <row r="1369">
      <c r="A1369" s="51" t="n"/>
      <c r="B1369" s="52" t="n"/>
      <c r="C1369" s="52" t="n"/>
      <c r="D1369" s="53" t="n"/>
      <c r="E1369" s="53" t="n"/>
      <c r="F1369" s="54" t="n"/>
      <c r="G1369" s="54" t="n"/>
      <c r="H1369" s="54" t="n"/>
      <c r="I1369" s="54" t="n"/>
      <c r="J1369" s="53" t="n"/>
      <c r="K1369" s="55" t="str">
        <f>IF(COUNTA(A1369:I1369)=0,"",IF(F1369="",IFERROR(INDEX(eq_dur,MATCH(B1369,eq_code,0)),""),F1369))</f>
        <v/>
      </c>
      <c r="L1369" s="55" t="str">
        <f>IF(ISNUMBER(K1369),N(IFERROR(INDEX(eq_pause,MATCH(B1369,eq_code,0)),0))+SUMIFS(st_min,st_date,A1369,st_eq,B1369,st_po,C1369,st_type,"Planifié"),"")</f>
        <v/>
      </c>
      <c r="M1369" s="55" t="str">
        <f>IF(ISNUMBER(K1369),K1369-L1369,"")</f>
        <v/>
      </c>
      <c r="N1369" s="55" t="str">
        <f>IF(ISNUMBER(K1369),SUMIFS(st_min,st_date,A1369,st_eq,B1369,st_po,C1369,st_type,"Non planifié"),"")</f>
        <v/>
      </c>
      <c r="O1369" s="55" t="str">
        <f>IF(ISNUMBER(K1369),M1369-N1369,"")</f>
        <v/>
      </c>
      <c r="P1369" s="55" t="str">
        <f>IF(COUNTA(A1369:I1369)=0,"",N(G1369)+N(H1369)+N(I1369))</f>
        <v/>
      </c>
      <c r="Q1369" s="56" t="str">
        <f>IF(COUNTA(A1369:I1369)=0,"",IF(N(IFERROR(INDEX(art_rate,MATCH(E1369,art_ref,0)),0))&gt;0,N(IFERROR(INDEX(art_rate,MATCH(E1369,art_ref,0)),0)),N(IFERROR(INDEX(po_rate,MATCH(C1369,po_code,0)),0))))</f>
        <v/>
      </c>
      <c r="R1369" s="55" t="str">
        <f>IF(AC1369=1,P1369*60/Q1369,"")</f>
        <v/>
      </c>
      <c r="S1369" s="55" t="str">
        <f>IF(AC1369=1,N(G1369)*60/Q1369,"")</f>
        <v/>
      </c>
      <c r="T1369" s="57" t="str">
        <f>IF(AC1369=1,O1369/M1369,"")</f>
        <v/>
      </c>
      <c r="U1369" s="57" t="str">
        <f>IF(AC1369=1,IF(O1369&gt;0,R1369/O1369,""),"")</f>
        <v/>
      </c>
      <c r="V1369" s="57" t="str">
        <f>IF(AC1369=1,IF(P1369&gt;0,N(G1369)/P1369,""),"")</f>
        <v/>
      </c>
      <c r="W1369" s="57" t="str">
        <f>IF(AC1369=1,S1369/M1369,"")</f>
        <v/>
      </c>
      <c r="X1369" s="57" t="str">
        <f>IF(AC1369=1,S1369/K1369,"")</f>
        <v/>
      </c>
      <c r="Y1369" s="58" t="str">
        <f>IF(W1369="","",IF(W1369&gt;=p_target,"Bon",IF(W1369&gt;=p_alert,"À surveiller","Faible")))</f>
        <v/>
      </c>
      <c r="Z1369" s="58" t="str">
        <f>IF(W1369="","",IF(MIN(IF(T1369="",1,T1369),IF(U1369="",1,U1369),IF(V1369="",1,V1369))&gt;=1,"Aucune",IF(IF(T1369="",1,T1369)&lt;=MIN(IF(U1369="",1,U1369),IF(V1369="",1,V1369)),"Disponibilité",IF(IF(U1369="",1,U1369)&lt;=IF(V1369="",1,V1369),"Performance","Qualité"))))</f>
        <v/>
      </c>
      <c r="AA1369" s="59" t="str">
        <f>IF(AC1369=1,N(H1369)*N(IFERROR(INDEX(art_cost,MATCH(E1369,art_ref,0)),0)),"")</f>
        <v/>
      </c>
      <c r="AB1369" s="58" t="str">
        <f>IF(COUNTA(A1369:I1369)=0,"",IF(N(A1369)&lt;=0,"Date manquante ou invalide",IF(B1369="","Équipe manquante",IF(ISNA(MATCH(B1369,eq_code,0)),"Équipe inconnue",IF(INDEX(eq_check,MATCH(B1369,eq_code,0))&lt;&gt;"OK","Équipe à corriger dans Paramètres",IF(C1369="","Poste manquant",IF(ISNA(MATCH(C1369,po_code,0)),"Poste inconnu",IF(AND(E1369&lt;&gt;"",ISNA(MATCH(E1369,art_ref,0))),"Article inconnu",IF(IF(E1369="",FALSE,INDEX(art_check,MATCH(E1369,art_ref,0))&lt;&gt;"OK"),"Article à corriger (feuille Articles)",IF(COUNTIFS(sj_date,A1369,sj_eq,B1369,sj_po,C1369)&gt;1,"Ligne en double (même jour, équipe et poste)",IF(OR(NOT(ISNUMBER(K1369)),N(K1369)&lt;=0,N(K1369)&gt;1440),"Temps d'ouverture invalide",IF(OR(AND(G1369&lt;&gt;"",NOT(ISNUMBER(G1369))),N(G1369)&lt;0,N(G1369)&lt;&gt;INT(N(G1369)),AND(H1369&lt;&gt;"",NOT(ISNUMBER(H1369))),N(H1369)&lt;0,N(H1369)&lt;&gt;INT(N(H1369)),AND(I1369&lt;&gt;"",NOT(ISNUMBER(I1369))),N(I1369)&lt;0,N(I1369)&lt;&gt;INT(N(I1369))),"Quantité invalide",IF(Q1369&lt;=0,"Cadence manquante (poste ou article)",IF(M1369&lt;=0,"Arrêts planifiés supérieurs au temps d'ouverture",IF(O1369&lt;0,"Arrêts supérieurs au temps requis",IF(AND(P1369&gt;0,O1369=0),"Pièces déclarées sans temps de marche",IF(AND(P1369=0,O1369&gt;0),"Aucune pièce déclarée",IF(P1369*60/Q1369&gt;O1369+0.001,"Cadence dépassée : vérifiez la cadence","OK"))))))))))))))))))</f>
        <v/>
      </c>
      <c r="AC1369">
        <f>IF(OR(AB1369="OK",AB1369="Aucune pièce déclarée",AB1369="Cadence dépassée : vérifiez la cadence"),1,0)</f>
        <v>0.0</v>
      </c>
      <c r="AD1369">
        <f>IF(AND(AC1369=1,A1369&gt;=p_from,A1369&lt;=p_to),1,0)</f>
        <v>0.0</v>
      </c>
      <c r="AE1369">
        <f>IF(AD1369=1,IF(COUNTIFS($A$6:A1369,A1369,$AD$6:AD1369,1)=1,1,0),0)</f>
        <v>0.0</v>
      </c>
      <c r="AF1369" t="str">
        <f>IF(AE1369=1,COUNTIFS(sj_first,1,sj_date,"&lt;"&amp;A1369)+1,"")</f>
        <v/>
      </c>
      <c r="AG1369" t="str">
        <f>IF(AND(AD1369=1,N(W1369)&lt;p_alert),ROUND(W1369,4),"")</f>
        <v/>
      </c>
      <c r="AH1369" t="str">
        <f>IF(AG1369="","",COUNTIF(sj_akey,"&lt;"&amp;AG1369)+COUNTIF($AG$6:AG1369,AG1369))</f>
        <v/>
      </c>
    </row>
    <row r="1370">
      <c r="A1370" s="51" t="n"/>
      <c r="B1370" s="52" t="n"/>
      <c r="C1370" s="52" t="n"/>
      <c r="D1370" s="53" t="n"/>
      <c r="E1370" s="53" t="n"/>
      <c r="F1370" s="54" t="n"/>
      <c r="G1370" s="54" t="n"/>
      <c r="H1370" s="54" t="n"/>
      <c r="I1370" s="54" t="n"/>
      <c r="J1370" s="53" t="n"/>
      <c r="K1370" s="55" t="str">
        <f>IF(COUNTA(A1370:I1370)=0,"",IF(F1370="",IFERROR(INDEX(eq_dur,MATCH(B1370,eq_code,0)),""),F1370))</f>
        <v/>
      </c>
      <c r="L1370" s="55" t="str">
        <f>IF(ISNUMBER(K1370),N(IFERROR(INDEX(eq_pause,MATCH(B1370,eq_code,0)),0))+SUMIFS(st_min,st_date,A1370,st_eq,B1370,st_po,C1370,st_type,"Planifié"),"")</f>
        <v/>
      </c>
      <c r="M1370" s="55" t="str">
        <f>IF(ISNUMBER(K1370),K1370-L1370,"")</f>
        <v/>
      </c>
      <c r="N1370" s="55" t="str">
        <f>IF(ISNUMBER(K1370),SUMIFS(st_min,st_date,A1370,st_eq,B1370,st_po,C1370,st_type,"Non planifié"),"")</f>
        <v/>
      </c>
      <c r="O1370" s="55" t="str">
        <f>IF(ISNUMBER(K1370),M1370-N1370,"")</f>
        <v/>
      </c>
      <c r="P1370" s="55" t="str">
        <f>IF(COUNTA(A1370:I1370)=0,"",N(G1370)+N(H1370)+N(I1370))</f>
        <v/>
      </c>
      <c r="Q1370" s="56" t="str">
        <f>IF(COUNTA(A1370:I1370)=0,"",IF(N(IFERROR(INDEX(art_rate,MATCH(E1370,art_ref,0)),0))&gt;0,N(IFERROR(INDEX(art_rate,MATCH(E1370,art_ref,0)),0)),N(IFERROR(INDEX(po_rate,MATCH(C1370,po_code,0)),0))))</f>
        <v/>
      </c>
      <c r="R1370" s="55" t="str">
        <f>IF(AC1370=1,P1370*60/Q1370,"")</f>
        <v/>
      </c>
      <c r="S1370" s="55" t="str">
        <f>IF(AC1370=1,N(G1370)*60/Q1370,"")</f>
        <v/>
      </c>
      <c r="T1370" s="57" t="str">
        <f>IF(AC1370=1,O1370/M1370,"")</f>
        <v/>
      </c>
      <c r="U1370" s="57" t="str">
        <f>IF(AC1370=1,IF(O1370&gt;0,R1370/O1370,""),"")</f>
        <v/>
      </c>
      <c r="V1370" s="57" t="str">
        <f>IF(AC1370=1,IF(P1370&gt;0,N(G1370)/P1370,""),"")</f>
        <v/>
      </c>
      <c r="W1370" s="57" t="str">
        <f>IF(AC1370=1,S1370/M1370,"")</f>
        <v/>
      </c>
      <c r="X1370" s="57" t="str">
        <f>IF(AC1370=1,S1370/K1370,"")</f>
        <v/>
      </c>
      <c r="Y1370" s="58" t="str">
        <f>IF(W1370="","",IF(W1370&gt;=p_target,"Bon",IF(W1370&gt;=p_alert,"À surveiller","Faible")))</f>
        <v/>
      </c>
      <c r="Z1370" s="58" t="str">
        <f>IF(W1370="","",IF(MIN(IF(T1370="",1,T1370),IF(U1370="",1,U1370),IF(V1370="",1,V1370))&gt;=1,"Aucune",IF(IF(T1370="",1,T1370)&lt;=MIN(IF(U1370="",1,U1370),IF(V1370="",1,V1370)),"Disponibilité",IF(IF(U1370="",1,U1370)&lt;=IF(V1370="",1,V1370),"Performance","Qualité"))))</f>
        <v/>
      </c>
      <c r="AA1370" s="59" t="str">
        <f>IF(AC1370=1,N(H1370)*N(IFERROR(INDEX(art_cost,MATCH(E1370,art_ref,0)),0)),"")</f>
        <v/>
      </c>
      <c r="AB1370" s="58" t="str">
        <f>IF(COUNTA(A1370:I1370)=0,"",IF(N(A1370)&lt;=0,"Date manquante ou invalide",IF(B1370="","Équipe manquante",IF(ISNA(MATCH(B1370,eq_code,0)),"Équipe inconnue",IF(INDEX(eq_check,MATCH(B1370,eq_code,0))&lt;&gt;"OK","Équipe à corriger dans Paramètres",IF(C1370="","Poste manquant",IF(ISNA(MATCH(C1370,po_code,0)),"Poste inconnu",IF(AND(E1370&lt;&gt;"",ISNA(MATCH(E1370,art_ref,0))),"Article inconnu",IF(IF(E1370="",FALSE,INDEX(art_check,MATCH(E1370,art_ref,0))&lt;&gt;"OK"),"Article à corriger (feuille Articles)",IF(COUNTIFS(sj_date,A1370,sj_eq,B1370,sj_po,C1370)&gt;1,"Ligne en double (même jour, équipe et poste)",IF(OR(NOT(ISNUMBER(K1370)),N(K1370)&lt;=0,N(K1370)&gt;1440),"Temps d'ouverture invalide",IF(OR(AND(G1370&lt;&gt;"",NOT(ISNUMBER(G1370))),N(G1370)&lt;0,N(G1370)&lt;&gt;INT(N(G1370)),AND(H1370&lt;&gt;"",NOT(ISNUMBER(H1370))),N(H1370)&lt;0,N(H1370)&lt;&gt;INT(N(H1370)),AND(I1370&lt;&gt;"",NOT(ISNUMBER(I1370))),N(I1370)&lt;0,N(I1370)&lt;&gt;INT(N(I1370))),"Quantité invalide",IF(Q1370&lt;=0,"Cadence manquante (poste ou article)",IF(M1370&lt;=0,"Arrêts planifiés supérieurs au temps d'ouverture",IF(O1370&lt;0,"Arrêts supérieurs au temps requis",IF(AND(P1370&gt;0,O1370=0),"Pièces déclarées sans temps de marche",IF(AND(P1370=0,O1370&gt;0),"Aucune pièce déclarée",IF(P1370*60/Q1370&gt;O1370+0.001,"Cadence dépassée : vérifiez la cadence","OK"))))))))))))))))))</f>
        <v/>
      </c>
      <c r="AC1370">
        <f>IF(OR(AB1370="OK",AB1370="Aucune pièce déclarée",AB1370="Cadence dépassée : vérifiez la cadence"),1,0)</f>
        <v>0.0</v>
      </c>
      <c r="AD1370">
        <f>IF(AND(AC1370=1,A1370&gt;=p_from,A1370&lt;=p_to),1,0)</f>
        <v>0.0</v>
      </c>
      <c r="AE1370">
        <f>IF(AD1370=1,IF(COUNTIFS($A$6:A1370,A1370,$AD$6:AD1370,1)=1,1,0),0)</f>
        <v>0.0</v>
      </c>
      <c r="AF1370" t="str">
        <f>IF(AE1370=1,COUNTIFS(sj_first,1,sj_date,"&lt;"&amp;A1370)+1,"")</f>
        <v/>
      </c>
      <c r="AG1370" t="str">
        <f>IF(AND(AD1370=1,N(W1370)&lt;p_alert),ROUND(W1370,4),"")</f>
        <v/>
      </c>
      <c r="AH1370" t="str">
        <f>IF(AG1370="","",COUNTIF(sj_akey,"&lt;"&amp;AG1370)+COUNTIF($AG$6:AG1370,AG1370))</f>
        <v/>
      </c>
    </row>
    <row r="1371">
      <c r="A1371" s="51" t="n"/>
      <c r="B1371" s="52" t="n"/>
      <c r="C1371" s="52" t="n"/>
      <c r="D1371" s="53" t="n"/>
      <c r="E1371" s="53" t="n"/>
      <c r="F1371" s="54" t="n"/>
      <c r="G1371" s="54" t="n"/>
      <c r="H1371" s="54" t="n"/>
      <c r="I1371" s="54" t="n"/>
      <c r="J1371" s="53" t="n"/>
      <c r="K1371" s="55" t="str">
        <f>IF(COUNTA(A1371:I1371)=0,"",IF(F1371="",IFERROR(INDEX(eq_dur,MATCH(B1371,eq_code,0)),""),F1371))</f>
        <v/>
      </c>
      <c r="L1371" s="55" t="str">
        <f>IF(ISNUMBER(K1371),N(IFERROR(INDEX(eq_pause,MATCH(B1371,eq_code,0)),0))+SUMIFS(st_min,st_date,A1371,st_eq,B1371,st_po,C1371,st_type,"Planifié"),"")</f>
        <v/>
      </c>
      <c r="M1371" s="55" t="str">
        <f>IF(ISNUMBER(K1371),K1371-L1371,"")</f>
        <v/>
      </c>
      <c r="N1371" s="55" t="str">
        <f>IF(ISNUMBER(K1371),SUMIFS(st_min,st_date,A1371,st_eq,B1371,st_po,C1371,st_type,"Non planifié"),"")</f>
        <v/>
      </c>
      <c r="O1371" s="55" t="str">
        <f>IF(ISNUMBER(K1371),M1371-N1371,"")</f>
        <v/>
      </c>
      <c r="P1371" s="55" t="str">
        <f>IF(COUNTA(A1371:I1371)=0,"",N(G1371)+N(H1371)+N(I1371))</f>
        <v/>
      </c>
      <c r="Q1371" s="56" t="str">
        <f>IF(COUNTA(A1371:I1371)=0,"",IF(N(IFERROR(INDEX(art_rate,MATCH(E1371,art_ref,0)),0))&gt;0,N(IFERROR(INDEX(art_rate,MATCH(E1371,art_ref,0)),0)),N(IFERROR(INDEX(po_rate,MATCH(C1371,po_code,0)),0))))</f>
        <v/>
      </c>
      <c r="R1371" s="55" t="str">
        <f>IF(AC1371=1,P1371*60/Q1371,"")</f>
        <v/>
      </c>
      <c r="S1371" s="55" t="str">
        <f>IF(AC1371=1,N(G1371)*60/Q1371,"")</f>
        <v/>
      </c>
      <c r="T1371" s="57" t="str">
        <f>IF(AC1371=1,O1371/M1371,"")</f>
        <v/>
      </c>
      <c r="U1371" s="57" t="str">
        <f>IF(AC1371=1,IF(O1371&gt;0,R1371/O1371,""),"")</f>
        <v/>
      </c>
      <c r="V1371" s="57" t="str">
        <f>IF(AC1371=1,IF(P1371&gt;0,N(G1371)/P1371,""),"")</f>
        <v/>
      </c>
      <c r="W1371" s="57" t="str">
        <f>IF(AC1371=1,S1371/M1371,"")</f>
        <v/>
      </c>
      <c r="X1371" s="57" t="str">
        <f>IF(AC1371=1,S1371/K1371,"")</f>
        <v/>
      </c>
      <c r="Y1371" s="58" t="str">
        <f>IF(W1371="","",IF(W1371&gt;=p_target,"Bon",IF(W1371&gt;=p_alert,"À surveiller","Faible")))</f>
        <v/>
      </c>
      <c r="Z1371" s="58" t="str">
        <f>IF(W1371="","",IF(MIN(IF(T1371="",1,T1371),IF(U1371="",1,U1371),IF(V1371="",1,V1371))&gt;=1,"Aucune",IF(IF(T1371="",1,T1371)&lt;=MIN(IF(U1371="",1,U1371),IF(V1371="",1,V1371)),"Disponibilité",IF(IF(U1371="",1,U1371)&lt;=IF(V1371="",1,V1371),"Performance","Qualité"))))</f>
        <v/>
      </c>
      <c r="AA1371" s="59" t="str">
        <f>IF(AC1371=1,N(H1371)*N(IFERROR(INDEX(art_cost,MATCH(E1371,art_ref,0)),0)),"")</f>
        <v/>
      </c>
      <c r="AB1371" s="58" t="str">
        <f>IF(COUNTA(A1371:I1371)=0,"",IF(N(A1371)&lt;=0,"Date manquante ou invalide",IF(B1371="","Équipe manquante",IF(ISNA(MATCH(B1371,eq_code,0)),"Équipe inconnue",IF(INDEX(eq_check,MATCH(B1371,eq_code,0))&lt;&gt;"OK","Équipe à corriger dans Paramètres",IF(C1371="","Poste manquant",IF(ISNA(MATCH(C1371,po_code,0)),"Poste inconnu",IF(AND(E1371&lt;&gt;"",ISNA(MATCH(E1371,art_ref,0))),"Article inconnu",IF(IF(E1371="",FALSE,INDEX(art_check,MATCH(E1371,art_ref,0))&lt;&gt;"OK"),"Article à corriger (feuille Articles)",IF(COUNTIFS(sj_date,A1371,sj_eq,B1371,sj_po,C1371)&gt;1,"Ligne en double (même jour, équipe et poste)",IF(OR(NOT(ISNUMBER(K1371)),N(K1371)&lt;=0,N(K1371)&gt;1440),"Temps d'ouverture invalide",IF(OR(AND(G1371&lt;&gt;"",NOT(ISNUMBER(G1371))),N(G1371)&lt;0,N(G1371)&lt;&gt;INT(N(G1371)),AND(H1371&lt;&gt;"",NOT(ISNUMBER(H1371))),N(H1371)&lt;0,N(H1371)&lt;&gt;INT(N(H1371)),AND(I1371&lt;&gt;"",NOT(ISNUMBER(I1371))),N(I1371)&lt;0,N(I1371)&lt;&gt;INT(N(I1371))),"Quantité invalide",IF(Q1371&lt;=0,"Cadence manquante (poste ou article)",IF(M1371&lt;=0,"Arrêts planifiés supérieurs au temps d'ouverture",IF(O1371&lt;0,"Arrêts supérieurs au temps requis",IF(AND(P1371&gt;0,O1371=0),"Pièces déclarées sans temps de marche",IF(AND(P1371=0,O1371&gt;0),"Aucune pièce déclarée",IF(P1371*60/Q1371&gt;O1371+0.001,"Cadence dépassée : vérifiez la cadence","OK"))))))))))))))))))</f>
        <v/>
      </c>
      <c r="AC1371">
        <f>IF(OR(AB1371="OK",AB1371="Aucune pièce déclarée",AB1371="Cadence dépassée : vérifiez la cadence"),1,0)</f>
        <v>0.0</v>
      </c>
      <c r="AD1371">
        <f>IF(AND(AC1371=1,A1371&gt;=p_from,A1371&lt;=p_to),1,0)</f>
        <v>0.0</v>
      </c>
      <c r="AE1371">
        <f>IF(AD1371=1,IF(COUNTIFS($A$6:A1371,A1371,$AD$6:AD1371,1)=1,1,0),0)</f>
        <v>0.0</v>
      </c>
      <c r="AF1371" t="str">
        <f>IF(AE1371=1,COUNTIFS(sj_first,1,sj_date,"&lt;"&amp;A1371)+1,"")</f>
        <v/>
      </c>
      <c r="AG1371" t="str">
        <f>IF(AND(AD1371=1,N(W1371)&lt;p_alert),ROUND(W1371,4),"")</f>
        <v/>
      </c>
      <c r="AH1371" t="str">
        <f>IF(AG1371="","",COUNTIF(sj_akey,"&lt;"&amp;AG1371)+COUNTIF($AG$6:AG1371,AG1371))</f>
        <v/>
      </c>
    </row>
    <row r="1372">
      <c r="A1372" s="51" t="n"/>
      <c r="B1372" s="52" t="n"/>
      <c r="C1372" s="52" t="n"/>
      <c r="D1372" s="53" t="n"/>
      <c r="E1372" s="53" t="n"/>
      <c r="F1372" s="54" t="n"/>
      <c r="G1372" s="54" t="n"/>
      <c r="H1372" s="54" t="n"/>
      <c r="I1372" s="54" t="n"/>
      <c r="J1372" s="53" t="n"/>
      <c r="K1372" s="55" t="str">
        <f>IF(COUNTA(A1372:I1372)=0,"",IF(F1372="",IFERROR(INDEX(eq_dur,MATCH(B1372,eq_code,0)),""),F1372))</f>
        <v/>
      </c>
      <c r="L1372" s="55" t="str">
        <f>IF(ISNUMBER(K1372),N(IFERROR(INDEX(eq_pause,MATCH(B1372,eq_code,0)),0))+SUMIFS(st_min,st_date,A1372,st_eq,B1372,st_po,C1372,st_type,"Planifié"),"")</f>
        <v/>
      </c>
      <c r="M1372" s="55" t="str">
        <f>IF(ISNUMBER(K1372),K1372-L1372,"")</f>
        <v/>
      </c>
      <c r="N1372" s="55" t="str">
        <f>IF(ISNUMBER(K1372),SUMIFS(st_min,st_date,A1372,st_eq,B1372,st_po,C1372,st_type,"Non planifié"),"")</f>
        <v/>
      </c>
      <c r="O1372" s="55" t="str">
        <f>IF(ISNUMBER(K1372),M1372-N1372,"")</f>
        <v/>
      </c>
      <c r="P1372" s="55" t="str">
        <f>IF(COUNTA(A1372:I1372)=0,"",N(G1372)+N(H1372)+N(I1372))</f>
        <v/>
      </c>
      <c r="Q1372" s="56" t="str">
        <f>IF(COUNTA(A1372:I1372)=0,"",IF(N(IFERROR(INDEX(art_rate,MATCH(E1372,art_ref,0)),0))&gt;0,N(IFERROR(INDEX(art_rate,MATCH(E1372,art_ref,0)),0)),N(IFERROR(INDEX(po_rate,MATCH(C1372,po_code,0)),0))))</f>
        <v/>
      </c>
      <c r="R1372" s="55" t="str">
        <f>IF(AC1372=1,P1372*60/Q1372,"")</f>
        <v/>
      </c>
      <c r="S1372" s="55" t="str">
        <f>IF(AC1372=1,N(G1372)*60/Q1372,"")</f>
        <v/>
      </c>
      <c r="T1372" s="57" t="str">
        <f>IF(AC1372=1,O1372/M1372,"")</f>
        <v/>
      </c>
      <c r="U1372" s="57" t="str">
        <f>IF(AC1372=1,IF(O1372&gt;0,R1372/O1372,""),"")</f>
        <v/>
      </c>
      <c r="V1372" s="57" t="str">
        <f>IF(AC1372=1,IF(P1372&gt;0,N(G1372)/P1372,""),"")</f>
        <v/>
      </c>
      <c r="W1372" s="57" t="str">
        <f>IF(AC1372=1,S1372/M1372,"")</f>
        <v/>
      </c>
      <c r="X1372" s="57" t="str">
        <f>IF(AC1372=1,S1372/K1372,"")</f>
        <v/>
      </c>
      <c r="Y1372" s="58" t="str">
        <f>IF(W1372="","",IF(W1372&gt;=p_target,"Bon",IF(W1372&gt;=p_alert,"À surveiller","Faible")))</f>
        <v/>
      </c>
      <c r="Z1372" s="58" t="str">
        <f>IF(W1372="","",IF(MIN(IF(T1372="",1,T1372),IF(U1372="",1,U1372),IF(V1372="",1,V1372))&gt;=1,"Aucune",IF(IF(T1372="",1,T1372)&lt;=MIN(IF(U1372="",1,U1372),IF(V1372="",1,V1372)),"Disponibilité",IF(IF(U1372="",1,U1372)&lt;=IF(V1372="",1,V1372),"Performance","Qualité"))))</f>
        <v/>
      </c>
      <c r="AA1372" s="59" t="str">
        <f>IF(AC1372=1,N(H1372)*N(IFERROR(INDEX(art_cost,MATCH(E1372,art_ref,0)),0)),"")</f>
        <v/>
      </c>
      <c r="AB1372" s="58" t="str">
        <f>IF(COUNTA(A1372:I1372)=0,"",IF(N(A1372)&lt;=0,"Date manquante ou invalide",IF(B1372="","Équipe manquante",IF(ISNA(MATCH(B1372,eq_code,0)),"Équipe inconnue",IF(INDEX(eq_check,MATCH(B1372,eq_code,0))&lt;&gt;"OK","Équipe à corriger dans Paramètres",IF(C1372="","Poste manquant",IF(ISNA(MATCH(C1372,po_code,0)),"Poste inconnu",IF(AND(E1372&lt;&gt;"",ISNA(MATCH(E1372,art_ref,0))),"Article inconnu",IF(IF(E1372="",FALSE,INDEX(art_check,MATCH(E1372,art_ref,0))&lt;&gt;"OK"),"Article à corriger (feuille Articles)",IF(COUNTIFS(sj_date,A1372,sj_eq,B1372,sj_po,C1372)&gt;1,"Ligne en double (même jour, équipe et poste)",IF(OR(NOT(ISNUMBER(K1372)),N(K1372)&lt;=0,N(K1372)&gt;1440),"Temps d'ouverture invalide",IF(OR(AND(G1372&lt;&gt;"",NOT(ISNUMBER(G1372))),N(G1372)&lt;0,N(G1372)&lt;&gt;INT(N(G1372)),AND(H1372&lt;&gt;"",NOT(ISNUMBER(H1372))),N(H1372)&lt;0,N(H1372)&lt;&gt;INT(N(H1372)),AND(I1372&lt;&gt;"",NOT(ISNUMBER(I1372))),N(I1372)&lt;0,N(I1372)&lt;&gt;INT(N(I1372))),"Quantité invalide",IF(Q1372&lt;=0,"Cadence manquante (poste ou article)",IF(M1372&lt;=0,"Arrêts planifiés supérieurs au temps d'ouverture",IF(O1372&lt;0,"Arrêts supérieurs au temps requis",IF(AND(P1372&gt;0,O1372=0),"Pièces déclarées sans temps de marche",IF(AND(P1372=0,O1372&gt;0),"Aucune pièce déclarée",IF(P1372*60/Q1372&gt;O1372+0.001,"Cadence dépassée : vérifiez la cadence","OK"))))))))))))))))))</f>
        <v/>
      </c>
      <c r="AC1372">
        <f>IF(OR(AB1372="OK",AB1372="Aucune pièce déclarée",AB1372="Cadence dépassée : vérifiez la cadence"),1,0)</f>
        <v>0.0</v>
      </c>
      <c r="AD1372">
        <f>IF(AND(AC1372=1,A1372&gt;=p_from,A1372&lt;=p_to),1,0)</f>
        <v>0.0</v>
      </c>
      <c r="AE1372">
        <f>IF(AD1372=1,IF(COUNTIFS($A$6:A1372,A1372,$AD$6:AD1372,1)=1,1,0),0)</f>
        <v>0.0</v>
      </c>
      <c r="AF1372" t="str">
        <f>IF(AE1372=1,COUNTIFS(sj_first,1,sj_date,"&lt;"&amp;A1372)+1,"")</f>
        <v/>
      </c>
      <c r="AG1372" t="str">
        <f>IF(AND(AD1372=1,N(W1372)&lt;p_alert),ROUND(W1372,4),"")</f>
        <v/>
      </c>
      <c r="AH1372" t="str">
        <f>IF(AG1372="","",COUNTIF(sj_akey,"&lt;"&amp;AG1372)+COUNTIF($AG$6:AG1372,AG1372))</f>
        <v/>
      </c>
    </row>
    <row r="1373">
      <c r="A1373" s="51" t="n"/>
      <c r="B1373" s="52" t="n"/>
      <c r="C1373" s="52" t="n"/>
      <c r="D1373" s="53" t="n"/>
      <c r="E1373" s="53" t="n"/>
      <c r="F1373" s="54" t="n"/>
      <c r="G1373" s="54" t="n"/>
      <c r="H1373" s="54" t="n"/>
      <c r="I1373" s="54" t="n"/>
      <c r="J1373" s="53" t="n"/>
      <c r="K1373" s="55" t="str">
        <f>IF(COUNTA(A1373:I1373)=0,"",IF(F1373="",IFERROR(INDEX(eq_dur,MATCH(B1373,eq_code,0)),""),F1373))</f>
        <v/>
      </c>
      <c r="L1373" s="55" t="str">
        <f>IF(ISNUMBER(K1373),N(IFERROR(INDEX(eq_pause,MATCH(B1373,eq_code,0)),0))+SUMIFS(st_min,st_date,A1373,st_eq,B1373,st_po,C1373,st_type,"Planifié"),"")</f>
        <v/>
      </c>
      <c r="M1373" s="55" t="str">
        <f>IF(ISNUMBER(K1373),K1373-L1373,"")</f>
        <v/>
      </c>
      <c r="N1373" s="55" t="str">
        <f>IF(ISNUMBER(K1373),SUMIFS(st_min,st_date,A1373,st_eq,B1373,st_po,C1373,st_type,"Non planifié"),"")</f>
        <v/>
      </c>
      <c r="O1373" s="55" t="str">
        <f>IF(ISNUMBER(K1373),M1373-N1373,"")</f>
        <v/>
      </c>
      <c r="P1373" s="55" t="str">
        <f>IF(COUNTA(A1373:I1373)=0,"",N(G1373)+N(H1373)+N(I1373))</f>
        <v/>
      </c>
      <c r="Q1373" s="56" t="str">
        <f>IF(COUNTA(A1373:I1373)=0,"",IF(N(IFERROR(INDEX(art_rate,MATCH(E1373,art_ref,0)),0))&gt;0,N(IFERROR(INDEX(art_rate,MATCH(E1373,art_ref,0)),0)),N(IFERROR(INDEX(po_rate,MATCH(C1373,po_code,0)),0))))</f>
        <v/>
      </c>
      <c r="R1373" s="55" t="str">
        <f>IF(AC1373=1,P1373*60/Q1373,"")</f>
        <v/>
      </c>
      <c r="S1373" s="55" t="str">
        <f>IF(AC1373=1,N(G1373)*60/Q1373,"")</f>
        <v/>
      </c>
      <c r="T1373" s="57" t="str">
        <f>IF(AC1373=1,O1373/M1373,"")</f>
        <v/>
      </c>
      <c r="U1373" s="57" t="str">
        <f>IF(AC1373=1,IF(O1373&gt;0,R1373/O1373,""),"")</f>
        <v/>
      </c>
      <c r="V1373" s="57" t="str">
        <f>IF(AC1373=1,IF(P1373&gt;0,N(G1373)/P1373,""),"")</f>
        <v/>
      </c>
      <c r="W1373" s="57" t="str">
        <f>IF(AC1373=1,S1373/M1373,"")</f>
        <v/>
      </c>
      <c r="X1373" s="57" t="str">
        <f>IF(AC1373=1,S1373/K1373,"")</f>
        <v/>
      </c>
      <c r="Y1373" s="58" t="str">
        <f>IF(W1373="","",IF(W1373&gt;=p_target,"Bon",IF(W1373&gt;=p_alert,"À surveiller","Faible")))</f>
        <v/>
      </c>
      <c r="Z1373" s="58" t="str">
        <f>IF(W1373="","",IF(MIN(IF(T1373="",1,T1373),IF(U1373="",1,U1373),IF(V1373="",1,V1373))&gt;=1,"Aucune",IF(IF(T1373="",1,T1373)&lt;=MIN(IF(U1373="",1,U1373),IF(V1373="",1,V1373)),"Disponibilité",IF(IF(U1373="",1,U1373)&lt;=IF(V1373="",1,V1373),"Performance","Qualité"))))</f>
        <v/>
      </c>
      <c r="AA1373" s="59" t="str">
        <f>IF(AC1373=1,N(H1373)*N(IFERROR(INDEX(art_cost,MATCH(E1373,art_ref,0)),0)),"")</f>
        <v/>
      </c>
      <c r="AB1373" s="58" t="str">
        <f>IF(COUNTA(A1373:I1373)=0,"",IF(N(A1373)&lt;=0,"Date manquante ou invalide",IF(B1373="","Équipe manquante",IF(ISNA(MATCH(B1373,eq_code,0)),"Équipe inconnue",IF(INDEX(eq_check,MATCH(B1373,eq_code,0))&lt;&gt;"OK","Équipe à corriger dans Paramètres",IF(C1373="","Poste manquant",IF(ISNA(MATCH(C1373,po_code,0)),"Poste inconnu",IF(AND(E1373&lt;&gt;"",ISNA(MATCH(E1373,art_ref,0))),"Article inconnu",IF(IF(E1373="",FALSE,INDEX(art_check,MATCH(E1373,art_ref,0))&lt;&gt;"OK"),"Article à corriger (feuille Articles)",IF(COUNTIFS(sj_date,A1373,sj_eq,B1373,sj_po,C1373)&gt;1,"Ligne en double (même jour, équipe et poste)",IF(OR(NOT(ISNUMBER(K1373)),N(K1373)&lt;=0,N(K1373)&gt;1440),"Temps d'ouverture invalide",IF(OR(AND(G1373&lt;&gt;"",NOT(ISNUMBER(G1373))),N(G1373)&lt;0,N(G1373)&lt;&gt;INT(N(G1373)),AND(H1373&lt;&gt;"",NOT(ISNUMBER(H1373))),N(H1373)&lt;0,N(H1373)&lt;&gt;INT(N(H1373)),AND(I1373&lt;&gt;"",NOT(ISNUMBER(I1373))),N(I1373)&lt;0,N(I1373)&lt;&gt;INT(N(I1373))),"Quantité invalide",IF(Q1373&lt;=0,"Cadence manquante (poste ou article)",IF(M1373&lt;=0,"Arrêts planifiés supérieurs au temps d'ouverture",IF(O1373&lt;0,"Arrêts supérieurs au temps requis",IF(AND(P1373&gt;0,O1373=0),"Pièces déclarées sans temps de marche",IF(AND(P1373=0,O1373&gt;0),"Aucune pièce déclarée",IF(P1373*60/Q1373&gt;O1373+0.001,"Cadence dépassée : vérifiez la cadence","OK"))))))))))))))))))</f>
        <v/>
      </c>
      <c r="AC1373">
        <f>IF(OR(AB1373="OK",AB1373="Aucune pièce déclarée",AB1373="Cadence dépassée : vérifiez la cadence"),1,0)</f>
        <v>0.0</v>
      </c>
      <c r="AD1373">
        <f>IF(AND(AC1373=1,A1373&gt;=p_from,A1373&lt;=p_to),1,0)</f>
        <v>0.0</v>
      </c>
      <c r="AE1373">
        <f>IF(AD1373=1,IF(COUNTIFS($A$6:A1373,A1373,$AD$6:AD1373,1)=1,1,0),0)</f>
        <v>0.0</v>
      </c>
      <c r="AF1373" t="str">
        <f>IF(AE1373=1,COUNTIFS(sj_first,1,sj_date,"&lt;"&amp;A1373)+1,"")</f>
        <v/>
      </c>
      <c r="AG1373" t="str">
        <f>IF(AND(AD1373=1,N(W1373)&lt;p_alert),ROUND(W1373,4),"")</f>
        <v/>
      </c>
      <c r="AH1373" t="str">
        <f>IF(AG1373="","",COUNTIF(sj_akey,"&lt;"&amp;AG1373)+COUNTIF($AG$6:AG1373,AG1373))</f>
        <v/>
      </c>
    </row>
    <row r="1374">
      <c r="A1374" s="51" t="n"/>
      <c r="B1374" s="52" t="n"/>
      <c r="C1374" s="52" t="n"/>
      <c r="D1374" s="53" t="n"/>
      <c r="E1374" s="53" t="n"/>
      <c r="F1374" s="54" t="n"/>
      <c r="G1374" s="54" t="n"/>
      <c r="H1374" s="54" t="n"/>
      <c r="I1374" s="54" t="n"/>
      <c r="J1374" s="53" t="n"/>
      <c r="K1374" s="55" t="str">
        <f>IF(COUNTA(A1374:I1374)=0,"",IF(F1374="",IFERROR(INDEX(eq_dur,MATCH(B1374,eq_code,0)),""),F1374))</f>
        <v/>
      </c>
      <c r="L1374" s="55" t="str">
        <f>IF(ISNUMBER(K1374),N(IFERROR(INDEX(eq_pause,MATCH(B1374,eq_code,0)),0))+SUMIFS(st_min,st_date,A1374,st_eq,B1374,st_po,C1374,st_type,"Planifié"),"")</f>
        <v/>
      </c>
      <c r="M1374" s="55" t="str">
        <f>IF(ISNUMBER(K1374),K1374-L1374,"")</f>
        <v/>
      </c>
      <c r="N1374" s="55" t="str">
        <f>IF(ISNUMBER(K1374),SUMIFS(st_min,st_date,A1374,st_eq,B1374,st_po,C1374,st_type,"Non planifié"),"")</f>
        <v/>
      </c>
      <c r="O1374" s="55" t="str">
        <f>IF(ISNUMBER(K1374),M1374-N1374,"")</f>
        <v/>
      </c>
      <c r="P1374" s="55" t="str">
        <f>IF(COUNTA(A1374:I1374)=0,"",N(G1374)+N(H1374)+N(I1374))</f>
        <v/>
      </c>
      <c r="Q1374" s="56" t="str">
        <f>IF(COUNTA(A1374:I1374)=0,"",IF(N(IFERROR(INDEX(art_rate,MATCH(E1374,art_ref,0)),0))&gt;0,N(IFERROR(INDEX(art_rate,MATCH(E1374,art_ref,0)),0)),N(IFERROR(INDEX(po_rate,MATCH(C1374,po_code,0)),0))))</f>
        <v/>
      </c>
      <c r="R1374" s="55" t="str">
        <f>IF(AC1374=1,P1374*60/Q1374,"")</f>
        <v/>
      </c>
      <c r="S1374" s="55" t="str">
        <f>IF(AC1374=1,N(G1374)*60/Q1374,"")</f>
        <v/>
      </c>
      <c r="T1374" s="57" t="str">
        <f>IF(AC1374=1,O1374/M1374,"")</f>
        <v/>
      </c>
      <c r="U1374" s="57" t="str">
        <f>IF(AC1374=1,IF(O1374&gt;0,R1374/O1374,""),"")</f>
        <v/>
      </c>
      <c r="V1374" s="57" t="str">
        <f>IF(AC1374=1,IF(P1374&gt;0,N(G1374)/P1374,""),"")</f>
        <v/>
      </c>
      <c r="W1374" s="57" t="str">
        <f>IF(AC1374=1,S1374/M1374,"")</f>
        <v/>
      </c>
      <c r="X1374" s="57" t="str">
        <f>IF(AC1374=1,S1374/K1374,"")</f>
        <v/>
      </c>
      <c r="Y1374" s="58" t="str">
        <f>IF(W1374="","",IF(W1374&gt;=p_target,"Bon",IF(W1374&gt;=p_alert,"À surveiller","Faible")))</f>
        <v/>
      </c>
      <c r="Z1374" s="58" t="str">
        <f>IF(W1374="","",IF(MIN(IF(T1374="",1,T1374),IF(U1374="",1,U1374),IF(V1374="",1,V1374))&gt;=1,"Aucune",IF(IF(T1374="",1,T1374)&lt;=MIN(IF(U1374="",1,U1374),IF(V1374="",1,V1374)),"Disponibilité",IF(IF(U1374="",1,U1374)&lt;=IF(V1374="",1,V1374),"Performance","Qualité"))))</f>
        <v/>
      </c>
      <c r="AA1374" s="59" t="str">
        <f>IF(AC1374=1,N(H1374)*N(IFERROR(INDEX(art_cost,MATCH(E1374,art_ref,0)),0)),"")</f>
        <v/>
      </c>
      <c r="AB1374" s="58" t="str">
        <f>IF(COUNTA(A1374:I1374)=0,"",IF(N(A1374)&lt;=0,"Date manquante ou invalide",IF(B1374="","Équipe manquante",IF(ISNA(MATCH(B1374,eq_code,0)),"Équipe inconnue",IF(INDEX(eq_check,MATCH(B1374,eq_code,0))&lt;&gt;"OK","Équipe à corriger dans Paramètres",IF(C1374="","Poste manquant",IF(ISNA(MATCH(C1374,po_code,0)),"Poste inconnu",IF(AND(E1374&lt;&gt;"",ISNA(MATCH(E1374,art_ref,0))),"Article inconnu",IF(IF(E1374="",FALSE,INDEX(art_check,MATCH(E1374,art_ref,0))&lt;&gt;"OK"),"Article à corriger (feuille Articles)",IF(COUNTIFS(sj_date,A1374,sj_eq,B1374,sj_po,C1374)&gt;1,"Ligne en double (même jour, équipe et poste)",IF(OR(NOT(ISNUMBER(K1374)),N(K1374)&lt;=0,N(K1374)&gt;1440),"Temps d'ouverture invalide",IF(OR(AND(G1374&lt;&gt;"",NOT(ISNUMBER(G1374))),N(G1374)&lt;0,N(G1374)&lt;&gt;INT(N(G1374)),AND(H1374&lt;&gt;"",NOT(ISNUMBER(H1374))),N(H1374)&lt;0,N(H1374)&lt;&gt;INT(N(H1374)),AND(I1374&lt;&gt;"",NOT(ISNUMBER(I1374))),N(I1374)&lt;0,N(I1374)&lt;&gt;INT(N(I1374))),"Quantité invalide",IF(Q1374&lt;=0,"Cadence manquante (poste ou article)",IF(M1374&lt;=0,"Arrêts planifiés supérieurs au temps d'ouverture",IF(O1374&lt;0,"Arrêts supérieurs au temps requis",IF(AND(P1374&gt;0,O1374=0),"Pièces déclarées sans temps de marche",IF(AND(P1374=0,O1374&gt;0),"Aucune pièce déclarée",IF(P1374*60/Q1374&gt;O1374+0.001,"Cadence dépassée : vérifiez la cadence","OK"))))))))))))))))))</f>
        <v/>
      </c>
      <c r="AC1374">
        <f>IF(OR(AB1374="OK",AB1374="Aucune pièce déclarée",AB1374="Cadence dépassée : vérifiez la cadence"),1,0)</f>
        <v>0.0</v>
      </c>
      <c r="AD1374">
        <f>IF(AND(AC1374=1,A1374&gt;=p_from,A1374&lt;=p_to),1,0)</f>
        <v>0.0</v>
      </c>
      <c r="AE1374">
        <f>IF(AD1374=1,IF(COUNTIFS($A$6:A1374,A1374,$AD$6:AD1374,1)=1,1,0),0)</f>
        <v>0.0</v>
      </c>
      <c r="AF1374" t="str">
        <f>IF(AE1374=1,COUNTIFS(sj_first,1,sj_date,"&lt;"&amp;A1374)+1,"")</f>
        <v/>
      </c>
      <c r="AG1374" t="str">
        <f>IF(AND(AD1374=1,N(W1374)&lt;p_alert),ROUND(W1374,4),"")</f>
        <v/>
      </c>
      <c r="AH1374" t="str">
        <f>IF(AG1374="","",COUNTIF(sj_akey,"&lt;"&amp;AG1374)+COUNTIF($AG$6:AG1374,AG1374))</f>
        <v/>
      </c>
    </row>
    <row r="1375">
      <c r="A1375" s="51" t="n"/>
      <c r="B1375" s="52" t="n"/>
      <c r="C1375" s="52" t="n"/>
      <c r="D1375" s="53" t="n"/>
      <c r="E1375" s="53" t="n"/>
      <c r="F1375" s="54" t="n"/>
      <c r="G1375" s="54" t="n"/>
      <c r="H1375" s="54" t="n"/>
      <c r="I1375" s="54" t="n"/>
      <c r="J1375" s="53" t="n"/>
      <c r="K1375" s="55" t="str">
        <f>IF(COUNTA(A1375:I1375)=0,"",IF(F1375="",IFERROR(INDEX(eq_dur,MATCH(B1375,eq_code,0)),""),F1375))</f>
        <v/>
      </c>
      <c r="L1375" s="55" t="str">
        <f>IF(ISNUMBER(K1375),N(IFERROR(INDEX(eq_pause,MATCH(B1375,eq_code,0)),0))+SUMIFS(st_min,st_date,A1375,st_eq,B1375,st_po,C1375,st_type,"Planifié"),"")</f>
        <v/>
      </c>
      <c r="M1375" s="55" t="str">
        <f>IF(ISNUMBER(K1375),K1375-L1375,"")</f>
        <v/>
      </c>
      <c r="N1375" s="55" t="str">
        <f>IF(ISNUMBER(K1375),SUMIFS(st_min,st_date,A1375,st_eq,B1375,st_po,C1375,st_type,"Non planifié"),"")</f>
        <v/>
      </c>
      <c r="O1375" s="55" t="str">
        <f>IF(ISNUMBER(K1375),M1375-N1375,"")</f>
        <v/>
      </c>
      <c r="P1375" s="55" t="str">
        <f>IF(COUNTA(A1375:I1375)=0,"",N(G1375)+N(H1375)+N(I1375))</f>
        <v/>
      </c>
      <c r="Q1375" s="56" t="str">
        <f>IF(COUNTA(A1375:I1375)=0,"",IF(N(IFERROR(INDEX(art_rate,MATCH(E1375,art_ref,0)),0))&gt;0,N(IFERROR(INDEX(art_rate,MATCH(E1375,art_ref,0)),0)),N(IFERROR(INDEX(po_rate,MATCH(C1375,po_code,0)),0))))</f>
        <v/>
      </c>
      <c r="R1375" s="55" t="str">
        <f>IF(AC1375=1,P1375*60/Q1375,"")</f>
        <v/>
      </c>
      <c r="S1375" s="55" t="str">
        <f>IF(AC1375=1,N(G1375)*60/Q1375,"")</f>
        <v/>
      </c>
      <c r="T1375" s="57" t="str">
        <f>IF(AC1375=1,O1375/M1375,"")</f>
        <v/>
      </c>
      <c r="U1375" s="57" t="str">
        <f>IF(AC1375=1,IF(O1375&gt;0,R1375/O1375,""),"")</f>
        <v/>
      </c>
      <c r="V1375" s="57" t="str">
        <f>IF(AC1375=1,IF(P1375&gt;0,N(G1375)/P1375,""),"")</f>
        <v/>
      </c>
      <c r="W1375" s="57" t="str">
        <f>IF(AC1375=1,S1375/M1375,"")</f>
        <v/>
      </c>
      <c r="X1375" s="57" t="str">
        <f>IF(AC1375=1,S1375/K1375,"")</f>
        <v/>
      </c>
      <c r="Y1375" s="58" t="str">
        <f>IF(W1375="","",IF(W1375&gt;=p_target,"Bon",IF(W1375&gt;=p_alert,"À surveiller","Faible")))</f>
        <v/>
      </c>
      <c r="Z1375" s="58" t="str">
        <f>IF(W1375="","",IF(MIN(IF(T1375="",1,T1375),IF(U1375="",1,U1375),IF(V1375="",1,V1375))&gt;=1,"Aucune",IF(IF(T1375="",1,T1375)&lt;=MIN(IF(U1375="",1,U1375),IF(V1375="",1,V1375)),"Disponibilité",IF(IF(U1375="",1,U1375)&lt;=IF(V1375="",1,V1375),"Performance","Qualité"))))</f>
        <v/>
      </c>
      <c r="AA1375" s="59" t="str">
        <f>IF(AC1375=1,N(H1375)*N(IFERROR(INDEX(art_cost,MATCH(E1375,art_ref,0)),0)),"")</f>
        <v/>
      </c>
      <c r="AB1375" s="58" t="str">
        <f>IF(COUNTA(A1375:I1375)=0,"",IF(N(A1375)&lt;=0,"Date manquante ou invalide",IF(B1375="","Équipe manquante",IF(ISNA(MATCH(B1375,eq_code,0)),"Équipe inconnue",IF(INDEX(eq_check,MATCH(B1375,eq_code,0))&lt;&gt;"OK","Équipe à corriger dans Paramètres",IF(C1375="","Poste manquant",IF(ISNA(MATCH(C1375,po_code,0)),"Poste inconnu",IF(AND(E1375&lt;&gt;"",ISNA(MATCH(E1375,art_ref,0))),"Article inconnu",IF(IF(E1375="",FALSE,INDEX(art_check,MATCH(E1375,art_ref,0))&lt;&gt;"OK"),"Article à corriger (feuille Articles)",IF(COUNTIFS(sj_date,A1375,sj_eq,B1375,sj_po,C1375)&gt;1,"Ligne en double (même jour, équipe et poste)",IF(OR(NOT(ISNUMBER(K1375)),N(K1375)&lt;=0,N(K1375)&gt;1440),"Temps d'ouverture invalide",IF(OR(AND(G1375&lt;&gt;"",NOT(ISNUMBER(G1375))),N(G1375)&lt;0,N(G1375)&lt;&gt;INT(N(G1375)),AND(H1375&lt;&gt;"",NOT(ISNUMBER(H1375))),N(H1375)&lt;0,N(H1375)&lt;&gt;INT(N(H1375)),AND(I1375&lt;&gt;"",NOT(ISNUMBER(I1375))),N(I1375)&lt;0,N(I1375)&lt;&gt;INT(N(I1375))),"Quantité invalide",IF(Q1375&lt;=0,"Cadence manquante (poste ou article)",IF(M1375&lt;=0,"Arrêts planifiés supérieurs au temps d'ouverture",IF(O1375&lt;0,"Arrêts supérieurs au temps requis",IF(AND(P1375&gt;0,O1375=0),"Pièces déclarées sans temps de marche",IF(AND(P1375=0,O1375&gt;0),"Aucune pièce déclarée",IF(P1375*60/Q1375&gt;O1375+0.001,"Cadence dépassée : vérifiez la cadence","OK"))))))))))))))))))</f>
        <v/>
      </c>
      <c r="AC1375">
        <f>IF(OR(AB1375="OK",AB1375="Aucune pièce déclarée",AB1375="Cadence dépassée : vérifiez la cadence"),1,0)</f>
        <v>0.0</v>
      </c>
      <c r="AD1375">
        <f>IF(AND(AC1375=1,A1375&gt;=p_from,A1375&lt;=p_to),1,0)</f>
        <v>0.0</v>
      </c>
      <c r="AE1375">
        <f>IF(AD1375=1,IF(COUNTIFS($A$6:A1375,A1375,$AD$6:AD1375,1)=1,1,0),0)</f>
        <v>0.0</v>
      </c>
      <c r="AF1375" t="str">
        <f>IF(AE1375=1,COUNTIFS(sj_first,1,sj_date,"&lt;"&amp;A1375)+1,"")</f>
        <v/>
      </c>
      <c r="AG1375" t="str">
        <f>IF(AND(AD1375=1,N(W1375)&lt;p_alert),ROUND(W1375,4),"")</f>
        <v/>
      </c>
      <c r="AH1375" t="str">
        <f>IF(AG1375="","",COUNTIF(sj_akey,"&lt;"&amp;AG1375)+COUNTIF($AG$6:AG1375,AG1375))</f>
        <v/>
      </c>
    </row>
    <row r="1376">
      <c r="A1376" s="51" t="n"/>
      <c r="B1376" s="52" t="n"/>
      <c r="C1376" s="52" t="n"/>
      <c r="D1376" s="53" t="n"/>
      <c r="E1376" s="53" t="n"/>
      <c r="F1376" s="54" t="n"/>
      <c r="G1376" s="54" t="n"/>
      <c r="H1376" s="54" t="n"/>
      <c r="I1376" s="54" t="n"/>
      <c r="J1376" s="53" t="n"/>
      <c r="K1376" s="55" t="str">
        <f>IF(COUNTA(A1376:I1376)=0,"",IF(F1376="",IFERROR(INDEX(eq_dur,MATCH(B1376,eq_code,0)),""),F1376))</f>
        <v/>
      </c>
      <c r="L1376" s="55" t="str">
        <f>IF(ISNUMBER(K1376),N(IFERROR(INDEX(eq_pause,MATCH(B1376,eq_code,0)),0))+SUMIFS(st_min,st_date,A1376,st_eq,B1376,st_po,C1376,st_type,"Planifié"),"")</f>
        <v/>
      </c>
      <c r="M1376" s="55" t="str">
        <f>IF(ISNUMBER(K1376),K1376-L1376,"")</f>
        <v/>
      </c>
      <c r="N1376" s="55" t="str">
        <f>IF(ISNUMBER(K1376),SUMIFS(st_min,st_date,A1376,st_eq,B1376,st_po,C1376,st_type,"Non planifié"),"")</f>
        <v/>
      </c>
      <c r="O1376" s="55" t="str">
        <f>IF(ISNUMBER(K1376),M1376-N1376,"")</f>
        <v/>
      </c>
      <c r="P1376" s="55" t="str">
        <f>IF(COUNTA(A1376:I1376)=0,"",N(G1376)+N(H1376)+N(I1376))</f>
        <v/>
      </c>
      <c r="Q1376" s="56" t="str">
        <f>IF(COUNTA(A1376:I1376)=0,"",IF(N(IFERROR(INDEX(art_rate,MATCH(E1376,art_ref,0)),0))&gt;0,N(IFERROR(INDEX(art_rate,MATCH(E1376,art_ref,0)),0)),N(IFERROR(INDEX(po_rate,MATCH(C1376,po_code,0)),0))))</f>
        <v/>
      </c>
      <c r="R1376" s="55" t="str">
        <f>IF(AC1376=1,P1376*60/Q1376,"")</f>
        <v/>
      </c>
      <c r="S1376" s="55" t="str">
        <f>IF(AC1376=1,N(G1376)*60/Q1376,"")</f>
        <v/>
      </c>
      <c r="T1376" s="57" t="str">
        <f>IF(AC1376=1,O1376/M1376,"")</f>
        <v/>
      </c>
      <c r="U1376" s="57" t="str">
        <f>IF(AC1376=1,IF(O1376&gt;0,R1376/O1376,""),"")</f>
        <v/>
      </c>
      <c r="V1376" s="57" t="str">
        <f>IF(AC1376=1,IF(P1376&gt;0,N(G1376)/P1376,""),"")</f>
        <v/>
      </c>
      <c r="W1376" s="57" t="str">
        <f>IF(AC1376=1,S1376/M1376,"")</f>
        <v/>
      </c>
      <c r="X1376" s="57" t="str">
        <f>IF(AC1376=1,S1376/K1376,"")</f>
        <v/>
      </c>
      <c r="Y1376" s="58" t="str">
        <f>IF(W1376="","",IF(W1376&gt;=p_target,"Bon",IF(W1376&gt;=p_alert,"À surveiller","Faible")))</f>
        <v/>
      </c>
      <c r="Z1376" s="58" t="str">
        <f>IF(W1376="","",IF(MIN(IF(T1376="",1,T1376),IF(U1376="",1,U1376),IF(V1376="",1,V1376))&gt;=1,"Aucune",IF(IF(T1376="",1,T1376)&lt;=MIN(IF(U1376="",1,U1376),IF(V1376="",1,V1376)),"Disponibilité",IF(IF(U1376="",1,U1376)&lt;=IF(V1376="",1,V1376),"Performance","Qualité"))))</f>
        <v/>
      </c>
      <c r="AA1376" s="59" t="str">
        <f>IF(AC1376=1,N(H1376)*N(IFERROR(INDEX(art_cost,MATCH(E1376,art_ref,0)),0)),"")</f>
        <v/>
      </c>
      <c r="AB1376" s="58" t="str">
        <f>IF(COUNTA(A1376:I1376)=0,"",IF(N(A1376)&lt;=0,"Date manquante ou invalide",IF(B1376="","Équipe manquante",IF(ISNA(MATCH(B1376,eq_code,0)),"Équipe inconnue",IF(INDEX(eq_check,MATCH(B1376,eq_code,0))&lt;&gt;"OK","Équipe à corriger dans Paramètres",IF(C1376="","Poste manquant",IF(ISNA(MATCH(C1376,po_code,0)),"Poste inconnu",IF(AND(E1376&lt;&gt;"",ISNA(MATCH(E1376,art_ref,0))),"Article inconnu",IF(IF(E1376="",FALSE,INDEX(art_check,MATCH(E1376,art_ref,0))&lt;&gt;"OK"),"Article à corriger (feuille Articles)",IF(COUNTIFS(sj_date,A1376,sj_eq,B1376,sj_po,C1376)&gt;1,"Ligne en double (même jour, équipe et poste)",IF(OR(NOT(ISNUMBER(K1376)),N(K1376)&lt;=0,N(K1376)&gt;1440),"Temps d'ouverture invalide",IF(OR(AND(G1376&lt;&gt;"",NOT(ISNUMBER(G1376))),N(G1376)&lt;0,N(G1376)&lt;&gt;INT(N(G1376)),AND(H1376&lt;&gt;"",NOT(ISNUMBER(H1376))),N(H1376)&lt;0,N(H1376)&lt;&gt;INT(N(H1376)),AND(I1376&lt;&gt;"",NOT(ISNUMBER(I1376))),N(I1376)&lt;0,N(I1376)&lt;&gt;INT(N(I1376))),"Quantité invalide",IF(Q1376&lt;=0,"Cadence manquante (poste ou article)",IF(M1376&lt;=0,"Arrêts planifiés supérieurs au temps d'ouverture",IF(O1376&lt;0,"Arrêts supérieurs au temps requis",IF(AND(P1376&gt;0,O1376=0),"Pièces déclarées sans temps de marche",IF(AND(P1376=0,O1376&gt;0),"Aucune pièce déclarée",IF(P1376*60/Q1376&gt;O1376+0.001,"Cadence dépassée : vérifiez la cadence","OK"))))))))))))))))))</f>
        <v/>
      </c>
      <c r="AC1376">
        <f>IF(OR(AB1376="OK",AB1376="Aucune pièce déclarée",AB1376="Cadence dépassée : vérifiez la cadence"),1,0)</f>
        <v>0.0</v>
      </c>
      <c r="AD1376">
        <f>IF(AND(AC1376=1,A1376&gt;=p_from,A1376&lt;=p_to),1,0)</f>
        <v>0.0</v>
      </c>
      <c r="AE1376">
        <f>IF(AD1376=1,IF(COUNTIFS($A$6:A1376,A1376,$AD$6:AD1376,1)=1,1,0),0)</f>
        <v>0.0</v>
      </c>
      <c r="AF1376" t="str">
        <f>IF(AE1376=1,COUNTIFS(sj_first,1,sj_date,"&lt;"&amp;A1376)+1,"")</f>
        <v/>
      </c>
      <c r="AG1376" t="str">
        <f>IF(AND(AD1376=1,N(W1376)&lt;p_alert),ROUND(W1376,4),"")</f>
        <v/>
      </c>
      <c r="AH1376" t="str">
        <f>IF(AG1376="","",COUNTIF(sj_akey,"&lt;"&amp;AG1376)+COUNTIF($AG$6:AG1376,AG1376))</f>
        <v/>
      </c>
    </row>
    <row r="1377">
      <c r="A1377" s="51" t="n"/>
      <c r="B1377" s="52" t="n"/>
      <c r="C1377" s="52" t="n"/>
      <c r="D1377" s="53" t="n"/>
      <c r="E1377" s="53" t="n"/>
      <c r="F1377" s="54" t="n"/>
      <c r="G1377" s="54" t="n"/>
      <c r="H1377" s="54" t="n"/>
      <c r="I1377" s="54" t="n"/>
      <c r="J1377" s="53" t="n"/>
      <c r="K1377" s="55" t="str">
        <f>IF(COUNTA(A1377:I1377)=0,"",IF(F1377="",IFERROR(INDEX(eq_dur,MATCH(B1377,eq_code,0)),""),F1377))</f>
        <v/>
      </c>
      <c r="L1377" s="55" t="str">
        <f>IF(ISNUMBER(K1377),N(IFERROR(INDEX(eq_pause,MATCH(B1377,eq_code,0)),0))+SUMIFS(st_min,st_date,A1377,st_eq,B1377,st_po,C1377,st_type,"Planifié"),"")</f>
        <v/>
      </c>
      <c r="M1377" s="55" t="str">
        <f>IF(ISNUMBER(K1377),K1377-L1377,"")</f>
        <v/>
      </c>
      <c r="N1377" s="55" t="str">
        <f>IF(ISNUMBER(K1377),SUMIFS(st_min,st_date,A1377,st_eq,B1377,st_po,C1377,st_type,"Non planifié"),"")</f>
        <v/>
      </c>
      <c r="O1377" s="55" t="str">
        <f>IF(ISNUMBER(K1377),M1377-N1377,"")</f>
        <v/>
      </c>
      <c r="P1377" s="55" t="str">
        <f>IF(COUNTA(A1377:I1377)=0,"",N(G1377)+N(H1377)+N(I1377))</f>
        <v/>
      </c>
      <c r="Q1377" s="56" t="str">
        <f>IF(COUNTA(A1377:I1377)=0,"",IF(N(IFERROR(INDEX(art_rate,MATCH(E1377,art_ref,0)),0))&gt;0,N(IFERROR(INDEX(art_rate,MATCH(E1377,art_ref,0)),0)),N(IFERROR(INDEX(po_rate,MATCH(C1377,po_code,0)),0))))</f>
        <v/>
      </c>
      <c r="R1377" s="55" t="str">
        <f>IF(AC1377=1,P1377*60/Q1377,"")</f>
        <v/>
      </c>
      <c r="S1377" s="55" t="str">
        <f>IF(AC1377=1,N(G1377)*60/Q1377,"")</f>
        <v/>
      </c>
      <c r="T1377" s="57" t="str">
        <f>IF(AC1377=1,O1377/M1377,"")</f>
        <v/>
      </c>
      <c r="U1377" s="57" t="str">
        <f>IF(AC1377=1,IF(O1377&gt;0,R1377/O1377,""),"")</f>
        <v/>
      </c>
      <c r="V1377" s="57" t="str">
        <f>IF(AC1377=1,IF(P1377&gt;0,N(G1377)/P1377,""),"")</f>
        <v/>
      </c>
      <c r="W1377" s="57" t="str">
        <f>IF(AC1377=1,S1377/M1377,"")</f>
        <v/>
      </c>
      <c r="X1377" s="57" t="str">
        <f>IF(AC1377=1,S1377/K1377,"")</f>
        <v/>
      </c>
      <c r="Y1377" s="58" t="str">
        <f>IF(W1377="","",IF(W1377&gt;=p_target,"Bon",IF(W1377&gt;=p_alert,"À surveiller","Faible")))</f>
        <v/>
      </c>
      <c r="Z1377" s="58" t="str">
        <f>IF(W1377="","",IF(MIN(IF(T1377="",1,T1377),IF(U1377="",1,U1377),IF(V1377="",1,V1377))&gt;=1,"Aucune",IF(IF(T1377="",1,T1377)&lt;=MIN(IF(U1377="",1,U1377),IF(V1377="",1,V1377)),"Disponibilité",IF(IF(U1377="",1,U1377)&lt;=IF(V1377="",1,V1377),"Performance","Qualité"))))</f>
        <v/>
      </c>
      <c r="AA1377" s="59" t="str">
        <f>IF(AC1377=1,N(H1377)*N(IFERROR(INDEX(art_cost,MATCH(E1377,art_ref,0)),0)),"")</f>
        <v/>
      </c>
      <c r="AB1377" s="58" t="str">
        <f>IF(COUNTA(A1377:I1377)=0,"",IF(N(A1377)&lt;=0,"Date manquante ou invalide",IF(B1377="","Équipe manquante",IF(ISNA(MATCH(B1377,eq_code,0)),"Équipe inconnue",IF(INDEX(eq_check,MATCH(B1377,eq_code,0))&lt;&gt;"OK","Équipe à corriger dans Paramètres",IF(C1377="","Poste manquant",IF(ISNA(MATCH(C1377,po_code,0)),"Poste inconnu",IF(AND(E1377&lt;&gt;"",ISNA(MATCH(E1377,art_ref,0))),"Article inconnu",IF(IF(E1377="",FALSE,INDEX(art_check,MATCH(E1377,art_ref,0))&lt;&gt;"OK"),"Article à corriger (feuille Articles)",IF(COUNTIFS(sj_date,A1377,sj_eq,B1377,sj_po,C1377)&gt;1,"Ligne en double (même jour, équipe et poste)",IF(OR(NOT(ISNUMBER(K1377)),N(K1377)&lt;=0,N(K1377)&gt;1440),"Temps d'ouverture invalide",IF(OR(AND(G1377&lt;&gt;"",NOT(ISNUMBER(G1377))),N(G1377)&lt;0,N(G1377)&lt;&gt;INT(N(G1377)),AND(H1377&lt;&gt;"",NOT(ISNUMBER(H1377))),N(H1377)&lt;0,N(H1377)&lt;&gt;INT(N(H1377)),AND(I1377&lt;&gt;"",NOT(ISNUMBER(I1377))),N(I1377)&lt;0,N(I1377)&lt;&gt;INT(N(I1377))),"Quantité invalide",IF(Q1377&lt;=0,"Cadence manquante (poste ou article)",IF(M1377&lt;=0,"Arrêts planifiés supérieurs au temps d'ouverture",IF(O1377&lt;0,"Arrêts supérieurs au temps requis",IF(AND(P1377&gt;0,O1377=0),"Pièces déclarées sans temps de marche",IF(AND(P1377=0,O1377&gt;0),"Aucune pièce déclarée",IF(P1377*60/Q1377&gt;O1377+0.001,"Cadence dépassée : vérifiez la cadence","OK"))))))))))))))))))</f>
        <v/>
      </c>
      <c r="AC1377">
        <f>IF(OR(AB1377="OK",AB1377="Aucune pièce déclarée",AB1377="Cadence dépassée : vérifiez la cadence"),1,0)</f>
        <v>0.0</v>
      </c>
      <c r="AD1377">
        <f>IF(AND(AC1377=1,A1377&gt;=p_from,A1377&lt;=p_to),1,0)</f>
        <v>0.0</v>
      </c>
      <c r="AE1377">
        <f>IF(AD1377=1,IF(COUNTIFS($A$6:A1377,A1377,$AD$6:AD1377,1)=1,1,0),0)</f>
        <v>0.0</v>
      </c>
      <c r="AF1377" t="str">
        <f>IF(AE1377=1,COUNTIFS(sj_first,1,sj_date,"&lt;"&amp;A1377)+1,"")</f>
        <v/>
      </c>
      <c r="AG1377" t="str">
        <f>IF(AND(AD1377=1,N(W1377)&lt;p_alert),ROUND(W1377,4),"")</f>
        <v/>
      </c>
      <c r="AH1377" t="str">
        <f>IF(AG1377="","",COUNTIF(sj_akey,"&lt;"&amp;AG1377)+COUNTIF($AG$6:AG1377,AG1377))</f>
        <v/>
      </c>
    </row>
    <row r="1378">
      <c r="A1378" s="51" t="n"/>
      <c r="B1378" s="52" t="n"/>
      <c r="C1378" s="52" t="n"/>
      <c r="D1378" s="53" t="n"/>
      <c r="E1378" s="53" t="n"/>
      <c r="F1378" s="54" t="n"/>
      <c r="G1378" s="54" t="n"/>
      <c r="H1378" s="54" t="n"/>
      <c r="I1378" s="54" t="n"/>
      <c r="J1378" s="53" t="n"/>
      <c r="K1378" s="55" t="str">
        <f>IF(COUNTA(A1378:I1378)=0,"",IF(F1378="",IFERROR(INDEX(eq_dur,MATCH(B1378,eq_code,0)),""),F1378))</f>
        <v/>
      </c>
      <c r="L1378" s="55" t="str">
        <f>IF(ISNUMBER(K1378),N(IFERROR(INDEX(eq_pause,MATCH(B1378,eq_code,0)),0))+SUMIFS(st_min,st_date,A1378,st_eq,B1378,st_po,C1378,st_type,"Planifié"),"")</f>
        <v/>
      </c>
      <c r="M1378" s="55" t="str">
        <f>IF(ISNUMBER(K1378),K1378-L1378,"")</f>
        <v/>
      </c>
      <c r="N1378" s="55" t="str">
        <f>IF(ISNUMBER(K1378),SUMIFS(st_min,st_date,A1378,st_eq,B1378,st_po,C1378,st_type,"Non planifié"),"")</f>
        <v/>
      </c>
      <c r="O1378" s="55" t="str">
        <f>IF(ISNUMBER(K1378),M1378-N1378,"")</f>
        <v/>
      </c>
      <c r="P1378" s="55" t="str">
        <f>IF(COUNTA(A1378:I1378)=0,"",N(G1378)+N(H1378)+N(I1378))</f>
        <v/>
      </c>
      <c r="Q1378" s="56" t="str">
        <f>IF(COUNTA(A1378:I1378)=0,"",IF(N(IFERROR(INDEX(art_rate,MATCH(E1378,art_ref,0)),0))&gt;0,N(IFERROR(INDEX(art_rate,MATCH(E1378,art_ref,0)),0)),N(IFERROR(INDEX(po_rate,MATCH(C1378,po_code,0)),0))))</f>
        <v/>
      </c>
      <c r="R1378" s="55" t="str">
        <f>IF(AC1378=1,P1378*60/Q1378,"")</f>
        <v/>
      </c>
      <c r="S1378" s="55" t="str">
        <f>IF(AC1378=1,N(G1378)*60/Q1378,"")</f>
        <v/>
      </c>
      <c r="T1378" s="57" t="str">
        <f>IF(AC1378=1,O1378/M1378,"")</f>
        <v/>
      </c>
      <c r="U1378" s="57" t="str">
        <f>IF(AC1378=1,IF(O1378&gt;0,R1378/O1378,""),"")</f>
        <v/>
      </c>
      <c r="V1378" s="57" t="str">
        <f>IF(AC1378=1,IF(P1378&gt;0,N(G1378)/P1378,""),"")</f>
        <v/>
      </c>
      <c r="W1378" s="57" t="str">
        <f>IF(AC1378=1,S1378/M1378,"")</f>
        <v/>
      </c>
      <c r="X1378" s="57" t="str">
        <f>IF(AC1378=1,S1378/K1378,"")</f>
        <v/>
      </c>
      <c r="Y1378" s="58" t="str">
        <f>IF(W1378="","",IF(W1378&gt;=p_target,"Bon",IF(W1378&gt;=p_alert,"À surveiller","Faible")))</f>
        <v/>
      </c>
      <c r="Z1378" s="58" t="str">
        <f>IF(W1378="","",IF(MIN(IF(T1378="",1,T1378),IF(U1378="",1,U1378),IF(V1378="",1,V1378))&gt;=1,"Aucune",IF(IF(T1378="",1,T1378)&lt;=MIN(IF(U1378="",1,U1378),IF(V1378="",1,V1378)),"Disponibilité",IF(IF(U1378="",1,U1378)&lt;=IF(V1378="",1,V1378),"Performance","Qualité"))))</f>
        <v/>
      </c>
      <c r="AA1378" s="59" t="str">
        <f>IF(AC1378=1,N(H1378)*N(IFERROR(INDEX(art_cost,MATCH(E1378,art_ref,0)),0)),"")</f>
        <v/>
      </c>
      <c r="AB1378" s="58" t="str">
        <f>IF(COUNTA(A1378:I1378)=0,"",IF(N(A1378)&lt;=0,"Date manquante ou invalide",IF(B1378="","Équipe manquante",IF(ISNA(MATCH(B1378,eq_code,0)),"Équipe inconnue",IF(INDEX(eq_check,MATCH(B1378,eq_code,0))&lt;&gt;"OK","Équipe à corriger dans Paramètres",IF(C1378="","Poste manquant",IF(ISNA(MATCH(C1378,po_code,0)),"Poste inconnu",IF(AND(E1378&lt;&gt;"",ISNA(MATCH(E1378,art_ref,0))),"Article inconnu",IF(IF(E1378="",FALSE,INDEX(art_check,MATCH(E1378,art_ref,0))&lt;&gt;"OK"),"Article à corriger (feuille Articles)",IF(COUNTIFS(sj_date,A1378,sj_eq,B1378,sj_po,C1378)&gt;1,"Ligne en double (même jour, équipe et poste)",IF(OR(NOT(ISNUMBER(K1378)),N(K1378)&lt;=0,N(K1378)&gt;1440),"Temps d'ouverture invalide",IF(OR(AND(G1378&lt;&gt;"",NOT(ISNUMBER(G1378))),N(G1378)&lt;0,N(G1378)&lt;&gt;INT(N(G1378)),AND(H1378&lt;&gt;"",NOT(ISNUMBER(H1378))),N(H1378)&lt;0,N(H1378)&lt;&gt;INT(N(H1378)),AND(I1378&lt;&gt;"",NOT(ISNUMBER(I1378))),N(I1378)&lt;0,N(I1378)&lt;&gt;INT(N(I1378))),"Quantité invalide",IF(Q1378&lt;=0,"Cadence manquante (poste ou article)",IF(M1378&lt;=0,"Arrêts planifiés supérieurs au temps d'ouverture",IF(O1378&lt;0,"Arrêts supérieurs au temps requis",IF(AND(P1378&gt;0,O1378=0),"Pièces déclarées sans temps de marche",IF(AND(P1378=0,O1378&gt;0),"Aucune pièce déclarée",IF(P1378*60/Q1378&gt;O1378+0.001,"Cadence dépassée : vérifiez la cadence","OK"))))))))))))))))))</f>
        <v/>
      </c>
      <c r="AC1378">
        <f>IF(OR(AB1378="OK",AB1378="Aucune pièce déclarée",AB1378="Cadence dépassée : vérifiez la cadence"),1,0)</f>
        <v>0.0</v>
      </c>
      <c r="AD1378">
        <f>IF(AND(AC1378=1,A1378&gt;=p_from,A1378&lt;=p_to),1,0)</f>
        <v>0.0</v>
      </c>
      <c r="AE1378">
        <f>IF(AD1378=1,IF(COUNTIFS($A$6:A1378,A1378,$AD$6:AD1378,1)=1,1,0),0)</f>
        <v>0.0</v>
      </c>
      <c r="AF1378" t="str">
        <f>IF(AE1378=1,COUNTIFS(sj_first,1,sj_date,"&lt;"&amp;A1378)+1,"")</f>
        <v/>
      </c>
      <c r="AG1378" t="str">
        <f>IF(AND(AD1378=1,N(W1378)&lt;p_alert),ROUND(W1378,4),"")</f>
        <v/>
      </c>
      <c r="AH1378" t="str">
        <f>IF(AG1378="","",COUNTIF(sj_akey,"&lt;"&amp;AG1378)+COUNTIF($AG$6:AG1378,AG1378))</f>
        <v/>
      </c>
    </row>
    <row r="1379">
      <c r="A1379" s="51" t="n"/>
      <c r="B1379" s="52" t="n"/>
      <c r="C1379" s="52" t="n"/>
      <c r="D1379" s="53" t="n"/>
      <c r="E1379" s="53" t="n"/>
      <c r="F1379" s="54" t="n"/>
      <c r="G1379" s="54" t="n"/>
      <c r="H1379" s="54" t="n"/>
      <c r="I1379" s="54" t="n"/>
      <c r="J1379" s="53" t="n"/>
      <c r="K1379" s="55" t="str">
        <f>IF(COUNTA(A1379:I1379)=0,"",IF(F1379="",IFERROR(INDEX(eq_dur,MATCH(B1379,eq_code,0)),""),F1379))</f>
        <v/>
      </c>
      <c r="L1379" s="55" t="str">
        <f>IF(ISNUMBER(K1379),N(IFERROR(INDEX(eq_pause,MATCH(B1379,eq_code,0)),0))+SUMIFS(st_min,st_date,A1379,st_eq,B1379,st_po,C1379,st_type,"Planifié"),"")</f>
        <v/>
      </c>
      <c r="M1379" s="55" t="str">
        <f>IF(ISNUMBER(K1379),K1379-L1379,"")</f>
        <v/>
      </c>
      <c r="N1379" s="55" t="str">
        <f>IF(ISNUMBER(K1379),SUMIFS(st_min,st_date,A1379,st_eq,B1379,st_po,C1379,st_type,"Non planifié"),"")</f>
        <v/>
      </c>
      <c r="O1379" s="55" t="str">
        <f>IF(ISNUMBER(K1379),M1379-N1379,"")</f>
        <v/>
      </c>
      <c r="P1379" s="55" t="str">
        <f>IF(COUNTA(A1379:I1379)=0,"",N(G1379)+N(H1379)+N(I1379))</f>
        <v/>
      </c>
      <c r="Q1379" s="56" t="str">
        <f>IF(COUNTA(A1379:I1379)=0,"",IF(N(IFERROR(INDEX(art_rate,MATCH(E1379,art_ref,0)),0))&gt;0,N(IFERROR(INDEX(art_rate,MATCH(E1379,art_ref,0)),0)),N(IFERROR(INDEX(po_rate,MATCH(C1379,po_code,0)),0))))</f>
        <v/>
      </c>
      <c r="R1379" s="55" t="str">
        <f>IF(AC1379=1,P1379*60/Q1379,"")</f>
        <v/>
      </c>
      <c r="S1379" s="55" t="str">
        <f>IF(AC1379=1,N(G1379)*60/Q1379,"")</f>
        <v/>
      </c>
      <c r="T1379" s="57" t="str">
        <f>IF(AC1379=1,O1379/M1379,"")</f>
        <v/>
      </c>
      <c r="U1379" s="57" t="str">
        <f>IF(AC1379=1,IF(O1379&gt;0,R1379/O1379,""),"")</f>
        <v/>
      </c>
      <c r="V1379" s="57" t="str">
        <f>IF(AC1379=1,IF(P1379&gt;0,N(G1379)/P1379,""),"")</f>
        <v/>
      </c>
      <c r="W1379" s="57" t="str">
        <f>IF(AC1379=1,S1379/M1379,"")</f>
        <v/>
      </c>
      <c r="X1379" s="57" t="str">
        <f>IF(AC1379=1,S1379/K1379,"")</f>
        <v/>
      </c>
      <c r="Y1379" s="58" t="str">
        <f>IF(W1379="","",IF(W1379&gt;=p_target,"Bon",IF(W1379&gt;=p_alert,"À surveiller","Faible")))</f>
        <v/>
      </c>
      <c r="Z1379" s="58" t="str">
        <f>IF(W1379="","",IF(MIN(IF(T1379="",1,T1379),IF(U1379="",1,U1379),IF(V1379="",1,V1379))&gt;=1,"Aucune",IF(IF(T1379="",1,T1379)&lt;=MIN(IF(U1379="",1,U1379),IF(V1379="",1,V1379)),"Disponibilité",IF(IF(U1379="",1,U1379)&lt;=IF(V1379="",1,V1379),"Performance","Qualité"))))</f>
        <v/>
      </c>
      <c r="AA1379" s="59" t="str">
        <f>IF(AC1379=1,N(H1379)*N(IFERROR(INDEX(art_cost,MATCH(E1379,art_ref,0)),0)),"")</f>
        <v/>
      </c>
      <c r="AB1379" s="58" t="str">
        <f>IF(COUNTA(A1379:I1379)=0,"",IF(N(A1379)&lt;=0,"Date manquante ou invalide",IF(B1379="","Équipe manquante",IF(ISNA(MATCH(B1379,eq_code,0)),"Équipe inconnue",IF(INDEX(eq_check,MATCH(B1379,eq_code,0))&lt;&gt;"OK","Équipe à corriger dans Paramètres",IF(C1379="","Poste manquant",IF(ISNA(MATCH(C1379,po_code,0)),"Poste inconnu",IF(AND(E1379&lt;&gt;"",ISNA(MATCH(E1379,art_ref,0))),"Article inconnu",IF(IF(E1379="",FALSE,INDEX(art_check,MATCH(E1379,art_ref,0))&lt;&gt;"OK"),"Article à corriger (feuille Articles)",IF(COUNTIFS(sj_date,A1379,sj_eq,B1379,sj_po,C1379)&gt;1,"Ligne en double (même jour, équipe et poste)",IF(OR(NOT(ISNUMBER(K1379)),N(K1379)&lt;=0,N(K1379)&gt;1440),"Temps d'ouverture invalide",IF(OR(AND(G1379&lt;&gt;"",NOT(ISNUMBER(G1379))),N(G1379)&lt;0,N(G1379)&lt;&gt;INT(N(G1379)),AND(H1379&lt;&gt;"",NOT(ISNUMBER(H1379))),N(H1379)&lt;0,N(H1379)&lt;&gt;INT(N(H1379)),AND(I1379&lt;&gt;"",NOT(ISNUMBER(I1379))),N(I1379)&lt;0,N(I1379)&lt;&gt;INT(N(I1379))),"Quantité invalide",IF(Q1379&lt;=0,"Cadence manquante (poste ou article)",IF(M1379&lt;=0,"Arrêts planifiés supérieurs au temps d'ouverture",IF(O1379&lt;0,"Arrêts supérieurs au temps requis",IF(AND(P1379&gt;0,O1379=0),"Pièces déclarées sans temps de marche",IF(AND(P1379=0,O1379&gt;0),"Aucune pièce déclarée",IF(P1379*60/Q1379&gt;O1379+0.001,"Cadence dépassée : vérifiez la cadence","OK"))))))))))))))))))</f>
        <v/>
      </c>
      <c r="AC1379">
        <f>IF(OR(AB1379="OK",AB1379="Aucune pièce déclarée",AB1379="Cadence dépassée : vérifiez la cadence"),1,0)</f>
        <v>0.0</v>
      </c>
      <c r="AD1379">
        <f>IF(AND(AC1379=1,A1379&gt;=p_from,A1379&lt;=p_to),1,0)</f>
        <v>0.0</v>
      </c>
      <c r="AE1379">
        <f>IF(AD1379=1,IF(COUNTIFS($A$6:A1379,A1379,$AD$6:AD1379,1)=1,1,0),0)</f>
        <v>0.0</v>
      </c>
      <c r="AF1379" t="str">
        <f>IF(AE1379=1,COUNTIFS(sj_first,1,sj_date,"&lt;"&amp;A1379)+1,"")</f>
        <v/>
      </c>
      <c r="AG1379" t="str">
        <f>IF(AND(AD1379=1,N(W1379)&lt;p_alert),ROUND(W1379,4),"")</f>
        <v/>
      </c>
      <c r="AH1379" t="str">
        <f>IF(AG1379="","",COUNTIF(sj_akey,"&lt;"&amp;AG1379)+COUNTIF($AG$6:AG1379,AG1379))</f>
        <v/>
      </c>
    </row>
    <row r="1380">
      <c r="A1380" s="51" t="n"/>
      <c r="B1380" s="52" t="n"/>
      <c r="C1380" s="52" t="n"/>
      <c r="D1380" s="53" t="n"/>
      <c r="E1380" s="53" t="n"/>
      <c r="F1380" s="54" t="n"/>
      <c r="G1380" s="54" t="n"/>
      <c r="H1380" s="54" t="n"/>
      <c r="I1380" s="54" t="n"/>
      <c r="J1380" s="53" t="n"/>
      <c r="K1380" s="55" t="str">
        <f>IF(COUNTA(A1380:I1380)=0,"",IF(F1380="",IFERROR(INDEX(eq_dur,MATCH(B1380,eq_code,0)),""),F1380))</f>
        <v/>
      </c>
      <c r="L1380" s="55" t="str">
        <f>IF(ISNUMBER(K1380),N(IFERROR(INDEX(eq_pause,MATCH(B1380,eq_code,0)),0))+SUMIFS(st_min,st_date,A1380,st_eq,B1380,st_po,C1380,st_type,"Planifié"),"")</f>
        <v/>
      </c>
      <c r="M1380" s="55" t="str">
        <f>IF(ISNUMBER(K1380),K1380-L1380,"")</f>
        <v/>
      </c>
      <c r="N1380" s="55" t="str">
        <f>IF(ISNUMBER(K1380),SUMIFS(st_min,st_date,A1380,st_eq,B1380,st_po,C1380,st_type,"Non planifié"),"")</f>
        <v/>
      </c>
      <c r="O1380" s="55" t="str">
        <f>IF(ISNUMBER(K1380),M1380-N1380,"")</f>
        <v/>
      </c>
      <c r="P1380" s="55" t="str">
        <f>IF(COUNTA(A1380:I1380)=0,"",N(G1380)+N(H1380)+N(I1380))</f>
        <v/>
      </c>
      <c r="Q1380" s="56" t="str">
        <f>IF(COUNTA(A1380:I1380)=0,"",IF(N(IFERROR(INDEX(art_rate,MATCH(E1380,art_ref,0)),0))&gt;0,N(IFERROR(INDEX(art_rate,MATCH(E1380,art_ref,0)),0)),N(IFERROR(INDEX(po_rate,MATCH(C1380,po_code,0)),0))))</f>
        <v/>
      </c>
      <c r="R1380" s="55" t="str">
        <f>IF(AC1380=1,P1380*60/Q1380,"")</f>
        <v/>
      </c>
      <c r="S1380" s="55" t="str">
        <f>IF(AC1380=1,N(G1380)*60/Q1380,"")</f>
        <v/>
      </c>
      <c r="T1380" s="57" t="str">
        <f>IF(AC1380=1,O1380/M1380,"")</f>
        <v/>
      </c>
      <c r="U1380" s="57" t="str">
        <f>IF(AC1380=1,IF(O1380&gt;0,R1380/O1380,""),"")</f>
        <v/>
      </c>
      <c r="V1380" s="57" t="str">
        <f>IF(AC1380=1,IF(P1380&gt;0,N(G1380)/P1380,""),"")</f>
        <v/>
      </c>
      <c r="W1380" s="57" t="str">
        <f>IF(AC1380=1,S1380/M1380,"")</f>
        <v/>
      </c>
      <c r="X1380" s="57" t="str">
        <f>IF(AC1380=1,S1380/K1380,"")</f>
        <v/>
      </c>
      <c r="Y1380" s="58" t="str">
        <f>IF(W1380="","",IF(W1380&gt;=p_target,"Bon",IF(W1380&gt;=p_alert,"À surveiller","Faible")))</f>
        <v/>
      </c>
      <c r="Z1380" s="58" t="str">
        <f>IF(W1380="","",IF(MIN(IF(T1380="",1,T1380),IF(U1380="",1,U1380),IF(V1380="",1,V1380))&gt;=1,"Aucune",IF(IF(T1380="",1,T1380)&lt;=MIN(IF(U1380="",1,U1380),IF(V1380="",1,V1380)),"Disponibilité",IF(IF(U1380="",1,U1380)&lt;=IF(V1380="",1,V1380),"Performance","Qualité"))))</f>
        <v/>
      </c>
      <c r="AA1380" s="59" t="str">
        <f>IF(AC1380=1,N(H1380)*N(IFERROR(INDEX(art_cost,MATCH(E1380,art_ref,0)),0)),"")</f>
        <v/>
      </c>
      <c r="AB1380" s="58" t="str">
        <f>IF(COUNTA(A1380:I1380)=0,"",IF(N(A1380)&lt;=0,"Date manquante ou invalide",IF(B1380="","Équipe manquante",IF(ISNA(MATCH(B1380,eq_code,0)),"Équipe inconnue",IF(INDEX(eq_check,MATCH(B1380,eq_code,0))&lt;&gt;"OK","Équipe à corriger dans Paramètres",IF(C1380="","Poste manquant",IF(ISNA(MATCH(C1380,po_code,0)),"Poste inconnu",IF(AND(E1380&lt;&gt;"",ISNA(MATCH(E1380,art_ref,0))),"Article inconnu",IF(IF(E1380="",FALSE,INDEX(art_check,MATCH(E1380,art_ref,0))&lt;&gt;"OK"),"Article à corriger (feuille Articles)",IF(COUNTIFS(sj_date,A1380,sj_eq,B1380,sj_po,C1380)&gt;1,"Ligne en double (même jour, équipe et poste)",IF(OR(NOT(ISNUMBER(K1380)),N(K1380)&lt;=0,N(K1380)&gt;1440),"Temps d'ouverture invalide",IF(OR(AND(G1380&lt;&gt;"",NOT(ISNUMBER(G1380))),N(G1380)&lt;0,N(G1380)&lt;&gt;INT(N(G1380)),AND(H1380&lt;&gt;"",NOT(ISNUMBER(H1380))),N(H1380)&lt;0,N(H1380)&lt;&gt;INT(N(H1380)),AND(I1380&lt;&gt;"",NOT(ISNUMBER(I1380))),N(I1380)&lt;0,N(I1380)&lt;&gt;INT(N(I1380))),"Quantité invalide",IF(Q1380&lt;=0,"Cadence manquante (poste ou article)",IF(M1380&lt;=0,"Arrêts planifiés supérieurs au temps d'ouverture",IF(O1380&lt;0,"Arrêts supérieurs au temps requis",IF(AND(P1380&gt;0,O1380=0),"Pièces déclarées sans temps de marche",IF(AND(P1380=0,O1380&gt;0),"Aucune pièce déclarée",IF(P1380*60/Q1380&gt;O1380+0.001,"Cadence dépassée : vérifiez la cadence","OK"))))))))))))))))))</f>
        <v/>
      </c>
      <c r="AC1380">
        <f>IF(OR(AB1380="OK",AB1380="Aucune pièce déclarée",AB1380="Cadence dépassée : vérifiez la cadence"),1,0)</f>
        <v>0.0</v>
      </c>
      <c r="AD1380">
        <f>IF(AND(AC1380=1,A1380&gt;=p_from,A1380&lt;=p_to),1,0)</f>
        <v>0.0</v>
      </c>
      <c r="AE1380">
        <f>IF(AD1380=1,IF(COUNTIFS($A$6:A1380,A1380,$AD$6:AD1380,1)=1,1,0),0)</f>
        <v>0.0</v>
      </c>
      <c r="AF1380" t="str">
        <f>IF(AE1380=1,COUNTIFS(sj_first,1,sj_date,"&lt;"&amp;A1380)+1,"")</f>
        <v/>
      </c>
      <c r="AG1380" t="str">
        <f>IF(AND(AD1380=1,N(W1380)&lt;p_alert),ROUND(W1380,4),"")</f>
        <v/>
      </c>
      <c r="AH1380" t="str">
        <f>IF(AG1380="","",COUNTIF(sj_akey,"&lt;"&amp;AG1380)+COUNTIF($AG$6:AG1380,AG1380))</f>
        <v/>
      </c>
    </row>
    <row r="1381">
      <c r="A1381" s="51" t="n"/>
      <c r="B1381" s="52" t="n"/>
      <c r="C1381" s="52" t="n"/>
      <c r="D1381" s="53" t="n"/>
      <c r="E1381" s="53" t="n"/>
      <c r="F1381" s="54" t="n"/>
      <c r="G1381" s="54" t="n"/>
      <c r="H1381" s="54" t="n"/>
      <c r="I1381" s="54" t="n"/>
      <c r="J1381" s="53" t="n"/>
      <c r="K1381" s="55" t="str">
        <f>IF(COUNTA(A1381:I1381)=0,"",IF(F1381="",IFERROR(INDEX(eq_dur,MATCH(B1381,eq_code,0)),""),F1381))</f>
        <v/>
      </c>
      <c r="L1381" s="55" t="str">
        <f>IF(ISNUMBER(K1381),N(IFERROR(INDEX(eq_pause,MATCH(B1381,eq_code,0)),0))+SUMIFS(st_min,st_date,A1381,st_eq,B1381,st_po,C1381,st_type,"Planifié"),"")</f>
        <v/>
      </c>
      <c r="M1381" s="55" t="str">
        <f>IF(ISNUMBER(K1381),K1381-L1381,"")</f>
        <v/>
      </c>
      <c r="N1381" s="55" t="str">
        <f>IF(ISNUMBER(K1381),SUMIFS(st_min,st_date,A1381,st_eq,B1381,st_po,C1381,st_type,"Non planifié"),"")</f>
        <v/>
      </c>
      <c r="O1381" s="55" t="str">
        <f>IF(ISNUMBER(K1381),M1381-N1381,"")</f>
        <v/>
      </c>
      <c r="P1381" s="55" t="str">
        <f>IF(COUNTA(A1381:I1381)=0,"",N(G1381)+N(H1381)+N(I1381))</f>
        <v/>
      </c>
      <c r="Q1381" s="56" t="str">
        <f>IF(COUNTA(A1381:I1381)=0,"",IF(N(IFERROR(INDEX(art_rate,MATCH(E1381,art_ref,0)),0))&gt;0,N(IFERROR(INDEX(art_rate,MATCH(E1381,art_ref,0)),0)),N(IFERROR(INDEX(po_rate,MATCH(C1381,po_code,0)),0))))</f>
        <v/>
      </c>
      <c r="R1381" s="55" t="str">
        <f>IF(AC1381=1,P1381*60/Q1381,"")</f>
        <v/>
      </c>
      <c r="S1381" s="55" t="str">
        <f>IF(AC1381=1,N(G1381)*60/Q1381,"")</f>
        <v/>
      </c>
      <c r="T1381" s="57" t="str">
        <f>IF(AC1381=1,O1381/M1381,"")</f>
        <v/>
      </c>
      <c r="U1381" s="57" t="str">
        <f>IF(AC1381=1,IF(O1381&gt;0,R1381/O1381,""),"")</f>
        <v/>
      </c>
      <c r="V1381" s="57" t="str">
        <f>IF(AC1381=1,IF(P1381&gt;0,N(G1381)/P1381,""),"")</f>
        <v/>
      </c>
      <c r="W1381" s="57" t="str">
        <f>IF(AC1381=1,S1381/M1381,"")</f>
        <v/>
      </c>
      <c r="X1381" s="57" t="str">
        <f>IF(AC1381=1,S1381/K1381,"")</f>
        <v/>
      </c>
      <c r="Y1381" s="58" t="str">
        <f>IF(W1381="","",IF(W1381&gt;=p_target,"Bon",IF(W1381&gt;=p_alert,"À surveiller","Faible")))</f>
        <v/>
      </c>
      <c r="Z1381" s="58" t="str">
        <f>IF(W1381="","",IF(MIN(IF(T1381="",1,T1381),IF(U1381="",1,U1381),IF(V1381="",1,V1381))&gt;=1,"Aucune",IF(IF(T1381="",1,T1381)&lt;=MIN(IF(U1381="",1,U1381),IF(V1381="",1,V1381)),"Disponibilité",IF(IF(U1381="",1,U1381)&lt;=IF(V1381="",1,V1381),"Performance","Qualité"))))</f>
        <v/>
      </c>
      <c r="AA1381" s="59" t="str">
        <f>IF(AC1381=1,N(H1381)*N(IFERROR(INDEX(art_cost,MATCH(E1381,art_ref,0)),0)),"")</f>
        <v/>
      </c>
      <c r="AB1381" s="58" t="str">
        <f>IF(COUNTA(A1381:I1381)=0,"",IF(N(A1381)&lt;=0,"Date manquante ou invalide",IF(B1381="","Équipe manquante",IF(ISNA(MATCH(B1381,eq_code,0)),"Équipe inconnue",IF(INDEX(eq_check,MATCH(B1381,eq_code,0))&lt;&gt;"OK","Équipe à corriger dans Paramètres",IF(C1381="","Poste manquant",IF(ISNA(MATCH(C1381,po_code,0)),"Poste inconnu",IF(AND(E1381&lt;&gt;"",ISNA(MATCH(E1381,art_ref,0))),"Article inconnu",IF(IF(E1381="",FALSE,INDEX(art_check,MATCH(E1381,art_ref,0))&lt;&gt;"OK"),"Article à corriger (feuille Articles)",IF(COUNTIFS(sj_date,A1381,sj_eq,B1381,sj_po,C1381)&gt;1,"Ligne en double (même jour, équipe et poste)",IF(OR(NOT(ISNUMBER(K1381)),N(K1381)&lt;=0,N(K1381)&gt;1440),"Temps d'ouverture invalide",IF(OR(AND(G1381&lt;&gt;"",NOT(ISNUMBER(G1381))),N(G1381)&lt;0,N(G1381)&lt;&gt;INT(N(G1381)),AND(H1381&lt;&gt;"",NOT(ISNUMBER(H1381))),N(H1381)&lt;0,N(H1381)&lt;&gt;INT(N(H1381)),AND(I1381&lt;&gt;"",NOT(ISNUMBER(I1381))),N(I1381)&lt;0,N(I1381)&lt;&gt;INT(N(I1381))),"Quantité invalide",IF(Q1381&lt;=0,"Cadence manquante (poste ou article)",IF(M1381&lt;=0,"Arrêts planifiés supérieurs au temps d'ouverture",IF(O1381&lt;0,"Arrêts supérieurs au temps requis",IF(AND(P1381&gt;0,O1381=0),"Pièces déclarées sans temps de marche",IF(AND(P1381=0,O1381&gt;0),"Aucune pièce déclarée",IF(P1381*60/Q1381&gt;O1381+0.001,"Cadence dépassée : vérifiez la cadence","OK"))))))))))))))))))</f>
        <v/>
      </c>
      <c r="AC1381">
        <f>IF(OR(AB1381="OK",AB1381="Aucune pièce déclarée",AB1381="Cadence dépassée : vérifiez la cadence"),1,0)</f>
        <v>0.0</v>
      </c>
      <c r="AD1381">
        <f>IF(AND(AC1381=1,A1381&gt;=p_from,A1381&lt;=p_to),1,0)</f>
        <v>0.0</v>
      </c>
      <c r="AE1381">
        <f>IF(AD1381=1,IF(COUNTIFS($A$6:A1381,A1381,$AD$6:AD1381,1)=1,1,0),0)</f>
        <v>0.0</v>
      </c>
      <c r="AF1381" t="str">
        <f>IF(AE1381=1,COUNTIFS(sj_first,1,sj_date,"&lt;"&amp;A1381)+1,"")</f>
        <v/>
      </c>
      <c r="AG1381" t="str">
        <f>IF(AND(AD1381=1,N(W1381)&lt;p_alert),ROUND(W1381,4),"")</f>
        <v/>
      </c>
      <c r="AH1381" t="str">
        <f>IF(AG1381="","",COUNTIF(sj_akey,"&lt;"&amp;AG1381)+COUNTIF($AG$6:AG1381,AG1381))</f>
        <v/>
      </c>
    </row>
    <row r="1382">
      <c r="A1382" s="51" t="n"/>
      <c r="B1382" s="52" t="n"/>
      <c r="C1382" s="52" t="n"/>
      <c r="D1382" s="53" t="n"/>
      <c r="E1382" s="53" t="n"/>
      <c r="F1382" s="54" t="n"/>
      <c r="G1382" s="54" t="n"/>
      <c r="H1382" s="54" t="n"/>
      <c r="I1382" s="54" t="n"/>
      <c r="J1382" s="53" t="n"/>
      <c r="K1382" s="55" t="str">
        <f>IF(COUNTA(A1382:I1382)=0,"",IF(F1382="",IFERROR(INDEX(eq_dur,MATCH(B1382,eq_code,0)),""),F1382))</f>
        <v/>
      </c>
      <c r="L1382" s="55" t="str">
        <f>IF(ISNUMBER(K1382),N(IFERROR(INDEX(eq_pause,MATCH(B1382,eq_code,0)),0))+SUMIFS(st_min,st_date,A1382,st_eq,B1382,st_po,C1382,st_type,"Planifié"),"")</f>
        <v/>
      </c>
      <c r="M1382" s="55" t="str">
        <f>IF(ISNUMBER(K1382),K1382-L1382,"")</f>
        <v/>
      </c>
      <c r="N1382" s="55" t="str">
        <f>IF(ISNUMBER(K1382),SUMIFS(st_min,st_date,A1382,st_eq,B1382,st_po,C1382,st_type,"Non planifié"),"")</f>
        <v/>
      </c>
      <c r="O1382" s="55" t="str">
        <f>IF(ISNUMBER(K1382),M1382-N1382,"")</f>
        <v/>
      </c>
      <c r="P1382" s="55" t="str">
        <f>IF(COUNTA(A1382:I1382)=0,"",N(G1382)+N(H1382)+N(I1382))</f>
        <v/>
      </c>
      <c r="Q1382" s="56" t="str">
        <f>IF(COUNTA(A1382:I1382)=0,"",IF(N(IFERROR(INDEX(art_rate,MATCH(E1382,art_ref,0)),0))&gt;0,N(IFERROR(INDEX(art_rate,MATCH(E1382,art_ref,0)),0)),N(IFERROR(INDEX(po_rate,MATCH(C1382,po_code,0)),0))))</f>
        <v/>
      </c>
      <c r="R1382" s="55" t="str">
        <f>IF(AC1382=1,P1382*60/Q1382,"")</f>
        <v/>
      </c>
      <c r="S1382" s="55" t="str">
        <f>IF(AC1382=1,N(G1382)*60/Q1382,"")</f>
        <v/>
      </c>
      <c r="T1382" s="57" t="str">
        <f>IF(AC1382=1,O1382/M1382,"")</f>
        <v/>
      </c>
      <c r="U1382" s="57" t="str">
        <f>IF(AC1382=1,IF(O1382&gt;0,R1382/O1382,""),"")</f>
        <v/>
      </c>
      <c r="V1382" s="57" t="str">
        <f>IF(AC1382=1,IF(P1382&gt;0,N(G1382)/P1382,""),"")</f>
        <v/>
      </c>
      <c r="W1382" s="57" t="str">
        <f>IF(AC1382=1,S1382/M1382,"")</f>
        <v/>
      </c>
      <c r="X1382" s="57" t="str">
        <f>IF(AC1382=1,S1382/K1382,"")</f>
        <v/>
      </c>
      <c r="Y1382" s="58" t="str">
        <f>IF(W1382="","",IF(W1382&gt;=p_target,"Bon",IF(W1382&gt;=p_alert,"À surveiller","Faible")))</f>
        <v/>
      </c>
      <c r="Z1382" s="58" t="str">
        <f>IF(W1382="","",IF(MIN(IF(T1382="",1,T1382),IF(U1382="",1,U1382),IF(V1382="",1,V1382))&gt;=1,"Aucune",IF(IF(T1382="",1,T1382)&lt;=MIN(IF(U1382="",1,U1382),IF(V1382="",1,V1382)),"Disponibilité",IF(IF(U1382="",1,U1382)&lt;=IF(V1382="",1,V1382),"Performance","Qualité"))))</f>
        <v/>
      </c>
      <c r="AA1382" s="59" t="str">
        <f>IF(AC1382=1,N(H1382)*N(IFERROR(INDEX(art_cost,MATCH(E1382,art_ref,0)),0)),"")</f>
        <v/>
      </c>
      <c r="AB1382" s="58" t="str">
        <f>IF(COUNTA(A1382:I1382)=0,"",IF(N(A1382)&lt;=0,"Date manquante ou invalide",IF(B1382="","Équipe manquante",IF(ISNA(MATCH(B1382,eq_code,0)),"Équipe inconnue",IF(INDEX(eq_check,MATCH(B1382,eq_code,0))&lt;&gt;"OK","Équipe à corriger dans Paramètres",IF(C1382="","Poste manquant",IF(ISNA(MATCH(C1382,po_code,0)),"Poste inconnu",IF(AND(E1382&lt;&gt;"",ISNA(MATCH(E1382,art_ref,0))),"Article inconnu",IF(IF(E1382="",FALSE,INDEX(art_check,MATCH(E1382,art_ref,0))&lt;&gt;"OK"),"Article à corriger (feuille Articles)",IF(COUNTIFS(sj_date,A1382,sj_eq,B1382,sj_po,C1382)&gt;1,"Ligne en double (même jour, équipe et poste)",IF(OR(NOT(ISNUMBER(K1382)),N(K1382)&lt;=0,N(K1382)&gt;1440),"Temps d'ouverture invalide",IF(OR(AND(G1382&lt;&gt;"",NOT(ISNUMBER(G1382))),N(G1382)&lt;0,N(G1382)&lt;&gt;INT(N(G1382)),AND(H1382&lt;&gt;"",NOT(ISNUMBER(H1382))),N(H1382)&lt;0,N(H1382)&lt;&gt;INT(N(H1382)),AND(I1382&lt;&gt;"",NOT(ISNUMBER(I1382))),N(I1382)&lt;0,N(I1382)&lt;&gt;INT(N(I1382))),"Quantité invalide",IF(Q1382&lt;=0,"Cadence manquante (poste ou article)",IF(M1382&lt;=0,"Arrêts planifiés supérieurs au temps d'ouverture",IF(O1382&lt;0,"Arrêts supérieurs au temps requis",IF(AND(P1382&gt;0,O1382=0),"Pièces déclarées sans temps de marche",IF(AND(P1382=0,O1382&gt;0),"Aucune pièce déclarée",IF(P1382*60/Q1382&gt;O1382+0.001,"Cadence dépassée : vérifiez la cadence","OK"))))))))))))))))))</f>
        <v/>
      </c>
      <c r="AC1382">
        <f>IF(OR(AB1382="OK",AB1382="Aucune pièce déclarée",AB1382="Cadence dépassée : vérifiez la cadence"),1,0)</f>
        <v>0.0</v>
      </c>
      <c r="AD1382">
        <f>IF(AND(AC1382=1,A1382&gt;=p_from,A1382&lt;=p_to),1,0)</f>
        <v>0.0</v>
      </c>
      <c r="AE1382">
        <f>IF(AD1382=1,IF(COUNTIFS($A$6:A1382,A1382,$AD$6:AD1382,1)=1,1,0),0)</f>
        <v>0.0</v>
      </c>
      <c r="AF1382" t="str">
        <f>IF(AE1382=1,COUNTIFS(sj_first,1,sj_date,"&lt;"&amp;A1382)+1,"")</f>
        <v/>
      </c>
      <c r="AG1382" t="str">
        <f>IF(AND(AD1382=1,N(W1382)&lt;p_alert),ROUND(W1382,4),"")</f>
        <v/>
      </c>
      <c r="AH1382" t="str">
        <f>IF(AG1382="","",COUNTIF(sj_akey,"&lt;"&amp;AG1382)+COUNTIF($AG$6:AG1382,AG1382))</f>
        <v/>
      </c>
    </row>
    <row r="1383">
      <c r="A1383" s="51" t="n"/>
      <c r="B1383" s="52" t="n"/>
      <c r="C1383" s="52" t="n"/>
      <c r="D1383" s="53" t="n"/>
      <c r="E1383" s="53" t="n"/>
      <c r="F1383" s="54" t="n"/>
      <c r="G1383" s="54" t="n"/>
      <c r="H1383" s="54" t="n"/>
      <c r="I1383" s="54" t="n"/>
      <c r="J1383" s="53" t="n"/>
      <c r="K1383" s="55" t="str">
        <f>IF(COUNTA(A1383:I1383)=0,"",IF(F1383="",IFERROR(INDEX(eq_dur,MATCH(B1383,eq_code,0)),""),F1383))</f>
        <v/>
      </c>
      <c r="L1383" s="55" t="str">
        <f>IF(ISNUMBER(K1383),N(IFERROR(INDEX(eq_pause,MATCH(B1383,eq_code,0)),0))+SUMIFS(st_min,st_date,A1383,st_eq,B1383,st_po,C1383,st_type,"Planifié"),"")</f>
        <v/>
      </c>
      <c r="M1383" s="55" t="str">
        <f>IF(ISNUMBER(K1383),K1383-L1383,"")</f>
        <v/>
      </c>
      <c r="N1383" s="55" t="str">
        <f>IF(ISNUMBER(K1383),SUMIFS(st_min,st_date,A1383,st_eq,B1383,st_po,C1383,st_type,"Non planifié"),"")</f>
        <v/>
      </c>
      <c r="O1383" s="55" t="str">
        <f>IF(ISNUMBER(K1383),M1383-N1383,"")</f>
        <v/>
      </c>
      <c r="P1383" s="55" t="str">
        <f>IF(COUNTA(A1383:I1383)=0,"",N(G1383)+N(H1383)+N(I1383))</f>
        <v/>
      </c>
      <c r="Q1383" s="56" t="str">
        <f>IF(COUNTA(A1383:I1383)=0,"",IF(N(IFERROR(INDEX(art_rate,MATCH(E1383,art_ref,0)),0))&gt;0,N(IFERROR(INDEX(art_rate,MATCH(E1383,art_ref,0)),0)),N(IFERROR(INDEX(po_rate,MATCH(C1383,po_code,0)),0))))</f>
        <v/>
      </c>
      <c r="R1383" s="55" t="str">
        <f>IF(AC1383=1,P1383*60/Q1383,"")</f>
        <v/>
      </c>
      <c r="S1383" s="55" t="str">
        <f>IF(AC1383=1,N(G1383)*60/Q1383,"")</f>
        <v/>
      </c>
      <c r="T1383" s="57" t="str">
        <f>IF(AC1383=1,O1383/M1383,"")</f>
        <v/>
      </c>
      <c r="U1383" s="57" t="str">
        <f>IF(AC1383=1,IF(O1383&gt;0,R1383/O1383,""),"")</f>
        <v/>
      </c>
      <c r="V1383" s="57" t="str">
        <f>IF(AC1383=1,IF(P1383&gt;0,N(G1383)/P1383,""),"")</f>
        <v/>
      </c>
      <c r="W1383" s="57" t="str">
        <f>IF(AC1383=1,S1383/M1383,"")</f>
        <v/>
      </c>
      <c r="X1383" s="57" t="str">
        <f>IF(AC1383=1,S1383/K1383,"")</f>
        <v/>
      </c>
      <c r="Y1383" s="58" t="str">
        <f>IF(W1383="","",IF(W1383&gt;=p_target,"Bon",IF(W1383&gt;=p_alert,"À surveiller","Faible")))</f>
        <v/>
      </c>
      <c r="Z1383" s="58" t="str">
        <f>IF(W1383="","",IF(MIN(IF(T1383="",1,T1383),IF(U1383="",1,U1383),IF(V1383="",1,V1383))&gt;=1,"Aucune",IF(IF(T1383="",1,T1383)&lt;=MIN(IF(U1383="",1,U1383),IF(V1383="",1,V1383)),"Disponibilité",IF(IF(U1383="",1,U1383)&lt;=IF(V1383="",1,V1383),"Performance","Qualité"))))</f>
        <v/>
      </c>
      <c r="AA1383" s="59" t="str">
        <f>IF(AC1383=1,N(H1383)*N(IFERROR(INDEX(art_cost,MATCH(E1383,art_ref,0)),0)),"")</f>
        <v/>
      </c>
      <c r="AB1383" s="58" t="str">
        <f>IF(COUNTA(A1383:I1383)=0,"",IF(N(A1383)&lt;=0,"Date manquante ou invalide",IF(B1383="","Équipe manquante",IF(ISNA(MATCH(B1383,eq_code,0)),"Équipe inconnue",IF(INDEX(eq_check,MATCH(B1383,eq_code,0))&lt;&gt;"OK","Équipe à corriger dans Paramètres",IF(C1383="","Poste manquant",IF(ISNA(MATCH(C1383,po_code,0)),"Poste inconnu",IF(AND(E1383&lt;&gt;"",ISNA(MATCH(E1383,art_ref,0))),"Article inconnu",IF(IF(E1383="",FALSE,INDEX(art_check,MATCH(E1383,art_ref,0))&lt;&gt;"OK"),"Article à corriger (feuille Articles)",IF(COUNTIFS(sj_date,A1383,sj_eq,B1383,sj_po,C1383)&gt;1,"Ligne en double (même jour, équipe et poste)",IF(OR(NOT(ISNUMBER(K1383)),N(K1383)&lt;=0,N(K1383)&gt;1440),"Temps d'ouverture invalide",IF(OR(AND(G1383&lt;&gt;"",NOT(ISNUMBER(G1383))),N(G1383)&lt;0,N(G1383)&lt;&gt;INT(N(G1383)),AND(H1383&lt;&gt;"",NOT(ISNUMBER(H1383))),N(H1383)&lt;0,N(H1383)&lt;&gt;INT(N(H1383)),AND(I1383&lt;&gt;"",NOT(ISNUMBER(I1383))),N(I1383)&lt;0,N(I1383)&lt;&gt;INT(N(I1383))),"Quantité invalide",IF(Q1383&lt;=0,"Cadence manquante (poste ou article)",IF(M1383&lt;=0,"Arrêts planifiés supérieurs au temps d'ouverture",IF(O1383&lt;0,"Arrêts supérieurs au temps requis",IF(AND(P1383&gt;0,O1383=0),"Pièces déclarées sans temps de marche",IF(AND(P1383=0,O1383&gt;0),"Aucune pièce déclarée",IF(P1383*60/Q1383&gt;O1383+0.001,"Cadence dépassée : vérifiez la cadence","OK"))))))))))))))))))</f>
        <v/>
      </c>
      <c r="AC1383">
        <f>IF(OR(AB1383="OK",AB1383="Aucune pièce déclarée",AB1383="Cadence dépassée : vérifiez la cadence"),1,0)</f>
        <v>0.0</v>
      </c>
      <c r="AD1383">
        <f>IF(AND(AC1383=1,A1383&gt;=p_from,A1383&lt;=p_to),1,0)</f>
        <v>0.0</v>
      </c>
      <c r="AE1383">
        <f>IF(AD1383=1,IF(COUNTIFS($A$6:A1383,A1383,$AD$6:AD1383,1)=1,1,0),0)</f>
        <v>0.0</v>
      </c>
      <c r="AF1383" t="str">
        <f>IF(AE1383=1,COUNTIFS(sj_first,1,sj_date,"&lt;"&amp;A1383)+1,"")</f>
        <v/>
      </c>
      <c r="AG1383" t="str">
        <f>IF(AND(AD1383=1,N(W1383)&lt;p_alert),ROUND(W1383,4),"")</f>
        <v/>
      </c>
      <c r="AH1383" t="str">
        <f>IF(AG1383="","",COUNTIF(sj_akey,"&lt;"&amp;AG1383)+COUNTIF($AG$6:AG1383,AG1383))</f>
        <v/>
      </c>
    </row>
    <row r="1384">
      <c r="A1384" s="51" t="n"/>
      <c r="B1384" s="52" t="n"/>
      <c r="C1384" s="52" t="n"/>
      <c r="D1384" s="53" t="n"/>
      <c r="E1384" s="53" t="n"/>
      <c r="F1384" s="54" t="n"/>
      <c r="G1384" s="54" t="n"/>
      <c r="H1384" s="54" t="n"/>
      <c r="I1384" s="54" t="n"/>
      <c r="J1384" s="53" t="n"/>
      <c r="K1384" s="55" t="str">
        <f>IF(COUNTA(A1384:I1384)=0,"",IF(F1384="",IFERROR(INDEX(eq_dur,MATCH(B1384,eq_code,0)),""),F1384))</f>
        <v/>
      </c>
      <c r="L1384" s="55" t="str">
        <f>IF(ISNUMBER(K1384),N(IFERROR(INDEX(eq_pause,MATCH(B1384,eq_code,0)),0))+SUMIFS(st_min,st_date,A1384,st_eq,B1384,st_po,C1384,st_type,"Planifié"),"")</f>
        <v/>
      </c>
      <c r="M1384" s="55" t="str">
        <f>IF(ISNUMBER(K1384),K1384-L1384,"")</f>
        <v/>
      </c>
      <c r="N1384" s="55" t="str">
        <f>IF(ISNUMBER(K1384),SUMIFS(st_min,st_date,A1384,st_eq,B1384,st_po,C1384,st_type,"Non planifié"),"")</f>
        <v/>
      </c>
      <c r="O1384" s="55" t="str">
        <f>IF(ISNUMBER(K1384),M1384-N1384,"")</f>
        <v/>
      </c>
      <c r="P1384" s="55" t="str">
        <f>IF(COUNTA(A1384:I1384)=0,"",N(G1384)+N(H1384)+N(I1384))</f>
        <v/>
      </c>
      <c r="Q1384" s="56" t="str">
        <f>IF(COUNTA(A1384:I1384)=0,"",IF(N(IFERROR(INDEX(art_rate,MATCH(E1384,art_ref,0)),0))&gt;0,N(IFERROR(INDEX(art_rate,MATCH(E1384,art_ref,0)),0)),N(IFERROR(INDEX(po_rate,MATCH(C1384,po_code,0)),0))))</f>
        <v/>
      </c>
      <c r="R1384" s="55" t="str">
        <f>IF(AC1384=1,P1384*60/Q1384,"")</f>
        <v/>
      </c>
      <c r="S1384" s="55" t="str">
        <f>IF(AC1384=1,N(G1384)*60/Q1384,"")</f>
        <v/>
      </c>
      <c r="T1384" s="57" t="str">
        <f>IF(AC1384=1,O1384/M1384,"")</f>
        <v/>
      </c>
      <c r="U1384" s="57" t="str">
        <f>IF(AC1384=1,IF(O1384&gt;0,R1384/O1384,""),"")</f>
        <v/>
      </c>
      <c r="V1384" s="57" t="str">
        <f>IF(AC1384=1,IF(P1384&gt;0,N(G1384)/P1384,""),"")</f>
        <v/>
      </c>
      <c r="W1384" s="57" t="str">
        <f>IF(AC1384=1,S1384/M1384,"")</f>
        <v/>
      </c>
      <c r="X1384" s="57" t="str">
        <f>IF(AC1384=1,S1384/K1384,"")</f>
        <v/>
      </c>
      <c r="Y1384" s="58" t="str">
        <f>IF(W1384="","",IF(W1384&gt;=p_target,"Bon",IF(W1384&gt;=p_alert,"À surveiller","Faible")))</f>
        <v/>
      </c>
      <c r="Z1384" s="58" t="str">
        <f>IF(W1384="","",IF(MIN(IF(T1384="",1,T1384),IF(U1384="",1,U1384),IF(V1384="",1,V1384))&gt;=1,"Aucune",IF(IF(T1384="",1,T1384)&lt;=MIN(IF(U1384="",1,U1384),IF(V1384="",1,V1384)),"Disponibilité",IF(IF(U1384="",1,U1384)&lt;=IF(V1384="",1,V1384),"Performance","Qualité"))))</f>
        <v/>
      </c>
      <c r="AA1384" s="59" t="str">
        <f>IF(AC1384=1,N(H1384)*N(IFERROR(INDEX(art_cost,MATCH(E1384,art_ref,0)),0)),"")</f>
        <v/>
      </c>
      <c r="AB1384" s="58" t="str">
        <f>IF(COUNTA(A1384:I1384)=0,"",IF(N(A1384)&lt;=0,"Date manquante ou invalide",IF(B1384="","Équipe manquante",IF(ISNA(MATCH(B1384,eq_code,0)),"Équipe inconnue",IF(INDEX(eq_check,MATCH(B1384,eq_code,0))&lt;&gt;"OK","Équipe à corriger dans Paramètres",IF(C1384="","Poste manquant",IF(ISNA(MATCH(C1384,po_code,0)),"Poste inconnu",IF(AND(E1384&lt;&gt;"",ISNA(MATCH(E1384,art_ref,0))),"Article inconnu",IF(IF(E1384="",FALSE,INDEX(art_check,MATCH(E1384,art_ref,0))&lt;&gt;"OK"),"Article à corriger (feuille Articles)",IF(COUNTIFS(sj_date,A1384,sj_eq,B1384,sj_po,C1384)&gt;1,"Ligne en double (même jour, équipe et poste)",IF(OR(NOT(ISNUMBER(K1384)),N(K1384)&lt;=0,N(K1384)&gt;1440),"Temps d'ouverture invalide",IF(OR(AND(G1384&lt;&gt;"",NOT(ISNUMBER(G1384))),N(G1384)&lt;0,N(G1384)&lt;&gt;INT(N(G1384)),AND(H1384&lt;&gt;"",NOT(ISNUMBER(H1384))),N(H1384)&lt;0,N(H1384)&lt;&gt;INT(N(H1384)),AND(I1384&lt;&gt;"",NOT(ISNUMBER(I1384))),N(I1384)&lt;0,N(I1384)&lt;&gt;INT(N(I1384))),"Quantité invalide",IF(Q1384&lt;=0,"Cadence manquante (poste ou article)",IF(M1384&lt;=0,"Arrêts planifiés supérieurs au temps d'ouverture",IF(O1384&lt;0,"Arrêts supérieurs au temps requis",IF(AND(P1384&gt;0,O1384=0),"Pièces déclarées sans temps de marche",IF(AND(P1384=0,O1384&gt;0),"Aucune pièce déclarée",IF(P1384*60/Q1384&gt;O1384+0.001,"Cadence dépassée : vérifiez la cadence","OK"))))))))))))))))))</f>
        <v/>
      </c>
      <c r="AC1384">
        <f>IF(OR(AB1384="OK",AB1384="Aucune pièce déclarée",AB1384="Cadence dépassée : vérifiez la cadence"),1,0)</f>
        <v>0.0</v>
      </c>
      <c r="AD1384">
        <f>IF(AND(AC1384=1,A1384&gt;=p_from,A1384&lt;=p_to),1,0)</f>
        <v>0.0</v>
      </c>
      <c r="AE1384">
        <f>IF(AD1384=1,IF(COUNTIFS($A$6:A1384,A1384,$AD$6:AD1384,1)=1,1,0),0)</f>
        <v>0.0</v>
      </c>
      <c r="AF1384" t="str">
        <f>IF(AE1384=1,COUNTIFS(sj_first,1,sj_date,"&lt;"&amp;A1384)+1,"")</f>
        <v/>
      </c>
      <c r="AG1384" t="str">
        <f>IF(AND(AD1384=1,N(W1384)&lt;p_alert),ROUND(W1384,4),"")</f>
        <v/>
      </c>
      <c r="AH1384" t="str">
        <f>IF(AG1384="","",COUNTIF(sj_akey,"&lt;"&amp;AG1384)+COUNTIF($AG$6:AG1384,AG1384))</f>
        <v/>
      </c>
    </row>
    <row r="1385">
      <c r="A1385" s="51" t="n"/>
      <c r="B1385" s="52" t="n"/>
      <c r="C1385" s="52" t="n"/>
      <c r="D1385" s="53" t="n"/>
      <c r="E1385" s="53" t="n"/>
      <c r="F1385" s="54" t="n"/>
      <c r="G1385" s="54" t="n"/>
      <c r="H1385" s="54" t="n"/>
      <c r="I1385" s="54" t="n"/>
      <c r="J1385" s="53" t="n"/>
      <c r="K1385" s="55" t="str">
        <f>IF(COUNTA(A1385:I1385)=0,"",IF(F1385="",IFERROR(INDEX(eq_dur,MATCH(B1385,eq_code,0)),""),F1385))</f>
        <v/>
      </c>
      <c r="L1385" s="55" t="str">
        <f>IF(ISNUMBER(K1385),N(IFERROR(INDEX(eq_pause,MATCH(B1385,eq_code,0)),0))+SUMIFS(st_min,st_date,A1385,st_eq,B1385,st_po,C1385,st_type,"Planifié"),"")</f>
        <v/>
      </c>
      <c r="M1385" s="55" t="str">
        <f>IF(ISNUMBER(K1385),K1385-L1385,"")</f>
        <v/>
      </c>
      <c r="N1385" s="55" t="str">
        <f>IF(ISNUMBER(K1385),SUMIFS(st_min,st_date,A1385,st_eq,B1385,st_po,C1385,st_type,"Non planifié"),"")</f>
        <v/>
      </c>
      <c r="O1385" s="55" t="str">
        <f>IF(ISNUMBER(K1385),M1385-N1385,"")</f>
        <v/>
      </c>
      <c r="P1385" s="55" t="str">
        <f>IF(COUNTA(A1385:I1385)=0,"",N(G1385)+N(H1385)+N(I1385))</f>
        <v/>
      </c>
      <c r="Q1385" s="56" t="str">
        <f>IF(COUNTA(A1385:I1385)=0,"",IF(N(IFERROR(INDEX(art_rate,MATCH(E1385,art_ref,0)),0))&gt;0,N(IFERROR(INDEX(art_rate,MATCH(E1385,art_ref,0)),0)),N(IFERROR(INDEX(po_rate,MATCH(C1385,po_code,0)),0))))</f>
        <v/>
      </c>
      <c r="R1385" s="55" t="str">
        <f>IF(AC1385=1,P1385*60/Q1385,"")</f>
        <v/>
      </c>
      <c r="S1385" s="55" t="str">
        <f>IF(AC1385=1,N(G1385)*60/Q1385,"")</f>
        <v/>
      </c>
      <c r="T1385" s="57" t="str">
        <f>IF(AC1385=1,O1385/M1385,"")</f>
        <v/>
      </c>
      <c r="U1385" s="57" t="str">
        <f>IF(AC1385=1,IF(O1385&gt;0,R1385/O1385,""),"")</f>
        <v/>
      </c>
      <c r="V1385" s="57" t="str">
        <f>IF(AC1385=1,IF(P1385&gt;0,N(G1385)/P1385,""),"")</f>
        <v/>
      </c>
      <c r="W1385" s="57" t="str">
        <f>IF(AC1385=1,S1385/M1385,"")</f>
        <v/>
      </c>
      <c r="X1385" s="57" t="str">
        <f>IF(AC1385=1,S1385/K1385,"")</f>
        <v/>
      </c>
      <c r="Y1385" s="58" t="str">
        <f>IF(W1385="","",IF(W1385&gt;=p_target,"Bon",IF(W1385&gt;=p_alert,"À surveiller","Faible")))</f>
        <v/>
      </c>
      <c r="Z1385" s="58" t="str">
        <f>IF(W1385="","",IF(MIN(IF(T1385="",1,T1385),IF(U1385="",1,U1385),IF(V1385="",1,V1385))&gt;=1,"Aucune",IF(IF(T1385="",1,T1385)&lt;=MIN(IF(U1385="",1,U1385),IF(V1385="",1,V1385)),"Disponibilité",IF(IF(U1385="",1,U1385)&lt;=IF(V1385="",1,V1385),"Performance","Qualité"))))</f>
        <v/>
      </c>
      <c r="AA1385" s="59" t="str">
        <f>IF(AC1385=1,N(H1385)*N(IFERROR(INDEX(art_cost,MATCH(E1385,art_ref,0)),0)),"")</f>
        <v/>
      </c>
      <c r="AB1385" s="58" t="str">
        <f>IF(COUNTA(A1385:I1385)=0,"",IF(N(A1385)&lt;=0,"Date manquante ou invalide",IF(B1385="","Équipe manquante",IF(ISNA(MATCH(B1385,eq_code,0)),"Équipe inconnue",IF(INDEX(eq_check,MATCH(B1385,eq_code,0))&lt;&gt;"OK","Équipe à corriger dans Paramètres",IF(C1385="","Poste manquant",IF(ISNA(MATCH(C1385,po_code,0)),"Poste inconnu",IF(AND(E1385&lt;&gt;"",ISNA(MATCH(E1385,art_ref,0))),"Article inconnu",IF(IF(E1385="",FALSE,INDEX(art_check,MATCH(E1385,art_ref,0))&lt;&gt;"OK"),"Article à corriger (feuille Articles)",IF(COUNTIFS(sj_date,A1385,sj_eq,B1385,sj_po,C1385)&gt;1,"Ligne en double (même jour, équipe et poste)",IF(OR(NOT(ISNUMBER(K1385)),N(K1385)&lt;=0,N(K1385)&gt;1440),"Temps d'ouverture invalide",IF(OR(AND(G1385&lt;&gt;"",NOT(ISNUMBER(G1385))),N(G1385)&lt;0,N(G1385)&lt;&gt;INT(N(G1385)),AND(H1385&lt;&gt;"",NOT(ISNUMBER(H1385))),N(H1385)&lt;0,N(H1385)&lt;&gt;INT(N(H1385)),AND(I1385&lt;&gt;"",NOT(ISNUMBER(I1385))),N(I1385)&lt;0,N(I1385)&lt;&gt;INT(N(I1385))),"Quantité invalide",IF(Q1385&lt;=0,"Cadence manquante (poste ou article)",IF(M1385&lt;=0,"Arrêts planifiés supérieurs au temps d'ouverture",IF(O1385&lt;0,"Arrêts supérieurs au temps requis",IF(AND(P1385&gt;0,O1385=0),"Pièces déclarées sans temps de marche",IF(AND(P1385=0,O1385&gt;0),"Aucune pièce déclarée",IF(P1385*60/Q1385&gt;O1385+0.001,"Cadence dépassée : vérifiez la cadence","OK"))))))))))))))))))</f>
        <v/>
      </c>
      <c r="AC1385">
        <f>IF(OR(AB1385="OK",AB1385="Aucune pièce déclarée",AB1385="Cadence dépassée : vérifiez la cadence"),1,0)</f>
        <v>0.0</v>
      </c>
      <c r="AD1385">
        <f>IF(AND(AC1385=1,A1385&gt;=p_from,A1385&lt;=p_to),1,0)</f>
        <v>0.0</v>
      </c>
      <c r="AE1385">
        <f>IF(AD1385=1,IF(COUNTIFS($A$6:A1385,A1385,$AD$6:AD1385,1)=1,1,0),0)</f>
        <v>0.0</v>
      </c>
      <c r="AF1385" t="str">
        <f>IF(AE1385=1,COUNTIFS(sj_first,1,sj_date,"&lt;"&amp;A1385)+1,"")</f>
        <v/>
      </c>
      <c r="AG1385" t="str">
        <f>IF(AND(AD1385=1,N(W1385)&lt;p_alert),ROUND(W1385,4),"")</f>
        <v/>
      </c>
      <c r="AH1385" t="str">
        <f>IF(AG1385="","",COUNTIF(sj_akey,"&lt;"&amp;AG1385)+COUNTIF($AG$6:AG1385,AG1385))</f>
        <v/>
      </c>
    </row>
    <row r="1386">
      <c r="A1386" s="51" t="n"/>
      <c r="B1386" s="52" t="n"/>
      <c r="C1386" s="52" t="n"/>
      <c r="D1386" s="53" t="n"/>
      <c r="E1386" s="53" t="n"/>
      <c r="F1386" s="54" t="n"/>
      <c r="G1386" s="54" t="n"/>
      <c r="H1386" s="54" t="n"/>
      <c r="I1386" s="54" t="n"/>
      <c r="J1386" s="53" t="n"/>
      <c r="K1386" s="55" t="str">
        <f>IF(COUNTA(A1386:I1386)=0,"",IF(F1386="",IFERROR(INDEX(eq_dur,MATCH(B1386,eq_code,0)),""),F1386))</f>
        <v/>
      </c>
      <c r="L1386" s="55" t="str">
        <f>IF(ISNUMBER(K1386),N(IFERROR(INDEX(eq_pause,MATCH(B1386,eq_code,0)),0))+SUMIFS(st_min,st_date,A1386,st_eq,B1386,st_po,C1386,st_type,"Planifié"),"")</f>
        <v/>
      </c>
      <c r="M1386" s="55" t="str">
        <f>IF(ISNUMBER(K1386),K1386-L1386,"")</f>
        <v/>
      </c>
      <c r="N1386" s="55" t="str">
        <f>IF(ISNUMBER(K1386),SUMIFS(st_min,st_date,A1386,st_eq,B1386,st_po,C1386,st_type,"Non planifié"),"")</f>
        <v/>
      </c>
      <c r="O1386" s="55" t="str">
        <f>IF(ISNUMBER(K1386),M1386-N1386,"")</f>
        <v/>
      </c>
      <c r="P1386" s="55" t="str">
        <f>IF(COUNTA(A1386:I1386)=0,"",N(G1386)+N(H1386)+N(I1386))</f>
        <v/>
      </c>
      <c r="Q1386" s="56" t="str">
        <f>IF(COUNTA(A1386:I1386)=0,"",IF(N(IFERROR(INDEX(art_rate,MATCH(E1386,art_ref,0)),0))&gt;0,N(IFERROR(INDEX(art_rate,MATCH(E1386,art_ref,0)),0)),N(IFERROR(INDEX(po_rate,MATCH(C1386,po_code,0)),0))))</f>
        <v/>
      </c>
      <c r="R1386" s="55" t="str">
        <f>IF(AC1386=1,P1386*60/Q1386,"")</f>
        <v/>
      </c>
      <c r="S1386" s="55" t="str">
        <f>IF(AC1386=1,N(G1386)*60/Q1386,"")</f>
        <v/>
      </c>
      <c r="T1386" s="57" t="str">
        <f>IF(AC1386=1,O1386/M1386,"")</f>
        <v/>
      </c>
      <c r="U1386" s="57" t="str">
        <f>IF(AC1386=1,IF(O1386&gt;0,R1386/O1386,""),"")</f>
        <v/>
      </c>
      <c r="V1386" s="57" t="str">
        <f>IF(AC1386=1,IF(P1386&gt;0,N(G1386)/P1386,""),"")</f>
        <v/>
      </c>
      <c r="W1386" s="57" t="str">
        <f>IF(AC1386=1,S1386/M1386,"")</f>
        <v/>
      </c>
      <c r="X1386" s="57" t="str">
        <f>IF(AC1386=1,S1386/K1386,"")</f>
        <v/>
      </c>
      <c r="Y1386" s="58" t="str">
        <f>IF(W1386="","",IF(W1386&gt;=p_target,"Bon",IF(W1386&gt;=p_alert,"À surveiller","Faible")))</f>
        <v/>
      </c>
      <c r="Z1386" s="58" t="str">
        <f>IF(W1386="","",IF(MIN(IF(T1386="",1,T1386),IF(U1386="",1,U1386),IF(V1386="",1,V1386))&gt;=1,"Aucune",IF(IF(T1386="",1,T1386)&lt;=MIN(IF(U1386="",1,U1386),IF(V1386="",1,V1386)),"Disponibilité",IF(IF(U1386="",1,U1386)&lt;=IF(V1386="",1,V1386),"Performance","Qualité"))))</f>
        <v/>
      </c>
      <c r="AA1386" s="59" t="str">
        <f>IF(AC1386=1,N(H1386)*N(IFERROR(INDEX(art_cost,MATCH(E1386,art_ref,0)),0)),"")</f>
        <v/>
      </c>
      <c r="AB1386" s="58" t="str">
        <f>IF(COUNTA(A1386:I1386)=0,"",IF(N(A1386)&lt;=0,"Date manquante ou invalide",IF(B1386="","Équipe manquante",IF(ISNA(MATCH(B1386,eq_code,0)),"Équipe inconnue",IF(INDEX(eq_check,MATCH(B1386,eq_code,0))&lt;&gt;"OK","Équipe à corriger dans Paramètres",IF(C1386="","Poste manquant",IF(ISNA(MATCH(C1386,po_code,0)),"Poste inconnu",IF(AND(E1386&lt;&gt;"",ISNA(MATCH(E1386,art_ref,0))),"Article inconnu",IF(IF(E1386="",FALSE,INDEX(art_check,MATCH(E1386,art_ref,0))&lt;&gt;"OK"),"Article à corriger (feuille Articles)",IF(COUNTIFS(sj_date,A1386,sj_eq,B1386,sj_po,C1386)&gt;1,"Ligne en double (même jour, équipe et poste)",IF(OR(NOT(ISNUMBER(K1386)),N(K1386)&lt;=0,N(K1386)&gt;1440),"Temps d'ouverture invalide",IF(OR(AND(G1386&lt;&gt;"",NOT(ISNUMBER(G1386))),N(G1386)&lt;0,N(G1386)&lt;&gt;INT(N(G1386)),AND(H1386&lt;&gt;"",NOT(ISNUMBER(H1386))),N(H1386)&lt;0,N(H1386)&lt;&gt;INT(N(H1386)),AND(I1386&lt;&gt;"",NOT(ISNUMBER(I1386))),N(I1386)&lt;0,N(I1386)&lt;&gt;INT(N(I1386))),"Quantité invalide",IF(Q1386&lt;=0,"Cadence manquante (poste ou article)",IF(M1386&lt;=0,"Arrêts planifiés supérieurs au temps d'ouverture",IF(O1386&lt;0,"Arrêts supérieurs au temps requis",IF(AND(P1386&gt;0,O1386=0),"Pièces déclarées sans temps de marche",IF(AND(P1386=0,O1386&gt;0),"Aucune pièce déclarée",IF(P1386*60/Q1386&gt;O1386+0.001,"Cadence dépassée : vérifiez la cadence","OK"))))))))))))))))))</f>
        <v/>
      </c>
      <c r="AC1386">
        <f>IF(OR(AB1386="OK",AB1386="Aucune pièce déclarée",AB1386="Cadence dépassée : vérifiez la cadence"),1,0)</f>
        <v>0.0</v>
      </c>
      <c r="AD1386">
        <f>IF(AND(AC1386=1,A1386&gt;=p_from,A1386&lt;=p_to),1,0)</f>
        <v>0.0</v>
      </c>
      <c r="AE1386">
        <f>IF(AD1386=1,IF(COUNTIFS($A$6:A1386,A1386,$AD$6:AD1386,1)=1,1,0),0)</f>
        <v>0.0</v>
      </c>
      <c r="AF1386" t="str">
        <f>IF(AE1386=1,COUNTIFS(sj_first,1,sj_date,"&lt;"&amp;A1386)+1,"")</f>
        <v/>
      </c>
      <c r="AG1386" t="str">
        <f>IF(AND(AD1386=1,N(W1386)&lt;p_alert),ROUND(W1386,4),"")</f>
        <v/>
      </c>
      <c r="AH1386" t="str">
        <f>IF(AG1386="","",COUNTIF(sj_akey,"&lt;"&amp;AG1386)+COUNTIF($AG$6:AG1386,AG1386))</f>
        <v/>
      </c>
    </row>
    <row r="1387">
      <c r="A1387" s="51" t="n"/>
      <c r="B1387" s="52" t="n"/>
      <c r="C1387" s="52" t="n"/>
      <c r="D1387" s="53" t="n"/>
      <c r="E1387" s="53" t="n"/>
      <c r="F1387" s="54" t="n"/>
      <c r="G1387" s="54" t="n"/>
      <c r="H1387" s="54" t="n"/>
      <c r="I1387" s="54" t="n"/>
      <c r="J1387" s="53" t="n"/>
      <c r="K1387" s="55" t="str">
        <f>IF(COUNTA(A1387:I1387)=0,"",IF(F1387="",IFERROR(INDEX(eq_dur,MATCH(B1387,eq_code,0)),""),F1387))</f>
        <v/>
      </c>
      <c r="L1387" s="55" t="str">
        <f>IF(ISNUMBER(K1387),N(IFERROR(INDEX(eq_pause,MATCH(B1387,eq_code,0)),0))+SUMIFS(st_min,st_date,A1387,st_eq,B1387,st_po,C1387,st_type,"Planifié"),"")</f>
        <v/>
      </c>
      <c r="M1387" s="55" t="str">
        <f>IF(ISNUMBER(K1387),K1387-L1387,"")</f>
        <v/>
      </c>
      <c r="N1387" s="55" t="str">
        <f>IF(ISNUMBER(K1387),SUMIFS(st_min,st_date,A1387,st_eq,B1387,st_po,C1387,st_type,"Non planifié"),"")</f>
        <v/>
      </c>
      <c r="O1387" s="55" t="str">
        <f>IF(ISNUMBER(K1387),M1387-N1387,"")</f>
        <v/>
      </c>
      <c r="P1387" s="55" t="str">
        <f>IF(COUNTA(A1387:I1387)=0,"",N(G1387)+N(H1387)+N(I1387))</f>
        <v/>
      </c>
      <c r="Q1387" s="56" t="str">
        <f>IF(COUNTA(A1387:I1387)=0,"",IF(N(IFERROR(INDEX(art_rate,MATCH(E1387,art_ref,0)),0))&gt;0,N(IFERROR(INDEX(art_rate,MATCH(E1387,art_ref,0)),0)),N(IFERROR(INDEX(po_rate,MATCH(C1387,po_code,0)),0))))</f>
        <v/>
      </c>
      <c r="R1387" s="55" t="str">
        <f>IF(AC1387=1,P1387*60/Q1387,"")</f>
        <v/>
      </c>
      <c r="S1387" s="55" t="str">
        <f>IF(AC1387=1,N(G1387)*60/Q1387,"")</f>
        <v/>
      </c>
      <c r="T1387" s="57" t="str">
        <f>IF(AC1387=1,O1387/M1387,"")</f>
        <v/>
      </c>
      <c r="U1387" s="57" t="str">
        <f>IF(AC1387=1,IF(O1387&gt;0,R1387/O1387,""),"")</f>
        <v/>
      </c>
      <c r="V1387" s="57" t="str">
        <f>IF(AC1387=1,IF(P1387&gt;0,N(G1387)/P1387,""),"")</f>
        <v/>
      </c>
      <c r="W1387" s="57" t="str">
        <f>IF(AC1387=1,S1387/M1387,"")</f>
        <v/>
      </c>
      <c r="X1387" s="57" t="str">
        <f>IF(AC1387=1,S1387/K1387,"")</f>
        <v/>
      </c>
      <c r="Y1387" s="58" t="str">
        <f>IF(W1387="","",IF(W1387&gt;=p_target,"Bon",IF(W1387&gt;=p_alert,"À surveiller","Faible")))</f>
        <v/>
      </c>
      <c r="Z1387" s="58" t="str">
        <f>IF(W1387="","",IF(MIN(IF(T1387="",1,T1387),IF(U1387="",1,U1387),IF(V1387="",1,V1387))&gt;=1,"Aucune",IF(IF(T1387="",1,T1387)&lt;=MIN(IF(U1387="",1,U1387),IF(V1387="",1,V1387)),"Disponibilité",IF(IF(U1387="",1,U1387)&lt;=IF(V1387="",1,V1387),"Performance","Qualité"))))</f>
        <v/>
      </c>
      <c r="AA1387" s="59" t="str">
        <f>IF(AC1387=1,N(H1387)*N(IFERROR(INDEX(art_cost,MATCH(E1387,art_ref,0)),0)),"")</f>
        <v/>
      </c>
      <c r="AB1387" s="58" t="str">
        <f>IF(COUNTA(A1387:I1387)=0,"",IF(N(A1387)&lt;=0,"Date manquante ou invalide",IF(B1387="","Équipe manquante",IF(ISNA(MATCH(B1387,eq_code,0)),"Équipe inconnue",IF(INDEX(eq_check,MATCH(B1387,eq_code,0))&lt;&gt;"OK","Équipe à corriger dans Paramètres",IF(C1387="","Poste manquant",IF(ISNA(MATCH(C1387,po_code,0)),"Poste inconnu",IF(AND(E1387&lt;&gt;"",ISNA(MATCH(E1387,art_ref,0))),"Article inconnu",IF(IF(E1387="",FALSE,INDEX(art_check,MATCH(E1387,art_ref,0))&lt;&gt;"OK"),"Article à corriger (feuille Articles)",IF(COUNTIFS(sj_date,A1387,sj_eq,B1387,sj_po,C1387)&gt;1,"Ligne en double (même jour, équipe et poste)",IF(OR(NOT(ISNUMBER(K1387)),N(K1387)&lt;=0,N(K1387)&gt;1440),"Temps d'ouverture invalide",IF(OR(AND(G1387&lt;&gt;"",NOT(ISNUMBER(G1387))),N(G1387)&lt;0,N(G1387)&lt;&gt;INT(N(G1387)),AND(H1387&lt;&gt;"",NOT(ISNUMBER(H1387))),N(H1387)&lt;0,N(H1387)&lt;&gt;INT(N(H1387)),AND(I1387&lt;&gt;"",NOT(ISNUMBER(I1387))),N(I1387)&lt;0,N(I1387)&lt;&gt;INT(N(I1387))),"Quantité invalide",IF(Q1387&lt;=0,"Cadence manquante (poste ou article)",IF(M1387&lt;=0,"Arrêts planifiés supérieurs au temps d'ouverture",IF(O1387&lt;0,"Arrêts supérieurs au temps requis",IF(AND(P1387&gt;0,O1387=0),"Pièces déclarées sans temps de marche",IF(AND(P1387=0,O1387&gt;0),"Aucune pièce déclarée",IF(P1387*60/Q1387&gt;O1387+0.001,"Cadence dépassée : vérifiez la cadence","OK"))))))))))))))))))</f>
        <v/>
      </c>
      <c r="AC1387">
        <f>IF(OR(AB1387="OK",AB1387="Aucune pièce déclarée",AB1387="Cadence dépassée : vérifiez la cadence"),1,0)</f>
        <v>0.0</v>
      </c>
      <c r="AD1387">
        <f>IF(AND(AC1387=1,A1387&gt;=p_from,A1387&lt;=p_to),1,0)</f>
        <v>0.0</v>
      </c>
      <c r="AE1387">
        <f>IF(AD1387=1,IF(COUNTIFS($A$6:A1387,A1387,$AD$6:AD1387,1)=1,1,0),0)</f>
        <v>0.0</v>
      </c>
      <c r="AF1387" t="str">
        <f>IF(AE1387=1,COUNTIFS(sj_first,1,sj_date,"&lt;"&amp;A1387)+1,"")</f>
        <v/>
      </c>
      <c r="AG1387" t="str">
        <f>IF(AND(AD1387=1,N(W1387)&lt;p_alert),ROUND(W1387,4),"")</f>
        <v/>
      </c>
      <c r="AH1387" t="str">
        <f>IF(AG1387="","",COUNTIF(sj_akey,"&lt;"&amp;AG1387)+COUNTIF($AG$6:AG1387,AG1387))</f>
        <v/>
      </c>
    </row>
    <row r="1388">
      <c r="A1388" s="51" t="n"/>
      <c r="B1388" s="52" t="n"/>
      <c r="C1388" s="52" t="n"/>
      <c r="D1388" s="53" t="n"/>
      <c r="E1388" s="53" t="n"/>
      <c r="F1388" s="54" t="n"/>
      <c r="G1388" s="54" t="n"/>
      <c r="H1388" s="54" t="n"/>
      <c r="I1388" s="54" t="n"/>
      <c r="J1388" s="53" t="n"/>
      <c r="K1388" s="55" t="str">
        <f>IF(COUNTA(A1388:I1388)=0,"",IF(F1388="",IFERROR(INDEX(eq_dur,MATCH(B1388,eq_code,0)),""),F1388))</f>
        <v/>
      </c>
      <c r="L1388" s="55" t="str">
        <f>IF(ISNUMBER(K1388),N(IFERROR(INDEX(eq_pause,MATCH(B1388,eq_code,0)),0))+SUMIFS(st_min,st_date,A1388,st_eq,B1388,st_po,C1388,st_type,"Planifié"),"")</f>
        <v/>
      </c>
      <c r="M1388" s="55" t="str">
        <f>IF(ISNUMBER(K1388),K1388-L1388,"")</f>
        <v/>
      </c>
      <c r="N1388" s="55" t="str">
        <f>IF(ISNUMBER(K1388),SUMIFS(st_min,st_date,A1388,st_eq,B1388,st_po,C1388,st_type,"Non planifié"),"")</f>
        <v/>
      </c>
      <c r="O1388" s="55" t="str">
        <f>IF(ISNUMBER(K1388),M1388-N1388,"")</f>
        <v/>
      </c>
      <c r="P1388" s="55" t="str">
        <f>IF(COUNTA(A1388:I1388)=0,"",N(G1388)+N(H1388)+N(I1388))</f>
        <v/>
      </c>
      <c r="Q1388" s="56" t="str">
        <f>IF(COUNTA(A1388:I1388)=0,"",IF(N(IFERROR(INDEX(art_rate,MATCH(E1388,art_ref,0)),0))&gt;0,N(IFERROR(INDEX(art_rate,MATCH(E1388,art_ref,0)),0)),N(IFERROR(INDEX(po_rate,MATCH(C1388,po_code,0)),0))))</f>
        <v/>
      </c>
      <c r="R1388" s="55" t="str">
        <f>IF(AC1388=1,P1388*60/Q1388,"")</f>
        <v/>
      </c>
      <c r="S1388" s="55" t="str">
        <f>IF(AC1388=1,N(G1388)*60/Q1388,"")</f>
        <v/>
      </c>
      <c r="T1388" s="57" t="str">
        <f>IF(AC1388=1,O1388/M1388,"")</f>
        <v/>
      </c>
      <c r="U1388" s="57" t="str">
        <f>IF(AC1388=1,IF(O1388&gt;0,R1388/O1388,""),"")</f>
        <v/>
      </c>
      <c r="V1388" s="57" t="str">
        <f>IF(AC1388=1,IF(P1388&gt;0,N(G1388)/P1388,""),"")</f>
        <v/>
      </c>
      <c r="W1388" s="57" t="str">
        <f>IF(AC1388=1,S1388/M1388,"")</f>
        <v/>
      </c>
      <c r="X1388" s="57" t="str">
        <f>IF(AC1388=1,S1388/K1388,"")</f>
        <v/>
      </c>
      <c r="Y1388" s="58" t="str">
        <f>IF(W1388="","",IF(W1388&gt;=p_target,"Bon",IF(W1388&gt;=p_alert,"À surveiller","Faible")))</f>
        <v/>
      </c>
      <c r="Z1388" s="58" t="str">
        <f>IF(W1388="","",IF(MIN(IF(T1388="",1,T1388),IF(U1388="",1,U1388),IF(V1388="",1,V1388))&gt;=1,"Aucune",IF(IF(T1388="",1,T1388)&lt;=MIN(IF(U1388="",1,U1388),IF(V1388="",1,V1388)),"Disponibilité",IF(IF(U1388="",1,U1388)&lt;=IF(V1388="",1,V1388),"Performance","Qualité"))))</f>
        <v/>
      </c>
      <c r="AA1388" s="59" t="str">
        <f>IF(AC1388=1,N(H1388)*N(IFERROR(INDEX(art_cost,MATCH(E1388,art_ref,0)),0)),"")</f>
        <v/>
      </c>
      <c r="AB1388" s="58" t="str">
        <f>IF(COUNTA(A1388:I1388)=0,"",IF(N(A1388)&lt;=0,"Date manquante ou invalide",IF(B1388="","Équipe manquante",IF(ISNA(MATCH(B1388,eq_code,0)),"Équipe inconnue",IF(INDEX(eq_check,MATCH(B1388,eq_code,0))&lt;&gt;"OK","Équipe à corriger dans Paramètres",IF(C1388="","Poste manquant",IF(ISNA(MATCH(C1388,po_code,0)),"Poste inconnu",IF(AND(E1388&lt;&gt;"",ISNA(MATCH(E1388,art_ref,0))),"Article inconnu",IF(IF(E1388="",FALSE,INDEX(art_check,MATCH(E1388,art_ref,0))&lt;&gt;"OK"),"Article à corriger (feuille Articles)",IF(COUNTIFS(sj_date,A1388,sj_eq,B1388,sj_po,C1388)&gt;1,"Ligne en double (même jour, équipe et poste)",IF(OR(NOT(ISNUMBER(K1388)),N(K1388)&lt;=0,N(K1388)&gt;1440),"Temps d'ouverture invalide",IF(OR(AND(G1388&lt;&gt;"",NOT(ISNUMBER(G1388))),N(G1388)&lt;0,N(G1388)&lt;&gt;INT(N(G1388)),AND(H1388&lt;&gt;"",NOT(ISNUMBER(H1388))),N(H1388)&lt;0,N(H1388)&lt;&gt;INT(N(H1388)),AND(I1388&lt;&gt;"",NOT(ISNUMBER(I1388))),N(I1388)&lt;0,N(I1388)&lt;&gt;INT(N(I1388))),"Quantité invalide",IF(Q1388&lt;=0,"Cadence manquante (poste ou article)",IF(M1388&lt;=0,"Arrêts planifiés supérieurs au temps d'ouverture",IF(O1388&lt;0,"Arrêts supérieurs au temps requis",IF(AND(P1388&gt;0,O1388=0),"Pièces déclarées sans temps de marche",IF(AND(P1388=0,O1388&gt;0),"Aucune pièce déclarée",IF(P1388*60/Q1388&gt;O1388+0.001,"Cadence dépassée : vérifiez la cadence","OK"))))))))))))))))))</f>
        <v/>
      </c>
      <c r="AC1388">
        <f>IF(OR(AB1388="OK",AB1388="Aucune pièce déclarée",AB1388="Cadence dépassée : vérifiez la cadence"),1,0)</f>
        <v>0.0</v>
      </c>
      <c r="AD1388">
        <f>IF(AND(AC1388=1,A1388&gt;=p_from,A1388&lt;=p_to),1,0)</f>
        <v>0.0</v>
      </c>
      <c r="AE1388">
        <f>IF(AD1388=1,IF(COUNTIFS($A$6:A1388,A1388,$AD$6:AD1388,1)=1,1,0),0)</f>
        <v>0.0</v>
      </c>
      <c r="AF1388" t="str">
        <f>IF(AE1388=1,COUNTIFS(sj_first,1,sj_date,"&lt;"&amp;A1388)+1,"")</f>
        <v/>
      </c>
      <c r="AG1388" t="str">
        <f>IF(AND(AD1388=1,N(W1388)&lt;p_alert),ROUND(W1388,4),"")</f>
        <v/>
      </c>
      <c r="AH1388" t="str">
        <f>IF(AG1388="","",COUNTIF(sj_akey,"&lt;"&amp;AG1388)+COUNTIF($AG$6:AG1388,AG1388))</f>
        <v/>
      </c>
    </row>
    <row r="1389">
      <c r="A1389" s="51" t="n"/>
      <c r="B1389" s="52" t="n"/>
      <c r="C1389" s="52" t="n"/>
      <c r="D1389" s="53" t="n"/>
      <c r="E1389" s="53" t="n"/>
      <c r="F1389" s="54" t="n"/>
      <c r="G1389" s="54" t="n"/>
      <c r="H1389" s="54" t="n"/>
      <c r="I1389" s="54" t="n"/>
      <c r="J1389" s="53" t="n"/>
      <c r="K1389" s="55" t="str">
        <f>IF(COUNTA(A1389:I1389)=0,"",IF(F1389="",IFERROR(INDEX(eq_dur,MATCH(B1389,eq_code,0)),""),F1389))</f>
        <v/>
      </c>
      <c r="L1389" s="55" t="str">
        <f>IF(ISNUMBER(K1389),N(IFERROR(INDEX(eq_pause,MATCH(B1389,eq_code,0)),0))+SUMIFS(st_min,st_date,A1389,st_eq,B1389,st_po,C1389,st_type,"Planifié"),"")</f>
        <v/>
      </c>
      <c r="M1389" s="55" t="str">
        <f>IF(ISNUMBER(K1389),K1389-L1389,"")</f>
        <v/>
      </c>
      <c r="N1389" s="55" t="str">
        <f>IF(ISNUMBER(K1389),SUMIFS(st_min,st_date,A1389,st_eq,B1389,st_po,C1389,st_type,"Non planifié"),"")</f>
        <v/>
      </c>
      <c r="O1389" s="55" t="str">
        <f>IF(ISNUMBER(K1389),M1389-N1389,"")</f>
        <v/>
      </c>
      <c r="P1389" s="55" t="str">
        <f>IF(COUNTA(A1389:I1389)=0,"",N(G1389)+N(H1389)+N(I1389))</f>
        <v/>
      </c>
      <c r="Q1389" s="56" t="str">
        <f>IF(COUNTA(A1389:I1389)=0,"",IF(N(IFERROR(INDEX(art_rate,MATCH(E1389,art_ref,0)),0))&gt;0,N(IFERROR(INDEX(art_rate,MATCH(E1389,art_ref,0)),0)),N(IFERROR(INDEX(po_rate,MATCH(C1389,po_code,0)),0))))</f>
        <v/>
      </c>
      <c r="R1389" s="55" t="str">
        <f>IF(AC1389=1,P1389*60/Q1389,"")</f>
        <v/>
      </c>
      <c r="S1389" s="55" t="str">
        <f>IF(AC1389=1,N(G1389)*60/Q1389,"")</f>
        <v/>
      </c>
      <c r="T1389" s="57" t="str">
        <f>IF(AC1389=1,O1389/M1389,"")</f>
        <v/>
      </c>
      <c r="U1389" s="57" t="str">
        <f>IF(AC1389=1,IF(O1389&gt;0,R1389/O1389,""),"")</f>
        <v/>
      </c>
      <c r="V1389" s="57" t="str">
        <f>IF(AC1389=1,IF(P1389&gt;0,N(G1389)/P1389,""),"")</f>
        <v/>
      </c>
      <c r="W1389" s="57" t="str">
        <f>IF(AC1389=1,S1389/M1389,"")</f>
        <v/>
      </c>
      <c r="X1389" s="57" t="str">
        <f>IF(AC1389=1,S1389/K1389,"")</f>
        <v/>
      </c>
      <c r="Y1389" s="58" t="str">
        <f>IF(W1389="","",IF(W1389&gt;=p_target,"Bon",IF(W1389&gt;=p_alert,"À surveiller","Faible")))</f>
        <v/>
      </c>
      <c r="Z1389" s="58" t="str">
        <f>IF(W1389="","",IF(MIN(IF(T1389="",1,T1389),IF(U1389="",1,U1389),IF(V1389="",1,V1389))&gt;=1,"Aucune",IF(IF(T1389="",1,T1389)&lt;=MIN(IF(U1389="",1,U1389),IF(V1389="",1,V1389)),"Disponibilité",IF(IF(U1389="",1,U1389)&lt;=IF(V1389="",1,V1389),"Performance","Qualité"))))</f>
        <v/>
      </c>
      <c r="AA1389" s="59" t="str">
        <f>IF(AC1389=1,N(H1389)*N(IFERROR(INDEX(art_cost,MATCH(E1389,art_ref,0)),0)),"")</f>
        <v/>
      </c>
      <c r="AB1389" s="58" t="str">
        <f>IF(COUNTA(A1389:I1389)=0,"",IF(N(A1389)&lt;=0,"Date manquante ou invalide",IF(B1389="","Équipe manquante",IF(ISNA(MATCH(B1389,eq_code,0)),"Équipe inconnue",IF(INDEX(eq_check,MATCH(B1389,eq_code,0))&lt;&gt;"OK","Équipe à corriger dans Paramètres",IF(C1389="","Poste manquant",IF(ISNA(MATCH(C1389,po_code,0)),"Poste inconnu",IF(AND(E1389&lt;&gt;"",ISNA(MATCH(E1389,art_ref,0))),"Article inconnu",IF(IF(E1389="",FALSE,INDEX(art_check,MATCH(E1389,art_ref,0))&lt;&gt;"OK"),"Article à corriger (feuille Articles)",IF(COUNTIFS(sj_date,A1389,sj_eq,B1389,sj_po,C1389)&gt;1,"Ligne en double (même jour, équipe et poste)",IF(OR(NOT(ISNUMBER(K1389)),N(K1389)&lt;=0,N(K1389)&gt;1440),"Temps d'ouverture invalide",IF(OR(AND(G1389&lt;&gt;"",NOT(ISNUMBER(G1389))),N(G1389)&lt;0,N(G1389)&lt;&gt;INT(N(G1389)),AND(H1389&lt;&gt;"",NOT(ISNUMBER(H1389))),N(H1389)&lt;0,N(H1389)&lt;&gt;INT(N(H1389)),AND(I1389&lt;&gt;"",NOT(ISNUMBER(I1389))),N(I1389)&lt;0,N(I1389)&lt;&gt;INT(N(I1389))),"Quantité invalide",IF(Q1389&lt;=0,"Cadence manquante (poste ou article)",IF(M1389&lt;=0,"Arrêts planifiés supérieurs au temps d'ouverture",IF(O1389&lt;0,"Arrêts supérieurs au temps requis",IF(AND(P1389&gt;0,O1389=0),"Pièces déclarées sans temps de marche",IF(AND(P1389=0,O1389&gt;0),"Aucune pièce déclarée",IF(P1389*60/Q1389&gt;O1389+0.001,"Cadence dépassée : vérifiez la cadence","OK"))))))))))))))))))</f>
        <v/>
      </c>
      <c r="AC1389">
        <f>IF(OR(AB1389="OK",AB1389="Aucune pièce déclarée",AB1389="Cadence dépassée : vérifiez la cadence"),1,0)</f>
        <v>0.0</v>
      </c>
      <c r="AD1389">
        <f>IF(AND(AC1389=1,A1389&gt;=p_from,A1389&lt;=p_to),1,0)</f>
        <v>0.0</v>
      </c>
      <c r="AE1389">
        <f>IF(AD1389=1,IF(COUNTIFS($A$6:A1389,A1389,$AD$6:AD1389,1)=1,1,0),0)</f>
        <v>0.0</v>
      </c>
      <c r="AF1389" t="str">
        <f>IF(AE1389=1,COUNTIFS(sj_first,1,sj_date,"&lt;"&amp;A1389)+1,"")</f>
        <v/>
      </c>
      <c r="AG1389" t="str">
        <f>IF(AND(AD1389=1,N(W1389)&lt;p_alert),ROUND(W1389,4),"")</f>
        <v/>
      </c>
      <c r="AH1389" t="str">
        <f>IF(AG1389="","",COUNTIF(sj_akey,"&lt;"&amp;AG1389)+COUNTIF($AG$6:AG1389,AG1389))</f>
        <v/>
      </c>
    </row>
    <row r="1390">
      <c r="A1390" s="51" t="n"/>
      <c r="B1390" s="52" t="n"/>
      <c r="C1390" s="52" t="n"/>
      <c r="D1390" s="53" t="n"/>
      <c r="E1390" s="53" t="n"/>
      <c r="F1390" s="54" t="n"/>
      <c r="G1390" s="54" t="n"/>
      <c r="H1390" s="54" t="n"/>
      <c r="I1390" s="54" t="n"/>
      <c r="J1390" s="53" t="n"/>
      <c r="K1390" s="55" t="str">
        <f>IF(COUNTA(A1390:I1390)=0,"",IF(F1390="",IFERROR(INDEX(eq_dur,MATCH(B1390,eq_code,0)),""),F1390))</f>
        <v/>
      </c>
      <c r="L1390" s="55" t="str">
        <f>IF(ISNUMBER(K1390),N(IFERROR(INDEX(eq_pause,MATCH(B1390,eq_code,0)),0))+SUMIFS(st_min,st_date,A1390,st_eq,B1390,st_po,C1390,st_type,"Planifié"),"")</f>
        <v/>
      </c>
      <c r="M1390" s="55" t="str">
        <f>IF(ISNUMBER(K1390),K1390-L1390,"")</f>
        <v/>
      </c>
      <c r="N1390" s="55" t="str">
        <f>IF(ISNUMBER(K1390),SUMIFS(st_min,st_date,A1390,st_eq,B1390,st_po,C1390,st_type,"Non planifié"),"")</f>
        <v/>
      </c>
      <c r="O1390" s="55" t="str">
        <f>IF(ISNUMBER(K1390),M1390-N1390,"")</f>
        <v/>
      </c>
      <c r="P1390" s="55" t="str">
        <f>IF(COUNTA(A1390:I1390)=0,"",N(G1390)+N(H1390)+N(I1390))</f>
        <v/>
      </c>
      <c r="Q1390" s="56" t="str">
        <f>IF(COUNTA(A1390:I1390)=0,"",IF(N(IFERROR(INDEX(art_rate,MATCH(E1390,art_ref,0)),0))&gt;0,N(IFERROR(INDEX(art_rate,MATCH(E1390,art_ref,0)),0)),N(IFERROR(INDEX(po_rate,MATCH(C1390,po_code,0)),0))))</f>
        <v/>
      </c>
      <c r="R1390" s="55" t="str">
        <f>IF(AC1390=1,P1390*60/Q1390,"")</f>
        <v/>
      </c>
      <c r="S1390" s="55" t="str">
        <f>IF(AC1390=1,N(G1390)*60/Q1390,"")</f>
        <v/>
      </c>
      <c r="T1390" s="57" t="str">
        <f>IF(AC1390=1,O1390/M1390,"")</f>
        <v/>
      </c>
      <c r="U1390" s="57" t="str">
        <f>IF(AC1390=1,IF(O1390&gt;0,R1390/O1390,""),"")</f>
        <v/>
      </c>
      <c r="V1390" s="57" t="str">
        <f>IF(AC1390=1,IF(P1390&gt;0,N(G1390)/P1390,""),"")</f>
        <v/>
      </c>
      <c r="W1390" s="57" t="str">
        <f>IF(AC1390=1,S1390/M1390,"")</f>
        <v/>
      </c>
      <c r="X1390" s="57" t="str">
        <f>IF(AC1390=1,S1390/K1390,"")</f>
        <v/>
      </c>
      <c r="Y1390" s="58" t="str">
        <f>IF(W1390="","",IF(W1390&gt;=p_target,"Bon",IF(W1390&gt;=p_alert,"À surveiller","Faible")))</f>
        <v/>
      </c>
      <c r="Z1390" s="58" t="str">
        <f>IF(W1390="","",IF(MIN(IF(T1390="",1,T1390),IF(U1390="",1,U1390),IF(V1390="",1,V1390))&gt;=1,"Aucune",IF(IF(T1390="",1,T1390)&lt;=MIN(IF(U1390="",1,U1390),IF(V1390="",1,V1390)),"Disponibilité",IF(IF(U1390="",1,U1390)&lt;=IF(V1390="",1,V1390),"Performance","Qualité"))))</f>
        <v/>
      </c>
      <c r="AA1390" s="59" t="str">
        <f>IF(AC1390=1,N(H1390)*N(IFERROR(INDEX(art_cost,MATCH(E1390,art_ref,0)),0)),"")</f>
        <v/>
      </c>
      <c r="AB1390" s="58" t="str">
        <f>IF(COUNTA(A1390:I1390)=0,"",IF(N(A1390)&lt;=0,"Date manquante ou invalide",IF(B1390="","Équipe manquante",IF(ISNA(MATCH(B1390,eq_code,0)),"Équipe inconnue",IF(INDEX(eq_check,MATCH(B1390,eq_code,0))&lt;&gt;"OK","Équipe à corriger dans Paramètres",IF(C1390="","Poste manquant",IF(ISNA(MATCH(C1390,po_code,0)),"Poste inconnu",IF(AND(E1390&lt;&gt;"",ISNA(MATCH(E1390,art_ref,0))),"Article inconnu",IF(IF(E1390="",FALSE,INDEX(art_check,MATCH(E1390,art_ref,0))&lt;&gt;"OK"),"Article à corriger (feuille Articles)",IF(COUNTIFS(sj_date,A1390,sj_eq,B1390,sj_po,C1390)&gt;1,"Ligne en double (même jour, équipe et poste)",IF(OR(NOT(ISNUMBER(K1390)),N(K1390)&lt;=0,N(K1390)&gt;1440),"Temps d'ouverture invalide",IF(OR(AND(G1390&lt;&gt;"",NOT(ISNUMBER(G1390))),N(G1390)&lt;0,N(G1390)&lt;&gt;INT(N(G1390)),AND(H1390&lt;&gt;"",NOT(ISNUMBER(H1390))),N(H1390)&lt;0,N(H1390)&lt;&gt;INT(N(H1390)),AND(I1390&lt;&gt;"",NOT(ISNUMBER(I1390))),N(I1390)&lt;0,N(I1390)&lt;&gt;INT(N(I1390))),"Quantité invalide",IF(Q1390&lt;=0,"Cadence manquante (poste ou article)",IF(M1390&lt;=0,"Arrêts planifiés supérieurs au temps d'ouverture",IF(O1390&lt;0,"Arrêts supérieurs au temps requis",IF(AND(P1390&gt;0,O1390=0),"Pièces déclarées sans temps de marche",IF(AND(P1390=0,O1390&gt;0),"Aucune pièce déclarée",IF(P1390*60/Q1390&gt;O1390+0.001,"Cadence dépassée : vérifiez la cadence","OK"))))))))))))))))))</f>
        <v/>
      </c>
      <c r="AC1390">
        <f>IF(OR(AB1390="OK",AB1390="Aucune pièce déclarée",AB1390="Cadence dépassée : vérifiez la cadence"),1,0)</f>
        <v>0.0</v>
      </c>
      <c r="AD1390">
        <f>IF(AND(AC1390=1,A1390&gt;=p_from,A1390&lt;=p_to),1,0)</f>
        <v>0.0</v>
      </c>
      <c r="AE1390">
        <f>IF(AD1390=1,IF(COUNTIFS($A$6:A1390,A1390,$AD$6:AD1390,1)=1,1,0),0)</f>
        <v>0.0</v>
      </c>
      <c r="AF1390" t="str">
        <f>IF(AE1390=1,COUNTIFS(sj_first,1,sj_date,"&lt;"&amp;A1390)+1,"")</f>
        <v/>
      </c>
      <c r="AG1390" t="str">
        <f>IF(AND(AD1390=1,N(W1390)&lt;p_alert),ROUND(W1390,4),"")</f>
        <v/>
      </c>
      <c r="AH1390" t="str">
        <f>IF(AG1390="","",COUNTIF(sj_akey,"&lt;"&amp;AG1390)+COUNTIF($AG$6:AG1390,AG1390))</f>
        <v/>
      </c>
    </row>
    <row r="1391">
      <c r="A1391" s="51" t="n"/>
      <c r="B1391" s="52" t="n"/>
      <c r="C1391" s="52" t="n"/>
      <c r="D1391" s="53" t="n"/>
      <c r="E1391" s="53" t="n"/>
      <c r="F1391" s="54" t="n"/>
      <c r="G1391" s="54" t="n"/>
      <c r="H1391" s="54" t="n"/>
      <c r="I1391" s="54" t="n"/>
      <c r="J1391" s="53" t="n"/>
      <c r="K1391" s="55" t="str">
        <f>IF(COUNTA(A1391:I1391)=0,"",IF(F1391="",IFERROR(INDEX(eq_dur,MATCH(B1391,eq_code,0)),""),F1391))</f>
        <v/>
      </c>
      <c r="L1391" s="55" t="str">
        <f>IF(ISNUMBER(K1391),N(IFERROR(INDEX(eq_pause,MATCH(B1391,eq_code,0)),0))+SUMIFS(st_min,st_date,A1391,st_eq,B1391,st_po,C1391,st_type,"Planifié"),"")</f>
        <v/>
      </c>
      <c r="M1391" s="55" t="str">
        <f>IF(ISNUMBER(K1391),K1391-L1391,"")</f>
        <v/>
      </c>
      <c r="N1391" s="55" t="str">
        <f>IF(ISNUMBER(K1391),SUMIFS(st_min,st_date,A1391,st_eq,B1391,st_po,C1391,st_type,"Non planifié"),"")</f>
        <v/>
      </c>
      <c r="O1391" s="55" t="str">
        <f>IF(ISNUMBER(K1391),M1391-N1391,"")</f>
        <v/>
      </c>
      <c r="P1391" s="55" t="str">
        <f>IF(COUNTA(A1391:I1391)=0,"",N(G1391)+N(H1391)+N(I1391))</f>
        <v/>
      </c>
      <c r="Q1391" s="56" t="str">
        <f>IF(COUNTA(A1391:I1391)=0,"",IF(N(IFERROR(INDEX(art_rate,MATCH(E1391,art_ref,0)),0))&gt;0,N(IFERROR(INDEX(art_rate,MATCH(E1391,art_ref,0)),0)),N(IFERROR(INDEX(po_rate,MATCH(C1391,po_code,0)),0))))</f>
        <v/>
      </c>
      <c r="R1391" s="55" t="str">
        <f>IF(AC1391=1,P1391*60/Q1391,"")</f>
        <v/>
      </c>
      <c r="S1391" s="55" t="str">
        <f>IF(AC1391=1,N(G1391)*60/Q1391,"")</f>
        <v/>
      </c>
      <c r="T1391" s="57" t="str">
        <f>IF(AC1391=1,O1391/M1391,"")</f>
        <v/>
      </c>
      <c r="U1391" s="57" t="str">
        <f>IF(AC1391=1,IF(O1391&gt;0,R1391/O1391,""),"")</f>
        <v/>
      </c>
      <c r="V1391" s="57" t="str">
        <f>IF(AC1391=1,IF(P1391&gt;0,N(G1391)/P1391,""),"")</f>
        <v/>
      </c>
      <c r="W1391" s="57" t="str">
        <f>IF(AC1391=1,S1391/M1391,"")</f>
        <v/>
      </c>
      <c r="X1391" s="57" t="str">
        <f>IF(AC1391=1,S1391/K1391,"")</f>
        <v/>
      </c>
      <c r="Y1391" s="58" t="str">
        <f>IF(W1391="","",IF(W1391&gt;=p_target,"Bon",IF(W1391&gt;=p_alert,"À surveiller","Faible")))</f>
        <v/>
      </c>
      <c r="Z1391" s="58" t="str">
        <f>IF(W1391="","",IF(MIN(IF(T1391="",1,T1391),IF(U1391="",1,U1391),IF(V1391="",1,V1391))&gt;=1,"Aucune",IF(IF(T1391="",1,T1391)&lt;=MIN(IF(U1391="",1,U1391),IF(V1391="",1,V1391)),"Disponibilité",IF(IF(U1391="",1,U1391)&lt;=IF(V1391="",1,V1391),"Performance","Qualité"))))</f>
        <v/>
      </c>
      <c r="AA1391" s="59" t="str">
        <f>IF(AC1391=1,N(H1391)*N(IFERROR(INDEX(art_cost,MATCH(E1391,art_ref,0)),0)),"")</f>
        <v/>
      </c>
      <c r="AB1391" s="58" t="str">
        <f>IF(COUNTA(A1391:I1391)=0,"",IF(N(A1391)&lt;=0,"Date manquante ou invalide",IF(B1391="","Équipe manquante",IF(ISNA(MATCH(B1391,eq_code,0)),"Équipe inconnue",IF(INDEX(eq_check,MATCH(B1391,eq_code,0))&lt;&gt;"OK","Équipe à corriger dans Paramètres",IF(C1391="","Poste manquant",IF(ISNA(MATCH(C1391,po_code,0)),"Poste inconnu",IF(AND(E1391&lt;&gt;"",ISNA(MATCH(E1391,art_ref,0))),"Article inconnu",IF(IF(E1391="",FALSE,INDEX(art_check,MATCH(E1391,art_ref,0))&lt;&gt;"OK"),"Article à corriger (feuille Articles)",IF(COUNTIFS(sj_date,A1391,sj_eq,B1391,sj_po,C1391)&gt;1,"Ligne en double (même jour, équipe et poste)",IF(OR(NOT(ISNUMBER(K1391)),N(K1391)&lt;=0,N(K1391)&gt;1440),"Temps d'ouverture invalide",IF(OR(AND(G1391&lt;&gt;"",NOT(ISNUMBER(G1391))),N(G1391)&lt;0,N(G1391)&lt;&gt;INT(N(G1391)),AND(H1391&lt;&gt;"",NOT(ISNUMBER(H1391))),N(H1391)&lt;0,N(H1391)&lt;&gt;INT(N(H1391)),AND(I1391&lt;&gt;"",NOT(ISNUMBER(I1391))),N(I1391)&lt;0,N(I1391)&lt;&gt;INT(N(I1391))),"Quantité invalide",IF(Q1391&lt;=0,"Cadence manquante (poste ou article)",IF(M1391&lt;=0,"Arrêts planifiés supérieurs au temps d'ouverture",IF(O1391&lt;0,"Arrêts supérieurs au temps requis",IF(AND(P1391&gt;0,O1391=0),"Pièces déclarées sans temps de marche",IF(AND(P1391=0,O1391&gt;0),"Aucune pièce déclarée",IF(P1391*60/Q1391&gt;O1391+0.001,"Cadence dépassée : vérifiez la cadence","OK"))))))))))))))))))</f>
        <v/>
      </c>
      <c r="AC1391">
        <f>IF(OR(AB1391="OK",AB1391="Aucune pièce déclarée",AB1391="Cadence dépassée : vérifiez la cadence"),1,0)</f>
        <v>0.0</v>
      </c>
      <c r="AD1391">
        <f>IF(AND(AC1391=1,A1391&gt;=p_from,A1391&lt;=p_to),1,0)</f>
        <v>0.0</v>
      </c>
      <c r="AE1391">
        <f>IF(AD1391=1,IF(COUNTIFS($A$6:A1391,A1391,$AD$6:AD1391,1)=1,1,0),0)</f>
        <v>0.0</v>
      </c>
      <c r="AF1391" t="str">
        <f>IF(AE1391=1,COUNTIFS(sj_first,1,sj_date,"&lt;"&amp;A1391)+1,"")</f>
        <v/>
      </c>
      <c r="AG1391" t="str">
        <f>IF(AND(AD1391=1,N(W1391)&lt;p_alert),ROUND(W1391,4),"")</f>
        <v/>
      </c>
      <c r="AH1391" t="str">
        <f>IF(AG1391="","",COUNTIF(sj_akey,"&lt;"&amp;AG1391)+COUNTIF($AG$6:AG1391,AG1391))</f>
        <v/>
      </c>
    </row>
    <row r="1392">
      <c r="A1392" s="51" t="n"/>
      <c r="B1392" s="52" t="n"/>
      <c r="C1392" s="52" t="n"/>
      <c r="D1392" s="53" t="n"/>
      <c r="E1392" s="53" t="n"/>
      <c r="F1392" s="54" t="n"/>
      <c r="G1392" s="54" t="n"/>
      <c r="H1392" s="54" t="n"/>
      <c r="I1392" s="54" t="n"/>
      <c r="J1392" s="53" t="n"/>
      <c r="K1392" s="55" t="str">
        <f>IF(COUNTA(A1392:I1392)=0,"",IF(F1392="",IFERROR(INDEX(eq_dur,MATCH(B1392,eq_code,0)),""),F1392))</f>
        <v/>
      </c>
      <c r="L1392" s="55" t="str">
        <f>IF(ISNUMBER(K1392),N(IFERROR(INDEX(eq_pause,MATCH(B1392,eq_code,0)),0))+SUMIFS(st_min,st_date,A1392,st_eq,B1392,st_po,C1392,st_type,"Planifié"),"")</f>
        <v/>
      </c>
      <c r="M1392" s="55" t="str">
        <f>IF(ISNUMBER(K1392),K1392-L1392,"")</f>
        <v/>
      </c>
      <c r="N1392" s="55" t="str">
        <f>IF(ISNUMBER(K1392),SUMIFS(st_min,st_date,A1392,st_eq,B1392,st_po,C1392,st_type,"Non planifié"),"")</f>
        <v/>
      </c>
      <c r="O1392" s="55" t="str">
        <f>IF(ISNUMBER(K1392),M1392-N1392,"")</f>
        <v/>
      </c>
      <c r="P1392" s="55" t="str">
        <f>IF(COUNTA(A1392:I1392)=0,"",N(G1392)+N(H1392)+N(I1392))</f>
        <v/>
      </c>
      <c r="Q1392" s="56" t="str">
        <f>IF(COUNTA(A1392:I1392)=0,"",IF(N(IFERROR(INDEX(art_rate,MATCH(E1392,art_ref,0)),0))&gt;0,N(IFERROR(INDEX(art_rate,MATCH(E1392,art_ref,0)),0)),N(IFERROR(INDEX(po_rate,MATCH(C1392,po_code,0)),0))))</f>
        <v/>
      </c>
      <c r="R1392" s="55" t="str">
        <f>IF(AC1392=1,P1392*60/Q1392,"")</f>
        <v/>
      </c>
      <c r="S1392" s="55" t="str">
        <f>IF(AC1392=1,N(G1392)*60/Q1392,"")</f>
        <v/>
      </c>
      <c r="T1392" s="57" t="str">
        <f>IF(AC1392=1,O1392/M1392,"")</f>
        <v/>
      </c>
      <c r="U1392" s="57" t="str">
        <f>IF(AC1392=1,IF(O1392&gt;0,R1392/O1392,""),"")</f>
        <v/>
      </c>
      <c r="V1392" s="57" t="str">
        <f>IF(AC1392=1,IF(P1392&gt;0,N(G1392)/P1392,""),"")</f>
        <v/>
      </c>
      <c r="W1392" s="57" t="str">
        <f>IF(AC1392=1,S1392/M1392,"")</f>
        <v/>
      </c>
      <c r="X1392" s="57" t="str">
        <f>IF(AC1392=1,S1392/K1392,"")</f>
        <v/>
      </c>
      <c r="Y1392" s="58" t="str">
        <f>IF(W1392="","",IF(W1392&gt;=p_target,"Bon",IF(W1392&gt;=p_alert,"À surveiller","Faible")))</f>
        <v/>
      </c>
      <c r="Z1392" s="58" t="str">
        <f>IF(W1392="","",IF(MIN(IF(T1392="",1,T1392),IF(U1392="",1,U1392),IF(V1392="",1,V1392))&gt;=1,"Aucune",IF(IF(T1392="",1,T1392)&lt;=MIN(IF(U1392="",1,U1392),IF(V1392="",1,V1392)),"Disponibilité",IF(IF(U1392="",1,U1392)&lt;=IF(V1392="",1,V1392),"Performance","Qualité"))))</f>
        <v/>
      </c>
      <c r="AA1392" s="59" t="str">
        <f>IF(AC1392=1,N(H1392)*N(IFERROR(INDEX(art_cost,MATCH(E1392,art_ref,0)),0)),"")</f>
        <v/>
      </c>
      <c r="AB1392" s="58" t="str">
        <f>IF(COUNTA(A1392:I1392)=0,"",IF(N(A1392)&lt;=0,"Date manquante ou invalide",IF(B1392="","Équipe manquante",IF(ISNA(MATCH(B1392,eq_code,0)),"Équipe inconnue",IF(INDEX(eq_check,MATCH(B1392,eq_code,0))&lt;&gt;"OK","Équipe à corriger dans Paramètres",IF(C1392="","Poste manquant",IF(ISNA(MATCH(C1392,po_code,0)),"Poste inconnu",IF(AND(E1392&lt;&gt;"",ISNA(MATCH(E1392,art_ref,0))),"Article inconnu",IF(IF(E1392="",FALSE,INDEX(art_check,MATCH(E1392,art_ref,0))&lt;&gt;"OK"),"Article à corriger (feuille Articles)",IF(COUNTIFS(sj_date,A1392,sj_eq,B1392,sj_po,C1392)&gt;1,"Ligne en double (même jour, équipe et poste)",IF(OR(NOT(ISNUMBER(K1392)),N(K1392)&lt;=0,N(K1392)&gt;1440),"Temps d'ouverture invalide",IF(OR(AND(G1392&lt;&gt;"",NOT(ISNUMBER(G1392))),N(G1392)&lt;0,N(G1392)&lt;&gt;INT(N(G1392)),AND(H1392&lt;&gt;"",NOT(ISNUMBER(H1392))),N(H1392)&lt;0,N(H1392)&lt;&gt;INT(N(H1392)),AND(I1392&lt;&gt;"",NOT(ISNUMBER(I1392))),N(I1392)&lt;0,N(I1392)&lt;&gt;INT(N(I1392))),"Quantité invalide",IF(Q1392&lt;=0,"Cadence manquante (poste ou article)",IF(M1392&lt;=0,"Arrêts planifiés supérieurs au temps d'ouverture",IF(O1392&lt;0,"Arrêts supérieurs au temps requis",IF(AND(P1392&gt;0,O1392=0),"Pièces déclarées sans temps de marche",IF(AND(P1392=0,O1392&gt;0),"Aucune pièce déclarée",IF(P1392*60/Q1392&gt;O1392+0.001,"Cadence dépassée : vérifiez la cadence","OK"))))))))))))))))))</f>
        <v/>
      </c>
      <c r="AC1392">
        <f>IF(OR(AB1392="OK",AB1392="Aucune pièce déclarée",AB1392="Cadence dépassée : vérifiez la cadence"),1,0)</f>
        <v>0.0</v>
      </c>
      <c r="AD1392">
        <f>IF(AND(AC1392=1,A1392&gt;=p_from,A1392&lt;=p_to),1,0)</f>
        <v>0.0</v>
      </c>
      <c r="AE1392">
        <f>IF(AD1392=1,IF(COUNTIFS($A$6:A1392,A1392,$AD$6:AD1392,1)=1,1,0),0)</f>
        <v>0.0</v>
      </c>
      <c r="AF1392" t="str">
        <f>IF(AE1392=1,COUNTIFS(sj_first,1,sj_date,"&lt;"&amp;A1392)+1,"")</f>
        <v/>
      </c>
      <c r="AG1392" t="str">
        <f>IF(AND(AD1392=1,N(W1392)&lt;p_alert),ROUND(W1392,4),"")</f>
        <v/>
      </c>
      <c r="AH1392" t="str">
        <f>IF(AG1392="","",COUNTIF(sj_akey,"&lt;"&amp;AG1392)+COUNTIF($AG$6:AG1392,AG1392))</f>
        <v/>
      </c>
    </row>
    <row r="1393">
      <c r="A1393" s="51" t="n"/>
      <c r="B1393" s="52" t="n"/>
      <c r="C1393" s="52" t="n"/>
      <c r="D1393" s="53" t="n"/>
      <c r="E1393" s="53" t="n"/>
      <c r="F1393" s="54" t="n"/>
      <c r="G1393" s="54" t="n"/>
      <c r="H1393" s="54" t="n"/>
      <c r="I1393" s="54" t="n"/>
      <c r="J1393" s="53" t="n"/>
      <c r="K1393" s="55" t="str">
        <f>IF(COUNTA(A1393:I1393)=0,"",IF(F1393="",IFERROR(INDEX(eq_dur,MATCH(B1393,eq_code,0)),""),F1393))</f>
        <v/>
      </c>
      <c r="L1393" s="55" t="str">
        <f>IF(ISNUMBER(K1393),N(IFERROR(INDEX(eq_pause,MATCH(B1393,eq_code,0)),0))+SUMIFS(st_min,st_date,A1393,st_eq,B1393,st_po,C1393,st_type,"Planifié"),"")</f>
        <v/>
      </c>
      <c r="M1393" s="55" t="str">
        <f>IF(ISNUMBER(K1393),K1393-L1393,"")</f>
        <v/>
      </c>
      <c r="N1393" s="55" t="str">
        <f>IF(ISNUMBER(K1393),SUMIFS(st_min,st_date,A1393,st_eq,B1393,st_po,C1393,st_type,"Non planifié"),"")</f>
        <v/>
      </c>
      <c r="O1393" s="55" t="str">
        <f>IF(ISNUMBER(K1393),M1393-N1393,"")</f>
        <v/>
      </c>
      <c r="P1393" s="55" t="str">
        <f>IF(COUNTA(A1393:I1393)=0,"",N(G1393)+N(H1393)+N(I1393))</f>
        <v/>
      </c>
      <c r="Q1393" s="56" t="str">
        <f>IF(COUNTA(A1393:I1393)=0,"",IF(N(IFERROR(INDEX(art_rate,MATCH(E1393,art_ref,0)),0))&gt;0,N(IFERROR(INDEX(art_rate,MATCH(E1393,art_ref,0)),0)),N(IFERROR(INDEX(po_rate,MATCH(C1393,po_code,0)),0))))</f>
        <v/>
      </c>
      <c r="R1393" s="55" t="str">
        <f>IF(AC1393=1,P1393*60/Q1393,"")</f>
        <v/>
      </c>
      <c r="S1393" s="55" t="str">
        <f>IF(AC1393=1,N(G1393)*60/Q1393,"")</f>
        <v/>
      </c>
      <c r="T1393" s="57" t="str">
        <f>IF(AC1393=1,O1393/M1393,"")</f>
        <v/>
      </c>
      <c r="U1393" s="57" t="str">
        <f>IF(AC1393=1,IF(O1393&gt;0,R1393/O1393,""),"")</f>
        <v/>
      </c>
      <c r="V1393" s="57" t="str">
        <f>IF(AC1393=1,IF(P1393&gt;0,N(G1393)/P1393,""),"")</f>
        <v/>
      </c>
      <c r="W1393" s="57" t="str">
        <f>IF(AC1393=1,S1393/M1393,"")</f>
        <v/>
      </c>
      <c r="X1393" s="57" t="str">
        <f>IF(AC1393=1,S1393/K1393,"")</f>
        <v/>
      </c>
      <c r="Y1393" s="58" t="str">
        <f>IF(W1393="","",IF(W1393&gt;=p_target,"Bon",IF(W1393&gt;=p_alert,"À surveiller","Faible")))</f>
        <v/>
      </c>
      <c r="Z1393" s="58" t="str">
        <f>IF(W1393="","",IF(MIN(IF(T1393="",1,T1393),IF(U1393="",1,U1393),IF(V1393="",1,V1393))&gt;=1,"Aucune",IF(IF(T1393="",1,T1393)&lt;=MIN(IF(U1393="",1,U1393),IF(V1393="",1,V1393)),"Disponibilité",IF(IF(U1393="",1,U1393)&lt;=IF(V1393="",1,V1393),"Performance","Qualité"))))</f>
        <v/>
      </c>
      <c r="AA1393" s="59" t="str">
        <f>IF(AC1393=1,N(H1393)*N(IFERROR(INDEX(art_cost,MATCH(E1393,art_ref,0)),0)),"")</f>
        <v/>
      </c>
      <c r="AB1393" s="58" t="str">
        <f>IF(COUNTA(A1393:I1393)=0,"",IF(N(A1393)&lt;=0,"Date manquante ou invalide",IF(B1393="","Équipe manquante",IF(ISNA(MATCH(B1393,eq_code,0)),"Équipe inconnue",IF(INDEX(eq_check,MATCH(B1393,eq_code,0))&lt;&gt;"OK","Équipe à corriger dans Paramètres",IF(C1393="","Poste manquant",IF(ISNA(MATCH(C1393,po_code,0)),"Poste inconnu",IF(AND(E1393&lt;&gt;"",ISNA(MATCH(E1393,art_ref,0))),"Article inconnu",IF(IF(E1393="",FALSE,INDEX(art_check,MATCH(E1393,art_ref,0))&lt;&gt;"OK"),"Article à corriger (feuille Articles)",IF(COUNTIFS(sj_date,A1393,sj_eq,B1393,sj_po,C1393)&gt;1,"Ligne en double (même jour, équipe et poste)",IF(OR(NOT(ISNUMBER(K1393)),N(K1393)&lt;=0,N(K1393)&gt;1440),"Temps d'ouverture invalide",IF(OR(AND(G1393&lt;&gt;"",NOT(ISNUMBER(G1393))),N(G1393)&lt;0,N(G1393)&lt;&gt;INT(N(G1393)),AND(H1393&lt;&gt;"",NOT(ISNUMBER(H1393))),N(H1393)&lt;0,N(H1393)&lt;&gt;INT(N(H1393)),AND(I1393&lt;&gt;"",NOT(ISNUMBER(I1393))),N(I1393)&lt;0,N(I1393)&lt;&gt;INT(N(I1393))),"Quantité invalide",IF(Q1393&lt;=0,"Cadence manquante (poste ou article)",IF(M1393&lt;=0,"Arrêts planifiés supérieurs au temps d'ouverture",IF(O1393&lt;0,"Arrêts supérieurs au temps requis",IF(AND(P1393&gt;0,O1393=0),"Pièces déclarées sans temps de marche",IF(AND(P1393=0,O1393&gt;0),"Aucune pièce déclarée",IF(P1393*60/Q1393&gt;O1393+0.001,"Cadence dépassée : vérifiez la cadence","OK"))))))))))))))))))</f>
        <v/>
      </c>
      <c r="AC1393">
        <f>IF(OR(AB1393="OK",AB1393="Aucune pièce déclarée",AB1393="Cadence dépassée : vérifiez la cadence"),1,0)</f>
        <v>0.0</v>
      </c>
      <c r="AD1393">
        <f>IF(AND(AC1393=1,A1393&gt;=p_from,A1393&lt;=p_to),1,0)</f>
        <v>0.0</v>
      </c>
      <c r="AE1393">
        <f>IF(AD1393=1,IF(COUNTIFS($A$6:A1393,A1393,$AD$6:AD1393,1)=1,1,0),0)</f>
        <v>0.0</v>
      </c>
      <c r="AF1393" t="str">
        <f>IF(AE1393=1,COUNTIFS(sj_first,1,sj_date,"&lt;"&amp;A1393)+1,"")</f>
        <v/>
      </c>
      <c r="AG1393" t="str">
        <f>IF(AND(AD1393=1,N(W1393)&lt;p_alert),ROUND(W1393,4),"")</f>
        <v/>
      </c>
      <c r="AH1393" t="str">
        <f>IF(AG1393="","",COUNTIF(sj_akey,"&lt;"&amp;AG1393)+COUNTIF($AG$6:AG1393,AG1393))</f>
        <v/>
      </c>
    </row>
    <row r="1394">
      <c r="A1394" s="51" t="n"/>
      <c r="B1394" s="52" t="n"/>
      <c r="C1394" s="52" t="n"/>
      <c r="D1394" s="53" t="n"/>
      <c r="E1394" s="53" t="n"/>
      <c r="F1394" s="54" t="n"/>
      <c r="G1394" s="54" t="n"/>
      <c r="H1394" s="54" t="n"/>
      <c r="I1394" s="54" t="n"/>
      <c r="J1394" s="53" t="n"/>
      <c r="K1394" s="55" t="str">
        <f>IF(COUNTA(A1394:I1394)=0,"",IF(F1394="",IFERROR(INDEX(eq_dur,MATCH(B1394,eq_code,0)),""),F1394))</f>
        <v/>
      </c>
      <c r="L1394" s="55" t="str">
        <f>IF(ISNUMBER(K1394),N(IFERROR(INDEX(eq_pause,MATCH(B1394,eq_code,0)),0))+SUMIFS(st_min,st_date,A1394,st_eq,B1394,st_po,C1394,st_type,"Planifié"),"")</f>
        <v/>
      </c>
      <c r="M1394" s="55" t="str">
        <f>IF(ISNUMBER(K1394),K1394-L1394,"")</f>
        <v/>
      </c>
      <c r="N1394" s="55" t="str">
        <f>IF(ISNUMBER(K1394),SUMIFS(st_min,st_date,A1394,st_eq,B1394,st_po,C1394,st_type,"Non planifié"),"")</f>
        <v/>
      </c>
      <c r="O1394" s="55" t="str">
        <f>IF(ISNUMBER(K1394),M1394-N1394,"")</f>
        <v/>
      </c>
      <c r="P1394" s="55" t="str">
        <f>IF(COUNTA(A1394:I1394)=0,"",N(G1394)+N(H1394)+N(I1394))</f>
        <v/>
      </c>
      <c r="Q1394" s="56" t="str">
        <f>IF(COUNTA(A1394:I1394)=0,"",IF(N(IFERROR(INDEX(art_rate,MATCH(E1394,art_ref,0)),0))&gt;0,N(IFERROR(INDEX(art_rate,MATCH(E1394,art_ref,0)),0)),N(IFERROR(INDEX(po_rate,MATCH(C1394,po_code,0)),0))))</f>
        <v/>
      </c>
      <c r="R1394" s="55" t="str">
        <f>IF(AC1394=1,P1394*60/Q1394,"")</f>
        <v/>
      </c>
      <c r="S1394" s="55" t="str">
        <f>IF(AC1394=1,N(G1394)*60/Q1394,"")</f>
        <v/>
      </c>
      <c r="T1394" s="57" t="str">
        <f>IF(AC1394=1,O1394/M1394,"")</f>
        <v/>
      </c>
      <c r="U1394" s="57" t="str">
        <f>IF(AC1394=1,IF(O1394&gt;0,R1394/O1394,""),"")</f>
        <v/>
      </c>
      <c r="V1394" s="57" t="str">
        <f>IF(AC1394=1,IF(P1394&gt;0,N(G1394)/P1394,""),"")</f>
        <v/>
      </c>
      <c r="W1394" s="57" t="str">
        <f>IF(AC1394=1,S1394/M1394,"")</f>
        <v/>
      </c>
      <c r="X1394" s="57" t="str">
        <f>IF(AC1394=1,S1394/K1394,"")</f>
        <v/>
      </c>
      <c r="Y1394" s="58" t="str">
        <f>IF(W1394="","",IF(W1394&gt;=p_target,"Bon",IF(W1394&gt;=p_alert,"À surveiller","Faible")))</f>
        <v/>
      </c>
      <c r="Z1394" s="58" t="str">
        <f>IF(W1394="","",IF(MIN(IF(T1394="",1,T1394),IF(U1394="",1,U1394),IF(V1394="",1,V1394))&gt;=1,"Aucune",IF(IF(T1394="",1,T1394)&lt;=MIN(IF(U1394="",1,U1394),IF(V1394="",1,V1394)),"Disponibilité",IF(IF(U1394="",1,U1394)&lt;=IF(V1394="",1,V1394),"Performance","Qualité"))))</f>
        <v/>
      </c>
      <c r="AA1394" s="59" t="str">
        <f>IF(AC1394=1,N(H1394)*N(IFERROR(INDEX(art_cost,MATCH(E1394,art_ref,0)),0)),"")</f>
        <v/>
      </c>
      <c r="AB1394" s="58" t="str">
        <f>IF(COUNTA(A1394:I1394)=0,"",IF(N(A1394)&lt;=0,"Date manquante ou invalide",IF(B1394="","Équipe manquante",IF(ISNA(MATCH(B1394,eq_code,0)),"Équipe inconnue",IF(INDEX(eq_check,MATCH(B1394,eq_code,0))&lt;&gt;"OK","Équipe à corriger dans Paramètres",IF(C1394="","Poste manquant",IF(ISNA(MATCH(C1394,po_code,0)),"Poste inconnu",IF(AND(E1394&lt;&gt;"",ISNA(MATCH(E1394,art_ref,0))),"Article inconnu",IF(IF(E1394="",FALSE,INDEX(art_check,MATCH(E1394,art_ref,0))&lt;&gt;"OK"),"Article à corriger (feuille Articles)",IF(COUNTIFS(sj_date,A1394,sj_eq,B1394,sj_po,C1394)&gt;1,"Ligne en double (même jour, équipe et poste)",IF(OR(NOT(ISNUMBER(K1394)),N(K1394)&lt;=0,N(K1394)&gt;1440),"Temps d'ouverture invalide",IF(OR(AND(G1394&lt;&gt;"",NOT(ISNUMBER(G1394))),N(G1394)&lt;0,N(G1394)&lt;&gt;INT(N(G1394)),AND(H1394&lt;&gt;"",NOT(ISNUMBER(H1394))),N(H1394)&lt;0,N(H1394)&lt;&gt;INT(N(H1394)),AND(I1394&lt;&gt;"",NOT(ISNUMBER(I1394))),N(I1394)&lt;0,N(I1394)&lt;&gt;INT(N(I1394))),"Quantité invalide",IF(Q1394&lt;=0,"Cadence manquante (poste ou article)",IF(M1394&lt;=0,"Arrêts planifiés supérieurs au temps d'ouverture",IF(O1394&lt;0,"Arrêts supérieurs au temps requis",IF(AND(P1394&gt;0,O1394=0),"Pièces déclarées sans temps de marche",IF(AND(P1394=0,O1394&gt;0),"Aucune pièce déclarée",IF(P1394*60/Q1394&gt;O1394+0.001,"Cadence dépassée : vérifiez la cadence","OK"))))))))))))))))))</f>
        <v/>
      </c>
      <c r="AC1394">
        <f>IF(OR(AB1394="OK",AB1394="Aucune pièce déclarée",AB1394="Cadence dépassée : vérifiez la cadence"),1,0)</f>
        <v>0.0</v>
      </c>
      <c r="AD1394">
        <f>IF(AND(AC1394=1,A1394&gt;=p_from,A1394&lt;=p_to),1,0)</f>
        <v>0.0</v>
      </c>
      <c r="AE1394">
        <f>IF(AD1394=1,IF(COUNTIFS($A$6:A1394,A1394,$AD$6:AD1394,1)=1,1,0),0)</f>
        <v>0.0</v>
      </c>
      <c r="AF1394" t="str">
        <f>IF(AE1394=1,COUNTIFS(sj_first,1,sj_date,"&lt;"&amp;A1394)+1,"")</f>
        <v/>
      </c>
      <c r="AG1394" t="str">
        <f>IF(AND(AD1394=1,N(W1394)&lt;p_alert),ROUND(W1394,4),"")</f>
        <v/>
      </c>
      <c r="AH1394" t="str">
        <f>IF(AG1394="","",COUNTIF(sj_akey,"&lt;"&amp;AG1394)+COUNTIF($AG$6:AG1394,AG1394))</f>
        <v/>
      </c>
    </row>
    <row r="1395">
      <c r="A1395" s="51" t="n"/>
      <c r="B1395" s="52" t="n"/>
      <c r="C1395" s="52" t="n"/>
      <c r="D1395" s="53" t="n"/>
      <c r="E1395" s="53" t="n"/>
      <c r="F1395" s="54" t="n"/>
      <c r="G1395" s="54" t="n"/>
      <c r="H1395" s="54" t="n"/>
      <c r="I1395" s="54" t="n"/>
      <c r="J1395" s="53" t="n"/>
      <c r="K1395" s="55" t="str">
        <f>IF(COUNTA(A1395:I1395)=0,"",IF(F1395="",IFERROR(INDEX(eq_dur,MATCH(B1395,eq_code,0)),""),F1395))</f>
        <v/>
      </c>
      <c r="L1395" s="55" t="str">
        <f>IF(ISNUMBER(K1395),N(IFERROR(INDEX(eq_pause,MATCH(B1395,eq_code,0)),0))+SUMIFS(st_min,st_date,A1395,st_eq,B1395,st_po,C1395,st_type,"Planifié"),"")</f>
        <v/>
      </c>
      <c r="M1395" s="55" t="str">
        <f>IF(ISNUMBER(K1395),K1395-L1395,"")</f>
        <v/>
      </c>
      <c r="N1395" s="55" t="str">
        <f>IF(ISNUMBER(K1395),SUMIFS(st_min,st_date,A1395,st_eq,B1395,st_po,C1395,st_type,"Non planifié"),"")</f>
        <v/>
      </c>
      <c r="O1395" s="55" t="str">
        <f>IF(ISNUMBER(K1395),M1395-N1395,"")</f>
        <v/>
      </c>
      <c r="P1395" s="55" t="str">
        <f>IF(COUNTA(A1395:I1395)=0,"",N(G1395)+N(H1395)+N(I1395))</f>
        <v/>
      </c>
      <c r="Q1395" s="56" t="str">
        <f>IF(COUNTA(A1395:I1395)=0,"",IF(N(IFERROR(INDEX(art_rate,MATCH(E1395,art_ref,0)),0))&gt;0,N(IFERROR(INDEX(art_rate,MATCH(E1395,art_ref,0)),0)),N(IFERROR(INDEX(po_rate,MATCH(C1395,po_code,0)),0))))</f>
        <v/>
      </c>
      <c r="R1395" s="55" t="str">
        <f>IF(AC1395=1,P1395*60/Q1395,"")</f>
        <v/>
      </c>
      <c r="S1395" s="55" t="str">
        <f>IF(AC1395=1,N(G1395)*60/Q1395,"")</f>
        <v/>
      </c>
      <c r="T1395" s="57" t="str">
        <f>IF(AC1395=1,O1395/M1395,"")</f>
        <v/>
      </c>
      <c r="U1395" s="57" t="str">
        <f>IF(AC1395=1,IF(O1395&gt;0,R1395/O1395,""),"")</f>
        <v/>
      </c>
      <c r="V1395" s="57" t="str">
        <f>IF(AC1395=1,IF(P1395&gt;0,N(G1395)/P1395,""),"")</f>
        <v/>
      </c>
      <c r="W1395" s="57" t="str">
        <f>IF(AC1395=1,S1395/M1395,"")</f>
        <v/>
      </c>
      <c r="X1395" s="57" t="str">
        <f>IF(AC1395=1,S1395/K1395,"")</f>
        <v/>
      </c>
      <c r="Y1395" s="58" t="str">
        <f>IF(W1395="","",IF(W1395&gt;=p_target,"Bon",IF(W1395&gt;=p_alert,"À surveiller","Faible")))</f>
        <v/>
      </c>
      <c r="Z1395" s="58" t="str">
        <f>IF(W1395="","",IF(MIN(IF(T1395="",1,T1395),IF(U1395="",1,U1395),IF(V1395="",1,V1395))&gt;=1,"Aucune",IF(IF(T1395="",1,T1395)&lt;=MIN(IF(U1395="",1,U1395),IF(V1395="",1,V1395)),"Disponibilité",IF(IF(U1395="",1,U1395)&lt;=IF(V1395="",1,V1395),"Performance","Qualité"))))</f>
        <v/>
      </c>
      <c r="AA1395" s="59" t="str">
        <f>IF(AC1395=1,N(H1395)*N(IFERROR(INDEX(art_cost,MATCH(E1395,art_ref,0)),0)),"")</f>
        <v/>
      </c>
      <c r="AB1395" s="58" t="str">
        <f>IF(COUNTA(A1395:I1395)=0,"",IF(N(A1395)&lt;=0,"Date manquante ou invalide",IF(B1395="","Équipe manquante",IF(ISNA(MATCH(B1395,eq_code,0)),"Équipe inconnue",IF(INDEX(eq_check,MATCH(B1395,eq_code,0))&lt;&gt;"OK","Équipe à corriger dans Paramètres",IF(C1395="","Poste manquant",IF(ISNA(MATCH(C1395,po_code,0)),"Poste inconnu",IF(AND(E1395&lt;&gt;"",ISNA(MATCH(E1395,art_ref,0))),"Article inconnu",IF(IF(E1395="",FALSE,INDEX(art_check,MATCH(E1395,art_ref,0))&lt;&gt;"OK"),"Article à corriger (feuille Articles)",IF(COUNTIFS(sj_date,A1395,sj_eq,B1395,sj_po,C1395)&gt;1,"Ligne en double (même jour, équipe et poste)",IF(OR(NOT(ISNUMBER(K1395)),N(K1395)&lt;=0,N(K1395)&gt;1440),"Temps d'ouverture invalide",IF(OR(AND(G1395&lt;&gt;"",NOT(ISNUMBER(G1395))),N(G1395)&lt;0,N(G1395)&lt;&gt;INT(N(G1395)),AND(H1395&lt;&gt;"",NOT(ISNUMBER(H1395))),N(H1395)&lt;0,N(H1395)&lt;&gt;INT(N(H1395)),AND(I1395&lt;&gt;"",NOT(ISNUMBER(I1395))),N(I1395)&lt;0,N(I1395)&lt;&gt;INT(N(I1395))),"Quantité invalide",IF(Q1395&lt;=0,"Cadence manquante (poste ou article)",IF(M1395&lt;=0,"Arrêts planifiés supérieurs au temps d'ouverture",IF(O1395&lt;0,"Arrêts supérieurs au temps requis",IF(AND(P1395&gt;0,O1395=0),"Pièces déclarées sans temps de marche",IF(AND(P1395=0,O1395&gt;0),"Aucune pièce déclarée",IF(P1395*60/Q1395&gt;O1395+0.001,"Cadence dépassée : vérifiez la cadence","OK"))))))))))))))))))</f>
        <v/>
      </c>
      <c r="AC1395">
        <f>IF(OR(AB1395="OK",AB1395="Aucune pièce déclarée",AB1395="Cadence dépassée : vérifiez la cadence"),1,0)</f>
        <v>0.0</v>
      </c>
      <c r="AD1395">
        <f>IF(AND(AC1395=1,A1395&gt;=p_from,A1395&lt;=p_to),1,0)</f>
        <v>0.0</v>
      </c>
      <c r="AE1395">
        <f>IF(AD1395=1,IF(COUNTIFS($A$6:A1395,A1395,$AD$6:AD1395,1)=1,1,0),0)</f>
        <v>0.0</v>
      </c>
      <c r="AF1395" t="str">
        <f>IF(AE1395=1,COUNTIFS(sj_first,1,sj_date,"&lt;"&amp;A1395)+1,"")</f>
        <v/>
      </c>
      <c r="AG1395" t="str">
        <f>IF(AND(AD1395=1,N(W1395)&lt;p_alert),ROUND(W1395,4),"")</f>
        <v/>
      </c>
      <c r="AH1395" t="str">
        <f>IF(AG1395="","",COUNTIF(sj_akey,"&lt;"&amp;AG1395)+COUNTIF($AG$6:AG1395,AG1395))</f>
        <v/>
      </c>
    </row>
    <row r="1396">
      <c r="A1396" s="51" t="n"/>
      <c r="B1396" s="52" t="n"/>
      <c r="C1396" s="52" t="n"/>
      <c r="D1396" s="53" t="n"/>
      <c r="E1396" s="53" t="n"/>
      <c r="F1396" s="54" t="n"/>
      <c r="G1396" s="54" t="n"/>
      <c r="H1396" s="54" t="n"/>
      <c r="I1396" s="54" t="n"/>
      <c r="J1396" s="53" t="n"/>
      <c r="K1396" s="55" t="str">
        <f>IF(COUNTA(A1396:I1396)=0,"",IF(F1396="",IFERROR(INDEX(eq_dur,MATCH(B1396,eq_code,0)),""),F1396))</f>
        <v/>
      </c>
      <c r="L1396" s="55" t="str">
        <f>IF(ISNUMBER(K1396),N(IFERROR(INDEX(eq_pause,MATCH(B1396,eq_code,0)),0))+SUMIFS(st_min,st_date,A1396,st_eq,B1396,st_po,C1396,st_type,"Planifié"),"")</f>
        <v/>
      </c>
      <c r="M1396" s="55" t="str">
        <f>IF(ISNUMBER(K1396),K1396-L1396,"")</f>
        <v/>
      </c>
      <c r="N1396" s="55" t="str">
        <f>IF(ISNUMBER(K1396),SUMIFS(st_min,st_date,A1396,st_eq,B1396,st_po,C1396,st_type,"Non planifié"),"")</f>
        <v/>
      </c>
      <c r="O1396" s="55" t="str">
        <f>IF(ISNUMBER(K1396),M1396-N1396,"")</f>
        <v/>
      </c>
      <c r="P1396" s="55" t="str">
        <f>IF(COUNTA(A1396:I1396)=0,"",N(G1396)+N(H1396)+N(I1396))</f>
        <v/>
      </c>
      <c r="Q1396" s="56" t="str">
        <f>IF(COUNTA(A1396:I1396)=0,"",IF(N(IFERROR(INDEX(art_rate,MATCH(E1396,art_ref,0)),0))&gt;0,N(IFERROR(INDEX(art_rate,MATCH(E1396,art_ref,0)),0)),N(IFERROR(INDEX(po_rate,MATCH(C1396,po_code,0)),0))))</f>
        <v/>
      </c>
      <c r="R1396" s="55" t="str">
        <f>IF(AC1396=1,P1396*60/Q1396,"")</f>
        <v/>
      </c>
      <c r="S1396" s="55" t="str">
        <f>IF(AC1396=1,N(G1396)*60/Q1396,"")</f>
        <v/>
      </c>
      <c r="T1396" s="57" t="str">
        <f>IF(AC1396=1,O1396/M1396,"")</f>
        <v/>
      </c>
      <c r="U1396" s="57" t="str">
        <f>IF(AC1396=1,IF(O1396&gt;0,R1396/O1396,""),"")</f>
        <v/>
      </c>
      <c r="V1396" s="57" t="str">
        <f>IF(AC1396=1,IF(P1396&gt;0,N(G1396)/P1396,""),"")</f>
        <v/>
      </c>
      <c r="W1396" s="57" t="str">
        <f>IF(AC1396=1,S1396/M1396,"")</f>
        <v/>
      </c>
      <c r="X1396" s="57" t="str">
        <f>IF(AC1396=1,S1396/K1396,"")</f>
        <v/>
      </c>
      <c r="Y1396" s="58" t="str">
        <f>IF(W1396="","",IF(W1396&gt;=p_target,"Bon",IF(W1396&gt;=p_alert,"À surveiller","Faible")))</f>
        <v/>
      </c>
      <c r="Z1396" s="58" t="str">
        <f>IF(W1396="","",IF(MIN(IF(T1396="",1,T1396),IF(U1396="",1,U1396),IF(V1396="",1,V1396))&gt;=1,"Aucune",IF(IF(T1396="",1,T1396)&lt;=MIN(IF(U1396="",1,U1396),IF(V1396="",1,V1396)),"Disponibilité",IF(IF(U1396="",1,U1396)&lt;=IF(V1396="",1,V1396),"Performance","Qualité"))))</f>
        <v/>
      </c>
      <c r="AA1396" s="59" t="str">
        <f>IF(AC1396=1,N(H1396)*N(IFERROR(INDEX(art_cost,MATCH(E1396,art_ref,0)),0)),"")</f>
        <v/>
      </c>
      <c r="AB1396" s="58" t="str">
        <f>IF(COUNTA(A1396:I1396)=0,"",IF(N(A1396)&lt;=0,"Date manquante ou invalide",IF(B1396="","Équipe manquante",IF(ISNA(MATCH(B1396,eq_code,0)),"Équipe inconnue",IF(INDEX(eq_check,MATCH(B1396,eq_code,0))&lt;&gt;"OK","Équipe à corriger dans Paramètres",IF(C1396="","Poste manquant",IF(ISNA(MATCH(C1396,po_code,0)),"Poste inconnu",IF(AND(E1396&lt;&gt;"",ISNA(MATCH(E1396,art_ref,0))),"Article inconnu",IF(IF(E1396="",FALSE,INDEX(art_check,MATCH(E1396,art_ref,0))&lt;&gt;"OK"),"Article à corriger (feuille Articles)",IF(COUNTIFS(sj_date,A1396,sj_eq,B1396,sj_po,C1396)&gt;1,"Ligne en double (même jour, équipe et poste)",IF(OR(NOT(ISNUMBER(K1396)),N(K1396)&lt;=0,N(K1396)&gt;1440),"Temps d'ouverture invalide",IF(OR(AND(G1396&lt;&gt;"",NOT(ISNUMBER(G1396))),N(G1396)&lt;0,N(G1396)&lt;&gt;INT(N(G1396)),AND(H1396&lt;&gt;"",NOT(ISNUMBER(H1396))),N(H1396)&lt;0,N(H1396)&lt;&gt;INT(N(H1396)),AND(I1396&lt;&gt;"",NOT(ISNUMBER(I1396))),N(I1396)&lt;0,N(I1396)&lt;&gt;INT(N(I1396))),"Quantité invalide",IF(Q1396&lt;=0,"Cadence manquante (poste ou article)",IF(M1396&lt;=0,"Arrêts planifiés supérieurs au temps d'ouverture",IF(O1396&lt;0,"Arrêts supérieurs au temps requis",IF(AND(P1396&gt;0,O1396=0),"Pièces déclarées sans temps de marche",IF(AND(P1396=0,O1396&gt;0),"Aucune pièce déclarée",IF(P1396*60/Q1396&gt;O1396+0.001,"Cadence dépassée : vérifiez la cadence","OK"))))))))))))))))))</f>
        <v/>
      </c>
      <c r="AC1396">
        <f>IF(OR(AB1396="OK",AB1396="Aucune pièce déclarée",AB1396="Cadence dépassée : vérifiez la cadence"),1,0)</f>
        <v>0.0</v>
      </c>
      <c r="AD1396">
        <f>IF(AND(AC1396=1,A1396&gt;=p_from,A1396&lt;=p_to),1,0)</f>
        <v>0.0</v>
      </c>
      <c r="AE1396">
        <f>IF(AD1396=1,IF(COUNTIFS($A$6:A1396,A1396,$AD$6:AD1396,1)=1,1,0),0)</f>
        <v>0.0</v>
      </c>
      <c r="AF1396" t="str">
        <f>IF(AE1396=1,COUNTIFS(sj_first,1,sj_date,"&lt;"&amp;A1396)+1,"")</f>
        <v/>
      </c>
      <c r="AG1396" t="str">
        <f>IF(AND(AD1396=1,N(W1396)&lt;p_alert),ROUND(W1396,4),"")</f>
        <v/>
      </c>
      <c r="AH1396" t="str">
        <f>IF(AG1396="","",COUNTIF(sj_akey,"&lt;"&amp;AG1396)+COUNTIF($AG$6:AG1396,AG1396))</f>
        <v/>
      </c>
    </row>
    <row r="1397">
      <c r="A1397" s="51" t="n"/>
      <c r="B1397" s="52" t="n"/>
      <c r="C1397" s="52" t="n"/>
      <c r="D1397" s="53" t="n"/>
      <c r="E1397" s="53" t="n"/>
      <c r="F1397" s="54" t="n"/>
      <c r="G1397" s="54" t="n"/>
      <c r="H1397" s="54" t="n"/>
      <c r="I1397" s="54" t="n"/>
      <c r="J1397" s="53" t="n"/>
      <c r="K1397" s="55" t="str">
        <f>IF(COUNTA(A1397:I1397)=0,"",IF(F1397="",IFERROR(INDEX(eq_dur,MATCH(B1397,eq_code,0)),""),F1397))</f>
        <v/>
      </c>
      <c r="L1397" s="55" t="str">
        <f>IF(ISNUMBER(K1397),N(IFERROR(INDEX(eq_pause,MATCH(B1397,eq_code,0)),0))+SUMIFS(st_min,st_date,A1397,st_eq,B1397,st_po,C1397,st_type,"Planifié"),"")</f>
        <v/>
      </c>
      <c r="M1397" s="55" t="str">
        <f>IF(ISNUMBER(K1397),K1397-L1397,"")</f>
        <v/>
      </c>
      <c r="N1397" s="55" t="str">
        <f>IF(ISNUMBER(K1397),SUMIFS(st_min,st_date,A1397,st_eq,B1397,st_po,C1397,st_type,"Non planifié"),"")</f>
        <v/>
      </c>
      <c r="O1397" s="55" t="str">
        <f>IF(ISNUMBER(K1397),M1397-N1397,"")</f>
        <v/>
      </c>
      <c r="P1397" s="55" t="str">
        <f>IF(COUNTA(A1397:I1397)=0,"",N(G1397)+N(H1397)+N(I1397))</f>
        <v/>
      </c>
      <c r="Q1397" s="56" t="str">
        <f>IF(COUNTA(A1397:I1397)=0,"",IF(N(IFERROR(INDEX(art_rate,MATCH(E1397,art_ref,0)),0))&gt;0,N(IFERROR(INDEX(art_rate,MATCH(E1397,art_ref,0)),0)),N(IFERROR(INDEX(po_rate,MATCH(C1397,po_code,0)),0))))</f>
        <v/>
      </c>
      <c r="R1397" s="55" t="str">
        <f>IF(AC1397=1,P1397*60/Q1397,"")</f>
        <v/>
      </c>
      <c r="S1397" s="55" t="str">
        <f>IF(AC1397=1,N(G1397)*60/Q1397,"")</f>
        <v/>
      </c>
      <c r="T1397" s="57" t="str">
        <f>IF(AC1397=1,O1397/M1397,"")</f>
        <v/>
      </c>
      <c r="U1397" s="57" t="str">
        <f>IF(AC1397=1,IF(O1397&gt;0,R1397/O1397,""),"")</f>
        <v/>
      </c>
      <c r="V1397" s="57" t="str">
        <f>IF(AC1397=1,IF(P1397&gt;0,N(G1397)/P1397,""),"")</f>
        <v/>
      </c>
      <c r="W1397" s="57" t="str">
        <f>IF(AC1397=1,S1397/M1397,"")</f>
        <v/>
      </c>
      <c r="X1397" s="57" t="str">
        <f>IF(AC1397=1,S1397/K1397,"")</f>
        <v/>
      </c>
      <c r="Y1397" s="58" t="str">
        <f>IF(W1397="","",IF(W1397&gt;=p_target,"Bon",IF(W1397&gt;=p_alert,"À surveiller","Faible")))</f>
        <v/>
      </c>
      <c r="Z1397" s="58" t="str">
        <f>IF(W1397="","",IF(MIN(IF(T1397="",1,T1397),IF(U1397="",1,U1397),IF(V1397="",1,V1397))&gt;=1,"Aucune",IF(IF(T1397="",1,T1397)&lt;=MIN(IF(U1397="",1,U1397),IF(V1397="",1,V1397)),"Disponibilité",IF(IF(U1397="",1,U1397)&lt;=IF(V1397="",1,V1397),"Performance","Qualité"))))</f>
        <v/>
      </c>
      <c r="AA1397" s="59" t="str">
        <f>IF(AC1397=1,N(H1397)*N(IFERROR(INDEX(art_cost,MATCH(E1397,art_ref,0)),0)),"")</f>
        <v/>
      </c>
      <c r="AB1397" s="58" t="str">
        <f>IF(COUNTA(A1397:I1397)=0,"",IF(N(A1397)&lt;=0,"Date manquante ou invalide",IF(B1397="","Équipe manquante",IF(ISNA(MATCH(B1397,eq_code,0)),"Équipe inconnue",IF(INDEX(eq_check,MATCH(B1397,eq_code,0))&lt;&gt;"OK","Équipe à corriger dans Paramètres",IF(C1397="","Poste manquant",IF(ISNA(MATCH(C1397,po_code,0)),"Poste inconnu",IF(AND(E1397&lt;&gt;"",ISNA(MATCH(E1397,art_ref,0))),"Article inconnu",IF(IF(E1397="",FALSE,INDEX(art_check,MATCH(E1397,art_ref,0))&lt;&gt;"OK"),"Article à corriger (feuille Articles)",IF(COUNTIFS(sj_date,A1397,sj_eq,B1397,sj_po,C1397)&gt;1,"Ligne en double (même jour, équipe et poste)",IF(OR(NOT(ISNUMBER(K1397)),N(K1397)&lt;=0,N(K1397)&gt;1440),"Temps d'ouverture invalide",IF(OR(AND(G1397&lt;&gt;"",NOT(ISNUMBER(G1397))),N(G1397)&lt;0,N(G1397)&lt;&gt;INT(N(G1397)),AND(H1397&lt;&gt;"",NOT(ISNUMBER(H1397))),N(H1397)&lt;0,N(H1397)&lt;&gt;INT(N(H1397)),AND(I1397&lt;&gt;"",NOT(ISNUMBER(I1397))),N(I1397)&lt;0,N(I1397)&lt;&gt;INT(N(I1397))),"Quantité invalide",IF(Q1397&lt;=0,"Cadence manquante (poste ou article)",IF(M1397&lt;=0,"Arrêts planifiés supérieurs au temps d'ouverture",IF(O1397&lt;0,"Arrêts supérieurs au temps requis",IF(AND(P1397&gt;0,O1397=0),"Pièces déclarées sans temps de marche",IF(AND(P1397=0,O1397&gt;0),"Aucune pièce déclarée",IF(P1397*60/Q1397&gt;O1397+0.001,"Cadence dépassée : vérifiez la cadence","OK"))))))))))))))))))</f>
        <v/>
      </c>
      <c r="AC1397">
        <f>IF(OR(AB1397="OK",AB1397="Aucune pièce déclarée",AB1397="Cadence dépassée : vérifiez la cadence"),1,0)</f>
        <v>0.0</v>
      </c>
      <c r="AD1397">
        <f>IF(AND(AC1397=1,A1397&gt;=p_from,A1397&lt;=p_to),1,0)</f>
        <v>0.0</v>
      </c>
      <c r="AE1397">
        <f>IF(AD1397=1,IF(COUNTIFS($A$6:A1397,A1397,$AD$6:AD1397,1)=1,1,0),0)</f>
        <v>0.0</v>
      </c>
      <c r="AF1397" t="str">
        <f>IF(AE1397=1,COUNTIFS(sj_first,1,sj_date,"&lt;"&amp;A1397)+1,"")</f>
        <v/>
      </c>
      <c r="AG1397" t="str">
        <f>IF(AND(AD1397=1,N(W1397)&lt;p_alert),ROUND(W1397,4),"")</f>
        <v/>
      </c>
      <c r="AH1397" t="str">
        <f>IF(AG1397="","",COUNTIF(sj_akey,"&lt;"&amp;AG1397)+COUNTIF($AG$6:AG1397,AG1397))</f>
        <v/>
      </c>
    </row>
    <row r="1398">
      <c r="A1398" s="51" t="n"/>
      <c r="B1398" s="52" t="n"/>
      <c r="C1398" s="52" t="n"/>
      <c r="D1398" s="53" t="n"/>
      <c r="E1398" s="53" t="n"/>
      <c r="F1398" s="54" t="n"/>
      <c r="G1398" s="54" t="n"/>
      <c r="H1398" s="54" t="n"/>
      <c r="I1398" s="54" t="n"/>
      <c r="J1398" s="53" t="n"/>
      <c r="K1398" s="55" t="str">
        <f>IF(COUNTA(A1398:I1398)=0,"",IF(F1398="",IFERROR(INDEX(eq_dur,MATCH(B1398,eq_code,0)),""),F1398))</f>
        <v/>
      </c>
      <c r="L1398" s="55" t="str">
        <f>IF(ISNUMBER(K1398),N(IFERROR(INDEX(eq_pause,MATCH(B1398,eq_code,0)),0))+SUMIFS(st_min,st_date,A1398,st_eq,B1398,st_po,C1398,st_type,"Planifié"),"")</f>
        <v/>
      </c>
      <c r="M1398" s="55" t="str">
        <f>IF(ISNUMBER(K1398),K1398-L1398,"")</f>
        <v/>
      </c>
      <c r="N1398" s="55" t="str">
        <f>IF(ISNUMBER(K1398),SUMIFS(st_min,st_date,A1398,st_eq,B1398,st_po,C1398,st_type,"Non planifié"),"")</f>
        <v/>
      </c>
      <c r="O1398" s="55" t="str">
        <f>IF(ISNUMBER(K1398),M1398-N1398,"")</f>
        <v/>
      </c>
      <c r="P1398" s="55" t="str">
        <f>IF(COUNTA(A1398:I1398)=0,"",N(G1398)+N(H1398)+N(I1398))</f>
        <v/>
      </c>
      <c r="Q1398" s="56" t="str">
        <f>IF(COUNTA(A1398:I1398)=0,"",IF(N(IFERROR(INDEX(art_rate,MATCH(E1398,art_ref,0)),0))&gt;0,N(IFERROR(INDEX(art_rate,MATCH(E1398,art_ref,0)),0)),N(IFERROR(INDEX(po_rate,MATCH(C1398,po_code,0)),0))))</f>
        <v/>
      </c>
      <c r="R1398" s="55" t="str">
        <f>IF(AC1398=1,P1398*60/Q1398,"")</f>
        <v/>
      </c>
      <c r="S1398" s="55" t="str">
        <f>IF(AC1398=1,N(G1398)*60/Q1398,"")</f>
        <v/>
      </c>
      <c r="T1398" s="57" t="str">
        <f>IF(AC1398=1,O1398/M1398,"")</f>
        <v/>
      </c>
      <c r="U1398" s="57" t="str">
        <f>IF(AC1398=1,IF(O1398&gt;0,R1398/O1398,""),"")</f>
        <v/>
      </c>
      <c r="V1398" s="57" t="str">
        <f>IF(AC1398=1,IF(P1398&gt;0,N(G1398)/P1398,""),"")</f>
        <v/>
      </c>
      <c r="W1398" s="57" t="str">
        <f>IF(AC1398=1,S1398/M1398,"")</f>
        <v/>
      </c>
      <c r="X1398" s="57" t="str">
        <f>IF(AC1398=1,S1398/K1398,"")</f>
        <v/>
      </c>
      <c r="Y1398" s="58" t="str">
        <f>IF(W1398="","",IF(W1398&gt;=p_target,"Bon",IF(W1398&gt;=p_alert,"À surveiller","Faible")))</f>
        <v/>
      </c>
      <c r="Z1398" s="58" t="str">
        <f>IF(W1398="","",IF(MIN(IF(T1398="",1,T1398),IF(U1398="",1,U1398),IF(V1398="",1,V1398))&gt;=1,"Aucune",IF(IF(T1398="",1,T1398)&lt;=MIN(IF(U1398="",1,U1398),IF(V1398="",1,V1398)),"Disponibilité",IF(IF(U1398="",1,U1398)&lt;=IF(V1398="",1,V1398),"Performance","Qualité"))))</f>
        <v/>
      </c>
      <c r="AA1398" s="59" t="str">
        <f>IF(AC1398=1,N(H1398)*N(IFERROR(INDEX(art_cost,MATCH(E1398,art_ref,0)),0)),"")</f>
        <v/>
      </c>
      <c r="AB1398" s="58" t="str">
        <f>IF(COUNTA(A1398:I1398)=0,"",IF(N(A1398)&lt;=0,"Date manquante ou invalide",IF(B1398="","Équipe manquante",IF(ISNA(MATCH(B1398,eq_code,0)),"Équipe inconnue",IF(INDEX(eq_check,MATCH(B1398,eq_code,0))&lt;&gt;"OK","Équipe à corriger dans Paramètres",IF(C1398="","Poste manquant",IF(ISNA(MATCH(C1398,po_code,0)),"Poste inconnu",IF(AND(E1398&lt;&gt;"",ISNA(MATCH(E1398,art_ref,0))),"Article inconnu",IF(IF(E1398="",FALSE,INDEX(art_check,MATCH(E1398,art_ref,0))&lt;&gt;"OK"),"Article à corriger (feuille Articles)",IF(COUNTIFS(sj_date,A1398,sj_eq,B1398,sj_po,C1398)&gt;1,"Ligne en double (même jour, équipe et poste)",IF(OR(NOT(ISNUMBER(K1398)),N(K1398)&lt;=0,N(K1398)&gt;1440),"Temps d'ouverture invalide",IF(OR(AND(G1398&lt;&gt;"",NOT(ISNUMBER(G1398))),N(G1398)&lt;0,N(G1398)&lt;&gt;INT(N(G1398)),AND(H1398&lt;&gt;"",NOT(ISNUMBER(H1398))),N(H1398)&lt;0,N(H1398)&lt;&gt;INT(N(H1398)),AND(I1398&lt;&gt;"",NOT(ISNUMBER(I1398))),N(I1398)&lt;0,N(I1398)&lt;&gt;INT(N(I1398))),"Quantité invalide",IF(Q1398&lt;=0,"Cadence manquante (poste ou article)",IF(M1398&lt;=0,"Arrêts planifiés supérieurs au temps d'ouverture",IF(O1398&lt;0,"Arrêts supérieurs au temps requis",IF(AND(P1398&gt;0,O1398=0),"Pièces déclarées sans temps de marche",IF(AND(P1398=0,O1398&gt;0),"Aucune pièce déclarée",IF(P1398*60/Q1398&gt;O1398+0.001,"Cadence dépassée : vérifiez la cadence","OK"))))))))))))))))))</f>
        <v/>
      </c>
      <c r="AC1398">
        <f>IF(OR(AB1398="OK",AB1398="Aucune pièce déclarée",AB1398="Cadence dépassée : vérifiez la cadence"),1,0)</f>
        <v>0.0</v>
      </c>
      <c r="AD1398">
        <f>IF(AND(AC1398=1,A1398&gt;=p_from,A1398&lt;=p_to),1,0)</f>
        <v>0.0</v>
      </c>
      <c r="AE1398">
        <f>IF(AD1398=1,IF(COUNTIFS($A$6:A1398,A1398,$AD$6:AD1398,1)=1,1,0),0)</f>
        <v>0.0</v>
      </c>
      <c r="AF1398" t="str">
        <f>IF(AE1398=1,COUNTIFS(sj_first,1,sj_date,"&lt;"&amp;A1398)+1,"")</f>
        <v/>
      </c>
      <c r="AG1398" t="str">
        <f>IF(AND(AD1398=1,N(W1398)&lt;p_alert),ROUND(W1398,4),"")</f>
        <v/>
      </c>
      <c r="AH1398" t="str">
        <f>IF(AG1398="","",COUNTIF(sj_akey,"&lt;"&amp;AG1398)+COUNTIF($AG$6:AG1398,AG1398))</f>
        <v/>
      </c>
    </row>
    <row r="1399">
      <c r="A1399" s="51" t="n"/>
      <c r="B1399" s="52" t="n"/>
      <c r="C1399" s="52" t="n"/>
      <c r="D1399" s="53" t="n"/>
      <c r="E1399" s="53" t="n"/>
      <c r="F1399" s="54" t="n"/>
      <c r="G1399" s="54" t="n"/>
      <c r="H1399" s="54" t="n"/>
      <c r="I1399" s="54" t="n"/>
      <c r="J1399" s="53" t="n"/>
      <c r="K1399" s="55" t="str">
        <f>IF(COUNTA(A1399:I1399)=0,"",IF(F1399="",IFERROR(INDEX(eq_dur,MATCH(B1399,eq_code,0)),""),F1399))</f>
        <v/>
      </c>
      <c r="L1399" s="55" t="str">
        <f>IF(ISNUMBER(K1399),N(IFERROR(INDEX(eq_pause,MATCH(B1399,eq_code,0)),0))+SUMIFS(st_min,st_date,A1399,st_eq,B1399,st_po,C1399,st_type,"Planifié"),"")</f>
        <v/>
      </c>
      <c r="M1399" s="55" t="str">
        <f>IF(ISNUMBER(K1399),K1399-L1399,"")</f>
        <v/>
      </c>
      <c r="N1399" s="55" t="str">
        <f>IF(ISNUMBER(K1399),SUMIFS(st_min,st_date,A1399,st_eq,B1399,st_po,C1399,st_type,"Non planifié"),"")</f>
        <v/>
      </c>
      <c r="O1399" s="55" t="str">
        <f>IF(ISNUMBER(K1399),M1399-N1399,"")</f>
        <v/>
      </c>
      <c r="P1399" s="55" t="str">
        <f>IF(COUNTA(A1399:I1399)=0,"",N(G1399)+N(H1399)+N(I1399))</f>
        <v/>
      </c>
      <c r="Q1399" s="56" t="str">
        <f>IF(COUNTA(A1399:I1399)=0,"",IF(N(IFERROR(INDEX(art_rate,MATCH(E1399,art_ref,0)),0))&gt;0,N(IFERROR(INDEX(art_rate,MATCH(E1399,art_ref,0)),0)),N(IFERROR(INDEX(po_rate,MATCH(C1399,po_code,0)),0))))</f>
        <v/>
      </c>
      <c r="R1399" s="55" t="str">
        <f>IF(AC1399=1,P1399*60/Q1399,"")</f>
        <v/>
      </c>
      <c r="S1399" s="55" t="str">
        <f>IF(AC1399=1,N(G1399)*60/Q1399,"")</f>
        <v/>
      </c>
      <c r="T1399" s="57" t="str">
        <f>IF(AC1399=1,O1399/M1399,"")</f>
        <v/>
      </c>
      <c r="U1399" s="57" t="str">
        <f>IF(AC1399=1,IF(O1399&gt;0,R1399/O1399,""),"")</f>
        <v/>
      </c>
      <c r="V1399" s="57" t="str">
        <f>IF(AC1399=1,IF(P1399&gt;0,N(G1399)/P1399,""),"")</f>
        <v/>
      </c>
      <c r="W1399" s="57" t="str">
        <f>IF(AC1399=1,S1399/M1399,"")</f>
        <v/>
      </c>
      <c r="X1399" s="57" t="str">
        <f>IF(AC1399=1,S1399/K1399,"")</f>
        <v/>
      </c>
      <c r="Y1399" s="58" t="str">
        <f>IF(W1399="","",IF(W1399&gt;=p_target,"Bon",IF(W1399&gt;=p_alert,"À surveiller","Faible")))</f>
        <v/>
      </c>
      <c r="Z1399" s="58" t="str">
        <f>IF(W1399="","",IF(MIN(IF(T1399="",1,T1399),IF(U1399="",1,U1399),IF(V1399="",1,V1399))&gt;=1,"Aucune",IF(IF(T1399="",1,T1399)&lt;=MIN(IF(U1399="",1,U1399),IF(V1399="",1,V1399)),"Disponibilité",IF(IF(U1399="",1,U1399)&lt;=IF(V1399="",1,V1399),"Performance","Qualité"))))</f>
        <v/>
      </c>
      <c r="AA1399" s="59" t="str">
        <f>IF(AC1399=1,N(H1399)*N(IFERROR(INDEX(art_cost,MATCH(E1399,art_ref,0)),0)),"")</f>
        <v/>
      </c>
      <c r="AB1399" s="58" t="str">
        <f>IF(COUNTA(A1399:I1399)=0,"",IF(N(A1399)&lt;=0,"Date manquante ou invalide",IF(B1399="","Équipe manquante",IF(ISNA(MATCH(B1399,eq_code,0)),"Équipe inconnue",IF(INDEX(eq_check,MATCH(B1399,eq_code,0))&lt;&gt;"OK","Équipe à corriger dans Paramètres",IF(C1399="","Poste manquant",IF(ISNA(MATCH(C1399,po_code,0)),"Poste inconnu",IF(AND(E1399&lt;&gt;"",ISNA(MATCH(E1399,art_ref,0))),"Article inconnu",IF(IF(E1399="",FALSE,INDEX(art_check,MATCH(E1399,art_ref,0))&lt;&gt;"OK"),"Article à corriger (feuille Articles)",IF(COUNTIFS(sj_date,A1399,sj_eq,B1399,sj_po,C1399)&gt;1,"Ligne en double (même jour, équipe et poste)",IF(OR(NOT(ISNUMBER(K1399)),N(K1399)&lt;=0,N(K1399)&gt;1440),"Temps d'ouverture invalide",IF(OR(AND(G1399&lt;&gt;"",NOT(ISNUMBER(G1399))),N(G1399)&lt;0,N(G1399)&lt;&gt;INT(N(G1399)),AND(H1399&lt;&gt;"",NOT(ISNUMBER(H1399))),N(H1399)&lt;0,N(H1399)&lt;&gt;INT(N(H1399)),AND(I1399&lt;&gt;"",NOT(ISNUMBER(I1399))),N(I1399)&lt;0,N(I1399)&lt;&gt;INT(N(I1399))),"Quantité invalide",IF(Q1399&lt;=0,"Cadence manquante (poste ou article)",IF(M1399&lt;=0,"Arrêts planifiés supérieurs au temps d'ouverture",IF(O1399&lt;0,"Arrêts supérieurs au temps requis",IF(AND(P1399&gt;0,O1399=0),"Pièces déclarées sans temps de marche",IF(AND(P1399=0,O1399&gt;0),"Aucune pièce déclarée",IF(P1399*60/Q1399&gt;O1399+0.001,"Cadence dépassée : vérifiez la cadence","OK"))))))))))))))))))</f>
        <v/>
      </c>
      <c r="AC1399">
        <f>IF(OR(AB1399="OK",AB1399="Aucune pièce déclarée",AB1399="Cadence dépassée : vérifiez la cadence"),1,0)</f>
        <v>0.0</v>
      </c>
      <c r="AD1399">
        <f>IF(AND(AC1399=1,A1399&gt;=p_from,A1399&lt;=p_to),1,0)</f>
        <v>0.0</v>
      </c>
      <c r="AE1399">
        <f>IF(AD1399=1,IF(COUNTIFS($A$6:A1399,A1399,$AD$6:AD1399,1)=1,1,0),0)</f>
        <v>0.0</v>
      </c>
      <c r="AF1399" t="str">
        <f>IF(AE1399=1,COUNTIFS(sj_first,1,sj_date,"&lt;"&amp;A1399)+1,"")</f>
        <v/>
      </c>
      <c r="AG1399" t="str">
        <f>IF(AND(AD1399=1,N(W1399)&lt;p_alert),ROUND(W1399,4),"")</f>
        <v/>
      </c>
      <c r="AH1399" t="str">
        <f>IF(AG1399="","",COUNTIF(sj_akey,"&lt;"&amp;AG1399)+COUNTIF($AG$6:AG1399,AG1399))</f>
        <v/>
      </c>
    </row>
    <row r="1400">
      <c r="A1400" s="51" t="n"/>
      <c r="B1400" s="52" t="n"/>
      <c r="C1400" s="52" t="n"/>
      <c r="D1400" s="53" t="n"/>
      <c r="E1400" s="53" t="n"/>
      <c r="F1400" s="54" t="n"/>
      <c r="G1400" s="54" t="n"/>
      <c r="H1400" s="54" t="n"/>
      <c r="I1400" s="54" t="n"/>
      <c r="J1400" s="53" t="n"/>
      <c r="K1400" s="55" t="str">
        <f>IF(COUNTA(A1400:I1400)=0,"",IF(F1400="",IFERROR(INDEX(eq_dur,MATCH(B1400,eq_code,0)),""),F1400))</f>
        <v/>
      </c>
      <c r="L1400" s="55" t="str">
        <f>IF(ISNUMBER(K1400),N(IFERROR(INDEX(eq_pause,MATCH(B1400,eq_code,0)),0))+SUMIFS(st_min,st_date,A1400,st_eq,B1400,st_po,C1400,st_type,"Planifié"),"")</f>
        <v/>
      </c>
      <c r="M1400" s="55" t="str">
        <f>IF(ISNUMBER(K1400),K1400-L1400,"")</f>
        <v/>
      </c>
      <c r="N1400" s="55" t="str">
        <f>IF(ISNUMBER(K1400),SUMIFS(st_min,st_date,A1400,st_eq,B1400,st_po,C1400,st_type,"Non planifié"),"")</f>
        <v/>
      </c>
      <c r="O1400" s="55" t="str">
        <f>IF(ISNUMBER(K1400),M1400-N1400,"")</f>
        <v/>
      </c>
      <c r="P1400" s="55" t="str">
        <f>IF(COUNTA(A1400:I1400)=0,"",N(G1400)+N(H1400)+N(I1400))</f>
        <v/>
      </c>
      <c r="Q1400" s="56" t="str">
        <f>IF(COUNTA(A1400:I1400)=0,"",IF(N(IFERROR(INDEX(art_rate,MATCH(E1400,art_ref,0)),0))&gt;0,N(IFERROR(INDEX(art_rate,MATCH(E1400,art_ref,0)),0)),N(IFERROR(INDEX(po_rate,MATCH(C1400,po_code,0)),0))))</f>
        <v/>
      </c>
      <c r="R1400" s="55" t="str">
        <f>IF(AC1400=1,P1400*60/Q1400,"")</f>
        <v/>
      </c>
      <c r="S1400" s="55" t="str">
        <f>IF(AC1400=1,N(G1400)*60/Q1400,"")</f>
        <v/>
      </c>
      <c r="T1400" s="57" t="str">
        <f>IF(AC1400=1,O1400/M1400,"")</f>
        <v/>
      </c>
      <c r="U1400" s="57" t="str">
        <f>IF(AC1400=1,IF(O1400&gt;0,R1400/O1400,""),"")</f>
        <v/>
      </c>
      <c r="V1400" s="57" t="str">
        <f>IF(AC1400=1,IF(P1400&gt;0,N(G1400)/P1400,""),"")</f>
        <v/>
      </c>
      <c r="W1400" s="57" t="str">
        <f>IF(AC1400=1,S1400/M1400,"")</f>
        <v/>
      </c>
      <c r="X1400" s="57" t="str">
        <f>IF(AC1400=1,S1400/K1400,"")</f>
        <v/>
      </c>
      <c r="Y1400" s="58" t="str">
        <f>IF(W1400="","",IF(W1400&gt;=p_target,"Bon",IF(W1400&gt;=p_alert,"À surveiller","Faible")))</f>
        <v/>
      </c>
      <c r="Z1400" s="58" t="str">
        <f>IF(W1400="","",IF(MIN(IF(T1400="",1,T1400),IF(U1400="",1,U1400),IF(V1400="",1,V1400))&gt;=1,"Aucune",IF(IF(T1400="",1,T1400)&lt;=MIN(IF(U1400="",1,U1400),IF(V1400="",1,V1400)),"Disponibilité",IF(IF(U1400="",1,U1400)&lt;=IF(V1400="",1,V1400),"Performance","Qualité"))))</f>
        <v/>
      </c>
      <c r="AA1400" s="59" t="str">
        <f>IF(AC1400=1,N(H1400)*N(IFERROR(INDEX(art_cost,MATCH(E1400,art_ref,0)),0)),"")</f>
        <v/>
      </c>
      <c r="AB1400" s="58" t="str">
        <f>IF(COUNTA(A1400:I1400)=0,"",IF(N(A1400)&lt;=0,"Date manquante ou invalide",IF(B1400="","Équipe manquante",IF(ISNA(MATCH(B1400,eq_code,0)),"Équipe inconnue",IF(INDEX(eq_check,MATCH(B1400,eq_code,0))&lt;&gt;"OK","Équipe à corriger dans Paramètres",IF(C1400="","Poste manquant",IF(ISNA(MATCH(C1400,po_code,0)),"Poste inconnu",IF(AND(E1400&lt;&gt;"",ISNA(MATCH(E1400,art_ref,0))),"Article inconnu",IF(IF(E1400="",FALSE,INDEX(art_check,MATCH(E1400,art_ref,0))&lt;&gt;"OK"),"Article à corriger (feuille Articles)",IF(COUNTIFS(sj_date,A1400,sj_eq,B1400,sj_po,C1400)&gt;1,"Ligne en double (même jour, équipe et poste)",IF(OR(NOT(ISNUMBER(K1400)),N(K1400)&lt;=0,N(K1400)&gt;1440),"Temps d'ouverture invalide",IF(OR(AND(G1400&lt;&gt;"",NOT(ISNUMBER(G1400))),N(G1400)&lt;0,N(G1400)&lt;&gt;INT(N(G1400)),AND(H1400&lt;&gt;"",NOT(ISNUMBER(H1400))),N(H1400)&lt;0,N(H1400)&lt;&gt;INT(N(H1400)),AND(I1400&lt;&gt;"",NOT(ISNUMBER(I1400))),N(I1400)&lt;0,N(I1400)&lt;&gt;INT(N(I1400))),"Quantité invalide",IF(Q1400&lt;=0,"Cadence manquante (poste ou article)",IF(M1400&lt;=0,"Arrêts planifiés supérieurs au temps d'ouverture",IF(O1400&lt;0,"Arrêts supérieurs au temps requis",IF(AND(P1400&gt;0,O1400=0),"Pièces déclarées sans temps de marche",IF(AND(P1400=0,O1400&gt;0),"Aucune pièce déclarée",IF(P1400*60/Q1400&gt;O1400+0.001,"Cadence dépassée : vérifiez la cadence","OK"))))))))))))))))))</f>
        <v/>
      </c>
      <c r="AC1400">
        <f>IF(OR(AB1400="OK",AB1400="Aucune pièce déclarée",AB1400="Cadence dépassée : vérifiez la cadence"),1,0)</f>
        <v>0.0</v>
      </c>
      <c r="AD1400">
        <f>IF(AND(AC1400=1,A1400&gt;=p_from,A1400&lt;=p_to),1,0)</f>
        <v>0.0</v>
      </c>
      <c r="AE1400">
        <f>IF(AD1400=1,IF(COUNTIFS($A$6:A1400,A1400,$AD$6:AD1400,1)=1,1,0),0)</f>
        <v>0.0</v>
      </c>
      <c r="AF1400" t="str">
        <f>IF(AE1400=1,COUNTIFS(sj_first,1,sj_date,"&lt;"&amp;A1400)+1,"")</f>
        <v/>
      </c>
      <c r="AG1400" t="str">
        <f>IF(AND(AD1400=1,N(W1400)&lt;p_alert),ROUND(W1400,4),"")</f>
        <v/>
      </c>
      <c r="AH1400" t="str">
        <f>IF(AG1400="","",COUNTIF(sj_akey,"&lt;"&amp;AG1400)+COUNTIF($AG$6:AG1400,AG1400))</f>
        <v/>
      </c>
    </row>
    <row r="1401">
      <c r="A1401" s="51" t="n"/>
      <c r="B1401" s="52" t="n"/>
      <c r="C1401" s="52" t="n"/>
      <c r="D1401" s="53" t="n"/>
      <c r="E1401" s="53" t="n"/>
      <c r="F1401" s="54" t="n"/>
      <c r="G1401" s="54" t="n"/>
      <c r="H1401" s="54" t="n"/>
      <c r="I1401" s="54" t="n"/>
      <c r="J1401" s="53" t="n"/>
      <c r="K1401" s="55" t="str">
        <f>IF(COUNTA(A1401:I1401)=0,"",IF(F1401="",IFERROR(INDEX(eq_dur,MATCH(B1401,eq_code,0)),""),F1401))</f>
        <v/>
      </c>
      <c r="L1401" s="55" t="str">
        <f>IF(ISNUMBER(K1401),N(IFERROR(INDEX(eq_pause,MATCH(B1401,eq_code,0)),0))+SUMIFS(st_min,st_date,A1401,st_eq,B1401,st_po,C1401,st_type,"Planifié"),"")</f>
        <v/>
      </c>
      <c r="M1401" s="55" t="str">
        <f>IF(ISNUMBER(K1401),K1401-L1401,"")</f>
        <v/>
      </c>
      <c r="N1401" s="55" t="str">
        <f>IF(ISNUMBER(K1401),SUMIFS(st_min,st_date,A1401,st_eq,B1401,st_po,C1401,st_type,"Non planifié"),"")</f>
        <v/>
      </c>
      <c r="O1401" s="55" t="str">
        <f>IF(ISNUMBER(K1401),M1401-N1401,"")</f>
        <v/>
      </c>
      <c r="P1401" s="55" t="str">
        <f>IF(COUNTA(A1401:I1401)=0,"",N(G1401)+N(H1401)+N(I1401))</f>
        <v/>
      </c>
      <c r="Q1401" s="56" t="str">
        <f>IF(COUNTA(A1401:I1401)=0,"",IF(N(IFERROR(INDEX(art_rate,MATCH(E1401,art_ref,0)),0))&gt;0,N(IFERROR(INDEX(art_rate,MATCH(E1401,art_ref,0)),0)),N(IFERROR(INDEX(po_rate,MATCH(C1401,po_code,0)),0))))</f>
        <v/>
      </c>
      <c r="R1401" s="55" t="str">
        <f>IF(AC1401=1,P1401*60/Q1401,"")</f>
        <v/>
      </c>
      <c r="S1401" s="55" t="str">
        <f>IF(AC1401=1,N(G1401)*60/Q1401,"")</f>
        <v/>
      </c>
      <c r="T1401" s="57" t="str">
        <f>IF(AC1401=1,O1401/M1401,"")</f>
        <v/>
      </c>
      <c r="U1401" s="57" t="str">
        <f>IF(AC1401=1,IF(O1401&gt;0,R1401/O1401,""),"")</f>
        <v/>
      </c>
      <c r="V1401" s="57" t="str">
        <f>IF(AC1401=1,IF(P1401&gt;0,N(G1401)/P1401,""),"")</f>
        <v/>
      </c>
      <c r="W1401" s="57" t="str">
        <f>IF(AC1401=1,S1401/M1401,"")</f>
        <v/>
      </c>
      <c r="X1401" s="57" t="str">
        <f>IF(AC1401=1,S1401/K1401,"")</f>
        <v/>
      </c>
      <c r="Y1401" s="58" t="str">
        <f>IF(W1401="","",IF(W1401&gt;=p_target,"Bon",IF(W1401&gt;=p_alert,"À surveiller","Faible")))</f>
        <v/>
      </c>
      <c r="Z1401" s="58" t="str">
        <f>IF(W1401="","",IF(MIN(IF(T1401="",1,T1401),IF(U1401="",1,U1401),IF(V1401="",1,V1401))&gt;=1,"Aucune",IF(IF(T1401="",1,T1401)&lt;=MIN(IF(U1401="",1,U1401),IF(V1401="",1,V1401)),"Disponibilité",IF(IF(U1401="",1,U1401)&lt;=IF(V1401="",1,V1401),"Performance","Qualité"))))</f>
        <v/>
      </c>
      <c r="AA1401" s="59" t="str">
        <f>IF(AC1401=1,N(H1401)*N(IFERROR(INDEX(art_cost,MATCH(E1401,art_ref,0)),0)),"")</f>
        <v/>
      </c>
      <c r="AB1401" s="58" t="str">
        <f>IF(COUNTA(A1401:I1401)=0,"",IF(N(A1401)&lt;=0,"Date manquante ou invalide",IF(B1401="","Équipe manquante",IF(ISNA(MATCH(B1401,eq_code,0)),"Équipe inconnue",IF(INDEX(eq_check,MATCH(B1401,eq_code,0))&lt;&gt;"OK","Équipe à corriger dans Paramètres",IF(C1401="","Poste manquant",IF(ISNA(MATCH(C1401,po_code,0)),"Poste inconnu",IF(AND(E1401&lt;&gt;"",ISNA(MATCH(E1401,art_ref,0))),"Article inconnu",IF(IF(E1401="",FALSE,INDEX(art_check,MATCH(E1401,art_ref,0))&lt;&gt;"OK"),"Article à corriger (feuille Articles)",IF(COUNTIFS(sj_date,A1401,sj_eq,B1401,sj_po,C1401)&gt;1,"Ligne en double (même jour, équipe et poste)",IF(OR(NOT(ISNUMBER(K1401)),N(K1401)&lt;=0,N(K1401)&gt;1440),"Temps d'ouverture invalide",IF(OR(AND(G1401&lt;&gt;"",NOT(ISNUMBER(G1401))),N(G1401)&lt;0,N(G1401)&lt;&gt;INT(N(G1401)),AND(H1401&lt;&gt;"",NOT(ISNUMBER(H1401))),N(H1401)&lt;0,N(H1401)&lt;&gt;INT(N(H1401)),AND(I1401&lt;&gt;"",NOT(ISNUMBER(I1401))),N(I1401)&lt;0,N(I1401)&lt;&gt;INT(N(I1401))),"Quantité invalide",IF(Q1401&lt;=0,"Cadence manquante (poste ou article)",IF(M1401&lt;=0,"Arrêts planifiés supérieurs au temps d'ouverture",IF(O1401&lt;0,"Arrêts supérieurs au temps requis",IF(AND(P1401&gt;0,O1401=0),"Pièces déclarées sans temps de marche",IF(AND(P1401=0,O1401&gt;0),"Aucune pièce déclarée",IF(P1401*60/Q1401&gt;O1401+0.001,"Cadence dépassée : vérifiez la cadence","OK"))))))))))))))))))</f>
        <v/>
      </c>
      <c r="AC1401">
        <f>IF(OR(AB1401="OK",AB1401="Aucune pièce déclarée",AB1401="Cadence dépassée : vérifiez la cadence"),1,0)</f>
        <v>0.0</v>
      </c>
      <c r="AD1401">
        <f>IF(AND(AC1401=1,A1401&gt;=p_from,A1401&lt;=p_to),1,0)</f>
        <v>0.0</v>
      </c>
      <c r="AE1401">
        <f>IF(AD1401=1,IF(COUNTIFS($A$6:A1401,A1401,$AD$6:AD1401,1)=1,1,0),0)</f>
        <v>0.0</v>
      </c>
      <c r="AF1401" t="str">
        <f>IF(AE1401=1,COUNTIFS(sj_first,1,sj_date,"&lt;"&amp;A1401)+1,"")</f>
        <v/>
      </c>
      <c r="AG1401" t="str">
        <f>IF(AND(AD1401=1,N(W1401)&lt;p_alert),ROUND(W1401,4),"")</f>
        <v/>
      </c>
      <c r="AH1401" t="str">
        <f>IF(AG1401="","",COUNTIF(sj_akey,"&lt;"&amp;AG1401)+COUNTIF($AG$6:AG1401,AG1401))</f>
        <v/>
      </c>
    </row>
    <row r="1402">
      <c r="A1402" s="51" t="n"/>
      <c r="B1402" s="52" t="n"/>
      <c r="C1402" s="52" t="n"/>
      <c r="D1402" s="53" t="n"/>
      <c r="E1402" s="53" t="n"/>
      <c r="F1402" s="54" t="n"/>
      <c r="G1402" s="54" t="n"/>
      <c r="H1402" s="54" t="n"/>
      <c r="I1402" s="54" t="n"/>
      <c r="J1402" s="53" t="n"/>
      <c r="K1402" s="55" t="str">
        <f>IF(COUNTA(A1402:I1402)=0,"",IF(F1402="",IFERROR(INDEX(eq_dur,MATCH(B1402,eq_code,0)),""),F1402))</f>
        <v/>
      </c>
      <c r="L1402" s="55" t="str">
        <f>IF(ISNUMBER(K1402),N(IFERROR(INDEX(eq_pause,MATCH(B1402,eq_code,0)),0))+SUMIFS(st_min,st_date,A1402,st_eq,B1402,st_po,C1402,st_type,"Planifié"),"")</f>
        <v/>
      </c>
      <c r="M1402" s="55" t="str">
        <f>IF(ISNUMBER(K1402),K1402-L1402,"")</f>
        <v/>
      </c>
      <c r="N1402" s="55" t="str">
        <f>IF(ISNUMBER(K1402),SUMIFS(st_min,st_date,A1402,st_eq,B1402,st_po,C1402,st_type,"Non planifié"),"")</f>
        <v/>
      </c>
      <c r="O1402" s="55" t="str">
        <f>IF(ISNUMBER(K1402),M1402-N1402,"")</f>
        <v/>
      </c>
      <c r="P1402" s="55" t="str">
        <f>IF(COUNTA(A1402:I1402)=0,"",N(G1402)+N(H1402)+N(I1402))</f>
        <v/>
      </c>
      <c r="Q1402" s="56" t="str">
        <f>IF(COUNTA(A1402:I1402)=0,"",IF(N(IFERROR(INDEX(art_rate,MATCH(E1402,art_ref,0)),0))&gt;0,N(IFERROR(INDEX(art_rate,MATCH(E1402,art_ref,0)),0)),N(IFERROR(INDEX(po_rate,MATCH(C1402,po_code,0)),0))))</f>
        <v/>
      </c>
      <c r="R1402" s="55" t="str">
        <f>IF(AC1402=1,P1402*60/Q1402,"")</f>
        <v/>
      </c>
      <c r="S1402" s="55" t="str">
        <f>IF(AC1402=1,N(G1402)*60/Q1402,"")</f>
        <v/>
      </c>
      <c r="T1402" s="57" t="str">
        <f>IF(AC1402=1,O1402/M1402,"")</f>
        <v/>
      </c>
      <c r="U1402" s="57" t="str">
        <f>IF(AC1402=1,IF(O1402&gt;0,R1402/O1402,""),"")</f>
        <v/>
      </c>
      <c r="V1402" s="57" t="str">
        <f>IF(AC1402=1,IF(P1402&gt;0,N(G1402)/P1402,""),"")</f>
        <v/>
      </c>
      <c r="W1402" s="57" t="str">
        <f>IF(AC1402=1,S1402/M1402,"")</f>
        <v/>
      </c>
      <c r="X1402" s="57" t="str">
        <f>IF(AC1402=1,S1402/K1402,"")</f>
        <v/>
      </c>
      <c r="Y1402" s="58" t="str">
        <f>IF(W1402="","",IF(W1402&gt;=p_target,"Bon",IF(W1402&gt;=p_alert,"À surveiller","Faible")))</f>
        <v/>
      </c>
      <c r="Z1402" s="58" t="str">
        <f>IF(W1402="","",IF(MIN(IF(T1402="",1,T1402),IF(U1402="",1,U1402),IF(V1402="",1,V1402))&gt;=1,"Aucune",IF(IF(T1402="",1,T1402)&lt;=MIN(IF(U1402="",1,U1402),IF(V1402="",1,V1402)),"Disponibilité",IF(IF(U1402="",1,U1402)&lt;=IF(V1402="",1,V1402),"Performance","Qualité"))))</f>
        <v/>
      </c>
      <c r="AA1402" s="59" t="str">
        <f>IF(AC1402=1,N(H1402)*N(IFERROR(INDEX(art_cost,MATCH(E1402,art_ref,0)),0)),"")</f>
        <v/>
      </c>
      <c r="AB1402" s="58" t="str">
        <f>IF(COUNTA(A1402:I1402)=0,"",IF(N(A1402)&lt;=0,"Date manquante ou invalide",IF(B1402="","Équipe manquante",IF(ISNA(MATCH(B1402,eq_code,0)),"Équipe inconnue",IF(INDEX(eq_check,MATCH(B1402,eq_code,0))&lt;&gt;"OK","Équipe à corriger dans Paramètres",IF(C1402="","Poste manquant",IF(ISNA(MATCH(C1402,po_code,0)),"Poste inconnu",IF(AND(E1402&lt;&gt;"",ISNA(MATCH(E1402,art_ref,0))),"Article inconnu",IF(IF(E1402="",FALSE,INDEX(art_check,MATCH(E1402,art_ref,0))&lt;&gt;"OK"),"Article à corriger (feuille Articles)",IF(COUNTIFS(sj_date,A1402,sj_eq,B1402,sj_po,C1402)&gt;1,"Ligne en double (même jour, équipe et poste)",IF(OR(NOT(ISNUMBER(K1402)),N(K1402)&lt;=0,N(K1402)&gt;1440),"Temps d'ouverture invalide",IF(OR(AND(G1402&lt;&gt;"",NOT(ISNUMBER(G1402))),N(G1402)&lt;0,N(G1402)&lt;&gt;INT(N(G1402)),AND(H1402&lt;&gt;"",NOT(ISNUMBER(H1402))),N(H1402)&lt;0,N(H1402)&lt;&gt;INT(N(H1402)),AND(I1402&lt;&gt;"",NOT(ISNUMBER(I1402))),N(I1402)&lt;0,N(I1402)&lt;&gt;INT(N(I1402))),"Quantité invalide",IF(Q1402&lt;=0,"Cadence manquante (poste ou article)",IF(M1402&lt;=0,"Arrêts planifiés supérieurs au temps d'ouverture",IF(O1402&lt;0,"Arrêts supérieurs au temps requis",IF(AND(P1402&gt;0,O1402=0),"Pièces déclarées sans temps de marche",IF(AND(P1402=0,O1402&gt;0),"Aucune pièce déclarée",IF(P1402*60/Q1402&gt;O1402+0.001,"Cadence dépassée : vérifiez la cadence","OK"))))))))))))))))))</f>
        <v/>
      </c>
      <c r="AC1402">
        <f>IF(OR(AB1402="OK",AB1402="Aucune pièce déclarée",AB1402="Cadence dépassée : vérifiez la cadence"),1,0)</f>
        <v>0.0</v>
      </c>
      <c r="AD1402">
        <f>IF(AND(AC1402=1,A1402&gt;=p_from,A1402&lt;=p_to),1,0)</f>
        <v>0.0</v>
      </c>
      <c r="AE1402">
        <f>IF(AD1402=1,IF(COUNTIFS($A$6:A1402,A1402,$AD$6:AD1402,1)=1,1,0),0)</f>
        <v>0.0</v>
      </c>
      <c r="AF1402" t="str">
        <f>IF(AE1402=1,COUNTIFS(sj_first,1,sj_date,"&lt;"&amp;A1402)+1,"")</f>
        <v/>
      </c>
      <c r="AG1402" t="str">
        <f>IF(AND(AD1402=1,N(W1402)&lt;p_alert),ROUND(W1402,4),"")</f>
        <v/>
      </c>
      <c r="AH1402" t="str">
        <f>IF(AG1402="","",COUNTIF(sj_akey,"&lt;"&amp;AG1402)+COUNTIF($AG$6:AG1402,AG1402))</f>
        <v/>
      </c>
    </row>
    <row r="1403">
      <c r="A1403" s="51" t="n"/>
      <c r="B1403" s="52" t="n"/>
      <c r="C1403" s="52" t="n"/>
      <c r="D1403" s="53" t="n"/>
      <c r="E1403" s="53" t="n"/>
      <c r="F1403" s="54" t="n"/>
      <c r="G1403" s="54" t="n"/>
      <c r="H1403" s="54" t="n"/>
      <c r="I1403" s="54" t="n"/>
      <c r="J1403" s="53" t="n"/>
      <c r="K1403" s="55" t="str">
        <f>IF(COUNTA(A1403:I1403)=0,"",IF(F1403="",IFERROR(INDEX(eq_dur,MATCH(B1403,eq_code,0)),""),F1403))</f>
        <v/>
      </c>
      <c r="L1403" s="55" t="str">
        <f>IF(ISNUMBER(K1403),N(IFERROR(INDEX(eq_pause,MATCH(B1403,eq_code,0)),0))+SUMIFS(st_min,st_date,A1403,st_eq,B1403,st_po,C1403,st_type,"Planifié"),"")</f>
        <v/>
      </c>
      <c r="M1403" s="55" t="str">
        <f>IF(ISNUMBER(K1403),K1403-L1403,"")</f>
        <v/>
      </c>
      <c r="N1403" s="55" t="str">
        <f>IF(ISNUMBER(K1403),SUMIFS(st_min,st_date,A1403,st_eq,B1403,st_po,C1403,st_type,"Non planifié"),"")</f>
        <v/>
      </c>
      <c r="O1403" s="55" t="str">
        <f>IF(ISNUMBER(K1403),M1403-N1403,"")</f>
        <v/>
      </c>
      <c r="P1403" s="55" t="str">
        <f>IF(COUNTA(A1403:I1403)=0,"",N(G1403)+N(H1403)+N(I1403))</f>
        <v/>
      </c>
      <c r="Q1403" s="56" t="str">
        <f>IF(COUNTA(A1403:I1403)=0,"",IF(N(IFERROR(INDEX(art_rate,MATCH(E1403,art_ref,0)),0))&gt;0,N(IFERROR(INDEX(art_rate,MATCH(E1403,art_ref,0)),0)),N(IFERROR(INDEX(po_rate,MATCH(C1403,po_code,0)),0))))</f>
        <v/>
      </c>
      <c r="R1403" s="55" t="str">
        <f>IF(AC1403=1,P1403*60/Q1403,"")</f>
        <v/>
      </c>
      <c r="S1403" s="55" t="str">
        <f>IF(AC1403=1,N(G1403)*60/Q1403,"")</f>
        <v/>
      </c>
      <c r="T1403" s="57" t="str">
        <f>IF(AC1403=1,O1403/M1403,"")</f>
        <v/>
      </c>
      <c r="U1403" s="57" t="str">
        <f>IF(AC1403=1,IF(O1403&gt;0,R1403/O1403,""),"")</f>
        <v/>
      </c>
      <c r="V1403" s="57" t="str">
        <f>IF(AC1403=1,IF(P1403&gt;0,N(G1403)/P1403,""),"")</f>
        <v/>
      </c>
      <c r="W1403" s="57" t="str">
        <f>IF(AC1403=1,S1403/M1403,"")</f>
        <v/>
      </c>
      <c r="X1403" s="57" t="str">
        <f>IF(AC1403=1,S1403/K1403,"")</f>
        <v/>
      </c>
      <c r="Y1403" s="58" t="str">
        <f>IF(W1403="","",IF(W1403&gt;=p_target,"Bon",IF(W1403&gt;=p_alert,"À surveiller","Faible")))</f>
        <v/>
      </c>
      <c r="Z1403" s="58" t="str">
        <f>IF(W1403="","",IF(MIN(IF(T1403="",1,T1403),IF(U1403="",1,U1403),IF(V1403="",1,V1403))&gt;=1,"Aucune",IF(IF(T1403="",1,T1403)&lt;=MIN(IF(U1403="",1,U1403),IF(V1403="",1,V1403)),"Disponibilité",IF(IF(U1403="",1,U1403)&lt;=IF(V1403="",1,V1403),"Performance","Qualité"))))</f>
        <v/>
      </c>
      <c r="AA1403" s="59" t="str">
        <f>IF(AC1403=1,N(H1403)*N(IFERROR(INDEX(art_cost,MATCH(E1403,art_ref,0)),0)),"")</f>
        <v/>
      </c>
      <c r="AB1403" s="58" t="str">
        <f>IF(COUNTA(A1403:I1403)=0,"",IF(N(A1403)&lt;=0,"Date manquante ou invalide",IF(B1403="","Équipe manquante",IF(ISNA(MATCH(B1403,eq_code,0)),"Équipe inconnue",IF(INDEX(eq_check,MATCH(B1403,eq_code,0))&lt;&gt;"OK","Équipe à corriger dans Paramètres",IF(C1403="","Poste manquant",IF(ISNA(MATCH(C1403,po_code,0)),"Poste inconnu",IF(AND(E1403&lt;&gt;"",ISNA(MATCH(E1403,art_ref,0))),"Article inconnu",IF(IF(E1403="",FALSE,INDEX(art_check,MATCH(E1403,art_ref,0))&lt;&gt;"OK"),"Article à corriger (feuille Articles)",IF(COUNTIFS(sj_date,A1403,sj_eq,B1403,sj_po,C1403)&gt;1,"Ligne en double (même jour, équipe et poste)",IF(OR(NOT(ISNUMBER(K1403)),N(K1403)&lt;=0,N(K1403)&gt;1440),"Temps d'ouverture invalide",IF(OR(AND(G1403&lt;&gt;"",NOT(ISNUMBER(G1403))),N(G1403)&lt;0,N(G1403)&lt;&gt;INT(N(G1403)),AND(H1403&lt;&gt;"",NOT(ISNUMBER(H1403))),N(H1403)&lt;0,N(H1403)&lt;&gt;INT(N(H1403)),AND(I1403&lt;&gt;"",NOT(ISNUMBER(I1403))),N(I1403)&lt;0,N(I1403)&lt;&gt;INT(N(I1403))),"Quantité invalide",IF(Q1403&lt;=0,"Cadence manquante (poste ou article)",IF(M1403&lt;=0,"Arrêts planifiés supérieurs au temps d'ouverture",IF(O1403&lt;0,"Arrêts supérieurs au temps requis",IF(AND(P1403&gt;0,O1403=0),"Pièces déclarées sans temps de marche",IF(AND(P1403=0,O1403&gt;0),"Aucune pièce déclarée",IF(P1403*60/Q1403&gt;O1403+0.001,"Cadence dépassée : vérifiez la cadence","OK"))))))))))))))))))</f>
        <v/>
      </c>
      <c r="AC1403">
        <f>IF(OR(AB1403="OK",AB1403="Aucune pièce déclarée",AB1403="Cadence dépassée : vérifiez la cadence"),1,0)</f>
        <v>0.0</v>
      </c>
      <c r="AD1403">
        <f>IF(AND(AC1403=1,A1403&gt;=p_from,A1403&lt;=p_to),1,0)</f>
        <v>0.0</v>
      </c>
      <c r="AE1403">
        <f>IF(AD1403=1,IF(COUNTIFS($A$6:A1403,A1403,$AD$6:AD1403,1)=1,1,0),0)</f>
        <v>0.0</v>
      </c>
      <c r="AF1403" t="str">
        <f>IF(AE1403=1,COUNTIFS(sj_first,1,sj_date,"&lt;"&amp;A1403)+1,"")</f>
        <v/>
      </c>
      <c r="AG1403" t="str">
        <f>IF(AND(AD1403=1,N(W1403)&lt;p_alert),ROUND(W1403,4),"")</f>
        <v/>
      </c>
      <c r="AH1403" t="str">
        <f>IF(AG1403="","",COUNTIF(sj_akey,"&lt;"&amp;AG1403)+COUNTIF($AG$6:AG1403,AG1403))</f>
        <v/>
      </c>
    </row>
    <row r="1404">
      <c r="A1404" s="51" t="n"/>
      <c r="B1404" s="52" t="n"/>
      <c r="C1404" s="52" t="n"/>
      <c r="D1404" s="53" t="n"/>
      <c r="E1404" s="53" t="n"/>
      <c r="F1404" s="54" t="n"/>
      <c r="G1404" s="54" t="n"/>
      <c r="H1404" s="54" t="n"/>
      <c r="I1404" s="54" t="n"/>
      <c r="J1404" s="53" t="n"/>
      <c r="K1404" s="55" t="str">
        <f>IF(COUNTA(A1404:I1404)=0,"",IF(F1404="",IFERROR(INDEX(eq_dur,MATCH(B1404,eq_code,0)),""),F1404))</f>
        <v/>
      </c>
      <c r="L1404" s="55" t="str">
        <f>IF(ISNUMBER(K1404),N(IFERROR(INDEX(eq_pause,MATCH(B1404,eq_code,0)),0))+SUMIFS(st_min,st_date,A1404,st_eq,B1404,st_po,C1404,st_type,"Planifié"),"")</f>
        <v/>
      </c>
      <c r="M1404" s="55" t="str">
        <f>IF(ISNUMBER(K1404),K1404-L1404,"")</f>
        <v/>
      </c>
      <c r="N1404" s="55" t="str">
        <f>IF(ISNUMBER(K1404),SUMIFS(st_min,st_date,A1404,st_eq,B1404,st_po,C1404,st_type,"Non planifié"),"")</f>
        <v/>
      </c>
      <c r="O1404" s="55" t="str">
        <f>IF(ISNUMBER(K1404),M1404-N1404,"")</f>
        <v/>
      </c>
      <c r="P1404" s="55" t="str">
        <f>IF(COUNTA(A1404:I1404)=0,"",N(G1404)+N(H1404)+N(I1404))</f>
        <v/>
      </c>
      <c r="Q1404" s="56" t="str">
        <f>IF(COUNTA(A1404:I1404)=0,"",IF(N(IFERROR(INDEX(art_rate,MATCH(E1404,art_ref,0)),0))&gt;0,N(IFERROR(INDEX(art_rate,MATCH(E1404,art_ref,0)),0)),N(IFERROR(INDEX(po_rate,MATCH(C1404,po_code,0)),0))))</f>
        <v/>
      </c>
      <c r="R1404" s="55" t="str">
        <f>IF(AC1404=1,P1404*60/Q1404,"")</f>
        <v/>
      </c>
      <c r="S1404" s="55" t="str">
        <f>IF(AC1404=1,N(G1404)*60/Q1404,"")</f>
        <v/>
      </c>
      <c r="T1404" s="57" t="str">
        <f>IF(AC1404=1,O1404/M1404,"")</f>
        <v/>
      </c>
      <c r="U1404" s="57" t="str">
        <f>IF(AC1404=1,IF(O1404&gt;0,R1404/O1404,""),"")</f>
        <v/>
      </c>
      <c r="V1404" s="57" t="str">
        <f>IF(AC1404=1,IF(P1404&gt;0,N(G1404)/P1404,""),"")</f>
        <v/>
      </c>
      <c r="W1404" s="57" t="str">
        <f>IF(AC1404=1,S1404/M1404,"")</f>
        <v/>
      </c>
      <c r="X1404" s="57" t="str">
        <f>IF(AC1404=1,S1404/K1404,"")</f>
        <v/>
      </c>
      <c r="Y1404" s="58" t="str">
        <f>IF(W1404="","",IF(W1404&gt;=p_target,"Bon",IF(W1404&gt;=p_alert,"À surveiller","Faible")))</f>
        <v/>
      </c>
      <c r="Z1404" s="58" t="str">
        <f>IF(W1404="","",IF(MIN(IF(T1404="",1,T1404),IF(U1404="",1,U1404),IF(V1404="",1,V1404))&gt;=1,"Aucune",IF(IF(T1404="",1,T1404)&lt;=MIN(IF(U1404="",1,U1404),IF(V1404="",1,V1404)),"Disponibilité",IF(IF(U1404="",1,U1404)&lt;=IF(V1404="",1,V1404),"Performance","Qualité"))))</f>
        <v/>
      </c>
      <c r="AA1404" s="59" t="str">
        <f>IF(AC1404=1,N(H1404)*N(IFERROR(INDEX(art_cost,MATCH(E1404,art_ref,0)),0)),"")</f>
        <v/>
      </c>
      <c r="AB1404" s="58" t="str">
        <f>IF(COUNTA(A1404:I1404)=0,"",IF(N(A1404)&lt;=0,"Date manquante ou invalide",IF(B1404="","Équipe manquante",IF(ISNA(MATCH(B1404,eq_code,0)),"Équipe inconnue",IF(INDEX(eq_check,MATCH(B1404,eq_code,0))&lt;&gt;"OK","Équipe à corriger dans Paramètres",IF(C1404="","Poste manquant",IF(ISNA(MATCH(C1404,po_code,0)),"Poste inconnu",IF(AND(E1404&lt;&gt;"",ISNA(MATCH(E1404,art_ref,0))),"Article inconnu",IF(IF(E1404="",FALSE,INDEX(art_check,MATCH(E1404,art_ref,0))&lt;&gt;"OK"),"Article à corriger (feuille Articles)",IF(COUNTIFS(sj_date,A1404,sj_eq,B1404,sj_po,C1404)&gt;1,"Ligne en double (même jour, équipe et poste)",IF(OR(NOT(ISNUMBER(K1404)),N(K1404)&lt;=0,N(K1404)&gt;1440),"Temps d'ouverture invalide",IF(OR(AND(G1404&lt;&gt;"",NOT(ISNUMBER(G1404))),N(G1404)&lt;0,N(G1404)&lt;&gt;INT(N(G1404)),AND(H1404&lt;&gt;"",NOT(ISNUMBER(H1404))),N(H1404)&lt;0,N(H1404)&lt;&gt;INT(N(H1404)),AND(I1404&lt;&gt;"",NOT(ISNUMBER(I1404))),N(I1404)&lt;0,N(I1404)&lt;&gt;INT(N(I1404))),"Quantité invalide",IF(Q1404&lt;=0,"Cadence manquante (poste ou article)",IF(M1404&lt;=0,"Arrêts planifiés supérieurs au temps d'ouverture",IF(O1404&lt;0,"Arrêts supérieurs au temps requis",IF(AND(P1404&gt;0,O1404=0),"Pièces déclarées sans temps de marche",IF(AND(P1404=0,O1404&gt;0),"Aucune pièce déclarée",IF(P1404*60/Q1404&gt;O1404+0.001,"Cadence dépassée : vérifiez la cadence","OK"))))))))))))))))))</f>
        <v/>
      </c>
      <c r="AC1404">
        <f>IF(OR(AB1404="OK",AB1404="Aucune pièce déclarée",AB1404="Cadence dépassée : vérifiez la cadence"),1,0)</f>
        <v>0.0</v>
      </c>
      <c r="AD1404">
        <f>IF(AND(AC1404=1,A1404&gt;=p_from,A1404&lt;=p_to),1,0)</f>
        <v>0.0</v>
      </c>
      <c r="AE1404">
        <f>IF(AD1404=1,IF(COUNTIFS($A$6:A1404,A1404,$AD$6:AD1404,1)=1,1,0),0)</f>
        <v>0.0</v>
      </c>
      <c r="AF1404" t="str">
        <f>IF(AE1404=1,COUNTIFS(sj_first,1,sj_date,"&lt;"&amp;A1404)+1,"")</f>
        <v/>
      </c>
      <c r="AG1404" t="str">
        <f>IF(AND(AD1404=1,N(W1404)&lt;p_alert),ROUND(W1404,4),"")</f>
        <v/>
      </c>
      <c r="AH1404" t="str">
        <f>IF(AG1404="","",COUNTIF(sj_akey,"&lt;"&amp;AG1404)+COUNTIF($AG$6:AG1404,AG1404))</f>
        <v/>
      </c>
    </row>
    <row r="1405">
      <c r="A1405" s="51" t="n"/>
      <c r="B1405" s="52" t="n"/>
      <c r="C1405" s="52" t="n"/>
      <c r="D1405" s="53" t="n"/>
      <c r="E1405" s="53" t="n"/>
      <c r="F1405" s="54" t="n"/>
      <c r="G1405" s="54" t="n"/>
      <c r="H1405" s="54" t="n"/>
      <c r="I1405" s="54" t="n"/>
      <c r="J1405" s="53" t="n"/>
      <c r="K1405" s="55" t="str">
        <f>IF(COUNTA(A1405:I1405)=0,"",IF(F1405="",IFERROR(INDEX(eq_dur,MATCH(B1405,eq_code,0)),""),F1405))</f>
        <v/>
      </c>
      <c r="L1405" s="55" t="str">
        <f>IF(ISNUMBER(K1405),N(IFERROR(INDEX(eq_pause,MATCH(B1405,eq_code,0)),0))+SUMIFS(st_min,st_date,A1405,st_eq,B1405,st_po,C1405,st_type,"Planifié"),"")</f>
        <v/>
      </c>
      <c r="M1405" s="55" t="str">
        <f>IF(ISNUMBER(K1405),K1405-L1405,"")</f>
        <v/>
      </c>
      <c r="N1405" s="55" t="str">
        <f>IF(ISNUMBER(K1405),SUMIFS(st_min,st_date,A1405,st_eq,B1405,st_po,C1405,st_type,"Non planifié"),"")</f>
        <v/>
      </c>
      <c r="O1405" s="55" t="str">
        <f>IF(ISNUMBER(K1405),M1405-N1405,"")</f>
        <v/>
      </c>
      <c r="P1405" s="55" t="str">
        <f>IF(COUNTA(A1405:I1405)=0,"",N(G1405)+N(H1405)+N(I1405))</f>
        <v/>
      </c>
      <c r="Q1405" s="56" t="str">
        <f>IF(COUNTA(A1405:I1405)=0,"",IF(N(IFERROR(INDEX(art_rate,MATCH(E1405,art_ref,0)),0))&gt;0,N(IFERROR(INDEX(art_rate,MATCH(E1405,art_ref,0)),0)),N(IFERROR(INDEX(po_rate,MATCH(C1405,po_code,0)),0))))</f>
        <v/>
      </c>
      <c r="R1405" s="55" t="str">
        <f>IF(AC1405=1,P1405*60/Q1405,"")</f>
        <v/>
      </c>
      <c r="S1405" s="55" t="str">
        <f>IF(AC1405=1,N(G1405)*60/Q1405,"")</f>
        <v/>
      </c>
      <c r="T1405" s="57" t="str">
        <f>IF(AC1405=1,O1405/M1405,"")</f>
        <v/>
      </c>
      <c r="U1405" s="57" t="str">
        <f>IF(AC1405=1,IF(O1405&gt;0,R1405/O1405,""),"")</f>
        <v/>
      </c>
      <c r="V1405" s="57" t="str">
        <f>IF(AC1405=1,IF(P1405&gt;0,N(G1405)/P1405,""),"")</f>
        <v/>
      </c>
      <c r="W1405" s="57" t="str">
        <f>IF(AC1405=1,S1405/M1405,"")</f>
        <v/>
      </c>
      <c r="X1405" s="57" t="str">
        <f>IF(AC1405=1,S1405/K1405,"")</f>
        <v/>
      </c>
      <c r="Y1405" s="58" t="str">
        <f>IF(W1405="","",IF(W1405&gt;=p_target,"Bon",IF(W1405&gt;=p_alert,"À surveiller","Faible")))</f>
        <v/>
      </c>
      <c r="Z1405" s="58" t="str">
        <f>IF(W1405="","",IF(MIN(IF(T1405="",1,T1405),IF(U1405="",1,U1405),IF(V1405="",1,V1405))&gt;=1,"Aucune",IF(IF(T1405="",1,T1405)&lt;=MIN(IF(U1405="",1,U1405),IF(V1405="",1,V1405)),"Disponibilité",IF(IF(U1405="",1,U1405)&lt;=IF(V1405="",1,V1405),"Performance","Qualité"))))</f>
        <v/>
      </c>
      <c r="AA1405" s="59" t="str">
        <f>IF(AC1405=1,N(H1405)*N(IFERROR(INDEX(art_cost,MATCH(E1405,art_ref,0)),0)),"")</f>
        <v/>
      </c>
      <c r="AB1405" s="58" t="str">
        <f>IF(COUNTA(A1405:I1405)=0,"",IF(N(A1405)&lt;=0,"Date manquante ou invalide",IF(B1405="","Équipe manquante",IF(ISNA(MATCH(B1405,eq_code,0)),"Équipe inconnue",IF(INDEX(eq_check,MATCH(B1405,eq_code,0))&lt;&gt;"OK","Équipe à corriger dans Paramètres",IF(C1405="","Poste manquant",IF(ISNA(MATCH(C1405,po_code,0)),"Poste inconnu",IF(AND(E1405&lt;&gt;"",ISNA(MATCH(E1405,art_ref,0))),"Article inconnu",IF(IF(E1405="",FALSE,INDEX(art_check,MATCH(E1405,art_ref,0))&lt;&gt;"OK"),"Article à corriger (feuille Articles)",IF(COUNTIFS(sj_date,A1405,sj_eq,B1405,sj_po,C1405)&gt;1,"Ligne en double (même jour, équipe et poste)",IF(OR(NOT(ISNUMBER(K1405)),N(K1405)&lt;=0,N(K1405)&gt;1440),"Temps d'ouverture invalide",IF(OR(AND(G1405&lt;&gt;"",NOT(ISNUMBER(G1405))),N(G1405)&lt;0,N(G1405)&lt;&gt;INT(N(G1405)),AND(H1405&lt;&gt;"",NOT(ISNUMBER(H1405))),N(H1405)&lt;0,N(H1405)&lt;&gt;INT(N(H1405)),AND(I1405&lt;&gt;"",NOT(ISNUMBER(I1405))),N(I1405)&lt;0,N(I1405)&lt;&gt;INT(N(I1405))),"Quantité invalide",IF(Q1405&lt;=0,"Cadence manquante (poste ou article)",IF(M1405&lt;=0,"Arrêts planifiés supérieurs au temps d'ouverture",IF(O1405&lt;0,"Arrêts supérieurs au temps requis",IF(AND(P1405&gt;0,O1405=0),"Pièces déclarées sans temps de marche",IF(AND(P1405=0,O1405&gt;0),"Aucune pièce déclarée",IF(P1405*60/Q1405&gt;O1405+0.001,"Cadence dépassée : vérifiez la cadence","OK"))))))))))))))))))</f>
        <v/>
      </c>
      <c r="AC1405">
        <f>IF(OR(AB1405="OK",AB1405="Aucune pièce déclarée",AB1405="Cadence dépassée : vérifiez la cadence"),1,0)</f>
        <v>0.0</v>
      </c>
      <c r="AD1405">
        <f>IF(AND(AC1405=1,A1405&gt;=p_from,A1405&lt;=p_to),1,0)</f>
        <v>0.0</v>
      </c>
      <c r="AE1405">
        <f>IF(AD1405=1,IF(COUNTIFS($A$6:A1405,A1405,$AD$6:AD1405,1)=1,1,0),0)</f>
        <v>0.0</v>
      </c>
      <c r="AF1405" t="str">
        <f>IF(AE1405=1,COUNTIFS(sj_first,1,sj_date,"&lt;"&amp;A1405)+1,"")</f>
        <v/>
      </c>
      <c r="AG1405" t="str">
        <f>IF(AND(AD1405=1,N(W1405)&lt;p_alert),ROUND(W1405,4),"")</f>
        <v/>
      </c>
      <c r="AH1405" t="str">
        <f>IF(AG1405="","",COUNTIF(sj_akey,"&lt;"&amp;AG1405)+COUNTIF($AG$6:AG1405,AG1405))</f>
        <v/>
      </c>
    </row>
    <row r="1406">
      <c r="A1406" s="51" t="n"/>
      <c r="B1406" s="52" t="n"/>
      <c r="C1406" s="52" t="n"/>
      <c r="D1406" s="53" t="n"/>
      <c r="E1406" s="53" t="n"/>
      <c r="F1406" s="54" t="n"/>
      <c r="G1406" s="54" t="n"/>
      <c r="H1406" s="54" t="n"/>
      <c r="I1406" s="54" t="n"/>
      <c r="J1406" s="53" t="n"/>
      <c r="K1406" s="55" t="str">
        <f>IF(COUNTA(A1406:I1406)=0,"",IF(F1406="",IFERROR(INDEX(eq_dur,MATCH(B1406,eq_code,0)),""),F1406))</f>
        <v/>
      </c>
      <c r="L1406" s="55" t="str">
        <f>IF(ISNUMBER(K1406),N(IFERROR(INDEX(eq_pause,MATCH(B1406,eq_code,0)),0))+SUMIFS(st_min,st_date,A1406,st_eq,B1406,st_po,C1406,st_type,"Planifié"),"")</f>
        <v/>
      </c>
      <c r="M1406" s="55" t="str">
        <f>IF(ISNUMBER(K1406),K1406-L1406,"")</f>
        <v/>
      </c>
      <c r="N1406" s="55" t="str">
        <f>IF(ISNUMBER(K1406),SUMIFS(st_min,st_date,A1406,st_eq,B1406,st_po,C1406,st_type,"Non planifié"),"")</f>
        <v/>
      </c>
      <c r="O1406" s="55" t="str">
        <f>IF(ISNUMBER(K1406),M1406-N1406,"")</f>
        <v/>
      </c>
      <c r="P1406" s="55" t="str">
        <f>IF(COUNTA(A1406:I1406)=0,"",N(G1406)+N(H1406)+N(I1406))</f>
        <v/>
      </c>
      <c r="Q1406" s="56" t="str">
        <f>IF(COUNTA(A1406:I1406)=0,"",IF(N(IFERROR(INDEX(art_rate,MATCH(E1406,art_ref,0)),0))&gt;0,N(IFERROR(INDEX(art_rate,MATCH(E1406,art_ref,0)),0)),N(IFERROR(INDEX(po_rate,MATCH(C1406,po_code,0)),0))))</f>
        <v/>
      </c>
      <c r="R1406" s="55" t="str">
        <f>IF(AC1406=1,P1406*60/Q1406,"")</f>
        <v/>
      </c>
      <c r="S1406" s="55" t="str">
        <f>IF(AC1406=1,N(G1406)*60/Q1406,"")</f>
        <v/>
      </c>
      <c r="T1406" s="57" t="str">
        <f>IF(AC1406=1,O1406/M1406,"")</f>
        <v/>
      </c>
      <c r="U1406" s="57" t="str">
        <f>IF(AC1406=1,IF(O1406&gt;0,R1406/O1406,""),"")</f>
        <v/>
      </c>
      <c r="V1406" s="57" t="str">
        <f>IF(AC1406=1,IF(P1406&gt;0,N(G1406)/P1406,""),"")</f>
        <v/>
      </c>
      <c r="W1406" s="57" t="str">
        <f>IF(AC1406=1,S1406/M1406,"")</f>
        <v/>
      </c>
      <c r="X1406" s="57" t="str">
        <f>IF(AC1406=1,S1406/K1406,"")</f>
        <v/>
      </c>
      <c r="Y1406" s="58" t="str">
        <f>IF(W1406="","",IF(W1406&gt;=p_target,"Bon",IF(W1406&gt;=p_alert,"À surveiller","Faible")))</f>
        <v/>
      </c>
      <c r="Z1406" s="58" t="str">
        <f>IF(W1406="","",IF(MIN(IF(T1406="",1,T1406),IF(U1406="",1,U1406),IF(V1406="",1,V1406))&gt;=1,"Aucune",IF(IF(T1406="",1,T1406)&lt;=MIN(IF(U1406="",1,U1406),IF(V1406="",1,V1406)),"Disponibilité",IF(IF(U1406="",1,U1406)&lt;=IF(V1406="",1,V1406),"Performance","Qualité"))))</f>
        <v/>
      </c>
      <c r="AA1406" s="59" t="str">
        <f>IF(AC1406=1,N(H1406)*N(IFERROR(INDEX(art_cost,MATCH(E1406,art_ref,0)),0)),"")</f>
        <v/>
      </c>
      <c r="AB1406" s="58" t="str">
        <f>IF(COUNTA(A1406:I1406)=0,"",IF(N(A1406)&lt;=0,"Date manquante ou invalide",IF(B1406="","Équipe manquante",IF(ISNA(MATCH(B1406,eq_code,0)),"Équipe inconnue",IF(INDEX(eq_check,MATCH(B1406,eq_code,0))&lt;&gt;"OK","Équipe à corriger dans Paramètres",IF(C1406="","Poste manquant",IF(ISNA(MATCH(C1406,po_code,0)),"Poste inconnu",IF(AND(E1406&lt;&gt;"",ISNA(MATCH(E1406,art_ref,0))),"Article inconnu",IF(IF(E1406="",FALSE,INDEX(art_check,MATCH(E1406,art_ref,0))&lt;&gt;"OK"),"Article à corriger (feuille Articles)",IF(COUNTIFS(sj_date,A1406,sj_eq,B1406,sj_po,C1406)&gt;1,"Ligne en double (même jour, équipe et poste)",IF(OR(NOT(ISNUMBER(K1406)),N(K1406)&lt;=0,N(K1406)&gt;1440),"Temps d'ouverture invalide",IF(OR(AND(G1406&lt;&gt;"",NOT(ISNUMBER(G1406))),N(G1406)&lt;0,N(G1406)&lt;&gt;INT(N(G1406)),AND(H1406&lt;&gt;"",NOT(ISNUMBER(H1406))),N(H1406)&lt;0,N(H1406)&lt;&gt;INT(N(H1406)),AND(I1406&lt;&gt;"",NOT(ISNUMBER(I1406))),N(I1406)&lt;0,N(I1406)&lt;&gt;INT(N(I1406))),"Quantité invalide",IF(Q1406&lt;=0,"Cadence manquante (poste ou article)",IF(M1406&lt;=0,"Arrêts planifiés supérieurs au temps d'ouverture",IF(O1406&lt;0,"Arrêts supérieurs au temps requis",IF(AND(P1406&gt;0,O1406=0),"Pièces déclarées sans temps de marche",IF(AND(P1406=0,O1406&gt;0),"Aucune pièce déclarée",IF(P1406*60/Q1406&gt;O1406+0.001,"Cadence dépassée : vérifiez la cadence","OK"))))))))))))))))))</f>
        <v/>
      </c>
      <c r="AC1406">
        <f>IF(OR(AB1406="OK",AB1406="Aucune pièce déclarée",AB1406="Cadence dépassée : vérifiez la cadence"),1,0)</f>
        <v>0.0</v>
      </c>
      <c r="AD1406">
        <f>IF(AND(AC1406=1,A1406&gt;=p_from,A1406&lt;=p_to),1,0)</f>
        <v>0.0</v>
      </c>
      <c r="AE1406">
        <f>IF(AD1406=1,IF(COUNTIFS($A$6:A1406,A1406,$AD$6:AD1406,1)=1,1,0),0)</f>
        <v>0.0</v>
      </c>
      <c r="AF1406" t="str">
        <f>IF(AE1406=1,COUNTIFS(sj_first,1,sj_date,"&lt;"&amp;A1406)+1,"")</f>
        <v/>
      </c>
      <c r="AG1406" t="str">
        <f>IF(AND(AD1406=1,N(W1406)&lt;p_alert),ROUND(W1406,4),"")</f>
        <v/>
      </c>
      <c r="AH1406" t="str">
        <f>IF(AG1406="","",COUNTIF(sj_akey,"&lt;"&amp;AG1406)+COUNTIF($AG$6:AG1406,AG1406))</f>
        <v/>
      </c>
    </row>
    <row r="1407">
      <c r="A1407" s="51" t="n"/>
      <c r="B1407" s="52" t="n"/>
      <c r="C1407" s="52" t="n"/>
      <c r="D1407" s="53" t="n"/>
      <c r="E1407" s="53" t="n"/>
      <c r="F1407" s="54" t="n"/>
      <c r="G1407" s="54" t="n"/>
      <c r="H1407" s="54" t="n"/>
      <c r="I1407" s="54" t="n"/>
      <c r="J1407" s="53" t="n"/>
      <c r="K1407" s="55" t="str">
        <f>IF(COUNTA(A1407:I1407)=0,"",IF(F1407="",IFERROR(INDEX(eq_dur,MATCH(B1407,eq_code,0)),""),F1407))</f>
        <v/>
      </c>
      <c r="L1407" s="55" t="str">
        <f>IF(ISNUMBER(K1407),N(IFERROR(INDEX(eq_pause,MATCH(B1407,eq_code,0)),0))+SUMIFS(st_min,st_date,A1407,st_eq,B1407,st_po,C1407,st_type,"Planifié"),"")</f>
        <v/>
      </c>
      <c r="M1407" s="55" t="str">
        <f>IF(ISNUMBER(K1407),K1407-L1407,"")</f>
        <v/>
      </c>
      <c r="N1407" s="55" t="str">
        <f>IF(ISNUMBER(K1407),SUMIFS(st_min,st_date,A1407,st_eq,B1407,st_po,C1407,st_type,"Non planifié"),"")</f>
        <v/>
      </c>
      <c r="O1407" s="55" t="str">
        <f>IF(ISNUMBER(K1407),M1407-N1407,"")</f>
        <v/>
      </c>
      <c r="P1407" s="55" t="str">
        <f>IF(COUNTA(A1407:I1407)=0,"",N(G1407)+N(H1407)+N(I1407))</f>
        <v/>
      </c>
      <c r="Q1407" s="56" t="str">
        <f>IF(COUNTA(A1407:I1407)=0,"",IF(N(IFERROR(INDEX(art_rate,MATCH(E1407,art_ref,0)),0))&gt;0,N(IFERROR(INDEX(art_rate,MATCH(E1407,art_ref,0)),0)),N(IFERROR(INDEX(po_rate,MATCH(C1407,po_code,0)),0))))</f>
        <v/>
      </c>
      <c r="R1407" s="55" t="str">
        <f>IF(AC1407=1,P1407*60/Q1407,"")</f>
        <v/>
      </c>
      <c r="S1407" s="55" t="str">
        <f>IF(AC1407=1,N(G1407)*60/Q1407,"")</f>
        <v/>
      </c>
      <c r="T1407" s="57" t="str">
        <f>IF(AC1407=1,O1407/M1407,"")</f>
        <v/>
      </c>
      <c r="U1407" s="57" t="str">
        <f>IF(AC1407=1,IF(O1407&gt;0,R1407/O1407,""),"")</f>
        <v/>
      </c>
      <c r="V1407" s="57" t="str">
        <f>IF(AC1407=1,IF(P1407&gt;0,N(G1407)/P1407,""),"")</f>
        <v/>
      </c>
      <c r="W1407" s="57" t="str">
        <f>IF(AC1407=1,S1407/M1407,"")</f>
        <v/>
      </c>
      <c r="X1407" s="57" t="str">
        <f>IF(AC1407=1,S1407/K1407,"")</f>
        <v/>
      </c>
      <c r="Y1407" s="58" t="str">
        <f>IF(W1407="","",IF(W1407&gt;=p_target,"Bon",IF(W1407&gt;=p_alert,"À surveiller","Faible")))</f>
        <v/>
      </c>
      <c r="Z1407" s="58" t="str">
        <f>IF(W1407="","",IF(MIN(IF(T1407="",1,T1407),IF(U1407="",1,U1407),IF(V1407="",1,V1407))&gt;=1,"Aucune",IF(IF(T1407="",1,T1407)&lt;=MIN(IF(U1407="",1,U1407),IF(V1407="",1,V1407)),"Disponibilité",IF(IF(U1407="",1,U1407)&lt;=IF(V1407="",1,V1407),"Performance","Qualité"))))</f>
        <v/>
      </c>
      <c r="AA1407" s="59" t="str">
        <f>IF(AC1407=1,N(H1407)*N(IFERROR(INDEX(art_cost,MATCH(E1407,art_ref,0)),0)),"")</f>
        <v/>
      </c>
      <c r="AB1407" s="58" t="str">
        <f>IF(COUNTA(A1407:I1407)=0,"",IF(N(A1407)&lt;=0,"Date manquante ou invalide",IF(B1407="","Équipe manquante",IF(ISNA(MATCH(B1407,eq_code,0)),"Équipe inconnue",IF(INDEX(eq_check,MATCH(B1407,eq_code,0))&lt;&gt;"OK","Équipe à corriger dans Paramètres",IF(C1407="","Poste manquant",IF(ISNA(MATCH(C1407,po_code,0)),"Poste inconnu",IF(AND(E1407&lt;&gt;"",ISNA(MATCH(E1407,art_ref,0))),"Article inconnu",IF(IF(E1407="",FALSE,INDEX(art_check,MATCH(E1407,art_ref,0))&lt;&gt;"OK"),"Article à corriger (feuille Articles)",IF(COUNTIFS(sj_date,A1407,sj_eq,B1407,sj_po,C1407)&gt;1,"Ligne en double (même jour, équipe et poste)",IF(OR(NOT(ISNUMBER(K1407)),N(K1407)&lt;=0,N(K1407)&gt;1440),"Temps d'ouverture invalide",IF(OR(AND(G1407&lt;&gt;"",NOT(ISNUMBER(G1407))),N(G1407)&lt;0,N(G1407)&lt;&gt;INT(N(G1407)),AND(H1407&lt;&gt;"",NOT(ISNUMBER(H1407))),N(H1407)&lt;0,N(H1407)&lt;&gt;INT(N(H1407)),AND(I1407&lt;&gt;"",NOT(ISNUMBER(I1407))),N(I1407)&lt;0,N(I1407)&lt;&gt;INT(N(I1407))),"Quantité invalide",IF(Q1407&lt;=0,"Cadence manquante (poste ou article)",IF(M1407&lt;=0,"Arrêts planifiés supérieurs au temps d'ouverture",IF(O1407&lt;0,"Arrêts supérieurs au temps requis",IF(AND(P1407&gt;0,O1407=0),"Pièces déclarées sans temps de marche",IF(AND(P1407=0,O1407&gt;0),"Aucune pièce déclarée",IF(P1407*60/Q1407&gt;O1407+0.001,"Cadence dépassée : vérifiez la cadence","OK"))))))))))))))))))</f>
        <v/>
      </c>
      <c r="AC1407">
        <f>IF(OR(AB1407="OK",AB1407="Aucune pièce déclarée",AB1407="Cadence dépassée : vérifiez la cadence"),1,0)</f>
        <v>0.0</v>
      </c>
      <c r="AD1407">
        <f>IF(AND(AC1407=1,A1407&gt;=p_from,A1407&lt;=p_to),1,0)</f>
        <v>0.0</v>
      </c>
      <c r="AE1407">
        <f>IF(AD1407=1,IF(COUNTIFS($A$6:A1407,A1407,$AD$6:AD1407,1)=1,1,0),0)</f>
        <v>0.0</v>
      </c>
      <c r="AF1407" t="str">
        <f>IF(AE1407=1,COUNTIFS(sj_first,1,sj_date,"&lt;"&amp;A1407)+1,"")</f>
        <v/>
      </c>
      <c r="AG1407" t="str">
        <f>IF(AND(AD1407=1,N(W1407)&lt;p_alert),ROUND(W1407,4),"")</f>
        <v/>
      </c>
      <c r="AH1407" t="str">
        <f>IF(AG1407="","",COUNTIF(sj_akey,"&lt;"&amp;AG1407)+COUNTIF($AG$6:AG1407,AG1407))</f>
        <v/>
      </c>
    </row>
    <row r="1408">
      <c r="A1408" s="51" t="n"/>
      <c r="B1408" s="52" t="n"/>
      <c r="C1408" s="52" t="n"/>
      <c r="D1408" s="53" t="n"/>
      <c r="E1408" s="53" t="n"/>
      <c r="F1408" s="54" t="n"/>
      <c r="G1408" s="54" t="n"/>
      <c r="H1408" s="54" t="n"/>
      <c r="I1408" s="54" t="n"/>
      <c r="J1408" s="53" t="n"/>
      <c r="K1408" s="55" t="str">
        <f>IF(COUNTA(A1408:I1408)=0,"",IF(F1408="",IFERROR(INDEX(eq_dur,MATCH(B1408,eq_code,0)),""),F1408))</f>
        <v/>
      </c>
      <c r="L1408" s="55" t="str">
        <f>IF(ISNUMBER(K1408),N(IFERROR(INDEX(eq_pause,MATCH(B1408,eq_code,0)),0))+SUMIFS(st_min,st_date,A1408,st_eq,B1408,st_po,C1408,st_type,"Planifié"),"")</f>
        <v/>
      </c>
      <c r="M1408" s="55" t="str">
        <f>IF(ISNUMBER(K1408),K1408-L1408,"")</f>
        <v/>
      </c>
      <c r="N1408" s="55" t="str">
        <f>IF(ISNUMBER(K1408),SUMIFS(st_min,st_date,A1408,st_eq,B1408,st_po,C1408,st_type,"Non planifié"),"")</f>
        <v/>
      </c>
      <c r="O1408" s="55" t="str">
        <f>IF(ISNUMBER(K1408),M1408-N1408,"")</f>
        <v/>
      </c>
      <c r="P1408" s="55" t="str">
        <f>IF(COUNTA(A1408:I1408)=0,"",N(G1408)+N(H1408)+N(I1408))</f>
        <v/>
      </c>
      <c r="Q1408" s="56" t="str">
        <f>IF(COUNTA(A1408:I1408)=0,"",IF(N(IFERROR(INDEX(art_rate,MATCH(E1408,art_ref,0)),0))&gt;0,N(IFERROR(INDEX(art_rate,MATCH(E1408,art_ref,0)),0)),N(IFERROR(INDEX(po_rate,MATCH(C1408,po_code,0)),0))))</f>
        <v/>
      </c>
      <c r="R1408" s="55" t="str">
        <f>IF(AC1408=1,P1408*60/Q1408,"")</f>
        <v/>
      </c>
      <c r="S1408" s="55" t="str">
        <f>IF(AC1408=1,N(G1408)*60/Q1408,"")</f>
        <v/>
      </c>
      <c r="T1408" s="57" t="str">
        <f>IF(AC1408=1,O1408/M1408,"")</f>
        <v/>
      </c>
      <c r="U1408" s="57" t="str">
        <f>IF(AC1408=1,IF(O1408&gt;0,R1408/O1408,""),"")</f>
        <v/>
      </c>
      <c r="V1408" s="57" t="str">
        <f>IF(AC1408=1,IF(P1408&gt;0,N(G1408)/P1408,""),"")</f>
        <v/>
      </c>
      <c r="W1408" s="57" t="str">
        <f>IF(AC1408=1,S1408/M1408,"")</f>
        <v/>
      </c>
      <c r="X1408" s="57" t="str">
        <f>IF(AC1408=1,S1408/K1408,"")</f>
        <v/>
      </c>
      <c r="Y1408" s="58" t="str">
        <f>IF(W1408="","",IF(W1408&gt;=p_target,"Bon",IF(W1408&gt;=p_alert,"À surveiller","Faible")))</f>
        <v/>
      </c>
      <c r="Z1408" s="58" t="str">
        <f>IF(W1408="","",IF(MIN(IF(T1408="",1,T1408),IF(U1408="",1,U1408),IF(V1408="",1,V1408))&gt;=1,"Aucune",IF(IF(T1408="",1,T1408)&lt;=MIN(IF(U1408="",1,U1408),IF(V1408="",1,V1408)),"Disponibilité",IF(IF(U1408="",1,U1408)&lt;=IF(V1408="",1,V1408),"Performance","Qualité"))))</f>
        <v/>
      </c>
      <c r="AA1408" s="59" t="str">
        <f>IF(AC1408=1,N(H1408)*N(IFERROR(INDEX(art_cost,MATCH(E1408,art_ref,0)),0)),"")</f>
        <v/>
      </c>
      <c r="AB1408" s="58" t="str">
        <f>IF(COUNTA(A1408:I1408)=0,"",IF(N(A1408)&lt;=0,"Date manquante ou invalide",IF(B1408="","Équipe manquante",IF(ISNA(MATCH(B1408,eq_code,0)),"Équipe inconnue",IF(INDEX(eq_check,MATCH(B1408,eq_code,0))&lt;&gt;"OK","Équipe à corriger dans Paramètres",IF(C1408="","Poste manquant",IF(ISNA(MATCH(C1408,po_code,0)),"Poste inconnu",IF(AND(E1408&lt;&gt;"",ISNA(MATCH(E1408,art_ref,0))),"Article inconnu",IF(IF(E1408="",FALSE,INDEX(art_check,MATCH(E1408,art_ref,0))&lt;&gt;"OK"),"Article à corriger (feuille Articles)",IF(COUNTIFS(sj_date,A1408,sj_eq,B1408,sj_po,C1408)&gt;1,"Ligne en double (même jour, équipe et poste)",IF(OR(NOT(ISNUMBER(K1408)),N(K1408)&lt;=0,N(K1408)&gt;1440),"Temps d'ouverture invalide",IF(OR(AND(G1408&lt;&gt;"",NOT(ISNUMBER(G1408))),N(G1408)&lt;0,N(G1408)&lt;&gt;INT(N(G1408)),AND(H1408&lt;&gt;"",NOT(ISNUMBER(H1408))),N(H1408)&lt;0,N(H1408)&lt;&gt;INT(N(H1408)),AND(I1408&lt;&gt;"",NOT(ISNUMBER(I1408))),N(I1408)&lt;0,N(I1408)&lt;&gt;INT(N(I1408))),"Quantité invalide",IF(Q1408&lt;=0,"Cadence manquante (poste ou article)",IF(M1408&lt;=0,"Arrêts planifiés supérieurs au temps d'ouverture",IF(O1408&lt;0,"Arrêts supérieurs au temps requis",IF(AND(P1408&gt;0,O1408=0),"Pièces déclarées sans temps de marche",IF(AND(P1408=0,O1408&gt;0),"Aucune pièce déclarée",IF(P1408*60/Q1408&gt;O1408+0.001,"Cadence dépassée : vérifiez la cadence","OK"))))))))))))))))))</f>
        <v/>
      </c>
      <c r="AC1408">
        <f>IF(OR(AB1408="OK",AB1408="Aucune pièce déclarée",AB1408="Cadence dépassée : vérifiez la cadence"),1,0)</f>
        <v>0.0</v>
      </c>
      <c r="AD1408">
        <f>IF(AND(AC1408=1,A1408&gt;=p_from,A1408&lt;=p_to),1,0)</f>
        <v>0.0</v>
      </c>
      <c r="AE1408">
        <f>IF(AD1408=1,IF(COUNTIFS($A$6:A1408,A1408,$AD$6:AD1408,1)=1,1,0),0)</f>
        <v>0.0</v>
      </c>
      <c r="AF1408" t="str">
        <f>IF(AE1408=1,COUNTIFS(sj_first,1,sj_date,"&lt;"&amp;A1408)+1,"")</f>
        <v/>
      </c>
      <c r="AG1408" t="str">
        <f>IF(AND(AD1408=1,N(W1408)&lt;p_alert),ROUND(W1408,4),"")</f>
        <v/>
      </c>
      <c r="AH1408" t="str">
        <f>IF(AG1408="","",COUNTIF(sj_akey,"&lt;"&amp;AG1408)+COUNTIF($AG$6:AG1408,AG1408))</f>
        <v/>
      </c>
    </row>
    <row r="1409">
      <c r="A1409" s="51" t="n"/>
      <c r="B1409" s="52" t="n"/>
      <c r="C1409" s="52" t="n"/>
      <c r="D1409" s="53" t="n"/>
      <c r="E1409" s="53" t="n"/>
      <c r="F1409" s="54" t="n"/>
      <c r="G1409" s="54" t="n"/>
      <c r="H1409" s="54" t="n"/>
      <c r="I1409" s="54" t="n"/>
      <c r="J1409" s="53" t="n"/>
      <c r="K1409" s="55" t="str">
        <f>IF(COUNTA(A1409:I1409)=0,"",IF(F1409="",IFERROR(INDEX(eq_dur,MATCH(B1409,eq_code,0)),""),F1409))</f>
        <v/>
      </c>
      <c r="L1409" s="55" t="str">
        <f>IF(ISNUMBER(K1409),N(IFERROR(INDEX(eq_pause,MATCH(B1409,eq_code,0)),0))+SUMIFS(st_min,st_date,A1409,st_eq,B1409,st_po,C1409,st_type,"Planifié"),"")</f>
        <v/>
      </c>
      <c r="M1409" s="55" t="str">
        <f>IF(ISNUMBER(K1409),K1409-L1409,"")</f>
        <v/>
      </c>
      <c r="N1409" s="55" t="str">
        <f>IF(ISNUMBER(K1409),SUMIFS(st_min,st_date,A1409,st_eq,B1409,st_po,C1409,st_type,"Non planifié"),"")</f>
        <v/>
      </c>
      <c r="O1409" s="55" t="str">
        <f>IF(ISNUMBER(K1409),M1409-N1409,"")</f>
        <v/>
      </c>
      <c r="P1409" s="55" t="str">
        <f>IF(COUNTA(A1409:I1409)=0,"",N(G1409)+N(H1409)+N(I1409))</f>
        <v/>
      </c>
      <c r="Q1409" s="56" t="str">
        <f>IF(COUNTA(A1409:I1409)=0,"",IF(N(IFERROR(INDEX(art_rate,MATCH(E1409,art_ref,0)),0))&gt;0,N(IFERROR(INDEX(art_rate,MATCH(E1409,art_ref,0)),0)),N(IFERROR(INDEX(po_rate,MATCH(C1409,po_code,0)),0))))</f>
        <v/>
      </c>
      <c r="R1409" s="55" t="str">
        <f>IF(AC1409=1,P1409*60/Q1409,"")</f>
        <v/>
      </c>
      <c r="S1409" s="55" t="str">
        <f>IF(AC1409=1,N(G1409)*60/Q1409,"")</f>
        <v/>
      </c>
      <c r="T1409" s="57" t="str">
        <f>IF(AC1409=1,O1409/M1409,"")</f>
        <v/>
      </c>
      <c r="U1409" s="57" t="str">
        <f>IF(AC1409=1,IF(O1409&gt;0,R1409/O1409,""),"")</f>
        <v/>
      </c>
      <c r="V1409" s="57" t="str">
        <f>IF(AC1409=1,IF(P1409&gt;0,N(G1409)/P1409,""),"")</f>
        <v/>
      </c>
      <c r="W1409" s="57" t="str">
        <f>IF(AC1409=1,S1409/M1409,"")</f>
        <v/>
      </c>
      <c r="X1409" s="57" t="str">
        <f>IF(AC1409=1,S1409/K1409,"")</f>
        <v/>
      </c>
      <c r="Y1409" s="58" t="str">
        <f>IF(W1409="","",IF(W1409&gt;=p_target,"Bon",IF(W1409&gt;=p_alert,"À surveiller","Faible")))</f>
        <v/>
      </c>
      <c r="Z1409" s="58" t="str">
        <f>IF(W1409="","",IF(MIN(IF(T1409="",1,T1409),IF(U1409="",1,U1409),IF(V1409="",1,V1409))&gt;=1,"Aucune",IF(IF(T1409="",1,T1409)&lt;=MIN(IF(U1409="",1,U1409),IF(V1409="",1,V1409)),"Disponibilité",IF(IF(U1409="",1,U1409)&lt;=IF(V1409="",1,V1409),"Performance","Qualité"))))</f>
        <v/>
      </c>
      <c r="AA1409" s="59" t="str">
        <f>IF(AC1409=1,N(H1409)*N(IFERROR(INDEX(art_cost,MATCH(E1409,art_ref,0)),0)),"")</f>
        <v/>
      </c>
      <c r="AB1409" s="58" t="str">
        <f>IF(COUNTA(A1409:I1409)=0,"",IF(N(A1409)&lt;=0,"Date manquante ou invalide",IF(B1409="","Équipe manquante",IF(ISNA(MATCH(B1409,eq_code,0)),"Équipe inconnue",IF(INDEX(eq_check,MATCH(B1409,eq_code,0))&lt;&gt;"OK","Équipe à corriger dans Paramètres",IF(C1409="","Poste manquant",IF(ISNA(MATCH(C1409,po_code,0)),"Poste inconnu",IF(AND(E1409&lt;&gt;"",ISNA(MATCH(E1409,art_ref,0))),"Article inconnu",IF(IF(E1409="",FALSE,INDEX(art_check,MATCH(E1409,art_ref,0))&lt;&gt;"OK"),"Article à corriger (feuille Articles)",IF(COUNTIFS(sj_date,A1409,sj_eq,B1409,sj_po,C1409)&gt;1,"Ligne en double (même jour, équipe et poste)",IF(OR(NOT(ISNUMBER(K1409)),N(K1409)&lt;=0,N(K1409)&gt;1440),"Temps d'ouverture invalide",IF(OR(AND(G1409&lt;&gt;"",NOT(ISNUMBER(G1409))),N(G1409)&lt;0,N(G1409)&lt;&gt;INT(N(G1409)),AND(H1409&lt;&gt;"",NOT(ISNUMBER(H1409))),N(H1409)&lt;0,N(H1409)&lt;&gt;INT(N(H1409)),AND(I1409&lt;&gt;"",NOT(ISNUMBER(I1409))),N(I1409)&lt;0,N(I1409)&lt;&gt;INT(N(I1409))),"Quantité invalide",IF(Q1409&lt;=0,"Cadence manquante (poste ou article)",IF(M1409&lt;=0,"Arrêts planifiés supérieurs au temps d'ouverture",IF(O1409&lt;0,"Arrêts supérieurs au temps requis",IF(AND(P1409&gt;0,O1409=0),"Pièces déclarées sans temps de marche",IF(AND(P1409=0,O1409&gt;0),"Aucune pièce déclarée",IF(P1409*60/Q1409&gt;O1409+0.001,"Cadence dépassée : vérifiez la cadence","OK"))))))))))))))))))</f>
        <v/>
      </c>
      <c r="AC1409">
        <f>IF(OR(AB1409="OK",AB1409="Aucune pièce déclarée",AB1409="Cadence dépassée : vérifiez la cadence"),1,0)</f>
        <v>0.0</v>
      </c>
      <c r="AD1409">
        <f>IF(AND(AC1409=1,A1409&gt;=p_from,A1409&lt;=p_to),1,0)</f>
        <v>0.0</v>
      </c>
      <c r="AE1409">
        <f>IF(AD1409=1,IF(COUNTIFS($A$6:A1409,A1409,$AD$6:AD1409,1)=1,1,0),0)</f>
        <v>0.0</v>
      </c>
      <c r="AF1409" t="str">
        <f>IF(AE1409=1,COUNTIFS(sj_first,1,sj_date,"&lt;"&amp;A1409)+1,"")</f>
        <v/>
      </c>
      <c r="AG1409" t="str">
        <f>IF(AND(AD1409=1,N(W1409)&lt;p_alert),ROUND(W1409,4),"")</f>
        <v/>
      </c>
      <c r="AH1409" t="str">
        <f>IF(AG1409="","",COUNTIF(sj_akey,"&lt;"&amp;AG1409)+COUNTIF($AG$6:AG1409,AG1409))</f>
        <v/>
      </c>
    </row>
    <row r="1410">
      <c r="A1410" s="51" t="n"/>
      <c r="B1410" s="52" t="n"/>
      <c r="C1410" s="52" t="n"/>
      <c r="D1410" s="53" t="n"/>
      <c r="E1410" s="53" t="n"/>
      <c r="F1410" s="54" t="n"/>
      <c r="G1410" s="54" t="n"/>
      <c r="H1410" s="54" t="n"/>
      <c r="I1410" s="54" t="n"/>
      <c r="J1410" s="53" t="n"/>
      <c r="K1410" s="55" t="str">
        <f>IF(COUNTA(A1410:I1410)=0,"",IF(F1410="",IFERROR(INDEX(eq_dur,MATCH(B1410,eq_code,0)),""),F1410))</f>
        <v/>
      </c>
      <c r="L1410" s="55" t="str">
        <f>IF(ISNUMBER(K1410),N(IFERROR(INDEX(eq_pause,MATCH(B1410,eq_code,0)),0))+SUMIFS(st_min,st_date,A1410,st_eq,B1410,st_po,C1410,st_type,"Planifié"),"")</f>
        <v/>
      </c>
      <c r="M1410" s="55" t="str">
        <f>IF(ISNUMBER(K1410),K1410-L1410,"")</f>
        <v/>
      </c>
      <c r="N1410" s="55" t="str">
        <f>IF(ISNUMBER(K1410),SUMIFS(st_min,st_date,A1410,st_eq,B1410,st_po,C1410,st_type,"Non planifié"),"")</f>
        <v/>
      </c>
      <c r="O1410" s="55" t="str">
        <f>IF(ISNUMBER(K1410),M1410-N1410,"")</f>
        <v/>
      </c>
      <c r="P1410" s="55" t="str">
        <f>IF(COUNTA(A1410:I1410)=0,"",N(G1410)+N(H1410)+N(I1410))</f>
        <v/>
      </c>
      <c r="Q1410" s="56" t="str">
        <f>IF(COUNTA(A1410:I1410)=0,"",IF(N(IFERROR(INDEX(art_rate,MATCH(E1410,art_ref,0)),0))&gt;0,N(IFERROR(INDEX(art_rate,MATCH(E1410,art_ref,0)),0)),N(IFERROR(INDEX(po_rate,MATCH(C1410,po_code,0)),0))))</f>
        <v/>
      </c>
      <c r="R1410" s="55" t="str">
        <f>IF(AC1410=1,P1410*60/Q1410,"")</f>
        <v/>
      </c>
      <c r="S1410" s="55" t="str">
        <f>IF(AC1410=1,N(G1410)*60/Q1410,"")</f>
        <v/>
      </c>
      <c r="T1410" s="57" t="str">
        <f>IF(AC1410=1,O1410/M1410,"")</f>
        <v/>
      </c>
      <c r="U1410" s="57" t="str">
        <f>IF(AC1410=1,IF(O1410&gt;0,R1410/O1410,""),"")</f>
        <v/>
      </c>
      <c r="V1410" s="57" t="str">
        <f>IF(AC1410=1,IF(P1410&gt;0,N(G1410)/P1410,""),"")</f>
        <v/>
      </c>
      <c r="W1410" s="57" t="str">
        <f>IF(AC1410=1,S1410/M1410,"")</f>
        <v/>
      </c>
      <c r="X1410" s="57" t="str">
        <f>IF(AC1410=1,S1410/K1410,"")</f>
        <v/>
      </c>
      <c r="Y1410" s="58" t="str">
        <f>IF(W1410="","",IF(W1410&gt;=p_target,"Bon",IF(W1410&gt;=p_alert,"À surveiller","Faible")))</f>
        <v/>
      </c>
      <c r="Z1410" s="58" t="str">
        <f>IF(W1410="","",IF(MIN(IF(T1410="",1,T1410),IF(U1410="",1,U1410),IF(V1410="",1,V1410))&gt;=1,"Aucune",IF(IF(T1410="",1,T1410)&lt;=MIN(IF(U1410="",1,U1410),IF(V1410="",1,V1410)),"Disponibilité",IF(IF(U1410="",1,U1410)&lt;=IF(V1410="",1,V1410),"Performance","Qualité"))))</f>
        <v/>
      </c>
      <c r="AA1410" s="59" t="str">
        <f>IF(AC1410=1,N(H1410)*N(IFERROR(INDEX(art_cost,MATCH(E1410,art_ref,0)),0)),"")</f>
        <v/>
      </c>
      <c r="AB1410" s="58" t="str">
        <f>IF(COUNTA(A1410:I1410)=0,"",IF(N(A1410)&lt;=0,"Date manquante ou invalide",IF(B1410="","Équipe manquante",IF(ISNA(MATCH(B1410,eq_code,0)),"Équipe inconnue",IF(INDEX(eq_check,MATCH(B1410,eq_code,0))&lt;&gt;"OK","Équipe à corriger dans Paramètres",IF(C1410="","Poste manquant",IF(ISNA(MATCH(C1410,po_code,0)),"Poste inconnu",IF(AND(E1410&lt;&gt;"",ISNA(MATCH(E1410,art_ref,0))),"Article inconnu",IF(IF(E1410="",FALSE,INDEX(art_check,MATCH(E1410,art_ref,0))&lt;&gt;"OK"),"Article à corriger (feuille Articles)",IF(COUNTIFS(sj_date,A1410,sj_eq,B1410,sj_po,C1410)&gt;1,"Ligne en double (même jour, équipe et poste)",IF(OR(NOT(ISNUMBER(K1410)),N(K1410)&lt;=0,N(K1410)&gt;1440),"Temps d'ouverture invalide",IF(OR(AND(G1410&lt;&gt;"",NOT(ISNUMBER(G1410))),N(G1410)&lt;0,N(G1410)&lt;&gt;INT(N(G1410)),AND(H1410&lt;&gt;"",NOT(ISNUMBER(H1410))),N(H1410)&lt;0,N(H1410)&lt;&gt;INT(N(H1410)),AND(I1410&lt;&gt;"",NOT(ISNUMBER(I1410))),N(I1410)&lt;0,N(I1410)&lt;&gt;INT(N(I1410))),"Quantité invalide",IF(Q1410&lt;=0,"Cadence manquante (poste ou article)",IF(M1410&lt;=0,"Arrêts planifiés supérieurs au temps d'ouverture",IF(O1410&lt;0,"Arrêts supérieurs au temps requis",IF(AND(P1410&gt;0,O1410=0),"Pièces déclarées sans temps de marche",IF(AND(P1410=0,O1410&gt;0),"Aucune pièce déclarée",IF(P1410*60/Q1410&gt;O1410+0.001,"Cadence dépassée : vérifiez la cadence","OK"))))))))))))))))))</f>
        <v/>
      </c>
      <c r="AC1410">
        <f>IF(OR(AB1410="OK",AB1410="Aucune pièce déclarée",AB1410="Cadence dépassée : vérifiez la cadence"),1,0)</f>
        <v>0.0</v>
      </c>
      <c r="AD1410">
        <f>IF(AND(AC1410=1,A1410&gt;=p_from,A1410&lt;=p_to),1,0)</f>
        <v>0.0</v>
      </c>
      <c r="AE1410">
        <f>IF(AD1410=1,IF(COUNTIFS($A$6:A1410,A1410,$AD$6:AD1410,1)=1,1,0),0)</f>
        <v>0.0</v>
      </c>
      <c r="AF1410" t="str">
        <f>IF(AE1410=1,COUNTIFS(sj_first,1,sj_date,"&lt;"&amp;A1410)+1,"")</f>
        <v/>
      </c>
      <c r="AG1410" t="str">
        <f>IF(AND(AD1410=1,N(W1410)&lt;p_alert),ROUND(W1410,4),"")</f>
        <v/>
      </c>
      <c r="AH1410" t="str">
        <f>IF(AG1410="","",COUNTIF(sj_akey,"&lt;"&amp;AG1410)+COUNTIF($AG$6:AG1410,AG1410))</f>
        <v/>
      </c>
    </row>
    <row r="1411">
      <c r="A1411" s="51" t="n"/>
      <c r="B1411" s="52" t="n"/>
      <c r="C1411" s="52" t="n"/>
      <c r="D1411" s="53" t="n"/>
      <c r="E1411" s="53" t="n"/>
      <c r="F1411" s="54" t="n"/>
      <c r="G1411" s="54" t="n"/>
      <c r="H1411" s="54" t="n"/>
      <c r="I1411" s="54" t="n"/>
      <c r="J1411" s="53" t="n"/>
      <c r="K1411" s="55" t="str">
        <f>IF(COUNTA(A1411:I1411)=0,"",IF(F1411="",IFERROR(INDEX(eq_dur,MATCH(B1411,eq_code,0)),""),F1411))</f>
        <v/>
      </c>
      <c r="L1411" s="55" t="str">
        <f>IF(ISNUMBER(K1411),N(IFERROR(INDEX(eq_pause,MATCH(B1411,eq_code,0)),0))+SUMIFS(st_min,st_date,A1411,st_eq,B1411,st_po,C1411,st_type,"Planifié"),"")</f>
        <v/>
      </c>
      <c r="M1411" s="55" t="str">
        <f>IF(ISNUMBER(K1411),K1411-L1411,"")</f>
        <v/>
      </c>
      <c r="N1411" s="55" t="str">
        <f>IF(ISNUMBER(K1411),SUMIFS(st_min,st_date,A1411,st_eq,B1411,st_po,C1411,st_type,"Non planifié"),"")</f>
        <v/>
      </c>
      <c r="O1411" s="55" t="str">
        <f>IF(ISNUMBER(K1411),M1411-N1411,"")</f>
        <v/>
      </c>
      <c r="P1411" s="55" t="str">
        <f>IF(COUNTA(A1411:I1411)=0,"",N(G1411)+N(H1411)+N(I1411))</f>
        <v/>
      </c>
      <c r="Q1411" s="56" t="str">
        <f>IF(COUNTA(A1411:I1411)=0,"",IF(N(IFERROR(INDEX(art_rate,MATCH(E1411,art_ref,0)),0))&gt;0,N(IFERROR(INDEX(art_rate,MATCH(E1411,art_ref,0)),0)),N(IFERROR(INDEX(po_rate,MATCH(C1411,po_code,0)),0))))</f>
        <v/>
      </c>
      <c r="R1411" s="55" t="str">
        <f>IF(AC1411=1,P1411*60/Q1411,"")</f>
        <v/>
      </c>
      <c r="S1411" s="55" t="str">
        <f>IF(AC1411=1,N(G1411)*60/Q1411,"")</f>
        <v/>
      </c>
      <c r="T1411" s="57" t="str">
        <f>IF(AC1411=1,O1411/M1411,"")</f>
        <v/>
      </c>
      <c r="U1411" s="57" t="str">
        <f>IF(AC1411=1,IF(O1411&gt;0,R1411/O1411,""),"")</f>
        <v/>
      </c>
      <c r="V1411" s="57" t="str">
        <f>IF(AC1411=1,IF(P1411&gt;0,N(G1411)/P1411,""),"")</f>
        <v/>
      </c>
      <c r="W1411" s="57" t="str">
        <f>IF(AC1411=1,S1411/M1411,"")</f>
        <v/>
      </c>
      <c r="X1411" s="57" t="str">
        <f>IF(AC1411=1,S1411/K1411,"")</f>
        <v/>
      </c>
      <c r="Y1411" s="58" t="str">
        <f>IF(W1411="","",IF(W1411&gt;=p_target,"Bon",IF(W1411&gt;=p_alert,"À surveiller","Faible")))</f>
        <v/>
      </c>
      <c r="Z1411" s="58" t="str">
        <f>IF(W1411="","",IF(MIN(IF(T1411="",1,T1411),IF(U1411="",1,U1411),IF(V1411="",1,V1411))&gt;=1,"Aucune",IF(IF(T1411="",1,T1411)&lt;=MIN(IF(U1411="",1,U1411),IF(V1411="",1,V1411)),"Disponibilité",IF(IF(U1411="",1,U1411)&lt;=IF(V1411="",1,V1411),"Performance","Qualité"))))</f>
        <v/>
      </c>
      <c r="AA1411" s="59" t="str">
        <f>IF(AC1411=1,N(H1411)*N(IFERROR(INDEX(art_cost,MATCH(E1411,art_ref,0)),0)),"")</f>
        <v/>
      </c>
      <c r="AB1411" s="58" t="str">
        <f>IF(COUNTA(A1411:I1411)=0,"",IF(N(A1411)&lt;=0,"Date manquante ou invalide",IF(B1411="","Équipe manquante",IF(ISNA(MATCH(B1411,eq_code,0)),"Équipe inconnue",IF(INDEX(eq_check,MATCH(B1411,eq_code,0))&lt;&gt;"OK","Équipe à corriger dans Paramètres",IF(C1411="","Poste manquant",IF(ISNA(MATCH(C1411,po_code,0)),"Poste inconnu",IF(AND(E1411&lt;&gt;"",ISNA(MATCH(E1411,art_ref,0))),"Article inconnu",IF(IF(E1411="",FALSE,INDEX(art_check,MATCH(E1411,art_ref,0))&lt;&gt;"OK"),"Article à corriger (feuille Articles)",IF(COUNTIFS(sj_date,A1411,sj_eq,B1411,sj_po,C1411)&gt;1,"Ligne en double (même jour, équipe et poste)",IF(OR(NOT(ISNUMBER(K1411)),N(K1411)&lt;=0,N(K1411)&gt;1440),"Temps d'ouverture invalide",IF(OR(AND(G1411&lt;&gt;"",NOT(ISNUMBER(G1411))),N(G1411)&lt;0,N(G1411)&lt;&gt;INT(N(G1411)),AND(H1411&lt;&gt;"",NOT(ISNUMBER(H1411))),N(H1411)&lt;0,N(H1411)&lt;&gt;INT(N(H1411)),AND(I1411&lt;&gt;"",NOT(ISNUMBER(I1411))),N(I1411)&lt;0,N(I1411)&lt;&gt;INT(N(I1411))),"Quantité invalide",IF(Q1411&lt;=0,"Cadence manquante (poste ou article)",IF(M1411&lt;=0,"Arrêts planifiés supérieurs au temps d'ouverture",IF(O1411&lt;0,"Arrêts supérieurs au temps requis",IF(AND(P1411&gt;0,O1411=0),"Pièces déclarées sans temps de marche",IF(AND(P1411=0,O1411&gt;0),"Aucune pièce déclarée",IF(P1411*60/Q1411&gt;O1411+0.001,"Cadence dépassée : vérifiez la cadence","OK"))))))))))))))))))</f>
        <v/>
      </c>
      <c r="AC1411">
        <f>IF(OR(AB1411="OK",AB1411="Aucune pièce déclarée",AB1411="Cadence dépassée : vérifiez la cadence"),1,0)</f>
        <v>0.0</v>
      </c>
      <c r="AD1411">
        <f>IF(AND(AC1411=1,A1411&gt;=p_from,A1411&lt;=p_to),1,0)</f>
        <v>0.0</v>
      </c>
      <c r="AE1411">
        <f>IF(AD1411=1,IF(COUNTIFS($A$6:A1411,A1411,$AD$6:AD1411,1)=1,1,0),0)</f>
        <v>0.0</v>
      </c>
      <c r="AF1411" t="str">
        <f>IF(AE1411=1,COUNTIFS(sj_first,1,sj_date,"&lt;"&amp;A1411)+1,"")</f>
        <v/>
      </c>
      <c r="AG1411" t="str">
        <f>IF(AND(AD1411=1,N(W1411)&lt;p_alert),ROUND(W1411,4),"")</f>
        <v/>
      </c>
      <c r="AH1411" t="str">
        <f>IF(AG1411="","",COUNTIF(sj_akey,"&lt;"&amp;AG1411)+COUNTIF($AG$6:AG1411,AG1411))</f>
        <v/>
      </c>
    </row>
    <row r="1412">
      <c r="A1412" s="51" t="n"/>
      <c r="B1412" s="52" t="n"/>
      <c r="C1412" s="52" t="n"/>
      <c r="D1412" s="53" t="n"/>
      <c r="E1412" s="53" t="n"/>
      <c r="F1412" s="54" t="n"/>
      <c r="G1412" s="54" t="n"/>
      <c r="H1412" s="54" t="n"/>
      <c r="I1412" s="54" t="n"/>
      <c r="J1412" s="53" t="n"/>
      <c r="K1412" s="55" t="str">
        <f>IF(COUNTA(A1412:I1412)=0,"",IF(F1412="",IFERROR(INDEX(eq_dur,MATCH(B1412,eq_code,0)),""),F1412))</f>
        <v/>
      </c>
      <c r="L1412" s="55" t="str">
        <f>IF(ISNUMBER(K1412),N(IFERROR(INDEX(eq_pause,MATCH(B1412,eq_code,0)),0))+SUMIFS(st_min,st_date,A1412,st_eq,B1412,st_po,C1412,st_type,"Planifié"),"")</f>
        <v/>
      </c>
      <c r="M1412" s="55" t="str">
        <f>IF(ISNUMBER(K1412),K1412-L1412,"")</f>
        <v/>
      </c>
      <c r="N1412" s="55" t="str">
        <f>IF(ISNUMBER(K1412),SUMIFS(st_min,st_date,A1412,st_eq,B1412,st_po,C1412,st_type,"Non planifié"),"")</f>
        <v/>
      </c>
      <c r="O1412" s="55" t="str">
        <f>IF(ISNUMBER(K1412),M1412-N1412,"")</f>
        <v/>
      </c>
      <c r="P1412" s="55" t="str">
        <f>IF(COUNTA(A1412:I1412)=0,"",N(G1412)+N(H1412)+N(I1412))</f>
        <v/>
      </c>
      <c r="Q1412" s="56" t="str">
        <f>IF(COUNTA(A1412:I1412)=0,"",IF(N(IFERROR(INDEX(art_rate,MATCH(E1412,art_ref,0)),0))&gt;0,N(IFERROR(INDEX(art_rate,MATCH(E1412,art_ref,0)),0)),N(IFERROR(INDEX(po_rate,MATCH(C1412,po_code,0)),0))))</f>
        <v/>
      </c>
      <c r="R1412" s="55" t="str">
        <f>IF(AC1412=1,P1412*60/Q1412,"")</f>
        <v/>
      </c>
      <c r="S1412" s="55" t="str">
        <f>IF(AC1412=1,N(G1412)*60/Q1412,"")</f>
        <v/>
      </c>
      <c r="T1412" s="57" t="str">
        <f>IF(AC1412=1,O1412/M1412,"")</f>
        <v/>
      </c>
      <c r="U1412" s="57" t="str">
        <f>IF(AC1412=1,IF(O1412&gt;0,R1412/O1412,""),"")</f>
        <v/>
      </c>
      <c r="V1412" s="57" t="str">
        <f>IF(AC1412=1,IF(P1412&gt;0,N(G1412)/P1412,""),"")</f>
        <v/>
      </c>
      <c r="W1412" s="57" t="str">
        <f>IF(AC1412=1,S1412/M1412,"")</f>
        <v/>
      </c>
      <c r="X1412" s="57" t="str">
        <f>IF(AC1412=1,S1412/K1412,"")</f>
        <v/>
      </c>
      <c r="Y1412" s="58" t="str">
        <f>IF(W1412="","",IF(W1412&gt;=p_target,"Bon",IF(W1412&gt;=p_alert,"À surveiller","Faible")))</f>
        <v/>
      </c>
      <c r="Z1412" s="58" t="str">
        <f>IF(W1412="","",IF(MIN(IF(T1412="",1,T1412),IF(U1412="",1,U1412),IF(V1412="",1,V1412))&gt;=1,"Aucune",IF(IF(T1412="",1,T1412)&lt;=MIN(IF(U1412="",1,U1412),IF(V1412="",1,V1412)),"Disponibilité",IF(IF(U1412="",1,U1412)&lt;=IF(V1412="",1,V1412),"Performance","Qualité"))))</f>
        <v/>
      </c>
      <c r="AA1412" s="59" t="str">
        <f>IF(AC1412=1,N(H1412)*N(IFERROR(INDEX(art_cost,MATCH(E1412,art_ref,0)),0)),"")</f>
        <v/>
      </c>
      <c r="AB1412" s="58" t="str">
        <f>IF(COUNTA(A1412:I1412)=0,"",IF(N(A1412)&lt;=0,"Date manquante ou invalide",IF(B1412="","Équipe manquante",IF(ISNA(MATCH(B1412,eq_code,0)),"Équipe inconnue",IF(INDEX(eq_check,MATCH(B1412,eq_code,0))&lt;&gt;"OK","Équipe à corriger dans Paramètres",IF(C1412="","Poste manquant",IF(ISNA(MATCH(C1412,po_code,0)),"Poste inconnu",IF(AND(E1412&lt;&gt;"",ISNA(MATCH(E1412,art_ref,0))),"Article inconnu",IF(IF(E1412="",FALSE,INDEX(art_check,MATCH(E1412,art_ref,0))&lt;&gt;"OK"),"Article à corriger (feuille Articles)",IF(COUNTIFS(sj_date,A1412,sj_eq,B1412,sj_po,C1412)&gt;1,"Ligne en double (même jour, équipe et poste)",IF(OR(NOT(ISNUMBER(K1412)),N(K1412)&lt;=0,N(K1412)&gt;1440),"Temps d'ouverture invalide",IF(OR(AND(G1412&lt;&gt;"",NOT(ISNUMBER(G1412))),N(G1412)&lt;0,N(G1412)&lt;&gt;INT(N(G1412)),AND(H1412&lt;&gt;"",NOT(ISNUMBER(H1412))),N(H1412)&lt;0,N(H1412)&lt;&gt;INT(N(H1412)),AND(I1412&lt;&gt;"",NOT(ISNUMBER(I1412))),N(I1412)&lt;0,N(I1412)&lt;&gt;INT(N(I1412))),"Quantité invalide",IF(Q1412&lt;=0,"Cadence manquante (poste ou article)",IF(M1412&lt;=0,"Arrêts planifiés supérieurs au temps d'ouverture",IF(O1412&lt;0,"Arrêts supérieurs au temps requis",IF(AND(P1412&gt;0,O1412=0),"Pièces déclarées sans temps de marche",IF(AND(P1412=0,O1412&gt;0),"Aucune pièce déclarée",IF(P1412*60/Q1412&gt;O1412+0.001,"Cadence dépassée : vérifiez la cadence","OK"))))))))))))))))))</f>
        <v/>
      </c>
      <c r="AC1412">
        <f>IF(OR(AB1412="OK",AB1412="Aucune pièce déclarée",AB1412="Cadence dépassée : vérifiez la cadence"),1,0)</f>
        <v>0.0</v>
      </c>
      <c r="AD1412">
        <f>IF(AND(AC1412=1,A1412&gt;=p_from,A1412&lt;=p_to),1,0)</f>
        <v>0.0</v>
      </c>
      <c r="AE1412">
        <f>IF(AD1412=1,IF(COUNTIFS($A$6:A1412,A1412,$AD$6:AD1412,1)=1,1,0),0)</f>
        <v>0.0</v>
      </c>
      <c r="AF1412" t="str">
        <f>IF(AE1412=1,COUNTIFS(sj_first,1,sj_date,"&lt;"&amp;A1412)+1,"")</f>
        <v/>
      </c>
      <c r="AG1412" t="str">
        <f>IF(AND(AD1412=1,N(W1412)&lt;p_alert),ROUND(W1412,4),"")</f>
        <v/>
      </c>
      <c r="AH1412" t="str">
        <f>IF(AG1412="","",COUNTIF(sj_akey,"&lt;"&amp;AG1412)+COUNTIF($AG$6:AG1412,AG1412))</f>
        <v/>
      </c>
    </row>
    <row r="1413">
      <c r="A1413" s="51" t="n"/>
      <c r="B1413" s="52" t="n"/>
      <c r="C1413" s="52" t="n"/>
      <c r="D1413" s="53" t="n"/>
      <c r="E1413" s="53" t="n"/>
      <c r="F1413" s="54" t="n"/>
      <c r="G1413" s="54" t="n"/>
      <c r="H1413" s="54" t="n"/>
      <c r="I1413" s="54" t="n"/>
      <c r="J1413" s="53" t="n"/>
      <c r="K1413" s="55" t="str">
        <f>IF(COUNTA(A1413:I1413)=0,"",IF(F1413="",IFERROR(INDEX(eq_dur,MATCH(B1413,eq_code,0)),""),F1413))</f>
        <v/>
      </c>
      <c r="L1413" s="55" t="str">
        <f>IF(ISNUMBER(K1413),N(IFERROR(INDEX(eq_pause,MATCH(B1413,eq_code,0)),0))+SUMIFS(st_min,st_date,A1413,st_eq,B1413,st_po,C1413,st_type,"Planifié"),"")</f>
        <v/>
      </c>
      <c r="M1413" s="55" t="str">
        <f>IF(ISNUMBER(K1413),K1413-L1413,"")</f>
        <v/>
      </c>
      <c r="N1413" s="55" t="str">
        <f>IF(ISNUMBER(K1413),SUMIFS(st_min,st_date,A1413,st_eq,B1413,st_po,C1413,st_type,"Non planifié"),"")</f>
        <v/>
      </c>
      <c r="O1413" s="55" t="str">
        <f>IF(ISNUMBER(K1413),M1413-N1413,"")</f>
        <v/>
      </c>
      <c r="P1413" s="55" t="str">
        <f>IF(COUNTA(A1413:I1413)=0,"",N(G1413)+N(H1413)+N(I1413))</f>
        <v/>
      </c>
      <c r="Q1413" s="56" t="str">
        <f>IF(COUNTA(A1413:I1413)=0,"",IF(N(IFERROR(INDEX(art_rate,MATCH(E1413,art_ref,0)),0))&gt;0,N(IFERROR(INDEX(art_rate,MATCH(E1413,art_ref,0)),0)),N(IFERROR(INDEX(po_rate,MATCH(C1413,po_code,0)),0))))</f>
        <v/>
      </c>
      <c r="R1413" s="55" t="str">
        <f>IF(AC1413=1,P1413*60/Q1413,"")</f>
        <v/>
      </c>
      <c r="S1413" s="55" t="str">
        <f>IF(AC1413=1,N(G1413)*60/Q1413,"")</f>
        <v/>
      </c>
      <c r="T1413" s="57" t="str">
        <f>IF(AC1413=1,O1413/M1413,"")</f>
        <v/>
      </c>
      <c r="U1413" s="57" t="str">
        <f>IF(AC1413=1,IF(O1413&gt;0,R1413/O1413,""),"")</f>
        <v/>
      </c>
      <c r="V1413" s="57" t="str">
        <f>IF(AC1413=1,IF(P1413&gt;0,N(G1413)/P1413,""),"")</f>
        <v/>
      </c>
      <c r="W1413" s="57" t="str">
        <f>IF(AC1413=1,S1413/M1413,"")</f>
        <v/>
      </c>
      <c r="X1413" s="57" t="str">
        <f>IF(AC1413=1,S1413/K1413,"")</f>
        <v/>
      </c>
      <c r="Y1413" s="58" t="str">
        <f>IF(W1413="","",IF(W1413&gt;=p_target,"Bon",IF(W1413&gt;=p_alert,"À surveiller","Faible")))</f>
        <v/>
      </c>
      <c r="Z1413" s="58" t="str">
        <f>IF(W1413="","",IF(MIN(IF(T1413="",1,T1413),IF(U1413="",1,U1413),IF(V1413="",1,V1413))&gt;=1,"Aucune",IF(IF(T1413="",1,T1413)&lt;=MIN(IF(U1413="",1,U1413),IF(V1413="",1,V1413)),"Disponibilité",IF(IF(U1413="",1,U1413)&lt;=IF(V1413="",1,V1413),"Performance","Qualité"))))</f>
        <v/>
      </c>
      <c r="AA1413" s="59" t="str">
        <f>IF(AC1413=1,N(H1413)*N(IFERROR(INDEX(art_cost,MATCH(E1413,art_ref,0)),0)),"")</f>
        <v/>
      </c>
      <c r="AB1413" s="58" t="str">
        <f>IF(COUNTA(A1413:I1413)=0,"",IF(N(A1413)&lt;=0,"Date manquante ou invalide",IF(B1413="","Équipe manquante",IF(ISNA(MATCH(B1413,eq_code,0)),"Équipe inconnue",IF(INDEX(eq_check,MATCH(B1413,eq_code,0))&lt;&gt;"OK","Équipe à corriger dans Paramètres",IF(C1413="","Poste manquant",IF(ISNA(MATCH(C1413,po_code,0)),"Poste inconnu",IF(AND(E1413&lt;&gt;"",ISNA(MATCH(E1413,art_ref,0))),"Article inconnu",IF(IF(E1413="",FALSE,INDEX(art_check,MATCH(E1413,art_ref,0))&lt;&gt;"OK"),"Article à corriger (feuille Articles)",IF(COUNTIFS(sj_date,A1413,sj_eq,B1413,sj_po,C1413)&gt;1,"Ligne en double (même jour, équipe et poste)",IF(OR(NOT(ISNUMBER(K1413)),N(K1413)&lt;=0,N(K1413)&gt;1440),"Temps d'ouverture invalide",IF(OR(AND(G1413&lt;&gt;"",NOT(ISNUMBER(G1413))),N(G1413)&lt;0,N(G1413)&lt;&gt;INT(N(G1413)),AND(H1413&lt;&gt;"",NOT(ISNUMBER(H1413))),N(H1413)&lt;0,N(H1413)&lt;&gt;INT(N(H1413)),AND(I1413&lt;&gt;"",NOT(ISNUMBER(I1413))),N(I1413)&lt;0,N(I1413)&lt;&gt;INT(N(I1413))),"Quantité invalide",IF(Q1413&lt;=0,"Cadence manquante (poste ou article)",IF(M1413&lt;=0,"Arrêts planifiés supérieurs au temps d'ouverture",IF(O1413&lt;0,"Arrêts supérieurs au temps requis",IF(AND(P1413&gt;0,O1413=0),"Pièces déclarées sans temps de marche",IF(AND(P1413=0,O1413&gt;0),"Aucune pièce déclarée",IF(P1413*60/Q1413&gt;O1413+0.001,"Cadence dépassée : vérifiez la cadence","OK"))))))))))))))))))</f>
        <v/>
      </c>
      <c r="AC1413">
        <f>IF(OR(AB1413="OK",AB1413="Aucune pièce déclarée",AB1413="Cadence dépassée : vérifiez la cadence"),1,0)</f>
        <v>0.0</v>
      </c>
      <c r="AD1413">
        <f>IF(AND(AC1413=1,A1413&gt;=p_from,A1413&lt;=p_to),1,0)</f>
        <v>0.0</v>
      </c>
      <c r="AE1413">
        <f>IF(AD1413=1,IF(COUNTIFS($A$6:A1413,A1413,$AD$6:AD1413,1)=1,1,0),0)</f>
        <v>0.0</v>
      </c>
      <c r="AF1413" t="str">
        <f>IF(AE1413=1,COUNTIFS(sj_first,1,sj_date,"&lt;"&amp;A1413)+1,"")</f>
        <v/>
      </c>
      <c r="AG1413" t="str">
        <f>IF(AND(AD1413=1,N(W1413)&lt;p_alert),ROUND(W1413,4),"")</f>
        <v/>
      </c>
      <c r="AH1413" t="str">
        <f>IF(AG1413="","",COUNTIF(sj_akey,"&lt;"&amp;AG1413)+COUNTIF($AG$6:AG1413,AG1413))</f>
        <v/>
      </c>
    </row>
    <row r="1414">
      <c r="A1414" s="51" t="n"/>
      <c r="B1414" s="52" t="n"/>
      <c r="C1414" s="52" t="n"/>
      <c r="D1414" s="53" t="n"/>
      <c r="E1414" s="53" t="n"/>
      <c r="F1414" s="54" t="n"/>
      <c r="G1414" s="54" t="n"/>
      <c r="H1414" s="54" t="n"/>
      <c r="I1414" s="54" t="n"/>
      <c r="J1414" s="53" t="n"/>
      <c r="K1414" s="55" t="str">
        <f>IF(COUNTA(A1414:I1414)=0,"",IF(F1414="",IFERROR(INDEX(eq_dur,MATCH(B1414,eq_code,0)),""),F1414))</f>
        <v/>
      </c>
      <c r="L1414" s="55" t="str">
        <f>IF(ISNUMBER(K1414),N(IFERROR(INDEX(eq_pause,MATCH(B1414,eq_code,0)),0))+SUMIFS(st_min,st_date,A1414,st_eq,B1414,st_po,C1414,st_type,"Planifié"),"")</f>
        <v/>
      </c>
      <c r="M1414" s="55" t="str">
        <f>IF(ISNUMBER(K1414),K1414-L1414,"")</f>
        <v/>
      </c>
      <c r="N1414" s="55" t="str">
        <f>IF(ISNUMBER(K1414),SUMIFS(st_min,st_date,A1414,st_eq,B1414,st_po,C1414,st_type,"Non planifié"),"")</f>
        <v/>
      </c>
      <c r="O1414" s="55" t="str">
        <f>IF(ISNUMBER(K1414),M1414-N1414,"")</f>
        <v/>
      </c>
      <c r="P1414" s="55" t="str">
        <f>IF(COUNTA(A1414:I1414)=0,"",N(G1414)+N(H1414)+N(I1414))</f>
        <v/>
      </c>
      <c r="Q1414" s="56" t="str">
        <f>IF(COUNTA(A1414:I1414)=0,"",IF(N(IFERROR(INDEX(art_rate,MATCH(E1414,art_ref,0)),0))&gt;0,N(IFERROR(INDEX(art_rate,MATCH(E1414,art_ref,0)),0)),N(IFERROR(INDEX(po_rate,MATCH(C1414,po_code,0)),0))))</f>
        <v/>
      </c>
      <c r="R1414" s="55" t="str">
        <f>IF(AC1414=1,P1414*60/Q1414,"")</f>
        <v/>
      </c>
      <c r="S1414" s="55" t="str">
        <f>IF(AC1414=1,N(G1414)*60/Q1414,"")</f>
        <v/>
      </c>
      <c r="T1414" s="57" t="str">
        <f>IF(AC1414=1,O1414/M1414,"")</f>
        <v/>
      </c>
      <c r="U1414" s="57" t="str">
        <f>IF(AC1414=1,IF(O1414&gt;0,R1414/O1414,""),"")</f>
        <v/>
      </c>
      <c r="V1414" s="57" t="str">
        <f>IF(AC1414=1,IF(P1414&gt;0,N(G1414)/P1414,""),"")</f>
        <v/>
      </c>
      <c r="W1414" s="57" t="str">
        <f>IF(AC1414=1,S1414/M1414,"")</f>
        <v/>
      </c>
      <c r="X1414" s="57" t="str">
        <f>IF(AC1414=1,S1414/K1414,"")</f>
        <v/>
      </c>
      <c r="Y1414" s="58" t="str">
        <f>IF(W1414="","",IF(W1414&gt;=p_target,"Bon",IF(W1414&gt;=p_alert,"À surveiller","Faible")))</f>
        <v/>
      </c>
      <c r="Z1414" s="58" t="str">
        <f>IF(W1414="","",IF(MIN(IF(T1414="",1,T1414),IF(U1414="",1,U1414),IF(V1414="",1,V1414))&gt;=1,"Aucune",IF(IF(T1414="",1,T1414)&lt;=MIN(IF(U1414="",1,U1414),IF(V1414="",1,V1414)),"Disponibilité",IF(IF(U1414="",1,U1414)&lt;=IF(V1414="",1,V1414),"Performance","Qualité"))))</f>
        <v/>
      </c>
      <c r="AA1414" s="59" t="str">
        <f>IF(AC1414=1,N(H1414)*N(IFERROR(INDEX(art_cost,MATCH(E1414,art_ref,0)),0)),"")</f>
        <v/>
      </c>
      <c r="AB1414" s="58" t="str">
        <f>IF(COUNTA(A1414:I1414)=0,"",IF(N(A1414)&lt;=0,"Date manquante ou invalide",IF(B1414="","Équipe manquante",IF(ISNA(MATCH(B1414,eq_code,0)),"Équipe inconnue",IF(INDEX(eq_check,MATCH(B1414,eq_code,0))&lt;&gt;"OK","Équipe à corriger dans Paramètres",IF(C1414="","Poste manquant",IF(ISNA(MATCH(C1414,po_code,0)),"Poste inconnu",IF(AND(E1414&lt;&gt;"",ISNA(MATCH(E1414,art_ref,0))),"Article inconnu",IF(IF(E1414="",FALSE,INDEX(art_check,MATCH(E1414,art_ref,0))&lt;&gt;"OK"),"Article à corriger (feuille Articles)",IF(COUNTIFS(sj_date,A1414,sj_eq,B1414,sj_po,C1414)&gt;1,"Ligne en double (même jour, équipe et poste)",IF(OR(NOT(ISNUMBER(K1414)),N(K1414)&lt;=0,N(K1414)&gt;1440),"Temps d'ouverture invalide",IF(OR(AND(G1414&lt;&gt;"",NOT(ISNUMBER(G1414))),N(G1414)&lt;0,N(G1414)&lt;&gt;INT(N(G1414)),AND(H1414&lt;&gt;"",NOT(ISNUMBER(H1414))),N(H1414)&lt;0,N(H1414)&lt;&gt;INT(N(H1414)),AND(I1414&lt;&gt;"",NOT(ISNUMBER(I1414))),N(I1414)&lt;0,N(I1414)&lt;&gt;INT(N(I1414))),"Quantité invalide",IF(Q1414&lt;=0,"Cadence manquante (poste ou article)",IF(M1414&lt;=0,"Arrêts planifiés supérieurs au temps d'ouverture",IF(O1414&lt;0,"Arrêts supérieurs au temps requis",IF(AND(P1414&gt;0,O1414=0),"Pièces déclarées sans temps de marche",IF(AND(P1414=0,O1414&gt;0),"Aucune pièce déclarée",IF(P1414*60/Q1414&gt;O1414+0.001,"Cadence dépassée : vérifiez la cadence","OK"))))))))))))))))))</f>
        <v/>
      </c>
      <c r="AC1414">
        <f>IF(OR(AB1414="OK",AB1414="Aucune pièce déclarée",AB1414="Cadence dépassée : vérifiez la cadence"),1,0)</f>
        <v>0.0</v>
      </c>
      <c r="AD1414">
        <f>IF(AND(AC1414=1,A1414&gt;=p_from,A1414&lt;=p_to),1,0)</f>
        <v>0.0</v>
      </c>
      <c r="AE1414">
        <f>IF(AD1414=1,IF(COUNTIFS($A$6:A1414,A1414,$AD$6:AD1414,1)=1,1,0),0)</f>
        <v>0.0</v>
      </c>
      <c r="AF1414" t="str">
        <f>IF(AE1414=1,COUNTIFS(sj_first,1,sj_date,"&lt;"&amp;A1414)+1,"")</f>
        <v/>
      </c>
      <c r="AG1414" t="str">
        <f>IF(AND(AD1414=1,N(W1414)&lt;p_alert),ROUND(W1414,4),"")</f>
        <v/>
      </c>
      <c r="AH1414" t="str">
        <f>IF(AG1414="","",COUNTIF(sj_akey,"&lt;"&amp;AG1414)+COUNTIF($AG$6:AG1414,AG1414))</f>
        <v/>
      </c>
    </row>
    <row r="1415">
      <c r="A1415" s="51" t="n"/>
      <c r="B1415" s="52" t="n"/>
      <c r="C1415" s="52" t="n"/>
      <c r="D1415" s="53" t="n"/>
      <c r="E1415" s="53" t="n"/>
      <c r="F1415" s="54" t="n"/>
      <c r="G1415" s="54" t="n"/>
      <c r="H1415" s="54" t="n"/>
      <c r="I1415" s="54" t="n"/>
      <c r="J1415" s="53" t="n"/>
      <c r="K1415" s="55" t="str">
        <f>IF(COUNTA(A1415:I1415)=0,"",IF(F1415="",IFERROR(INDEX(eq_dur,MATCH(B1415,eq_code,0)),""),F1415))</f>
        <v/>
      </c>
      <c r="L1415" s="55" t="str">
        <f>IF(ISNUMBER(K1415),N(IFERROR(INDEX(eq_pause,MATCH(B1415,eq_code,0)),0))+SUMIFS(st_min,st_date,A1415,st_eq,B1415,st_po,C1415,st_type,"Planifié"),"")</f>
        <v/>
      </c>
      <c r="M1415" s="55" t="str">
        <f>IF(ISNUMBER(K1415),K1415-L1415,"")</f>
        <v/>
      </c>
      <c r="N1415" s="55" t="str">
        <f>IF(ISNUMBER(K1415),SUMIFS(st_min,st_date,A1415,st_eq,B1415,st_po,C1415,st_type,"Non planifié"),"")</f>
        <v/>
      </c>
      <c r="O1415" s="55" t="str">
        <f>IF(ISNUMBER(K1415),M1415-N1415,"")</f>
        <v/>
      </c>
      <c r="P1415" s="55" t="str">
        <f>IF(COUNTA(A1415:I1415)=0,"",N(G1415)+N(H1415)+N(I1415))</f>
        <v/>
      </c>
      <c r="Q1415" s="56" t="str">
        <f>IF(COUNTA(A1415:I1415)=0,"",IF(N(IFERROR(INDEX(art_rate,MATCH(E1415,art_ref,0)),0))&gt;0,N(IFERROR(INDEX(art_rate,MATCH(E1415,art_ref,0)),0)),N(IFERROR(INDEX(po_rate,MATCH(C1415,po_code,0)),0))))</f>
        <v/>
      </c>
      <c r="R1415" s="55" t="str">
        <f>IF(AC1415=1,P1415*60/Q1415,"")</f>
        <v/>
      </c>
      <c r="S1415" s="55" t="str">
        <f>IF(AC1415=1,N(G1415)*60/Q1415,"")</f>
        <v/>
      </c>
      <c r="T1415" s="57" t="str">
        <f>IF(AC1415=1,O1415/M1415,"")</f>
        <v/>
      </c>
      <c r="U1415" s="57" t="str">
        <f>IF(AC1415=1,IF(O1415&gt;0,R1415/O1415,""),"")</f>
        <v/>
      </c>
      <c r="V1415" s="57" t="str">
        <f>IF(AC1415=1,IF(P1415&gt;0,N(G1415)/P1415,""),"")</f>
        <v/>
      </c>
      <c r="W1415" s="57" t="str">
        <f>IF(AC1415=1,S1415/M1415,"")</f>
        <v/>
      </c>
      <c r="X1415" s="57" t="str">
        <f>IF(AC1415=1,S1415/K1415,"")</f>
        <v/>
      </c>
      <c r="Y1415" s="58" t="str">
        <f>IF(W1415="","",IF(W1415&gt;=p_target,"Bon",IF(W1415&gt;=p_alert,"À surveiller","Faible")))</f>
        <v/>
      </c>
      <c r="Z1415" s="58" t="str">
        <f>IF(W1415="","",IF(MIN(IF(T1415="",1,T1415),IF(U1415="",1,U1415),IF(V1415="",1,V1415))&gt;=1,"Aucune",IF(IF(T1415="",1,T1415)&lt;=MIN(IF(U1415="",1,U1415),IF(V1415="",1,V1415)),"Disponibilité",IF(IF(U1415="",1,U1415)&lt;=IF(V1415="",1,V1415),"Performance","Qualité"))))</f>
        <v/>
      </c>
      <c r="AA1415" s="59" t="str">
        <f>IF(AC1415=1,N(H1415)*N(IFERROR(INDEX(art_cost,MATCH(E1415,art_ref,0)),0)),"")</f>
        <v/>
      </c>
      <c r="AB1415" s="58" t="str">
        <f>IF(COUNTA(A1415:I1415)=0,"",IF(N(A1415)&lt;=0,"Date manquante ou invalide",IF(B1415="","Équipe manquante",IF(ISNA(MATCH(B1415,eq_code,0)),"Équipe inconnue",IF(INDEX(eq_check,MATCH(B1415,eq_code,0))&lt;&gt;"OK","Équipe à corriger dans Paramètres",IF(C1415="","Poste manquant",IF(ISNA(MATCH(C1415,po_code,0)),"Poste inconnu",IF(AND(E1415&lt;&gt;"",ISNA(MATCH(E1415,art_ref,0))),"Article inconnu",IF(IF(E1415="",FALSE,INDEX(art_check,MATCH(E1415,art_ref,0))&lt;&gt;"OK"),"Article à corriger (feuille Articles)",IF(COUNTIFS(sj_date,A1415,sj_eq,B1415,sj_po,C1415)&gt;1,"Ligne en double (même jour, équipe et poste)",IF(OR(NOT(ISNUMBER(K1415)),N(K1415)&lt;=0,N(K1415)&gt;1440),"Temps d'ouverture invalide",IF(OR(AND(G1415&lt;&gt;"",NOT(ISNUMBER(G1415))),N(G1415)&lt;0,N(G1415)&lt;&gt;INT(N(G1415)),AND(H1415&lt;&gt;"",NOT(ISNUMBER(H1415))),N(H1415)&lt;0,N(H1415)&lt;&gt;INT(N(H1415)),AND(I1415&lt;&gt;"",NOT(ISNUMBER(I1415))),N(I1415)&lt;0,N(I1415)&lt;&gt;INT(N(I1415))),"Quantité invalide",IF(Q1415&lt;=0,"Cadence manquante (poste ou article)",IF(M1415&lt;=0,"Arrêts planifiés supérieurs au temps d'ouverture",IF(O1415&lt;0,"Arrêts supérieurs au temps requis",IF(AND(P1415&gt;0,O1415=0),"Pièces déclarées sans temps de marche",IF(AND(P1415=0,O1415&gt;0),"Aucune pièce déclarée",IF(P1415*60/Q1415&gt;O1415+0.001,"Cadence dépassée : vérifiez la cadence","OK"))))))))))))))))))</f>
        <v/>
      </c>
      <c r="AC1415">
        <f>IF(OR(AB1415="OK",AB1415="Aucune pièce déclarée",AB1415="Cadence dépassée : vérifiez la cadence"),1,0)</f>
        <v>0.0</v>
      </c>
      <c r="AD1415">
        <f>IF(AND(AC1415=1,A1415&gt;=p_from,A1415&lt;=p_to),1,0)</f>
        <v>0.0</v>
      </c>
      <c r="AE1415">
        <f>IF(AD1415=1,IF(COUNTIFS($A$6:A1415,A1415,$AD$6:AD1415,1)=1,1,0),0)</f>
        <v>0.0</v>
      </c>
      <c r="AF1415" t="str">
        <f>IF(AE1415=1,COUNTIFS(sj_first,1,sj_date,"&lt;"&amp;A1415)+1,"")</f>
        <v/>
      </c>
      <c r="AG1415" t="str">
        <f>IF(AND(AD1415=1,N(W1415)&lt;p_alert),ROUND(W1415,4),"")</f>
        <v/>
      </c>
      <c r="AH1415" t="str">
        <f>IF(AG1415="","",COUNTIF(sj_akey,"&lt;"&amp;AG1415)+COUNTIF($AG$6:AG1415,AG1415))</f>
        <v/>
      </c>
    </row>
    <row r="1416">
      <c r="A1416" s="51" t="n"/>
      <c r="B1416" s="52" t="n"/>
      <c r="C1416" s="52" t="n"/>
      <c r="D1416" s="53" t="n"/>
      <c r="E1416" s="53" t="n"/>
      <c r="F1416" s="54" t="n"/>
      <c r="G1416" s="54" t="n"/>
      <c r="H1416" s="54" t="n"/>
      <c r="I1416" s="54" t="n"/>
      <c r="J1416" s="53" t="n"/>
      <c r="K1416" s="55" t="str">
        <f>IF(COUNTA(A1416:I1416)=0,"",IF(F1416="",IFERROR(INDEX(eq_dur,MATCH(B1416,eq_code,0)),""),F1416))</f>
        <v/>
      </c>
      <c r="L1416" s="55" t="str">
        <f>IF(ISNUMBER(K1416),N(IFERROR(INDEX(eq_pause,MATCH(B1416,eq_code,0)),0))+SUMIFS(st_min,st_date,A1416,st_eq,B1416,st_po,C1416,st_type,"Planifié"),"")</f>
        <v/>
      </c>
      <c r="M1416" s="55" t="str">
        <f>IF(ISNUMBER(K1416),K1416-L1416,"")</f>
        <v/>
      </c>
      <c r="N1416" s="55" t="str">
        <f>IF(ISNUMBER(K1416),SUMIFS(st_min,st_date,A1416,st_eq,B1416,st_po,C1416,st_type,"Non planifié"),"")</f>
        <v/>
      </c>
      <c r="O1416" s="55" t="str">
        <f>IF(ISNUMBER(K1416),M1416-N1416,"")</f>
        <v/>
      </c>
      <c r="P1416" s="55" t="str">
        <f>IF(COUNTA(A1416:I1416)=0,"",N(G1416)+N(H1416)+N(I1416))</f>
        <v/>
      </c>
      <c r="Q1416" s="56" t="str">
        <f>IF(COUNTA(A1416:I1416)=0,"",IF(N(IFERROR(INDEX(art_rate,MATCH(E1416,art_ref,0)),0))&gt;0,N(IFERROR(INDEX(art_rate,MATCH(E1416,art_ref,0)),0)),N(IFERROR(INDEX(po_rate,MATCH(C1416,po_code,0)),0))))</f>
        <v/>
      </c>
      <c r="R1416" s="55" t="str">
        <f>IF(AC1416=1,P1416*60/Q1416,"")</f>
        <v/>
      </c>
      <c r="S1416" s="55" t="str">
        <f>IF(AC1416=1,N(G1416)*60/Q1416,"")</f>
        <v/>
      </c>
      <c r="T1416" s="57" t="str">
        <f>IF(AC1416=1,O1416/M1416,"")</f>
        <v/>
      </c>
      <c r="U1416" s="57" t="str">
        <f>IF(AC1416=1,IF(O1416&gt;0,R1416/O1416,""),"")</f>
        <v/>
      </c>
      <c r="V1416" s="57" t="str">
        <f>IF(AC1416=1,IF(P1416&gt;0,N(G1416)/P1416,""),"")</f>
        <v/>
      </c>
      <c r="W1416" s="57" t="str">
        <f>IF(AC1416=1,S1416/M1416,"")</f>
        <v/>
      </c>
      <c r="X1416" s="57" t="str">
        <f>IF(AC1416=1,S1416/K1416,"")</f>
        <v/>
      </c>
      <c r="Y1416" s="58" t="str">
        <f>IF(W1416="","",IF(W1416&gt;=p_target,"Bon",IF(W1416&gt;=p_alert,"À surveiller","Faible")))</f>
        <v/>
      </c>
      <c r="Z1416" s="58" t="str">
        <f>IF(W1416="","",IF(MIN(IF(T1416="",1,T1416),IF(U1416="",1,U1416),IF(V1416="",1,V1416))&gt;=1,"Aucune",IF(IF(T1416="",1,T1416)&lt;=MIN(IF(U1416="",1,U1416),IF(V1416="",1,V1416)),"Disponibilité",IF(IF(U1416="",1,U1416)&lt;=IF(V1416="",1,V1416),"Performance","Qualité"))))</f>
        <v/>
      </c>
      <c r="AA1416" s="59" t="str">
        <f>IF(AC1416=1,N(H1416)*N(IFERROR(INDEX(art_cost,MATCH(E1416,art_ref,0)),0)),"")</f>
        <v/>
      </c>
      <c r="AB1416" s="58" t="str">
        <f>IF(COUNTA(A1416:I1416)=0,"",IF(N(A1416)&lt;=0,"Date manquante ou invalide",IF(B1416="","Équipe manquante",IF(ISNA(MATCH(B1416,eq_code,0)),"Équipe inconnue",IF(INDEX(eq_check,MATCH(B1416,eq_code,0))&lt;&gt;"OK","Équipe à corriger dans Paramètres",IF(C1416="","Poste manquant",IF(ISNA(MATCH(C1416,po_code,0)),"Poste inconnu",IF(AND(E1416&lt;&gt;"",ISNA(MATCH(E1416,art_ref,0))),"Article inconnu",IF(IF(E1416="",FALSE,INDEX(art_check,MATCH(E1416,art_ref,0))&lt;&gt;"OK"),"Article à corriger (feuille Articles)",IF(COUNTIFS(sj_date,A1416,sj_eq,B1416,sj_po,C1416)&gt;1,"Ligne en double (même jour, équipe et poste)",IF(OR(NOT(ISNUMBER(K1416)),N(K1416)&lt;=0,N(K1416)&gt;1440),"Temps d'ouverture invalide",IF(OR(AND(G1416&lt;&gt;"",NOT(ISNUMBER(G1416))),N(G1416)&lt;0,N(G1416)&lt;&gt;INT(N(G1416)),AND(H1416&lt;&gt;"",NOT(ISNUMBER(H1416))),N(H1416)&lt;0,N(H1416)&lt;&gt;INT(N(H1416)),AND(I1416&lt;&gt;"",NOT(ISNUMBER(I1416))),N(I1416)&lt;0,N(I1416)&lt;&gt;INT(N(I1416))),"Quantité invalide",IF(Q1416&lt;=0,"Cadence manquante (poste ou article)",IF(M1416&lt;=0,"Arrêts planifiés supérieurs au temps d'ouverture",IF(O1416&lt;0,"Arrêts supérieurs au temps requis",IF(AND(P1416&gt;0,O1416=0),"Pièces déclarées sans temps de marche",IF(AND(P1416=0,O1416&gt;0),"Aucune pièce déclarée",IF(P1416*60/Q1416&gt;O1416+0.001,"Cadence dépassée : vérifiez la cadence","OK"))))))))))))))))))</f>
        <v/>
      </c>
      <c r="AC1416">
        <f>IF(OR(AB1416="OK",AB1416="Aucune pièce déclarée",AB1416="Cadence dépassée : vérifiez la cadence"),1,0)</f>
        <v>0.0</v>
      </c>
      <c r="AD1416">
        <f>IF(AND(AC1416=1,A1416&gt;=p_from,A1416&lt;=p_to),1,0)</f>
        <v>0.0</v>
      </c>
      <c r="AE1416">
        <f>IF(AD1416=1,IF(COUNTIFS($A$6:A1416,A1416,$AD$6:AD1416,1)=1,1,0),0)</f>
        <v>0.0</v>
      </c>
      <c r="AF1416" t="str">
        <f>IF(AE1416=1,COUNTIFS(sj_first,1,sj_date,"&lt;"&amp;A1416)+1,"")</f>
        <v/>
      </c>
      <c r="AG1416" t="str">
        <f>IF(AND(AD1416=1,N(W1416)&lt;p_alert),ROUND(W1416,4),"")</f>
        <v/>
      </c>
      <c r="AH1416" t="str">
        <f>IF(AG1416="","",COUNTIF(sj_akey,"&lt;"&amp;AG1416)+COUNTIF($AG$6:AG1416,AG1416))</f>
        <v/>
      </c>
    </row>
    <row r="1417">
      <c r="A1417" s="51" t="n"/>
      <c r="B1417" s="52" t="n"/>
      <c r="C1417" s="52" t="n"/>
      <c r="D1417" s="53" t="n"/>
      <c r="E1417" s="53" t="n"/>
      <c r="F1417" s="54" t="n"/>
      <c r="G1417" s="54" t="n"/>
      <c r="H1417" s="54" t="n"/>
      <c r="I1417" s="54" t="n"/>
      <c r="J1417" s="53" t="n"/>
      <c r="K1417" s="55" t="str">
        <f>IF(COUNTA(A1417:I1417)=0,"",IF(F1417="",IFERROR(INDEX(eq_dur,MATCH(B1417,eq_code,0)),""),F1417))</f>
        <v/>
      </c>
      <c r="L1417" s="55" t="str">
        <f>IF(ISNUMBER(K1417),N(IFERROR(INDEX(eq_pause,MATCH(B1417,eq_code,0)),0))+SUMIFS(st_min,st_date,A1417,st_eq,B1417,st_po,C1417,st_type,"Planifié"),"")</f>
        <v/>
      </c>
      <c r="M1417" s="55" t="str">
        <f>IF(ISNUMBER(K1417),K1417-L1417,"")</f>
        <v/>
      </c>
      <c r="N1417" s="55" t="str">
        <f>IF(ISNUMBER(K1417),SUMIFS(st_min,st_date,A1417,st_eq,B1417,st_po,C1417,st_type,"Non planifié"),"")</f>
        <v/>
      </c>
      <c r="O1417" s="55" t="str">
        <f>IF(ISNUMBER(K1417),M1417-N1417,"")</f>
        <v/>
      </c>
      <c r="P1417" s="55" t="str">
        <f>IF(COUNTA(A1417:I1417)=0,"",N(G1417)+N(H1417)+N(I1417))</f>
        <v/>
      </c>
      <c r="Q1417" s="56" t="str">
        <f>IF(COUNTA(A1417:I1417)=0,"",IF(N(IFERROR(INDEX(art_rate,MATCH(E1417,art_ref,0)),0))&gt;0,N(IFERROR(INDEX(art_rate,MATCH(E1417,art_ref,0)),0)),N(IFERROR(INDEX(po_rate,MATCH(C1417,po_code,0)),0))))</f>
        <v/>
      </c>
      <c r="R1417" s="55" t="str">
        <f>IF(AC1417=1,P1417*60/Q1417,"")</f>
        <v/>
      </c>
      <c r="S1417" s="55" t="str">
        <f>IF(AC1417=1,N(G1417)*60/Q1417,"")</f>
        <v/>
      </c>
      <c r="T1417" s="57" t="str">
        <f>IF(AC1417=1,O1417/M1417,"")</f>
        <v/>
      </c>
      <c r="U1417" s="57" t="str">
        <f>IF(AC1417=1,IF(O1417&gt;0,R1417/O1417,""),"")</f>
        <v/>
      </c>
      <c r="V1417" s="57" t="str">
        <f>IF(AC1417=1,IF(P1417&gt;0,N(G1417)/P1417,""),"")</f>
        <v/>
      </c>
      <c r="W1417" s="57" t="str">
        <f>IF(AC1417=1,S1417/M1417,"")</f>
        <v/>
      </c>
      <c r="X1417" s="57" t="str">
        <f>IF(AC1417=1,S1417/K1417,"")</f>
        <v/>
      </c>
      <c r="Y1417" s="58" t="str">
        <f>IF(W1417="","",IF(W1417&gt;=p_target,"Bon",IF(W1417&gt;=p_alert,"À surveiller","Faible")))</f>
        <v/>
      </c>
      <c r="Z1417" s="58" t="str">
        <f>IF(W1417="","",IF(MIN(IF(T1417="",1,T1417),IF(U1417="",1,U1417),IF(V1417="",1,V1417))&gt;=1,"Aucune",IF(IF(T1417="",1,T1417)&lt;=MIN(IF(U1417="",1,U1417),IF(V1417="",1,V1417)),"Disponibilité",IF(IF(U1417="",1,U1417)&lt;=IF(V1417="",1,V1417),"Performance","Qualité"))))</f>
        <v/>
      </c>
      <c r="AA1417" s="59" t="str">
        <f>IF(AC1417=1,N(H1417)*N(IFERROR(INDEX(art_cost,MATCH(E1417,art_ref,0)),0)),"")</f>
        <v/>
      </c>
      <c r="AB1417" s="58" t="str">
        <f>IF(COUNTA(A1417:I1417)=0,"",IF(N(A1417)&lt;=0,"Date manquante ou invalide",IF(B1417="","Équipe manquante",IF(ISNA(MATCH(B1417,eq_code,0)),"Équipe inconnue",IF(INDEX(eq_check,MATCH(B1417,eq_code,0))&lt;&gt;"OK","Équipe à corriger dans Paramètres",IF(C1417="","Poste manquant",IF(ISNA(MATCH(C1417,po_code,0)),"Poste inconnu",IF(AND(E1417&lt;&gt;"",ISNA(MATCH(E1417,art_ref,0))),"Article inconnu",IF(IF(E1417="",FALSE,INDEX(art_check,MATCH(E1417,art_ref,0))&lt;&gt;"OK"),"Article à corriger (feuille Articles)",IF(COUNTIFS(sj_date,A1417,sj_eq,B1417,sj_po,C1417)&gt;1,"Ligne en double (même jour, équipe et poste)",IF(OR(NOT(ISNUMBER(K1417)),N(K1417)&lt;=0,N(K1417)&gt;1440),"Temps d'ouverture invalide",IF(OR(AND(G1417&lt;&gt;"",NOT(ISNUMBER(G1417))),N(G1417)&lt;0,N(G1417)&lt;&gt;INT(N(G1417)),AND(H1417&lt;&gt;"",NOT(ISNUMBER(H1417))),N(H1417)&lt;0,N(H1417)&lt;&gt;INT(N(H1417)),AND(I1417&lt;&gt;"",NOT(ISNUMBER(I1417))),N(I1417)&lt;0,N(I1417)&lt;&gt;INT(N(I1417))),"Quantité invalide",IF(Q1417&lt;=0,"Cadence manquante (poste ou article)",IF(M1417&lt;=0,"Arrêts planifiés supérieurs au temps d'ouverture",IF(O1417&lt;0,"Arrêts supérieurs au temps requis",IF(AND(P1417&gt;0,O1417=0),"Pièces déclarées sans temps de marche",IF(AND(P1417=0,O1417&gt;0),"Aucune pièce déclarée",IF(P1417*60/Q1417&gt;O1417+0.001,"Cadence dépassée : vérifiez la cadence","OK"))))))))))))))))))</f>
        <v/>
      </c>
      <c r="AC1417">
        <f>IF(OR(AB1417="OK",AB1417="Aucune pièce déclarée",AB1417="Cadence dépassée : vérifiez la cadence"),1,0)</f>
        <v>0.0</v>
      </c>
      <c r="AD1417">
        <f>IF(AND(AC1417=1,A1417&gt;=p_from,A1417&lt;=p_to),1,0)</f>
        <v>0.0</v>
      </c>
      <c r="AE1417">
        <f>IF(AD1417=1,IF(COUNTIFS($A$6:A1417,A1417,$AD$6:AD1417,1)=1,1,0),0)</f>
        <v>0.0</v>
      </c>
      <c r="AF1417" t="str">
        <f>IF(AE1417=1,COUNTIFS(sj_first,1,sj_date,"&lt;"&amp;A1417)+1,"")</f>
        <v/>
      </c>
      <c r="AG1417" t="str">
        <f>IF(AND(AD1417=1,N(W1417)&lt;p_alert),ROUND(W1417,4),"")</f>
        <v/>
      </c>
      <c r="AH1417" t="str">
        <f>IF(AG1417="","",COUNTIF(sj_akey,"&lt;"&amp;AG1417)+COUNTIF($AG$6:AG1417,AG1417))</f>
        <v/>
      </c>
    </row>
    <row r="1418">
      <c r="A1418" s="51" t="n"/>
      <c r="B1418" s="52" t="n"/>
      <c r="C1418" s="52" t="n"/>
      <c r="D1418" s="53" t="n"/>
      <c r="E1418" s="53" t="n"/>
      <c r="F1418" s="54" t="n"/>
      <c r="G1418" s="54" t="n"/>
      <c r="H1418" s="54" t="n"/>
      <c r="I1418" s="54" t="n"/>
      <c r="J1418" s="53" t="n"/>
      <c r="K1418" s="55" t="str">
        <f>IF(COUNTA(A1418:I1418)=0,"",IF(F1418="",IFERROR(INDEX(eq_dur,MATCH(B1418,eq_code,0)),""),F1418))</f>
        <v/>
      </c>
      <c r="L1418" s="55" t="str">
        <f>IF(ISNUMBER(K1418),N(IFERROR(INDEX(eq_pause,MATCH(B1418,eq_code,0)),0))+SUMIFS(st_min,st_date,A1418,st_eq,B1418,st_po,C1418,st_type,"Planifié"),"")</f>
        <v/>
      </c>
      <c r="M1418" s="55" t="str">
        <f>IF(ISNUMBER(K1418),K1418-L1418,"")</f>
        <v/>
      </c>
      <c r="N1418" s="55" t="str">
        <f>IF(ISNUMBER(K1418),SUMIFS(st_min,st_date,A1418,st_eq,B1418,st_po,C1418,st_type,"Non planifié"),"")</f>
        <v/>
      </c>
      <c r="O1418" s="55" t="str">
        <f>IF(ISNUMBER(K1418),M1418-N1418,"")</f>
        <v/>
      </c>
      <c r="P1418" s="55" t="str">
        <f>IF(COUNTA(A1418:I1418)=0,"",N(G1418)+N(H1418)+N(I1418))</f>
        <v/>
      </c>
      <c r="Q1418" s="56" t="str">
        <f>IF(COUNTA(A1418:I1418)=0,"",IF(N(IFERROR(INDEX(art_rate,MATCH(E1418,art_ref,0)),0))&gt;0,N(IFERROR(INDEX(art_rate,MATCH(E1418,art_ref,0)),0)),N(IFERROR(INDEX(po_rate,MATCH(C1418,po_code,0)),0))))</f>
        <v/>
      </c>
      <c r="R1418" s="55" t="str">
        <f>IF(AC1418=1,P1418*60/Q1418,"")</f>
        <v/>
      </c>
      <c r="S1418" s="55" t="str">
        <f>IF(AC1418=1,N(G1418)*60/Q1418,"")</f>
        <v/>
      </c>
      <c r="T1418" s="57" t="str">
        <f>IF(AC1418=1,O1418/M1418,"")</f>
        <v/>
      </c>
      <c r="U1418" s="57" t="str">
        <f>IF(AC1418=1,IF(O1418&gt;0,R1418/O1418,""),"")</f>
        <v/>
      </c>
      <c r="V1418" s="57" t="str">
        <f>IF(AC1418=1,IF(P1418&gt;0,N(G1418)/P1418,""),"")</f>
        <v/>
      </c>
      <c r="W1418" s="57" t="str">
        <f>IF(AC1418=1,S1418/M1418,"")</f>
        <v/>
      </c>
      <c r="X1418" s="57" t="str">
        <f>IF(AC1418=1,S1418/K1418,"")</f>
        <v/>
      </c>
      <c r="Y1418" s="58" t="str">
        <f>IF(W1418="","",IF(W1418&gt;=p_target,"Bon",IF(W1418&gt;=p_alert,"À surveiller","Faible")))</f>
        <v/>
      </c>
      <c r="Z1418" s="58" t="str">
        <f>IF(W1418="","",IF(MIN(IF(T1418="",1,T1418),IF(U1418="",1,U1418),IF(V1418="",1,V1418))&gt;=1,"Aucune",IF(IF(T1418="",1,T1418)&lt;=MIN(IF(U1418="",1,U1418),IF(V1418="",1,V1418)),"Disponibilité",IF(IF(U1418="",1,U1418)&lt;=IF(V1418="",1,V1418),"Performance","Qualité"))))</f>
        <v/>
      </c>
      <c r="AA1418" s="59" t="str">
        <f>IF(AC1418=1,N(H1418)*N(IFERROR(INDEX(art_cost,MATCH(E1418,art_ref,0)),0)),"")</f>
        <v/>
      </c>
      <c r="AB1418" s="58" t="str">
        <f>IF(COUNTA(A1418:I1418)=0,"",IF(N(A1418)&lt;=0,"Date manquante ou invalide",IF(B1418="","Équipe manquante",IF(ISNA(MATCH(B1418,eq_code,0)),"Équipe inconnue",IF(INDEX(eq_check,MATCH(B1418,eq_code,0))&lt;&gt;"OK","Équipe à corriger dans Paramètres",IF(C1418="","Poste manquant",IF(ISNA(MATCH(C1418,po_code,0)),"Poste inconnu",IF(AND(E1418&lt;&gt;"",ISNA(MATCH(E1418,art_ref,0))),"Article inconnu",IF(IF(E1418="",FALSE,INDEX(art_check,MATCH(E1418,art_ref,0))&lt;&gt;"OK"),"Article à corriger (feuille Articles)",IF(COUNTIFS(sj_date,A1418,sj_eq,B1418,sj_po,C1418)&gt;1,"Ligne en double (même jour, équipe et poste)",IF(OR(NOT(ISNUMBER(K1418)),N(K1418)&lt;=0,N(K1418)&gt;1440),"Temps d'ouverture invalide",IF(OR(AND(G1418&lt;&gt;"",NOT(ISNUMBER(G1418))),N(G1418)&lt;0,N(G1418)&lt;&gt;INT(N(G1418)),AND(H1418&lt;&gt;"",NOT(ISNUMBER(H1418))),N(H1418)&lt;0,N(H1418)&lt;&gt;INT(N(H1418)),AND(I1418&lt;&gt;"",NOT(ISNUMBER(I1418))),N(I1418)&lt;0,N(I1418)&lt;&gt;INT(N(I1418))),"Quantité invalide",IF(Q1418&lt;=0,"Cadence manquante (poste ou article)",IF(M1418&lt;=0,"Arrêts planifiés supérieurs au temps d'ouverture",IF(O1418&lt;0,"Arrêts supérieurs au temps requis",IF(AND(P1418&gt;0,O1418=0),"Pièces déclarées sans temps de marche",IF(AND(P1418=0,O1418&gt;0),"Aucune pièce déclarée",IF(P1418*60/Q1418&gt;O1418+0.001,"Cadence dépassée : vérifiez la cadence","OK"))))))))))))))))))</f>
        <v/>
      </c>
      <c r="AC1418">
        <f>IF(OR(AB1418="OK",AB1418="Aucune pièce déclarée",AB1418="Cadence dépassée : vérifiez la cadence"),1,0)</f>
        <v>0.0</v>
      </c>
      <c r="AD1418">
        <f>IF(AND(AC1418=1,A1418&gt;=p_from,A1418&lt;=p_to),1,0)</f>
        <v>0.0</v>
      </c>
      <c r="AE1418">
        <f>IF(AD1418=1,IF(COUNTIFS($A$6:A1418,A1418,$AD$6:AD1418,1)=1,1,0),0)</f>
        <v>0.0</v>
      </c>
      <c r="AF1418" t="str">
        <f>IF(AE1418=1,COUNTIFS(sj_first,1,sj_date,"&lt;"&amp;A1418)+1,"")</f>
        <v/>
      </c>
      <c r="AG1418" t="str">
        <f>IF(AND(AD1418=1,N(W1418)&lt;p_alert),ROUND(W1418,4),"")</f>
        <v/>
      </c>
      <c r="AH1418" t="str">
        <f>IF(AG1418="","",COUNTIF(sj_akey,"&lt;"&amp;AG1418)+COUNTIF($AG$6:AG1418,AG1418))</f>
        <v/>
      </c>
    </row>
    <row r="1419">
      <c r="A1419" s="51" t="n"/>
      <c r="B1419" s="52" t="n"/>
      <c r="C1419" s="52" t="n"/>
      <c r="D1419" s="53" t="n"/>
      <c r="E1419" s="53" t="n"/>
      <c r="F1419" s="54" t="n"/>
      <c r="G1419" s="54" t="n"/>
      <c r="H1419" s="54" t="n"/>
      <c r="I1419" s="54" t="n"/>
      <c r="J1419" s="53" t="n"/>
      <c r="K1419" s="55" t="str">
        <f>IF(COUNTA(A1419:I1419)=0,"",IF(F1419="",IFERROR(INDEX(eq_dur,MATCH(B1419,eq_code,0)),""),F1419))</f>
        <v/>
      </c>
      <c r="L1419" s="55" t="str">
        <f>IF(ISNUMBER(K1419),N(IFERROR(INDEX(eq_pause,MATCH(B1419,eq_code,0)),0))+SUMIFS(st_min,st_date,A1419,st_eq,B1419,st_po,C1419,st_type,"Planifié"),"")</f>
        <v/>
      </c>
      <c r="M1419" s="55" t="str">
        <f>IF(ISNUMBER(K1419),K1419-L1419,"")</f>
        <v/>
      </c>
      <c r="N1419" s="55" t="str">
        <f>IF(ISNUMBER(K1419),SUMIFS(st_min,st_date,A1419,st_eq,B1419,st_po,C1419,st_type,"Non planifié"),"")</f>
        <v/>
      </c>
      <c r="O1419" s="55" t="str">
        <f>IF(ISNUMBER(K1419),M1419-N1419,"")</f>
        <v/>
      </c>
      <c r="P1419" s="55" t="str">
        <f>IF(COUNTA(A1419:I1419)=0,"",N(G1419)+N(H1419)+N(I1419))</f>
        <v/>
      </c>
      <c r="Q1419" s="56" t="str">
        <f>IF(COUNTA(A1419:I1419)=0,"",IF(N(IFERROR(INDEX(art_rate,MATCH(E1419,art_ref,0)),0))&gt;0,N(IFERROR(INDEX(art_rate,MATCH(E1419,art_ref,0)),0)),N(IFERROR(INDEX(po_rate,MATCH(C1419,po_code,0)),0))))</f>
        <v/>
      </c>
      <c r="R1419" s="55" t="str">
        <f>IF(AC1419=1,P1419*60/Q1419,"")</f>
        <v/>
      </c>
      <c r="S1419" s="55" t="str">
        <f>IF(AC1419=1,N(G1419)*60/Q1419,"")</f>
        <v/>
      </c>
      <c r="T1419" s="57" t="str">
        <f>IF(AC1419=1,O1419/M1419,"")</f>
        <v/>
      </c>
      <c r="U1419" s="57" t="str">
        <f>IF(AC1419=1,IF(O1419&gt;0,R1419/O1419,""),"")</f>
        <v/>
      </c>
      <c r="V1419" s="57" t="str">
        <f>IF(AC1419=1,IF(P1419&gt;0,N(G1419)/P1419,""),"")</f>
        <v/>
      </c>
      <c r="W1419" s="57" t="str">
        <f>IF(AC1419=1,S1419/M1419,"")</f>
        <v/>
      </c>
      <c r="X1419" s="57" t="str">
        <f>IF(AC1419=1,S1419/K1419,"")</f>
        <v/>
      </c>
      <c r="Y1419" s="58" t="str">
        <f>IF(W1419="","",IF(W1419&gt;=p_target,"Bon",IF(W1419&gt;=p_alert,"À surveiller","Faible")))</f>
        <v/>
      </c>
      <c r="Z1419" s="58" t="str">
        <f>IF(W1419="","",IF(MIN(IF(T1419="",1,T1419),IF(U1419="",1,U1419),IF(V1419="",1,V1419))&gt;=1,"Aucune",IF(IF(T1419="",1,T1419)&lt;=MIN(IF(U1419="",1,U1419),IF(V1419="",1,V1419)),"Disponibilité",IF(IF(U1419="",1,U1419)&lt;=IF(V1419="",1,V1419),"Performance","Qualité"))))</f>
        <v/>
      </c>
      <c r="AA1419" s="59" t="str">
        <f>IF(AC1419=1,N(H1419)*N(IFERROR(INDEX(art_cost,MATCH(E1419,art_ref,0)),0)),"")</f>
        <v/>
      </c>
      <c r="AB1419" s="58" t="str">
        <f>IF(COUNTA(A1419:I1419)=0,"",IF(N(A1419)&lt;=0,"Date manquante ou invalide",IF(B1419="","Équipe manquante",IF(ISNA(MATCH(B1419,eq_code,0)),"Équipe inconnue",IF(INDEX(eq_check,MATCH(B1419,eq_code,0))&lt;&gt;"OK","Équipe à corriger dans Paramètres",IF(C1419="","Poste manquant",IF(ISNA(MATCH(C1419,po_code,0)),"Poste inconnu",IF(AND(E1419&lt;&gt;"",ISNA(MATCH(E1419,art_ref,0))),"Article inconnu",IF(IF(E1419="",FALSE,INDEX(art_check,MATCH(E1419,art_ref,0))&lt;&gt;"OK"),"Article à corriger (feuille Articles)",IF(COUNTIFS(sj_date,A1419,sj_eq,B1419,sj_po,C1419)&gt;1,"Ligne en double (même jour, équipe et poste)",IF(OR(NOT(ISNUMBER(K1419)),N(K1419)&lt;=0,N(K1419)&gt;1440),"Temps d'ouverture invalide",IF(OR(AND(G1419&lt;&gt;"",NOT(ISNUMBER(G1419))),N(G1419)&lt;0,N(G1419)&lt;&gt;INT(N(G1419)),AND(H1419&lt;&gt;"",NOT(ISNUMBER(H1419))),N(H1419)&lt;0,N(H1419)&lt;&gt;INT(N(H1419)),AND(I1419&lt;&gt;"",NOT(ISNUMBER(I1419))),N(I1419)&lt;0,N(I1419)&lt;&gt;INT(N(I1419))),"Quantité invalide",IF(Q1419&lt;=0,"Cadence manquante (poste ou article)",IF(M1419&lt;=0,"Arrêts planifiés supérieurs au temps d'ouverture",IF(O1419&lt;0,"Arrêts supérieurs au temps requis",IF(AND(P1419&gt;0,O1419=0),"Pièces déclarées sans temps de marche",IF(AND(P1419=0,O1419&gt;0),"Aucune pièce déclarée",IF(P1419*60/Q1419&gt;O1419+0.001,"Cadence dépassée : vérifiez la cadence","OK"))))))))))))))))))</f>
        <v/>
      </c>
      <c r="AC1419">
        <f>IF(OR(AB1419="OK",AB1419="Aucune pièce déclarée",AB1419="Cadence dépassée : vérifiez la cadence"),1,0)</f>
        <v>0.0</v>
      </c>
      <c r="AD1419">
        <f>IF(AND(AC1419=1,A1419&gt;=p_from,A1419&lt;=p_to),1,0)</f>
        <v>0.0</v>
      </c>
      <c r="AE1419">
        <f>IF(AD1419=1,IF(COUNTIFS($A$6:A1419,A1419,$AD$6:AD1419,1)=1,1,0),0)</f>
        <v>0.0</v>
      </c>
      <c r="AF1419" t="str">
        <f>IF(AE1419=1,COUNTIFS(sj_first,1,sj_date,"&lt;"&amp;A1419)+1,"")</f>
        <v/>
      </c>
      <c r="AG1419" t="str">
        <f>IF(AND(AD1419=1,N(W1419)&lt;p_alert),ROUND(W1419,4),"")</f>
        <v/>
      </c>
      <c r="AH1419" t="str">
        <f>IF(AG1419="","",COUNTIF(sj_akey,"&lt;"&amp;AG1419)+COUNTIF($AG$6:AG1419,AG1419))</f>
        <v/>
      </c>
    </row>
    <row r="1420">
      <c r="A1420" s="51" t="n"/>
      <c r="B1420" s="52" t="n"/>
      <c r="C1420" s="52" t="n"/>
      <c r="D1420" s="53" t="n"/>
      <c r="E1420" s="53" t="n"/>
      <c r="F1420" s="54" t="n"/>
      <c r="G1420" s="54" t="n"/>
      <c r="H1420" s="54" t="n"/>
      <c r="I1420" s="54" t="n"/>
      <c r="J1420" s="53" t="n"/>
      <c r="K1420" s="55" t="str">
        <f>IF(COUNTA(A1420:I1420)=0,"",IF(F1420="",IFERROR(INDEX(eq_dur,MATCH(B1420,eq_code,0)),""),F1420))</f>
        <v/>
      </c>
      <c r="L1420" s="55" t="str">
        <f>IF(ISNUMBER(K1420),N(IFERROR(INDEX(eq_pause,MATCH(B1420,eq_code,0)),0))+SUMIFS(st_min,st_date,A1420,st_eq,B1420,st_po,C1420,st_type,"Planifié"),"")</f>
        <v/>
      </c>
      <c r="M1420" s="55" t="str">
        <f>IF(ISNUMBER(K1420),K1420-L1420,"")</f>
        <v/>
      </c>
      <c r="N1420" s="55" t="str">
        <f>IF(ISNUMBER(K1420),SUMIFS(st_min,st_date,A1420,st_eq,B1420,st_po,C1420,st_type,"Non planifié"),"")</f>
        <v/>
      </c>
      <c r="O1420" s="55" t="str">
        <f>IF(ISNUMBER(K1420),M1420-N1420,"")</f>
        <v/>
      </c>
      <c r="P1420" s="55" t="str">
        <f>IF(COUNTA(A1420:I1420)=0,"",N(G1420)+N(H1420)+N(I1420))</f>
        <v/>
      </c>
      <c r="Q1420" s="56" t="str">
        <f>IF(COUNTA(A1420:I1420)=0,"",IF(N(IFERROR(INDEX(art_rate,MATCH(E1420,art_ref,0)),0))&gt;0,N(IFERROR(INDEX(art_rate,MATCH(E1420,art_ref,0)),0)),N(IFERROR(INDEX(po_rate,MATCH(C1420,po_code,0)),0))))</f>
        <v/>
      </c>
      <c r="R1420" s="55" t="str">
        <f>IF(AC1420=1,P1420*60/Q1420,"")</f>
        <v/>
      </c>
      <c r="S1420" s="55" t="str">
        <f>IF(AC1420=1,N(G1420)*60/Q1420,"")</f>
        <v/>
      </c>
      <c r="T1420" s="57" t="str">
        <f>IF(AC1420=1,O1420/M1420,"")</f>
        <v/>
      </c>
      <c r="U1420" s="57" t="str">
        <f>IF(AC1420=1,IF(O1420&gt;0,R1420/O1420,""),"")</f>
        <v/>
      </c>
      <c r="V1420" s="57" t="str">
        <f>IF(AC1420=1,IF(P1420&gt;0,N(G1420)/P1420,""),"")</f>
        <v/>
      </c>
      <c r="W1420" s="57" t="str">
        <f>IF(AC1420=1,S1420/M1420,"")</f>
        <v/>
      </c>
      <c r="X1420" s="57" t="str">
        <f>IF(AC1420=1,S1420/K1420,"")</f>
        <v/>
      </c>
      <c r="Y1420" s="58" t="str">
        <f>IF(W1420="","",IF(W1420&gt;=p_target,"Bon",IF(W1420&gt;=p_alert,"À surveiller","Faible")))</f>
        <v/>
      </c>
      <c r="Z1420" s="58" t="str">
        <f>IF(W1420="","",IF(MIN(IF(T1420="",1,T1420),IF(U1420="",1,U1420),IF(V1420="",1,V1420))&gt;=1,"Aucune",IF(IF(T1420="",1,T1420)&lt;=MIN(IF(U1420="",1,U1420),IF(V1420="",1,V1420)),"Disponibilité",IF(IF(U1420="",1,U1420)&lt;=IF(V1420="",1,V1420),"Performance","Qualité"))))</f>
        <v/>
      </c>
      <c r="AA1420" s="59" t="str">
        <f>IF(AC1420=1,N(H1420)*N(IFERROR(INDEX(art_cost,MATCH(E1420,art_ref,0)),0)),"")</f>
        <v/>
      </c>
      <c r="AB1420" s="58" t="str">
        <f>IF(COUNTA(A1420:I1420)=0,"",IF(N(A1420)&lt;=0,"Date manquante ou invalide",IF(B1420="","Équipe manquante",IF(ISNA(MATCH(B1420,eq_code,0)),"Équipe inconnue",IF(INDEX(eq_check,MATCH(B1420,eq_code,0))&lt;&gt;"OK","Équipe à corriger dans Paramètres",IF(C1420="","Poste manquant",IF(ISNA(MATCH(C1420,po_code,0)),"Poste inconnu",IF(AND(E1420&lt;&gt;"",ISNA(MATCH(E1420,art_ref,0))),"Article inconnu",IF(IF(E1420="",FALSE,INDEX(art_check,MATCH(E1420,art_ref,0))&lt;&gt;"OK"),"Article à corriger (feuille Articles)",IF(COUNTIFS(sj_date,A1420,sj_eq,B1420,sj_po,C1420)&gt;1,"Ligne en double (même jour, équipe et poste)",IF(OR(NOT(ISNUMBER(K1420)),N(K1420)&lt;=0,N(K1420)&gt;1440),"Temps d'ouverture invalide",IF(OR(AND(G1420&lt;&gt;"",NOT(ISNUMBER(G1420))),N(G1420)&lt;0,N(G1420)&lt;&gt;INT(N(G1420)),AND(H1420&lt;&gt;"",NOT(ISNUMBER(H1420))),N(H1420)&lt;0,N(H1420)&lt;&gt;INT(N(H1420)),AND(I1420&lt;&gt;"",NOT(ISNUMBER(I1420))),N(I1420)&lt;0,N(I1420)&lt;&gt;INT(N(I1420))),"Quantité invalide",IF(Q1420&lt;=0,"Cadence manquante (poste ou article)",IF(M1420&lt;=0,"Arrêts planifiés supérieurs au temps d'ouverture",IF(O1420&lt;0,"Arrêts supérieurs au temps requis",IF(AND(P1420&gt;0,O1420=0),"Pièces déclarées sans temps de marche",IF(AND(P1420=0,O1420&gt;0),"Aucune pièce déclarée",IF(P1420*60/Q1420&gt;O1420+0.001,"Cadence dépassée : vérifiez la cadence","OK"))))))))))))))))))</f>
        <v/>
      </c>
      <c r="AC1420">
        <f>IF(OR(AB1420="OK",AB1420="Aucune pièce déclarée",AB1420="Cadence dépassée : vérifiez la cadence"),1,0)</f>
        <v>0.0</v>
      </c>
      <c r="AD1420">
        <f>IF(AND(AC1420=1,A1420&gt;=p_from,A1420&lt;=p_to),1,0)</f>
        <v>0.0</v>
      </c>
      <c r="AE1420">
        <f>IF(AD1420=1,IF(COUNTIFS($A$6:A1420,A1420,$AD$6:AD1420,1)=1,1,0),0)</f>
        <v>0.0</v>
      </c>
      <c r="AF1420" t="str">
        <f>IF(AE1420=1,COUNTIFS(sj_first,1,sj_date,"&lt;"&amp;A1420)+1,"")</f>
        <v/>
      </c>
      <c r="AG1420" t="str">
        <f>IF(AND(AD1420=1,N(W1420)&lt;p_alert),ROUND(W1420,4),"")</f>
        <v/>
      </c>
      <c r="AH1420" t="str">
        <f>IF(AG1420="","",COUNTIF(sj_akey,"&lt;"&amp;AG1420)+COUNTIF($AG$6:AG1420,AG1420))</f>
        <v/>
      </c>
    </row>
    <row r="1421">
      <c r="A1421" s="51" t="n"/>
      <c r="B1421" s="52" t="n"/>
      <c r="C1421" s="52" t="n"/>
      <c r="D1421" s="53" t="n"/>
      <c r="E1421" s="53" t="n"/>
      <c r="F1421" s="54" t="n"/>
      <c r="G1421" s="54" t="n"/>
      <c r="H1421" s="54" t="n"/>
      <c r="I1421" s="54" t="n"/>
      <c r="J1421" s="53" t="n"/>
      <c r="K1421" s="55" t="str">
        <f>IF(COUNTA(A1421:I1421)=0,"",IF(F1421="",IFERROR(INDEX(eq_dur,MATCH(B1421,eq_code,0)),""),F1421))</f>
        <v/>
      </c>
      <c r="L1421" s="55" t="str">
        <f>IF(ISNUMBER(K1421),N(IFERROR(INDEX(eq_pause,MATCH(B1421,eq_code,0)),0))+SUMIFS(st_min,st_date,A1421,st_eq,B1421,st_po,C1421,st_type,"Planifié"),"")</f>
        <v/>
      </c>
      <c r="M1421" s="55" t="str">
        <f>IF(ISNUMBER(K1421),K1421-L1421,"")</f>
        <v/>
      </c>
      <c r="N1421" s="55" t="str">
        <f>IF(ISNUMBER(K1421),SUMIFS(st_min,st_date,A1421,st_eq,B1421,st_po,C1421,st_type,"Non planifié"),"")</f>
        <v/>
      </c>
      <c r="O1421" s="55" t="str">
        <f>IF(ISNUMBER(K1421),M1421-N1421,"")</f>
        <v/>
      </c>
      <c r="P1421" s="55" t="str">
        <f>IF(COUNTA(A1421:I1421)=0,"",N(G1421)+N(H1421)+N(I1421))</f>
        <v/>
      </c>
      <c r="Q1421" s="56" t="str">
        <f>IF(COUNTA(A1421:I1421)=0,"",IF(N(IFERROR(INDEX(art_rate,MATCH(E1421,art_ref,0)),0))&gt;0,N(IFERROR(INDEX(art_rate,MATCH(E1421,art_ref,0)),0)),N(IFERROR(INDEX(po_rate,MATCH(C1421,po_code,0)),0))))</f>
        <v/>
      </c>
      <c r="R1421" s="55" t="str">
        <f>IF(AC1421=1,P1421*60/Q1421,"")</f>
        <v/>
      </c>
      <c r="S1421" s="55" t="str">
        <f>IF(AC1421=1,N(G1421)*60/Q1421,"")</f>
        <v/>
      </c>
      <c r="T1421" s="57" t="str">
        <f>IF(AC1421=1,O1421/M1421,"")</f>
        <v/>
      </c>
      <c r="U1421" s="57" t="str">
        <f>IF(AC1421=1,IF(O1421&gt;0,R1421/O1421,""),"")</f>
        <v/>
      </c>
      <c r="V1421" s="57" t="str">
        <f>IF(AC1421=1,IF(P1421&gt;0,N(G1421)/P1421,""),"")</f>
        <v/>
      </c>
      <c r="W1421" s="57" t="str">
        <f>IF(AC1421=1,S1421/M1421,"")</f>
        <v/>
      </c>
      <c r="X1421" s="57" t="str">
        <f>IF(AC1421=1,S1421/K1421,"")</f>
        <v/>
      </c>
      <c r="Y1421" s="58" t="str">
        <f>IF(W1421="","",IF(W1421&gt;=p_target,"Bon",IF(W1421&gt;=p_alert,"À surveiller","Faible")))</f>
        <v/>
      </c>
      <c r="Z1421" s="58" t="str">
        <f>IF(W1421="","",IF(MIN(IF(T1421="",1,T1421),IF(U1421="",1,U1421),IF(V1421="",1,V1421))&gt;=1,"Aucune",IF(IF(T1421="",1,T1421)&lt;=MIN(IF(U1421="",1,U1421),IF(V1421="",1,V1421)),"Disponibilité",IF(IF(U1421="",1,U1421)&lt;=IF(V1421="",1,V1421),"Performance","Qualité"))))</f>
        <v/>
      </c>
      <c r="AA1421" s="59" t="str">
        <f>IF(AC1421=1,N(H1421)*N(IFERROR(INDEX(art_cost,MATCH(E1421,art_ref,0)),0)),"")</f>
        <v/>
      </c>
      <c r="AB1421" s="58" t="str">
        <f>IF(COUNTA(A1421:I1421)=0,"",IF(N(A1421)&lt;=0,"Date manquante ou invalide",IF(B1421="","Équipe manquante",IF(ISNA(MATCH(B1421,eq_code,0)),"Équipe inconnue",IF(INDEX(eq_check,MATCH(B1421,eq_code,0))&lt;&gt;"OK","Équipe à corriger dans Paramètres",IF(C1421="","Poste manquant",IF(ISNA(MATCH(C1421,po_code,0)),"Poste inconnu",IF(AND(E1421&lt;&gt;"",ISNA(MATCH(E1421,art_ref,0))),"Article inconnu",IF(IF(E1421="",FALSE,INDEX(art_check,MATCH(E1421,art_ref,0))&lt;&gt;"OK"),"Article à corriger (feuille Articles)",IF(COUNTIFS(sj_date,A1421,sj_eq,B1421,sj_po,C1421)&gt;1,"Ligne en double (même jour, équipe et poste)",IF(OR(NOT(ISNUMBER(K1421)),N(K1421)&lt;=0,N(K1421)&gt;1440),"Temps d'ouverture invalide",IF(OR(AND(G1421&lt;&gt;"",NOT(ISNUMBER(G1421))),N(G1421)&lt;0,N(G1421)&lt;&gt;INT(N(G1421)),AND(H1421&lt;&gt;"",NOT(ISNUMBER(H1421))),N(H1421)&lt;0,N(H1421)&lt;&gt;INT(N(H1421)),AND(I1421&lt;&gt;"",NOT(ISNUMBER(I1421))),N(I1421)&lt;0,N(I1421)&lt;&gt;INT(N(I1421))),"Quantité invalide",IF(Q1421&lt;=0,"Cadence manquante (poste ou article)",IF(M1421&lt;=0,"Arrêts planifiés supérieurs au temps d'ouverture",IF(O1421&lt;0,"Arrêts supérieurs au temps requis",IF(AND(P1421&gt;0,O1421=0),"Pièces déclarées sans temps de marche",IF(AND(P1421=0,O1421&gt;0),"Aucune pièce déclarée",IF(P1421*60/Q1421&gt;O1421+0.001,"Cadence dépassée : vérifiez la cadence","OK"))))))))))))))))))</f>
        <v/>
      </c>
      <c r="AC1421">
        <f>IF(OR(AB1421="OK",AB1421="Aucune pièce déclarée",AB1421="Cadence dépassée : vérifiez la cadence"),1,0)</f>
        <v>0.0</v>
      </c>
      <c r="AD1421">
        <f>IF(AND(AC1421=1,A1421&gt;=p_from,A1421&lt;=p_to),1,0)</f>
        <v>0.0</v>
      </c>
      <c r="AE1421">
        <f>IF(AD1421=1,IF(COUNTIFS($A$6:A1421,A1421,$AD$6:AD1421,1)=1,1,0),0)</f>
        <v>0.0</v>
      </c>
      <c r="AF1421" t="str">
        <f>IF(AE1421=1,COUNTIFS(sj_first,1,sj_date,"&lt;"&amp;A1421)+1,"")</f>
        <v/>
      </c>
      <c r="AG1421" t="str">
        <f>IF(AND(AD1421=1,N(W1421)&lt;p_alert),ROUND(W1421,4),"")</f>
        <v/>
      </c>
      <c r="AH1421" t="str">
        <f>IF(AG1421="","",COUNTIF(sj_akey,"&lt;"&amp;AG1421)+COUNTIF($AG$6:AG1421,AG1421))</f>
        <v/>
      </c>
    </row>
    <row r="1422">
      <c r="A1422" s="51" t="n"/>
      <c r="B1422" s="52" t="n"/>
      <c r="C1422" s="52" t="n"/>
      <c r="D1422" s="53" t="n"/>
      <c r="E1422" s="53" t="n"/>
      <c r="F1422" s="54" t="n"/>
      <c r="G1422" s="54" t="n"/>
      <c r="H1422" s="54" t="n"/>
      <c r="I1422" s="54" t="n"/>
      <c r="J1422" s="53" t="n"/>
      <c r="K1422" s="55" t="str">
        <f>IF(COUNTA(A1422:I1422)=0,"",IF(F1422="",IFERROR(INDEX(eq_dur,MATCH(B1422,eq_code,0)),""),F1422))</f>
        <v/>
      </c>
      <c r="L1422" s="55" t="str">
        <f>IF(ISNUMBER(K1422),N(IFERROR(INDEX(eq_pause,MATCH(B1422,eq_code,0)),0))+SUMIFS(st_min,st_date,A1422,st_eq,B1422,st_po,C1422,st_type,"Planifié"),"")</f>
        <v/>
      </c>
      <c r="M1422" s="55" t="str">
        <f>IF(ISNUMBER(K1422),K1422-L1422,"")</f>
        <v/>
      </c>
      <c r="N1422" s="55" t="str">
        <f>IF(ISNUMBER(K1422),SUMIFS(st_min,st_date,A1422,st_eq,B1422,st_po,C1422,st_type,"Non planifié"),"")</f>
        <v/>
      </c>
      <c r="O1422" s="55" t="str">
        <f>IF(ISNUMBER(K1422),M1422-N1422,"")</f>
        <v/>
      </c>
      <c r="P1422" s="55" t="str">
        <f>IF(COUNTA(A1422:I1422)=0,"",N(G1422)+N(H1422)+N(I1422))</f>
        <v/>
      </c>
      <c r="Q1422" s="56" t="str">
        <f>IF(COUNTA(A1422:I1422)=0,"",IF(N(IFERROR(INDEX(art_rate,MATCH(E1422,art_ref,0)),0))&gt;0,N(IFERROR(INDEX(art_rate,MATCH(E1422,art_ref,0)),0)),N(IFERROR(INDEX(po_rate,MATCH(C1422,po_code,0)),0))))</f>
        <v/>
      </c>
      <c r="R1422" s="55" t="str">
        <f>IF(AC1422=1,P1422*60/Q1422,"")</f>
        <v/>
      </c>
      <c r="S1422" s="55" t="str">
        <f>IF(AC1422=1,N(G1422)*60/Q1422,"")</f>
        <v/>
      </c>
      <c r="T1422" s="57" t="str">
        <f>IF(AC1422=1,O1422/M1422,"")</f>
        <v/>
      </c>
      <c r="U1422" s="57" t="str">
        <f>IF(AC1422=1,IF(O1422&gt;0,R1422/O1422,""),"")</f>
        <v/>
      </c>
      <c r="V1422" s="57" t="str">
        <f>IF(AC1422=1,IF(P1422&gt;0,N(G1422)/P1422,""),"")</f>
        <v/>
      </c>
      <c r="W1422" s="57" t="str">
        <f>IF(AC1422=1,S1422/M1422,"")</f>
        <v/>
      </c>
      <c r="X1422" s="57" t="str">
        <f>IF(AC1422=1,S1422/K1422,"")</f>
        <v/>
      </c>
      <c r="Y1422" s="58" t="str">
        <f>IF(W1422="","",IF(W1422&gt;=p_target,"Bon",IF(W1422&gt;=p_alert,"À surveiller","Faible")))</f>
        <v/>
      </c>
      <c r="Z1422" s="58" t="str">
        <f>IF(W1422="","",IF(MIN(IF(T1422="",1,T1422),IF(U1422="",1,U1422),IF(V1422="",1,V1422))&gt;=1,"Aucune",IF(IF(T1422="",1,T1422)&lt;=MIN(IF(U1422="",1,U1422),IF(V1422="",1,V1422)),"Disponibilité",IF(IF(U1422="",1,U1422)&lt;=IF(V1422="",1,V1422),"Performance","Qualité"))))</f>
        <v/>
      </c>
      <c r="AA1422" s="59" t="str">
        <f>IF(AC1422=1,N(H1422)*N(IFERROR(INDEX(art_cost,MATCH(E1422,art_ref,0)),0)),"")</f>
        <v/>
      </c>
      <c r="AB1422" s="58" t="str">
        <f>IF(COUNTA(A1422:I1422)=0,"",IF(N(A1422)&lt;=0,"Date manquante ou invalide",IF(B1422="","Équipe manquante",IF(ISNA(MATCH(B1422,eq_code,0)),"Équipe inconnue",IF(INDEX(eq_check,MATCH(B1422,eq_code,0))&lt;&gt;"OK","Équipe à corriger dans Paramètres",IF(C1422="","Poste manquant",IF(ISNA(MATCH(C1422,po_code,0)),"Poste inconnu",IF(AND(E1422&lt;&gt;"",ISNA(MATCH(E1422,art_ref,0))),"Article inconnu",IF(IF(E1422="",FALSE,INDEX(art_check,MATCH(E1422,art_ref,0))&lt;&gt;"OK"),"Article à corriger (feuille Articles)",IF(COUNTIFS(sj_date,A1422,sj_eq,B1422,sj_po,C1422)&gt;1,"Ligne en double (même jour, équipe et poste)",IF(OR(NOT(ISNUMBER(K1422)),N(K1422)&lt;=0,N(K1422)&gt;1440),"Temps d'ouverture invalide",IF(OR(AND(G1422&lt;&gt;"",NOT(ISNUMBER(G1422))),N(G1422)&lt;0,N(G1422)&lt;&gt;INT(N(G1422)),AND(H1422&lt;&gt;"",NOT(ISNUMBER(H1422))),N(H1422)&lt;0,N(H1422)&lt;&gt;INT(N(H1422)),AND(I1422&lt;&gt;"",NOT(ISNUMBER(I1422))),N(I1422)&lt;0,N(I1422)&lt;&gt;INT(N(I1422))),"Quantité invalide",IF(Q1422&lt;=0,"Cadence manquante (poste ou article)",IF(M1422&lt;=0,"Arrêts planifiés supérieurs au temps d'ouverture",IF(O1422&lt;0,"Arrêts supérieurs au temps requis",IF(AND(P1422&gt;0,O1422=0),"Pièces déclarées sans temps de marche",IF(AND(P1422=0,O1422&gt;0),"Aucune pièce déclarée",IF(P1422*60/Q1422&gt;O1422+0.001,"Cadence dépassée : vérifiez la cadence","OK"))))))))))))))))))</f>
        <v/>
      </c>
      <c r="AC1422">
        <f>IF(OR(AB1422="OK",AB1422="Aucune pièce déclarée",AB1422="Cadence dépassée : vérifiez la cadence"),1,0)</f>
        <v>0.0</v>
      </c>
      <c r="AD1422">
        <f>IF(AND(AC1422=1,A1422&gt;=p_from,A1422&lt;=p_to),1,0)</f>
        <v>0.0</v>
      </c>
      <c r="AE1422">
        <f>IF(AD1422=1,IF(COUNTIFS($A$6:A1422,A1422,$AD$6:AD1422,1)=1,1,0),0)</f>
        <v>0.0</v>
      </c>
      <c r="AF1422" t="str">
        <f>IF(AE1422=1,COUNTIFS(sj_first,1,sj_date,"&lt;"&amp;A1422)+1,"")</f>
        <v/>
      </c>
      <c r="AG1422" t="str">
        <f>IF(AND(AD1422=1,N(W1422)&lt;p_alert),ROUND(W1422,4),"")</f>
        <v/>
      </c>
      <c r="AH1422" t="str">
        <f>IF(AG1422="","",COUNTIF(sj_akey,"&lt;"&amp;AG1422)+COUNTIF($AG$6:AG1422,AG1422))</f>
        <v/>
      </c>
    </row>
    <row r="1423">
      <c r="A1423" s="51" t="n"/>
      <c r="B1423" s="52" t="n"/>
      <c r="C1423" s="52" t="n"/>
      <c r="D1423" s="53" t="n"/>
      <c r="E1423" s="53" t="n"/>
      <c r="F1423" s="54" t="n"/>
      <c r="G1423" s="54" t="n"/>
      <c r="H1423" s="54" t="n"/>
      <c r="I1423" s="54" t="n"/>
      <c r="J1423" s="53" t="n"/>
      <c r="K1423" s="55" t="str">
        <f>IF(COUNTA(A1423:I1423)=0,"",IF(F1423="",IFERROR(INDEX(eq_dur,MATCH(B1423,eq_code,0)),""),F1423))</f>
        <v/>
      </c>
      <c r="L1423" s="55" t="str">
        <f>IF(ISNUMBER(K1423),N(IFERROR(INDEX(eq_pause,MATCH(B1423,eq_code,0)),0))+SUMIFS(st_min,st_date,A1423,st_eq,B1423,st_po,C1423,st_type,"Planifié"),"")</f>
        <v/>
      </c>
      <c r="M1423" s="55" t="str">
        <f>IF(ISNUMBER(K1423),K1423-L1423,"")</f>
        <v/>
      </c>
      <c r="N1423" s="55" t="str">
        <f>IF(ISNUMBER(K1423),SUMIFS(st_min,st_date,A1423,st_eq,B1423,st_po,C1423,st_type,"Non planifié"),"")</f>
        <v/>
      </c>
      <c r="O1423" s="55" t="str">
        <f>IF(ISNUMBER(K1423),M1423-N1423,"")</f>
        <v/>
      </c>
      <c r="P1423" s="55" t="str">
        <f>IF(COUNTA(A1423:I1423)=0,"",N(G1423)+N(H1423)+N(I1423))</f>
        <v/>
      </c>
      <c r="Q1423" s="56" t="str">
        <f>IF(COUNTA(A1423:I1423)=0,"",IF(N(IFERROR(INDEX(art_rate,MATCH(E1423,art_ref,0)),0))&gt;0,N(IFERROR(INDEX(art_rate,MATCH(E1423,art_ref,0)),0)),N(IFERROR(INDEX(po_rate,MATCH(C1423,po_code,0)),0))))</f>
        <v/>
      </c>
      <c r="R1423" s="55" t="str">
        <f>IF(AC1423=1,P1423*60/Q1423,"")</f>
        <v/>
      </c>
      <c r="S1423" s="55" t="str">
        <f>IF(AC1423=1,N(G1423)*60/Q1423,"")</f>
        <v/>
      </c>
      <c r="T1423" s="57" t="str">
        <f>IF(AC1423=1,O1423/M1423,"")</f>
        <v/>
      </c>
      <c r="U1423" s="57" t="str">
        <f>IF(AC1423=1,IF(O1423&gt;0,R1423/O1423,""),"")</f>
        <v/>
      </c>
      <c r="V1423" s="57" t="str">
        <f>IF(AC1423=1,IF(P1423&gt;0,N(G1423)/P1423,""),"")</f>
        <v/>
      </c>
      <c r="W1423" s="57" t="str">
        <f>IF(AC1423=1,S1423/M1423,"")</f>
        <v/>
      </c>
      <c r="X1423" s="57" t="str">
        <f>IF(AC1423=1,S1423/K1423,"")</f>
        <v/>
      </c>
      <c r="Y1423" s="58" t="str">
        <f>IF(W1423="","",IF(W1423&gt;=p_target,"Bon",IF(W1423&gt;=p_alert,"À surveiller","Faible")))</f>
        <v/>
      </c>
      <c r="Z1423" s="58" t="str">
        <f>IF(W1423="","",IF(MIN(IF(T1423="",1,T1423),IF(U1423="",1,U1423),IF(V1423="",1,V1423))&gt;=1,"Aucune",IF(IF(T1423="",1,T1423)&lt;=MIN(IF(U1423="",1,U1423),IF(V1423="",1,V1423)),"Disponibilité",IF(IF(U1423="",1,U1423)&lt;=IF(V1423="",1,V1423),"Performance","Qualité"))))</f>
        <v/>
      </c>
      <c r="AA1423" s="59" t="str">
        <f>IF(AC1423=1,N(H1423)*N(IFERROR(INDEX(art_cost,MATCH(E1423,art_ref,0)),0)),"")</f>
        <v/>
      </c>
      <c r="AB1423" s="58" t="str">
        <f>IF(COUNTA(A1423:I1423)=0,"",IF(N(A1423)&lt;=0,"Date manquante ou invalide",IF(B1423="","Équipe manquante",IF(ISNA(MATCH(B1423,eq_code,0)),"Équipe inconnue",IF(INDEX(eq_check,MATCH(B1423,eq_code,0))&lt;&gt;"OK","Équipe à corriger dans Paramètres",IF(C1423="","Poste manquant",IF(ISNA(MATCH(C1423,po_code,0)),"Poste inconnu",IF(AND(E1423&lt;&gt;"",ISNA(MATCH(E1423,art_ref,0))),"Article inconnu",IF(IF(E1423="",FALSE,INDEX(art_check,MATCH(E1423,art_ref,0))&lt;&gt;"OK"),"Article à corriger (feuille Articles)",IF(COUNTIFS(sj_date,A1423,sj_eq,B1423,sj_po,C1423)&gt;1,"Ligne en double (même jour, équipe et poste)",IF(OR(NOT(ISNUMBER(K1423)),N(K1423)&lt;=0,N(K1423)&gt;1440),"Temps d'ouverture invalide",IF(OR(AND(G1423&lt;&gt;"",NOT(ISNUMBER(G1423))),N(G1423)&lt;0,N(G1423)&lt;&gt;INT(N(G1423)),AND(H1423&lt;&gt;"",NOT(ISNUMBER(H1423))),N(H1423)&lt;0,N(H1423)&lt;&gt;INT(N(H1423)),AND(I1423&lt;&gt;"",NOT(ISNUMBER(I1423))),N(I1423)&lt;0,N(I1423)&lt;&gt;INT(N(I1423))),"Quantité invalide",IF(Q1423&lt;=0,"Cadence manquante (poste ou article)",IF(M1423&lt;=0,"Arrêts planifiés supérieurs au temps d'ouverture",IF(O1423&lt;0,"Arrêts supérieurs au temps requis",IF(AND(P1423&gt;0,O1423=0),"Pièces déclarées sans temps de marche",IF(AND(P1423=0,O1423&gt;0),"Aucune pièce déclarée",IF(P1423*60/Q1423&gt;O1423+0.001,"Cadence dépassée : vérifiez la cadence","OK"))))))))))))))))))</f>
        <v/>
      </c>
      <c r="AC1423">
        <f>IF(OR(AB1423="OK",AB1423="Aucune pièce déclarée",AB1423="Cadence dépassée : vérifiez la cadence"),1,0)</f>
        <v>0.0</v>
      </c>
      <c r="AD1423">
        <f>IF(AND(AC1423=1,A1423&gt;=p_from,A1423&lt;=p_to),1,0)</f>
        <v>0.0</v>
      </c>
      <c r="AE1423">
        <f>IF(AD1423=1,IF(COUNTIFS($A$6:A1423,A1423,$AD$6:AD1423,1)=1,1,0),0)</f>
        <v>0.0</v>
      </c>
      <c r="AF1423" t="str">
        <f>IF(AE1423=1,COUNTIFS(sj_first,1,sj_date,"&lt;"&amp;A1423)+1,"")</f>
        <v/>
      </c>
      <c r="AG1423" t="str">
        <f>IF(AND(AD1423=1,N(W1423)&lt;p_alert),ROUND(W1423,4),"")</f>
        <v/>
      </c>
      <c r="AH1423" t="str">
        <f>IF(AG1423="","",COUNTIF(sj_akey,"&lt;"&amp;AG1423)+COUNTIF($AG$6:AG1423,AG1423))</f>
        <v/>
      </c>
    </row>
    <row r="1424">
      <c r="A1424" s="51" t="n"/>
      <c r="B1424" s="52" t="n"/>
      <c r="C1424" s="52" t="n"/>
      <c r="D1424" s="53" t="n"/>
      <c r="E1424" s="53" t="n"/>
      <c r="F1424" s="54" t="n"/>
      <c r="G1424" s="54" t="n"/>
      <c r="H1424" s="54" t="n"/>
      <c r="I1424" s="54" t="n"/>
      <c r="J1424" s="53" t="n"/>
      <c r="K1424" s="55" t="str">
        <f>IF(COUNTA(A1424:I1424)=0,"",IF(F1424="",IFERROR(INDEX(eq_dur,MATCH(B1424,eq_code,0)),""),F1424))</f>
        <v/>
      </c>
      <c r="L1424" s="55" t="str">
        <f>IF(ISNUMBER(K1424),N(IFERROR(INDEX(eq_pause,MATCH(B1424,eq_code,0)),0))+SUMIFS(st_min,st_date,A1424,st_eq,B1424,st_po,C1424,st_type,"Planifié"),"")</f>
        <v/>
      </c>
      <c r="M1424" s="55" t="str">
        <f>IF(ISNUMBER(K1424),K1424-L1424,"")</f>
        <v/>
      </c>
      <c r="N1424" s="55" t="str">
        <f>IF(ISNUMBER(K1424),SUMIFS(st_min,st_date,A1424,st_eq,B1424,st_po,C1424,st_type,"Non planifié"),"")</f>
        <v/>
      </c>
      <c r="O1424" s="55" t="str">
        <f>IF(ISNUMBER(K1424),M1424-N1424,"")</f>
        <v/>
      </c>
      <c r="P1424" s="55" t="str">
        <f>IF(COUNTA(A1424:I1424)=0,"",N(G1424)+N(H1424)+N(I1424))</f>
        <v/>
      </c>
      <c r="Q1424" s="56" t="str">
        <f>IF(COUNTA(A1424:I1424)=0,"",IF(N(IFERROR(INDEX(art_rate,MATCH(E1424,art_ref,0)),0))&gt;0,N(IFERROR(INDEX(art_rate,MATCH(E1424,art_ref,0)),0)),N(IFERROR(INDEX(po_rate,MATCH(C1424,po_code,0)),0))))</f>
        <v/>
      </c>
      <c r="R1424" s="55" t="str">
        <f>IF(AC1424=1,P1424*60/Q1424,"")</f>
        <v/>
      </c>
      <c r="S1424" s="55" t="str">
        <f>IF(AC1424=1,N(G1424)*60/Q1424,"")</f>
        <v/>
      </c>
      <c r="T1424" s="57" t="str">
        <f>IF(AC1424=1,O1424/M1424,"")</f>
        <v/>
      </c>
      <c r="U1424" s="57" t="str">
        <f>IF(AC1424=1,IF(O1424&gt;0,R1424/O1424,""),"")</f>
        <v/>
      </c>
      <c r="V1424" s="57" t="str">
        <f>IF(AC1424=1,IF(P1424&gt;0,N(G1424)/P1424,""),"")</f>
        <v/>
      </c>
      <c r="W1424" s="57" t="str">
        <f>IF(AC1424=1,S1424/M1424,"")</f>
        <v/>
      </c>
      <c r="X1424" s="57" t="str">
        <f>IF(AC1424=1,S1424/K1424,"")</f>
        <v/>
      </c>
      <c r="Y1424" s="58" t="str">
        <f>IF(W1424="","",IF(W1424&gt;=p_target,"Bon",IF(W1424&gt;=p_alert,"À surveiller","Faible")))</f>
        <v/>
      </c>
      <c r="Z1424" s="58" t="str">
        <f>IF(W1424="","",IF(MIN(IF(T1424="",1,T1424),IF(U1424="",1,U1424),IF(V1424="",1,V1424))&gt;=1,"Aucune",IF(IF(T1424="",1,T1424)&lt;=MIN(IF(U1424="",1,U1424),IF(V1424="",1,V1424)),"Disponibilité",IF(IF(U1424="",1,U1424)&lt;=IF(V1424="",1,V1424),"Performance","Qualité"))))</f>
        <v/>
      </c>
      <c r="AA1424" s="59" t="str">
        <f>IF(AC1424=1,N(H1424)*N(IFERROR(INDEX(art_cost,MATCH(E1424,art_ref,0)),0)),"")</f>
        <v/>
      </c>
      <c r="AB1424" s="58" t="str">
        <f>IF(COUNTA(A1424:I1424)=0,"",IF(N(A1424)&lt;=0,"Date manquante ou invalide",IF(B1424="","Équipe manquante",IF(ISNA(MATCH(B1424,eq_code,0)),"Équipe inconnue",IF(INDEX(eq_check,MATCH(B1424,eq_code,0))&lt;&gt;"OK","Équipe à corriger dans Paramètres",IF(C1424="","Poste manquant",IF(ISNA(MATCH(C1424,po_code,0)),"Poste inconnu",IF(AND(E1424&lt;&gt;"",ISNA(MATCH(E1424,art_ref,0))),"Article inconnu",IF(IF(E1424="",FALSE,INDEX(art_check,MATCH(E1424,art_ref,0))&lt;&gt;"OK"),"Article à corriger (feuille Articles)",IF(COUNTIFS(sj_date,A1424,sj_eq,B1424,sj_po,C1424)&gt;1,"Ligne en double (même jour, équipe et poste)",IF(OR(NOT(ISNUMBER(K1424)),N(K1424)&lt;=0,N(K1424)&gt;1440),"Temps d'ouverture invalide",IF(OR(AND(G1424&lt;&gt;"",NOT(ISNUMBER(G1424))),N(G1424)&lt;0,N(G1424)&lt;&gt;INT(N(G1424)),AND(H1424&lt;&gt;"",NOT(ISNUMBER(H1424))),N(H1424)&lt;0,N(H1424)&lt;&gt;INT(N(H1424)),AND(I1424&lt;&gt;"",NOT(ISNUMBER(I1424))),N(I1424)&lt;0,N(I1424)&lt;&gt;INT(N(I1424))),"Quantité invalide",IF(Q1424&lt;=0,"Cadence manquante (poste ou article)",IF(M1424&lt;=0,"Arrêts planifiés supérieurs au temps d'ouverture",IF(O1424&lt;0,"Arrêts supérieurs au temps requis",IF(AND(P1424&gt;0,O1424=0),"Pièces déclarées sans temps de marche",IF(AND(P1424=0,O1424&gt;0),"Aucune pièce déclarée",IF(P1424*60/Q1424&gt;O1424+0.001,"Cadence dépassée : vérifiez la cadence","OK"))))))))))))))))))</f>
        <v/>
      </c>
      <c r="AC1424">
        <f>IF(OR(AB1424="OK",AB1424="Aucune pièce déclarée",AB1424="Cadence dépassée : vérifiez la cadence"),1,0)</f>
        <v>0.0</v>
      </c>
      <c r="AD1424">
        <f>IF(AND(AC1424=1,A1424&gt;=p_from,A1424&lt;=p_to),1,0)</f>
        <v>0.0</v>
      </c>
      <c r="AE1424">
        <f>IF(AD1424=1,IF(COUNTIFS($A$6:A1424,A1424,$AD$6:AD1424,1)=1,1,0),0)</f>
        <v>0.0</v>
      </c>
      <c r="AF1424" t="str">
        <f>IF(AE1424=1,COUNTIFS(sj_first,1,sj_date,"&lt;"&amp;A1424)+1,"")</f>
        <v/>
      </c>
      <c r="AG1424" t="str">
        <f>IF(AND(AD1424=1,N(W1424)&lt;p_alert),ROUND(W1424,4),"")</f>
        <v/>
      </c>
      <c r="AH1424" t="str">
        <f>IF(AG1424="","",COUNTIF(sj_akey,"&lt;"&amp;AG1424)+COUNTIF($AG$6:AG1424,AG1424))</f>
        <v/>
      </c>
    </row>
    <row r="1425">
      <c r="A1425" s="51" t="n"/>
      <c r="B1425" s="52" t="n"/>
      <c r="C1425" s="52" t="n"/>
      <c r="D1425" s="53" t="n"/>
      <c r="E1425" s="53" t="n"/>
      <c r="F1425" s="54" t="n"/>
      <c r="G1425" s="54" t="n"/>
      <c r="H1425" s="54" t="n"/>
      <c r="I1425" s="54" t="n"/>
      <c r="J1425" s="53" t="n"/>
      <c r="K1425" s="55" t="str">
        <f>IF(COUNTA(A1425:I1425)=0,"",IF(F1425="",IFERROR(INDEX(eq_dur,MATCH(B1425,eq_code,0)),""),F1425))</f>
        <v/>
      </c>
      <c r="L1425" s="55" t="str">
        <f>IF(ISNUMBER(K1425),N(IFERROR(INDEX(eq_pause,MATCH(B1425,eq_code,0)),0))+SUMIFS(st_min,st_date,A1425,st_eq,B1425,st_po,C1425,st_type,"Planifié"),"")</f>
        <v/>
      </c>
      <c r="M1425" s="55" t="str">
        <f>IF(ISNUMBER(K1425),K1425-L1425,"")</f>
        <v/>
      </c>
      <c r="N1425" s="55" t="str">
        <f>IF(ISNUMBER(K1425),SUMIFS(st_min,st_date,A1425,st_eq,B1425,st_po,C1425,st_type,"Non planifié"),"")</f>
        <v/>
      </c>
      <c r="O1425" s="55" t="str">
        <f>IF(ISNUMBER(K1425),M1425-N1425,"")</f>
        <v/>
      </c>
      <c r="P1425" s="55" t="str">
        <f>IF(COUNTA(A1425:I1425)=0,"",N(G1425)+N(H1425)+N(I1425))</f>
        <v/>
      </c>
      <c r="Q1425" s="56" t="str">
        <f>IF(COUNTA(A1425:I1425)=0,"",IF(N(IFERROR(INDEX(art_rate,MATCH(E1425,art_ref,0)),0))&gt;0,N(IFERROR(INDEX(art_rate,MATCH(E1425,art_ref,0)),0)),N(IFERROR(INDEX(po_rate,MATCH(C1425,po_code,0)),0))))</f>
        <v/>
      </c>
      <c r="R1425" s="55" t="str">
        <f>IF(AC1425=1,P1425*60/Q1425,"")</f>
        <v/>
      </c>
      <c r="S1425" s="55" t="str">
        <f>IF(AC1425=1,N(G1425)*60/Q1425,"")</f>
        <v/>
      </c>
      <c r="T1425" s="57" t="str">
        <f>IF(AC1425=1,O1425/M1425,"")</f>
        <v/>
      </c>
      <c r="U1425" s="57" t="str">
        <f>IF(AC1425=1,IF(O1425&gt;0,R1425/O1425,""),"")</f>
        <v/>
      </c>
      <c r="V1425" s="57" t="str">
        <f>IF(AC1425=1,IF(P1425&gt;0,N(G1425)/P1425,""),"")</f>
        <v/>
      </c>
      <c r="W1425" s="57" t="str">
        <f>IF(AC1425=1,S1425/M1425,"")</f>
        <v/>
      </c>
      <c r="X1425" s="57" t="str">
        <f>IF(AC1425=1,S1425/K1425,"")</f>
        <v/>
      </c>
      <c r="Y1425" s="58" t="str">
        <f>IF(W1425="","",IF(W1425&gt;=p_target,"Bon",IF(W1425&gt;=p_alert,"À surveiller","Faible")))</f>
        <v/>
      </c>
      <c r="Z1425" s="58" t="str">
        <f>IF(W1425="","",IF(MIN(IF(T1425="",1,T1425),IF(U1425="",1,U1425),IF(V1425="",1,V1425))&gt;=1,"Aucune",IF(IF(T1425="",1,T1425)&lt;=MIN(IF(U1425="",1,U1425),IF(V1425="",1,V1425)),"Disponibilité",IF(IF(U1425="",1,U1425)&lt;=IF(V1425="",1,V1425),"Performance","Qualité"))))</f>
        <v/>
      </c>
      <c r="AA1425" s="59" t="str">
        <f>IF(AC1425=1,N(H1425)*N(IFERROR(INDEX(art_cost,MATCH(E1425,art_ref,0)),0)),"")</f>
        <v/>
      </c>
      <c r="AB1425" s="58" t="str">
        <f>IF(COUNTA(A1425:I1425)=0,"",IF(N(A1425)&lt;=0,"Date manquante ou invalide",IF(B1425="","Équipe manquante",IF(ISNA(MATCH(B1425,eq_code,0)),"Équipe inconnue",IF(INDEX(eq_check,MATCH(B1425,eq_code,0))&lt;&gt;"OK","Équipe à corriger dans Paramètres",IF(C1425="","Poste manquant",IF(ISNA(MATCH(C1425,po_code,0)),"Poste inconnu",IF(AND(E1425&lt;&gt;"",ISNA(MATCH(E1425,art_ref,0))),"Article inconnu",IF(IF(E1425="",FALSE,INDEX(art_check,MATCH(E1425,art_ref,0))&lt;&gt;"OK"),"Article à corriger (feuille Articles)",IF(COUNTIFS(sj_date,A1425,sj_eq,B1425,sj_po,C1425)&gt;1,"Ligne en double (même jour, équipe et poste)",IF(OR(NOT(ISNUMBER(K1425)),N(K1425)&lt;=0,N(K1425)&gt;1440),"Temps d'ouverture invalide",IF(OR(AND(G1425&lt;&gt;"",NOT(ISNUMBER(G1425))),N(G1425)&lt;0,N(G1425)&lt;&gt;INT(N(G1425)),AND(H1425&lt;&gt;"",NOT(ISNUMBER(H1425))),N(H1425)&lt;0,N(H1425)&lt;&gt;INT(N(H1425)),AND(I1425&lt;&gt;"",NOT(ISNUMBER(I1425))),N(I1425)&lt;0,N(I1425)&lt;&gt;INT(N(I1425))),"Quantité invalide",IF(Q1425&lt;=0,"Cadence manquante (poste ou article)",IF(M1425&lt;=0,"Arrêts planifiés supérieurs au temps d'ouverture",IF(O1425&lt;0,"Arrêts supérieurs au temps requis",IF(AND(P1425&gt;0,O1425=0),"Pièces déclarées sans temps de marche",IF(AND(P1425=0,O1425&gt;0),"Aucune pièce déclarée",IF(P1425*60/Q1425&gt;O1425+0.001,"Cadence dépassée : vérifiez la cadence","OK"))))))))))))))))))</f>
        <v/>
      </c>
      <c r="AC1425">
        <f>IF(OR(AB1425="OK",AB1425="Aucune pièce déclarée",AB1425="Cadence dépassée : vérifiez la cadence"),1,0)</f>
        <v>0.0</v>
      </c>
      <c r="AD1425">
        <f>IF(AND(AC1425=1,A1425&gt;=p_from,A1425&lt;=p_to),1,0)</f>
        <v>0.0</v>
      </c>
      <c r="AE1425">
        <f>IF(AD1425=1,IF(COUNTIFS($A$6:A1425,A1425,$AD$6:AD1425,1)=1,1,0),0)</f>
        <v>0.0</v>
      </c>
      <c r="AF1425" t="str">
        <f>IF(AE1425=1,COUNTIFS(sj_first,1,sj_date,"&lt;"&amp;A1425)+1,"")</f>
        <v/>
      </c>
      <c r="AG1425" t="str">
        <f>IF(AND(AD1425=1,N(W1425)&lt;p_alert),ROUND(W1425,4),"")</f>
        <v/>
      </c>
      <c r="AH1425" t="str">
        <f>IF(AG1425="","",COUNTIF(sj_akey,"&lt;"&amp;AG1425)+COUNTIF($AG$6:AG1425,AG1425))</f>
        <v/>
      </c>
    </row>
    <row r="1426">
      <c r="A1426" s="51" t="n"/>
      <c r="B1426" s="52" t="n"/>
      <c r="C1426" s="52" t="n"/>
      <c r="D1426" s="53" t="n"/>
      <c r="E1426" s="53" t="n"/>
      <c r="F1426" s="54" t="n"/>
      <c r="G1426" s="54" t="n"/>
      <c r="H1426" s="54" t="n"/>
      <c r="I1426" s="54" t="n"/>
      <c r="J1426" s="53" t="n"/>
      <c r="K1426" s="55" t="str">
        <f>IF(COUNTA(A1426:I1426)=0,"",IF(F1426="",IFERROR(INDEX(eq_dur,MATCH(B1426,eq_code,0)),""),F1426))</f>
        <v/>
      </c>
      <c r="L1426" s="55" t="str">
        <f>IF(ISNUMBER(K1426),N(IFERROR(INDEX(eq_pause,MATCH(B1426,eq_code,0)),0))+SUMIFS(st_min,st_date,A1426,st_eq,B1426,st_po,C1426,st_type,"Planifié"),"")</f>
        <v/>
      </c>
      <c r="M1426" s="55" t="str">
        <f>IF(ISNUMBER(K1426),K1426-L1426,"")</f>
        <v/>
      </c>
      <c r="N1426" s="55" t="str">
        <f>IF(ISNUMBER(K1426),SUMIFS(st_min,st_date,A1426,st_eq,B1426,st_po,C1426,st_type,"Non planifié"),"")</f>
        <v/>
      </c>
      <c r="O1426" s="55" t="str">
        <f>IF(ISNUMBER(K1426),M1426-N1426,"")</f>
        <v/>
      </c>
      <c r="P1426" s="55" t="str">
        <f>IF(COUNTA(A1426:I1426)=0,"",N(G1426)+N(H1426)+N(I1426))</f>
        <v/>
      </c>
      <c r="Q1426" s="56" t="str">
        <f>IF(COUNTA(A1426:I1426)=0,"",IF(N(IFERROR(INDEX(art_rate,MATCH(E1426,art_ref,0)),0))&gt;0,N(IFERROR(INDEX(art_rate,MATCH(E1426,art_ref,0)),0)),N(IFERROR(INDEX(po_rate,MATCH(C1426,po_code,0)),0))))</f>
        <v/>
      </c>
      <c r="R1426" s="55" t="str">
        <f>IF(AC1426=1,P1426*60/Q1426,"")</f>
        <v/>
      </c>
      <c r="S1426" s="55" t="str">
        <f>IF(AC1426=1,N(G1426)*60/Q1426,"")</f>
        <v/>
      </c>
      <c r="T1426" s="57" t="str">
        <f>IF(AC1426=1,O1426/M1426,"")</f>
        <v/>
      </c>
      <c r="U1426" s="57" t="str">
        <f>IF(AC1426=1,IF(O1426&gt;0,R1426/O1426,""),"")</f>
        <v/>
      </c>
      <c r="V1426" s="57" t="str">
        <f>IF(AC1426=1,IF(P1426&gt;0,N(G1426)/P1426,""),"")</f>
        <v/>
      </c>
      <c r="W1426" s="57" t="str">
        <f>IF(AC1426=1,S1426/M1426,"")</f>
        <v/>
      </c>
      <c r="X1426" s="57" t="str">
        <f>IF(AC1426=1,S1426/K1426,"")</f>
        <v/>
      </c>
      <c r="Y1426" s="58" t="str">
        <f>IF(W1426="","",IF(W1426&gt;=p_target,"Bon",IF(W1426&gt;=p_alert,"À surveiller","Faible")))</f>
        <v/>
      </c>
      <c r="Z1426" s="58" t="str">
        <f>IF(W1426="","",IF(MIN(IF(T1426="",1,T1426),IF(U1426="",1,U1426),IF(V1426="",1,V1426))&gt;=1,"Aucune",IF(IF(T1426="",1,T1426)&lt;=MIN(IF(U1426="",1,U1426),IF(V1426="",1,V1426)),"Disponibilité",IF(IF(U1426="",1,U1426)&lt;=IF(V1426="",1,V1426),"Performance","Qualité"))))</f>
        <v/>
      </c>
      <c r="AA1426" s="59" t="str">
        <f>IF(AC1426=1,N(H1426)*N(IFERROR(INDEX(art_cost,MATCH(E1426,art_ref,0)),0)),"")</f>
        <v/>
      </c>
      <c r="AB1426" s="58" t="str">
        <f>IF(COUNTA(A1426:I1426)=0,"",IF(N(A1426)&lt;=0,"Date manquante ou invalide",IF(B1426="","Équipe manquante",IF(ISNA(MATCH(B1426,eq_code,0)),"Équipe inconnue",IF(INDEX(eq_check,MATCH(B1426,eq_code,0))&lt;&gt;"OK","Équipe à corriger dans Paramètres",IF(C1426="","Poste manquant",IF(ISNA(MATCH(C1426,po_code,0)),"Poste inconnu",IF(AND(E1426&lt;&gt;"",ISNA(MATCH(E1426,art_ref,0))),"Article inconnu",IF(IF(E1426="",FALSE,INDEX(art_check,MATCH(E1426,art_ref,0))&lt;&gt;"OK"),"Article à corriger (feuille Articles)",IF(COUNTIFS(sj_date,A1426,sj_eq,B1426,sj_po,C1426)&gt;1,"Ligne en double (même jour, équipe et poste)",IF(OR(NOT(ISNUMBER(K1426)),N(K1426)&lt;=0,N(K1426)&gt;1440),"Temps d'ouverture invalide",IF(OR(AND(G1426&lt;&gt;"",NOT(ISNUMBER(G1426))),N(G1426)&lt;0,N(G1426)&lt;&gt;INT(N(G1426)),AND(H1426&lt;&gt;"",NOT(ISNUMBER(H1426))),N(H1426)&lt;0,N(H1426)&lt;&gt;INT(N(H1426)),AND(I1426&lt;&gt;"",NOT(ISNUMBER(I1426))),N(I1426)&lt;0,N(I1426)&lt;&gt;INT(N(I1426))),"Quantité invalide",IF(Q1426&lt;=0,"Cadence manquante (poste ou article)",IF(M1426&lt;=0,"Arrêts planifiés supérieurs au temps d'ouverture",IF(O1426&lt;0,"Arrêts supérieurs au temps requis",IF(AND(P1426&gt;0,O1426=0),"Pièces déclarées sans temps de marche",IF(AND(P1426=0,O1426&gt;0),"Aucune pièce déclarée",IF(P1426*60/Q1426&gt;O1426+0.001,"Cadence dépassée : vérifiez la cadence","OK"))))))))))))))))))</f>
        <v/>
      </c>
      <c r="AC1426">
        <f>IF(OR(AB1426="OK",AB1426="Aucune pièce déclarée",AB1426="Cadence dépassée : vérifiez la cadence"),1,0)</f>
        <v>0.0</v>
      </c>
      <c r="AD1426">
        <f>IF(AND(AC1426=1,A1426&gt;=p_from,A1426&lt;=p_to),1,0)</f>
        <v>0.0</v>
      </c>
      <c r="AE1426">
        <f>IF(AD1426=1,IF(COUNTIFS($A$6:A1426,A1426,$AD$6:AD1426,1)=1,1,0),0)</f>
        <v>0.0</v>
      </c>
      <c r="AF1426" t="str">
        <f>IF(AE1426=1,COUNTIFS(sj_first,1,sj_date,"&lt;"&amp;A1426)+1,"")</f>
        <v/>
      </c>
      <c r="AG1426" t="str">
        <f>IF(AND(AD1426=1,N(W1426)&lt;p_alert),ROUND(W1426,4),"")</f>
        <v/>
      </c>
      <c r="AH1426" t="str">
        <f>IF(AG1426="","",COUNTIF(sj_akey,"&lt;"&amp;AG1426)+COUNTIF($AG$6:AG1426,AG1426))</f>
        <v/>
      </c>
    </row>
    <row r="1427">
      <c r="A1427" s="51" t="n"/>
      <c r="B1427" s="52" t="n"/>
      <c r="C1427" s="52" t="n"/>
      <c r="D1427" s="53" t="n"/>
      <c r="E1427" s="53" t="n"/>
      <c r="F1427" s="54" t="n"/>
      <c r="G1427" s="54" t="n"/>
      <c r="H1427" s="54" t="n"/>
      <c r="I1427" s="54" t="n"/>
      <c r="J1427" s="53" t="n"/>
      <c r="K1427" s="55" t="str">
        <f>IF(COUNTA(A1427:I1427)=0,"",IF(F1427="",IFERROR(INDEX(eq_dur,MATCH(B1427,eq_code,0)),""),F1427))</f>
        <v/>
      </c>
      <c r="L1427" s="55" t="str">
        <f>IF(ISNUMBER(K1427),N(IFERROR(INDEX(eq_pause,MATCH(B1427,eq_code,0)),0))+SUMIFS(st_min,st_date,A1427,st_eq,B1427,st_po,C1427,st_type,"Planifié"),"")</f>
        <v/>
      </c>
      <c r="M1427" s="55" t="str">
        <f>IF(ISNUMBER(K1427),K1427-L1427,"")</f>
        <v/>
      </c>
      <c r="N1427" s="55" t="str">
        <f>IF(ISNUMBER(K1427),SUMIFS(st_min,st_date,A1427,st_eq,B1427,st_po,C1427,st_type,"Non planifié"),"")</f>
        <v/>
      </c>
      <c r="O1427" s="55" t="str">
        <f>IF(ISNUMBER(K1427),M1427-N1427,"")</f>
        <v/>
      </c>
      <c r="P1427" s="55" t="str">
        <f>IF(COUNTA(A1427:I1427)=0,"",N(G1427)+N(H1427)+N(I1427))</f>
        <v/>
      </c>
      <c r="Q1427" s="56" t="str">
        <f>IF(COUNTA(A1427:I1427)=0,"",IF(N(IFERROR(INDEX(art_rate,MATCH(E1427,art_ref,0)),0))&gt;0,N(IFERROR(INDEX(art_rate,MATCH(E1427,art_ref,0)),0)),N(IFERROR(INDEX(po_rate,MATCH(C1427,po_code,0)),0))))</f>
        <v/>
      </c>
      <c r="R1427" s="55" t="str">
        <f>IF(AC1427=1,P1427*60/Q1427,"")</f>
        <v/>
      </c>
      <c r="S1427" s="55" t="str">
        <f>IF(AC1427=1,N(G1427)*60/Q1427,"")</f>
        <v/>
      </c>
      <c r="T1427" s="57" t="str">
        <f>IF(AC1427=1,O1427/M1427,"")</f>
        <v/>
      </c>
      <c r="U1427" s="57" t="str">
        <f>IF(AC1427=1,IF(O1427&gt;0,R1427/O1427,""),"")</f>
        <v/>
      </c>
      <c r="V1427" s="57" t="str">
        <f>IF(AC1427=1,IF(P1427&gt;0,N(G1427)/P1427,""),"")</f>
        <v/>
      </c>
      <c r="W1427" s="57" t="str">
        <f>IF(AC1427=1,S1427/M1427,"")</f>
        <v/>
      </c>
      <c r="X1427" s="57" t="str">
        <f>IF(AC1427=1,S1427/K1427,"")</f>
        <v/>
      </c>
      <c r="Y1427" s="58" t="str">
        <f>IF(W1427="","",IF(W1427&gt;=p_target,"Bon",IF(W1427&gt;=p_alert,"À surveiller","Faible")))</f>
        <v/>
      </c>
      <c r="Z1427" s="58" t="str">
        <f>IF(W1427="","",IF(MIN(IF(T1427="",1,T1427),IF(U1427="",1,U1427),IF(V1427="",1,V1427))&gt;=1,"Aucune",IF(IF(T1427="",1,T1427)&lt;=MIN(IF(U1427="",1,U1427),IF(V1427="",1,V1427)),"Disponibilité",IF(IF(U1427="",1,U1427)&lt;=IF(V1427="",1,V1427),"Performance","Qualité"))))</f>
        <v/>
      </c>
      <c r="AA1427" s="59" t="str">
        <f>IF(AC1427=1,N(H1427)*N(IFERROR(INDEX(art_cost,MATCH(E1427,art_ref,0)),0)),"")</f>
        <v/>
      </c>
      <c r="AB1427" s="58" t="str">
        <f>IF(COUNTA(A1427:I1427)=0,"",IF(N(A1427)&lt;=0,"Date manquante ou invalide",IF(B1427="","Équipe manquante",IF(ISNA(MATCH(B1427,eq_code,0)),"Équipe inconnue",IF(INDEX(eq_check,MATCH(B1427,eq_code,0))&lt;&gt;"OK","Équipe à corriger dans Paramètres",IF(C1427="","Poste manquant",IF(ISNA(MATCH(C1427,po_code,0)),"Poste inconnu",IF(AND(E1427&lt;&gt;"",ISNA(MATCH(E1427,art_ref,0))),"Article inconnu",IF(IF(E1427="",FALSE,INDEX(art_check,MATCH(E1427,art_ref,0))&lt;&gt;"OK"),"Article à corriger (feuille Articles)",IF(COUNTIFS(sj_date,A1427,sj_eq,B1427,sj_po,C1427)&gt;1,"Ligne en double (même jour, équipe et poste)",IF(OR(NOT(ISNUMBER(K1427)),N(K1427)&lt;=0,N(K1427)&gt;1440),"Temps d'ouverture invalide",IF(OR(AND(G1427&lt;&gt;"",NOT(ISNUMBER(G1427))),N(G1427)&lt;0,N(G1427)&lt;&gt;INT(N(G1427)),AND(H1427&lt;&gt;"",NOT(ISNUMBER(H1427))),N(H1427)&lt;0,N(H1427)&lt;&gt;INT(N(H1427)),AND(I1427&lt;&gt;"",NOT(ISNUMBER(I1427))),N(I1427)&lt;0,N(I1427)&lt;&gt;INT(N(I1427))),"Quantité invalide",IF(Q1427&lt;=0,"Cadence manquante (poste ou article)",IF(M1427&lt;=0,"Arrêts planifiés supérieurs au temps d'ouverture",IF(O1427&lt;0,"Arrêts supérieurs au temps requis",IF(AND(P1427&gt;0,O1427=0),"Pièces déclarées sans temps de marche",IF(AND(P1427=0,O1427&gt;0),"Aucune pièce déclarée",IF(P1427*60/Q1427&gt;O1427+0.001,"Cadence dépassée : vérifiez la cadence","OK"))))))))))))))))))</f>
        <v/>
      </c>
      <c r="AC1427">
        <f>IF(OR(AB1427="OK",AB1427="Aucune pièce déclarée",AB1427="Cadence dépassée : vérifiez la cadence"),1,0)</f>
        <v>0.0</v>
      </c>
      <c r="AD1427">
        <f>IF(AND(AC1427=1,A1427&gt;=p_from,A1427&lt;=p_to),1,0)</f>
        <v>0.0</v>
      </c>
      <c r="AE1427">
        <f>IF(AD1427=1,IF(COUNTIFS($A$6:A1427,A1427,$AD$6:AD1427,1)=1,1,0),0)</f>
        <v>0.0</v>
      </c>
      <c r="AF1427" t="str">
        <f>IF(AE1427=1,COUNTIFS(sj_first,1,sj_date,"&lt;"&amp;A1427)+1,"")</f>
        <v/>
      </c>
      <c r="AG1427" t="str">
        <f>IF(AND(AD1427=1,N(W1427)&lt;p_alert),ROUND(W1427,4),"")</f>
        <v/>
      </c>
      <c r="AH1427" t="str">
        <f>IF(AG1427="","",COUNTIF(sj_akey,"&lt;"&amp;AG1427)+COUNTIF($AG$6:AG1427,AG1427))</f>
        <v/>
      </c>
    </row>
    <row r="1428">
      <c r="A1428" s="51" t="n"/>
      <c r="B1428" s="52" t="n"/>
      <c r="C1428" s="52" t="n"/>
      <c r="D1428" s="53" t="n"/>
      <c r="E1428" s="53" t="n"/>
      <c r="F1428" s="54" t="n"/>
      <c r="G1428" s="54" t="n"/>
      <c r="H1428" s="54" t="n"/>
      <c r="I1428" s="54" t="n"/>
      <c r="J1428" s="53" t="n"/>
      <c r="K1428" s="55" t="str">
        <f>IF(COUNTA(A1428:I1428)=0,"",IF(F1428="",IFERROR(INDEX(eq_dur,MATCH(B1428,eq_code,0)),""),F1428))</f>
        <v/>
      </c>
      <c r="L1428" s="55" t="str">
        <f>IF(ISNUMBER(K1428),N(IFERROR(INDEX(eq_pause,MATCH(B1428,eq_code,0)),0))+SUMIFS(st_min,st_date,A1428,st_eq,B1428,st_po,C1428,st_type,"Planifié"),"")</f>
        <v/>
      </c>
      <c r="M1428" s="55" t="str">
        <f>IF(ISNUMBER(K1428),K1428-L1428,"")</f>
        <v/>
      </c>
      <c r="N1428" s="55" t="str">
        <f>IF(ISNUMBER(K1428),SUMIFS(st_min,st_date,A1428,st_eq,B1428,st_po,C1428,st_type,"Non planifié"),"")</f>
        <v/>
      </c>
      <c r="O1428" s="55" t="str">
        <f>IF(ISNUMBER(K1428),M1428-N1428,"")</f>
        <v/>
      </c>
      <c r="P1428" s="55" t="str">
        <f>IF(COUNTA(A1428:I1428)=0,"",N(G1428)+N(H1428)+N(I1428))</f>
        <v/>
      </c>
      <c r="Q1428" s="56" t="str">
        <f>IF(COUNTA(A1428:I1428)=0,"",IF(N(IFERROR(INDEX(art_rate,MATCH(E1428,art_ref,0)),0))&gt;0,N(IFERROR(INDEX(art_rate,MATCH(E1428,art_ref,0)),0)),N(IFERROR(INDEX(po_rate,MATCH(C1428,po_code,0)),0))))</f>
        <v/>
      </c>
      <c r="R1428" s="55" t="str">
        <f>IF(AC1428=1,P1428*60/Q1428,"")</f>
        <v/>
      </c>
      <c r="S1428" s="55" t="str">
        <f>IF(AC1428=1,N(G1428)*60/Q1428,"")</f>
        <v/>
      </c>
      <c r="T1428" s="57" t="str">
        <f>IF(AC1428=1,O1428/M1428,"")</f>
        <v/>
      </c>
      <c r="U1428" s="57" t="str">
        <f>IF(AC1428=1,IF(O1428&gt;0,R1428/O1428,""),"")</f>
        <v/>
      </c>
      <c r="V1428" s="57" t="str">
        <f>IF(AC1428=1,IF(P1428&gt;0,N(G1428)/P1428,""),"")</f>
        <v/>
      </c>
      <c r="W1428" s="57" t="str">
        <f>IF(AC1428=1,S1428/M1428,"")</f>
        <v/>
      </c>
      <c r="X1428" s="57" t="str">
        <f>IF(AC1428=1,S1428/K1428,"")</f>
        <v/>
      </c>
      <c r="Y1428" s="58" t="str">
        <f>IF(W1428="","",IF(W1428&gt;=p_target,"Bon",IF(W1428&gt;=p_alert,"À surveiller","Faible")))</f>
        <v/>
      </c>
      <c r="Z1428" s="58" t="str">
        <f>IF(W1428="","",IF(MIN(IF(T1428="",1,T1428),IF(U1428="",1,U1428),IF(V1428="",1,V1428))&gt;=1,"Aucune",IF(IF(T1428="",1,T1428)&lt;=MIN(IF(U1428="",1,U1428),IF(V1428="",1,V1428)),"Disponibilité",IF(IF(U1428="",1,U1428)&lt;=IF(V1428="",1,V1428),"Performance","Qualité"))))</f>
        <v/>
      </c>
      <c r="AA1428" s="59" t="str">
        <f>IF(AC1428=1,N(H1428)*N(IFERROR(INDEX(art_cost,MATCH(E1428,art_ref,0)),0)),"")</f>
        <v/>
      </c>
      <c r="AB1428" s="58" t="str">
        <f>IF(COUNTA(A1428:I1428)=0,"",IF(N(A1428)&lt;=0,"Date manquante ou invalide",IF(B1428="","Équipe manquante",IF(ISNA(MATCH(B1428,eq_code,0)),"Équipe inconnue",IF(INDEX(eq_check,MATCH(B1428,eq_code,0))&lt;&gt;"OK","Équipe à corriger dans Paramètres",IF(C1428="","Poste manquant",IF(ISNA(MATCH(C1428,po_code,0)),"Poste inconnu",IF(AND(E1428&lt;&gt;"",ISNA(MATCH(E1428,art_ref,0))),"Article inconnu",IF(IF(E1428="",FALSE,INDEX(art_check,MATCH(E1428,art_ref,0))&lt;&gt;"OK"),"Article à corriger (feuille Articles)",IF(COUNTIFS(sj_date,A1428,sj_eq,B1428,sj_po,C1428)&gt;1,"Ligne en double (même jour, équipe et poste)",IF(OR(NOT(ISNUMBER(K1428)),N(K1428)&lt;=0,N(K1428)&gt;1440),"Temps d'ouverture invalide",IF(OR(AND(G1428&lt;&gt;"",NOT(ISNUMBER(G1428))),N(G1428)&lt;0,N(G1428)&lt;&gt;INT(N(G1428)),AND(H1428&lt;&gt;"",NOT(ISNUMBER(H1428))),N(H1428)&lt;0,N(H1428)&lt;&gt;INT(N(H1428)),AND(I1428&lt;&gt;"",NOT(ISNUMBER(I1428))),N(I1428)&lt;0,N(I1428)&lt;&gt;INT(N(I1428))),"Quantité invalide",IF(Q1428&lt;=0,"Cadence manquante (poste ou article)",IF(M1428&lt;=0,"Arrêts planifiés supérieurs au temps d'ouverture",IF(O1428&lt;0,"Arrêts supérieurs au temps requis",IF(AND(P1428&gt;0,O1428=0),"Pièces déclarées sans temps de marche",IF(AND(P1428=0,O1428&gt;0),"Aucune pièce déclarée",IF(P1428*60/Q1428&gt;O1428+0.001,"Cadence dépassée : vérifiez la cadence","OK"))))))))))))))))))</f>
        <v/>
      </c>
      <c r="AC1428">
        <f>IF(OR(AB1428="OK",AB1428="Aucune pièce déclarée",AB1428="Cadence dépassée : vérifiez la cadence"),1,0)</f>
        <v>0.0</v>
      </c>
      <c r="AD1428">
        <f>IF(AND(AC1428=1,A1428&gt;=p_from,A1428&lt;=p_to),1,0)</f>
        <v>0.0</v>
      </c>
      <c r="AE1428">
        <f>IF(AD1428=1,IF(COUNTIFS($A$6:A1428,A1428,$AD$6:AD1428,1)=1,1,0),0)</f>
        <v>0.0</v>
      </c>
      <c r="AF1428" t="str">
        <f>IF(AE1428=1,COUNTIFS(sj_first,1,sj_date,"&lt;"&amp;A1428)+1,"")</f>
        <v/>
      </c>
      <c r="AG1428" t="str">
        <f>IF(AND(AD1428=1,N(W1428)&lt;p_alert),ROUND(W1428,4),"")</f>
        <v/>
      </c>
      <c r="AH1428" t="str">
        <f>IF(AG1428="","",COUNTIF(sj_akey,"&lt;"&amp;AG1428)+COUNTIF($AG$6:AG1428,AG1428))</f>
        <v/>
      </c>
    </row>
    <row r="1429">
      <c r="A1429" s="51" t="n"/>
      <c r="B1429" s="52" t="n"/>
      <c r="C1429" s="52" t="n"/>
      <c r="D1429" s="53" t="n"/>
      <c r="E1429" s="53" t="n"/>
      <c r="F1429" s="54" t="n"/>
      <c r="G1429" s="54" t="n"/>
      <c r="H1429" s="54" t="n"/>
      <c r="I1429" s="54" t="n"/>
      <c r="J1429" s="53" t="n"/>
      <c r="K1429" s="55" t="str">
        <f>IF(COUNTA(A1429:I1429)=0,"",IF(F1429="",IFERROR(INDEX(eq_dur,MATCH(B1429,eq_code,0)),""),F1429))</f>
        <v/>
      </c>
      <c r="L1429" s="55" t="str">
        <f>IF(ISNUMBER(K1429),N(IFERROR(INDEX(eq_pause,MATCH(B1429,eq_code,0)),0))+SUMIFS(st_min,st_date,A1429,st_eq,B1429,st_po,C1429,st_type,"Planifié"),"")</f>
        <v/>
      </c>
      <c r="M1429" s="55" t="str">
        <f>IF(ISNUMBER(K1429),K1429-L1429,"")</f>
        <v/>
      </c>
      <c r="N1429" s="55" t="str">
        <f>IF(ISNUMBER(K1429),SUMIFS(st_min,st_date,A1429,st_eq,B1429,st_po,C1429,st_type,"Non planifié"),"")</f>
        <v/>
      </c>
      <c r="O1429" s="55" t="str">
        <f>IF(ISNUMBER(K1429),M1429-N1429,"")</f>
        <v/>
      </c>
      <c r="P1429" s="55" t="str">
        <f>IF(COUNTA(A1429:I1429)=0,"",N(G1429)+N(H1429)+N(I1429))</f>
        <v/>
      </c>
      <c r="Q1429" s="56" t="str">
        <f>IF(COUNTA(A1429:I1429)=0,"",IF(N(IFERROR(INDEX(art_rate,MATCH(E1429,art_ref,0)),0))&gt;0,N(IFERROR(INDEX(art_rate,MATCH(E1429,art_ref,0)),0)),N(IFERROR(INDEX(po_rate,MATCH(C1429,po_code,0)),0))))</f>
        <v/>
      </c>
      <c r="R1429" s="55" t="str">
        <f>IF(AC1429=1,P1429*60/Q1429,"")</f>
        <v/>
      </c>
      <c r="S1429" s="55" t="str">
        <f>IF(AC1429=1,N(G1429)*60/Q1429,"")</f>
        <v/>
      </c>
      <c r="T1429" s="57" t="str">
        <f>IF(AC1429=1,O1429/M1429,"")</f>
        <v/>
      </c>
      <c r="U1429" s="57" t="str">
        <f>IF(AC1429=1,IF(O1429&gt;0,R1429/O1429,""),"")</f>
        <v/>
      </c>
      <c r="V1429" s="57" t="str">
        <f>IF(AC1429=1,IF(P1429&gt;0,N(G1429)/P1429,""),"")</f>
        <v/>
      </c>
      <c r="W1429" s="57" t="str">
        <f>IF(AC1429=1,S1429/M1429,"")</f>
        <v/>
      </c>
      <c r="X1429" s="57" t="str">
        <f>IF(AC1429=1,S1429/K1429,"")</f>
        <v/>
      </c>
      <c r="Y1429" s="58" t="str">
        <f>IF(W1429="","",IF(W1429&gt;=p_target,"Bon",IF(W1429&gt;=p_alert,"À surveiller","Faible")))</f>
        <v/>
      </c>
      <c r="Z1429" s="58" t="str">
        <f>IF(W1429="","",IF(MIN(IF(T1429="",1,T1429),IF(U1429="",1,U1429),IF(V1429="",1,V1429))&gt;=1,"Aucune",IF(IF(T1429="",1,T1429)&lt;=MIN(IF(U1429="",1,U1429),IF(V1429="",1,V1429)),"Disponibilité",IF(IF(U1429="",1,U1429)&lt;=IF(V1429="",1,V1429),"Performance","Qualité"))))</f>
        <v/>
      </c>
      <c r="AA1429" s="59" t="str">
        <f>IF(AC1429=1,N(H1429)*N(IFERROR(INDEX(art_cost,MATCH(E1429,art_ref,0)),0)),"")</f>
        <v/>
      </c>
      <c r="AB1429" s="58" t="str">
        <f>IF(COUNTA(A1429:I1429)=0,"",IF(N(A1429)&lt;=0,"Date manquante ou invalide",IF(B1429="","Équipe manquante",IF(ISNA(MATCH(B1429,eq_code,0)),"Équipe inconnue",IF(INDEX(eq_check,MATCH(B1429,eq_code,0))&lt;&gt;"OK","Équipe à corriger dans Paramètres",IF(C1429="","Poste manquant",IF(ISNA(MATCH(C1429,po_code,0)),"Poste inconnu",IF(AND(E1429&lt;&gt;"",ISNA(MATCH(E1429,art_ref,0))),"Article inconnu",IF(IF(E1429="",FALSE,INDEX(art_check,MATCH(E1429,art_ref,0))&lt;&gt;"OK"),"Article à corriger (feuille Articles)",IF(COUNTIFS(sj_date,A1429,sj_eq,B1429,sj_po,C1429)&gt;1,"Ligne en double (même jour, équipe et poste)",IF(OR(NOT(ISNUMBER(K1429)),N(K1429)&lt;=0,N(K1429)&gt;1440),"Temps d'ouverture invalide",IF(OR(AND(G1429&lt;&gt;"",NOT(ISNUMBER(G1429))),N(G1429)&lt;0,N(G1429)&lt;&gt;INT(N(G1429)),AND(H1429&lt;&gt;"",NOT(ISNUMBER(H1429))),N(H1429)&lt;0,N(H1429)&lt;&gt;INT(N(H1429)),AND(I1429&lt;&gt;"",NOT(ISNUMBER(I1429))),N(I1429)&lt;0,N(I1429)&lt;&gt;INT(N(I1429))),"Quantité invalide",IF(Q1429&lt;=0,"Cadence manquante (poste ou article)",IF(M1429&lt;=0,"Arrêts planifiés supérieurs au temps d'ouverture",IF(O1429&lt;0,"Arrêts supérieurs au temps requis",IF(AND(P1429&gt;0,O1429=0),"Pièces déclarées sans temps de marche",IF(AND(P1429=0,O1429&gt;0),"Aucune pièce déclarée",IF(P1429*60/Q1429&gt;O1429+0.001,"Cadence dépassée : vérifiez la cadence","OK"))))))))))))))))))</f>
        <v/>
      </c>
      <c r="AC1429">
        <f>IF(OR(AB1429="OK",AB1429="Aucune pièce déclarée",AB1429="Cadence dépassée : vérifiez la cadence"),1,0)</f>
        <v>0.0</v>
      </c>
      <c r="AD1429">
        <f>IF(AND(AC1429=1,A1429&gt;=p_from,A1429&lt;=p_to),1,0)</f>
        <v>0.0</v>
      </c>
      <c r="AE1429">
        <f>IF(AD1429=1,IF(COUNTIFS($A$6:A1429,A1429,$AD$6:AD1429,1)=1,1,0),0)</f>
        <v>0.0</v>
      </c>
      <c r="AF1429" t="str">
        <f>IF(AE1429=1,COUNTIFS(sj_first,1,sj_date,"&lt;"&amp;A1429)+1,"")</f>
        <v/>
      </c>
      <c r="AG1429" t="str">
        <f>IF(AND(AD1429=1,N(W1429)&lt;p_alert),ROUND(W1429,4),"")</f>
        <v/>
      </c>
      <c r="AH1429" t="str">
        <f>IF(AG1429="","",COUNTIF(sj_akey,"&lt;"&amp;AG1429)+COUNTIF($AG$6:AG1429,AG1429))</f>
        <v/>
      </c>
    </row>
    <row r="1430">
      <c r="A1430" s="51" t="n"/>
      <c r="B1430" s="52" t="n"/>
      <c r="C1430" s="52" t="n"/>
      <c r="D1430" s="53" t="n"/>
      <c r="E1430" s="53" t="n"/>
      <c r="F1430" s="54" t="n"/>
      <c r="G1430" s="54" t="n"/>
      <c r="H1430" s="54" t="n"/>
      <c r="I1430" s="54" t="n"/>
      <c r="J1430" s="53" t="n"/>
      <c r="K1430" s="55" t="str">
        <f>IF(COUNTA(A1430:I1430)=0,"",IF(F1430="",IFERROR(INDEX(eq_dur,MATCH(B1430,eq_code,0)),""),F1430))</f>
        <v/>
      </c>
      <c r="L1430" s="55" t="str">
        <f>IF(ISNUMBER(K1430),N(IFERROR(INDEX(eq_pause,MATCH(B1430,eq_code,0)),0))+SUMIFS(st_min,st_date,A1430,st_eq,B1430,st_po,C1430,st_type,"Planifié"),"")</f>
        <v/>
      </c>
      <c r="M1430" s="55" t="str">
        <f>IF(ISNUMBER(K1430),K1430-L1430,"")</f>
        <v/>
      </c>
      <c r="N1430" s="55" t="str">
        <f>IF(ISNUMBER(K1430),SUMIFS(st_min,st_date,A1430,st_eq,B1430,st_po,C1430,st_type,"Non planifié"),"")</f>
        <v/>
      </c>
      <c r="O1430" s="55" t="str">
        <f>IF(ISNUMBER(K1430),M1430-N1430,"")</f>
        <v/>
      </c>
      <c r="P1430" s="55" t="str">
        <f>IF(COUNTA(A1430:I1430)=0,"",N(G1430)+N(H1430)+N(I1430))</f>
        <v/>
      </c>
      <c r="Q1430" s="56" t="str">
        <f>IF(COUNTA(A1430:I1430)=0,"",IF(N(IFERROR(INDEX(art_rate,MATCH(E1430,art_ref,0)),0))&gt;0,N(IFERROR(INDEX(art_rate,MATCH(E1430,art_ref,0)),0)),N(IFERROR(INDEX(po_rate,MATCH(C1430,po_code,0)),0))))</f>
        <v/>
      </c>
      <c r="R1430" s="55" t="str">
        <f>IF(AC1430=1,P1430*60/Q1430,"")</f>
        <v/>
      </c>
      <c r="S1430" s="55" t="str">
        <f>IF(AC1430=1,N(G1430)*60/Q1430,"")</f>
        <v/>
      </c>
      <c r="T1430" s="57" t="str">
        <f>IF(AC1430=1,O1430/M1430,"")</f>
        <v/>
      </c>
      <c r="U1430" s="57" t="str">
        <f>IF(AC1430=1,IF(O1430&gt;0,R1430/O1430,""),"")</f>
        <v/>
      </c>
      <c r="V1430" s="57" t="str">
        <f>IF(AC1430=1,IF(P1430&gt;0,N(G1430)/P1430,""),"")</f>
        <v/>
      </c>
      <c r="W1430" s="57" t="str">
        <f>IF(AC1430=1,S1430/M1430,"")</f>
        <v/>
      </c>
      <c r="X1430" s="57" t="str">
        <f>IF(AC1430=1,S1430/K1430,"")</f>
        <v/>
      </c>
      <c r="Y1430" s="58" t="str">
        <f>IF(W1430="","",IF(W1430&gt;=p_target,"Bon",IF(W1430&gt;=p_alert,"À surveiller","Faible")))</f>
        <v/>
      </c>
      <c r="Z1430" s="58" t="str">
        <f>IF(W1430="","",IF(MIN(IF(T1430="",1,T1430),IF(U1430="",1,U1430),IF(V1430="",1,V1430))&gt;=1,"Aucune",IF(IF(T1430="",1,T1430)&lt;=MIN(IF(U1430="",1,U1430),IF(V1430="",1,V1430)),"Disponibilité",IF(IF(U1430="",1,U1430)&lt;=IF(V1430="",1,V1430),"Performance","Qualité"))))</f>
        <v/>
      </c>
      <c r="AA1430" s="59" t="str">
        <f>IF(AC1430=1,N(H1430)*N(IFERROR(INDEX(art_cost,MATCH(E1430,art_ref,0)),0)),"")</f>
        <v/>
      </c>
      <c r="AB1430" s="58" t="str">
        <f>IF(COUNTA(A1430:I1430)=0,"",IF(N(A1430)&lt;=0,"Date manquante ou invalide",IF(B1430="","Équipe manquante",IF(ISNA(MATCH(B1430,eq_code,0)),"Équipe inconnue",IF(INDEX(eq_check,MATCH(B1430,eq_code,0))&lt;&gt;"OK","Équipe à corriger dans Paramètres",IF(C1430="","Poste manquant",IF(ISNA(MATCH(C1430,po_code,0)),"Poste inconnu",IF(AND(E1430&lt;&gt;"",ISNA(MATCH(E1430,art_ref,0))),"Article inconnu",IF(IF(E1430="",FALSE,INDEX(art_check,MATCH(E1430,art_ref,0))&lt;&gt;"OK"),"Article à corriger (feuille Articles)",IF(COUNTIFS(sj_date,A1430,sj_eq,B1430,sj_po,C1430)&gt;1,"Ligne en double (même jour, équipe et poste)",IF(OR(NOT(ISNUMBER(K1430)),N(K1430)&lt;=0,N(K1430)&gt;1440),"Temps d'ouverture invalide",IF(OR(AND(G1430&lt;&gt;"",NOT(ISNUMBER(G1430))),N(G1430)&lt;0,N(G1430)&lt;&gt;INT(N(G1430)),AND(H1430&lt;&gt;"",NOT(ISNUMBER(H1430))),N(H1430)&lt;0,N(H1430)&lt;&gt;INT(N(H1430)),AND(I1430&lt;&gt;"",NOT(ISNUMBER(I1430))),N(I1430)&lt;0,N(I1430)&lt;&gt;INT(N(I1430))),"Quantité invalide",IF(Q1430&lt;=0,"Cadence manquante (poste ou article)",IF(M1430&lt;=0,"Arrêts planifiés supérieurs au temps d'ouverture",IF(O1430&lt;0,"Arrêts supérieurs au temps requis",IF(AND(P1430&gt;0,O1430=0),"Pièces déclarées sans temps de marche",IF(AND(P1430=0,O1430&gt;0),"Aucune pièce déclarée",IF(P1430*60/Q1430&gt;O1430+0.001,"Cadence dépassée : vérifiez la cadence","OK"))))))))))))))))))</f>
        <v/>
      </c>
      <c r="AC1430">
        <f>IF(OR(AB1430="OK",AB1430="Aucune pièce déclarée",AB1430="Cadence dépassée : vérifiez la cadence"),1,0)</f>
        <v>0.0</v>
      </c>
      <c r="AD1430">
        <f>IF(AND(AC1430=1,A1430&gt;=p_from,A1430&lt;=p_to),1,0)</f>
        <v>0.0</v>
      </c>
      <c r="AE1430">
        <f>IF(AD1430=1,IF(COUNTIFS($A$6:A1430,A1430,$AD$6:AD1430,1)=1,1,0),0)</f>
        <v>0.0</v>
      </c>
      <c r="AF1430" t="str">
        <f>IF(AE1430=1,COUNTIFS(sj_first,1,sj_date,"&lt;"&amp;A1430)+1,"")</f>
        <v/>
      </c>
      <c r="AG1430" t="str">
        <f>IF(AND(AD1430=1,N(W1430)&lt;p_alert),ROUND(W1430,4),"")</f>
        <v/>
      </c>
      <c r="AH1430" t="str">
        <f>IF(AG1430="","",COUNTIF(sj_akey,"&lt;"&amp;AG1430)+COUNTIF($AG$6:AG1430,AG1430))</f>
        <v/>
      </c>
    </row>
    <row r="1431">
      <c r="A1431" s="51" t="n"/>
      <c r="B1431" s="52" t="n"/>
      <c r="C1431" s="52" t="n"/>
      <c r="D1431" s="53" t="n"/>
      <c r="E1431" s="53" t="n"/>
      <c r="F1431" s="54" t="n"/>
      <c r="G1431" s="54" t="n"/>
      <c r="H1431" s="54" t="n"/>
      <c r="I1431" s="54" t="n"/>
      <c r="J1431" s="53" t="n"/>
      <c r="K1431" s="55" t="str">
        <f>IF(COUNTA(A1431:I1431)=0,"",IF(F1431="",IFERROR(INDEX(eq_dur,MATCH(B1431,eq_code,0)),""),F1431))</f>
        <v/>
      </c>
      <c r="L1431" s="55" t="str">
        <f>IF(ISNUMBER(K1431),N(IFERROR(INDEX(eq_pause,MATCH(B1431,eq_code,0)),0))+SUMIFS(st_min,st_date,A1431,st_eq,B1431,st_po,C1431,st_type,"Planifié"),"")</f>
        <v/>
      </c>
      <c r="M1431" s="55" t="str">
        <f>IF(ISNUMBER(K1431),K1431-L1431,"")</f>
        <v/>
      </c>
      <c r="N1431" s="55" t="str">
        <f>IF(ISNUMBER(K1431),SUMIFS(st_min,st_date,A1431,st_eq,B1431,st_po,C1431,st_type,"Non planifié"),"")</f>
        <v/>
      </c>
      <c r="O1431" s="55" t="str">
        <f>IF(ISNUMBER(K1431),M1431-N1431,"")</f>
        <v/>
      </c>
      <c r="P1431" s="55" t="str">
        <f>IF(COUNTA(A1431:I1431)=0,"",N(G1431)+N(H1431)+N(I1431))</f>
        <v/>
      </c>
      <c r="Q1431" s="56" t="str">
        <f>IF(COUNTA(A1431:I1431)=0,"",IF(N(IFERROR(INDEX(art_rate,MATCH(E1431,art_ref,0)),0))&gt;0,N(IFERROR(INDEX(art_rate,MATCH(E1431,art_ref,0)),0)),N(IFERROR(INDEX(po_rate,MATCH(C1431,po_code,0)),0))))</f>
        <v/>
      </c>
      <c r="R1431" s="55" t="str">
        <f>IF(AC1431=1,P1431*60/Q1431,"")</f>
        <v/>
      </c>
      <c r="S1431" s="55" t="str">
        <f>IF(AC1431=1,N(G1431)*60/Q1431,"")</f>
        <v/>
      </c>
      <c r="T1431" s="57" t="str">
        <f>IF(AC1431=1,O1431/M1431,"")</f>
        <v/>
      </c>
      <c r="U1431" s="57" t="str">
        <f>IF(AC1431=1,IF(O1431&gt;0,R1431/O1431,""),"")</f>
        <v/>
      </c>
      <c r="V1431" s="57" t="str">
        <f>IF(AC1431=1,IF(P1431&gt;0,N(G1431)/P1431,""),"")</f>
        <v/>
      </c>
      <c r="W1431" s="57" t="str">
        <f>IF(AC1431=1,S1431/M1431,"")</f>
        <v/>
      </c>
      <c r="X1431" s="57" t="str">
        <f>IF(AC1431=1,S1431/K1431,"")</f>
        <v/>
      </c>
      <c r="Y1431" s="58" t="str">
        <f>IF(W1431="","",IF(W1431&gt;=p_target,"Bon",IF(W1431&gt;=p_alert,"À surveiller","Faible")))</f>
        <v/>
      </c>
      <c r="Z1431" s="58" t="str">
        <f>IF(W1431="","",IF(MIN(IF(T1431="",1,T1431),IF(U1431="",1,U1431),IF(V1431="",1,V1431))&gt;=1,"Aucune",IF(IF(T1431="",1,T1431)&lt;=MIN(IF(U1431="",1,U1431),IF(V1431="",1,V1431)),"Disponibilité",IF(IF(U1431="",1,U1431)&lt;=IF(V1431="",1,V1431),"Performance","Qualité"))))</f>
        <v/>
      </c>
      <c r="AA1431" s="59" t="str">
        <f>IF(AC1431=1,N(H1431)*N(IFERROR(INDEX(art_cost,MATCH(E1431,art_ref,0)),0)),"")</f>
        <v/>
      </c>
      <c r="AB1431" s="58" t="str">
        <f>IF(COUNTA(A1431:I1431)=0,"",IF(N(A1431)&lt;=0,"Date manquante ou invalide",IF(B1431="","Équipe manquante",IF(ISNA(MATCH(B1431,eq_code,0)),"Équipe inconnue",IF(INDEX(eq_check,MATCH(B1431,eq_code,0))&lt;&gt;"OK","Équipe à corriger dans Paramètres",IF(C1431="","Poste manquant",IF(ISNA(MATCH(C1431,po_code,0)),"Poste inconnu",IF(AND(E1431&lt;&gt;"",ISNA(MATCH(E1431,art_ref,0))),"Article inconnu",IF(IF(E1431="",FALSE,INDEX(art_check,MATCH(E1431,art_ref,0))&lt;&gt;"OK"),"Article à corriger (feuille Articles)",IF(COUNTIFS(sj_date,A1431,sj_eq,B1431,sj_po,C1431)&gt;1,"Ligne en double (même jour, équipe et poste)",IF(OR(NOT(ISNUMBER(K1431)),N(K1431)&lt;=0,N(K1431)&gt;1440),"Temps d'ouverture invalide",IF(OR(AND(G1431&lt;&gt;"",NOT(ISNUMBER(G1431))),N(G1431)&lt;0,N(G1431)&lt;&gt;INT(N(G1431)),AND(H1431&lt;&gt;"",NOT(ISNUMBER(H1431))),N(H1431)&lt;0,N(H1431)&lt;&gt;INT(N(H1431)),AND(I1431&lt;&gt;"",NOT(ISNUMBER(I1431))),N(I1431)&lt;0,N(I1431)&lt;&gt;INT(N(I1431))),"Quantité invalide",IF(Q1431&lt;=0,"Cadence manquante (poste ou article)",IF(M1431&lt;=0,"Arrêts planifiés supérieurs au temps d'ouverture",IF(O1431&lt;0,"Arrêts supérieurs au temps requis",IF(AND(P1431&gt;0,O1431=0),"Pièces déclarées sans temps de marche",IF(AND(P1431=0,O1431&gt;0),"Aucune pièce déclarée",IF(P1431*60/Q1431&gt;O1431+0.001,"Cadence dépassée : vérifiez la cadence","OK"))))))))))))))))))</f>
        <v/>
      </c>
      <c r="AC1431">
        <f>IF(OR(AB1431="OK",AB1431="Aucune pièce déclarée",AB1431="Cadence dépassée : vérifiez la cadence"),1,0)</f>
        <v>0.0</v>
      </c>
      <c r="AD1431">
        <f>IF(AND(AC1431=1,A1431&gt;=p_from,A1431&lt;=p_to),1,0)</f>
        <v>0.0</v>
      </c>
      <c r="AE1431">
        <f>IF(AD1431=1,IF(COUNTIFS($A$6:A1431,A1431,$AD$6:AD1431,1)=1,1,0),0)</f>
        <v>0.0</v>
      </c>
      <c r="AF1431" t="str">
        <f>IF(AE1431=1,COUNTIFS(sj_first,1,sj_date,"&lt;"&amp;A1431)+1,"")</f>
        <v/>
      </c>
      <c r="AG1431" t="str">
        <f>IF(AND(AD1431=1,N(W1431)&lt;p_alert),ROUND(W1431,4),"")</f>
        <v/>
      </c>
      <c r="AH1431" t="str">
        <f>IF(AG1431="","",COUNTIF(sj_akey,"&lt;"&amp;AG1431)+COUNTIF($AG$6:AG1431,AG1431))</f>
        <v/>
      </c>
    </row>
    <row r="1432">
      <c r="A1432" s="51" t="n"/>
      <c r="B1432" s="52" t="n"/>
      <c r="C1432" s="52" t="n"/>
      <c r="D1432" s="53" t="n"/>
      <c r="E1432" s="53" t="n"/>
      <c r="F1432" s="54" t="n"/>
      <c r="G1432" s="54" t="n"/>
      <c r="H1432" s="54" t="n"/>
      <c r="I1432" s="54" t="n"/>
      <c r="J1432" s="53" t="n"/>
      <c r="K1432" s="55" t="str">
        <f>IF(COUNTA(A1432:I1432)=0,"",IF(F1432="",IFERROR(INDEX(eq_dur,MATCH(B1432,eq_code,0)),""),F1432))</f>
        <v/>
      </c>
      <c r="L1432" s="55" t="str">
        <f>IF(ISNUMBER(K1432),N(IFERROR(INDEX(eq_pause,MATCH(B1432,eq_code,0)),0))+SUMIFS(st_min,st_date,A1432,st_eq,B1432,st_po,C1432,st_type,"Planifié"),"")</f>
        <v/>
      </c>
      <c r="M1432" s="55" t="str">
        <f>IF(ISNUMBER(K1432),K1432-L1432,"")</f>
        <v/>
      </c>
      <c r="N1432" s="55" t="str">
        <f>IF(ISNUMBER(K1432),SUMIFS(st_min,st_date,A1432,st_eq,B1432,st_po,C1432,st_type,"Non planifié"),"")</f>
        <v/>
      </c>
      <c r="O1432" s="55" t="str">
        <f>IF(ISNUMBER(K1432),M1432-N1432,"")</f>
        <v/>
      </c>
      <c r="P1432" s="55" t="str">
        <f>IF(COUNTA(A1432:I1432)=0,"",N(G1432)+N(H1432)+N(I1432))</f>
        <v/>
      </c>
      <c r="Q1432" s="56" t="str">
        <f>IF(COUNTA(A1432:I1432)=0,"",IF(N(IFERROR(INDEX(art_rate,MATCH(E1432,art_ref,0)),0))&gt;0,N(IFERROR(INDEX(art_rate,MATCH(E1432,art_ref,0)),0)),N(IFERROR(INDEX(po_rate,MATCH(C1432,po_code,0)),0))))</f>
        <v/>
      </c>
      <c r="R1432" s="55" t="str">
        <f>IF(AC1432=1,P1432*60/Q1432,"")</f>
        <v/>
      </c>
      <c r="S1432" s="55" t="str">
        <f>IF(AC1432=1,N(G1432)*60/Q1432,"")</f>
        <v/>
      </c>
      <c r="T1432" s="57" t="str">
        <f>IF(AC1432=1,O1432/M1432,"")</f>
        <v/>
      </c>
      <c r="U1432" s="57" t="str">
        <f>IF(AC1432=1,IF(O1432&gt;0,R1432/O1432,""),"")</f>
        <v/>
      </c>
      <c r="V1432" s="57" t="str">
        <f>IF(AC1432=1,IF(P1432&gt;0,N(G1432)/P1432,""),"")</f>
        <v/>
      </c>
      <c r="W1432" s="57" t="str">
        <f>IF(AC1432=1,S1432/M1432,"")</f>
        <v/>
      </c>
      <c r="X1432" s="57" t="str">
        <f>IF(AC1432=1,S1432/K1432,"")</f>
        <v/>
      </c>
      <c r="Y1432" s="58" t="str">
        <f>IF(W1432="","",IF(W1432&gt;=p_target,"Bon",IF(W1432&gt;=p_alert,"À surveiller","Faible")))</f>
        <v/>
      </c>
      <c r="Z1432" s="58" t="str">
        <f>IF(W1432="","",IF(MIN(IF(T1432="",1,T1432),IF(U1432="",1,U1432),IF(V1432="",1,V1432))&gt;=1,"Aucune",IF(IF(T1432="",1,T1432)&lt;=MIN(IF(U1432="",1,U1432),IF(V1432="",1,V1432)),"Disponibilité",IF(IF(U1432="",1,U1432)&lt;=IF(V1432="",1,V1432),"Performance","Qualité"))))</f>
        <v/>
      </c>
      <c r="AA1432" s="59" t="str">
        <f>IF(AC1432=1,N(H1432)*N(IFERROR(INDEX(art_cost,MATCH(E1432,art_ref,0)),0)),"")</f>
        <v/>
      </c>
      <c r="AB1432" s="58" t="str">
        <f>IF(COUNTA(A1432:I1432)=0,"",IF(N(A1432)&lt;=0,"Date manquante ou invalide",IF(B1432="","Équipe manquante",IF(ISNA(MATCH(B1432,eq_code,0)),"Équipe inconnue",IF(INDEX(eq_check,MATCH(B1432,eq_code,0))&lt;&gt;"OK","Équipe à corriger dans Paramètres",IF(C1432="","Poste manquant",IF(ISNA(MATCH(C1432,po_code,0)),"Poste inconnu",IF(AND(E1432&lt;&gt;"",ISNA(MATCH(E1432,art_ref,0))),"Article inconnu",IF(IF(E1432="",FALSE,INDEX(art_check,MATCH(E1432,art_ref,0))&lt;&gt;"OK"),"Article à corriger (feuille Articles)",IF(COUNTIFS(sj_date,A1432,sj_eq,B1432,sj_po,C1432)&gt;1,"Ligne en double (même jour, équipe et poste)",IF(OR(NOT(ISNUMBER(K1432)),N(K1432)&lt;=0,N(K1432)&gt;1440),"Temps d'ouverture invalide",IF(OR(AND(G1432&lt;&gt;"",NOT(ISNUMBER(G1432))),N(G1432)&lt;0,N(G1432)&lt;&gt;INT(N(G1432)),AND(H1432&lt;&gt;"",NOT(ISNUMBER(H1432))),N(H1432)&lt;0,N(H1432)&lt;&gt;INT(N(H1432)),AND(I1432&lt;&gt;"",NOT(ISNUMBER(I1432))),N(I1432)&lt;0,N(I1432)&lt;&gt;INT(N(I1432))),"Quantité invalide",IF(Q1432&lt;=0,"Cadence manquante (poste ou article)",IF(M1432&lt;=0,"Arrêts planifiés supérieurs au temps d'ouverture",IF(O1432&lt;0,"Arrêts supérieurs au temps requis",IF(AND(P1432&gt;0,O1432=0),"Pièces déclarées sans temps de marche",IF(AND(P1432=0,O1432&gt;0),"Aucune pièce déclarée",IF(P1432*60/Q1432&gt;O1432+0.001,"Cadence dépassée : vérifiez la cadence","OK"))))))))))))))))))</f>
        <v/>
      </c>
      <c r="AC1432">
        <f>IF(OR(AB1432="OK",AB1432="Aucune pièce déclarée",AB1432="Cadence dépassée : vérifiez la cadence"),1,0)</f>
        <v>0.0</v>
      </c>
      <c r="AD1432">
        <f>IF(AND(AC1432=1,A1432&gt;=p_from,A1432&lt;=p_to),1,0)</f>
        <v>0.0</v>
      </c>
      <c r="AE1432">
        <f>IF(AD1432=1,IF(COUNTIFS($A$6:A1432,A1432,$AD$6:AD1432,1)=1,1,0),0)</f>
        <v>0.0</v>
      </c>
      <c r="AF1432" t="str">
        <f>IF(AE1432=1,COUNTIFS(sj_first,1,sj_date,"&lt;"&amp;A1432)+1,"")</f>
        <v/>
      </c>
      <c r="AG1432" t="str">
        <f>IF(AND(AD1432=1,N(W1432)&lt;p_alert),ROUND(W1432,4),"")</f>
        <v/>
      </c>
      <c r="AH1432" t="str">
        <f>IF(AG1432="","",COUNTIF(sj_akey,"&lt;"&amp;AG1432)+COUNTIF($AG$6:AG1432,AG1432))</f>
        <v/>
      </c>
    </row>
    <row r="1433">
      <c r="A1433" s="51" t="n"/>
      <c r="B1433" s="52" t="n"/>
      <c r="C1433" s="52" t="n"/>
      <c r="D1433" s="53" t="n"/>
      <c r="E1433" s="53" t="n"/>
      <c r="F1433" s="54" t="n"/>
      <c r="G1433" s="54" t="n"/>
      <c r="H1433" s="54" t="n"/>
      <c r="I1433" s="54" t="n"/>
      <c r="J1433" s="53" t="n"/>
      <c r="K1433" s="55" t="str">
        <f>IF(COUNTA(A1433:I1433)=0,"",IF(F1433="",IFERROR(INDEX(eq_dur,MATCH(B1433,eq_code,0)),""),F1433))</f>
        <v/>
      </c>
      <c r="L1433" s="55" t="str">
        <f>IF(ISNUMBER(K1433),N(IFERROR(INDEX(eq_pause,MATCH(B1433,eq_code,0)),0))+SUMIFS(st_min,st_date,A1433,st_eq,B1433,st_po,C1433,st_type,"Planifié"),"")</f>
        <v/>
      </c>
      <c r="M1433" s="55" t="str">
        <f>IF(ISNUMBER(K1433),K1433-L1433,"")</f>
        <v/>
      </c>
      <c r="N1433" s="55" t="str">
        <f>IF(ISNUMBER(K1433),SUMIFS(st_min,st_date,A1433,st_eq,B1433,st_po,C1433,st_type,"Non planifié"),"")</f>
        <v/>
      </c>
      <c r="O1433" s="55" t="str">
        <f>IF(ISNUMBER(K1433),M1433-N1433,"")</f>
        <v/>
      </c>
      <c r="P1433" s="55" t="str">
        <f>IF(COUNTA(A1433:I1433)=0,"",N(G1433)+N(H1433)+N(I1433))</f>
        <v/>
      </c>
      <c r="Q1433" s="56" t="str">
        <f>IF(COUNTA(A1433:I1433)=0,"",IF(N(IFERROR(INDEX(art_rate,MATCH(E1433,art_ref,0)),0))&gt;0,N(IFERROR(INDEX(art_rate,MATCH(E1433,art_ref,0)),0)),N(IFERROR(INDEX(po_rate,MATCH(C1433,po_code,0)),0))))</f>
        <v/>
      </c>
      <c r="R1433" s="55" t="str">
        <f>IF(AC1433=1,P1433*60/Q1433,"")</f>
        <v/>
      </c>
      <c r="S1433" s="55" t="str">
        <f>IF(AC1433=1,N(G1433)*60/Q1433,"")</f>
        <v/>
      </c>
      <c r="T1433" s="57" t="str">
        <f>IF(AC1433=1,O1433/M1433,"")</f>
        <v/>
      </c>
      <c r="U1433" s="57" t="str">
        <f>IF(AC1433=1,IF(O1433&gt;0,R1433/O1433,""),"")</f>
        <v/>
      </c>
      <c r="V1433" s="57" t="str">
        <f>IF(AC1433=1,IF(P1433&gt;0,N(G1433)/P1433,""),"")</f>
        <v/>
      </c>
      <c r="W1433" s="57" t="str">
        <f>IF(AC1433=1,S1433/M1433,"")</f>
        <v/>
      </c>
      <c r="X1433" s="57" t="str">
        <f>IF(AC1433=1,S1433/K1433,"")</f>
        <v/>
      </c>
      <c r="Y1433" s="58" t="str">
        <f>IF(W1433="","",IF(W1433&gt;=p_target,"Bon",IF(W1433&gt;=p_alert,"À surveiller","Faible")))</f>
        <v/>
      </c>
      <c r="Z1433" s="58" t="str">
        <f>IF(W1433="","",IF(MIN(IF(T1433="",1,T1433),IF(U1433="",1,U1433),IF(V1433="",1,V1433))&gt;=1,"Aucune",IF(IF(T1433="",1,T1433)&lt;=MIN(IF(U1433="",1,U1433),IF(V1433="",1,V1433)),"Disponibilité",IF(IF(U1433="",1,U1433)&lt;=IF(V1433="",1,V1433),"Performance","Qualité"))))</f>
        <v/>
      </c>
      <c r="AA1433" s="59" t="str">
        <f>IF(AC1433=1,N(H1433)*N(IFERROR(INDEX(art_cost,MATCH(E1433,art_ref,0)),0)),"")</f>
        <v/>
      </c>
      <c r="AB1433" s="58" t="str">
        <f>IF(COUNTA(A1433:I1433)=0,"",IF(N(A1433)&lt;=0,"Date manquante ou invalide",IF(B1433="","Équipe manquante",IF(ISNA(MATCH(B1433,eq_code,0)),"Équipe inconnue",IF(INDEX(eq_check,MATCH(B1433,eq_code,0))&lt;&gt;"OK","Équipe à corriger dans Paramètres",IF(C1433="","Poste manquant",IF(ISNA(MATCH(C1433,po_code,0)),"Poste inconnu",IF(AND(E1433&lt;&gt;"",ISNA(MATCH(E1433,art_ref,0))),"Article inconnu",IF(IF(E1433="",FALSE,INDEX(art_check,MATCH(E1433,art_ref,0))&lt;&gt;"OK"),"Article à corriger (feuille Articles)",IF(COUNTIFS(sj_date,A1433,sj_eq,B1433,sj_po,C1433)&gt;1,"Ligne en double (même jour, équipe et poste)",IF(OR(NOT(ISNUMBER(K1433)),N(K1433)&lt;=0,N(K1433)&gt;1440),"Temps d'ouverture invalide",IF(OR(AND(G1433&lt;&gt;"",NOT(ISNUMBER(G1433))),N(G1433)&lt;0,N(G1433)&lt;&gt;INT(N(G1433)),AND(H1433&lt;&gt;"",NOT(ISNUMBER(H1433))),N(H1433)&lt;0,N(H1433)&lt;&gt;INT(N(H1433)),AND(I1433&lt;&gt;"",NOT(ISNUMBER(I1433))),N(I1433)&lt;0,N(I1433)&lt;&gt;INT(N(I1433))),"Quantité invalide",IF(Q1433&lt;=0,"Cadence manquante (poste ou article)",IF(M1433&lt;=0,"Arrêts planifiés supérieurs au temps d'ouverture",IF(O1433&lt;0,"Arrêts supérieurs au temps requis",IF(AND(P1433&gt;0,O1433=0),"Pièces déclarées sans temps de marche",IF(AND(P1433=0,O1433&gt;0),"Aucune pièce déclarée",IF(P1433*60/Q1433&gt;O1433+0.001,"Cadence dépassée : vérifiez la cadence","OK"))))))))))))))))))</f>
        <v/>
      </c>
      <c r="AC1433">
        <f>IF(OR(AB1433="OK",AB1433="Aucune pièce déclarée",AB1433="Cadence dépassée : vérifiez la cadence"),1,0)</f>
        <v>0.0</v>
      </c>
      <c r="AD1433">
        <f>IF(AND(AC1433=1,A1433&gt;=p_from,A1433&lt;=p_to),1,0)</f>
        <v>0.0</v>
      </c>
      <c r="AE1433">
        <f>IF(AD1433=1,IF(COUNTIFS($A$6:A1433,A1433,$AD$6:AD1433,1)=1,1,0),0)</f>
        <v>0.0</v>
      </c>
      <c r="AF1433" t="str">
        <f>IF(AE1433=1,COUNTIFS(sj_first,1,sj_date,"&lt;"&amp;A1433)+1,"")</f>
        <v/>
      </c>
      <c r="AG1433" t="str">
        <f>IF(AND(AD1433=1,N(W1433)&lt;p_alert),ROUND(W1433,4),"")</f>
        <v/>
      </c>
      <c r="AH1433" t="str">
        <f>IF(AG1433="","",COUNTIF(sj_akey,"&lt;"&amp;AG1433)+COUNTIF($AG$6:AG1433,AG1433))</f>
        <v/>
      </c>
    </row>
    <row r="1434">
      <c r="A1434" s="51" t="n"/>
      <c r="B1434" s="52" t="n"/>
      <c r="C1434" s="52" t="n"/>
      <c r="D1434" s="53" t="n"/>
      <c r="E1434" s="53" t="n"/>
      <c r="F1434" s="54" t="n"/>
      <c r="G1434" s="54" t="n"/>
      <c r="H1434" s="54" t="n"/>
      <c r="I1434" s="54" t="n"/>
      <c r="J1434" s="53" t="n"/>
      <c r="K1434" s="55" t="str">
        <f>IF(COUNTA(A1434:I1434)=0,"",IF(F1434="",IFERROR(INDEX(eq_dur,MATCH(B1434,eq_code,0)),""),F1434))</f>
        <v/>
      </c>
      <c r="L1434" s="55" t="str">
        <f>IF(ISNUMBER(K1434),N(IFERROR(INDEX(eq_pause,MATCH(B1434,eq_code,0)),0))+SUMIFS(st_min,st_date,A1434,st_eq,B1434,st_po,C1434,st_type,"Planifié"),"")</f>
        <v/>
      </c>
      <c r="M1434" s="55" t="str">
        <f>IF(ISNUMBER(K1434),K1434-L1434,"")</f>
        <v/>
      </c>
      <c r="N1434" s="55" t="str">
        <f>IF(ISNUMBER(K1434),SUMIFS(st_min,st_date,A1434,st_eq,B1434,st_po,C1434,st_type,"Non planifié"),"")</f>
        <v/>
      </c>
      <c r="O1434" s="55" t="str">
        <f>IF(ISNUMBER(K1434),M1434-N1434,"")</f>
        <v/>
      </c>
      <c r="P1434" s="55" t="str">
        <f>IF(COUNTA(A1434:I1434)=0,"",N(G1434)+N(H1434)+N(I1434))</f>
        <v/>
      </c>
      <c r="Q1434" s="56" t="str">
        <f>IF(COUNTA(A1434:I1434)=0,"",IF(N(IFERROR(INDEX(art_rate,MATCH(E1434,art_ref,0)),0))&gt;0,N(IFERROR(INDEX(art_rate,MATCH(E1434,art_ref,0)),0)),N(IFERROR(INDEX(po_rate,MATCH(C1434,po_code,0)),0))))</f>
        <v/>
      </c>
      <c r="R1434" s="55" t="str">
        <f>IF(AC1434=1,P1434*60/Q1434,"")</f>
        <v/>
      </c>
      <c r="S1434" s="55" t="str">
        <f>IF(AC1434=1,N(G1434)*60/Q1434,"")</f>
        <v/>
      </c>
      <c r="T1434" s="57" t="str">
        <f>IF(AC1434=1,O1434/M1434,"")</f>
        <v/>
      </c>
      <c r="U1434" s="57" t="str">
        <f>IF(AC1434=1,IF(O1434&gt;0,R1434/O1434,""),"")</f>
        <v/>
      </c>
      <c r="V1434" s="57" t="str">
        <f>IF(AC1434=1,IF(P1434&gt;0,N(G1434)/P1434,""),"")</f>
        <v/>
      </c>
      <c r="W1434" s="57" t="str">
        <f>IF(AC1434=1,S1434/M1434,"")</f>
        <v/>
      </c>
      <c r="X1434" s="57" t="str">
        <f>IF(AC1434=1,S1434/K1434,"")</f>
        <v/>
      </c>
      <c r="Y1434" s="58" t="str">
        <f>IF(W1434="","",IF(W1434&gt;=p_target,"Bon",IF(W1434&gt;=p_alert,"À surveiller","Faible")))</f>
        <v/>
      </c>
      <c r="Z1434" s="58" t="str">
        <f>IF(W1434="","",IF(MIN(IF(T1434="",1,T1434),IF(U1434="",1,U1434),IF(V1434="",1,V1434))&gt;=1,"Aucune",IF(IF(T1434="",1,T1434)&lt;=MIN(IF(U1434="",1,U1434),IF(V1434="",1,V1434)),"Disponibilité",IF(IF(U1434="",1,U1434)&lt;=IF(V1434="",1,V1434),"Performance","Qualité"))))</f>
        <v/>
      </c>
      <c r="AA1434" s="59" t="str">
        <f>IF(AC1434=1,N(H1434)*N(IFERROR(INDEX(art_cost,MATCH(E1434,art_ref,0)),0)),"")</f>
        <v/>
      </c>
      <c r="AB1434" s="58" t="str">
        <f>IF(COUNTA(A1434:I1434)=0,"",IF(N(A1434)&lt;=0,"Date manquante ou invalide",IF(B1434="","Équipe manquante",IF(ISNA(MATCH(B1434,eq_code,0)),"Équipe inconnue",IF(INDEX(eq_check,MATCH(B1434,eq_code,0))&lt;&gt;"OK","Équipe à corriger dans Paramètres",IF(C1434="","Poste manquant",IF(ISNA(MATCH(C1434,po_code,0)),"Poste inconnu",IF(AND(E1434&lt;&gt;"",ISNA(MATCH(E1434,art_ref,0))),"Article inconnu",IF(IF(E1434="",FALSE,INDEX(art_check,MATCH(E1434,art_ref,0))&lt;&gt;"OK"),"Article à corriger (feuille Articles)",IF(COUNTIFS(sj_date,A1434,sj_eq,B1434,sj_po,C1434)&gt;1,"Ligne en double (même jour, équipe et poste)",IF(OR(NOT(ISNUMBER(K1434)),N(K1434)&lt;=0,N(K1434)&gt;1440),"Temps d'ouverture invalide",IF(OR(AND(G1434&lt;&gt;"",NOT(ISNUMBER(G1434))),N(G1434)&lt;0,N(G1434)&lt;&gt;INT(N(G1434)),AND(H1434&lt;&gt;"",NOT(ISNUMBER(H1434))),N(H1434)&lt;0,N(H1434)&lt;&gt;INT(N(H1434)),AND(I1434&lt;&gt;"",NOT(ISNUMBER(I1434))),N(I1434)&lt;0,N(I1434)&lt;&gt;INT(N(I1434))),"Quantité invalide",IF(Q1434&lt;=0,"Cadence manquante (poste ou article)",IF(M1434&lt;=0,"Arrêts planifiés supérieurs au temps d'ouverture",IF(O1434&lt;0,"Arrêts supérieurs au temps requis",IF(AND(P1434&gt;0,O1434=0),"Pièces déclarées sans temps de marche",IF(AND(P1434=0,O1434&gt;0),"Aucune pièce déclarée",IF(P1434*60/Q1434&gt;O1434+0.001,"Cadence dépassée : vérifiez la cadence","OK"))))))))))))))))))</f>
        <v/>
      </c>
      <c r="AC1434">
        <f>IF(OR(AB1434="OK",AB1434="Aucune pièce déclarée",AB1434="Cadence dépassée : vérifiez la cadence"),1,0)</f>
        <v>0.0</v>
      </c>
      <c r="AD1434">
        <f>IF(AND(AC1434=1,A1434&gt;=p_from,A1434&lt;=p_to),1,0)</f>
        <v>0.0</v>
      </c>
      <c r="AE1434">
        <f>IF(AD1434=1,IF(COUNTIFS($A$6:A1434,A1434,$AD$6:AD1434,1)=1,1,0),0)</f>
        <v>0.0</v>
      </c>
      <c r="AF1434" t="str">
        <f>IF(AE1434=1,COUNTIFS(sj_first,1,sj_date,"&lt;"&amp;A1434)+1,"")</f>
        <v/>
      </c>
      <c r="AG1434" t="str">
        <f>IF(AND(AD1434=1,N(W1434)&lt;p_alert),ROUND(W1434,4),"")</f>
        <v/>
      </c>
      <c r="AH1434" t="str">
        <f>IF(AG1434="","",COUNTIF(sj_akey,"&lt;"&amp;AG1434)+COUNTIF($AG$6:AG1434,AG1434))</f>
        <v/>
      </c>
    </row>
    <row r="1435">
      <c r="A1435" s="51" t="n"/>
      <c r="B1435" s="52" t="n"/>
      <c r="C1435" s="52" t="n"/>
      <c r="D1435" s="53" t="n"/>
      <c r="E1435" s="53" t="n"/>
      <c r="F1435" s="54" t="n"/>
      <c r="G1435" s="54" t="n"/>
      <c r="H1435" s="54" t="n"/>
      <c r="I1435" s="54" t="n"/>
      <c r="J1435" s="53" t="n"/>
      <c r="K1435" s="55" t="str">
        <f>IF(COUNTA(A1435:I1435)=0,"",IF(F1435="",IFERROR(INDEX(eq_dur,MATCH(B1435,eq_code,0)),""),F1435))</f>
        <v/>
      </c>
      <c r="L1435" s="55" t="str">
        <f>IF(ISNUMBER(K1435),N(IFERROR(INDEX(eq_pause,MATCH(B1435,eq_code,0)),0))+SUMIFS(st_min,st_date,A1435,st_eq,B1435,st_po,C1435,st_type,"Planifié"),"")</f>
        <v/>
      </c>
      <c r="M1435" s="55" t="str">
        <f>IF(ISNUMBER(K1435),K1435-L1435,"")</f>
        <v/>
      </c>
      <c r="N1435" s="55" t="str">
        <f>IF(ISNUMBER(K1435),SUMIFS(st_min,st_date,A1435,st_eq,B1435,st_po,C1435,st_type,"Non planifié"),"")</f>
        <v/>
      </c>
      <c r="O1435" s="55" t="str">
        <f>IF(ISNUMBER(K1435),M1435-N1435,"")</f>
        <v/>
      </c>
      <c r="P1435" s="55" t="str">
        <f>IF(COUNTA(A1435:I1435)=0,"",N(G1435)+N(H1435)+N(I1435))</f>
        <v/>
      </c>
      <c r="Q1435" s="56" t="str">
        <f>IF(COUNTA(A1435:I1435)=0,"",IF(N(IFERROR(INDEX(art_rate,MATCH(E1435,art_ref,0)),0))&gt;0,N(IFERROR(INDEX(art_rate,MATCH(E1435,art_ref,0)),0)),N(IFERROR(INDEX(po_rate,MATCH(C1435,po_code,0)),0))))</f>
        <v/>
      </c>
      <c r="R1435" s="55" t="str">
        <f>IF(AC1435=1,P1435*60/Q1435,"")</f>
        <v/>
      </c>
      <c r="S1435" s="55" t="str">
        <f>IF(AC1435=1,N(G1435)*60/Q1435,"")</f>
        <v/>
      </c>
      <c r="T1435" s="57" t="str">
        <f>IF(AC1435=1,O1435/M1435,"")</f>
        <v/>
      </c>
      <c r="U1435" s="57" t="str">
        <f>IF(AC1435=1,IF(O1435&gt;0,R1435/O1435,""),"")</f>
        <v/>
      </c>
      <c r="V1435" s="57" t="str">
        <f>IF(AC1435=1,IF(P1435&gt;0,N(G1435)/P1435,""),"")</f>
        <v/>
      </c>
      <c r="W1435" s="57" t="str">
        <f>IF(AC1435=1,S1435/M1435,"")</f>
        <v/>
      </c>
      <c r="X1435" s="57" t="str">
        <f>IF(AC1435=1,S1435/K1435,"")</f>
        <v/>
      </c>
      <c r="Y1435" s="58" t="str">
        <f>IF(W1435="","",IF(W1435&gt;=p_target,"Bon",IF(W1435&gt;=p_alert,"À surveiller","Faible")))</f>
        <v/>
      </c>
      <c r="Z1435" s="58" t="str">
        <f>IF(W1435="","",IF(MIN(IF(T1435="",1,T1435),IF(U1435="",1,U1435),IF(V1435="",1,V1435))&gt;=1,"Aucune",IF(IF(T1435="",1,T1435)&lt;=MIN(IF(U1435="",1,U1435),IF(V1435="",1,V1435)),"Disponibilité",IF(IF(U1435="",1,U1435)&lt;=IF(V1435="",1,V1435),"Performance","Qualité"))))</f>
        <v/>
      </c>
      <c r="AA1435" s="59" t="str">
        <f>IF(AC1435=1,N(H1435)*N(IFERROR(INDEX(art_cost,MATCH(E1435,art_ref,0)),0)),"")</f>
        <v/>
      </c>
      <c r="AB1435" s="58" t="str">
        <f>IF(COUNTA(A1435:I1435)=0,"",IF(N(A1435)&lt;=0,"Date manquante ou invalide",IF(B1435="","Équipe manquante",IF(ISNA(MATCH(B1435,eq_code,0)),"Équipe inconnue",IF(INDEX(eq_check,MATCH(B1435,eq_code,0))&lt;&gt;"OK","Équipe à corriger dans Paramètres",IF(C1435="","Poste manquant",IF(ISNA(MATCH(C1435,po_code,0)),"Poste inconnu",IF(AND(E1435&lt;&gt;"",ISNA(MATCH(E1435,art_ref,0))),"Article inconnu",IF(IF(E1435="",FALSE,INDEX(art_check,MATCH(E1435,art_ref,0))&lt;&gt;"OK"),"Article à corriger (feuille Articles)",IF(COUNTIFS(sj_date,A1435,sj_eq,B1435,sj_po,C1435)&gt;1,"Ligne en double (même jour, équipe et poste)",IF(OR(NOT(ISNUMBER(K1435)),N(K1435)&lt;=0,N(K1435)&gt;1440),"Temps d'ouverture invalide",IF(OR(AND(G1435&lt;&gt;"",NOT(ISNUMBER(G1435))),N(G1435)&lt;0,N(G1435)&lt;&gt;INT(N(G1435)),AND(H1435&lt;&gt;"",NOT(ISNUMBER(H1435))),N(H1435)&lt;0,N(H1435)&lt;&gt;INT(N(H1435)),AND(I1435&lt;&gt;"",NOT(ISNUMBER(I1435))),N(I1435)&lt;0,N(I1435)&lt;&gt;INT(N(I1435))),"Quantité invalide",IF(Q1435&lt;=0,"Cadence manquante (poste ou article)",IF(M1435&lt;=0,"Arrêts planifiés supérieurs au temps d'ouverture",IF(O1435&lt;0,"Arrêts supérieurs au temps requis",IF(AND(P1435&gt;0,O1435=0),"Pièces déclarées sans temps de marche",IF(AND(P1435=0,O1435&gt;0),"Aucune pièce déclarée",IF(P1435*60/Q1435&gt;O1435+0.001,"Cadence dépassée : vérifiez la cadence","OK"))))))))))))))))))</f>
        <v/>
      </c>
      <c r="AC1435">
        <f>IF(OR(AB1435="OK",AB1435="Aucune pièce déclarée",AB1435="Cadence dépassée : vérifiez la cadence"),1,0)</f>
        <v>0.0</v>
      </c>
      <c r="AD1435">
        <f>IF(AND(AC1435=1,A1435&gt;=p_from,A1435&lt;=p_to),1,0)</f>
        <v>0.0</v>
      </c>
      <c r="AE1435">
        <f>IF(AD1435=1,IF(COUNTIFS($A$6:A1435,A1435,$AD$6:AD1435,1)=1,1,0),0)</f>
        <v>0.0</v>
      </c>
      <c r="AF1435" t="str">
        <f>IF(AE1435=1,COUNTIFS(sj_first,1,sj_date,"&lt;"&amp;A1435)+1,"")</f>
        <v/>
      </c>
      <c r="AG1435" t="str">
        <f>IF(AND(AD1435=1,N(W1435)&lt;p_alert),ROUND(W1435,4),"")</f>
        <v/>
      </c>
      <c r="AH1435" t="str">
        <f>IF(AG1435="","",COUNTIF(sj_akey,"&lt;"&amp;AG1435)+COUNTIF($AG$6:AG1435,AG1435))</f>
        <v/>
      </c>
    </row>
    <row r="1436">
      <c r="A1436" s="51" t="n"/>
      <c r="B1436" s="52" t="n"/>
      <c r="C1436" s="52" t="n"/>
      <c r="D1436" s="53" t="n"/>
      <c r="E1436" s="53" t="n"/>
      <c r="F1436" s="54" t="n"/>
      <c r="G1436" s="54" t="n"/>
      <c r="H1436" s="54" t="n"/>
      <c r="I1436" s="54" t="n"/>
      <c r="J1436" s="53" t="n"/>
      <c r="K1436" s="55" t="str">
        <f>IF(COUNTA(A1436:I1436)=0,"",IF(F1436="",IFERROR(INDEX(eq_dur,MATCH(B1436,eq_code,0)),""),F1436))</f>
        <v/>
      </c>
      <c r="L1436" s="55" t="str">
        <f>IF(ISNUMBER(K1436),N(IFERROR(INDEX(eq_pause,MATCH(B1436,eq_code,0)),0))+SUMIFS(st_min,st_date,A1436,st_eq,B1436,st_po,C1436,st_type,"Planifié"),"")</f>
        <v/>
      </c>
      <c r="M1436" s="55" t="str">
        <f>IF(ISNUMBER(K1436),K1436-L1436,"")</f>
        <v/>
      </c>
      <c r="N1436" s="55" t="str">
        <f>IF(ISNUMBER(K1436),SUMIFS(st_min,st_date,A1436,st_eq,B1436,st_po,C1436,st_type,"Non planifié"),"")</f>
        <v/>
      </c>
      <c r="O1436" s="55" t="str">
        <f>IF(ISNUMBER(K1436),M1436-N1436,"")</f>
        <v/>
      </c>
      <c r="P1436" s="55" t="str">
        <f>IF(COUNTA(A1436:I1436)=0,"",N(G1436)+N(H1436)+N(I1436))</f>
        <v/>
      </c>
      <c r="Q1436" s="56" t="str">
        <f>IF(COUNTA(A1436:I1436)=0,"",IF(N(IFERROR(INDEX(art_rate,MATCH(E1436,art_ref,0)),0))&gt;0,N(IFERROR(INDEX(art_rate,MATCH(E1436,art_ref,0)),0)),N(IFERROR(INDEX(po_rate,MATCH(C1436,po_code,0)),0))))</f>
        <v/>
      </c>
      <c r="R1436" s="55" t="str">
        <f>IF(AC1436=1,P1436*60/Q1436,"")</f>
        <v/>
      </c>
      <c r="S1436" s="55" t="str">
        <f>IF(AC1436=1,N(G1436)*60/Q1436,"")</f>
        <v/>
      </c>
      <c r="T1436" s="57" t="str">
        <f>IF(AC1436=1,O1436/M1436,"")</f>
        <v/>
      </c>
      <c r="U1436" s="57" t="str">
        <f>IF(AC1436=1,IF(O1436&gt;0,R1436/O1436,""),"")</f>
        <v/>
      </c>
      <c r="V1436" s="57" t="str">
        <f>IF(AC1436=1,IF(P1436&gt;0,N(G1436)/P1436,""),"")</f>
        <v/>
      </c>
      <c r="W1436" s="57" t="str">
        <f>IF(AC1436=1,S1436/M1436,"")</f>
        <v/>
      </c>
      <c r="X1436" s="57" t="str">
        <f>IF(AC1436=1,S1436/K1436,"")</f>
        <v/>
      </c>
      <c r="Y1436" s="58" t="str">
        <f>IF(W1436="","",IF(W1436&gt;=p_target,"Bon",IF(W1436&gt;=p_alert,"À surveiller","Faible")))</f>
        <v/>
      </c>
      <c r="Z1436" s="58" t="str">
        <f>IF(W1436="","",IF(MIN(IF(T1436="",1,T1436),IF(U1436="",1,U1436),IF(V1436="",1,V1436))&gt;=1,"Aucune",IF(IF(T1436="",1,T1436)&lt;=MIN(IF(U1436="",1,U1436),IF(V1436="",1,V1436)),"Disponibilité",IF(IF(U1436="",1,U1436)&lt;=IF(V1436="",1,V1436),"Performance","Qualité"))))</f>
        <v/>
      </c>
      <c r="AA1436" s="59" t="str">
        <f>IF(AC1436=1,N(H1436)*N(IFERROR(INDEX(art_cost,MATCH(E1436,art_ref,0)),0)),"")</f>
        <v/>
      </c>
      <c r="AB1436" s="58" t="str">
        <f>IF(COUNTA(A1436:I1436)=0,"",IF(N(A1436)&lt;=0,"Date manquante ou invalide",IF(B1436="","Équipe manquante",IF(ISNA(MATCH(B1436,eq_code,0)),"Équipe inconnue",IF(INDEX(eq_check,MATCH(B1436,eq_code,0))&lt;&gt;"OK","Équipe à corriger dans Paramètres",IF(C1436="","Poste manquant",IF(ISNA(MATCH(C1436,po_code,0)),"Poste inconnu",IF(AND(E1436&lt;&gt;"",ISNA(MATCH(E1436,art_ref,0))),"Article inconnu",IF(IF(E1436="",FALSE,INDEX(art_check,MATCH(E1436,art_ref,0))&lt;&gt;"OK"),"Article à corriger (feuille Articles)",IF(COUNTIFS(sj_date,A1436,sj_eq,B1436,sj_po,C1436)&gt;1,"Ligne en double (même jour, équipe et poste)",IF(OR(NOT(ISNUMBER(K1436)),N(K1436)&lt;=0,N(K1436)&gt;1440),"Temps d'ouverture invalide",IF(OR(AND(G1436&lt;&gt;"",NOT(ISNUMBER(G1436))),N(G1436)&lt;0,N(G1436)&lt;&gt;INT(N(G1436)),AND(H1436&lt;&gt;"",NOT(ISNUMBER(H1436))),N(H1436)&lt;0,N(H1436)&lt;&gt;INT(N(H1436)),AND(I1436&lt;&gt;"",NOT(ISNUMBER(I1436))),N(I1436)&lt;0,N(I1436)&lt;&gt;INT(N(I1436))),"Quantité invalide",IF(Q1436&lt;=0,"Cadence manquante (poste ou article)",IF(M1436&lt;=0,"Arrêts planifiés supérieurs au temps d'ouverture",IF(O1436&lt;0,"Arrêts supérieurs au temps requis",IF(AND(P1436&gt;0,O1436=0),"Pièces déclarées sans temps de marche",IF(AND(P1436=0,O1436&gt;0),"Aucune pièce déclarée",IF(P1436*60/Q1436&gt;O1436+0.001,"Cadence dépassée : vérifiez la cadence","OK"))))))))))))))))))</f>
        <v/>
      </c>
      <c r="AC1436">
        <f>IF(OR(AB1436="OK",AB1436="Aucune pièce déclarée",AB1436="Cadence dépassée : vérifiez la cadence"),1,0)</f>
        <v>0.0</v>
      </c>
      <c r="AD1436">
        <f>IF(AND(AC1436=1,A1436&gt;=p_from,A1436&lt;=p_to),1,0)</f>
        <v>0.0</v>
      </c>
      <c r="AE1436">
        <f>IF(AD1436=1,IF(COUNTIFS($A$6:A1436,A1436,$AD$6:AD1436,1)=1,1,0),0)</f>
        <v>0.0</v>
      </c>
      <c r="AF1436" t="str">
        <f>IF(AE1436=1,COUNTIFS(sj_first,1,sj_date,"&lt;"&amp;A1436)+1,"")</f>
        <v/>
      </c>
      <c r="AG1436" t="str">
        <f>IF(AND(AD1436=1,N(W1436)&lt;p_alert),ROUND(W1436,4),"")</f>
        <v/>
      </c>
      <c r="AH1436" t="str">
        <f>IF(AG1436="","",COUNTIF(sj_akey,"&lt;"&amp;AG1436)+COUNTIF($AG$6:AG1436,AG1436))</f>
        <v/>
      </c>
    </row>
    <row r="1437">
      <c r="A1437" s="51" t="n"/>
      <c r="B1437" s="52" t="n"/>
      <c r="C1437" s="52" t="n"/>
      <c r="D1437" s="53" t="n"/>
      <c r="E1437" s="53" t="n"/>
      <c r="F1437" s="54" t="n"/>
      <c r="G1437" s="54" t="n"/>
      <c r="H1437" s="54" t="n"/>
      <c r="I1437" s="54" t="n"/>
      <c r="J1437" s="53" t="n"/>
      <c r="K1437" s="55" t="str">
        <f>IF(COUNTA(A1437:I1437)=0,"",IF(F1437="",IFERROR(INDEX(eq_dur,MATCH(B1437,eq_code,0)),""),F1437))</f>
        <v/>
      </c>
      <c r="L1437" s="55" t="str">
        <f>IF(ISNUMBER(K1437),N(IFERROR(INDEX(eq_pause,MATCH(B1437,eq_code,0)),0))+SUMIFS(st_min,st_date,A1437,st_eq,B1437,st_po,C1437,st_type,"Planifié"),"")</f>
        <v/>
      </c>
      <c r="M1437" s="55" t="str">
        <f>IF(ISNUMBER(K1437),K1437-L1437,"")</f>
        <v/>
      </c>
      <c r="N1437" s="55" t="str">
        <f>IF(ISNUMBER(K1437),SUMIFS(st_min,st_date,A1437,st_eq,B1437,st_po,C1437,st_type,"Non planifié"),"")</f>
        <v/>
      </c>
      <c r="O1437" s="55" t="str">
        <f>IF(ISNUMBER(K1437),M1437-N1437,"")</f>
        <v/>
      </c>
      <c r="P1437" s="55" t="str">
        <f>IF(COUNTA(A1437:I1437)=0,"",N(G1437)+N(H1437)+N(I1437))</f>
        <v/>
      </c>
      <c r="Q1437" s="56" t="str">
        <f>IF(COUNTA(A1437:I1437)=0,"",IF(N(IFERROR(INDEX(art_rate,MATCH(E1437,art_ref,0)),0))&gt;0,N(IFERROR(INDEX(art_rate,MATCH(E1437,art_ref,0)),0)),N(IFERROR(INDEX(po_rate,MATCH(C1437,po_code,0)),0))))</f>
        <v/>
      </c>
      <c r="R1437" s="55" t="str">
        <f>IF(AC1437=1,P1437*60/Q1437,"")</f>
        <v/>
      </c>
      <c r="S1437" s="55" t="str">
        <f>IF(AC1437=1,N(G1437)*60/Q1437,"")</f>
        <v/>
      </c>
      <c r="T1437" s="57" t="str">
        <f>IF(AC1437=1,O1437/M1437,"")</f>
        <v/>
      </c>
      <c r="U1437" s="57" t="str">
        <f>IF(AC1437=1,IF(O1437&gt;0,R1437/O1437,""),"")</f>
        <v/>
      </c>
      <c r="V1437" s="57" t="str">
        <f>IF(AC1437=1,IF(P1437&gt;0,N(G1437)/P1437,""),"")</f>
        <v/>
      </c>
      <c r="W1437" s="57" t="str">
        <f>IF(AC1437=1,S1437/M1437,"")</f>
        <v/>
      </c>
      <c r="X1437" s="57" t="str">
        <f>IF(AC1437=1,S1437/K1437,"")</f>
        <v/>
      </c>
      <c r="Y1437" s="58" t="str">
        <f>IF(W1437="","",IF(W1437&gt;=p_target,"Bon",IF(W1437&gt;=p_alert,"À surveiller","Faible")))</f>
        <v/>
      </c>
      <c r="Z1437" s="58" t="str">
        <f>IF(W1437="","",IF(MIN(IF(T1437="",1,T1437),IF(U1437="",1,U1437),IF(V1437="",1,V1437))&gt;=1,"Aucune",IF(IF(T1437="",1,T1437)&lt;=MIN(IF(U1437="",1,U1437),IF(V1437="",1,V1437)),"Disponibilité",IF(IF(U1437="",1,U1437)&lt;=IF(V1437="",1,V1437),"Performance","Qualité"))))</f>
        <v/>
      </c>
      <c r="AA1437" s="59" t="str">
        <f>IF(AC1437=1,N(H1437)*N(IFERROR(INDEX(art_cost,MATCH(E1437,art_ref,0)),0)),"")</f>
        <v/>
      </c>
      <c r="AB1437" s="58" t="str">
        <f>IF(COUNTA(A1437:I1437)=0,"",IF(N(A1437)&lt;=0,"Date manquante ou invalide",IF(B1437="","Équipe manquante",IF(ISNA(MATCH(B1437,eq_code,0)),"Équipe inconnue",IF(INDEX(eq_check,MATCH(B1437,eq_code,0))&lt;&gt;"OK","Équipe à corriger dans Paramètres",IF(C1437="","Poste manquant",IF(ISNA(MATCH(C1437,po_code,0)),"Poste inconnu",IF(AND(E1437&lt;&gt;"",ISNA(MATCH(E1437,art_ref,0))),"Article inconnu",IF(IF(E1437="",FALSE,INDEX(art_check,MATCH(E1437,art_ref,0))&lt;&gt;"OK"),"Article à corriger (feuille Articles)",IF(COUNTIFS(sj_date,A1437,sj_eq,B1437,sj_po,C1437)&gt;1,"Ligne en double (même jour, équipe et poste)",IF(OR(NOT(ISNUMBER(K1437)),N(K1437)&lt;=0,N(K1437)&gt;1440),"Temps d'ouverture invalide",IF(OR(AND(G1437&lt;&gt;"",NOT(ISNUMBER(G1437))),N(G1437)&lt;0,N(G1437)&lt;&gt;INT(N(G1437)),AND(H1437&lt;&gt;"",NOT(ISNUMBER(H1437))),N(H1437)&lt;0,N(H1437)&lt;&gt;INT(N(H1437)),AND(I1437&lt;&gt;"",NOT(ISNUMBER(I1437))),N(I1437)&lt;0,N(I1437)&lt;&gt;INT(N(I1437))),"Quantité invalide",IF(Q1437&lt;=0,"Cadence manquante (poste ou article)",IF(M1437&lt;=0,"Arrêts planifiés supérieurs au temps d'ouverture",IF(O1437&lt;0,"Arrêts supérieurs au temps requis",IF(AND(P1437&gt;0,O1437=0),"Pièces déclarées sans temps de marche",IF(AND(P1437=0,O1437&gt;0),"Aucune pièce déclarée",IF(P1437*60/Q1437&gt;O1437+0.001,"Cadence dépassée : vérifiez la cadence","OK"))))))))))))))))))</f>
        <v/>
      </c>
      <c r="AC1437">
        <f>IF(OR(AB1437="OK",AB1437="Aucune pièce déclarée",AB1437="Cadence dépassée : vérifiez la cadence"),1,0)</f>
        <v>0.0</v>
      </c>
      <c r="AD1437">
        <f>IF(AND(AC1437=1,A1437&gt;=p_from,A1437&lt;=p_to),1,0)</f>
        <v>0.0</v>
      </c>
      <c r="AE1437">
        <f>IF(AD1437=1,IF(COUNTIFS($A$6:A1437,A1437,$AD$6:AD1437,1)=1,1,0),0)</f>
        <v>0.0</v>
      </c>
      <c r="AF1437" t="str">
        <f>IF(AE1437=1,COUNTIFS(sj_first,1,sj_date,"&lt;"&amp;A1437)+1,"")</f>
        <v/>
      </c>
      <c r="AG1437" t="str">
        <f>IF(AND(AD1437=1,N(W1437)&lt;p_alert),ROUND(W1437,4),"")</f>
        <v/>
      </c>
      <c r="AH1437" t="str">
        <f>IF(AG1437="","",COUNTIF(sj_akey,"&lt;"&amp;AG1437)+COUNTIF($AG$6:AG1437,AG1437))</f>
        <v/>
      </c>
    </row>
    <row r="1438">
      <c r="A1438" s="51" t="n"/>
      <c r="B1438" s="52" t="n"/>
      <c r="C1438" s="52" t="n"/>
      <c r="D1438" s="53" t="n"/>
      <c r="E1438" s="53" t="n"/>
      <c r="F1438" s="54" t="n"/>
      <c r="G1438" s="54" t="n"/>
      <c r="H1438" s="54" t="n"/>
      <c r="I1438" s="54" t="n"/>
      <c r="J1438" s="53" t="n"/>
      <c r="K1438" s="55" t="str">
        <f>IF(COUNTA(A1438:I1438)=0,"",IF(F1438="",IFERROR(INDEX(eq_dur,MATCH(B1438,eq_code,0)),""),F1438))</f>
        <v/>
      </c>
      <c r="L1438" s="55" t="str">
        <f>IF(ISNUMBER(K1438),N(IFERROR(INDEX(eq_pause,MATCH(B1438,eq_code,0)),0))+SUMIFS(st_min,st_date,A1438,st_eq,B1438,st_po,C1438,st_type,"Planifié"),"")</f>
        <v/>
      </c>
      <c r="M1438" s="55" t="str">
        <f>IF(ISNUMBER(K1438),K1438-L1438,"")</f>
        <v/>
      </c>
      <c r="N1438" s="55" t="str">
        <f>IF(ISNUMBER(K1438),SUMIFS(st_min,st_date,A1438,st_eq,B1438,st_po,C1438,st_type,"Non planifié"),"")</f>
        <v/>
      </c>
      <c r="O1438" s="55" t="str">
        <f>IF(ISNUMBER(K1438),M1438-N1438,"")</f>
        <v/>
      </c>
      <c r="P1438" s="55" t="str">
        <f>IF(COUNTA(A1438:I1438)=0,"",N(G1438)+N(H1438)+N(I1438))</f>
        <v/>
      </c>
      <c r="Q1438" s="56" t="str">
        <f>IF(COUNTA(A1438:I1438)=0,"",IF(N(IFERROR(INDEX(art_rate,MATCH(E1438,art_ref,0)),0))&gt;0,N(IFERROR(INDEX(art_rate,MATCH(E1438,art_ref,0)),0)),N(IFERROR(INDEX(po_rate,MATCH(C1438,po_code,0)),0))))</f>
        <v/>
      </c>
      <c r="R1438" s="55" t="str">
        <f>IF(AC1438=1,P1438*60/Q1438,"")</f>
        <v/>
      </c>
      <c r="S1438" s="55" t="str">
        <f>IF(AC1438=1,N(G1438)*60/Q1438,"")</f>
        <v/>
      </c>
      <c r="T1438" s="57" t="str">
        <f>IF(AC1438=1,O1438/M1438,"")</f>
        <v/>
      </c>
      <c r="U1438" s="57" t="str">
        <f>IF(AC1438=1,IF(O1438&gt;0,R1438/O1438,""),"")</f>
        <v/>
      </c>
      <c r="V1438" s="57" t="str">
        <f>IF(AC1438=1,IF(P1438&gt;0,N(G1438)/P1438,""),"")</f>
        <v/>
      </c>
      <c r="W1438" s="57" t="str">
        <f>IF(AC1438=1,S1438/M1438,"")</f>
        <v/>
      </c>
      <c r="X1438" s="57" t="str">
        <f>IF(AC1438=1,S1438/K1438,"")</f>
        <v/>
      </c>
      <c r="Y1438" s="58" t="str">
        <f>IF(W1438="","",IF(W1438&gt;=p_target,"Bon",IF(W1438&gt;=p_alert,"À surveiller","Faible")))</f>
        <v/>
      </c>
      <c r="Z1438" s="58" t="str">
        <f>IF(W1438="","",IF(MIN(IF(T1438="",1,T1438),IF(U1438="",1,U1438),IF(V1438="",1,V1438))&gt;=1,"Aucune",IF(IF(T1438="",1,T1438)&lt;=MIN(IF(U1438="",1,U1438),IF(V1438="",1,V1438)),"Disponibilité",IF(IF(U1438="",1,U1438)&lt;=IF(V1438="",1,V1438),"Performance","Qualité"))))</f>
        <v/>
      </c>
      <c r="AA1438" s="59" t="str">
        <f>IF(AC1438=1,N(H1438)*N(IFERROR(INDEX(art_cost,MATCH(E1438,art_ref,0)),0)),"")</f>
        <v/>
      </c>
      <c r="AB1438" s="58" t="str">
        <f>IF(COUNTA(A1438:I1438)=0,"",IF(N(A1438)&lt;=0,"Date manquante ou invalide",IF(B1438="","Équipe manquante",IF(ISNA(MATCH(B1438,eq_code,0)),"Équipe inconnue",IF(INDEX(eq_check,MATCH(B1438,eq_code,0))&lt;&gt;"OK","Équipe à corriger dans Paramètres",IF(C1438="","Poste manquant",IF(ISNA(MATCH(C1438,po_code,0)),"Poste inconnu",IF(AND(E1438&lt;&gt;"",ISNA(MATCH(E1438,art_ref,0))),"Article inconnu",IF(IF(E1438="",FALSE,INDEX(art_check,MATCH(E1438,art_ref,0))&lt;&gt;"OK"),"Article à corriger (feuille Articles)",IF(COUNTIFS(sj_date,A1438,sj_eq,B1438,sj_po,C1438)&gt;1,"Ligne en double (même jour, équipe et poste)",IF(OR(NOT(ISNUMBER(K1438)),N(K1438)&lt;=0,N(K1438)&gt;1440),"Temps d'ouverture invalide",IF(OR(AND(G1438&lt;&gt;"",NOT(ISNUMBER(G1438))),N(G1438)&lt;0,N(G1438)&lt;&gt;INT(N(G1438)),AND(H1438&lt;&gt;"",NOT(ISNUMBER(H1438))),N(H1438)&lt;0,N(H1438)&lt;&gt;INT(N(H1438)),AND(I1438&lt;&gt;"",NOT(ISNUMBER(I1438))),N(I1438)&lt;0,N(I1438)&lt;&gt;INT(N(I1438))),"Quantité invalide",IF(Q1438&lt;=0,"Cadence manquante (poste ou article)",IF(M1438&lt;=0,"Arrêts planifiés supérieurs au temps d'ouverture",IF(O1438&lt;0,"Arrêts supérieurs au temps requis",IF(AND(P1438&gt;0,O1438=0),"Pièces déclarées sans temps de marche",IF(AND(P1438=0,O1438&gt;0),"Aucune pièce déclarée",IF(P1438*60/Q1438&gt;O1438+0.001,"Cadence dépassée : vérifiez la cadence","OK"))))))))))))))))))</f>
        <v/>
      </c>
      <c r="AC1438">
        <f>IF(OR(AB1438="OK",AB1438="Aucune pièce déclarée",AB1438="Cadence dépassée : vérifiez la cadence"),1,0)</f>
        <v>0.0</v>
      </c>
      <c r="AD1438">
        <f>IF(AND(AC1438=1,A1438&gt;=p_from,A1438&lt;=p_to),1,0)</f>
        <v>0.0</v>
      </c>
      <c r="AE1438">
        <f>IF(AD1438=1,IF(COUNTIFS($A$6:A1438,A1438,$AD$6:AD1438,1)=1,1,0),0)</f>
        <v>0.0</v>
      </c>
      <c r="AF1438" t="str">
        <f>IF(AE1438=1,COUNTIFS(sj_first,1,sj_date,"&lt;"&amp;A1438)+1,"")</f>
        <v/>
      </c>
      <c r="AG1438" t="str">
        <f>IF(AND(AD1438=1,N(W1438)&lt;p_alert),ROUND(W1438,4),"")</f>
        <v/>
      </c>
      <c r="AH1438" t="str">
        <f>IF(AG1438="","",COUNTIF(sj_akey,"&lt;"&amp;AG1438)+COUNTIF($AG$6:AG1438,AG1438))</f>
        <v/>
      </c>
    </row>
    <row r="1439">
      <c r="A1439" s="51" t="n"/>
      <c r="B1439" s="52" t="n"/>
      <c r="C1439" s="52" t="n"/>
      <c r="D1439" s="53" t="n"/>
      <c r="E1439" s="53" t="n"/>
      <c r="F1439" s="54" t="n"/>
      <c r="G1439" s="54" t="n"/>
      <c r="H1439" s="54" t="n"/>
      <c r="I1439" s="54" t="n"/>
      <c r="J1439" s="53" t="n"/>
      <c r="K1439" s="55" t="str">
        <f>IF(COUNTA(A1439:I1439)=0,"",IF(F1439="",IFERROR(INDEX(eq_dur,MATCH(B1439,eq_code,0)),""),F1439))</f>
        <v/>
      </c>
      <c r="L1439" s="55" t="str">
        <f>IF(ISNUMBER(K1439),N(IFERROR(INDEX(eq_pause,MATCH(B1439,eq_code,0)),0))+SUMIFS(st_min,st_date,A1439,st_eq,B1439,st_po,C1439,st_type,"Planifié"),"")</f>
        <v/>
      </c>
      <c r="M1439" s="55" t="str">
        <f>IF(ISNUMBER(K1439),K1439-L1439,"")</f>
        <v/>
      </c>
      <c r="N1439" s="55" t="str">
        <f>IF(ISNUMBER(K1439),SUMIFS(st_min,st_date,A1439,st_eq,B1439,st_po,C1439,st_type,"Non planifié"),"")</f>
        <v/>
      </c>
      <c r="O1439" s="55" t="str">
        <f>IF(ISNUMBER(K1439),M1439-N1439,"")</f>
        <v/>
      </c>
      <c r="P1439" s="55" t="str">
        <f>IF(COUNTA(A1439:I1439)=0,"",N(G1439)+N(H1439)+N(I1439))</f>
        <v/>
      </c>
      <c r="Q1439" s="56" t="str">
        <f>IF(COUNTA(A1439:I1439)=0,"",IF(N(IFERROR(INDEX(art_rate,MATCH(E1439,art_ref,0)),0))&gt;0,N(IFERROR(INDEX(art_rate,MATCH(E1439,art_ref,0)),0)),N(IFERROR(INDEX(po_rate,MATCH(C1439,po_code,0)),0))))</f>
        <v/>
      </c>
      <c r="R1439" s="55" t="str">
        <f>IF(AC1439=1,P1439*60/Q1439,"")</f>
        <v/>
      </c>
      <c r="S1439" s="55" t="str">
        <f>IF(AC1439=1,N(G1439)*60/Q1439,"")</f>
        <v/>
      </c>
      <c r="T1439" s="57" t="str">
        <f>IF(AC1439=1,O1439/M1439,"")</f>
        <v/>
      </c>
      <c r="U1439" s="57" t="str">
        <f>IF(AC1439=1,IF(O1439&gt;0,R1439/O1439,""),"")</f>
        <v/>
      </c>
      <c r="V1439" s="57" t="str">
        <f>IF(AC1439=1,IF(P1439&gt;0,N(G1439)/P1439,""),"")</f>
        <v/>
      </c>
      <c r="W1439" s="57" t="str">
        <f>IF(AC1439=1,S1439/M1439,"")</f>
        <v/>
      </c>
      <c r="X1439" s="57" t="str">
        <f>IF(AC1439=1,S1439/K1439,"")</f>
        <v/>
      </c>
      <c r="Y1439" s="58" t="str">
        <f>IF(W1439="","",IF(W1439&gt;=p_target,"Bon",IF(W1439&gt;=p_alert,"À surveiller","Faible")))</f>
        <v/>
      </c>
      <c r="Z1439" s="58" t="str">
        <f>IF(W1439="","",IF(MIN(IF(T1439="",1,T1439),IF(U1439="",1,U1439),IF(V1439="",1,V1439))&gt;=1,"Aucune",IF(IF(T1439="",1,T1439)&lt;=MIN(IF(U1439="",1,U1439),IF(V1439="",1,V1439)),"Disponibilité",IF(IF(U1439="",1,U1439)&lt;=IF(V1439="",1,V1439),"Performance","Qualité"))))</f>
        <v/>
      </c>
      <c r="AA1439" s="59" t="str">
        <f>IF(AC1439=1,N(H1439)*N(IFERROR(INDEX(art_cost,MATCH(E1439,art_ref,0)),0)),"")</f>
        <v/>
      </c>
      <c r="AB1439" s="58" t="str">
        <f>IF(COUNTA(A1439:I1439)=0,"",IF(N(A1439)&lt;=0,"Date manquante ou invalide",IF(B1439="","Équipe manquante",IF(ISNA(MATCH(B1439,eq_code,0)),"Équipe inconnue",IF(INDEX(eq_check,MATCH(B1439,eq_code,0))&lt;&gt;"OK","Équipe à corriger dans Paramètres",IF(C1439="","Poste manquant",IF(ISNA(MATCH(C1439,po_code,0)),"Poste inconnu",IF(AND(E1439&lt;&gt;"",ISNA(MATCH(E1439,art_ref,0))),"Article inconnu",IF(IF(E1439="",FALSE,INDEX(art_check,MATCH(E1439,art_ref,0))&lt;&gt;"OK"),"Article à corriger (feuille Articles)",IF(COUNTIFS(sj_date,A1439,sj_eq,B1439,sj_po,C1439)&gt;1,"Ligne en double (même jour, équipe et poste)",IF(OR(NOT(ISNUMBER(K1439)),N(K1439)&lt;=0,N(K1439)&gt;1440),"Temps d'ouverture invalide",IF(OR(AND(G1439&lt;&gt;"",NOT(ISNUMBER(G1439))),N(G1439)&lt;0,N(G1439)&lt;&gt;INT(N(G1439)),AND(H1439&lt;&gt;"",NOT(ISNUMBER(H1439))),N(H1439)&lt;0,N(H1439)&lt;&gt;INT(N(H1439)),AND(I1439&lt;&gt;"",NOT(ISNUMBER(I1439))),N(I1439)&lt;0,N(I1439)&lt;&gt;INT(N(I1439))),"Quantité invalide",IF(Q1439&lt;=0,"Cadence manquante (poste ou article)",IF(M1439&lt;=0,"Arrêts planifiés supérieurs au temps d'ouverture",IF(O1439&lt;0,"Arrêts supérieurs au temps requis",IF(AND(P1439&gt;0,O1439=0),"Pièces déclarées sans temps de marche",IF(AND(P1439=0,O1439&gt;0),"Aucune pièce déclarée",IF(P1439*60/Q1439&gt;O1439+0.001,"Cadence dépassée : vérifiez la cadence","OK"))))))))))))))))))</f>
        <v/>
      </c>
      <c r="AC1439">
        <f>IF(OR(AB1439="OK",AB1439="Aucune pièce déclarée",AB1439="Cadence dépassée : vérifiez la cadence"),1,0)</f>
        <v>0.0</v>
      </c>
      <c r="AD1439">
        <f>IF(AND(AC1439=1,A1439&gt;=p_from,A1439&lt;=p_to),1,0)</f>
        <v>0.0</v>
      </c>
      <c r="AE1439">
        <f>IF(AD1439=1,IF(COUNTIFS($A$6:A1439,A1439,$AD$6:AD1439,1)=1,1,0),0)</f>
        <v>0.0</v>
      </c>
      <c r="AF1439" t="str">
        <f>IF(AE1439=1,COUNTIFS(sj_first,1,sj_date,"&lt;"&amp;A1439)+1,"")</f>
        <v/>
      </c>
      <c r="AG1439" t="str">
        <f>IF(AND(AD1439=1,N(W1439)&lt;p_alert),ROUND(W1439,4),"")</f>
        <v/>
      </c>
      <c r="AH1439" t="str">
        <f>IF(AG1439="","",COUNTIF(sj_akey,"&lt;"&amp;AG1439)+COUNTIF($AG$6:AG1439,AG1439))</f>
        <v/>
      </c>
    </row>
    <row r="1440">
      <c r="A1440" s="51" t="n"/>
      <c r="B1440" s="52" t="n"/>
      <c r="C1440" s="52" t="n"/>
      <c r="D1440" s="53" t="n"/>
      <c r="E1440" s="53" t="n"/>
      <c r="F1440" s="54" t="n"/>
      <c r="G1440" s="54" t="n"/>
      <c r="H1440" s="54" t="n"/>
      <c r="I1440" s="54" t="n"/>
      <c r="J1440" s="53" t="n"/>
      <c r="K1440" s="55" t="str">
        <f>IF(COUNTA(A1440:I1440)=0,"",IF(F1440="",IFERROR(INDEX(eq_dur,MATCH(B1440,eq_code,0)),""),F1440))</f>
        <v/>
      </c>
      <c r="L1440" s="55" t="str">
        <f>IF(ISNUMBER(K1440),N(IFERROR(INDEX(eq_pause,MATCH(B1440,eq_code,0)),0))+SUMIFS(st_min,st_date,A1440,st_eq,B1440,st_po,C1440,st_type,"Planifié"),"")</f>
        <v/>
      </c>
      <c r="M1440" s="55" t="str">
        <f>IF(ISNUMBER(K1440),K1440-L1440,"")</f>
        <v/>
      </c>
      <c r="N1440" s="55" t="str">
        <f>IF(ISNUMBER(K1440),SUMIFS(st_min,st_date,A1440,st_eq,B1440,st_po,C1440,st_type,"Non planifié"),"")</f>
        <v/>
      </c>
      <c r="O1440" s="55" t="str">
        <f>IF(ISNUMBER(K1440),M1440-N1440,"")</f>
        <v/>
      </c>
      <c r="P1440" s="55" t="str">
        <f>IF(COUNTA(A1440:I1440)=0,"",N(G1440)+N(H1440)+N(I1440))</f>
        <v/>
      </c>
      <c r="Q1440" s="56" t="str">
        <f>IF(COUNTA(A1440:I1440)=0,"",IF(N(IFERROR(INDEX(art_rate,MATCH(E1440,art_ref,0)),0))&gt;0,N(IFERROR(INDEX(art_rate,MATCH(E1440,art_ref,0)),0)),N(IFERROR(INDEX(po_rate,MATCH(C1440,po_code,0)),0))))</f>
        <v/>
      </c>
      <c r="R1440" s="55" t="str">
        <f>IF(AC1440=1,P1440*60/Q1440,"")</f>
        <v/>
      </c>
      <c r="S1440" s="55" t="str">
        <f>IF(AC1440=1,N(G1440)*60/Q1440,"")</f>
        <v/>
      </c>
      <c r="T1440" s="57" t="str">
        <f>IF(AC1440=1,O1440/M1440,"")</f>
        <v/>
      </c>
      <c r="U1440" s="57" t="str">
        <f>IF(AC1440=1,IF(O1440&gt;0,R1440/O1440,""),"")</f>
        <v/>
      </c>
      <c r="V1440" s="57" t="str">
        <f>IF(AC1440=1,IF(P1440&gt;0,N(G1440)/P1440,""),"")</f>
        <v/>
      </c>
      <c r="W1440" s="57" t="str">
        <f>IF(AC1440=1,S1440/M1440,"")</f>
        <v/>
      </c>
      <c r="X1440" s="57" t="str">
        <f>IF(AC1440=1,S1440/K1440,"")</f>
        <v/>
      </c>
      <c r="Y1440" s="58" t="str">
        <f>IF(W1440="","",IF(W1440&gt;=p_target,"Bon",IF(W1440&gt;=p_alert,"À surveiller","Faible")))</f>
        <v/>
      </c>
      <c r="Z1440" s="58" t="str">
        <f>IF(W1440="","",IF(MIN(IF(T1440="",1,T1440),IF(U1440="",1,U1440),IF(V1440="",1,V1440))&gt;=1,"Aucune",IF(IF(T1440="",1,T1440)&lt;=MIN(IF(U1440="",1,U1440),IF(V1440="",1,V1440)),"Disponibilité",IF(IF(U1440="",1,U1440)&lt;=IF(V1440="",1,V1440),"Performance","Qualité"))))</f>
        <v/>
      </c>
      <c r="AA1440" s="59" t="str">
        <f>IF(AC1440=1,N(H1440)*N(IFERROR(INDEX(art_cost,MATCH(E1440,art_ref,0)),0)),"")</f>
        <v/>
      </c>
      <c r="AB1440" s="58" t="str">
        <f>IF(COUNTA(A1440:I1440)=0,"",IF(N(A1440)&lt;=0,"Date manquante ou invalide",IF(B1440="","Équipe manquante",IF(ISNA(MATCH(B1440,eq_code,0)),"Équipe inconnue",IF(INDEX(eq_check,MATCH(B1440,eq_code,0))&lt;&gt;"OK","Équipe à corriger dans Paramètres",IF(C1440="","Poste manquant",IF(ISNA(MATCH(C1440,po_code,0)),"Poste inconnu",IF(AND(E1440&lt;&gt;"",ISNA(MATCH(E1440,art_ref,0))),"Article inconnu",IF(IF(E1440="",FALSE,INDEX(art_check,MATCH(E1440,art_ref,0))&lt;&gt;"OK"),"Article à corriger (feuille Articles)",IF(COUNTIFS(sj_date,A1440,sj_eq,B1440,sj_po,C1440)&gt;1,"Ligne en double (même jour, équipe et poste)",IF(OR(NOT(ISNUMBER(K1440)),N(K1440)&lt;=0,N(K1440)&gt;1440),"Temps d'ouverture invalide",IF(OR(AND(G1440&lt;&gt;"",NOT(ISNUMBER(G1440))),N(G1440)&lt;0,N(G1440)&lt;&gt;INT(N(G1440)),AND(H1440&lt;&gt;"",NOT(ISNUMBER(H1440))),N(H1440)&lt;0,N(H1440)&lt;&gt;INT(N(H1440)),AND(I1440&lt;&gt;"",NOT(ISNUMBER(I1440))),N(I1440)&lt;0,N(I1440)&lt;&gt;INT(N(I1440))),"Quantité invalide",IF(Q1440&lt;=0,"Cadence manquante (poste ou article)",IF(M1440&lt;=0,"Arrêts planifiés supérieurs au temps d'ouverture",IF(O1440&lt;0,"Arrêts supérieurs au temps requis",IF(AND(P1440&gt;0,O1440=0),"Pièces déclarées sans temps de marche",IF(AND(P1440=0,O1440&gt;0),"Aucune pièce déclarée",IF(P1440*60/Q1440&gt;O1440+0.001,"Cadence dépassée : vérifiez la cadence","OK"))))))))))))))))))</f>
        <v/>
      </c>
      <c r="AC1440">
        <f>IF(OR(AB1440="OK",AB1440="Aucune pièce déclarée",AB1440="Cadence dépassée : vérifiez la cadence"),1,0)</f>
        <v>0.0</v>
      </c>
      <c r="AD1440">
        <f>IF(AND(AC1440=1,A1440&gt;=p_from,A1440&lt;=p_to),1,0)</f>
        <v>0.0</v>
      </c>
      <c r="AE1440">
        <f>IF(AD1440=1,IF(COUNTIFS($A$6:A1440,A1440,$AD$6:AD1440,1)=1,1,0),0)</f>
        <v>0.0</v>
      </c>
      <c r="AF1440" t="str">
        <f>IF(AE1440=1,COUNTIFS(sj_first,1,sj_date,"&lt;"&amp;A1440)+1,"")</f>
        <v/>
      </c>
      <c r="AG1440" t="str">
        <f>IF(AND(AD1440=1,N(W1440)&lt;p_alert),ROUND(W1440,4),"")</f>
        <v/>
      </c>
      <c r="AH1440" t="str">
        <f>IF(AG1440="","",COUNTIF(sj_akey,"&lt;"&amp;AG1440)+COUNTIF($AG$6:AG1440,AG1440))</f>
        <v/>
      </c>
    </row>
    <row r="1441">
      <c r="A1441" s="51" t="n"/>
      <c r="B1441" s="52" t="n"/>
      <c r="C1441" s="52" t="n"/>
      <c r="D1441" s="53" t="n"/>
      <c r="E1441" s="53" t="n"/>
      <c r="F1441" s="54" t="n"/>
      <c r="G1441" s="54" t="n"/>
      <c r="H1441" s="54" t="n"/>
      <c r="I1441" s="54" t="n"/>
      <c r="J1441" s="53" t="n"/>
      <c r="K1441" s="55" t="str">
        <f>IF(COUNTA(A1441:I1441)=0,"",IF(F1441="",IFERROR(INDEX(eq_dur,MATCH(B1441,eq_code,0)),""),F1441))</f>
        <v/>
      </c>
      <c r="L1441" s="55" t="str">
        <f>IF(ISNUMBER(K1441),N(IFERROR(INDEX(eq_pause,MATCH(B1441,eq_code,0)),0))+SUMIFS(st_min,st_date,A1441,st_eq,B1441,st_po,C1441,st_type,"Planifié"),"")</f>
        <v/>
      </c>
      <c r="M1441" s="55" t="str">
        <f>IF(ISNUMBER(K1441),K1441-L1441,"")</f>
        <v/>
      </c>
      <c r="N1441" s="55" t="str">
        <f>IF(ISNUMBER(K1441),SUMIFS(st_min,st_date,A1441,st_eq,B1441,st_po,C1441,st_type,"Non planifié"),"")</f>
        <v/>
      </c>
      <c r="O1441" s="55" t="str">
        <f>IF(ISNUMBER(K1441),M1441-N1441,"")</f>
        <v/>
      </c>
      <c r="P1441" s="55" t="str">
        <f>IF(COUNTA(A1441:I1441)=0,"",N(G1441)+N(H1441)+N(I1441))</f>
        <v/>
      </c>
      <c r="Q1441" s="56" t="str">
        <f>IF(COUNTA(A1441:I1441)=0,"",IF(N(IFERROR(INDEX(art_rate,MATCH(E1441,art_ref,0)),0))&gt;0,N(IFERROR(INDEX(art_rate,MATCH(E1441,art_ref,0)),0)),N(IFERROR(INDEX(po_rate,MATCH(C1441,po_code,0)),0))))</f>
        <v/>
      </c>
      <c r="R1441" s="55" t="str">
        <f>IF(AC1441=1,P1441*60/Q1441,"")</f>
        <v/>
      </c>
      <c r="S1441" s="55" t="str">
        <f>IF(AC1441=1,N(G1441)*60/Q1441,"")</f>
        <v/>
      </c>
      <c r="T1441" s="57" t="str">
        <f>IF(AC1441=1,O1441/M1441,"")</f>
        <v/>
      </c>
      <c r="U1441" s="57" t="str">
        <f>IF(AC1441=1,IF(O1441&gt;0,R1441/O1441,""),"")</f>
        <v/>
      </c>
      <c r="V1441" s="57" t="str">
        <f>IF(AC1441=1,IF(P1441&gt;0,N(G1441)/P1441,""),"")</f>
        <v/>
      </c>
      <c r="W1441" s="57" t="str">
        <f>IF(AC1441=1,S1441/M1441,"")</f>
        <v/>
      </c>
      <c r="X1441" s="57" t="str">
        <f>IF(AC1441=1,S1441/K1441,"")</f>
        <v/>
      </c>
      <c r="Y1441" s="58" t="str">
        <f>IF(W1441="","",IF(W1441&gt;=p_target,"Bon",IF(W1441&gt;=p_alert,"À surveiller","Faible")))</f>
        <v/>
      </c>
      <c r="Z1441" s="58" t="str">
        <f>IF(W1441="","",IF(MIN(IF(T1441="",1,T1441),IF(U1441="",1,U1441),IF(V1441="",1,V1441))&gt;=1,"Aucune",IF(IF(T1441="",1,T1441)&lt;=MIN(IF(U1441="",1,U1441),IF(V1441="",1,V1441)),"Disponibilité",IF(IF(U1441="",1,U1441)&lt;=IF(V1441="",1,V1441),"Performance","Qualité"))))</f>
        <v/>
      </c>
      <c r="AA1441" s="59" t="str">
        <f>IF(AC1441=1,N(H1441)*N(IFERROR(INDEX(art_cost,MATCH(E1441,art_ref,0)),0)),"")</f>
        <v/>
      </c>
      <c r="AB1441" s="58" t="str">
        <f>IF(COUNTA(A1441:I1441)=0,"",IF(N(A1441)&lt;=0,"Date manquante ou invalide",IF(B1441="","Équipe manquante",IF(ISNA(MATCH(B1441,eq_code,0)),"Équipe inconnue",IF(INDEX(eq_check,MATCH(B1441,eq_code,0))&lt;&gt;"OK","Équipe à corriger dans Paramètres",IF(C1441="","Poste manquant",IF(ISNA(MATCH(C1441,po_code,0)),"Poste inconnu",IF(AND(E1441&lt;&gt;"",ISNA(MATCH(E1441,art_ref,0))),"Article inconnu",IF(IF(E1441="",FALSE,INDEX(art_check,MATCH(E1441,art_ref,0))&lt;&gt;"OK"),"Article à corriger (feuille Articles)",IF(COUNTIFS(sj_date,A1441,sj_eq,B1441,sj_po,C1441)&gt;1,"Ligne en double (même jour, équipe et poste)",IF(OR(NOT(ISNUMBER(K1441)),N(K1441)&lt;=0,N(K1441)&gt;1440),"Temps d'ouverture invalide",IF(OR(AND(G1441&lt;&gt;"",NOT(ISNUMBER(G1441))),N(G1441)&lt;0,N(G1441)&lt;&gt;INT(N(G1441)),AND(H1441&lt;&gt;"",NOT(ISNUMBER(H1441))),N(H1441)&lt;0,N(H1441)&lt;&gt;INT(N(H1441)),AND(I1441&lt;&gt;"",NOT(ISNUMBER(I1441))),N(I1441)&lt;0,N(I1441)&lt;&gt;INT(N(I1441))),"Quantité invalide",IF(Q1441&lt;=0,"Cadence manquante (poste ou article)",IF(M1441&lt;=0,"Arrêts planifiés supérieurs au temps d'ouverture",IF(O1441&lt;0,"Arrêts supérieurs au temps requis",IF(AND(P1441&gt;0,O1441=0),"Pièces déclarées sans temps de marche",IF(AND(P1441=0,O1441&gt;0),"Aucune pièce déclarée",IF(P1441*60/Q1441&gt;O1441+0.001,"Cadence dépassée : vérifiez la cadence","OK"))))))))))))))))))</f>
        <v/>
      </c>
      <c r="AC1441">
        <f>IF(OR(AB1441="OK",AB1441="Aucune pièce déclarée",AB1441="Cadence dépassée : vérifiez la cadence"),1,0)</f>
        <v>0.0</v>
      </c>
      <c r="AD1441">
        <f>IF(AND(AC1441=1,A1441&gt;=p_from,A1441&lt;=p_to),1,0)</f>
        <v>0.0</v>
      </c>
      <c r="AE1441">
        <f>IF(AD1441=1,IF(COUNTIFS($A$6:A1441,A1441,$AD$6:AD1441,1)=1,1,0),0)</f>
        <v>0.0</v>
      </c>
      <c r="AF1441" t="str">
        <f>IF(AE1441=1,COUNTIFS(sj_first,1,sj_date,"&lt;"&amp;A1441)+1,"")</f>
        <v/>
      </c>
      <c r="AG1441" t="str">
        <f>IF(AND(AD1441=1,N(W1441)&lt;p_alert),ROUND(W1441,4),"")</f>
        <v/>
      </c>
      <c r="AH1441" t="str">
        <f>IF(AG1441="","",COUNTIF(sj_akey,"&lt;"&amp;AG1441)+COUNTIF($AG$6:AG1441,AG1441))</f>
        <v/>
      </c>
    </row>
    <row r="1442">
      <c r="A1442" s="51" t="n"/>
      <c r="B1442" s="52" t="n"/>
      <c r="C1442" s="52" t="n"/>
      <c r="D1442" s="53" t="n"/>
      <c r="E1442" s="53" t="n"/>
      <c r="F1442" s="54" t="n"/>
      <c r="G1442" s="54" t="n"/>
      <c r="H1442" s="54" t="n"/>
      <c r="I1442" s="54" t="n"/>
      <c r="J1442" s="53" t="n"/>
      <c r="K1442" s="55" t="str">
        <f>IF(COUNTA(A1442:I1442)=0,"",IF(F1442="",IFERROR(INDEX(eq_dur,MATCH(B1442,eq_code,0)),""),F1442))</f>
        <v/>
      </c>
      <c r="L1442" s="55" t="str">
        <f>IF(ISNUMBER(K1442),N(IFERROR(INDEX(eq_pause,MATCH(B1442,eq_code,0)),0))+SUMIFS(st_min,st_date,A1442,st_eq,B1442,st_po,C1442,st_type,"Planifié"),"")</f>
        <v/>
      </c>
      <c r="M1442" s="55" t="str">
        <f>IF(ISNUMBER(K1442),K1442-L1442,"")</f>
        <v/>
      </c>
      <c r="N1442" s="55" t="str">
        <f>IF(ISNUMBER(K1442),SUMIFS(st_min,st_date,A1442,st_eq,B1442,st_po,C1442,st_type,"Non planifié"),"")</f>
        <v/>
      </c>
      <c r="O1442" s="55" t="str">
        <f>IF(ISNUMBER(K1442),M1442-N1442,"")</f>
        <v/>
      </c>
      <c r="P1442" s="55" t="str">
        <f>IF(COUNTA(A1442:I1442)=0,"",N(G1442)+N(H1442)+N(I1442))</f>
        <v/>
      </c>
      <c r="Q1442" s="56" t="str">
        <f>IF(COUNTA(A1442:I1442)=0,"",IF(N(IFERROR(INDEX(art_rate,MATCH(E1442,art_ref,0)),0))&gt;0,N(IFERROR(INDEX(art_rate,MATCH(E1442,art_ref,0)),0)),N(IFERROR(INDEX(po_rate,MATCH(C1442,po_code,0)),0))))</f>
        <v/>
      </c>
      <c r="R1442" s="55" t="str">
        <f>IF(AC1442=1,P1442*60/Q1442,"")</f>
        <v/>
      </c>
      <c r="S1442" s="55" t="str">
        <f>IF(AC1442=1,N(G1442)*60/Q1442,"")</f>
        <v/>
      </c>
      <c r="T1442" s="57" t="str">
        <f>IF(AC1442=1,O1442/M1442,"")</f>
        <v/>
      </c>
      <c r="U1442" s="57" t="str">
        <f>IF(AC1442=1,IF(O1442&gt;0,R1442/O1442,""),"")</f>
        <v/>
      </c>
      <c r="V1442" s="57" t="str">
        <f>IF(AC1442=1,IF(P1442&gt;0,N(G1442)/P1442,""),"")</f>
        <v/>
      </c>
      <c r="W1442" s="57" t="str">
        <f>IF(AC1442=1,S1442/M1442,"")</f>
        <v/>
      </c>
      <c r="X1442" s="57" t="str">
        <f>IF(AC1442=1,S1442/K1442,"")</f>
        <v/>
      </c>
      <c r="Y1442" s="58" t="str">
        <f>IF(W1442="","",IF(W1442&gt;=p_target,"Bon",IF(W1442&gt;=p_alert,"À surveiller","Faible")))</f>
        <v/>
      </c>
      <c r="Z1442" s="58" t="str">
        <f>IF(W1442="","",IF(MIN(IF(T1442="",1,T1442),IF(U1442="",1,U1442),IF(V1442="",1,V1442))&gt;=1,"Aucune",IF(IF(T1442="",1,T1442)&lt;=MIN(IF(U1442="",1,U1442),IF(V1442="",1,V1442)),"Disponibilité",IF(IF(U1442="",1,U1442)&lt;=IF(V1442="",1,V1442),"Performance","Qualité"))))</f>
        <v/>
      </c>
      <c r="AA1442" s="59" t="str">
        <f>IF(AC1442=1,N(H1442)*N(IFERROR(INDEX(art_cost,MATCH(E1442,art_ref,0)),0)),"")</f>
        <v/>
      </c>
      <c r="AB1442" s="58" t="str">
        <f>IF(COUNTA(A1442:I1442)=0,"",IF(N(A1442)&lt;=0,"Date manquante ou invalide",IF(B1442="","Équipe manquante",IF(ISNA(MATCH(B1442,eq_code,0)),"Équipe inconnue",IF(INDEX(eq_check,MATCH(B1442,eq_code,0))&lt;&gt;"OK","Équipe à corriger dans Paramètres",IF(C1442="","Poste manquant",IF(ISNA(MATCH(C1442,po_code,0)),"Poste inconnu",IF(AND(E1442&lt;&gt;"",ISNA(MATCH(E1442,art_ref,0))),"Article inconnu",IF(IF(E1442="",FALSE,INDEX(art_check,MATCH(E1442,art_ref,0))&lt;&gt;"OK"),"Article à corriger (feuille Articles)",IF(COUNTIFS(sj_date,A1442,sj_eq,B1442,sj_po,C1442)&gt;1,"Ligne en double (même jour, équipe et poste)",IF(OR(NOT(ISNUMBER(K1442)),N(K1442)&lt;=0,N(K1442)&gt;1440),"Temps d'ouverture invalide",IF(OR(AND(G1442&lt;&gt;"",NOT(ISNUMBER(G1442))),N(G1442)&lt;0,N(G1442)&lt;&gt;INT(N(G1442)),AND(H1442&lt;&gt;"",NOT(ISNUMBER(H1442))),N(H1442)&lt;0,N(H1442)&lt;&gt;INT(N(H1442)),AND(I1442&lt;&gt;"",NOT(ISNUMBER(I1442))),N(I1442)&lt;0,N(I1442)&lt;&gt;INT(N(I1442))),"Quantité invalide",IF(Q1442&lt;=0,"Cadence manquante (poste ou article)",IF(M1442&lt;=0,"Arrêts planifiés supérieurs au temps d'ouverture",IF(O1442&lt;0,"Arrêts supérieurs au temps requis",IF(AND(P1442&gt;0,O1442=0),"Pièces déclarées sans temps de marche",IF(AND(P1442=0,O1442&gt;0),"Aucune pièce déclarée",IF(P1442*60/Q1442&gt;O1442+0.001,"Cadence dépassée : vérifiez la cadence","OK"))))))))))))))))))</f>
        <v/>
      </c>
      <c r="AC1442">
        <f>IF(OR(AB1442="OK",AB1442="Aucune pièce déclarée",AB1442="Cadence dépassée : vérifiez la cadence"),1,0)</f>
        <v>0.0</v>
      </c>
      <c r="AD1442">
        <f>IF(AND(AC1442=1,A1442&gt;=p_from,A1442&lt;=p_to),1,0)</f>
        <v>0.0</v>
      </c>
      <c r="AE1442">
        <f>IF(AD1442=1,IF(COUNTIFS($A$6:A1442,A1442,$AD$6:AD1442,1)=1,1,0),0)</f>
        <v>0.0</v>
      </c>
      <c r="AF1442" t="str">
        <f>IF(AE1442=1,COUNTIFS(sj_first,1,sj_date,"&lt;"&amp;A1442)+1,"")</f>
        <v/>
      </c>
      <c r="AG1442" t="str">
        <f>IF(AND(AD1442=1,N(W1442)&lt;p_alert),ROUND(W1442,4),"")</f>
        <v/>
      </c>
      <c r="AH1442" t="str">
        <f>IF(AG1442="","",COUNTIF(sj_akey,"&lt;"&amp;AG1442)+COUNTIF($AG$6:AG1442,AG1442))</f>
        <v/>
      </c>
    </row>
    <row r="1443">
      <c r="A1443" s="51" t="n"/>
      <c r="B1443" s="52" t="n"/>
      <c r="C1443" s="52" t="n"/>
      <c r="D1443" s="53" t="n"/>
      <c r="E1443" s="53" t="n"/>
      <c r="F1443" s="54" t="n"/>
      <c r="G1443" s="54" t="n"/>
      <c r="H1443" s="54" t="n"/>
      <c r="I1443" s="54" t="n"/>
      <c r="J1443" s="53" t="n"/>
      <c r="K1443" s="55" t="str">
        <f>IF(COUNTA(A1443:I1443)=0,"",IF(F1443="",IFERROR(INDEX(eq_dur,MATCH(B1443,eq_code,0)),""),F1443))</f>
        <v/>
      </c>
      <c r="L1443" s="55" t="str">
        <f>IF(ISNUMBER(K1443),N(IFERROR(INDEX(eq_pause,MATCH(B1443,eq_code,0)),0))+SUMIFS(st_min,st_date,A1443,st_eq,B1443,st_po,C1443,st_type,"Planifié"),"")</f>
        <v/>
      </c>
      <c r="M1443" s="55" t="str">
        <f>IF(ISNUMBER(K1443),K1443-L1443,"")</f>
        <v/>
      </c>
      <c r="N1443" s="55" t="str">
        <f>IF(ISNUMBER(K1443),SUMIFS(st_min,st_date,A1443,st_eq,B1443,st_po,C1443,st_type,"Non planifié"),"")</f>
        <v/>
      </c>
      <c r="O1443" s="55" t="str">
        <f>IF(ISNUMBER(K1443),M1443-N1443,"")</f>
        <v/>
      </c>
      <c r="P1443" s="55" t="str">
        <f>IF(COUNTA(A1443:I1443)=0,"",N(G1443)+N(H1443)+N(I1443))</f>
        <v/>
      </c>
      <c r="Q1443" s="56" t="str">
        <f>IF(COUNTA(A1443:I1443)=0,"",IF(N(IFERROR(INDEX(art_rate,MATCH(E1443,art_ref,0)),0))&gt;0,N(IFERROR(INDEX(art_rate,MATCH(E1443,art_ref,0)),0)),N(IFERROR(INDEX(po_rate,MATCH(C1443,po_code,0)),0))))</f>
        <v/>
      </c>
      <c r="R1443" s="55" t="str">
        <f>IF(AC1443=1,P1443*60/Q1443,"")</f>
        <v/>
      </c>
      <c r="S1443" s="55" t="str">
        <f>IF(AC1443=1,N(G1443)*60/Q1443,"")</f>
        <v/>
      </c>
      <c r="T1443" s="57" t="str">
        <f>IF(AC1443=1,O1443/M1443,"")</f>
        <v/>
      </c>
      <c r="U1443" s="57" t="str">
        <f>IF(AC1443=1,IF(O1443&gt;0,R1443/O1443,""),"")</f>
        <v/>
      </c>
      <c r="V1443" s="57" t="str">
        <f>IF(AC1443=1,IF(P1443&gt;0,N(G1443)/P1443,""),"")</f>
        <v/>
      </c>
      <c r="W1443" s="57" t="str">
        <f>IF(AC1443=1,S1443/M1443,"")</f>
        <v/>
      </c>
      <c r="X1443" s="57" t="str">
        <f>IF(AC1443=1,S1443/K1443,"")</f>
        <v/>
      </c>
      <c r="Y1443" s="58" t="str">
        <f>IF(W1443="","",IF(W1443&gt;=p_target,"Bon",IF(W1443&gt;=p_alert,"À surveiller","Faible")))</f>
        <v/>
      </c>
      <c r="Z1443" s="58" t="str">
        <f>IF(W1443="","",IF(MIN(IF(T1443="",1,T1443),IF(U1443="",1,U1443),IF(V1443="",1,V1443))&gt;=1,"Aucune",IF(IF(T1443="",1,T1443)&lt;=MIN(IF(U1443="",1,U1443),IF(V1443="",1,V1443)),"Disponibilité",IF(IF(U1443="",1,U1443)&lt;=IF(V1443="",1,V1443),"Performance","Qualité"))))</f>
        <v/>
      </c>
      <c r="AA1443" s="59" t="str">
        <f>IF(AC1443=1,N(H1443)*N(IFERROR(INDEX(art_cost,MATCH(E1443,art_ref,0)),0)),"")</f>
        <v/>
      </c>
      <c r="AB1443" s="58" t="str">
        <f>IF(COUNTA(A1443:I1443)=0,"",IF(N(A1443)&lt;=0,"Date manquante ou invalide",IF(B1443="","Équipe manquante",IF(ISNA(MATCH(B1443,eq_code,0)),"Équipe inconnue",IF(INDEX(eq_check,MATCH(B1443,eq_code,0))&lt;&gt;"OK","Équipe à corriger dans Paramètres",IF(C1443="","Poste manquant",IF(ISNA(MATCH(C1443,po_code,0)),"Poste inconnu",IF(AND(E1443&lt;&gt;"",ISNA(MATCH(E1443,art_ref,0))),"Article inconnu",IF(IF(E1443="",FALSE,INDEX(art_check,MATCH(E1443,art_ref,0))&lt;&gt;"OK"),"Article à corriger (feuille Articles)",IF(COUNTIFS(sj_date,A1443,sj_eq,B1443,sj_po,C1443)&gt;1,"Ligne en double (même jour, équipe et poste)",IF(OR(NOT(ISNUMBER(K1443)),N(K1443)&lt;=0,N(K1443)&gt;1440),"Temps d'ouverture invalide",IF(OR(AND(G1443&lt;&gt;"",NOT(ISNUMBER(G1443))),N(G1443)&lt;0,N(G1443)&lt;&gt;INT(N(G1443)),AND(H1443&lt;&gt;"",NOT(ISNUMBER(H1443))),N(H1443)&lt;0,N(H1443)&lt;&gt;INT(N(H1443)),AND(I1443&lt;&gt;"",NOT(ISNUMBER(I1443))),N(I1443)&lt;0,N(I1443)&lt;&gt;INT(N(I1443))),"Quantité invalide",IF(Q1443&lt;=0,"Cadence manquante (poste ou article)",IF(M1443&lt;=0,"Arrêts planifiés supérieurs au temps d'ouverture",IF(O1443&lt;0,"Arrêts supérieurs au temps requis",IF(AND(P1443&gt;0,O1443=0),"Pièces déclarées sans temps de marche",IF(AND(P1443=0,O1443&gt;0),"Aucune pièce déclarée",IF(P1443*60/Q1443&gt;O1443+0.001,"Cadence dépassée : vérifiez la cadence","OK"))))))))))))))))))</f>
        <v/>
      </c>
      <c r="AC1443">
        <f>IF(OR(AB1443="OK",AB1443="Aucune pièce déclarée",AB1443="Cadence dépassée : vérifiez la cadence"),1,0)</f>
        <v>0.0</v>
      </c>
      <c r="AD1443">
        <f>IF(AND(AC1443=1,A1443&gt;=p_from,A1443&lt;=p_to),1,0)</f>
        <v>0.0</v>
      </c>
      <c r="AE1443">
        <f>IF(AD1443=1,IF(COUNTIFS($A$6:A1443,A1443,$AD$6:AD1443,1)=1,1,0),0)</f>
        <v>0.0</v>
      </c>
      <c r="AF1443" t="str">
        <f>IF(AE1443=1,COUNTIFS(sj_first,1,sj_date,"&lt;"&amp;A1443)+1,"")</f>
        <v/>
      </c>
      <c r="AG1443" t="str">
        <f>IF(AND(AD1443=1,N(W1443)&lt;p_alert),ROUND(W1443,4),"")</f>
        <v/>
      </c>
      <c r="AH1443" t="str">
        <f>IF(AG1443="","",COUNTIF(sj_akey,"&lt;"&amp;AG1443)+COUNTIF($AG$6:AG1443,AG1443))</f>
        <v/>
      </c>
    </row>
    <row r="1444">
      <c r="A1444" s="51" t="n"/>
      <c r="B1444" s="52" t="n"/>
      <c r="C1444" s="52" t="n"/>
      <c r="D1444" s="53" t="n"/>
      <c r="E1444" s="53" t="n"/>
      <c r="F1444" s="54" t="n"/>
      <c r="G1444" s="54" t="n"/>
      <c r="H1444" s="54" t="n"/>
      <c r="I1444" s="54" t="n"/>
      <c r="J1444" s="53" t="n"/>
      <c r="K1444" s="55" t="str">
        <f>IF(COUNTA(A1444:I1444)=0,"",IF(F1444="",IFERROR(INDEX(eq_dur,MATCH(B1444,eq_code,0)),""),F1444))</f>
        <v/>
      </c>
      <c r="L1444" s="55" t="str">
        <f>IF(ISNUMBER(K1444),N(IFERROR(INDEX(eq_pause,MATCH(B1444,eq_code,0)),0))+SUMIFS(st_min,st_date,A1444,st_eq,B1444,st_po,C1444,st_type,"Planifié"),"")</f>
        <v/>
      </c>
      <c r="M1444" s="55" t="str">
        <f>IF(ISNUMBER(K1444),K1444-L1444,"")</f>
        <v/>
      </c>
      <c r="N1444" s="55" t="str">
        <f>IF(ISNUMBER(K1444),SUMIFS(st_min,st_date,A1444,st_eq,B1444,st_po,C1444,st_type,"Non planifié"),"")</f>
        <v/>
      </c>
      <c r="O1444" s="55" t="str">
        <f>IF(ISNUMBER(K1444),M1444-N1444,"")</f>
        <v/>
      </c>
      <c r="P1444" s="55" t="str">
        <f>IF(COUNTA(A1444:I1444)=0,"",N(G1444)+N(H1444)+N(I1444))</f>
        <v/>
      </c>
      <c r="Q1444" s="56" t="str">
        <f>IF(COUNTA(A1444:I1444)=0,"",IF(N(IFERROR(INDEX(art_rate,MATCH(E1444,art_ref,0)),0))&gt;0,N(IFERROR(INDEX(art_rate,MATCH(E1444,art_ref,0)),0)),N(IFERROR(INDEX(po_rate,MATCH(C1444,po_code,0)),0))))</f>
        <v/>
      </c>
      <c r="R1444" s="55" t="str">
        <f>IF(AC1444=1,P1444*60/Q1444,"")</f>
        <v/>
      </c>
      <c r="S1444" s="55" t="str">
        <f>IF(AC1444=1,N(G1444)*60/Q1444,"")</f>
        <v/>
      </c>
      <c r="T1444" s="57" t="str">
        <f>IF(AC1444=1,O1444/M1444,"")</f>
        <v/>
      </c>
      <c r="U1444" s="57" t="str">
        <f>IF(AC1444=1,IF(O1444&gt;0,R1444/O1444,""),"")</f>
        <v/>
      </c>
      <c r="V1444" s="57" t="str">
        <f>IF(AC1444=1,IF(P1444&gt;0,N(G1444)/P1444,""),"")</f>
        <v/>
      </c>
      <c r="W1444" s="57" t="str">
        <f>IF(AC1444=1,S1444/M1444,"")</f>
        <v/>
      </c>
      <c r="X1444" s="57" t="str">
        <f>IF(AC1444=1,S1444/K1444,"")</f>
        <v/>
      </c>
      <c r="Y1444" s="58" t="str">
        <f>IF(W1444="","",IF(W1444&gt;=p_target,"Bon",IF(W1444&gt;=p_alert,"À surveiller","Faible")))</f>
        <v/>
      </c>
      <c r="Z1444" s="58" t="str">
        <f>IF(W1444="","",IF(MIN(IF(T1444="",1,T1444),IF(U1444="",1,U1444),IF(V1444="",1,V1444))&gt;=1,"Aucune",IF(IF(T1444="",1,T1444)&lt;=MIN(IF(U1444="",1,U1444),IF(V1444="",1,V1444)),"Disponibilité",IF(IF(U1444="",1,U1444)&lt;=IF(V1444="",1,V1444),"Performance","Qualité"))))</f>
        <v/>
      </c>
      <c r="AA1444" s="59" t="str">
        <f>IF(AC1444=1,N(H1444)*N(IFERROR(INDEX(art_cost,MATCH(E1444,art_ref,0)),0)),"")</f>
        <v/>
      </c>
      <c r="AB1444" s="58" t="str">
        <f>IF(COUNTA(A1444:I1444)=0,"",IF(N(A1444)&lt;=0,"Date manquante ou invalide",IF(B1444="","Équipe manquante",IF(ISNA(MATCH(B1444,eq_code,0)),"Équipe inconnue",IF(INDEX(eq_check,MATCH(B1444,eq_code,0))&lt;&gt;"OK","Équipe à corriger dans Paramètres",IF(C1444="","Poste manquant",IF(ISNA(MATCH(C1444,po_code,0)),"Poste inconnu",IF(AND(E1444&lt;&gt;"",ISNA(MATCH(E1444,art_ref,0))),"Article inconnu",IF(IF(E1444="",FALSE,INDEX(art_check,MATCH(E1444,art_ref,0))&lt;&gt;"OK"),"Article à corriger (feuille Articles)",IF(COUNTIFS(sj_date,A1444,sj_eq,B1444,sj_po,C1444)&gt;1,"Ligne en double (même jour, équipe et poste)",IF(OR(NOT(ISNUMBER(K1444)),N(K1444)&lt;=0,N(K1444)&gt;1440),"Temps d'ouverture invalide",IF(OR(AND(G1444&lt;&gt;"",NOT(ISNUMBER(G1444))),N(G1444)&lt;0,N(G1444)&lt;&gt;INT(N(G1444)),AND(H1444&lt;&gt;"",NOT(ISNUMBER(H1444))),N(H1444)&lt;0,N(H1444)&lt;&gt;INT(N(H1444)),AND(I1444&lt;&gt;"",NOT(ISNUMBER(I1444))),N(I1444)&lt;0,N(I1444)&lt;&gt;INT(N(I1444))),"Quantité invalide",IF(Q1444&lt;=0,"Cadence manquante (poste ou article)",IF(M1444&lt;=0,"Arrêts planifiés supérieurs au temps d'ouverture",IF(O1444&lt;0,"Arrêts supérieurs au temps requis",IF(AND(P1444&gt;0,O1444=0),"Pièces déclarées sans temps de marche",IF(AND(P1444=0,O1444&gt;0),"Aucune pièce déclarée",IF(P1444*60/Q1444&gt;O1444+0.001,"Cadence dépassée : vérifiez la cadence","OK"))))))))))))))))))</f>
        <v/>
      </c>
      <c r="AC1444">
        <f>IF(OR(AB1444="OK",AB1444="Aucune pièce déclarée",AB1444="Cadence dépassée : vérifiez la cadence"),1,0)</f>
        <v>0.0</v>
      </c>
      <c r="AD1444">
        <f>IF(AND(AC1444=1,A1444&gt;=p_from,A1444&lt;=p_to),1,0)</f>
        <v>0.0</v>
      </c>
      <c r="AE1444">
        <f>IF(AD1444=1,IF(COUNTIFS($A$6:A1444,A1444,$AD$6:AD1444,1)=1,1,0),0)</f>
        <v>0.0</v>
      </c>
      <c r="AF1444" t="str">
        <f>IF(AE1444=1,COUNTIFS(sj_first,1,sj_date,"&lt;"&amp;A1444)+1,"")</f>
        <v/>
      </c>
      <c r="AG1444" t="str">
        <f>IF(AND(AD1444=1,N(W1444)&lt;p_alert),ROUND(W1444,4),"")</f>
        <v/>
      </c>
      <c r="AH1444" t="str">
        <f>IF(AG1444="","",COUNTIF(sj_akey,"&lt;"&amp;AG1444)+COUNTIF($AG$6:AG1444,AG1444))</f>
        <v/>
      </c>
    </row>
    <row r="1445">
      <c r="A1445" s="51" t="n"/>
      <c r="B1445" s="52" t="n"/>
      <c r="C1445" s="52" t="n"/>
      <c r="D1445" s="53" t="n"/>
      <c r="E1445" s="53" t="n"/>
      <c r="F1445" s="54" t="n"/>
      <c r="G1445" s="54" t="n"/>
      <c r="H1445" s="54" t="n"/>
      <c r="I1445" s="54" t="n"/>
      <c r="J1445" s="53" t="n"/>
      <c r="K1445" s="55" t="str">
        <f>IF(COUNTA(A1445:I1445)=0,"",IF(F1445="",IFERROR(INDEX(eq_dur,MATCH(B1445,eq_code,0)),""),F1445))</f>
        <v/>
      </c>
      <c r="L1445" s="55" t="str">
        <f>IF(ISNUMBER(K1445),N(IFERROR(INDEX(eq_pause,MATCH(B1445,eq_code,0)),0))+SUMIFS(st_min,st_date,A1445,st_eq,B1445,st_po,C1445,st_type,"Planifié"),"")</f>
        <v/>
      </c>
      <c r="M1445" s="55" t="str">
        <f>IF(ISNUMBER(K1445),K1445-L1445,"")</f>
        <v/>
      </c>
      <c r="N1445" s="55" t="str">
        <f>IF(ISNUMBER(K1445),SUMIFS(st_min,st_date,A1445,st_eq,B1445,st_po,C1445,st_type,"Non planifié"),"")</f>
        <v/>
      </c>
      <c r="O1445" s="55" t="str">
        <f>IF(ISNUMBER(K1445),M1445-N1445,"")</f>
        <v/>
      </c>
      <c r="P1445" s="55" t="str">
        <f>IF(COUNTA(A1445:I1445)=0,"",N(G1445)+N(H1445)+N(I1445))</f>
        <v/>
      </c>
      <c r="Q1445" s="56" t="str">
        <f>IF(COUNTA(A1445:I1445)=0,"",IF(N(IFERROR(INDEX(art_rate,MATCH(E1445,art_ref,0)),0))&gt;0,N(IFERROR(INDEX(art_rate,MATCH(E1445,art_ref,0)),0)),N(IFERROR(INDEX(po_rate,MATCH(C1445,po_code,0)),0))))</f>
        <v/>
      </c>
      <c r="R1445" s="55" t="str">
        <f>IF(AC1445=1,P1445*60/Q1445,"")</f>
        <v/>
      </c>
      <c r="S1445" s="55" t="str">
        <f>IF(AC1445=1,N(G1445)*60/Q1445,"")</f>
        <v/>
      </c>
      <c r="T1445" s="57" t="str">
        <f>IF(AC1445=1,O1445/M1445,"")</f>
        <v/>
      </c>
      <c r="U1445" s="57" t="str">
        <f>IF(AC1445=1,IF(O1445&gt;0,R1445/O1445,""),"")</f>
        <v/>
      </c>
      <c r="V1445" s="57" t="str">
        <f>IF(AC1445=1,IF(P1445&gt;0,N(G1445)/P1445,""),"")</f>
        <v/>
      </c>
      <c r="W1445" s="57" t="str">
        <f>IF(AC1445=1,S1445/M1445,"")</f>
        <v/>
      </c>
      <c r="X1445" s="57" t="str">
        <f>IF(AC1445=1,S1445/K1445,"")</f>
        <v/>
      </c>
      <c r="Y1445" s="58" t="str">
        <f>IF(W1445="","",IF(W1445&gt;=p_target,"Bon",IF(W1445&gt;=p_alert,"À surveiller","Faible")))</f>
        <v/>
      </c>
      <c r="Z1445" s="58" t="str">
        <f>IF(W1445="","",IF(MIN(IF(T1445="",1,T1445),IF(U1445="",1,U1445),IF(V1445="",1,V1445))&gt;=1,"Aucune",IF(IF(T1445="",1,T1445)&lt;=MIN(IF(U1445="",1,U1445),IF(V1445="",1,V1445)),"Disponibilité",IF(IF(U1445="",1,U1445)&lt;=IF(V1445="",1,V1445),"Performance","Qualité"))))</f>
        <v/>
      </c>
      <c r="AA1445" s="59" t="str">
        <f>IF(AC1445=1,N(H1445)*N(IFERROR(INDEX(art_cost,MATCH(E1445,art_ref,0)),0)),"")</f>
        <v/>
      </c>
      <c r="AB1445" s="58" t="str">
        <f>IF(COUNTA(A1445:I1445)=0,"",IF(N(A1445)&lt;=0,"Date manquante ou invalide",IF(B1445="","Équipe manquante",IF(ISNA(MATCH(B1445,eq_code,0)),"Équipe inconnue",IF(INDEX(eq_check,MATCH(B1445,eq_code,0))&lt;&gt;"OK","Équipe à corriger dans Paramètres",IF(C1445="","Poste manquant",IF(ISNA(MATCH(C1445,po_code,0)),"Poste inconnu",IF(AND(E1445&lt;&gt;"",ISNA(MATCH(E1445,art_ref,0))),"Article inconnu",IF(IF(E1445="",FALSE,INDEX(art_check,MATCH(E1445,art_ref,0))&lt;&gt;"OK"),"Article à corriger (feuille Articles)",IF(COUNTIFS(sj_date,A1445,sj_eq,B1445,sj_po,C1445)&gt;1,"Ligne en double (même jour, équipe et poste)",IF(OR(NOT(ISNUMBER(K1445)),N(K1445)&lt;=0,N(K1445)&gt;1440),"Temps d'ouverture invalide",IF(OR(AND(G1445&lt;&gt;"",NOT(ISNUMBER(G1445))),N(G1445)&lt;0,N(G1445)&lt;&gt;INT(N(G1445)),AND(H1445&lt;&gt;"",NOT(ISNUMBER(H1445))),N(H1445)&lt;0,N(H1445)&lt;&gt;INT(N(H1445)),AND(I1445&lt;&gt;"",NOT(ISNUMBER(I1445))),N(I1445)&lt;0,N(I1445)&lt;&gt;INT(N(I1445))),"Quantité invalide",IF(Q1445&lt;=0,"Cadence manquante (poste ou article)",IF(M1445&lt;=0,"Arrêts planifiés supérieurs au temps d'ouverture",IF(O1445&lt;0,"Arrêts supérieurs au temps requis",IF(AND(P1445&gt;0,O1445=0),"Pièces déclarées sans temps de marche",IF(AND(P1445=0,O1445&gt;0),"Aucune pièce déclarée",IF(P1445*60/Q1445&gt;O1445+0.001,"Cadence dépassée : vérifiez la cadence","OK"))))))))))))))))))</f>
        <v/>
      </c>
      <c r="AC1445">
        <f>IF(OR(AB1445="OK",AB1445="Aucune pièce déclarée",AB1445="Cadence dépassée : vérifiez la cadence"),1,0)</f>
        <v>0.0</v>
      </c>
      <c r="AD1445">
        <f>IF(AND(AC1445=1,A1445&gt;=p_from,A1445&lt;=p_to),1,0)</f>
        <v>0.0</v>
      </c>
      <c r="AE1445">
        <f>IF(AD1445=1,IF(COUNTIFS($A$6:A1445,A1445,$AD$6:AD1445,1)=1,1,0),0)</f>
        <v>0.0</v>
      </c>
      <c r="AF1445" t="str">
        <f>IF(AE1445=1,COUNTIFS(sj_first,1,sj_date,"&lt;"&amp;A1445)+1,"")</f>
        <v/>
      </c>
      <c r="AG1445" t="str">
        <f>IF(AND(AD1445=1,N(W1445)&lt;p_alert),ROUND(W1445,4),"")</f>
        <v/>
      </c>
      <c r="AH1445" t="str">
        <f>IF(AG1445="","",COUNTIF(sj_akey,"&lt;"&amp;AG1445)+COUNTIF($AG$6:AG1445,AG1445))</f>
        <v/>
      </c>
    </row>
    <row r="1446">
      <c r="A1446" s="51" t="n"/>
      <c r="B1446" s="52" t="n"/>
      <c r="C1446" s="52" t="n"/>
      <c r="D1446" s="53" t="n"/>
      <c r="E1446" s="53" t="n"/>
      <c r="F1446" s="54" t="n"/>
      <c r="G1446" s="54" t="n"/>
      <c r="H1446" s="54" t="n"/>
      <c r="I1446" s="54" t="n"/>
      <c r="J1446" s="53" t="n"/>
      <c r="K1446" s="55" t="str">
        <f>IF(COUNTA(A1446:I1446)=0,"",IF(F1446="",IFERROR(INDEX(eq_dur,MATCH(B1446,eq_code,0)),""),F1446))</f>
        <v/>
      </c>
      <c r="L1446" s="55" t="str">
        <f>IF(ISNUMBER(K1446),N(IFERROR(INDEX(eq_pause,MATCH(B1446,eq_code,0)),0))+SUMIFS(st_min,st_date,A1446,st_eq,B1446,st_po,C1446,st_type,"Planifié"),"")</f>
        <v/>
      </c>
      <c r="M1446" s="55" t="str">
        <f>IF(ISNUMBER(K1446),K1446-L1446,"")</f>
        <v/>
      </c>
      <c r="N1446" s="55" t="str">
        <f>IF(ISNUMBER(K1446),SUMIFS(st_min,st_date,A1446,st_eq,B1446,st_po,C1446,st_type,"Non planifié"),"")</f>
        <v/>
      </c>
      <c r="O1446" s="55" t="str">
        <f>IF(ISNUMBER(K1446),M1446-N1446,"")</f>
        <v/>
      </c>
      <c r="P1446" s="55" t="str">
        <f>IF(COUNTA(A1446:I1446)=0,"",N(G1446)+N(H1446)+N(I1446))</f>
        <v/>
      </c>
      <c r="Q1446" s="56" t="str">
        <f>IF(COUNTA(A1446:I1446)=0,"",IF(N(IFERROR(INDEX(art_rate,MATCH(E1446,art_ref,0)),0))&gt;0,N(IFERROR(INDEX(art_rate,MATCH(E1446,art_ref,0)),0)),N(IFERROR(INDEX(po_rate,MATCH(C1446,po_code,0)),0))))</f>
        <v/>
      </c>
      <c r="R1446" s="55" t="str">
        <f>IF(AC1446=1,P1446*60/Q1446,"")</f>
        <v/>
      </c>
      <c r="S1446" s="55" t="str">
        <f>IF(AC1446=1,N(G1446)*60/Q1446,"")</f>
        <v/>
      </c>
      <c r="T1446" s="57" t="str">
        <f>IF(AC1446=1,O1446/M1446,"")</f>
        <v/>
      </c>
      <c r="U1446" s="57" t="str">
        <f>IF(AC1446=1,IF(O1446&gt;0,R1446/O1446,""),"")</f>
        <v/>
      </c>
      <c r="V1446" s="57" t="str">
        <f>IF(AC1446=1,IF(P1446&gt;0,N(G1446)/P1446,""),"")</f>
        <v/>
      </c>
      <c r="W1446" s="57" t="str">
        <f>IF(AC1446=1,S1446/M1446,"")</f>
        <v/>
      </c>
      <c r="X1446" s="57" t="str">
        <f>IF(AC1446=1,S1446/K1446,"")</f>
        <v/>
      </c>
      <c r="Y1446" s="58" t="str">
        <f>IF(W1446="","",IF(W1446&gt;=p_target,"Bon",IF(W1446&gt;=p_alert,"À surveiller","Faible")))</f>
        <v/>
      </c>
      <c r="Z1446" s="58" t="str">
        <f>IF(W1446="","",IF(MIN(IF(T1446="",1,T1446),IF(U1446="",1,U1446),IF(V1446="",1,V1446))&gt;=1,"Aucune",IF(IF(T1446="",1,T1446)&lt;=MIN(IF(U1446="",1,U1446),IF(V1446="",1,V1446)),"Disponibilité",IF(IF(U1446="",1,U1446)&lt;=IF(V1446="",1,V1446),"Performance","Qualité"))))</f>
        <v/>
      </c>
      <c r="AA1446" s="59" t="str">
        <f>IF(AC1446=1,N(H1446)*N(IFERROR(INDEX(art_cost,MATCH(E1446,art_ref,0)),0)),"")</f>
        <v/>
      </c>
      <c r="AB1446" s="58" t="str">
        <f>IF(COUNTA(A1446:I1446)=0,"",IF(N(A1446)&lt;=0,"Date manquante ou invalide",IF(B1446="","Équipe manquante",IF(ISNA(MATCH(B1446,eq_code,0)),"Équipe inconnue",IF(INDEX(eq_check,MATCH(B1446,eq_code,0))&lt;&gt;"OK","Équipe à corriger dans Paramètres",IF(C1446="","Poste manquant",IF(ISNA(MATCH(C1446,po_code,0)),"Poste inconnu",IF(AND(E1446&lt;&gt;"",ISNA(MATCH(E1446,art_ref,0))),"Article inconnu",IF(IF(E1446="",FALSE,INDEX(art_check,MATCH(E1446,art_ref,0))&lt;&gt;"OK"),"Article à corriger (feuille Articles)",IF(COUNTIFS(sj_date,A1446,sj_eq,B1446,sj_po,C1446)&gt;1,"Ligne en double (même jour, équipe et poste)",IF(OR(NOT(ISNUMBER(K1446)),N(K1446)&lt;=0,N(K1446)&gt;1440),"Temps d'ouverture invalide",IF(OR(AND(G1446&lt;&gt;"",NOT(ISNUMBER(G1446))),N(G1446)&lt;0,N(G1446)&lt;&gt;INT(N(G1446)),AND(H1446&lt;&gt;"",NOT(ISNUMBER(H1446))),N(H1446)&lt;0,N(H1446)&lt;&gt;INT(N(H1446)),AND(I1446&lt;&gt;"",NOT(ISNUMBER(I1446))),N(I1446)&lt;0,N(I1446)&lt;&gt;INT(N(I1446))),"Quantité invalide",IF(Q1446&lt;=0,"Cadence manquante (poste ou article)",IF(M1446&lt;=0,"Arrêts planifiés supérieurs au temps d'ouverture",IF(O1446&lt;0,"Arrêts supérieurs au temps requis",IF(AND(P1446&gt;0,O1446=0),"Pièces déclarées sans temps de marche",IF(AND(P1446=0,O1446&gt;0),"Aucune pièce déclarée",IF(P1446*60/Q1446&gt;O1446+0.001,"Cadence dépassée : vérifiez la cadence","OK"))))))))))))))))))</f>
        <v/>
      </c>
      <c r="AC1446">
        <f>IF(OR(AB1446="OK",AB1446="Aucune pièce déclarée",AB1446="Cadence dépassée : vérifiez la cadence"),1,0)</f>
        <v>0.0</v>
      </c>
      <c r="AD1446">
        <f>IF(AND(AC1446=1,A1446&gt;=p_from,A1446&lt;=p_to),1,0)</f>
        <v>0.0</v>
      </c>
      <c r="AE1446">
        <f>IF(AD1446=1,IF(COUNTIFS($A$6:A1446,A1446,$AD$6:AD1446,1)=1,1,0),0)</f>
        <v>0.0</v>
      </c>
      <c r="AF1446" t="str">
        <f>IF(AE1446=1,COUNTIFS(sj_first,1,sj_date,"&lt;"&amp;A1446)+1,"")</f>
        <v/>
      </c>
      <c r="AG1446" t="str">
        <f>IF(AND(AD1446=1,N(W1446)&lt;p_alert),ROUND(W1446,4),"")</f>
        <v/>
      </c>
      <c r="AH1446" t="str">
        <f>IF(AG1446="","",COUNTIF(sj_akey,"&lt;"&amp;AG1446)+COUNTIF($AG$6:AG1446,AG1446))</f>
        <v/>
      </c>
    </row>
    <row r="1447">
      <c r="A1447" s="51" t="n"/>
      <c r="B1447" s="52" t="n"/>
      <c r="C1447" s="52" t="n"/>
      <c r="D1447" s="53" t="n"/>
      <c r="E1447" s="53" t="n"/>
      <c r="F1447" s="54" t="n"/>
      <c r="G1447" s="54" t="n"/>
      <c r="H1447" s="54" t="n"/>
      <c r="I1447" s="54" t="n"/>
      <c r="J1447" s="53" t="n"/>
      <c r="K1447" s="55" t="str">
        <f>IF(COUNTA(A1447:I1447)=0,"",IF(F1447="",IFERROR(INDEX(eq_dur,MATCH(B1447,eq_code,0)),""),F1447))</f>
        <v/>
      </c>
      <c r="L1447" s="55" t="str">
        <f>IF(ISNUMBER(K1447),N(IFERROR(INDEX(eq_pause,MATCH(B1447,eq_code,0)),0))+SUMIFS(st_min,st_date,A1447,st_eq,B1447,st_po,C1447,st_type,"Planifié"),"")</f>
        <v/>
      </c>
      <c r="M1447" s="55" t="str">
        <f>IF(ISNUMBER(K1447),K1447-L1447,"")</f>
        <v/>
      </c>
      <c r="N1447" s="55" t="str">
        <f>IF(ISNUMBER(K1447),SUMIFS(st_min,st_date,A1447,st_eq,B1447,st_po,C1447,st_type,"Non planifié"),"")</f>
        <v/>
      </c>
      <c r="O1447" s="55" t="str">
        <f>IF(ISNUMBER(K1447),M1447-N1447,"")</f>
        <v/>
      </c>
      <c r="P1447" s="55" t="str">
        <f>IF(COUNTA(A1447:I1447)=0,"",N(G1447)+N(H1447)+N(I1447))</f>
        <v/>
      </c>
      <c r="Q1447" s="56" t="str">
        <f>IF(COUNTA(A1447:I1447)=0,"",IF(N(IFERROR(INDEX(art_rate,MATCH(E1447,art_ref,0)),0))&gt;0,N(IFERROR(INDEX(art_rate,MATCH(E1447,art_ref,0)),0)),N(IFERROR(INDEX(po_rate,MATCH(C1447,po_code,0)),0))))</f>
        <v/>
      </c>
      <c r="R1447" s="55" t="str">
        <f>IF(AC1447=1,P1447*60/Q1447,"")</f>
        <v/>
      </c>
      <c r="S1447" s="55" t="str">
        <f>IF(AC1447=1,N(G1447)*60/Q1447,"")</f>
        <v/>
      </c>
      <c r="T1447" s="57" t="str">
        <f>IF(AC1447=1,O1447/M1447,"")</f>
        <v/>
      </c>
      <c r="U1447" s="57" t="str">
        <f>IF(AC1447=1,IF(O1447&gt;0,R1447/O1447,""),"")</f>
        <v/>
      </c>
      <c r="V1447" s="57" t="str">
        <f>IF(AC1447=1,IF(P1447&gt;0,N(G1447)/P1447,""),"")</f>
        <v/>
      </c>
      <c r="W1447" s="57" t="str">
        <f>IF(AC1447=1,S1447/M1447,"")</f>
        <v/>
      </c>
      <c r="X1447" s="57" t="str">
        <f>IF(AC1447=1,S1447/K1447,"")</f>
        <v/>
      </c>
      <c r="Y1447" s="58" t="str">
        <f>IF(W1447="","",IF(W1447&gt;=p_target,"Bon",IF(W1447&gt;=p_alert,"À surveiller","Faible")))</f>
        <v/>
      </c>
      <c r="Z1447" s="58" t="str">
        <f>IF(W1447="","",IF(MIN(IF(T1447="",1,T1447),IF(U1447="",1,U1447),IF(V1447="",1,V1447))&gt;=1,"Aucune",IF(IF(T1447="",1,T1447)&lt;=MIN(IF(U1447="",1,U1447),IF(V1447="",1,V1447)),"Disponibilité",IF(IF(U1447="",1,U1447)&lt;=IF(V1447="",1,V1447),"Performance","Qualité"))))</f>
        <v/>
      </c>
      <c r="AA1447" s="59" t="str">
        <f>IF(AC1447=1,N(H1447)*N(IFERROR(INDEX(art_cost,MATCH(E1447,art_ref,0)),0)),"")</f>
        <v/>
      </c>
      <c r="AB1447" s="58" t="str">
        <f>IF(COUNTA(A1447:I1447)=0,"",IF(N(A1447)&lt;=0,"Date manquante ou invalide",IF(B1447="","Équipe manquante",IF(ISNA(MATCH(B1447,eq_code,0)),"Équipe inconnue",IF(INDEX(eq_check,MATCH(B1447,eq_code,0))&lt;&gt;"OK","Équipe à corriger dans Paramètres",IF(C1447="","Poste manquant",IF(ISNA(MATCH(C1447,po_code,0)),"Poste inconnu",IF(AND(E1447&lt;&gt;"",ISNA(MATCH(E1447,art_ref,0))),"Article inconnu",IF(IF(E1447="",FALSE,INDEX(art_check,MATCH(E1447,art_ref,0))&lt;&gt;"OK"),"Article à corriger (feuille Articles)",IF(COUNTIFS(sj_date,A1447,sj_eq,B1447,sj_po,C1447)&gt;1,"Ligne en double (même jour, équipe et poste)",IF(OR(NOT(ISNUMBER(K1447)),N(K1447)&lt;=0,N(K1447)&gt;1440),"Temps d'ouverture invalide",IF(OR(AND(G1447&lt;&gt;"",NOT(ISNUMBER(G1447))),N(G1447)&lt;0,N(G1447)&lt;&gt;INT(N(G1447)),AND(H1447&lt;&gt;"",NOT(ISNUMBER(H1447))),N(H1447)&lt;0,N(H1447)&lt;&gt;INT(N(H1447)),AND(I1447&lt;&gt;"",NOT(ISNUMBER(I1447))),N(I1447)&lt;0,N(I1447)&lt;&gt;INT(N(I1447))),"Quantité invalide",IF(Q1447&lt;=0,"Cadence manquante (poste ou article)",IF(M1447&lt;=0,"Arrêts planifiés supérieurs au temps d'ouverture",IF(O1447&lt;0,"Arrêts supérieurs au temps requis",IF(AND(P1447&gt;0,O1447=0),"Pièces déclarées sans temps de marche",IF(AND(P1447=0,O1447&gt;0),"Aucune pièce déclarée",IF(P1447*60/Q1447&gt;O1447+0.001,"Cadence dépassée : vérifiez la cadence","OK"))))))))))))))))))</f>
        <v/>
      </c>
      <c r="AC1447">
        <f>IF(OR(AB1447="OK",AB1447="Aucune pièce déclarée",AB1447="Cadence dépassée : vérifiez la cadence"),1,0)</f>
        <v>0.0</v>
      </c>
      <c r="AD1447">
        <f>IF(AND(AC1447=1,A1447&gt;=p_from,A1447&lt;=p_to),1,0)</f>
        <v>0.0</v>
      </c>
      <c r="AE1447">
        <f>IF(AD1447=1,IF(COUNTIFS($A$6:A1447,A1447,$AD$6:AD1447,1)=1,1,0),0)</f>
        <v>0.0</v>
      </c>
      <c r="AF1447" t="str">
        <f>IF(AE1447=1,COUNTIFS(sj_first,1,sj_date,"&lt;"&amp;A1447)+1,"")</f>
        <v/>
      </c>
      <c r="AG1447" t="str">
        <f>IF(AND(AD1447=1,N(W1447)&lt;p_alert),ROUND(W1447,4),"")</f>
        <v/>
      </c>
      <c r="AH1447" t="str">
        <f>IF(AG1447="","",COUNTIF(sj_akey,"&lt;"&amp;AG1447)+COUNTIF($AG$6:AG1447,AG1447))</f>
        <v/>
      </c>
    </row>
    <row r="1448">
      <c r="A1448" s="51" t="n"/>
      <c r="B1448" s="52" t="n"/>
      <c r="C1448" s="52" t="n"/>
      <c r="D1448" s="53" t="n"/>
      <c r="E1448" s="53" t="n"/>
      <c r="F1448" s="54" t="n"/>
      <c r="G1448" s="54" t="n"/>
      <c r="H1448" s="54" t="n"/>
      <c r="I1448" s="54" t="n"/>
      <c r="J1448" s="53" t="n"/>
      <c r="K1448" s="55" t="str">
        <f>IF(COUNTA(A1448:I1448)=0,"",IF(F1448="",IFERROR(INDEX(eq_dur,MATCH(B1448,eq_code,0)),""),F1448))</f>
        <v/>
      </c>
      <c r="L1448" s="55" t="str">
        <f>IF(ISNUMBER(K1448),N(IFERROR(INDEX(eq_pause,MATCH(B1448,eq_code,0)),0))+SUMIFS(st_min,st_date,A1448,st_eq,B1448,st_po,C1448,st_type,"Planifié"),"")</f>
        <v/>
      </c>
      <c r="M1448" s="55" t="str">
        <f>IF(ISNUMBER(K1448),K1448-L1448,"")</f>
        <v/>
      </c>
      <c r="N1448" s="55" t="str">
        <f>IF(ISNUMBER(K1448),SUMIFS(st_min,st_date,A1448,st_eq,B1448,st_po,C1448,st_type,"Non planifié"),"")</f>
        <v/>
      </c>
      <c r="O1448" s="55" t="str">
        <f>IF(ISNUMBER(K1448),M1448-N1448,"")</f>
        <v/>
      </c>
      <c r="P1448" s="55" t="str">
        <f>IF(COUNTA(A1448:I1448)=0,"",N(G1448)+N(H1448)+N(I1448))</f>
        <v/>
      </c>
      <c r="Q1448" s="56" t="str">
        <f>IF(COUNTA(A1448:I1448)=0,"",IF(N(IFERROR(INDEX(art_rate,MATCH(E1448,art_ref,0)),0))&gt;0,N(IFERROR(INDEX(art_rate,MATCH(E1448,art_ref,0)),0)),N(IFERROR(INDEX(po_rate,MATCH(C1448,po_code,0)),0))))</f>
        <v/>
      </c>
      <c r="R1448" s="55" t="str">
        <f>IF(AC1448=1,P1448*60/Q1448,"")</f>
        <v/>
      </c>
      <c r="S1448" s="55" t="str">
        <f>IF(AC1448=1,N(G1448)*60/Q1448,"")</f>
        <v/>
      </c>
      <c r="T1448" s="57" t="str">
        <f>IF(AC1448=1,O1448/M1448,"")</f>
        <v/>
      </c>
      <c r="U1448" s="57" t="str">
        <f>IF(AC1448=1,IF(O1448&gt;0,R1448/O1448,""),"")</f>
        <v/>
      </c>
      <c r="V1448" s="57" t="str">
        <f>IF(AC1448=1,IF(P1448&gt;0,N(G1448)/P1448,""),"")</f>
        <v/>
      </c>
      <c r="W1448" s="57" t="str">
        <f>IF(AC1448=1,S1448/M1448,"")</f>
        <v/>
      </c>
      <c r="X1448" s="57" t="str">
        <f>IF(AC1448=1,S1448/K1448,"")</f>
        <v/>
      </c>
      <c r="Y1448" s="58" t="str">
        <f>IF(W1448="","",IF(W1448&gt;=p_target,"Bon",IF(W1448&gt;=p_alert,"À surveiller","Faible")))</f>
        <v/>
      </c>
      <c r="Z1448" s="58" t="str">
        <f>IF(W1448="","",IF(MIN(IF(T1448="",1,T1448),IF(U1448="",1,U1448),IF(V1448="",1,V1448))&gt;=1,"Aucune",IF(IF(T1448="",1,T1448)&lt;=MIN(IF(U1448="",1,U1448),IF(V1448="",1,V1448)),"Disponibilité",IF(IF(U1448="",1,U1448)&lt;=IF(V1448="",1,V1448),"Performance","Qualité"))))</f>
        <v/>
      </c>
      <c r="AA1448" s="59" t="str">
        <f>IF(AC1448=1,N(H1448)*N(IFERROR(INDEX(art_cost,MATCH(E1448,art_ref,0)),0)),"")</f>
        <v/>
      </c>
      <c r="AB1448" s="58" t="str">
        <f>IF(COUNTA(A1448:I1448)=0,"",IF(N(A1448)&lt;=0,"Date manquante ou invalide",IF(B1448="","Équipe manquante",IF(ISNA(MATCH(B1448,eq_code,0)),"Équipe inconnue",IF(INDEX(eq_check,MATCH(B1448,eq_code,0))&lt;&gt;"OK","Équipe à corriger dans Paramètres",IF(C1448="","Poste manquant",IF(ISNA(MATCH(C1448,po_code,0)),"Poste inconnu",IF(AND(E1448&lt;&gt;"",ISNA(MATCH(E1448,art_ref,0))),"Article inconnu",IF(IF(E1448="",FALSE,INDEX(art_check,MATCH(E1448,art_ref,0))&lt;&gt;"OK"),"Article à corriger (feuille Articles)",IF(COUNTIFS(sj_date,A1448,sj_eq,B1448,sj_po,C1448)&gt;1,"Ligne en double (même jour, équipe et poste)",IF(OR(NOT(ISNUMBER(K1448)),N(K1448)&lt;=0,N(K1448)&gt;1440),"Temps d'ouverture invalide",IF(OR(AND(G1448&lt;&gt;"",NOT(ISNUMBER(G1448))),N(G1448)&lt;0,N(G1448)&lt;&gt;INT(N(G1448)),AND(H1448&lt;&gt;"",NOT(ISNUMBER(H1448))),N(H1448)&lt;0,N(H1448)&lt;&gt;INT(N(H1448)),AND(I1448&lt;&gt;"",NOT(ISNUMBER(I1448))),N(I1448)&lt;0,N(I1448)&lt;&gt;INT(N(I1448))),"Quantité invalide",IF(Q1448&lt;=0,"Cadence manquante (poste ou article)",IF(M1448&lt;=0,"Arrêts planifiés supérieurs au temps d'ouverture",IF(O1448&lt;0,"Arrêts supérieurs au temps requis",IF(AND(P1448&gt;0,O1448=0),"Pièces déclarées sans temps de marche",IF(AND(P1448=0,O1448&gt;0),"Aucune pièce déclarée",IF(P1448*60/Q1448&gt;O1448+0.001,"Cadence dépassée : vérifiez la cadence","OK"))))))))))))))))))</f>
        <v/>
      </c>
      <c r="AC1448">
        <f>IF(OR(AB1448="OK",AB1448="Aucune pièce déclarée",AB1448="Cadence dépassée : vérifiez la cadence"),1,0)</f>
        <v>0.0</v>
      </c>
      <c r="AD1448">
        <f>IF(AND(AC1448=1,A1448&gt;=p_from,A1448&lt;=p_to),1,0)</f>
        <v>0.0</v>
      </c>
      <c r="AE1448">
        <f>IF(AD1448=1,IF(COUNTIFS($A$6:A1448,A1448,$AD$6:AD1448,1)=1,1,0),0)</f>
        <v>0.0</v>
      </c>
      <c r="AF1448" t="str">
        <f>IF(AE1448=1,COUNTIFS(sj_first,1,sj_date,"&lt;"&amp;A1448)+1,"")</f>
        <v/>
      </c>
      <c r="AG1448" t="str">
        <f>IF(AND(AD1448=1,N(W1448)&lt;p_alert),ROUND(W1448,4),"")</f>
        <v/>
      </c>
      <c r="AH1448" t="str">
        <f>IF(AG1448="","",COUNTIF(sj_akey,"&lt;"&amp;AG1448)+COUNTIF($AG$6:AG1448,AG1448))</f>
        <v/>
      </c>
    </row>
    <row r="1449">
      <c r="A1449" s="51" t="n"/>
      <c r="B1449" s="52" t="n"/>
      <c r="C1449" s="52" t="n"/>
      <c r="D1449" s="53" t="n"/>
      <c r="E1449" s="53" t="n"/>
      <c r="F1449" s="54" t="n"/>
      <c r="G1449" s="54" t="n"/>
      <c r="H1449" s="54" t="n"/>
      <c r="I1449" s="54" t="n"/>
      <c r="J1449" s="53" t="n"/>
      <c r="K1449" s="55" t="str">
        <f>IF(COUNTA(A1449:I1449)=0,"",IF(F1449="",IFERROR(INDEX(eq_dur,MATCH(B1449,eq_code,0)),""),F1449))</f>
        <v/>
      </c>
      <c r="L1449" s="55" t="str">
        <f>IF(ISNUMBER(K1449),N(IFERROR(INDEX(eq_pause,MATCH(B1449,eq_code,0)),0))+SUMIFS(st_min,st_date,A1449,st_eq,B1449,st_po,C1449,st_type,"Planifié"),"")</f>
        <v/>
      </c>
      <c r="M1449" s="55" t="str">
        <f>IF(ISNUMBER(K1449),K1449-L1449,"")</f>
        <v/>
      </c>
      <c r="N1449" s="55" t="str">
        <f>IF(ISNUMBER(K1449),SUMIFS(st_min,st_date,A1449,st_eq,B1449,st_po,C1449,st_type,"Non planifié"),"")</f>
        <v/>
      </c>
      <c r="O1449" s="55" t="str">
        <f>IF(ISNUMBER(K1449),M1449-N1449,"")</f>
        <v/>
      </c>
      <c r="P1449" s="55" t="str">
        <f>IF(COUNTA(A1449:I1449)=0,"",N(G1449)+N(H1449)+N(I1449))</f>
        <v/>
      </c>
      <c r="Q1449" s="56" t="str">
        <f>IF(COUNTA(A1449:I1449)=0,"",IF(N(IFERROR(INDEX(art_rate,MATCH(E1449,art_ref,0)),0))&gt;0,N(IFERROR(INDEX(art_rate,MATCH(E1449,art_ref,0)),0)),N(IFERROR(INDEX(po_rate,MATCH(C1449,po_code,0)),0))))</f>
        <v/>
      </c>
      <c r="R1449" s="55" t="str">
        <f>IF(AC1449=1,P1449*60/Q1449,"")</f>
        <v/>
      </c>
      <c r="S1449" s="55" t="str">
        <f>IF(AC1449=1,N(G1449)*60/Q1449,"")</f>
        <v/>
      </c>
      <c r="T1449" s="57" t="str">
        <f>IF(AC1449=1,O1449/M1449,"")</f>
        <v/>
      </c>
      <c r="U1449" s="57" t="str">
        <f>IF(AC1449=1,IF(O1449&gt;0,R1449/O1449,""),"")</f>
        <v/>
      </c>
      <c r="V1449" s="57" t="str">
        <f>IF(AC1449=1,IF(P1449&gt;0,N(G1449)/P1449,""),"")</f>
        <v/>
      </c>
      <c r="W1449" s="57" t="str">
        <f>IF(AC1449=1,S1449/M1449,"")</f>
        <v/>
      </c>
      <c r="X1449" s="57" t="str">
        <f>IF(AC1449=1,S1449/K1449,"")</f>
        <v/>
      </c>
      <c r="Y1449" s="58" t="str">
        <f>IF(W1449="","",IF(W1449&gt;=p_target,"Bon",IF(W1449&gt;=p_alert,"À surveiller","Faible")))</f>
        <v/>
      </c>
      <c r="Z1449" s="58" t="str">
        <f>IF(W1449="","",IF(MIN(IF(T1449="",1,T1449),IF(U1449="",1,U1449),IF(V1449="",1,V1449))&gt;=1,"Aucune",IF(IF(T1449="",1,T1449)&lt;=MIN(IF(U1449="",1,U1449),IF(V1449="",1,V1449)),"Disponibilité",IF(IF(U1449="",1,U1449)&lt;=IF(V1449="",1,V1449),"Performance","Qualité"))))</f>
        <v/>
      </c>
      <c r="AA1449" s="59" t="str">
        <f>IF(AC1449=1,N(H1449)*N(IFERROR(INDEX(art_cost,MATCH(E1449,art_ref,0)),0)),"")</f>
        <v/>
      </c>
      <c r="AB1449" s="58" t="str">
        <f>IF(COUNTA(A1449:I1449)=0,"",IF(N(A1449)&lt;=0,"Date manquante ou invalide",IF(B1449="","Équipe manquante",IF(ISNA(MATCH(B1449,eq_code,0)),"Équipe inconnue",IF(INDEX(eq_check,MATCH(B1449,eq_code,0))&lt;&gt;"OK","Équipe à corriger dans Paramètres",IF(C1449="","Poste manquant",IF(ISNA(MATCH(C1449,po_code,0)),"Poste inconnu",IF(AND(E1449&lt;&gt;"",ISNA(MATCH(E1449,art_ref,0))),"Article inconnu",IF(IF(E1449="",FALSE,INDEX(art_check,MATCH(E1449,art_ref,0))&lt;&gt;"OK"),"Article à corriger (feuille Articles)",IF(COUNTIFS(sj_date,A1449,sj_eq,B1449,sj_po,C1449)&gt;1,"Ligne en double (même jour, équipe et poste)",IF(OR(NOT(ISNUMBER(K1449)),N(K1449)&lt;=0,N(K1449)&gt;1440),"Temps d'ouverture invalide",IF(OR(AND(G1449&lt;&gt;"",NOT(ISNUMBER(G1449))),N(G1449)&lt;0,N(G1449)&lt;&gt;INT(N(G1449)),AND(H1449&lt;&gt;"",NOT(ISNUMBER(H1449))),N(H1449)&lt;0,N(H1449)&lt;&gt;INT(N(H1449)),AND(I1449&lt;&gt;"",NOT(ISNUMBER(I1449))),N(I1449)&lt;0,N(I1449)&lt;&gt;INT(N(I1449))),"Quantité invalide",IF(Q1449&lt;=0,"Cadence manquante (poste ou article)",IF(M1449&lt;=0,"Arrêts planifiés supérieurs au temps d'ouverture",IF(O1449&lt;0,"Arrêts supérieurs au temps requis",IF(AND(P1449&gt;0,O1449=0),"Pièces déclarées sans temps de marche",IF(AND(P1449=0,O1449&gt;0),"Aucune pièce déclarée",IF(P1449*60/Q1449&gt;O1449+0.001,"Cadence dépassée : vérifiez la cadence","OK"))))))))))))))))))</f>
        <v/>
      </c>
      <c r="AC1449">
        <f>IF(OR(AB1449="OK",AB1449="Aucune pièce déclarée",AB1449="Cadence dépassée : vérifiez la cadence"),1,0)</f>
        <v>0.0</v>
      </c>
      <c r="AD1449">
        <f>IF(AND(AC1449=1,A1449&gt;=p_from,A1449&lt;=p_to),1,0)</f>
        <v>0.0</v>
      </c>
      <c r="AE1449">
        <f>IF(AD1449=1,IF(COUNTIFS($A$6:A1449,A1449,$AD$6:AD1449,1)=1,1,0),0)</f>
        <v>0.0</v>
      </c>
      <c r="AF1449" t="str">
        <f>IF(AE1449=1,COUNTIFS(sj_first,1,sj_date,"&lt;"&amp;A1449)+1,"")</f>
        <v/>
      </c>
      <c r="AG1449" t="str">
        <f>IF(AND(AD1449=1,N(W1449)&lt;p_alert),ROUND(W1449,4),"")</f>
        <v/>
      </c>
      <c r="AH1449" t="str">
        <f>IF(AG1449="","",COUNTIF(sj_akey,"&lt;"&amp;AG1449)+COUNTIF($AG$6:AG1449,AG1449))</f>
        <v/>
      </c>
    </row>
    <row r="1450">
      <c r="A1450" s="51" t="n"/>
      <c r="B1450" s="52" t="n"/>
      <c r="C1450" s="52" t="n"/>
      <c r="D1450" s="53" t="n"/>
      <c r="E1450" s="53" t="n"/>
      <c r="F1450" s="54" t="n"/>
      <c r="G1450" s="54" t="n"/>
      <c r="H1450" s="54" t="n"/>
      <c r="I1450" s="54" t="n"/>
      <c r="J1450" s="53" t="n"/>
      <c r="K1450" s="55" t="str">
        <f>IF(COUNTA(A1450:I1450)=0,"",IF(F1450="",IFERROR(INDEX(eq_dur,MATCH(B1450,eq_code,0)),""),F1450))</f>
        <v/>
      </c>
      <c r="L1450" s="55" t="str">
        <f>IF(ISNUMBER(K1450),N(IFERROR(INDEX(eq_pause,MATCH(B1450,eq_code,0)),0))+SUMIFS(st_min,st_date,A1450,st_eq,B1450,st_po,C1450,st_type,"Planifié"),"")</f>
        <v/>
      </c>
      <c r="M1450" s="55" t="str">
        <f>IF(ISNUMBER(K1450),K1450-L1450,"")</f>
        <v/>
      </c>
      <c r="N1450" s="55" t="str">
        <f>IF(ISNUMBER(K1450),SUMIFS(st_min,st_date,A1450,st_eq,B1450,st_po,C1450,st_type,"Non planifié"),"")</f>
        <v/>
      </c>
      <c r="O1450" s="55" t="str">
        <f>IF(ISNUMBER(K1450),M1450-N1450,"")</f>
        <v/>
      </c>
      <c r="P1450" s="55" t="str">
        <f>IF(COUNTA(A1450:I1450)=0,"",N(G1450)+N(H1450)+N(I1450))</f>
        <v/>
      </c>
      <c r="Q1450" s="56" t="str">
        <f>IF(COUNTA(A1450:I1450)=0,"",IF(N(IFERROR(INDEX(art_rate,MATCH(E1450,art_ref,0)),0))&gt;0,N(IFERROR(INDEX(art_rate,MATCH(E1450,art_ref,0)),0)),N(IFERROR(INDEX(po_rate,MATCH(C1450,po_code,0)),0))))</f>
        <v/>
      </c>
      <c r="R1450" s="55" t="str">
        <f>IF(AC1450=1,P1450*60/Q1450,"")</f>
        <v/>
      </c>
      <c r="S1450" s="55" t="str">
        <f>IF(AC1450=1,N(G1450)*60/Q1450,"")</f>
        <v/>
      </c>
      <c r="T1450" s="57" t="str">
        <f>IF(AC1450=1,O1450/M1450,"")</f>
        <v/>
      </c>
      <c r="U1450" s="57" t="str">
        <f>IF(AC1450=1,IF(O1450&gt;0,R1450/O1450,""),"")</f>
        <v/>
      </c>
      <c r="V1450" s="57" t="str">
        <f>IF(AC1450=1,IF(P1450&gt;0,N(G1450)/P1450,""),"")</f>
        <v/>
      </c>
      <c r="W1450" s="57" t="str">
        <f>IF(AC1450=1,S1450/M1450,"")</f>
        <v/>
      </c>
      <c r="X1450" s="57" t="str">
        <f>IF(AC1450=1,S1450/K1450,"")</f>
        <v/>
      </c>
      <c r="Y1450" s="58" t="str">
        <f>IF(W1450="","",IF(W1450&gt;=p_target,"Bon",IF(W1450&gt;=p_alert,"À surveiller","Faible")))</f>
        <v/>
      </c>
      <c r="Z1450" s="58" t="str">
        <f>IF(W1450="","",IF(MIN(IF(T1450="",1,T1450),IF(U1450="",1,U1450),IF(V1450="",1,V1450))&gt;=1,"Aucune",IF(IF(T1450="",1,T1450)&lt;=MIN(IF(U1450="",1,U1450),IF(V1450="",1,V1450)),"Disponibilité",IF(IF(U1450="",1,U1450)&lt;=IF(V1450="",1,V1450),"Performance","Qualité"))))</f>
        <v/>
      </c>
      <c r="AA1450" s="59" t="str">
        <f>IF(AC1450=1,N(H1450)*N(IFERROR(INDEX(art_cost,MATCH(E1450,art_ref,0)),0)),"")</f>
        <v/>
      </c>
      <c r="AB1450" s="58" t="str">
        <f>IF(COUNTA(A1450:I1450)=0,"",IF(N(A1450)&lt;=0,"Date manquante ou invalide",IF(B1450="","Équipe manquante",IF(ISNA(MATCH(B1450,eq_code,0)),"Équipe inconnue",IF(INDEX(eq_check,MATCH(B1450,eq_code,0))&lt;&gt;"OK","Équipe à corriger dans Paramètres",IF(C1450="","Poste manquant",IF(ISNA(MATCH(C1450,po_code,0)),"Poste inconnu",IF(AND(E1450&lt;&gt;"",ISNA(MATCH(E1450,art_ref,0))),"Article inconnu",IF(IF(E1450="",FALSE,INDEX(art_check,MATCH(E1450,art_ref,0))&lt;&gt;"OK"),"Article à corriger (feuille Articles)",IF(COUNTIFS(sj_date,A1450,sj_eq,B1450,sj_po,C1450)&gt;1,"Ligne en double (même jour, équipe et poste)",IF(OR(NOT(ISNUMBER(K1450)),N(K1450)&lt;=0,N(K1450)&gt;1440),"Temps d'ouverture invalide",IF(OR(AND(G1450&lt;&gt;"",NOT(ISNUMBER(G1450))),N(G1450)&lt;0,N(G1450)&lt;&gt;INT(N(G1450)),AND(H1450&lt;&gt;"",NOT(ISNUMBER(H1450))),N(H1450)&lt;0,N(H1450)&lt;&gt;INT(N(H1450)),AND(I1450&lt;&gt;"",NOT(ISNUMBER(I1450))),N(I1450)&lt;0,N(I1450)&lt;&gt;INT(N(I1450))),"Quantité invalide",IF(Q1450&lt;=0,"Cadence manquante (poste ou article)",IF(M1450&lt;=0,"Arrêts planifiés supérieurs au temps d'ouverture",IF(O1450&lt;0,"Arrêts supérieurs au temps requis",IF(AND(P1450&gt;0,O1450=0),"Pièces déclarées sans temps de marche",IF(AND(P1450=0,O1450&gt;0),"Aucune pièce déclarée",IF(P1450*60/Q1450&gt;O1450+0.001,"Cadence dépassée : vérifiez la cadence","OK"))))))))))))))))))</f>
        <v/>
      </c>
      <c r="AC1450">
        <f>IF(OR(AB1450="OK",AB1450="Aucune pièce déclarée",AB1450="Cadence dépassée : vérifiez la cadence"),1,0)</f>
        <v>0.0</v>
      </c>
      <c r="AD1450">
        <f>IF(AND(AC1450=1,A1450&gt;=p_from,A1450&lt;=p_to),1,0)</f>
        <v>0.0</v>
      </c>
      <c r="AE1450">
        <f>IF(AD1450=1,IF(COUNTIFS($A$6:A1450,A1450,$AD$6:AD1450,1)=1,1,0),0)</f>
        <v>0.0</v>
      </c>
      <c r="AF1450" t="str">
        <f>IF(AE1450=1,COUNTIFS(sj_first,1,sj_date,"&lt;"&amp;A1450)+1,"")</f>
        <v/>
      </c>
      <c r="AG1450" t="str">
        <f>IF(AND(AD1450=1,N(W1450)&lt;p_alert),ROUND(W1450,4),"")</f>
        <v/>
      </c>
      <c r="AH1450" t="str">
        <f>IF(AG1450="","",COUNTIF(sj_akey,"&lt;"&amp;AG1450)+COUNTIF($AG$6:AG1450,AG1450))</f>
        <v/>
      </c>
    </row>
    <row r="1451">
      <c r="A1451" s="51" t="n"/>
      <c r="B1451" s="52" t="n"/>
      <c r="C1451" s="52" t="n"/>
      <c r="D1451" s="53" t="n"/>
      <c r="E1451" s="53" t="n"/>
      <c r="F1451" s="54" t="n"/>
      <c r="G1451" s="54" t="n"/>
      <c r="H1451" s="54" t="n"/>
      <c r="I1451" s="54" t="n"/>
      <c r="J1451" s="53" t="n"/>
      <c r="K1451" s="55" t="str">
        <f>IF(COUNTA(A1451:I1451)=0,"",IF(F1451="",IFERROR(INDEX(eq_dur,MATCH(B1451,eq_code,0)),""),F1451))</f>
        <v/>
      </c>
      <c r="L1451" s="55" t="str">
        <f>IF(ISNUMBER(K1451),N(IFERROR(INDEX(eq_pause,MATCH(B1451,eq_code,0)),0))+SUMIFS(st_min,st_date,A1451,st_eq,B1451,st_po,C1451,st_type,"Planifié"),"")</f>
        <v/>
      </c>
      <c r="M1451" s="55" t="str">
        <f>IF(ISNUMBER(K1451),K1451-L1451,"")</f>
        <v/>
      </c>
      <c r="N1451" s="55" t="str">
        <f>IF(ISNUMBER(K1451),SUMIFS(st_min,st_date,A1451,st_eq,B1451,st_po,C1451,st_type,"Non planifié"),"")</f>
        <v/>
      </c>
      <c r="O1451" s="55" t="str">
        <f>IF(ISNUMBER(K1451),M1451-N1451,"")</f>
        <v/>
      </c>
      <c r="P1451" s="55" t="str">
        <f>IF(COUNTA(A1451:I1451)=0,"",N(G1451)+N(H1451)+N(I1451))</f>
        <v/>
      </c>
      <c r="Q1451" s="56" t="str">
        <f>IF(COUNTA(A1451:I1451)=0,"",IF(N(IFERROR(INDEX(art_rate,MATCH(E1451,art_ref,0)),0))&gt;0,N(IFERROR(INDEX(art_rate,MATCH(E1451,art_ref,0)),0)),N(IFERROR(INDEX(po_rate,MATCH(C1451,po_code,0)),0))))</f>
        <v/>
      </c>
      <c r="R1451" s="55" t="str">
        <f>IF(AC1451=1,P1451*60/Q1451,"")</f>
        <v/>
      </c>
      <c r="S1451" s="55" t="str">
        <f>IF(AC1451=1,N(G1451)*60/Q1451,"")</f>
        <v/>
      </c>
      <c r="T1451" s="57" t="str">
        <f>IF(AC1451=1,O1451/M1451,"")</f>
        <v/>
      </c>
      <c r="U1451" s="57" t="str">
        <f>IF(AC1451=1,IF(O1451&gt;0,R1451/O1451,""),"")</f>
        <v/>
      </c>
      <c r="V1451" s="57" t="str">
        <f>IF(AC1451=1,IF(P1451&gt;0,N(G1451)/P1451,""),"")</f>
        <v/>
      </c>
      <c r="W1451" s="57" t="str">
        <f>IF(AC1451=1,S1451/M1451,"")</f>
        <v/>
      </c>
      <c r="X1451" s="57" t="str">
        <f>IF(AC1451=1,S1451/K1451,"")</f>
        <v/>
      </c>
      <c r="Y1451" s="58" t="str">
        <f>IF(W1451="","",IF(W1451&gt;=p_target,"Bon",IF(W1451&gt;=p_alert,"À surveiller","Faible")))</f>
        <v/>
      </c>
      <c r="Z1451" s="58" t="str">
        <f>IF(W1451="","",IF(MIN(IF(T1451="",1,T1451),IF(U1451="",1,U1451),IF(V1451="",1,V1451))&gt;=1,"Aucune",IF(IF(T1451="",1,T1451)&lt;=MIN(IF(U1451="",1,U1451),IF(V1451="",1,V1451)),"Disponibilité",IF(IF(U1451="",1,U1451)&lt;=IF(V1451="",1,V1451),"Performance","Qualité"))))</f>
        <v/>
      </c>
      <c r="AA1451" s="59" t="str">
        <f>IF(AC1451=1,N(H1451)*N(IFERROR(INDEX(art_cost,MATCH(E1451,art_ref,0)),0)),"")</f>
        <v/>
      </c>
      <c r="AB1451" s="58" t="str">
        <f>IF(COUNTA(A1451:I1451)=0,"",IF(N(A1451)&lt;=0,"Date manquante ou invalide",IF(B1451="","Équipe manquante",IF(ISNA(MATCH(B1451,eq_code,0)),"Équipe inconnue",IF(INDEX(eq_check,MATCH(B1451,eq_code,0))&lt;&gt;"OK","Équipe à corriger dans Paramètres",IF(C1451="","Poste manquant",IF(ISNA(MATCH(C1451,po_code,0)),"Poste inconnu",IF(AND(E1451&lt;&gt;"",ISNA(MATCH(E1451,art_ref,0))),"Article inconnu",IF(IF(E1451="",FALSE,INDEX(art_check,MATCH(E1451,art_ref,0))&lt;&gt;"OK"),"Article à corriger (feuille Articles)",IF(COUNTIFS(sj_date,A1451,sj_eq,B1451,sj_po,C1451)&gt;1,"Ligne en double (même jour, équipe et poste)",IF(OR(NOT(ISNUMBER(K1451)),N(K1451)&lt;=0,N(K1451)&gt;1440),"Temps d'ouverture invalide",IF(OR(AND(G1451&lt;&gt;"",NOT(ISNUMBER(G1451))),N(G1451)&lt;0,N(G1451)&lt;&gt;INT(N(G1451)),AND(H1451&lt;&gt;"",NOT(ISNUMBER(H1451))),N(H1451)&lt;0,N(H1451)&lt;&gt;INT(N(H1451)),AND(I1451&lt;&gt;"",NOT(ISNUMBER(I1451))),N(I1451)&lt;0,N(I1451)&lt;&gt;INT(N(I1451))),"Quantité invalide",IF(Q1451&lt;=0,"Cadence manquante (poste ou article)",IF(M1451&lt;=0,"Arrêts planifiés supérieurs au temps d'ouverture",IF(O1451&lt;0,"Arrêts supérieurs au temps requis",IF(AND(P1451&gt;0,O1451=0),"Pièces déclarées sans temps de marche",IF(AND(P1451=0,O1451&gt;0),"Aucune pièce déclarée",IF(P1451*60/Q1451&gt;O1451+0.001,"Cadence dépassée : vérifiez la cadence","OK"))))))))))))))))))</f>
        <v/>
      </c>
      <c r="AC1451">
        <f>IF(OR(AB1451="OK",AB1451="Aucune pièce déclarée",AB1451="Cadence dépassée : vérifiez la cadence"),1,0)</f>
        <v>0.0</v>
      </c>
      <c r="AD1451">
        <f>IF(AND(AC1451=1,A1451&gt;=p_from,A1451&lt;=p_to),1,0)</f>
        <v>0.0</v>
      </c>
      <c r="AE1451">
        <f>IF(AD1451=1,IF(COUNTIFS($A$6:A1451,A1451,$AD$6:AD1451,1)=1,1,0),0)</f>
        <v>0.0</v>
      </c>
      <c r="AF1451" t="str">
        <f>IF(AE1451=1,COUNTIFS(sj_first,1,sj_date,"&lt;"&amp;A1451)+1,"")</f>
        <v/>
      </c>
      <c r="AG1451" t="str">
        <f>IF(AND(AD1451=1,N(W1451)&lt;p_alert),ROUND(W1451,4),"")</f>
        <v/>
      </c>
      <c r="AH1451" t="str">
        <f>IF(AG1451="","",COUNTIF(sj_akey,"&lt;"&amp;AG1451)+COUNTIF($AG$6:AG1451,AG1451))</f>
        <v/>
      </c>
    </row>
    <row r="1452">
      <c r="A1452" s="51" t="n"/>
      <c r="B1452" s="52" t="n"/>
      <c r="C1452" s="52" t="n"/>
      <c r="D1452" s="53" t="n"/>
      <c r="E1452" s="53" t="n"/>
      <c r="F1452" s="54" t="n"/>
      <c r="G1452" s="54" t="n"/>
      <c r="H1452" s="54" t="n"/>
      <c r="I1452" s="54" t="n"/>
      <c r="J1452" s="53" t="n"/>
      <c r="K1452" s="55" t="str">
        <f>IF(COUNTA(A1452:I1452)=0,"",IF(F1452="",IFERROR(INDEX(eq_dur,MATCH(B1452,eq_code,0)),""),F1452))</f>
        <v/>
      </c>
      <c r="L1452" s="55" t="str">
        <f>IF(ISNUMBER(K1452),N(IFERROR(INDEX(eq_pause,MATCH(B1452,eq_code,0)),0))+SUMIFS(st_min,st_date,A1452,st_eq,B1452,st_po,C1452,st_type,"Planifié"),"")</f>
        <v/>
      </c>
      <c r="M1452" s="55" t="str">
        <f>IF(ISNUMBER(K1452),K1452-L1452,"")</f>
        <v/>
      </c>
      <c r="N1452" s="55" t="str">
        <f>IF(ISNUMBER(K1452),SUMIFS(st_min,st_date,A1452,st_eq,B1452,st_po,C1452,st_type,"Non planifié"),"")</f>
        <v/>
      </c>
      <c r="O1452" s="55" t="str">
        <f>IF(ISNUMBER(K1452),M1452-N1452,"")</f>
        <v/>
      </c>
      <c r="P1452" s="55" t="str">
        <f>IF(COUNTA(A1452:I1452)=0,"",N(G1452)+N(H1452)+N(I1452))</f>
        <v/>
      </c>
      <c r="Q1452" s="56" t="str">
        <f>IF(COUNTA(A1452:I1452)=0,"",IF(N(IFERROR(INDEX(art_rate,MATCH(E1452,art_ref,0)),0))&gt;0,N(IFERROR(INDEX(art_rate,MATCH(E1452,art_ref,0)),0)),N(IFERROR(INDEX(po_rate,MATCH(C1452,po_code,0)),0))))</f>
        <v/>
      </c>
      <c r="R1452" s="55" t="str">
        <f>IF(AC1452=1,P1452*60/Q1452,"")</f>
        <v/>
      </c>
      <c r="S1452" s="55" t="str">
        <f>IF(AC1452=1,N(G1452)*60/Q1452,"")</f>
        <v/>
      </c>
      <c r="T1452" s="57" t="str">
        <f>IF(AC1452=1,O1452/M1452,"")</f>
        <v/>
      </c>
      <c r="U1452" s="57" t="str">
        <f>IF(AC1452=1,IF(O1452&gt;0,R1452/O1452,""),"")</f>
        <v/>
      </c>
      <c r="V1452" s="57" t="str">
        <f>IF(AC1452=1,IF(P1452&gt;0,N(G1452)/P1452,""),"")</f>
        <v/>
      </c>
      <c r="W1452" s="57" t="str">
        <f>IF(AC1452=1,S1452/M1452,"")</f>
        <v/>
      </c>
      <c r="X1452" s="57" t="str">
        <f>IF(AC1452=1,S1452/K1452,"")</f>
        <v/>
      </c>
      <c r="Y1452" s="58" t="str">
        <f>IF(W1452="","",IF(W1452&gt;=p_target,"Bon",IF(W1452&gt;=p_alert,"À surveiller","Faible")))</f>
        <v/>
      </c>
      <c r="Z1452" s="58" t="str">
        <f>IF(W1452="","",IF(MIN(IF(T1452="",1,T1452),IF(U1452="",1,U1452),IF(V1452="",1,V1452))&gt;=1,"Aucune",IF(IF(T1452="",1,T1452)&lt;=MIN(IF(U1452="",1,U1452),IF(V1452="",1,V1452)),"Disponibilité",IF(IF(U1452="",1,U1452)&lt;=IF(V1452="",1,V1452),"Performance","Qualité"))))</f>
        <v/>
      </c>
      <c r="AA1452" s="59" t="str">
        <f>IF(AC1452=1,N(H1452)*N(IFERROR(INDEX(art_cost,MATCH(E1452,art_ref,0)),0)),"")</f>
        <v/>
      </c>
      <c r="AB1452" s="58" t="str">
        <f>IF(COUNTA(A1452:I1452)=0,"",IF(N(A1452)&lt;=0,"Date manquante ou invalide",IF(B1452="","Équipe manquante",IF(ISNA(MATCH(B1452,eq_code,0)),"Équipe inconnue",IF(INDEX(eq_check,MATCH(B1452,eq_code,0))&lt;&gt;"OK","Équipe à corriger dans Paramètres",IF(C1452="","Poste manquant",IF(ISNA(MATCH(C1452,po_code,0)),"Poste inconnu",IF(AND(E1452&lt;&gt;"",ISNA(MATCH(E1452,art_ref,0))),"Article inconnu",IF(IF(E1452="",FALSE,INDEX(art_check,MATCH(E1452,art_ref,0))&lt;&gt;"OK"),"Article à corriger (feuille Articles)",IF(COUNTIFS(sj_date,A1452,sj_eq,B1452,sj_po,C1452)&gt;1,"Ligne en double (même jour, équipe et poste)",IF(OR(NOT(ISNUMBER(K1452)),N(K1452)&lt;=0,N(K1452)&gt;1440),"Temps d'ouverture invalide",IF(OR(AND(G1452&lt;&gt;"",NOT(ISNUMBER(G1452))),N(G1452)&lt;0,N(G1452)&lt;&gt;INT(N(G1452)),AND(H1452&lt;&gt;"",NOT(ISNUMBER(H1452))),N(H1452)&lt;0,N(H1452)&lt;&gt;INT(N(H1452)),AND(I1452&lt;&gt;"",NOT(ISNUMBER(I1452))),N(I1452)&lt;0,N(I1452)&lt;&gt;INT(N(I1452))),"Quantité invalide",IF(Q1452&lt;=0,"Cadence manquante (poste ou article)",IF(M1452&lt;=0,"Arrêts planifiés supérieurs au temps d'ouverture",IF(O1452&lt;0,"Arrêts supérieurs au temps requis",IF(AND(P1452&gt;0,O1452=0),"Pièces déclarées sans temps de marche",IF(AND(P1452=0,O1452&gt;0),"Aucune pièce déclarée",IF(P1452*60/Q1452&gt;O1452+0.001,"Cadence dépassée : vérifiez la cadence","OK"))))))))))))))))))</f>
        <v/>
      </c>
      <c r="AC1452">
        <f>IF(OR(AB1452="OK",AB1452="Aucune pièce déclarée",AB1452="Cadence dépassée : vérifiez la cadence"),1,0)</f>
        <v>0.0</v>
      </c>
      <c r="AD1452">
        <f>IF(AND(AC1452=1,A1452&gt;=p_from,A1452&lt;=p_to),1,0)</f>
        <v>0.0</v>
      </c>
      <c r="AE1452">
        <f>IF(AD1452=1,IF(COUNTIFS($A$6:A1452,A1452,$AD$6:AD1452,1)=1,1,0),0)</f>
        <v>0.0</v>
      </c>
      <c r="AF1452" t="str">
        <f>IF(AE1452=1,COUNTIFS(sj_first,1,sj_date,"&lt;"&amp;A1452)+1,"")</f>
        <v/>
      </c>
      <c r="AG1452" t="str">
        <f>IF(AND(AD1452=1,N(W1452)&lt;p_alert),ROUND(W1452,4),"")</f>
        <v/>
      </c>
      <c r="AH1452" t="str">
        <f>IF(AG1452="","",COUNTIF(sj_akey,"&lt;"&amp;AG1452)+COUNTIF($AG$6:AG1452,AG1452))</f>
        <v/>
      </c>
    </row>
    <row r="1453">
      <c r="A1453" s="51" t="n"/>
      <c r="B1453" s="52" t="n"/>
      <c r="C1453" s="52" t="n"/>
      <c r="D1453" s="53" t="n"/>
      <c r="E1453" s="53" t="n"/>
      <c r="F1453" s="54" t="n"/>
      <c r="G1453" s="54" t="n"/>
      <c r="H1453" s="54" t="n"/>
      <c r="I1453" s="54" t="n"/>
      <c r="J1453" s="53" t="n"/>
      <c r="K1453" s="55" t="str">
        <f>IF(COUNTA(A1453:I1453)=0,"",IF(F1453="",IFERROR(INDEX(eq_dur,MATCH(B1453,eq_code,0)),""),F1453))</f>
        <v/>
      </c>
      <c r="L1453" s="55" t="str">
        <f>IF(ISNUMBER(K1453),N(IFERROR(INDEX(eq_pause,MATCH(B1453,eq_code,0)),0))+SUMIFS(st_min,st_date,A1453,st_eq,B1453,st_po,C1453,st_type,"Planifié"),"")</f>
        <v/>
      </c>
      <c r="M1453" s="55" t="str">
        <f>IF(ISNUMBER(K1453),K1453-L1453,"")</f>
        <v/>
      </c>
      <c r="N1453" s="55" t="str">
        <f>IF(ISNUMBER(K1453),SUMIFS(st_min,st_date,A1453,st_eq,B1453,st_po,C1453,st_type,"Non planifié"),"")</f>
        <v/>
      </c>
      <c r="O1453" s="55" t="str">
        <f>IF(ISNUMBER(K1453),M1453-N1453,"")</f>
        <v/>
      </c>
      <c r="P1453" s="55" t="str">
        <f>IF(COUNTA(A1453:I1453)=0,"",N(G1453)+N(H1453)+N(I1453))</f>
        <v/>
      </c>
      <c r="Q1453" s="56" t="str">
        <f>IF(COUNTA(A1453:I1453)=0,"",IF(N(IFERROR(INDEX(art_rate,MATCH(E1453,art_ref,0)),0))&gt;0,N(IFERROR(INDEX(art_rate,MATCH(E1453,art_ref,0)),0)),N(IFERROR(INDEX(po_rate,MATCH(C1453,po_code,0)),0))))</f>
        <v/>
      </c>
      <c r="R1453" s="55" t="str">
        <f>IF(AC1453=1,P1453*60/Q1453,"")</f>
        <v/>
      </c>
      <c r="S1453" s="55" t="str">
        <f>IF(AC1453=1,N(G1453)*60/Q1453,"")</f>
        <v/>
      </c>
      <c r="T1453" s="57" t="str">
        <f>IF(AC1453=1,O1453/M1453,"")</f>
        <v/>
      </c>
      <c r="U1453" s="57" t="str">
        <f>IF(AC1453=1,IF(O1453&gt;0,R1453/O1453,""),"")</f>
        <v/>
      </c>
      <c r="V1453" s="57" t="str">
        <f>IF(AC1453=1,IF(P1453&gt;0,N(G1453)/P1453,""),"")</f>
        <v/>
      </c>
      <c r="W1453" s="57" t="str">
        <f>IF(AC1453=1,S1453/M1453,"")</f>
        <v/>
      </c>
      <c r="X1453" s="57" t="str">
        <f>IF(AC1453=1,S1453/K1453,"")</f>
        <v/>
      </c>
      <c r="Y1453" s="58" t="str">
        <f>IF(W1453="","",IF(W1453&gt;=p_target,"Bon",IF(W1453&gt;=p_alert,"À surveiller","Faible")))</f>
        <v/>
      </c>
      <c r="Z1453" s="58" t="str">
        <f>IF(W1453="","",IF(MIN(IF(T1453="",1,T1453),IF(U1453="",1,U1453),IF(V1453="",1,V1453))&gt;=1,"Aucune",IF(IF(T1453="",1,T1453)&lt;=MIN(IF(U1453="",1,U1453),IF(V1453="",1,V1453)),"Disponibilité",IF(IF(U1453="",1,U1453)&lt;=IF(V1453="",1,V1453),"Performance","Qualité"))))</f>
        <v/>
      </c>
      <c r="AA1453" s="59" t="str">
        <f>IF(AC1453=1,N(H1453)*N(IFERROR(INDEX(art_cost,MATCH(E1453,art_ref,0)),0)),"")</f>
        <v/>
      </c>
      <c r="AB1453" s="58" t="str">
        <f>IF(COUNTA(A1453:I1453)=0,"",IF(N(A1453)&lt;=0,"Date manquante ou invalide",IF(B1453="","Équipe manquante",IF(ISNA(MATCH(B1453,eq_code,0)),"Équipe inconnue",IF(INDEX(eq_check,MATCH(B1453,eq_code,0))&lt;&gt;"OK","Équipe à corriger dans Paramètres",IF(C1453="","Poste manquant",IF(ISNA(MATCH(C1453,po_code,0)),"Poste inconnu",IF(AND(E1453&lt;&gt;"",ISNA(MATCH(E1453,art_ref,0))),"Article inconnu",IF(IF(E1453="",FALSE,INDEX(art_check,MATCH(E1453,art_ref,0))&lt;&gt;"OK"),"Article à corriger (feuille Articles)",IF(COUNTIFS(sj_date,A1453,sj_eq,B1453,sj_po,C1453)&gt;1,"Ligne en double (même jour, équipe et poste)",IF(OR(NOT(ISNUMBER(K1453)),N(K1453)&lt;=0,N(K1453)&gt;1440),"Temps d'ouverture invalide",IF(OR(AND(G1453&lt;&gt;"",NOT(ISNUMBER(G1453))),N(G1453)&lt;0,N(G1453)&lt;&gt;INT(N(G1453)),AND(H1453&lt;&gt;"",NOT(ISNUMBER(H1453))),N(H1453)&lt;0,N(H1453)&lt;&gt;INT(N(H1453)),AND(I1453&lt;&gt;"",NOT(ISNUMBER(I1453))),N(I1453)&lt;0,N(I1453)&lt;&gt;INT(N(I1453))),"Quantité invalide",IF(Q1453&lt;=0,"Cadence manquante (poste ou article)",IF(M1453&lt;=0,"Arrêts planifiés supérieurs au temps d'ouverture",IF(O1453&lt;0,"Arrêts supérieurs au temps requis",IF(AND(P1453&gt;0,O1453=0),"Pièces déclarées sans temps de marche",IF(AND(P1453=0,O1453&gt;0),"Aucune pièce déclarée",IF(P1453*60/Q1453&gt;O1453+0.001,"Cadence dépassée : vérifiez la cadence","OK"))))))))))))))))))</f>
        <v/>
      </c>
      <c r="AC1453">
        <f>IF(OR(AB1453="OK",AB1453="Aucune pièce déclarée",AB1453="Cadence dépassée : vérifiez la cadence"),1,0)</f>
        <v>0.0</v>
      </c>
      <c r="AD1453">
        <f>IF(AND(AC1453=1,A1453&gt;=p_from,A1453&lt;=p_to),1,0)</f>
        <v>0.0</v>
      </c>
      <c r="AE1453">
        <f>IF(AD1453=1,IF(COUNTIFS($A$6:A1453,A1453,$AD$6:AD1453,1)=1,1,0),0)</f>
        <v>0.0</v>
      </c>
      <c r="AF1453" t="str">
        <f>IF(AE1453=1,COUNTIFS(sj_first,1,sj_date,"&lt;"&amp;A1453)+1,"")</f>
        <v/>
      </c>
      <c r="AG1453" t="str">
        <f>IF(AND(AD1453=1,N(W1453)&lt;p_alert),ROUND(W1453,4),"")</f>
        <v/>
      </c>
      <c r="AH1453" t="str">
        <f>IF(AG1453="","",COUNTIF(sj_akey,"&lt;"&amp;AG1453)+COUNTIF($AG$6:AG1453,AG1453))</f>
        <v/>
      </c>
    </row>
    <row r="1454">
      <c r="A1454" s="51" t="n"/>
      <c r="B1454" s="52" t="n"/>
      <c r="C1454" s="52" t="n"/>
      <c r="D1454" s="53" t="n"/>
      <c r="E1454" s="53" t="n"/>
      <c r="F1454" s="54" t="n"/>
      <c r="G1454" s="54" t="n"/>
      <c r="H1454" s="54" t="n"/>
      <c r="I1454" s="54" t="n"/>
      <c r="J1454" s="53" t="n"/>
      <c r="K1454" s="55" t="str">
        <f>IF(COUNTA(A1454:I1454)=0,"",IF(F1454="",IFERROR(INDEX(eq_dur,MATCH(B1454,eq_code,0)),""),F1454))</f>
        <v/>
      </c>
      <c r="L1454" s="55" t="str">
        <f>IF(ISNUMBER(K1454),N(IFERROR(INDEX(eq_pause,MATCH(B1454,eq_code,0)),0))+SUMIFS(st_min,st_date,A1454,st_eq,B1454,st_po,C1454,st_type,"Planifié"),"")</f>
        <v/>
      </c>
      <c r="M1454" s="55" t="str">
        <f>IF(ISNUMBER(K1454),K1454-L1454,"")</f>
        <v/>
      </c>
      <c r="N1454" s="55" t="str">
        <f>IF(ISNUMBER(K1454),SUMIFS(st_min,st_date,A1454,st_eq,B1454,st_po,C1454,st_type,"Non planifié"),"")</f>
        <v/>
      </c>
      <c r="O1454" s="55" t="str">
        <f>IF(ISNUMBER(K1454),M1454-N1454,"")</f>
        <v/>
      </c>
      <c r="P1454" s="55" t="str">
        <f>IF(COUNTA(A1454:I1454)=0,"",N(G1454)+N(H1454)+N(I1454))</f>
        <v/>
      </c>
      <c r="Q1454" s="56" t="str">
        <f>IF(COUNTA(A1454:I1454)=0,"",IF(N(IFERROR(INDEX(art_rate,MATCH(E1454,art_ref,0)),0))&gt;0,N(IFERROR(INDEX(art_rate,MATCH(E1454,art_ref,0)),0)),N(IFERROR(INDEX(po_rate,MATCH(C1454,po_code,0)),0))))</f>
        <v/>
      </c>
      <c r="R1454" s="55" t="str">
        <f>IF(AC1454=1,P1454*60/Q1454,"")</f>
        <v/>
      </c>
      <c r="S1454" s="55" t="str">
        <f>IF(AC1454=1,N(G1454)*60/Q1454,"")</f>
        <v/>
      </c>
      <c r="T1454" s="57" t="str">
        <f>IF(AC1454=1,O1454/M1454,"")</f>
        <v/>
      </c>
      <c r="U1454" s="57" t="str">
        <f>IF(AC1454=1,IF(O1454&gt;0,R1454/O1454,""),"")</f>
        <v/>
      </c>
      <c r="V1454" s="57" t="str">
        <f>IF(AC1454=1,IF(P1454&gt;0,N(G1454)/P1454,""),"")</f>
        <v/>
      </c>
      <c r="W1454" s="57" t="str">
        <f>IF(AC1454=1,S1454/M1454,"")</f>
        <v/>
      </c>
      <c r="X1454" s="57" t="str">
        <f>IF(AC1454=1,S1454/K1454,"")</f>
        <v/>
      </c>
      <c r="Y1454" s="58" t="str">
        <f>IF(W1454="","",IF(W1454&gt;=p_target,"Bon",IF(W1454&gt;=p_alert,"À surveiller","Faible")))</f>
        <v/>
      </c>
      <c r="Z1454" s="58" t="str">
        <f>IF(W1454="","",IF(MIN(IF(T1454="",1,T1454),IF(U1454="",1,U1454),IF(V1454="",1,V1454))&gt;=1,"Aucune",IF(IF(T1454="",1,T1454)&lt;=MIN(IF(U1454="",1,U1454),IF(V1454="",1,V1454)),"Disponibilité",IF(IF(U1454="",1,U1454)&lt;=IF(V1454="",1,V1454),"Performance","Qualité"))))</f>
        <v/>
      </c>
      <c r="AA1454" s="59" t="str">
        <f>IF(AC1454=1,N(H1454)*N(IFERROR(INDEX(art_cost,MATCH(E1454,art_ref,0)),0)),"")</f>
        <v/>
      </c>
      <c r="AB1454" s="58" t="str">
        <f>IF(COUNTA(A1454:I1454)=0,"",IF(N(A1454)&lt;=0,"Date manquante ou invalide",IF(B1454="","Équipe manquante",IF(ISNA(MATCH(B1454,eq_code,0)),"Équipe inconnue",IF(INDEX(eq_check,MATCH(B1454,eq_code,0))&lt;&gt;"OK","Équipe à corriger dans Paramètres",IF(C1454="","Poste manquant",IF(ISNA(MATCH(C1454,po_code,0)),"Poste inconnu",IF(AND(E1454&lt;&gt;"",ISNA(MATCH(E1454,art_ref,0))),"Article inconnu",IF(IF(E1454="",FALSE,INDEX(art_check,MATCH(E1454,art_ref,0))&lt;&gt;"OK"),"Article à corriger (feuille Articles)",IF(COUNTIFS(sj_date,A1454,sj_eq,B1454,sj_po,C1454)&gt;1,"Ligne en double (même jour, équipe et poste)",IF(OR(NOT(ISNUMBER(K1454)),N(K1454)&lt;=0,N(K1454)&gt;1440),"Temps d'ouverture invalide",IF(OR(AND(G1454&lt;&gt;"",NOT(ISNUMBER(G1454))),N(G1454)&lt;0,N(G1454)&lt;&gt;INT(N(G1454)),AND(H1454&lt;&gt;"",NOT(ISNUMBER(H1454))),N(H1454)&lt;0,N(H1454)&lt;&gt;INT(N(H1454)),AND(I1454&lt;&gt;"",NOT(ISNUMBER(I1454))),N(I1454)&lt;0,N(I1454)&lt;&gt;INT(N(I1454))),"Quantité invalide",IF(Q1454&lt;=0,"Cadence manquante (poste ou article)",IF(M1454&lt;=0,"Arrêts planifiés supérieurs au temps d'ouverture",IF(O1454&lt;0,"Arrêts supérieurs au temps requis",IF(AND(P1454&gt;0,O1454=0),"Pièces déclarées sans temps de marche",IF(AND(P1454=0,O1454&gt;0),"Aucune pièce déclarée",IF(P1454*60/Q1454&gt;O1454+0.001,"Cadence dépassée : vérifiez la cadence","OK"))))))))))))))))))</f>
        <v/>
      </c>
      <c r="AC1454">
        <f>IF(OR(AB1454="OK",AB1454="Aucune pièce déclarée",AB1454="Cadence dépassée : vérifiez la cadence"),1,0)</f>
        <v>0.0</v>
      </c>
      <c r="AD1454">
        <f>IF(AND(AC1454=1,A1454&gt;=p_from,A1454&lt;=p_to),1,0)</f>
        <v>0.0</v>
      </c>
      <c r="AE1454">
        <f>IF(AD1454=1,IF(COUNTIFS($A$6:A1454,A1454,$AD$6:AD1454,1)=1,1,0),0)</f>
        <v>0.0</v>
      </c>
      <c r="AF1454" t="str">
        <f>IF(AE1454=1,COUNTIFS(sj_first,1,sj_date,"&lt;"&amp;A1454)+1,"")</f>
        <v/>
      </c>
      <c r="AG1454" t="str">
        <f>IF(AND(AD1454=1,N(W1454)&lt;p_alert),ROUND(W1454,4),"")</f>
        <v/>
      </c>
      <c r="AH1454" t="str">
        <f>IF(AG1454="","",COUNTIF(sj_akey,"&lt;"&amp;AG1454)+COUNTIF($AG$6:AG1454,AG1454))</f>
        <v/>
      </c>
    </row>
    <row r="1455">
      <c r="A1455" s="51" t="n"/>
      <c r="B1455" s="52" t="n"/>
      <c r="C1455" s="52" t="n"/>
      <c r="D1455" s="53" t="n"/>
      <c r="E1455" s="53" t="n"/>
      <c r="F1455" s="54" t="n"/>
      <c r="G1455" s="54" t="n"/>
      <c r="H1455" s="54" t="n"/>
      <c r="I1455" s="54" t="n"/>
      <c r="J1455" s="53" t="n"/>
      <c r="K1455" s="55" t="str">
        <f>IF(COUNTA(A1455:I1455)=0,"",IF(F1455="",IFERROR(INDEX(eq_dur,MATCH(B1455,eq_code,0)),""),F1455))</f>
        <v/>
      </c>
      <c r="L1455" s="55" t="str">
        <f>IF(ISNUMBER(K1455),N(IFERROR(INDEX(eq_pause,MATCH(B1455,eq_code,0)),0))+SUMIFS(st_min,st_date,A1455,st_eq,B1455,st_po,C1455,st_type,"Planifié"),"")</f>
        <v/>
      </c>
      <c r="M1455" s="55" t="str">
        <f>IF(ISNUMBER(K1455),K1455-L1455,"")</f>
        <v/>
      </c>
      <c r="N1455" s="55" t="str">
        <f>IF(ISNUMBER(K1455),SUMIFS(st_min,st_date,A1455,st_eq,B1455,st_po,C1455,st_type,"Non planifié"),"")</f>
        <v/>
      </c>
      <c r="O1455" s="55" t="str">
        <f>IF(ISNUMBER(K1455),M1455-N1455,"")</f>
        <v/>
      </c>
      <c r="P1455" s="55" t="str">
        <f>IF(COUNTA(A1455:I1455)=0,"",N(G1455)+N(H1455)+N(I1455))</f>
        <v/>
      </c>
      <c r="Q1455" s="56" t="str">
        <f>IF(COUNTA(A1455:I1455)=0,"",IF(N(IFERROR(INDEX(art_rate,MATCH(E1455,art_ref,0)),0))&gt;0,N(IFERROR(INDEX(art_rate,MATCH(E1455,art_ref,0)),0)),N(IFERROR(INDEX(po_rate,MATCH(C1455,po_code,0)),0))))</f>
        <v/>
      </c>
      <c r="R1455" s="55" t="str">
        <f>IF(AC1455=1,P1455*60/Q1455,"")</f>
        <v/>
      </c>
      <c r="S1455" s="55" t="str">
        <f>IF(AC1455=1,N(G1455)*60/Q1455,"")</f>
        <v/>
      </c>
      <c r="T1455" s="57" t="str">
        <f>IF(AC1455=1,O1455/M1455,"")</f>
        <v/>
      </c>
      <c r="U1455" s="57" t="str">
        <f>IF(AC1455=1,IF(O1455&gt;0,R1455/O1455,""),"")</f>
        <v/>
      </c>
      <c r="V1455" s="57" t="str">
        <f>IF(AC1455=1,IF(P1455&gt;0,N(G1455)/P1455,""),"")</f>
        <v/>
      </c>
      <c r="W1455" s="57" t="str">
        <f>IF(AC1455=1,S1455/M1455,"")</f>
        <v/>
      </c>
      <c r="X1455" s="57" t="str">
        <f>IF(AC1455=1,S1455/K1455,"")</f>
        <v/>
      </c>
      <c r="Y1455" s="58" t="str">
        <f>IF(W1455="","",IF(W1455&gt;=p_target,"Bon",IF(W1455&gt;=p_alert,"À surveiller","Faible")))</f>
        <v/>
      </c>
      <c r="Z1455" s="58" t="str">
        <f>IF(W1455="","",IF(MIN(IF(T1455="",1,T1455),IF(U1455="",1,U1455),IF(V1455="",1,V1455))&gt;=1,"Aucune",IF(IF(T1455="",1,T1455)&lt;=MIN(IF(U1455="",1,U1455),IF(V1455="",1,V1455)),"Disponibilité",IF(IF(U1455="",1,U1455)&lt;=IF(V1455="",1,V1455),"Performance","Qualité"))))</f>
        <v/>
      </c>
      <c r="AA1455" s="59" t="str">
        <f>IF(AC1455=1,N(H1455)*N(IFERROR(INDEX(art_cost,MATCH(E1455,art_ref,0)),0)),"")</f>
        <v/>
      </c>
      <c r="AB1455" s="58" t="str">
        <f>IF(COUNTA(A1455:I1455)=0,"",IF(N(A1455)&lt;=0,"Date manquante ou invalide",IF(B1455="","Équipe manquante",IF(ISNA(MATCH(B1455,eq_code,0)),"Équipe inconnue",IF(INDEX(eq_check,MATCH(B1455,eq_code,0))&lt;&gt;"OK","Équipe à corriger dans Paramètres",IF(C1455="","Poste manquant",IF(ISNA(MATCH(C1455,po_code,0)),"Poste inconnu",IF(AND(E1455&lt;&gt;"",ISNA(MATCH(E1455,art_ref,0))),"Article inconnu",IF(IF(E1455="",FALSE,INDEX(art_check,MATCH(E1455,art_ref,0))&lt;&gt;"OK"),"Article à corriger (feuille Articles)",IF(COUNTIFS(sj_date,A1455,sj_eq,B1455,sj_po,C1455)&gt;1,"Ligne en double (même jour, équipe et poste)",IF(OR(NOT(ISNUMBER(K1455)),N(K1455)&lt;=0,N(K1455)&gt;1440),"Temps d'ouverture invalide",IF(OR(AND(G1455&lt;&gt;"",NOT(ISNUMBER(G1455))),N(G1455)&lt;0,N(G1455)&lt;&gt;INT(N(G1455)),AND(H1455&lt;&gt;"",NOT(ISNUMBER(H1455))),N(H1455)&lt;0,N(H1455)&lt;&gt;INT(N(H1455)),AND(I1455&lt;&gt;"",NOT(ISNUMBER(I1455))),N(I1455)&lt;0,N(I1455)&lt;&gt;INT(N(I1455))),"Quantité invalide",IF(Q1455&lt;=0,"Cadence manquante (poste ou article)",IF(M1455&lt;=0,"Arrêts planifiés supérieurs au temps d'ouverture",IF(O1455&lt;0,"Arrêts supérieurs au temps requis",IF(AND(P1455&gt;0,O1455=0),"Pièces déclarées sans temps de marche",IF(AND(P1455=0,O1455&gt;0),"Aucune pièce déclarée",IF(P1455*60/Q1455&gt;O1455+0.001,"Cadence dépassée : vérifiez la cadence","OK"))))))))))))))))))</f>
        <v/>
      </c>
      <c r="AC1455">
        <f>IF(OR(AB1455="OK",AB1455="Aucune pièce déclarée",AB1455="Cadence dépassée : vérifiez la cadence"),1,0)</f>
        <v>0.0</v>
      </c>
      <c r="AD1455">
        <f>IF(AND(AC1455=1,A1455&gt;=p_from,A1455&lt;=p_to),1,0)</f>
        <v>0.0</v>
      </c>
      <c r="AE1455">
        <f>IF(AD1455=1,IF(COUNTIFS($A$6:A1455,A1455,$AD$6:AD1455,1)=1,1,0),0)</f>
        <v>0.0</v>
      </c>
      <c r="AF1455" t="str">
        <f>IF(AE1455=1,COUNTIFS(sj_first,1,sj_date,"&lt;"&amp;A1455)+1,"")</f>
        <v/>
      </c>
      <c r="AG1455" t="str">
        <f>IF(AND(AD1455=1,N(W1455)&lt;p_alert),ROUND(W1455,4),"")</f>
        <v/>
      </c>
      <c r="AH1455" t="str">
        <f>IF(AG1455="","",COUNTIF(sj_akey,"&lt;"&amp;AG1455)+COUNTIF($AG$6:AG1455,AG1455))</f>
        <v/>
      </c>
    </row>
    <row r="1456">
      <c r="A1456" s="51" t="n"/>
      <c r="B1456" s="52" t="n"/>
      <c r="C1456" s="52" t="n"/>
      <c r="D1456" s="53" t="n"/>
      <c r="E1456" s="53" t="n"/>
      <c r="F1456" s="54" t="n"/>
      <c r="G1456" s="54" t="n"/>
      <c r="H1456" s="54" t="n"/>
      <c r="I1456" s="54" t="n"/>
      <c r="J1456" s="53" t="n"/>
      <c r="K1456" s="55" t="str">
        <f>IF(COUNTA(A1456:I1456)=0,"",IF(F1456="",IFERROR(INDEX(eq_dur,MATCH(B1456,eq_code,0)),""),F1456))</f>
        <v/>
      </c>
      <c r="L1456" s="55" t="str">
        <f>IF(ISNUMBER(K1456),N(IFERROR(INDEX(eq_pause,MATCH(B1456,eq_code,0)),0))+SUMIFS(st_min,st_date,A1456,st_eq,B1456,st_po,C1456,st_type,"Planifié"),"")</f>
        <v/>
      </c>
      <c r="M1456" s="55" t="str">
        <f>IF(ISNUMBER(K1456),K1456-L1456,"")</f>
        <v/>
      </c>
      <c r="N1456" s="55" t="str">
        <f>IF(ISNUMBER(K1456),SUMIFS(st_min,st_date,A1456,st_eq,B1456,st_po,C1456,st_type,"Non planifié"),"")</f>
        <v/>
      </c>
      <c r="O1456" s="55" t="str">
        <f>IF(ISNUMBER(K1456),M1456-N1456,"")</f>
        <v/>
      </c>
      <c r="P1456" s="55" t="str">
        <f>IF(COUNTA(A1456:I1456)=0,"",N(G1456)+N(H1456)+N(I1456))</f>
        <v/>
      </c>
      <c r="Q1456" s="56" t="str">
        <f>IF(COUNTA(A1456:I1456)=0,"",IF(N(IFERROR(INDEX(art_rate,MATCH(E1456,art_ref,0)),0))&gt;0,N(IFERROR(INDEX(art_rate,MATCH(E1456,art_ref,0)),0)),N(IFERROR(INDEX(po_rate,MATCH(C1456,po_code,0)),0))))</f>
        <v/>
      </c>
      <c r="R1456" s="55" t="str">
        <f>IF(AC1456=1,P1456*60/Q1456,"")</f>
        <v/>
      </c>
      <c r="S1456" s="55" t="str">
        <f>IF(AC1456=1,N(G1456)*60/Q1456,"")</f>
        <v/>
      </c>
      <c r="T1456" s="57" t="str">
        <f>IF(AC1456=1,O1456/M1456,"")</f>
        <v/>
      </c>
      <c r="U1456" s="57" t="str">
        <f>IF(AC1456=1,IF(O1456&gt;0,R1456/O1456,""),"")</f>
        <v/>
      </c>
      <c r="V1456" s="57" t="str">
        <f>IF(AC1456=1,IF(P1456&gt;0,N(G1456)/P1456,""),"")</f>
        <v/>
      </c>
      <c r="W1456" s="57" t="str">
        <f>IF(AC1456=1,S1456/M1456,"")</f>
        <v/>
      </c>
      <c r="X1456" s="57" t="str">
        <f>IF(AC1456=1,S1456/K1456,"")</f>
        <v/>
      </c>
      <c r="Y1456" s="58" t="str">
        <f>IF(W1456="","",IF(W1456&gt;=p_target,"Bon",IF(W1456&gt;=p_alert,"À surveiller","Faible")))</f>
        <v/>
      </c>
      <c r="Z1456" s="58" t="str">
        <f>IF(W1456="","",IF(MIN(IF(T1456="",1,T1456),IF(U1456="",1,U1456),IF(V1456="",1,V1456))&gt;=1,"Aucune",IF(IF(T1456="",1,T1456)&lt;=MIN(IF(U1456="",1,U1456),IF(V1456="",1,V1456)),"Disponibilité",IF(IF(U1456="",1,U1456)&lt;=IF(V1456="",1,V1456),"Performance","Qualité"))))</f>
        <v/>
      </c>
      <c r="AA1456" s="59" t="str">
        <f>IF(AC1456=1,N(H1456)*N(IFERROR(INDEX(art_cost,MATCH(E1456,art_ref,0)),0)),"")</f>
        <v/>
      </c>
      <c r="AB1456" s="58" t="str">
        <f>IF(COUNTA(A1456:I1456)=0,"",IF(N(A1456)&lt;=0,"Date manquante ou invalide",IF(B1456="","Équipe manquante",IF(ISNA(MATCH(B1456,eq_code,0)),"Équipe inconnue",IF(INDEX(eq_check,MATCH(B1456,eq_code,0))&lt;&gt;"OK","Équipe à corriger dans Paramètres",IF(C1456="","Poste manquant",IF(ISNA(MATCH(C1456,po_code,0)),"Poste inconnu",IF(AND(E1456&lt;&gt;"",ISNA(MATCH(E1456,art_ref,0))),"Article inconnu",IF(IF(E1456="",FALSE,INDEX(art_check,MATCH(E1456,art_ref,0))&lt;&gt;"OK"),"Article à corriger (feuille Articles)",IF(COUNTIFS(sj_date,A1456,sj_eq,B1456,sj_po,C1456)&gt;1,"Ligne en double (même jour, équipe et poste)",IF(OR(NOT(ISNUMBER(K1456)),N(K1456)&lt;=0,N(K1456)&gt;1440),"Temps d'ouverture invalide",IF(OR(AND(G1456&lt;&gt;"",NOT(ISNUMBER(G1456))),N(G1456)&lt;0,N(G1456)&lt;&gt;INT(N(G1456)),AND(H1456&lt;&gt;"",NOT(ISNUMBER(H1456))),N(H1456)&lt;0,N(H1456)&lt;&gt;INT(N(H1456)),AND(I1456&lt;&gt;"",NOT(ISNUMBER(I1456))),N(I1456)&lt;0,N(I1456)&lt;&gt;INT(N(I1456))),"Quantité invalide",IF(Q1456&lt;=0,"Cadence manquante (poste ou article)",IF(M1456&lt;=0,"Arrêts planifiés supérieurs au temps d'ouverture",IF(O1456&lt;0,"Arrêts supérieurs au temps requis",IF(AND(P1456&gt;0,O1456=0),"Pièces déclarées sans temps de marche",IF(AND(P1456=0,O1456&gt;0),"Aucune pièce déclarée",IF(P1456*60/Q1456&gt;O1456+0.001,"Cadence dépassée : vérifiez la cadence","OK"))))))))))))))))))</f>
        <v/>
      </c>
      <c r="AC1456">
        <f>IF(OR(AB1456="OK",AB1456="Aucune pièce déclarée",AB1456="Cadence dépassée : vérifiez la cadence"),1,0)</f>
        <v>0.0</v>
      </c>
      <c r="AD1456">
        <f>IF(AND(AC1456=1,A1456&gt;=p_from,A1456&lt;=p_to),1,0)</f>
        <v>0.0</v>
      </c>
      <c r="AE1456">
        <f>IF(AD1456=1,IF(COUNTIFS($A$6:A1456,A1456,$AD$6:AD1456,1)=1,1,0),0)</f>
        <v>0.0</v>
      </c>
      <c r="AF1456" t="str">
        <f>IF(AE1456=1,COUNTIFS(sj_first,1,sj_date,"&lt;"&amp;A1456)+1,"")</f>
        <v/>
      </c>
      <c r="AG1456" t="str">
        <f>IF(AND(AD1456=1,N(W1456)&lt;p_alert),ROUND(W1456,4),"")</f>
        <v/>
      </c>
      <c r="AH1456" t="str">
        <f>IF(AG1456="","",COUNTIF(sj_akey,"&lt;"&amp;AG1456)+COUNTIF($AG$6:AG1456,AG1456))</f>
        <v/>
      </c>
    </row>
    <row r="1457">
      <c r="A1457" s="51" t="n"/>
      <c r="B1457" s="52" t="n"/>
      <c r="C1457" s="52" t="n"/>
      <c r="D1457" s="53" t="n"/>
      <c r="E1457" s="53" t="n"/>
      <c r="F1457" s="54" t="n"/>
      <c r="G1457" s="54" t="n"/>
      <c r="H1457" s="54" t="n"/>
      <c r="I1457" s="54" t="n"/>
      <c r="J1457" s="53" t="n"/>
      <c r="K1457" s="55" t="str">
        <f>IF(COUNTA(A1457:I1457)=0,"",IF(F1457="",IFERROR(INDEX(eq_dur,MATCH(B1457,eq_code,0)),""),F1457))</f>
        <v/>
      </c>
      <c r="L1457" s="55" t="str">
        <f>IF(ISNUMBER(K1457),N(IFERROR(INDEX(eq_pause,MATCH(B1457,eq_code,0)),0))+SUMIFS(st_min,st_date,A1457,st_eq,B1457,st_po,C1457,st_type,"Planifié"),"")</f>
        <v/>
      </c>
      <c r="M1457" s="55" t="str">
        <f>IF(ISNUMBER(K1457),K1457-L1457,"")</f>
        <v/>
      </c>
      <c r="N1457" s="55" t="str">
        <f>IF(ISNUMBER(K1457),SUMIFS(st_min,st_date,A1457,st_eq,B1457,st_po,C1457,st_type,"Non planifié"),"")</f>
        <v/>
      </c>
      <c r="O1457" s="55" t="str">
        <f>IF(ISNUMBER(K1457),M1457-N1457,"")</f>
        <v/>
      </c>
      <c r="P1457" s="55" t="str">
        <f>IF(COUNTA(A1457:I1457)=0,"",N(G1457)+N(H1457)+N(I1457))</f>
        <v/>
      </c>
      <c r="Q1457" s="56" t="str">
        <f>IF(COUNTA(A1457:I1457)=0,"",IF(N(IFERROR(INDEX(art_rate,MATCH(E1457,art_ref,0)),0))&gt;0,N(IFERROR(INDEX(art_rate,MATCH(E1457,art_ref,0)),0)),N(IFERROR(INDEX(po_rate,MATCH(C1457,po_code,0)),0))))</f>
        <v/>
      </c>
      <c r="R1457" s="55" t="str">
        <f>IF(AC1457=1,P1457*60/Q1457,"")</f>
        <v/>
      </c>
      <c r="S1457" s="55" t="str">
        <f>IF(AC1457=1,N(G1457)*60/Q1457,"")</f>
        <v/>
      </c>
      <c r="T1457" s="57" t="str">
        <f>IF(AC1457=1,O1457/M1457,"")</f>
        <v/>
      </c>
      <c r="U1457" s="57" t="str">
        <f>IF(AC1457=1,IF(O1457&gt;0,R1457/O1457,""),"")</f>
        <v/>
      </c>
      <c r="V1457" s="57" t="str">
        <f>IF(AC1457=1,IF(P1457&gt;0,N(G1457)/P1457,""),"")</f>
        <v/>
      </c>
      <c r="W1457" s="57" t="str">
        <f>IF(AC1457=1,S1457/M1457,"")</f>
        <v/>
      </c>
      <c r="X1457" s="57" t="str">
        <f>IF(AC1457=1,S1457/K1457,"")</f>
        <v/>
      </c>
      <c r="Y1457" s="58" t="str">
        <f>IF(W1457="","",IF(W1457&gt;=p_target,"Bon",IF(W1457&gt;=p_alert,"À surveiller","Faible")))</f>
        <v/>
      </c>
      <c r="Z1457" s="58" t="str">
        <f>IF(W1457="","",IF(MIN(IF(T1457="",1,T1457),IF(U1457="",1,U1457),IF(V1457="",1,V1457))&gt;=1,"Aucune",IF(IF(T1457="",1,T1457)&lt;=MIN(IF(U1457="",1,U1457),IF(V1457="",1,V1457)),"Disponibilité",IF(IF(U1457="",1,U1457)&lt;=IF(V1457="",1,V1457),"Performance","Qualité"))))</f>
        <v/>
      </c>
      <c r="AA1457" s="59" t="str">
        <f>IF(AC1457=1,N(H1457)*N(IFERROR(INDEX(art_cost,MATCH(E1457,art_ref,0)),0)),"")</f>
        <v/>
      </c>
      <c r="AB1457" s="58" t="str">
        <f>IF(COUNTA(A1457:I1457)=0,"",IF(N(A1457)&lt;=0,"Date manquante ou invalide",IF(B1457="","Équipe manquante",IF(ISNA(MATCH(B1457,eq_code,0)),"Équipe inconnue",IF(INDEX(eq_check,MATCH(B1457,eq_code,0))&lt;&gt;"OK","Équipe à corriger dans Paramètres",IF(C1457="","Poste manquant",IF(ISNA(MATCH(C1457,po_code,0)),"Poste inconnu",IF(AND(E1457&lt;&gt;"",ISNA(MATCH(E1457,art_ref,0))),"Article inconnu",IF(IF(E1457="",FALSE,INDEX(art_check,MATCH(E1457,art_ref,0))&lt;&gt;"OK"),"Article à corriger (feuille Articles)",IF(COUNTIFS(sj_date,A1457,sj_eq,B1457,sj_po,C1457)&gt;1,"Ligne en double (même jour, équipe et poste)",IF(OR(NOT(ISNUMBER(K1457)),N(K1457)&lt;=0,N(K1457)&gt;1440),"Temps d'ouverture invalide",IF(OR(AND(G1457&lt;&gt;"",NOT(ISNUMBER(G1457))),N(G1457)&lt;0,N(G1457)&lt;&gt;INT(N(G1457)),AND(H1457&lt;&gt;"",NOT(ISNUMBER(H1457))),N(H1457)&lt;0,N(H1457)&lt;&gt;INT(N(H1457)),AND(I1457&lt;&gt;"",NOT(ISNUMBER(I1457))),N(I1457)&lt;0,N(I1457)&lt;&gt;INT(N(I1457))),"Quantité invalide",IF(Q1457&lt;=0,"Cadence manquante (poste ou article)",IF(M1457&lt;=0,"Arrêts planifiés supérieurs au temps d'ouverture",IF(O1457&lt;0,"Arrêts supérieurs au temps requis",IF(AND(P1457&gt;0,O1457=0),"Pièces déclarées sans temps de marche",IF(AND(P1457=0,O1457&gt;0),"Aucune pièce déclarée",IF(P1457*60/Q1457&gt;O1457+0.001,"Cadence dépassée : vérifiez la cadence","OK"))))))))))))))))))</f>
        <v/>
      </c>
      <c r="AC1457">
        <f>IF(OR(AB1457="OK",AB1457="Aucune pièce déclarée",AB1457="Cadence dépassée : vérifiez la cadence"),1,0)</f>
        <v>0.0</v>
      </c>
      <c r="AD1457">
        <f>IF(AND(AC1457=1,A1457&gt;=p_from,A1457&lt;=p_to),1,0)</f>
        <v>0.0</v>
      </c>
      <c r="AE1457">
        <f>IF(AD1457=1,IF(COUNTIFS($A$6:A1457,A1457,$AD$6:AD1457,1)=1,1,0),0)</f>
        <v>0.0</v>
      </c>
      <c r="AF1457" t="str">
        <f>IF(AE1457=1,COUNTIFS(sj_first,1,sj_date,"&lt;"&amp;A1457)+1,"")</f>
        <v/>
      </c>
      <c r="AG1457" t="str">
        <f>IF(AND(AD1457=1,N(W1457)&lt;p_alert),ROUND(W1457,4),"")</f>
        <v/>
      </c>
      <c r="AH1457" t="str">
        <f>IF(AG1457="","",COUNTIF(sj_akey,"&lt;"&amp;AG1457)+COUNTIF($AG$6:AG1457,AG1457))</f>
        <v/>
      </c>
    </row>
    <row r="1458">
      <c r="A1458" s="51" t="n"/>
      <c r="B1458" s="52" t="n"/>
      <c r="C1458" s="52" t="n"/>
      <c r="D1458" s="53" t="n"/>
      <c r="E1458" s="53" t="n"/>
      <c r="F1458" s="54" t="n"/>
      <c r="G1458" s="54" t="n"/>
      <c r="H1458" s="54" t="n"/>
      <c r="I1458" s="54" t="n"/>
      <c r="J1458" s="53" t="n"/>
      <c r="K1458" s="55" t="str">
        <f>IF(COUNTA(A1458:I1458)=0,"",IF(F1458="",IFERROR(INDEX(eq_dur,MATCH(B1458,eq_code,0)),""),F1458))</f>
        <v/>
      </c>
      <c r="L1458" s="55" t="str">
        <f>IF(ISNUMBER(K1458),N(IFERROR(INDEX(eq_pause,MATCH(B1458,eq_code,0)),0))+SUMIFS(st_min,st_date,A1458,st_eq,B1458,st_po,C1458,st_type,"Planifié"),"")</f>
        <v/>
      </c>
      <c r="M1458" s="55" t="str">
        <f>IF(ISNUMBER(K1458),K1458-L1458,"")</f>
        <v/>
      </c>
      <c r="N1458" s="55" t="str">
        <f>IF(ISNUMBER(K1458),SUMIFS(st_min,st_date,A1458,st_eq,B1458,st_po,C1458,st_type,"Non planifié"),"")</f>
        <v/>
      </c>
      <c r="O1458" s="55" t="str">
        <f>IF(ISNUMBER(K1458),M1458-N1458,"")</f>
        <v/>
      </c>
      <c r="P1458" s="55" t="str">
        <f>IF(COUNTA(A1458:I1458)=0,"",N(G1458)+N(H1458)+N(I1458))</f>
        <v/>
      </c>
      <c r="Q1458" s="56" t="str">
        <f>IF(COUNTA(A1458:I1458)=0,"",IF(N(IFERROR(INDEX(art_rate,MATCH(E1458,art_ref,0)),0))&gt;0,N(IFERROR(INDEX(art_rate,MATCH(E1458,art_ref,0)),0)),N(IFERROR(INDEX(po_rate,MATCH(C1458,po_code,0)),0))))</f>
        <v/>
      </c>
      <c r="R1458" s="55" t="str">
        <f>IF(AC1458=1,P1458*60/Q1458,"")</f>
        <v/>
      </c>
      <c r="S1458" s="55" t="str">
        <f>IF(AC1458=1,N(G1458)*60/Q1458,"")</f>
        <v/>
      </c>
      <c r="T1458" s="57" t="str">
        <f>IF(AC1458=1,O1458/M1458,"")</f>
        <v/>
      </c>
      <c r="U1458" s="57" t="str">
        <f>IF(AC1458=1,IF(O1458&gt;0,R1458/O1458,""),"")</f>
        <v/>
      </c>
      <c r="V1458" s="57" t="str">
        <f>IF(AC1458=1,IF(P1458&gt;0,N(G1458)/P1458,""),"")</f>
        <v/>
      </c>
      <c r="W1458" s="57" t="str">
        <f>IF(AC1458=1,S1458/M1458,"")</f>
        <v/>
      </c>
      <c r="X1458" s="57" t="str">
        <f>IF(AC1458=1,S1458/K1458,"")</f>
        <v/>
      </c>
      <c r="Y1458" s="58" t="str">
        <f>IF(W1458="","",IF(W1458&gt;=p_target,"Bon",IF(W1458&gt;=p_alert,"À surveiller","Faible")))</f>
        <v/>
      </c>
      <c r="Z1458" s="58" t="str">
        <f>IF(W1458="","",IF(MIN(IF(T1458="",1,T1458),IF(U1458="",1,U1458),IF(V1458="",1,V1458))&gt;=1,"Aucune",IF(IF(T1458="",1,T1458)&lt;=MIN(IF(U1458="",1,U1458),IF(V1458="",1,V1458)),"Disponibilité",IF(IF(U1458="",1,U1458)&lt;=IF(V1458="",1,V1458),"Performance","Qualité"))))</f>
        <v/>
      </c>
      <c r="AA1458" s="59" t="str">
        <f>IF(AC1458=1,N(H1458)*N(IFERROR(INDEX(art_cost,MATCH(E1458,art_ref,0)),0)),"")</f>
        <v/>
      </c>
      <c r="AB1458" s="58" t="str">
        <f>IF(COUNTA(A1458:I1458)=0,"",IF(N(A1458)&lt;=0,"Date manquante ou invalide",IF(B1458="","Équipe manquante",IF(ISNA(MATCH(B1458,eq_code,0)),"Équipe inconnue",IF(INDEX(eq_check,MATCH(B1458,eq_code,0))&lt;&gt;"OK","Équipe à corriger dans Paramètres",IF(C1458="","Poste manquant",IF(ISNA(MATCH(C1458,po_code,0)),"Poste inconnu",IF(AND(E1458&lt;&gt;"",ISNA(MATCH(E1458,art_ref,0))),"Article inconnu",IF(IF(E1458="",FALSE,INDEX(art_check,MATCH(E1458,art_ref,0))&lt;&gt;"OK"),"Article à corriger (feuille Articles)",IF(COUNTIFS(sj_date,A1458,sj_eq,B1458,sj_po,C1458)&gt;1,"Ligne en double (même jour, équipe et poste)",IF(OR(NOT(ISNUMBER(K1458)),N(K1458)&lt;=0,N(K1458)&gt;1440),"Temps d'ouverture invalide",IF(OR(AND(G1458&lt;&gt;"",NOT(ISNUMBER(G1458))),N(G1458)&lt;0,N(G1458)&lt;&gt;INT(N(G1458)),AND(H1458&lt;&gt;"",NOT(ISNUMBER(H1458))),N(H1458)&lt;0,N(H1458)&lt;&gt;INT(N(H1458)),AND(I1458&lt;&gt;"",NOT(ISNUMBER(I1458))),N(I1458)&lt;0,N(I1458)&lt;&gt;INT(N(I1458))),"Quantité invalide",IF(Q1458&lt;=0,"Cadence manquante (poste ou article)",IF(M1458&lt;=0,"Arrêts planifiés supérieurs au temps d'ouverture",IF(O1458&lt;0,"Arrêts supérieurs au temps requis",IF(AND(P1458&gt;0,O1458=0),"Pièces déclarées sans temps de marche",IF(AND(P1458=0,O1458&gt;0),"Aucune pièce déclarée",IF(P1458*60/Q1458&gt;O1458+0.001,"Cadence dépassée : vérifiez la cadence","OK"))))))))))))))))))</f>
        <v/>
      </c>
      <c r="AC1458">
        <f>IF(OR(AB1458="OK",AB1458="Aucune pièce déclarée",AB1458="Cadence dépassée : vérifiez la cadence"),1,0)</f>
        <v>0.0</v>
      </c>
      <c r="AD1458">
        <f>IF(AND(AC1458=1,A1458&gt;=p_from,A1458&lt;=p_to),1,0)</f>
        <v>0.0</v>
      </c>
      <c r="AE1458">
        <f>IF(AD1458=1,IF(COUNTIFS($A$6:A1458,A1458,$AD$6:AD1458,1)=1,1,0),0)</f>
        <v>0.0</v>
      </c>
      <c r="AF1458" t="str">
        <f>IF(AE1458=1,COUNTIFS(sj_first,1,sj_date,"&lt;"&amp;A1458)+1,"")</f>
        <v/>
      </c>
      <c r="AG1458" t="str">
        <f>IF(AND(AD1458=1,N(W1458)&lt;p_alert),ROUND(W1458,4),"")</f>
        <v/>
      </c>
      <c r="AH1458" t="str">
        <f>IF(AG1458="","",COUNTIF(sj_akey,"&lt;"&amp;AG1458)+COUNTIF($AG$6:AG1458,AG1458))</f>
        <v/>
      </c>
    </row>
    <row r="1459">
      <c r="A1459" s="51" t="n"/>
      <c r="B1459" s="52" t="n"/>
      <c r="C1459" s="52" t="n"/>
      <c r="D1459" s="53" t="n"/>
      <c r="E1459" s="53" t="n"/>
      <c r="F1459" s="54" t="n"/>
      <c r="G1459" s="54" t="n"/>
      <c r="H1459" s="54" t="n"/>
      <c r="I1459" s="54" t="n"/>
      <c r="J1459" s="53" t="n"/>
      <c r="K1459" s="55" t="str">
        <f>IF(COUNTA(A1459:I1459)=0,"",IF(F1459="",IFERROR(INDEX(eq_dur,MATCH(B1459,eq_code,0)),""),F1459))</f>
        <v/>
      </c>
      <c r="L1459" s="55" t="str">
        <f>IF(ISNUMBER(K1459),N(IFERROR(INDEX(eq_pause,MATCH(B1459,eq_code,0)),0))+SUMIFS(st_min,st_date,A1459,st_eq,B1459,st_po,C1459,st_type,"Planifié"),"")</f>
        <v/>
      </c>
      <c r="M1459" s="55" t="str">
        <f>IF(ISNUMBER(K1459),K1459-L1459,"")</f>
        <v/>
      </c>
      <c r="N1459" s="55" t="str">
        <f>IF(ISNUMBER(K1459),SUMIFS(st_min,st_date,A1459,st_eq,B1459,st_po,C1459,st_type,"Non planifié"),"")</f>
        <v/>
      </c>
      <c r="O1459" s="55" t="str">
        <f>IF(ISNUMBER(K1459),M1459-N1459,"")</f>
        <v/>
      </c>
      <c r="P1459" s="55" t="str">
        <f>IF(COUNTA(A1459:I1459)=0,"",N(G1459)+N(H1459)+N(I1459))</f>
        <v/>
      </c>
      <c r="Q1459" s="56" t="str">
        <f>IF(COUNTA(A1459:I1459)=0,"",IF(N(IFERROR(INDEX(art_rate,MATCH(E1459,art_ref,0)),0))&gt;0,N(IFERROR(INDEX(art_rate,MATCH(E1459,art_ref,0)),0)),N(IFERROR(INDEX(po_rate,MATCH(C1459,po_code,0)),0))))</f>
        <v/>
      </c>
      <c r="R1459" s="55" t="str">
        <f>IF(AC1459=1,P1459*60/Q1459,"")</f>
        <v/>
      </c>
      <c r="S1459" s="55" t="str">
        <f>IF(AC1459=1,N(G1459)*60/Q1459,"")</f>
        <v/>
      </c>
      <c r="T1459" s="57" t="str">
        <f>IF(AC1459=1,O1459/M1459,"")</f>
        <v/>
      </c>
      <c r="U1459" s="57" t="str">
        <f>IF(AC1459=1,IF(O1459&gt;0,R1459/O1459,""),"")</f>
        <v/>
      </c>
      <c r="V1459" s="57" t="str">
        <f>IF(AC1459=1,IF(P1459&gt;0,N(G1459)/P1459,""),"")</f>
        <v/>
      </c>
      <c r="W1459" s="57" t="str">
        <f>IF(AC1459=1,S1459/M1459,"")</f>
        <v/>
      </c>
      <c r="X1459" s="57" t="str">
        <f>IF(AC1459=1,S1459/K1459,"")</f>
        <v/>
      </c>
      <c r="Y1459" s="58" t="str">
        <f>IF(W1459="","",IF(W1459&gt;=p_target,"Bon",IF(W1459&gt;=p_alert,"À surveiller","Faible")))</f>
        <v/>
      </c>
      <c r="Z1459" s="58" t="str">
        <f>IF(W1459="","",IF(MIN(IF(T1459="",1,T1459),IF(U1459="",1,U1459),IF(V1459="",1,V1459))&gt;=1,"Aucune",IF(IF(T1459="",1,T1459)&lt;=MIN(IF(U1459="",1,U1459),IF(V1459="",1,V1459)),"Disponibilité",IF(IF(U1459="",1,U1459)&lt;=IF(V1459="",1,V1459),"Performance","Qualité"))))</f>
        <v/>
      </c>
      <c r="AA1459" s="59" t="str">
        <f>IF(AC1459=1,N(H1459)*N(IFERROR(INDEX(art_cost,MATCH(E1459,art_ref,0)),0)),"")</f>
        <v/>
      </c>
      <c r="AB1459" s="58" t="str">
        <f>IF(COUNTA(A1459:I1459)=0,"",IF(N(A1459)&lt;=0,"Date manquante ou invalide",IF(B1459="","Équipe manquante",IF(ISNA(MATCH(B1459,eq_code,0)),"Équipe inconnue",IF(INDEX(eq_check,MATCH(B1459,eq_code,0))&lt;&gt;"OK","Équipe à corriger dans Paramètres",IF(C1459="","Poste manquant",IF(ISNA(MATCH(C1459,po_code,0)),"Poste inconnu",IF(AND(E1459&lt;&gt;"",ISNA(MATCH(E1459,art_ref,0))),"Article inconnu",IF(IF(E1459="",FALSE,INDEX(art_check,MATCH(E1459,art_ref,0))&lt;&gt;"OK"),"Article à corriger (feuille Articles)",IF(COUNTIFS(sj_date,A1459,sj_eq,B1459,sj_po,C1459)&gt;1,"Ligne en double (même jour, équipe et poste)",IF(OR(NOT(ISNUMBER(K1459)),N(K1459)&lt;=0,N(K1459)&gt;1440),"Temps d'ouverture invalide",IF(OR(AND(G1459&lt;&gt;"",NOT(ISNUMBER(G1459))),N(G1459)&lt;0,N(G1459)&lt;&gt;INT(N(G1459)),AND(H1459&lt;&gt;"",NOT(ISNUMBER(H1459))),N(H1459)&lt;0,N(H1459)&lt;&gt;INT(N(H1459)),AND(I1459&lt;&gt;"",NOT(ISNUMBER(I1459))),N(I1459)&lt;0,N(I1459)&lt;&gt;INT(N(I1459))),"Quantité invalide",IF(Q1459&lt;=0,"Cadence manquante (poste ou article)",IF(M1459&lt;=0,"Arrêts planifiés supérieurs au temps d'ouverture",IF(O1459&lt;0,"Arrêts supérieurs au temps requis",IF(AND(P1459&gt;0,O1459=0),"Pièces déclarées sans temps de marche",IF(AND(P1459=0,O1459&gt;0),"Aucune pièce déclarée",IF(P1459*60/Q1459&gt;O1459+0.001,"Cadence dépassée : vérifiez la cadence","OK"))))))))))))))))))</f>
        <v/>
      </c>
      <c r="AC1459">
        <f>IF(OR(AB1459="OK",AB1459="Aucune pièce déclarée",AB1459="Cadence dépassée : vérifiez la cadence"),1,0)</f>
        <v>0.0</v>
      </c>
      <c r="AD1459">
        <f>IF(AND(AC1459=1,A1459&gt;=p_from,A1459&lt;=p_to),1,0)</f>
        <v>0.0</v>
      </c>
      <c r="AE1459">
        <f>IF(AD1459=1,IF(COUNTIFS($A$6:A1459,A1459,$AD$6:AD1459,1)=1,1,0),0)</f>
        <v>0.0</v>
      </c>
      <c r="AF1459" t="str">
        <f>IF(AE1459=1,COUNTIFS(sj_first,1,sj_date,"&lt;"&amp;A1459)+1,"")</f>
        <v/>
      </c>
      <c r="AG1459" t="str">
        <f>IF(AND(AD1459=1,N(W1459)&lt;p_alert),ROUND(W1459,4),"")</f>
        <v/>
      </c>
      <c r="AH1459" t="str">
        <f>IF(AG1459="","",COUNTIF(sj_akey,"&lt;"&amp;AG1459)+COUNTIF($AG$6:AG1459,AG1459))</f>
        <v/>
      </c>
    </row>
    <row r="1460">
      <c r="A1460" s="51" t="n"/>
      <c r="B1460" s="52" t="n"/>
      <c r="C1460" s="52" t="n"/>
      <c r="D1460" s="53" t="n"/>
      <c r="E1460" s="53" t="n"/>
      <c r="F1460" s="54" t="n"/>
      <c r="G1460" s="54" t="n"/>
      <c r="H1460" s="54" t="n"/>
      <c r="I1460" s="54" t="n"/>
      <c r="J1460" s="53" t="n"/>
      <c r="K1460" s="55" t="str">
        <f>IF(COUNTA(A1460:I1460)=0,"",IF(F1460="",IFERROR(INDEX(eq_dur,MATCH(B1460,eq_code,0)),""),F1460))</f>
        <v/>
      </c>
      <c r="L1460" s="55" t="str">
        <f>IF(ISNUMBER(K1460),N(IFERROR(INDEX(eq_pause,MATCH(B1460,eq_code,0)),0))+SUMIFS(st_min,st_date,A1460,st_eq,B1460,st_po,C1460,st_type,"Planifié"),"")</f>
        <v/>
      </c>
      <c r="M1460" s="55" t="str">
        <f>IF(ISNUMBER(K1460),K1460-L1460,"")</f>
        <v/>
      </c>
      <c r="N1460" s="55" t="str">
        <f>IF(ISNUMBER(K1460),SUMIFS(st_min,st_date,A1460,st_eq,B1460,st_po,C1460,st_type,"Non planifié"),"")</f>
        <v/>
      </c>
      <c r="O1460" s="55" t="str">
        <f>IF(ISNUMBER(K1460),M1460-N1460,"")</f>
        <v/>
      </c>
      <c r="P1460" s="55" t="str">
        <f>IF(COUNTA(A1460:I1460)=0,"",N(G1460)+N(H1460)+N(I1460))</f>
        <v/>
      </c>
      <c r="Q1460" s="56" t="str">
        <f>IF(COUNTA(A1460:I1460)=0,"",IF(N(IFERROR(INDEX(art_rate,MATCH(E1460,art_ref,0)),0))&gt;0,N(IFERROR(INDEX(art_rate,MATCH(E1460,art_ref,0)),0)),N(IFERROR(INDEX(po_rate,MATCH(C1460,po_code,0)),0))))</f>
        <v/>
      </c>
      <c r="R1460" s="55" t="str">
        <f>IF(AC1460=1,P1460*60/Q1460,"")</f>
        <v/>
      </c>
      <c r="S1460" s="55" t="str">
        <f>IF(AC1460=1,N(G1460)*60/Q1460,"")</f>
        <v/>
      </c>
      <c r="T1460" s="57" t="str">
        <f>IF(AC1460=1,O1460/M1460,"")</f>
        <v/>
      </c>
      <c r="U1460" s="57" t="str">
        <f>IF(AC1460=1,IF(O1460&gt;0,R1460/O1460,""),"")</f>
        <v/>
      </c>
      <c r="V1460" s="57" t="str">
        <f>IF(AC1460=1,IF(P1460&gt;0,N(G1460)/P1460,""),"")</f>
        <v/>
      </c>
      <c r="W1460" s="57" t="str">
        <f>IF(AC1460=1,S1460/M1460,"")</f>
        <v/>
      </c>
      <c r="X1460" s="57" t="str">
        <f>IF(AC1460=1,S1460/K1460,"")</f>
        <v/>
      </c>
      <c r="Y1460" s="58" t="str">
        <f>IF(W1460="","",IF(W1460&gt;=p_target,"Bon",IF(W1460&gt;=p_alert,"À surveiller","Faible")))</f>
        <v/>
      </c>
      <c r="Z1460" s="58" t="str">
        <f>IF(W1460="","",IF(MIN(IF(T1460="",1,T1460),IF(U1460="",1,U1460),IF(V1460="",1,V1460))&gt;=1,"Aucune",IF(IF(T1460="",1,T1460)&lt;=MIN(IF(U1460="",1,U1460),IF(V1460="",1,V1460)),"Disponibilité",IF(IF(U1460="",1,U1460)&lt;=IF(V1460="",1,V1460),"Performance","Qualité"))))</f>
        <v/>
      </c>
      <c r="AA1460" s="59" t="str">
        <f>IF(AC1460=1,N(H1460)*N(IFERROR(INDEX(art_cost,MATCH(E1460,art_ref,0)),0)),"")</f>
        <v/>
      </c>
      <c r="AB1460" s="58" t="str">
        <f>IF(COUNTA(A1460:I1460)=0,"",IF(N(A1460)&lt;=0,"Date manquante ou invalide",IF(B1460="","Équipe manquante",IF(ISNA(MATCH(B1460,eq_code,0)),"Équipe inconnue",IF(INDEX(eq_check,MATCH(B1460,eq_code,0))&lt;&gt;"OK","Équipe à corriger dans Paramètres",IF(C1460="","Poste manquant",IF(ISNA(MATCH(C1460,po_code,0)),"Poste inconnu",IF(AND(E1460&lt;&gt;"",ISNA(MATCH(E1460,art_ref,0))),"Article inconnu",IF(IF(E1460="",FALSE,INDEX(art_check,MATCH(E1460,art_ref,0))&lt;&gt;"OK"),"Article à corriger (feuille Articles)",IF(COUNTIFS(sj_date,A1460,sj_eq,B1460,sj_po,C1460)&gt;1,"Ligne en double (même jour, équipe et poste)",IF(OR(NOT(ISNUMBER(K1460)),N(K1460)&lt;=0,N(K1460)&gt;1440),"Temps d'ouverture invalide",IF(OR(AND(G1460&lt;&gt;"",NOT(ISNUMBER(G1460))),N(G1460)&lt;0,N(G1460)&lt;&gt;INT(N(G1460)),AND(H1460&lt;&gt;"",NOT(ISNUMBER(H1460))),N(H1460)&lt;0,N(H1460)&lt;&gt;INT(N(H1460)),AND(I1460&lt;&gt;"",NOT(ISNUMBER(I1460))),N(I1460)&lt;0,N(I1460)&lt;&gt;INT(N(I1460))),"Quantité invalide",IF(Q1460&lt;=0,"Cadence manquante (poste ou article)",IF(M1460&lt;=0,"Arrêts planifiés supérieurs au temps d'ouverture",IF(O1460&lt;0,"Arrêts supérieurs au temps requis",IF(AND(P1460&gt;0,O1460=0),"Pièces déclarées sans temps de marche",IF(AND(P1460=0,O1460&gt;0),"Aucune pièce déclarée",IF(P1460*60/Q1460&gt;O1460+0.001,"Cadence dépassée : vérifiez la cadence","OK"))))))))))))))))))</f>
        <v/>
      </c>
      <c r="AC1460">
        <f>IF(OR(AB1460="OK",AB1460="Aucune pièce déclarée",AB1460="Cadence dépassée : vérifiez la cadence"),1,0)</f>
        <v>0.0</v>
      </c>
      <c r="AD1460">
        <f>IF(AND(AC1460=1,A1460&gt;=p_from,A1460&lt;=p_to),1,0)</f>
        <v>0.0</v>
      </c>
      <c r="AE1460">
        <f>IF(AD1460=1,IF(COUNTIFS($A$6:A1460,A1460,$AD$6:AD1460,1)=1,1,0),0)</f>
        <v>0.0</v>
      </c>
      <c r="AF1460" t="str">
        <f>IF(AE1460=1,COUNTIFS(sj_first,1,sj_date,"&lt;"&amp;A1460)+1,"")</f>
        <v/>
      </c>
      <c r="AG1460" t="str">
        <f>IF(AND(AD1460=1,N(W1460)&lt;p_alert),ROUND(W1460,4),"")</f>
        <v/>
      </c>
      <c r="AH1460" t="str">
        <f>IF(AG1460="","",COUNTIF(sj_akey,"&lt;"&amp;AG1460)+COUNTIF($AG$6:AG1460,AG1460))</f>
        <v/>
      </c>
    </row>
    <row r="1461">
      <c r="A1461" s="51" t="n"/>
      <c r="B1461" s="52" t="n"/>
      <c r="C1461" s="52" t="n"/>
      <c r="D1461" s="53" t="n"/>
      <c r="E1461" s="53" t="n"/>
      <c r="F1461" s="54" t="n"/>
      <c r="G1461" s="54" t="n"/>
      <c r="H1461" s="54" t="n"/>
      <c r="I1461" s="54" t="n"/>
      <c r="J1461" s="53" t="n"/>
      <c r="K1461" s="55" t="str">
        <f>IF(COUNTA(A1461:I1461)=0,"",IF(F1461="",IFERROR(INDEX(eq_dur,MATCH(B1461,eq_code,0)),""),F1461))</f>
        <v/>
      </c>
      <c r="L1461" s="55" t="str">
        <f>IF(ISNUMBER(K1461),N(IFERROR(INDEX(eq_pause,MATCH(B1461,eq_code,0)),0))+SUMIFS(st_min,st_date,A1461,st_eq,B1461,st_po,C1461,st_type,"Planifié"),"")</f>
        <v/>
      </c>
      <c r="M1461" s="55" t="str">
        <f>IF(ISNUMBER(K1461),K1461-L1461,"")</f>
        <v/>
      </c>
      <c r="N1461" s="55" t="str">
        <f>IF(ISNUMBER(K1461),SUMIFS(st_min,st_date,A1461,st_eq,B1461,st_po,C1461,st_type,"Non planifié"),"")</f>
        <v/>
      </c>
      <c r="O1461" s="55" t="str">
        <f>IF(ISNUMBER(K1461),M1461-N1461,"")</f>
        <v/>
      </c>
      <c r="P1461" s="55" t="str">
        <f>IF(COUNTA(A1461:I1461)=0,"",N(G1461)+N(H1461)+N(I1461))</f>
        <v/>
      </c>
      <c r="Q1461" s="56" t="str">
        <f>IF(COUNTA(A1461:I1461)=0,"",IF(N(IFERROR(INDEX(art_rate,MATCH(E1461,art_ref,0)),0))&gt;0,N(IFERROR(INDEX(art_rate,MATCH(E1461,art_ref,0)),0)),N(IFERROR(INDEX(po_rate,MATCH(C1461,po_code,0)),0))))</f>
        <v/>
      </c>
      <c r="R1461" s="55" t="str">
        <f>IF(AC1461=1,P1461*60/Q1461,"")</f>
        <v/>
      </c>
      <c r="S1461" s="55" t="str">
        <f>IF(AC1461=1,N(G1461)*60/Q1461,"")</f>
        <v/>
      </c>
      <c r="T1461" s="57" t="str">
        <f>IF(AC1461=1,O1461/M1461,"")</f>
        <v/>
      </c>
      <c r="U1461" s="57" t="str">
        <f>IF(AC1461=1,IF(O1461&gt;0,R1461/O1461,""),"")</f>
        <v/>
      </c>
      <c r="V1461" s="57" t="str">
        <f>IF(AC1461=1,IF(P1461&gt;0,N(G1461)/P1461,""),"")</f>
        <v/>
      </c>
      <c r="W1461" s="57" t="str">
        <f>IF(AC1461=1,S1461/M1461,"")</f>
        <v/>
      </c>
      <c r="X1461" s="57" t="str">
        <f>IF(AC1461=1,S1461/K1461,"")</f>
        <v/>
      </c>
      <c r="Y1461" s="58" t="str">
        <f>IF(W1461="","",IF(W1461&gt;=p_target,"Bon",IF(W1461&gt;=p_alert,"À surveiller","Faible")))</f>
        <v/>
      </c>
      <c r="Z1461" s="58" t="str">
        <f>IF(W1461="","",IF(MIN(IF(T1461="",1,T1461),IF(U1461="",1,U1461),IF(V1461="",1,V1461))&gt;=1,"Aucune",IF(IF(T1461="",1,T1461)&lt;=MIN(IF(U1461="",1,U1461),IF(V1461="",1,V1461)),"Disponibilité",IF(IF(U1461="",1,U1461)&lt;=IF(V1461="",1,V1461),"Performance","Qualité"))))</f>
        <v/>
      </c>
      <c r="AA1461" s="59" t="str">
        <f>IF(AC1461=1,N(H1461)*N(IFERROR(INDEX(art_cost,MATCH(E1461,art_ref,0)),0)),"")</f>
        <v/>
      </c>
      <c r="AB1461" s="58" t="str">
        <f>IF(COUNTA(A1461:I1461)=0,"",IF(N(A1461)&lt;=0,"Date manquante ou invalide",IF(B1461="","Équipe manquante",IF(ISNA(MATCH(B1461,eq_code,0)),"Équipe inconnue",IF(INDEX(eq_check,MATCH(B1461,eq_code,0))&lt;&gt;"OK","Équipe à corriger dans Paramètres",IF(C1461="","Poste manquant",IF(ISNA(MATCH(C1461,po_code,0)),"Poste inconnu",IF(AND(E1461&lt;&gt;"",ISNA(MATCH(E1461,art_ref,0))),"Article inconnu",IF(IF(E1461="",FALSE,INDEX(art_check,MATCH(E1461,art_ref,0))&lt;&gt;"OK"),"Article à corriger (feuille Articles)",IF(COUNTIFS(sj_date,A1461,sj_eq,B1461,sj_po,C1461)&gt;1,"Ligne en double (même jour, équipe et poste)",IF(OR(NOT(ISNUMBER(K1461)),N(K1461)&lt;=0,N(K1461)&gt;1440),"Temps d'ouverture invalide",IF(OR(AND(G1461&lt;&gt;"",NOT(ISNUMBER(G1461))),N(G1461)&lt;0,N(G1461)&lt;&gt;INT(N(G1461)),AND(H1461&lt;&gt;"",NOT(ISNUMBER(H1461))),N(H1461)&lt;0,N(H1461)&lt;&gt;INT(N(H1461)),AND(I1461&lt;&gt;"",NOT(ISNUMBER(I1461))),N(I1461)&lt;0,N(I1461)&lt;&gt;INT(N(I1461))),"Quantité invalide",IF(Q1461&lt;=0,"Cadence manquante (poste ou article)",IF(M1461&lt;=0,"Arrêts planifiés supérieurs au temps d'ouverture",IF(O1461&lt;0,"Arrêts supérieurs au temps requis",IF(AND(P1461&gt;0,O1461=0),"Pièces déclarées sans temps de marche",IF(AND(P1461=0,O1461&gt;0),"Aucune pièce déclarée",IF(P1461*60/Q1461&gt;O1461+0.001,"Cadence dépassée : vérifiez la cadence","OK"))))))))))))))))))</f>
        <v/>
      </c>
      <c r="AC1461">
        <f>IF(OR(AB1461="OK",AB1461="Aucune pièce déclarée",AB1461="Cadence dépassée : vérifiez la cadence"),1,0)</f>
        <v>0.0</v>
      </c>
      <c r="AD1461">
        <f>IF(AND(AC1461=1,A1461&gt;=p_from,A1461&lt;=p_to),1,0)</f>
        <v>0.0</v>
      </c>
      <c r="AE1461">
        <f>IF(AD1461=1,IF(COUNTIFS($A$6:A1461,A1461,$AD$6:AD1461,1)=1,1,0),0)</f>
        <v>0.0</v>
      </c>
      <c r="AF1461" t="str">
        <f>IF(AE1461=1,COUNTIFS(sj_first,1,sj_date,"&lt;"&amp;A1461)+1,"")</f>
        <v/>
      </c>
      <c r="AG1461" t="str">
        <f>IF(AND(AD1461=1,N(W1461)&lt;p_alert),ROUND(W1461,4),"")</f>
        <v/>
      </c>
      <c r="AH1461" t="str">
        <f>IF(AG1461="","",COUNTIF(sj_akey,"&lt;"&amp;AG1461)+COUNTIF($AG$6:AG1461,AG1461))</f>
        <v/>
      </c>
    </row>
    <row r="1462">
      <c r="A1462" s="51" t="n"/>
      <c r="B1462" s="52" t="n"/>
      <c r="C1462" s="52" t="n"/>
      <c r="D1462" s="53" t="n"/>
      <c r="E1462" s="53" t="n"/>
      <c r="F1462" s="54" t="n"/>
      <c r="G1462" s="54" t="n"/>
      <c r="H1462" s="54" t="n"/>
      <c r="I1462" s="54" t="n"/>
      <c r="J1462" s="53" t="n"/>
      <c r="K1462" s="55" t="str">
        <f>IF(COUNTA(A1462:I1462)=0,"",IF(F1462="",IFERROR(INDEX(eq_dur,MATCH(B1462,eq_code,0)),""),F1462))</f>
        <v/>
      </c>
      <c r="L1462" s="55" t="str">
        <f>IF(ISNUMBER(K1462),N(IFERROR(INDEX(eq_pause,MATCH(B1462,eq_code,0)),0))+SUMIFS(st_min,st_date,A1462,st_eq,B1462,st_po,C1462,st_type,"Planifié"),"")</f>
        <v/>
      </c>
      <c r="M1462" s="55" t="str">
        <f>IF(ISNUMBER(K1462),K1462-L1462,"")</f>
        <v/>
      </c>
      <c r="N1462" s="55" t="str">
        <f>IF(ISNUMBER(K1462),SUMIFS(st_min,st_date,A1462,st_eq,B1462,st_po,C1462,st_type,"Non planifié"),"")</f>
        <v/>
      </c>
      <c r="O1462" s="55" t="str">
        <f>IF(ISNUMBER(K1462),M1462-N1462,"")</f>
        <v/>
      </c>
      <c r="P1462" s="55" t="str">
        <f>IF(COUNTA(A1462:I1462)=0,"",N(G1462)+N(H1462)+N(I1462))</f>
        <v/>
      </c>
      <c r="Q1462" s="56" t="str">
        <f>IF(COUNTA(A1462:I1462)=0,"",IF(N(IFERROR(INDEX(art_rate,MATCH(E1462,art_ref,0)),0))&gt;0,N(IFERROR(INDEX(art_rate,MATCH(E1462,art_ref,0)),0)),N(IFERROR(INDEX(po_rate,MATCH(C1462,po_code,0)),0))))</f>
        <v/>
      </c>
      <c r="R1462" s="55" t="str">
        <f>IF(AC1462=1,P1462*60/Q1462,"")</f>
        <v/>
      </c>
      <c r="S1462" s="55" t="str">
        <f>IF(AC1462=1,N(G1462)*60/Q1462,"")</f>
        <v/>
      </c>
      <c r="T1462" s="57" t="str">
        <f>IF(AC1462=1,O1462/M1462,"")</f>
        <v/>
      </c>
      <c r="U1462" s="57" t="str">
        <f>IF(AC1462=1,IF(O1462&gt;0,R1462/O1462,""),"")</f>
        <v/>
      </c>
      <c r="V1462" s="57" t="str">
        <f>IF(AC1462=1,IF(P1462&gt;0,N(G1462)/P1462,""),"")</f>
        <v/>
      </c>
      <c r="W1462" s="57" t="str">
        <f>IF(AC1462=1,S1462/M1462,"")</f>
        <v/>
      </c>
      <c r="X1462" s="57" t="str">
        <f>IF(AC1462=1,S1462/K1462,"")</f>
        <v/>
      </c>
      <c r="Y1462" s="58" t="str">
        <f>IF(W1462="","",IF(W1462&gt;=p_target,"Bon",IF(W1462&gt;=p_alert,"À surveiller","Faible")))</f>
        <v/>
      </c>
      <c r="Z1462" s="58" t="str">
        <f>IF(W1462="","",IF(MIN(IF(T1462="",1,T1462),IF(U1462="",1,U1462),IF(V1462="",1,V1462))&gt;=1,"Aucune",IF(IF(T1462="",1,T1462)&lt;=MIN(IF(U1462="",1,U1462),IF(V1462="",1,V1462)),"Disponibilité",IF(IF(U1462="",1,U1462)&lt;=IF(V1462="",1,V1462),"Performance","Qualité"))))</f>
        <v/>
      </c>
      <c r="AA1462" s="59" t="str">
        <f>IF(AC1462=1,N(H1462)*N(IFERROR(INDEX(art_cost,MATCH(E1462,art_ref,0)),0)),"")</f>
        <v/>
      </c>
      <c r="AB1462" s="58" t="str">
        <f>IF(COUNTA(A1462:I1462)=0,"",IF(N(A1462)&lt;=0,"Date manquante ou invalide",IF(B1462="","Équipe manquante",IF(ISNA(MATCH(B1462,eq_code,0)),"Équipe inconnue",IF(INDEX(eq_check,MATCH(B1462,eq_code,0))&lt;&gt;"OK","Équipe à corriger dans Paramètres",IF(C1462="","Poste manquant",IF(ISNA(MATCH(C1462,po_code,0)),"Poste inconnu",IF(AND(E1462&lt;&gt;"",ISNA(MATCH(E1462,art_ref,0))),"Article inconnu",IF(IF(E1462="",FALSE,INDEX(art_check,MATCH(E1462,art_ref,0))&lt;&gt;"OK"),"Article à corriger (feuille Articles)",IF(COUNTIFS(sj_date,A1462,sj_eq,B1462,sj_po,C1462)&gt;1,"Ligne en double (même jour, équipe et poste)",IF(OR(NOT(ISNUMBER(K1462)),N(K1462)&lt;=0,N(K1462)&gt;1440),"Temps d'ouverture invalide",IF(OR(AND(G1462&lt;&gt;"",NOT(ISNUMBER(G1462))),N(G1462)&lt;0,N(G1462)&lt;&gt;INT(N(G1462)),AND(H1462&lt;&gt;"",NOT(ISNUMBER(H1462))),N(H1462)&lt;0,N(H1462)&lt;&gt;INT(N(H1462)),AND(I1462&lt;&gt;"",NOT(ISNUMBER(I1462))),N(I1462)&lt;0,N(I1462)&lt;&gt;INT(N(I1462))),"Quantité invalide",IF(Q1462&lt;=0,"Cadence manquante (poste ou article)",IF(M1462&lt;=0,"Arrêts planifiés supérieurs au temps d'ouverture",IF(O1462&lt;0,"Arrêts supérieurs au temps requis",IF(AND(P1462&gt;0,O1462=0),"Pièces déclarées sans temps de marche",IF(AND(P1462=0,O1462&gt;0),"Aucune pièce déclarée",IF(P1462*60/Q1462&gt;O1462+0.001,"Cadence dépassée : vérifiez la cadence","OK"))))))))))))))))))</f>
        <v/>
      </c>
      <c r="AC1462">
        <f>IF(OR(AB1462="OK",AB1462="Aucune pièce déclarée",AB1462="Cadence dépassée : vérifiez la cadence"),1,0)</f>
        <v>0.0</v>
      </c>
      <c r="AD1462">
        <f>IF(AND(AC1462=1,A1462&gt;=p_from,A1462&lt;=p_to),1,0)</f>
        <v>0.0</v>
      </c>
      <c r="AE1462">
        <f>IF(AD1462=1,IF(COUNTIFS($A$6:A1462,A1462,$AD$6:AD1462,1)=1,1,0),0)</f>
        <v>0.0</v>
      </c>
      <c r="AF1462" t="str">
        <f>IF(AE1462=1,COUNTIFS(sj_first,1,sj_date,"&lt;"&amp;A1462)+1,"")</f>
        <v/>
      </c>
      <c r="AG1462" t="str">
        <f>IF(AND(AD1462=1,N(W1462)&lt;p_alert),ROUND(W1462,4),"")</f>
        <v/>
      </c>
      <c r="AH1462" t="str">
        <f>IF(AG1462="","",COUNTIF(sj_akey,"&lt;"&amp;AG1462)+COUNTIF($AG$6:AG1462,AG1462))</f>
        <v/>
      </c>
    </row>
    <row r="1463">
      <c r="A1463" s="51" t="n"/>
      <c r="B1463" s="52" t="n"/>
      <c r="C1463" s="52" t="n"/>
      <c r="D1463" s="53" t="n"/>
      <c r="E1463" s="53" t="n"/>
      <c r="F1463" s="54" t="n"/>
      <c r="G1463" s="54" t="n"/>
      <c r="H1463" s="54" t="n"/>
      <c r="I1463" s="54" t="n"/>
      <c r="J1463" s="53" t="n"/>
      <c r="K1463" s="55" t="str">
        <f>IF(COUNTA(A1463:I1463)=0,"",IF(F1463="",IFERROR(INDEX(eq_dur,MATCH(B1463,eq_code,0)),""),F1463))</f>
        <v/>
      </c>
      <c r="L1463" s="55" t="str">
        <f>IF(ISNUMBER(K1463),N(IFERROR(INDEX(eq_pause,MATCH(B1463,eq_code,0)),0))+SUMIFS(st_min,st_date,A1463,st_eq,B1463,st_po,C1463,st_type,"Planifié"),"")</f>
        <v/>
      </c>
      <c r="M1463" s="55" t="str">
        <f>IF(ISNUMBER(K1463),K1463-L1463,"")</f>
        <v/>
      </c>
      <c r="N1463" s="55" t="str">
        <f>IF(ISNUMBER(K1463),SUMIFS(st_min,st_date,A1463,st_eq,B1463,st_po,C1463,st_type,"Non planifié"),"")</f>
        <v/>
      </c>
      <c r="O1463" s="55" t="str">
        <f>IF(ISNUMBER(K1463),M1463-N1463,"")</f>
        <v/>
      </c>
      <c r="P1463" s="55" t="str">
        <f>IF(COUNTA(A1463:I1463)=0,"",N(G1463)+N(H1463)+N(I1463))</f>
        <v/>
      </c>
      <c r="Q1463" s="56" t="str">
        <f>IF(COUNTA(A1463:I1463)=0,"",IF(N(IFERROR(INDEX(art_rate,MATCH(E1463,art_ref,0)),0))&gt;0,N(IFERROR(INDEX(art_rate,MATCH(E1463,art_ref,0)),0)),N(IFERROR(INDEX(po_rate,MATCH(C1463,po_code,0)),0))))</f>
        <v/>
      </c>
      <c r="R1463" s="55" t="str">
        <f>IF(AC1463=1,P1463*60/Q1463,"")</f>
        <v/>
      </c>
      <c r="S1463" s="55" t="str">
        <f>IF(AC1463=1,N(G1463)*60/Q1463,"")</f>
        <v/>
      </c>
      <c r="T1463" s="57" t="str">
        <f>IF(AC1463=1,O1463/M1463,"")</f>
        <v/>
      </c>
      <c r="U1463" s="57" t="str">
        <f>IF(AC1463=1,IF(O1463&gt;0,R1463/O1463,""),"")</f>
        <v/>
      </c>
      <c r="V1463" s="57" t="str">
        <f>IF(AC1463=1,IF(P1463&gt;0,N(G1463)/P1463,""),"")</f>
        <v/>
      </c>
      <c r="W1463" s="57" t="str">
        <f>IF(AC1463=1,S1463/M1463,"")</f>
        <v/>
      </c>
      <c r="X1463" s="57" t="str">
        <f>IF(AC1463=1,S1463/K1463,"")</f>
        <v/>
      </c>
      <c r="Y1463" s="58" t="str">
        <f>IF(W1463="","",IF(W1463&gt;=p_target,"Bon",IF(W1463&gt;=p_alert,"À surveiller","Faible")))</f>
        <v/>
      </c>
      <c r="Z1463" s="58" t="str">
        <f>IF(W1463="","",IF(MIN(IF(T1463="",1,T1463),IF(U1463="",1,U1463),IF(V1463="",1,V1463))&gt;=1,"Aucune",IF(IF(T1463="",1,T1463)&lt;=MIN(IF(U1463="",1,U1463),IF(V1463="",1,V1463)),"Disponibilité",IF(IF(U1463="",1,U1463)&lt;=IF(V1463="",1,V1463),"Performance","Qualité"))))</f>
        <v/>
      </c>
      <c r="AA1463" s="59" t="str">
        <f>IF(AC1463=1,N(H1463)*N(IFERROR(INDEX(art_cost,MATCH(E1463,art_ref,0)),0)),"")</f>
        <v/>
      </c>
      <c r="AB1463" s="58" t="str">
        <f>IF(COUNTA(A1463:I1463)=0,"",IF(N(A1463)&lt;=0,"Date manquante ou invalide",IF(B1463="","Équipe manquante",IF(ISNA(MATCH(B1463,eq_code,0)),"Équipe inconnue",IF(INDEX(eq_check,MATCH(B1463,eq_code,0))&lt;&gt;"OK","Équipe à corriger dans Paramètres",IF(C1463="","Poste manquant",IF(ISNA(MATCH(C1463,po_code,0)),"Poste inconnu",IF(AND(E1463&lt;&gt;"",ISNA(MATCH(E1463,art_ref,0))),"Article inconnu",IF(IF(E1463="",FALSE,INDEX(art_check,MATCH(E1463,art_ref,0))&lt;&gt;"OK"),"Article à corriger (feuille Articles)",IF(COUNTIFS(sj_date,A1463,sj_eq,B1463,sj_po,C1463)&gt;1,"Ligne en double (même jour, équipe et poste)",IF(OR(NOT(ISNUMBER(K1463)),N(K1463)&lt;=0,N(K1463)&gt;1440),"Temps d'ouverture invalide",IF(OR(AND(G1463&lt;&gt;"",NOT(ISNUMBER(G1463))),N(G1463)&lt;0,N(G1463)&lt;&gt;INT(N(G1463)),AND(H1463&lt;&gt;"",NOT(ISNUMBER(H1463))),N(H1463)&lt;0,N(H1463)&lt;&gt;INT(N(H1463)),AND(I1463&lt;&gt;"",NOT(ISNUMBER(I1463))),N(I1463)&lt;0,N(I1463)&lt;&gt;INT(N(I1463))),"Quantité invalide",IF(Q1463&lt;=0,"Cadence manquante (poste ou article)",IF(M1463&lt;=0,"Arrêts planifiés supérieurs au temps d'ouverture",IF(O1463&lt;0,"Arrêts supérieurs au temps requis",IF(AND(P1463&gt;0,O1463=0),"Pièces déclarées sans temps de marche",IF(AND(P1463=0,O1463&gt;0),"Aucune pièce déclarée",IF(P1463*60/Q1463&gt;O1463+0.001,"Cadence dépassée : vérifiez la cadence","OK"))))))))))))))))))</f>
        <v/>
      </c>
      <c r="AC1463">
        <f>IF(OR(AB1463="OK",AB1463="Aucune pièce déclarée",AB1463="Cadence dépassée : vérifiez la cadence"),1,0)</f>
        <v>0.0</v>
      </c>
      <c r="AD1463">
        <f>IF(AND(AC1463=1,A1463&gt;=p_from,A1463&lt;=p_to),1,0)</f>
        <v>0.0</v>
      </c>
      <c r="AE1463">
        <f>IF(AD1463=1,IF(COUNTIFS($A$6:A1463,A1463,$AD$6:AD1463,1)=1,1,0),0)</f>
        <v>0.0</v>
      </c>
      <c r="AF1463" t="str">
        <f>IF(AE1463=1,COUNTIFS(sj_first,1,sj_date,"&lt;"&amp;A1463)+1,"")</f>
        <v/>
      </c>
      <c r="AG1463" t="str">
        <f>IF(AND(AD1463=1,N(W1463)&lt;p_alert),ROUND(W1463,4),"")</f>
        <v/>
      </c>
      <c r="AH1463" t="str">
        <f>IF(AG1463="","",COUNTIF(sj_akey,"&lt;"&amp;AG1463)+COUNTIF($AG$6:AG1463,AG1463))</f>
        <v/>
      </c>
    </row>
    <row r="1464">
      <c r="A1464" s="51" t="n"/>
      <c r="B1464" s="52" t="n"/>
      <c r="C1464" s="52" t="n"/>
      <c r="D1464" s="53" t="n"/>
      <c r="E1464" s="53" t="n"/>
      <c r="F1464" s="54" t="n"/>
      <c r="G1464" s="54" t="n"/>
      <c r="H1464" s="54" t="n"/>
      <c r="I1464" s="54" t="n"/>
      <c r="J1464" s="53" t="n"/>
      <c r="K1464" s="55" t="str">
        <f>IF(COUNTA(A1464:I1464)=0,"",IF(F1464="",IFERROR(INDEX(eq_dur,MATCH(B1464,eq_code,0)),""),F1464))</f>
        <v/>
      </c>
      <c r="L1464" s="55" t="str">
        <f>IF(ISNUMBER(K1464),N(IFERROR(INDEX(eq_pause,MATCH(B1464,eq_code,0)),0))+SUMIFS(st_min,st_date,A1464,st_eq,B1464,st_po,C1464,st_type,"Planifié"),"")</f>
        <v/>
      </c>
      <c r="M1464" s="55" t="str">
        <f>IF(ISNUMBER(K1464),K1464-L1464,"")</f>
        <v/>
      </c>
      <c r="N1464" s="55" t="str">
        <f>IF(ISNUMBER(K1464),SUMIFS(st_min,st_date,A1464,st_eq,B1464,st_po,C1464,st_type,"Non planifié"),"")</f>
        <v/>
      </c>
      <c r="O1464" s="55" t="str">
        <f>IF(ISNUMBER(K1464),M1464-N1464,"")</f>
        <v/>
      </c>
      <c r="P1464" s="55" t="str">
        <f>IF(COUNTA(A1464:I1464)=0,"",N(G1464)+N(H1464)+N(I1464))</f>
        <v/>
      </c>
      <c r="Q1464" s="56" t="str">
        <f>IF(COUNTA(A1464:I1464)=0,"",IF(N(IFERROR(INDEX(art_rate,MATCH(E1464,art_ref,0)),0))&gt;0,N(IFERROR(INDEX(art_rate,MATCH(E1464,art_ref,0)),0)),N(IFERROR(INDEX(po_rate,MATCH(C1464,po_code,0)),0))))</f>
        <v/>
      </c>
      <c r="R1464" s="55" t="str">
        <f>IF(AC1464=1,P1464*60/Q1464,"")</f>
        <v/>
      </c>
      <c r="S1464" s="55" t="str">
        <f>IF(AC1464=1,N(G1464)*60/Q1464,"")</f>
        <v/>
      </c>
      <c r="T1464" s="57" t="str">
        <f>IF(AC1464=1,O1464/M1464,"")</f>
        <v/>
      </c>
      <c r="U1464" s="57" t="str">
        <f>IF(AC1464=1,IF(O1464&gt;0,R1464/O1464,""),"")</f>
        <v/>
      </c>
      <c r="V1464" s="57" t="str">
        <f>IF(AC1464=1,IF(P1464&gt;0,N(G1464)/P1464,""),"")</f>
        <v/>
      </c>
      <c r="W1464" s="57" t="str">
        <f>IF(AC1464=1,S1464/M1464,"")</f>
        <v/>
      </c>
      <c r="X1464" s="57" t="str">
        <f>IF(AC1464=1,S1464/K1464,"")</f>
        <v/>
      </c>
      <c r="Y1464" s="58" t="str">
        <f>IF(W1464="","",IF(W1464&gt;=p_target,"Bon",IF(W1464&gt;=p_alert,"À surveiller","Faible")))</f>
        <v/>
      </c>
      <c r="Z1464" s="58" t="str">
        <f>IF(W1464="","",IF(MIN(IF(T1464="",1,T1464),IF(U1464="",1,U1464),IF(V1464="",1,V1464))&gt;=1,"Aucune",IF(IF(T1464="",1,T1464)&lt;=MIN(IF(U1464="",1,U1464),IF(V1464="",1,V1464)),"Disponibilité",IF(IF(U1464="",1,U1464)&lt;=IF(V1464="",1,V1464),"Performance","Qualité"))))</f>
        <v/>
      </c>
      <c r="AA1464" s="59" t="str">
        <f>IF(AC1464=1,N(H1464)*N(IFERROR(INDEX(art_cost,MATCH(E1464,art_ref,0)),0)),"")</f>
        <v/>
      </c>
      <c r="AB1464" s="58" t="str">
        <f>IF(COUNTA(A1464:I1464)=0,"",IF(N(A1464)&lt;=0,"Date manquante ou invalide",IF(B1464="","Équipe manquante",IF(ISNA(MATCH(B1464,eq_code,0)),"Équipe inconnue",IF(INDEX(eq_check,MATCH(B1464,eq_code,0))&lt;&gt;"OK","Équipe à corriger dans Paramètres",IF(C1464="","Poste manquant",IF(ISNA(MATCH(C1464,po_code,0)),"Poste inconnu",IF(AND(E1464&lt;&gt;"",ISNA(MATCH(E1464,art_ref,0))),"Article inconnu",IF(IF(E1464="",FALSE,INDEX(art_check,MATCH(E1464,art_ref,0))&lt;&gt;"OK"),"Article à corriger (feuille Articles)",IF(COUNTIFS(sj_date,A1464,sj_eq,B1464,sj_po,C1464)&gt;1,"Ligne en double (même jour, équipe et poste)",IF(OR(NOT(ISNUMBER(K1464)),N(K1464)&lt;=0,N(K1464)&gt;1440),"Temps d'ouverture invalide",IF(OR(AND(G1464&lt;&gt;"",NOT(ISNUMBER(G1464))),N(G1464)&lt;0,N(G1464)&lt;&gt;INT(N(G1464)),AND(H1464&lt;&gt;"",NOT(ISNUMBER(H1464))),N(H1464)&lt;0,N(H1464)&lt;&gt;INT(N(H1464)),AND(I1464&lt;&gt;"",NOT(ISNUMBER(I1464))),N(I1464)&lt;0,N(I1464)&lt;&gt;INT(N(I1464))),"Quantité invalide",IF(Q1464&lt;=0,"Cadence manquante (poste ou article)",IF(M1464&lt;=0,"Arrêts planifiés supérieurs au temps d'ouverture",IF(O1464&lt;0,"Arrêts supérieurs au temps requis",IF(AND(P1464&gt;0,O1464=0),"Pièces déclarées sans temps de marche",IF(AND(P1464=0,O1464&gt;0),"Aucune pièce déclarée",IF(P1464*60/Q1464&gt;O1464+0.001,"Cadence dépassée : vérifiez la cadence","OK"))))))))))))))))))</f>
        <v/>
      </c>
      <c r="AC1464">
        <f>IF(OR(AB1464="OK",AB1464="Aucune pièce déclarée",AB1464="Cadence dépassée : vérifiez la cadence"),1,0)</f>
        <v>0.0</v>
      </c>
      <c r="AD1464">
        <f>IF(AND(AC1464=1,A1464&gt;=p_from,A1464&lt;=p_to),1,0)</f>
        <v>0.0</v>
      </c>
      <c r="AE1464">
        <f>IF(AD1464=1,IF(COUNTIFS($A$6:A1464,A1464,$AD$6:AD1464,1)=1,1,0),0)</f>
        <v>0.0</v>
      </c>
      <c r="AF1464" t="str">
        <f>IF(AE1464=1,COUNTIFS(sj_first,1,sj_date,"&lt;"&amp;A1464)+1,"")</f>
        <v/>
      </c>
      <c r="AG1464" t="str">
        <f>IF(AND(AD1464=1,N(W1464)&lt;p_alert),ROUND(W1464,4),"")</f>
        <v/>
      </c>
      <c r="AH1464" t="str">
        <f>IF(AG1464="","",COUNTIF(sj_akey,"&lt;"&amp;AG1464)+COUNTIF($AG$6:AG1464,AG1464))</f>
        <v/>
      </c>
    </row>
    <row r="1465">
      <c r="A1465" s="51" t="n"/>
      <c r="B1465" s="52" t="n"/>
      <c r="C1465" s="52" t="n"/>
      <c r="D1465" s="53" t="n"/>
      <c r="E1465" s="53" t="n"/>
      <c r="F1465" s="54" t="n"/>
      <c r="G1465" s="54" t="n"/>
      <c r="H1465" s="54" t="n"/>
      <c r="I1465" s="54" t="n"/>
      <c r="J1465" s="53" t="n"/>
      <c r="K1465" s="55" t="str">
        <f>IF(COUNTA(A1465:I1465)=0,"",IF(F1465="",IFERROR(INDEX(eq_dur,MATCH(B1465,eq_code,0)),""),F1465))</f>
        <v/>
      </c>
      <c r="L1465" s="55" t="str">
        <f>IF(ISNUMBER(K1465),N(IFERROR(INDEX(eq_pause,MATCH(B1465,eq_code,0)),0))+SUMIFS(st_min,st_date,A1465,st_eq,B1465,st_po,C1465,st_type,"Planifié"),"")</f>
        <v/>
      </c>
      <c r="M1465" s="55" t="str">
        <f>IF(ISNUMBER(K1465),K1465-L1465,"")</f>
        <v/>
      </c>
      <c r="N1465" s="55" t="str">
        <f>IF(ISNUMBER(K1465),SUMIFS(st_min,st_date,A1465,st_eq,B1465,st_po,C1465,st_type,"Non planifié"),"")</f>
        <v/>
      </c>
      <c r="O1465" s="55" t="str">
        <f>IF(ISNUMBER(K1465),M1465-N1465,"")</f>
        <v/>
      </c>
      <c r="P1465" s="55" t="str">
        <f>IF(COUNTA(A1465:I1465)=0,"",N(G1465)+N(H1465)+N(I1465))</f>
        <v/>
      </c>
      <c r="Q1465" s="56" t="str">
        <f>IF(COUNTA(A1465:I1465)=0,"",IF(N(IFERROR(INDEX(art_rate,MATCH(E1465,art_ref,0)),0))&gt;0,N(IFERROR(INDEX(art_rate,MATCH(E1465,art_ref,0)),0)),N(IFERROR(INDEX(po_rate,MATCH(C1465,po_code,0)),0))))</f>
        <v/>
      </c>
      <c r="R1465" s="55" t="str">
        <f>IF(AC1465=1,P1465*60/Q1465,"")</f>
        <v/>
      </c>
      <c r="S1465" s="55" t="str">
        <f>IF(AC1465=1,N(G1465)*60/Q1465,"")</f>
        <v/>
      </c>
      <c r="T1465" s="57" t="str">
        <f>IF(AC1465=1,O1465/M1465,"")</f>
        <v/>
      </c>
      <c r="U1465" s="57" t="str">
        <f>IF(AC1465=1,IF(O1465&gt;0,R1465/O1465,""),"")</f>
        <v/>
      </c>
      <c r="V1465" s="57" t="str">
        <f>IF(AC1465=1,IF(P1465&gt;0,N(G1465)/P1465,""),"")</f>
        <v/>
      </c>
      <c r="W1465" s="57" t="str">
        <f>IF(AC1465=1,S1465/M1465,"")</f>
        <v/>
      </c>
      <c r="X1465" s="57" t="str">
        <f>IF(AC1465=1,S1465/K1465,"")</f>
        <v/>
      </c>
      <c r="Y1465" s="58" t="str">
        <f>IF(W1465="","",IF(W1465&gt;=p_target,"Bon",IF(W1465&gt;=p_alert,"À surveiller","Faible")))</f>
        <v/>
      </c>
      <c r="Z1465" s="58" t="str">
        <f>IF(W1465="","",IF(MIN(IF(T1465="",1,T1465),IF(U1465="",1,U1465),IF(V1465="",1,V1465))&gt;=1,"Aucune",IF(IF(T1465="",1,T1465)&lt;=MIN(IF(U1465="",1,U1465),IF(V1465="",1,V1465)),"Disponibilité",IF(IF(U1465="",1,U1465)&lt;=IF(V1465="",1,V1465),"Performance","Qualité"))))</f>
        <v/>
      </c>
      <c r="AA1465" s="59" t="str">
        <f>IF(AC1465=1,N(H1465)*N(IFERROR(INDEX(art_cost,MATCH(E1465,art_ref,0)),0)),"")</f>
        <v/>
      </c>
      <c r="AB1465" s="58" t="str">
        <f>IF(COUNTA(A1465:I1465)=0,"",IF(N(A1465)&lt;=0,"Date manquante ou invalide",IF(B1465="","Équipe manquante",IF(ISNA(MATCH(B1465,eq_code,0)),"Équipe inconnue",IF(INDEX(eq_check,MATCH(B1465,eq_code,0))&lt;&gt;"OK","Équipe à corriger dans Paramètres",IF(C1465="","Poste manquant",IF(ISNA(MATCH(C1465,po_code,0)),"Poste inconnu",IF(AND(E1465&lt;&gt;"",ISNA(MATCH(E1465,art_ref,0))),"Article inconnu",IF(IF(E1465="",FALSE,INDEX(art_check,MATCH(E1465,art_ref,0))&lt;&gt;"OK"),"Article à corriger (feuille Articles)",IF(COUNTIFS(sj_date,A1465,sj_eq,B1465,sj_po,C1465)&gt;1,"Ligne en double (même jour, équipe et poste)",IF(OR(NOT(ISNUMBER(K1465)),N(K1465)&lt;=0,N(K1465)&gt;1440),"Temps d'ouverture invalide",IF(OR(AND(G1465&lt;&gt;"",NOT(ISNUMBER(G1465))),N(G1465)&lt;0,N(G1465)&lt;&gt;INT(N(G1465)),AND(H1465&lt;&gt;"",NOT(ISNUMBER(H1465))),N(H1465)&lt;0,N(H1465)&lt;&gt;INT(N(H1465)),AND(I1465&lt;&gt;"",NOT(ISNUMBER(I1465))),N(I1465)&lt;0,N(I1465)&lt;&gt;INT(N(I1465))),"Quantité invalide",IF(Q1465&lt;=0,"Cadence manquante (poste ou article)",IF(M1465&lt;=0,"Arrêts planifiés supérieurs au temps d'ouverture",IF(O1465&lt;0,"Arrêts supérieurs au temps requis",IF(AND(P1465&gt;0,O1465=0),"Pièces déclarées sans temps de marche",IF(AND(P1465=0,O1465&gt;0),"Aucune pièce déclarée",IF(P1465*60/Q1465&gt;O1465+0.001,"Cadence dépassée : vérifiez la cadence","OK"))))))))))))))))))</f>
        <v/>
      </c>
      <c r="AC1465">
        <f>IF(OR(AB1465="OK",AB1465="Aucune pièce déclarée",AB1465="Cadence dépassée : vérifiez la cadence"),1,0)</f>
        <v>0.0</v>
      </c>
      <c r="AD1465">
        <f>IF(AND(AC1465=1,A1465&gt;=p_from,A1465&lt;=p_to),1,0)</f>
        <v>0.0</v>
      </c>
      <c r="AE1465">
        <f>IF(AD1465=1,IF(COUNTIFS($A$6:A1465,A1465,$AD$6:AD1465,1)=1,1,0),0)</f>
        <v>0.0</v>
      </c>
      <c r="AF1465" t="str">
        <f>IF(AE1465=1,COUNTIFS(sj_first,1,sj_date,"&lt;"&amp;A1465)+1,"")</f>
        <v/>
      </c>
      <c r="AG1465" t="str">
        <f>IF(AND(AD1465=1,N(W1465)&lt;p_alert),ROUND(W1465,4),"")</f>
        <v/>
      </c>
      <c r="AH1465" t="str">
        <f>IF(AG1465="","",COUNTIF(sj_akey,"&lt;"&amp;AG1465)+COUNTIF($AG$6:AG1465,AG1465))</f>
        <v/>
      </c>
    </row>
    <row r="1466">
      <c r="A1466" s="51" t="n"/>
      <c r="B1466" s="52" t="n"/>
      <c r="C1466" s="52" t="n"/>
      <c r="D1466" s="53" t="n"/>
      <c r="E1466" s="53" t="n"/>
      <c r="F1466" s="54" t="n"/>
      <c r="G1466" s="54" t="n"/>
      <c r="H1466" s="54" t="n"/>
      <c r="I1466" s="54" t="n"/>
      <c r="J1466" s="53" t="n"/>
      <c r="K1466" s="55" t="str">
        <f>IF(COUNTA(A1466:I1466)=0,"",IF(F1466="",IFERROR(INDEX(eq_dur,MATCH(B1466,eq_code,0)),""),F1466))</f>
        <v/>
      </c>
      <c r="L1466" s="55" t="str">
        <f>IF(ISNUMBER(K1466),N(IFERROR(INDEX(eq_pause,MATCH(B1466,eq_code,0)),0))+SUMIFS(st_min,st_date,A1466,st_eq,B1466,st_po,C1466,st_type,"Planifié"),"")</f>
        <v/>
      </c>
      <c r="M1466" s="55" t="str">
        <f>IF(ISNUMBER(K1466),K1466-L1466,"")</f>
        <v/>
      </c>
      <c r="N1466" s="55" t="str">
        <f>IF(ISNUMBER(K1466),SUMIFS(st_min,st_date,A1466,st_eq,B1466,st_po,C1466,st_type,"Non planifié"),"")</f>
        <v/>
      </c>
      <c r="O1466" s="55" t="str">
        <f>IF(ISNUMBER(K1466),M1466-N1466,"")</f>
        <v/>
      </c>
      <c r="P1466" s="55" t="str">
        <f>IF(COUNTA(A1466:I1466)=0,"",N(G1466)+N(H1466)+N(I1466))</f>
        <v/>
      </c>
      <c r="Q1466" s="56" t="str">
        <f>IF(COUNTA(A1466:I1466)=0,"",IF(N(IFERROR(INDEX(art_rate,MATCH(E1466,art_ref,0)),0))&gt;0,N(IFERROR(INDEX(art_rate,MATCH(E1466,art_ref,0)),0)),N(IFERROR(INDEX(po_rate,MATCH(C1466,po_code,0)),0))))</f>
        <v/>
      </c>
      <c r="R1466" s="55" t="str">
        <f>IF(AC1466=1,P1466*60/Q1466,"")</f>
        <v/>
      </c>
      <c r="S1466" s="55" t="str">
        <f>IF(AC1466=1,N(G1466)*60/Q1466,"")</f>
        <v/>
      </c>
      <c r="T1466" s="57" t="str">
        <f>IF(AC1466=1,O1466/M1466,"")</f>
        <v/>
      </c>
      <c r="U1466" s="57" t="str">
        <f>IF(AC1466=1,IF(O1466&gt;0,R1466/O1466,""),"")</f>
        <v/>
      </c>
      <c r="V1466" s="57" t="str">
        <f>IF(AC1466=1,IF(P1466&gt;0,N(G1466)/P1466,""),"")</f>
        <v/>
      </c>
      <c r="W1466" s="57" t="str">
        <f>IF(AC1466=1,S1466/M1466,"")</f>
        <v/>
      </c>
      <c r="X1466" s="57" t="str">
        <f>IF(AC1466=1,S1466/K1466,"")</f>
        <v/>
      </c>
      <c r="Y1466" s="58" t="str">
        <f>IF(W1466="","",IF(W1466&gt;=p_target,"Bon",IF(W1466&gt;=p_alert,"À surveiller","Faible")))</f>
        <v/>
      </c>
      <c r="Z1466" s="58" t="str">
        <f>IF(W1466="","",IF(MIN(IF(T1466="",1,T1466),IF(U1466="",1,U1466),IF(V1466="",1,V1466))&gt;=1,"Aucune",IF(IF(T1466="",1,T1466)&lt;=MIN(IF(U1466="",1,U1466),IF(V1466="",1,V1466)),"Disponibilité",IF(IF(U1466="",1,U1466)&lt;=IF(V1466="",1,V1466),"Performance","Qualité"))))</f>
        <v/>
      </c>
      <c r="AA1466" s="59" t="str">
        <f>IF(AC1466=1,N(H1466)*N(IFERROR(INDEX(art_cost,MATCH(E1466,art_ref,0)),0)),"")</f>
        <v/>
      </c>
      <c r="AB1466" s="58" t="str">
        <f>IF(COUNTA(A1466:I1466)=0,"",IF(N(A1466)&lt;=0,"Date manquante ou invalide",IF(B1466="","Équipe manquante",IF(ISNA(MATCH(B1466,eq_code,0)),"Équipe inconnue",IF(INDEX(eq_check,MATCH(B1466,eq_code,0))&lt;&gt;"OK","Équipe à corriger dans Paramètres",IF(C1466="","Poste manquant",IF(ISNA(MATCH(C1466,po_code,0)),"Poste inconnu",IF(AND(E1466&lt;&gt;"",ISNA(MATCH(E1466,art_ref,0))),"Article inconnu",IF(IF(E1466="",FALSE,INDEX(art_check,MATCH(E1466,art_ref,0))&lt;&gt;"OK"),"Article à corriger (feuille Articles)",IF(COUNTIFS(sj_date,A1466,sj_eq,B1466,sj_po,C1466)&gt;1,"Ligne en double (même jour, équipe et poste)",IF(OR(NOT(ISNUMBER(K1466)),N(K1466)&lt;=0,N(K1466)&gt;1440),"Temps d'ouverture invalide",IF(OR(AND(G1466&lt;&gt;"",NOT(ISNUMBER(G1466))),N(G1466)&lt;0,N(G1466)&lt;&gt;INT(N(G1466)),AND(H1466&lt;&gt;"",NOT(ISNUMBER(H1466))),N(H1466)&lt;0,N(H1466)&lt;&gt;INT(N(H1466)),AND(I1466&lt;&gt;"",NOT(ISNUMBER(I1466))),N(I1466)&lt;0,N(I1466)&lt;&gt;INT(N(I1466))),"Quantité invalide",IF(Q1466&lt;=0,"Cadence manquante (poste ou article)",IF(M1466&lt;=0,"Arrêts planifiés supérieurs au temps d'ouverture",IF(O1466&lt;0,"Arrêts supérieurs au temps requis",IF(AND(P1466&gt;0,O1466=0),"Pièces déclarées sans temps de marche",IF(AND(P1466=0,O1466&gt;0),"Aucune pièce déclarée",IF(P1466*60/Q1466&gt;O1466+0.001,"Cadence dépassée : vérifiez la cadence","OK"))))))))))))))))))</f>
        <v/>
      </c>
      <c r="AC1466">
        <f>IF(OR(AB1466="OK",AB1466="Aucune pièce déclarée",AB1466="Cadence dépassée : vérifiez la cadence"),1,0)</f>
        <v>0.0</v>
      </c>
      <c r="AD1466">
        <f>IF(AND(AC1466=1,A1466&gt;=p_from,A1466&lt;=p_to),1,0)</f>
        <v>0.0</v>
      </c>
      <c r="AE1466">
        <f>IF(AD1466=1,IF(COUNTIFS($A$6:A1466,A1466,$AD$6:AD1466,1)=1,1,0),0)</f>
        <v>0.0</v>
      </c>
      <c r="AF1466" t="str">
        <f>IF(AE1466=1,COUNTIFS(sj_first,1,sj_date,"&lt;"&amp;A1466)+1,"")</f>
        <v/>
      </c>
      <c r="AG1466" t="str">
        <f>IF(AND(AD1466=1,N(W1466)&lt;p_alert),ROUND(W1466,4),"")</f>
        <v/>
      </c>
      <c r="AH1466" t="str">
        <f>IF(AG1466="","",COUNTIF(sj_akey,"&lt;"&amp;AG1466)+COUNTIF($AG$6:AG1466,AG1466))</f>
        <v/>
      </c>
    </row>
    <row r="1467">
      <c r="A1467" s="51" t="n"/>
      <c r="B1467" s="52" t="n"/>
      <c r="C1467" s="52" t="n"/>
      <c r="D1467" s="53" t="n"/>
      <c r="E1467" s="53" t="n"/>
      <c r="F1467" s="54" t="n"/>
      <c r="G1467" s="54" t="n"/>
      <c r="H1467" s="54" t="n"/>
      <c r="I1467" s="54" t="n"/>
      <c r="J1467" s="53" t="n"/>
      <c r="K1467" s="55" t="str">
        <f>IF(COUNTA(A1467:I1467)=0,"",IF(F1467="",IFERROR(INDEX(eq_dur,MATCH(B1467,eq_code,0)),""),F1467))</f>
        <v/>
      </c>
      <c r="L1467" s="55" t="str">
        <f>IF(ISNUMBER(K1467),N(IFERROR(INDEX(eq_pause,MATCH(B1467,eq_code,0)),0))+SUMIFS(st_min,st_date,A1467,st_eq,B1467,st_po,C1467,st_type,"Planifié"),"")</f>
        <v/>
      </c>
      <c r="M1467" s="55" t="str">
        <f>IF(ISNUMBER(K1467),K1467-L1467,"")</f>
        <v/>
      </c>
      <c r="N1467" s="55" t="str">
        <f>IF(ISNUMBER(K1467),SUMIFS(st_min,st_date,A1467,st_eq,B1467,st_po,C1467,st_type,"Non planifié"),"")</f>
        <v/>
      </c>
      <c r="O1467" s="55" t="str">
        <f>IF(ISNUMBER(K1467),M1467-N1467,"")</f>
        <v/>
      </c>
      <c r="P1467" s="55" t="str">
        <f>IF(COUNTA(A1467:I1467)=0,"",N(G1467)+N(H1467)+N(I1467))</f>
        <v/>
      </c>
      <c r="Q1467" s="56" t="str">
        <f>IF(COUNTA(A1467:I1467)=0,"",IF(N(IFERROR(INDEX(art_rate,MATCH(E1467,art_ref,0)),0))&gt;0,N(IFERROR(INDEX(art_rate,MATCH(E1467,art_ref,0)),0)),N(IFERROR(INDEX(po_rate,MATCH(C1467,po_code,0)),0))))</f>
        <v/>
      </c>
      <c r="R1467" s="55" t="str">
        <f>IF(AC1467=1,P1467*60/Q1467,"")</f>
        <v/>
      </c>
      <c r="S1467" s="55" t="str">
        <f>IF(AC1467=1,N(G1467)*60/Q1467,"")</f>
        <v/>
      </c>
      <c r="T1467" s="57" t="str">
        <f>IF(AC1467=1,O1467/M1467,"")</f>
        <v/>
      </c>
      <c r="U1467" s="57" t="str">
        <f>IF(AC1467=1,IF(O1467&gt;0,R1467/O1467,""),"")</f>
        <v/>
      </c>
      <c r="V1467" s="57" t="str">
        <f>IF(AC1467=1,IF(P1467&gt;0,N(G1467)/P1467,""),"")</f>
        <v/>
      </c>
      <c r="W1467" s="57" t="str">
        <f>IF(AC1467=1,S1467/M1467,"")</f>
        <v/>
      </c>
      <c r="X1467" s="57" t="str">
        <f>IF(AC1467=1,S1467/K1467,"")</f>
        <v/>
      </c>
      <c r="Y1467" s="58" t="str">
        <f>IF(W1467="","",IF(W1467&gt;=p_target,"Bon",IF(W1467&gt;=p_alert,"À surveiller","Faible")))</f>
        <v/>
      </c>
      <c r="Z1467" s="58" t="str">
        <f>IF(W1467="","",IF(MIN(IF(T1467="",1,T1467),IF(U1467="",1,U1467),IF(V1467="",1,V1467))&gt;=1,"Aucune",IF(IF(T1467="",1,T1467)&lt;=MIN(IF(U1467="",1,U1467),IF(V1467="",1,V1467)),"Disponibilité",IF(IF(U1467="",1,U1467)&lt;=IF(V1467="",1,V1467),"Performance","Qualité"))))</f>
        <v/>
      </c>
      <c r="AA1467" s="59" t="str">
        <f>IF(AC1467=1,N(H1467)*N(IFERROR(INDEX(art_cost,MATCH(E1467,art_ref,0)),0)),"")</f>
        <v/>
      </c>
      <c r="AB1467" s="58" t="str">
        <f>IF(COUNTA(A1467:I1467)=0,"",IF(N(A1467)&lt;=0,"Date manquante ou invalide",IF(B1467="","Équipe manquante",IF(ISNA(MATCH(B1467,eq_code,0)),"Équipe inconnue",IF(INDEX(eq_check,MATCH(B1467,eq_code,0))&lt;&gt;"OK","Équipe à corriger dans Paramètres",IF(C1467="","Poste manquant",IF(ISNA(MATCH(C1467,po_code,0)),"Poste inconnu",IF(AND(E1467&lt;&gt;"",ISNA(MATCH(E1467,art_ref,0))),"Article inconnu",IF(IF(E1467="",FALSE,INDEX(art_check,MATCH(E1467,art_ref,0))&lt;&gt;"OK"),"Article à corriger (feuille Articles)",IF(COUNTIFS(sj_date,A1467,sj_eq,B1467,sj_po,C1467)&gt;1,"Ligne en double (même jour, équipe et poste)",IF(OR(NOT(ISNUMBER(K1467)),N(K1467)&lt;=0,N(K1467)&gt;1440),"Temps d'ouverture invalide",IF(OR(AND(G1467&lt;&gt;"",NOT(ISNUMBER(G1467))),N(G1467)&lt;0,N(G1467)&lt;&gt;INT(N(G1467)),AND(H1467&lt;&gt;"",NOT(ISNUMBER(H1467))),N(H1467)&lt;0,N(H1467)&lt;&gt;INT(N(H1467)),AND(I1467&lt;&gt;"",NOT(ISNUMBER(I1467))),N(I1467)&lt;0,N(I1467)&lt;&gt;INT(N(I1467))),"Quantité invalide",IF(Q1467&lt;=0,"Cadence manquante (poste ou article)",IF(M1467&lt;=0,"Arrêts planifiés supérieurs au temps d'ouverture",IF(O1467&lt;0,"Arrêts supérieurs au temps requis",IF(AND(P1467&gt;0,O1467=0),"Pièces déclarées sans temps de marche",IF(AND(P1467=0,O1467&gt;0),"Aucune pièce déclarée",IF(P1467*60/Q1467&gt;O1467+0.001,"Cadence dépassée : vérifiez la cadence","OK"))))))))))))))))))</f>
        <v/>
      </c>
      <c r="AC1467">
        <f>IF(OR(AB1467="OK",AB1467="Aucune pièce déclarée",AB1467="Cadence dépassée : vérifiez la cadence"),1,0)</f>
        <v>0.0</v>
      </c>
      <c r="AD1467">
        <f>IF(AND(AC1467=1,A1467&gt;=p_from,A1467&lt;=p_to),1,0)</f>
        <v>0.0</v>
      </c>
      <c r="AE1467">
        <f>IF(AD1467=1,IF(COUNTIFS($A$6:A1467,A1467,$AD$6:AD1467,1)=1,1,0),0)</f>
        <v>0.0</v>
      </c>
      <c r="AF1467" t="str">
        <f>IF(AE1467=1,COUNTIFS(sj_first,1,sj_date,"&lt;"&amp;A1467)+1,"")</f>
        <v/>
      </c>
      <c r="AG1467" t="str">
        <f>IF(AND(AD1467=1,N(W1467)&lt;p_alert),ROUND(W1467,4),"")</f>
        <v/>
      </c>
      <c r="AH1467" t="str">
        <f>IF(AG1467="","",COUNTIF(sj_akey,"&lt;"&amp;AG1467)+COUNTIF($AG$6:AG1467,AG1467))</f>
        <v/>
      </c>
    </row>
    <row r="1468">
      <c r="A1468" s="51" t="n"/>
      <c r="B1468" s="52" t="n"/>
      <c r="C1468" s="52" t="n"/>
      <c r="D1468" s="53" t="n"/>
      <c r="E1468" s="53" t="n"/>
      <c r="F1468" s="54" t="n"/>
      <c r="G1468" s="54" t="n"/>
      <c r="H1468" s="54" t="n"/>
      <c r="I1468" s="54" t="n"/>
      <c r="J1468" s="53" t="n"/>
      <c r="K1468" s="55" t="str">
        <f>IF(COUNTA(A1468:I1468)=0,"",IF(F1468="",IFERROR(INDEX(eq_dur,MATCH(B1468,eq_code,0)),""),F1468))</f>
        <v/>
      </c>
      <c r="L1468" s="55" t="str">
        <f>IF(ISNUMBER(K1468),N(IFERROR(INDEX(eq_pause,MATCH(B1468,eq_code,0)),0))+SUMIFS(st_min,st_date,A1468,st_eq,B1468,st_po,C1468,st_type,"Planifié"),"")</f>
        <v/>
      </c>
      <c r="M1468" s="55" t="str">
        <f>IF(ISNUMBER(K1468),K1468-L1468,"")</f>
        <v/>
      </c>
      <c r="N1468" s="55" t="str">
        <f>IF(ISNUMBER(K1468),SUMIFS(st_min,st_date,A1468,st_eq,B1468,st_po,C1468,st_type,"Non planifié"),"")</f>
        <v/>
      </c>
      <c r="O1468" s="55" t="str">
        <f>IF(ISNUMBER(K1468),M1468-N1468,"")</f>
        <v/>
      </c>
      <c r="P1468" s="55" t="str">
        <f>IF(COUNTA(A1468:I1468)=0,"",N(G1468)+N(H1468)+N(I1468))</f>
        <v/>
      </c>
      <c r="Q1468" s="56" t="str">
        <f>IF(COUNTA(A1468:I1468)=0,"",IF(N(IFERROR(INDEX(art_rate,MATCH(E1468,art_ref,0)),0))&gt;0,N(IFERROR(INDEX(art_rate,MATCH(E1468,art_ref,0)),0)),N(IFERROR(INDEX(po_rate,MATCH(C1468,po_code,0)),0))))</f>
        <v/>
      </c>
      <c r="R1468" s="55" t="str">
        <f>IF(AC1468=1,P1468*60/Q1468,"")</f>
        <v/>
      </c>
      <c r="S1468" s="55" t="str">
        <f>IF(AC1468=1,N(G1468)*60/Q1468,"")</f>
        <v/>
      </c>
      <c r="T1468" s="57" t="str">
        <f>IF(AC1468=1,O1468/M1468,"")</f>
        <v/>
      </c>
      <c r="U1468" s="57" t="str">
        <f>IF(AC1468=1,IF(O1468&gt;0,R1468/O1468,""),"")</f>
        <v/>
      </c>
      <c r="V1468" s="57" t="str">
        <f>IF(AC1468=1,IF(P1468&gt;0,N(G1468)/P1468,""),"")</f>
        <v/>
      </c>
      <c r="W1468" s="57" t="str">
        <f>IF(AC1468=1,S1468/M1468,"")</f>
        <v/>
      </c>
      <c r="X1468" s="57" t="str">
        <f>IF(AC1468=1,S1468/K1468,"")</f>
        <v/>
      </c>
      <c r="Y1468" s="58" t="str">
        <f>IF(W1468="","",IF(W1468&gt;=p_target,"Bon",IF(W1468&gt;=p_alert,"À surveiller","Faible")))</f>
        <v/>
      </c>
      <c r="Z1468" s="58" t="str">
        <f>IF(W1468="","",IF(MIN(IF(T1468="",1,T1468),IF(U1468="",1,U1468),IF(V1468="",1,V1468))&gt;=1,"Aucune",IF(IF(T1468="",1,T1468)&lt;=MIN(IF(U1468="",1,U1468),IF(V1468="",1,V1468)),"Disponibilité",IF(IF(U1468="",1,U1468)&lt;=IF(V1468="",1,V1468),"Performance","Qualité"))))</f>
        <v/>
      </c>
      <c r="AA1468" s="59" t="str">
        <f>IF(AC1468=1,N(H1468)*N(IFERROR(INDEX(art_cost,MATCH(E1468,art_ref,0)),0)),"")</f>
        <v/>
      </c>
      <c r="AB1468" s="58" t="str">
        <f>IF(COUNTA(A1468:I1468)=0,"",IF(N(A1468)&lt;=0,"Date manquante ou invalide",IF(B1468="","Équipe manquante",IF(ISNA(MATCH(B1468,eq_code,0)),"Équipe inconnue",IF(INDEX(eq_check,MATCH(B1468,eq_code,0))&lt;&gt;"OK","Équipe à corriger dans Paramètres",IF(C1468="","Poste manquant",IF(ISNA(MATCH(C1468,po_code,0)),"Poste inconnu",IF(AND(E1468&lt;&gt;"",ISNA(MATCH(E1468,art_ref,0))),"Article inconnu",IF(IF(E1468="",FALSE,INDEX(art_check,MATCH(E1468,art_ref,0))&lt;&gt;"OK"),"Article à corriger (feuille Articles)",IF(COUNTIFS(sj_date,A1468,sj_eq,B1468,sj_po,C1468)&gt;1,"Ligne en double (même jour, équipe et poste)",IF(OR(NOT(ISNUMBER(K1468)),N(K1468)&lt;=0,N(K1468)&gt;1440),"Temps d'ouverture invalide",IF(OR(AND(G1468&lt;&gt;"",NOT(ISNUMBER(G1468))),N(G1468)&lt;0,N(G1468)&lt;&gt;INT(N(G1468)),AND(H1468&lt;&gt;"",NOT(ISNUMBER(H1468))),N(H1468)&lt;0,N(H1468)&lt;&gt;INT(N(H1468)),AND(I1468&lt;&gt;"",NOT(ISNUMBER(I1468))),N(I1468)&lt;0,N(I1468)&lt;&gt;INT(N(I1468))),"Quantité invalide",IF(Q1468&lt;=0,"Cadence manquante (poste ou article)",IF(M1468&lt;=0,"Arrêts planifiés supérieurs au temps d'ouverture",IF(O1468&lt;0,"Arrêts supérieurs au temps requis",IF(AND(P1468&gt;0,O1468=0),"Pièces déclarées sans temps de marche",IF(AND(P1468=0,O1468&gt;0),"Aucune pièce déclarée",IF(P1468*60/Q1468&gt;O1468+0.001,"Cadence dépassée : vérifiez la cadence","OK"))))))))))))))))))</f>
        <v/>
      </c>
      <c r="AC1468">
        <f>IF(OR(AB1468="OK",AB1468="Aucune pièce déclarée",AB1468="Cadence dépassée : vérifiez la cadence"),1,0)</f>
        <v>0.0</v>
      </c>
      <c r="AD1468">
        <f>IF(AND(AC1468=1,A1468&gt;=p_from,A1468&lt;=p_to),1,0)</f>
        <v>0.0</v>
      </c>
      <c r="AE1468">
        <f>IF(AD1468=1,IF(COUNTIFS($A$6:A1468,A1468,$AD$6:AD1468,1)=1,1,0),0)</f>
        <v>0.0</v>
      </c>
      <c r="AF1468" t="str">
        <f>IF(AE1468=1,COUNTIFS(sj_first,1,sj_date,"&lt;"&amp;A1468)+1,"")</f>
        <v/>
      </c>
      <c r="AG1468" t="str">
        <f>IF(AND(AD1468=1,N(W1468)&lt;p_alert),ROUND(W1468,4),"")</f>
        <v/>
      </c>
      <c r="AH1468" t="str">
        <f>IF(AG1468="","",COUNTIF(sj_akey,"&lt;"&amp;AG1468)+COUNTIF($AG$6:AG1468,AG1468))</f>
        <v/>
      </c>
    </row>
    <row r="1469">
      <c r="A1469" s="51" t="n"/>
      <c r="B1469" s="52" t="n"/>
      <c r="C1469" s="52" t="n"/>
      <c r="D1469" s="53" t="n"/>
      <c r="E1469" s="53" t="n"/>
      <c r="F1469" s="54" t="n"/>
      <c r="G1469" s="54" t="n"/>
      <c r="H1469" s="54" t="n"/>
      <c r="I1469" s="54" t="n"/>
      <c r="J1469" s="53" t="n"/>
      <c r="K1469" s="55" t="str">
        <f>IF(COUNTA(A1469:I1469)=0,"",IF(F1469="",IFERROR(INDEX(eq_dur,MATCH(B1469,eq_code,0)),""),F1469))</f>
        <v/>
      </c>
      <c r="L1469" s="55" t="str">
        <f>IF(ISNUMBER(K1469),N(IFERROR(INDEX(eq_pause,MATCH(B1469,eq_code,0)),0))+SUMIFS(st_min,st_date,A1469,st_eq,B1469,st_po,C1469,st_type,"Planifié"),"")</f>
        <v/>
      </c>
      <c r="M1469" s="55" t="str">
        <f>IF(ISNUMBER(K1469),K1469-L1469,"")</f>
        <v/>
      </c>
      <c r="N1469" s="55" t="str">
        <f>IF(ISNUMBER(K1469),SUMIFS(st_min,st_date,A1469,st_eq,B1469,st_po,C1469,st_type,"Non planifié"),"")</f>
        <v/>
      </c>
      <c r="O1469" s="55" t="str">
        <f>IF(ISNUMBER(K1469),M1469-N1469,"")</f>
        <v/>
      </c>
      <c r="P1469" s="55" t="str">
        <f>IF(COUNTA(A1469:I1469)=0,"",N(G1469)+N(H1469)+N(I1469))</f>
        <v/>
      </c>
      <c r="Q1469" s="56" t="str">
        <f>IF(COUNTA(A1469:I1469)=0,"",IF(N(IFERROR(INDEX(art_rate,MATCH(E1469,art_ref,0)),0))&gt;0,N(IFERROR(INDEX(art_rate,MATCH(E1469,art_ref,0)),0)),N(IFERROR(INDEX(po_rate,MATCH(C1469,po_code,0)),0))))</f>
        <v/>
      </c>
      <c r="R1469" s="55" t="str">
        <f>IF(AC1469=1,P1469*60/Q1469,"")</f>
        <v/>
      </c>
      <c r="S1469" s="55" t="str">
        <f>IF(AC1469=1,N(G1469)*60/Q1469,"")</f>
        <v/>
      </c>
      <c r="T1469" s="57" t="str">
        <f>IF(AC1469=1,O1469/M1469,"")</f>
        <v/>
      </c>
      <c r="U1469" s="57" t="str">
        <f>IF(AC1469=1,IF(O1469&gt;0,R1469/O1469,""),"")</f>
        <v/>
      </c>
      <c r="V1469" s="57" t="str">
        <f>IF(AC1469=1,IF(P1469&gt;0,N(G1469)/P1469,""),"")</f>
        <v/>
      </c>
      <c r="W1469" s="57" t="str">
        <f>IF(AC1469=1,S1469/M1469,"")</f>
        <v/>
      </c>
      <c r="X1469" s="57" t="str">
        <f>IF(AC1469=1,S1469/K1469,"")</f>
        <v/>
      </c>
      <c r="Y1469" s="58" t="str">
        <f>IF(W1469="","",IF(W1469&gt;=p_target,"Bon",IF(W1469&gt;=p_alert,"À surveiller","Faible")))</f>
        <v/>
      </c>
      <c r="Z1469" s="58" t="str">
        <f>IF(W1469="","",IF(MIN(IF(T1469="",1,T1469),IF(U1469="",1,U1469),IF(V1469="",1,V1469))&gt;=1,"Aucune",IF(IF(T1469="",1,T1469)&lt;=MIN(IF(U1469="",1,U1469),IF(V1469="",1,V1469)),"Disponibilité",IF(IF(U1469="",1,U1469)&lt;=IF(V1469="",1,V1469),"Performance","Qualité"))))</f>
        <v/>
      </c>
      <c r="AA1469" s="59" t="str">
        <f>IF(AC1469=1,N(H1469)*N(IFERROR(INDEX(art_cost,MATCH(E1469,art_ref,0)),0)),"")</f>
        <v/>
      </c>
      <c r="AB1469" s="58" t="str">
        <f>IF(COUNTA(A1469:I1469)=0,"",IF(N(A1469)&lt;=0,"Date manquante ou invalide",IF(B1469="","Équipe manquante",IF(ISNA(MATCH(B1469,eq_code,0)),"Équipe inconnue",IF(INDEX(eq_check,MATCH(B1469,eq_code,0))&lt;&gt;"OK","Équipe à corriger dans Paramètres",IF(C1469="","Poste manquant",IF(ISNA(MATCH(C1469,po_code,0)),"Poste inconnu",IF(AND(E1469&lt;&gt;"",ISNA(MATCH(E1469,art_ref,0))),"Article inconnu",IF(IF(E1469="",FALSE,INDEX(art_check,MATCH(E1469,art_ref,0))&lt;&gt;"OK"),"Article à corriger (feuille Articles)",IF(COUNTIFS(sj_date,A1469,sj_eq,B1469,sj_po,C1469)&gt;1,"Ligne en double (même jour, équipe et poste)",IF(OR(NOT(ISNUMBER(K1469)),N(K1469)&lt;=0,N(K1469)&gt;1440),"Temps d'ouverture invalide",IF(OR(AND(G1469&lt;&gt;"",NOT(ISNUMBER(G1469))),N(G1469)&lt;0,N(G1469)&lt;&gt;INT(N(G1469)),AND(H1469&lt;&gt;"",NOT(ISNUMBER(H1469))),N(H1469)&lt;0,N(H1469)&lt;&gt;INT(N(H1469)),AND(I1469&lt;&gt;"",NOT(ISNUMBER(I1469))),N(I1469)&lt;0,N(I1469)&lt;&gt;INT(N(I1469))),"Quantité invalide",IF(Q1469&lt;=0,"Cadence manquante (poste ou article)",IF(M1469&lt;=0,"Arrêts planifiés supérieurs au temps d'ouverture",IF(O1469&lt;0,"Arrêts supérieurs au temps requis",IF(AND(P1469&gt;0,O1469=0),"Pièces déclarées sans temps de marche",IF(AND(P1469=0,O1469&gt;0),"Aucune pièce déclarée",IF(P1469*60/Q1469&gt;O1469+0.001,"Cadence dépassée : vérifiez la cadence","OK"))))))))))))))))))</f>
        <v/>
      </c>
      <c r="AC1469">
        <f>IF(OR(AB1469="OK",AB1469="Aucune pièce déclarée",AB1469="Cadence dépassée : vérifiez la cadence"),1,0)</f>
        <v>0.0</v>
      </c>
      <c r="AD1469">
        <f>IF(AND(AC1469=1,A1469&gt;=p_from,A1469&lt;=p_to),1,0)</f>
        <v>0.0</v>
      </c>
      <c r="AE1469">
        <f>IF(AD1469=1,IF(COUNTIFS($A$6:A1469,A1469,$AD$6:AD1469,1)=1,1,0),0)</f>
        <v>0.0</v>
      </c>
      <c r="AF1469" t="str">
        <f>IF(AE1469=1,COUNTIFS(sj_first,1,sj_date,"&lt;"&amp;A1469)+1,"")</f>
        <v/>
      </c>
      <c r="AG1469" t="str">
        <f>IF(AND(AD1469=1,N(W1469)&lt;p_alert),ROUND(W1469,4),"")</f>
        <v/>
      </c>
      <c r="AH1469" t="str">
        <f>IF(AG1469="","",COUNTIF(sj_akey,"&lt;"&amp;AG1469)+COUNTIF($AG$6:AG1469,AG1469))</f>
        <v/>
      </c>
    </row>
    <row r="1470">
      <c r="A1470" s="51" t="n"/>
      <c r="B1470" s="52" t="n"/>
      <c r="C1470" s="52" t="n"/>
      <c r="D1470" s="53" t="n"/>
      <c r="E1470" s="53" t="n"/>
      <c r="F1470" s="54" t="n"/>
      <c r="G1470" s="54" t="n"/>
      <c r="H1470" s="54" t="n"/>
      <c r="I1470" s="54" t="n"/>
      <c r="J1470" s="53" t="n"/>
      <c r="K1470" s="55" t="str">
        <f>IF(COUNTA(A1470:I1470)=0,"",IF(F1470="",IFERROR(INDEX(eq_dur,MATCH(B1470,eq_code,0)),""),F1470))</f>
        <v/>
      </c>
      <c r="L1470" s="55" t="str">
        <f>IF(ISNUMBER(K1470),N(IFERROR(INDEX(eq_pause,MATCH(B1470,eq_code,0)),0))+SUMIFS(st_min,st_date,A1470,st_eq,B1470,st_po,C1470,st_type,"Planifié"),"")</f>
        <v/>
      </c>
      <c r="M1470" s="55" t="str">
        <f>IF(ISNUMBER(K1470),K1470-L1470,"")</f>
        <v/>
      </c>
      <c r="N1470" s="55" t="str">
        <f>IF(ISNUMBER(K1470),SUMIFS(st_min,st_date,A1470,st_eq,B1470,st_po,C1470,st_type,"Non planifié"),"")</f>
        <v/>
      </c>
      <c r="O1470" s="55" t="str">
        <f>IF(ISNUMBER(K1470),M1470-N1470,"")</f>
        <v/>
      </c>
      <c r="P1470" s="55" t="str">
        <f>IF(COUNTA(A1470:I1470)=0,"",N(G1470)+N(H1470)+N(I1470))</f>
        <v/>
      </c>
      <c r="Q1470" s="56" t="str">
        <f>IF(COUNTA(A1470:I1470)=0,"",IF(N(IFERROR(INDEX(art_rate,MATCH(E1470,art_ref,0)),0))&gt;0,N(IFERROR(INDEX(art_rate,MATCH(E1470,art_ref,0)),0)),N(IFERROR(INDEX(po_rate,MATCH(C1470,po_code,0)),0))))</f>
        <v/>
      </c>
      <c r="R1470" s="55" t="str">
        <f>IF(AC1470=1,P1470*60/Q1470,"")</f>
        <v/>
      </c>
      <c r="S1470" s="55" t="str">
        <f>IF(AC1470=1,N(G1470)*60/Q1470,"")</f>
        <v/>
      </c>
      <c r="T1470" s="57" t="str">
        <f>IF(AC1470=1,O1470/M1470,"")</f>
        <v/>
      </c>
      <c r="U1470" s="57" t="str">
        <f>IF(AC1470=1,IF(O1470&gt;0,R1470/O1470,""),"")</f>
        <v/>
      </c>
      <c r="V1470" s="57" t="str">
        <f>IF(AC1470=1,IF(P1470&gt;0,N(G1470)/P1470,""),"")</f>
        <v/>
      </c>
      <c r="W1470" s="57" t="str">
        <f>IF(AC1470=1,S1470/M1470,"")</f>
        <v/>
      </c>
      <c r="X1470" s="57" t="str">
        <f>IF(AC1470=1,S1470/K1470,"")</f>
        <v/>
      </c>
      <c r="Y1470" s="58" t="str">
        <f>IF(W1470="","",IF(W1470&gt;=p_target,"Bon",IF(W1470&gt;=p_alert,"À surveiller","Faible")))</f>
        <v/>
      </c>
      <c r="Z1470" s="58" t="str">
        <f>IF(W1470="","",IF(MIN(IF(T1470="",1,T1470),IF(U1470="",1,U1470),IF(V1470="",1,V1470))&gt;=1,"Aucune",IF(IF(T1470="",1,T1470)&lt;=MIN(IF(U1470="",1,U1470),IF(V1470="",1,V1470)),"Disponibilité",IF(IF(U1470="",1,U1470)&lt;=IF(V1470="",1,V1470),"Performance","Qualité"))))</f>
        <v/>
      </c>
      <c r="AA1470" s="59" t="str">
        <f>IF(AC1470=1,N(H1470)*N(IFERROR(INDEX(art_cost,MATCH(E1470,art_ref,0)),0)),"")</f>
        <v/>
      </c>
      <c r="AB1470" s="58" t="str">
        <f>IF(COUNTA(A1470:I1470)=0,"",IF(N(A1470)&lt;=0,"Date manquante ou invalide",IF(B1470="","Équipe manquante",IF(ISNA(MATCH(B1470,eq_code,0)),"Équipe inconnue",IF(INDEX(eq_check,MATCH(B1470,eq_code,0))&lt;&gt;"OK","Équipe à corriger dans Paramètres",IF(C1470="","Poste manquant",IF(ISNA(MATCH(C1470,po_code,0)),"Poste inconnu",IF(AND(E1470&lt;&gt;"",ISNA(MATCH(E1470,art_ref,0))),"Article inconnu",IF(IF(E1470="",FALSE,INDEX(art_check,MATCH(E1470,art_ref,0))&lt;&gt;"OK"),"Article à corriger (feuille Articles)",IF(COUNTIFS(sj_date,A1470,sj_eq,B1470,sj_po,C1470)&gt;1,"Ligne en double (même jour, équipe et poste)",IF(OR(NOT(ISNUMBER(K1470)),N(K1470)&lt;=0,N(K1470)&gt;1440),"Temps d'ouverture invalide",IF(OR(AND(G1470&lt;&gt;"",NOT(ISNUMBER(G1470))),N(G1470)&lt;0,N(G1470)&lt;&gt;INT(N(G1470)),AND(H1470&lt;&gt;"",NOT(ISNUMBER(H1470))),N(H1470)&lt;0,N(H1470)&lt;&gt;INT(N(H1470)),AND(I1470&lt;&gt;"",NOT(ISNUMBER(I1470))),N(I1470)&lt;0,N(I1470)&lt;&gt;INT(N(I1470))),"Quantité invalide",IF(Q1470&lt;=0,"Cadence manquante (poste ou article)",IF(M1470&lt;=0,"Arrêts planifiés supérieurs au temps d'ouverture",IF(O1470&lt;0,"Arrêts supérieurs au temps requis",IF(AND(P1470&gt;0,O1470=0),"Pièces déclarées sans temps de marche",IF(AND(P1470=0,O1470&gt;0),"Aucune pièce déclarée",IF(P1470*60/Q1470&gt;O1470+0.001,"Cadence dépassée : vérifiez la cadence","OK"))))))))))))))))))</f>
        <v/>
      </c>
      <c r="AC1470">
        <f>IF(OR(AB1470="OK",AB1470="Aucune pièce déclarée",AB1470="Cadence dépassée : vérifiez la cadence"),1,0)</f>
        <v>0.0</v>
      </c>
      <c r="AD1470">
        <f>IF(AND(AC1470=1,A1470&gt;=p_from,A1470&lt;=p_to),1,0)</f>
        <v>0.0</v>
      </c>
      <c r="AE1470">
        <f>IF(AD1470=1,IF(COUNTIFS($A$6:A1470,A1470,$AD$6:AD1470,1)=1,1,0),0)</f>
        <v>0.0</v>
      </c>
      <c r="AF1470" t="str">
        <f>IF(AE1470=1,COUNTIFS(sj_first,1,sj_date,"&lt;"&amp;A1470)+1,"")</f>
        <v/>
      </c>
      <c r="AG1470" t="str">
        <f>IF(AND(AD1470=1,N(W1470)&lt;p_alert),ROUND(W1470,4),"")</f>
        <v/>
      </c>
      <c r="AH1470" t="str">
        <f>IF(AG1470="","",COUNTIF(sj_akey,"&lt;"&amp;AG1470)+COUNTIF($AG$6:AG1470,AG1470))</f>
        <v/>
      </c>
    </row>
    <row r="1471">
      <c r="A1471" s="51" t="n"/>
      <c r="B1471" s="52" t="n"/>
      <c r="C1471" s="52" t="n"/>
      <c r="D1471" s="53" t="n"/>
      <c r="E1471" s="53" t="n"/>
      <c r="F1471" s="54" t="n"/>
      <c r="G1471" s="54" t="n"/>
      <c r="H1471" s="54" t="n"/>
      <c r="I1471" s="54" t="n"/>
      <c r="J1471" s="53" t="n"/>
      <c r="K1471" s="55" t="str">
        <f>IF(COUNTA(A1471:I1471)=0,"",IF(F1471="",IFERROR(INDEX(eq_dur,MATCH(B1471,eq_code,0)),""),F1471))</f>
        <v/>
      </c>
      <c r="L1471" s="55" t="str">
        <f>IF(ISNUMBER(K1471),N(IFERROR(INDEX(eq_pause,MATCH(B1471,eq_code,0)),0))+SUMIFS(st_min,st_date,A1471,st_eq,B1471,st_po,C1471,st_type,"Planifié"),"")</f>
        <v/>
      </c>
      <c r="M1471" s="55" t="str">
        <f>IF(ISNUMBER(K1471),K1471-L1471,"")</f>
        <v/>
      </c>
      <c r="N1471" s="55" t="str">
        <f>IF(ISNUMBER(K1471),SUMIFS(st_min,st_date,A1471,st_eq,B1471,st_po,C1471,st_type,"Non planifié"),"")</f>
        <v/>
      </c>
      <c r="O1471" s="55" t="str">
        <f>IF(ISNUMBER(K1471),M1471-N1471,"")</f>
        <v/>
      </c>
      <c r="P1471" s="55" t="str">
        <f>IF(COUNTA(A1471:I1471)=0,"",N(G1471)+N(H1471)+N(I1471))</f>
        <v/>
      </c>
      <c r="Q1471" s="56" t="str">
        <f>IF(COUNTA(A1471:I1471)=0,"",IF(N(IFERROR(INDEX(art_rate,MATCH(E1471,art_ref,0)),0))&gt;0,N(IFERROR(INDEX(art_rate,MATCH(E1471,art_ref,0)),0)),N(IFERROR(INDEX(po_rate,MATCH(C1471,po_code,0)),0))))</f>
        <v/>
      </c>
      <c r="R1471" s="55" t="str">
        <f>IF(AC1471=1,P1471*60/Q1471,"")</f>
        <v/>
      </c>
      <c r="S1471" s="55" t="str">
        <f>IF(AC1471=1,N(G1471)*60/Q1471,"")</f>
        <v/>
      </c>
      <c r="T1471" s="57" t="str">
        <f>IF(AC1471=1,O1471/M1471,"")</f>
        <v/>
      </c>
      <c r="U1471" s="57" t="str">
        <f>IF(AC1471=1,IF(O1471&gt;0,R1471/O1471,""),"")</f>
        <v/>
      </c>
      <c r="V1471" s="57" t="str">
        <f>IF(AC1471=1,IF(P1471&gt;0,N(G1471)/P1471,""),"")</f>
        <v/>
      </c>
      <c r="W1471" s="57" t="str">
        <f>IF(AC1471=1,S1471/M1471,"")</f>
        <v/>
      </c>
      <c r="X1471" s="57" t="str">
        <f>IF(AC1471=1,S1471/K1471,"")</f>
        <v/>
      </c>
      <c r="Y1471" s="58" t="str">
        <f>IF(W1471="","",IF(W1471&gt;=p_target,"Bon",IF(W1471&gt;=p_alert,"À surveiller","Faible")))</f>
        <v/>
      </c>
      <c r="Z1471" s="58" t="str">
        <f>IF(W1471="","",IF(MIN(IF(T1471="",1,T1471),IF(U1471="",1,U1471),IF(V1471="",1,V1471))&gt;=1,"Aucune",IF(IF(T1471="",1,T1471)&lt;=MIN(IF(U1471="",1,U1471),IF(V1471="",1,V1471)),"Disponibilité",IF(IF(U1471="",1,U1471)&lt;=IF(V1471="",1,V1471),"Performance","Qualité"))))</f>
        <v/>
      </c>
      <c r="AA1471" s="59" t="str">
        <f>IF(AC1471=1,N(H1471)*N(IFERROR(INDEX(art_cost,MATCH(E1471,art_ref,0)),0)),"")</f>
        <v/>
      </c>
      <c r="AB1471" s="58" t="str">
        <f>IF(COUNTA(A1471:I1471)=0,"",IF(N(A1471)&lt;=0,"Date manquante ou invalide",IF(B1471="","Équipe manquante",IF(ISNA(MATCH(B1471,eq_code,0)),"Équipe inconnue",IF(INDEX(eq_check,MATCH(B1471,eq_code,0))&lt;&gt;"OK","Équipe à corriger dans Paramètres",IF(C1471="","Poste manquant",IF(ISNA(MATCH(C1471,po_code,0)),"Poste inconnu",IF(AND(E1471&lt;&gt;"",ISNA(MATCH(E1471,art_ref,0))),"Article inconnu",IF(IF(E1471="",FALSE,INDEX(art_check,MATCH(E1471,art_ref,0))&lt;&gt;"OK"),"Article à corriger (feuille Articles)",IF(COUNTIFS(sj_date,A1471,sj_eq,B1471,sj_po,C1471)&gt;1,"Ligne en double (même jour, équipe et poste)",IF(OR(NOT(ISNUMBER(K1471)),N(K1471)&lt;=0,N(K1471)&gt;1440),"Temps d'ouverture invalide",IF(OR(AND(G1471&lt;&gt;"",NOT(ISNUMBER(G1471))),N(G1471)&lt;0,N(G1471)&lt;&gt;INT(N(G1471)),AND(H1471&lt;&gt;"",NOT(ISNUMBER(H1471))),N(H1471)&lt;0,N(H1471)&lt;&gt;INT(N(H1471)),AND(I1471&lt;&gt;"",NOT(ISNUMBER(I1471))),N(I1471)&lt;0,N(I1471)&lt;&gt;INT(N(I1471))),"Quantité invalide",IF(Q1471&lt;=0,"Cadence manquante (poste ou article)",IF(M1471&lt;=0,"Arrêts planifiés supérieurs au temps d'ouverture",IF(O1471&lt;0,"Arrêts supérieurs au temps requis",IF(AND(P1471&gt;0,O1471=0),"Pièces déclarées sans temps de marche",IF(AND(P1471=0,O1471&gt;0),"Aucune pièce déclarée",IF(P1471*60/Q1471&gt;O1471+0.001,"Cadence dépassée : vérifiez la cadence","OK"))))))))))))))))))</f>
        <v/>
      </c>
      <c r="AC1471">
        <f>IF(OR(AB1471="OK",AB1471="Aucune pièce déclarée",AB1471="Cadence dépassée : vérifiez la cadence"),1,0)</f>
        <v>0.0</v>
      </c>
      <c r="AD1471">
        <f>IF(AND(AC1471=1,A1471&gt;=p_from,A1471&lt;=p_to),1,0)</f>
        <v>0.0</v>
      </c>
      <c r="AE1471">
        <f>IF(AD1471=1,IF(COUNTIFS($A$6:A1471,A1471,$AD$6:AD1471,1)=1,1,0),0)</f>
        <v>0.0</v>
      </c>
      <c r="AF1471" t="str">
        <f>IF(AE1471=1,COUNTIFS(sj_first,1,sj_date,"&lt;"&amp;A1471)+1,"")</f>
        <v/>
      </c>
      <c r="AG1471" t="str">
        <f>IF(AND(AD1471=1,N(W1471)&lt;p_alert),ROUND(W1471,4),"")</f>
        <v/>
      </c>
      <c r="AH1471" t="str">
        <f>IF(AG1471="","",COUNTIF(sj_akey,"&lt;"&amp;AG1471)+COUNTIF($AG$6:AG1471,AG1471))</f>
        <v/>
      </c>
    </row>
    <row r="1472">
      <c r="A1472" s="51" t="n"/>
      <c r="B1472" s="52" t="n"/>
      <c r="C1472" s="52" t="n"/>
      <c r="D1472" s="53" t="n"/>
      <c r="E1472" s="53" t="n"/>
      <c r="F1472" s="54" t="n"/>
      <c r="G1472" s="54" t="n"/>
      <c r="H1472" s="54" t="n"/>
      <c r="I1472" s="54" t="n"/>
      <c r="J1472" s="53" t="n"/>
      <c r="K1472" s="55" t="str">
        <f>IF(COUNTA(A1472:I1472)=0,"",IF(F1472="",IFERROR(INDEX(eq_dur,MATCH(B1472,eq_code,0)),""),F1472))</f>
        <v/>
      </c>
      <c r="L1472" s="55" t="str">
        <f>IF(ISNUMBER(K1472),N(IFERROR(INDEX(eq_pause,MATCH(B1472,eq_code,0)),0))+SUMIFS(st_min,st_date,A1472,st_eq,B1472,st_po,C1472,st_type,"Planifié"),"")</f>
        <v/>
      </c>
      <c r="M1472" s="55" t="str">
        <f>IF(ISNUMBER(K1472),K1472-L1472,"")</f>
        <v/>
      </c>
      <c r="N1472" s="55" t="str">
        <f>IF(ISNUMBER(K1472),SUMIFS(st_min,st_date,A1472,st_eq,B1472,st_po,C1472,st_type,"Non planifié"),"")</f>
        <v/>
      </c>
      <c r="O1472" s="55" t="str">
        <f>IF(ISNUMBER(K1472),M1472-N1472,"")</f>
        <v/>
      </c>
      <c r="P1472" s="55" t="str">
        <f>IF(COUNTA(A1472:I1472)=0,"",N(G1472)+N(H1472)+N(I1472))</f>
        <v/>
      </c>
      <c r="Q1472" s="56" t="str">
        <f>IF(COUNTA(A1472:I1472)=0,"",IF(N(IFERROR(INDEX(art_rate,MATCH(E1472,art_ref,0)),0))&gt;0,N(IFERROR(INDEX(art_rate,MATCH(E1472,art_ref,0)),0)),N(IFERROR(INDEX(po_rate,MATCH(C1472,po_code,0)),0))))</f>
        <v/>
      </c>
      <c r="R1472" s="55" t="str">
        <f>IF(AC1472=1,P1472*60/Q1472,"")</f>
        <v/>
      </c>
      <c r="S1472" s="55" t="str">
        <f>IF(AC1472=1,N(G1472)*60/Q1472,"")</f>
        <v/>
      </c>
      <c r="T1472" s="57" t="str">
        <f>IF(AC1472=1,O1472/M1472,"")</f>
        <v/>
      </c>
      <c r="U1472" s="57" t="str">
        <f>IF(AC1472=1,IF(O1472&gt;0,R1472/O1472,""),"")</f>
        <v/>
      </c>
      <c r="V1472" s="57" t="str">
        <f>IF(AC1472=1,IF(P1472&gt;0,N(G1472)/P1472,""),"")</f>
        <v/>
      </c>
      <c r="W1472" s="57" t="str">
        <f>IF(AC1472=1,S1472/M1472,"")</f>
        <v/>
      </c>
      <c r="X1472" s="57" t="str">
        <f>IF(AC1472=1,S1472/K1472,"")</f>
        <v/>
      </c>
      <c r="Y1472" s="58" t="str">
        <f>IF(W1472="","",IF(W1472&gt;=p_target,"Bon",IF(W1472&gt;=p_alert,"À surveiller","Faible")))</f>
        <v/>
      </c>
      <c r="Z1472" s="58" t="str">
        <f>IF(W1472="","",IF(MIN(IF(T1472="",1,T1472),IF(U1472="",1,U1472),IF(V1472="",1,V1472))&gt;=1,"Aucune",IF(IF(T1472="",1,T1472)&lt;=MIN(IF(U1472="",1,U1472),IF(V1472="",1,V1472)),"Disponibilité",IF(IF(U1472="",1,U1472)&lt;=IF(V1472="",1,V1472),"Performance","Qualité"))))</f>
        <v/>
      </c>
      <c r="AA1472" s="59" t="str">
        <f>IF(AC1472=1,N(H1472)*N(IFERROR(INDEX(art_cost,MATCH(E1472,art_ref,0)),0)),"")</f>
        <v/>
      </c>
      <c r="AB1472" s="58" t="str">
        <f>IF(COUNTA(A1472:I1472)=0,"",IF(N(A1472)&lt;=0,"Date manquante ou invalide",IF(B1472="","Équipe manquante",IF(ISNA(MATCH(B1472,eq_code,0)),"Équipe inconnue",IF(INDEX(eq_check,MATCH(B1472,eq_code,0))&lt;&gt;"OK","Équipe à corriger dans Paramètres",IF(C1472="","Poste manquant",IF(ISNA(MATCH(C1472,po_code,0)),"Poste inconnu",IF(AND(E1472&lt;&gt;"",ISNA(MATCH(E1472,art_ref,0))),"Article inconnu",IF(IF(E1472="",FALSE,INDEX(art_check,MATCH(E1472,art_ref,0))&lt;&gt;"OK"),"Article à corriger (feuille Articles)",IF(COUNTIFS(sj_date,A1472,sj_eq,B1472,sj_po,C1472)&gt;1,"Ligne en double (même jour, équipe et poste)",IF(OR(NOT(ISNUMBER(K1472)),N(K1472)&lt;=0,N(K1472)&gt;1440),"Temps d'ouverture invalide",IF(OR(AND(G1472&lt;&gt;"",NOT(ISNUMBER(G1472))),N(G1472)&lt;0,N(G1472)&lt;&gt;INT(N(G1472)),AND(H1472&lt;&gt;"",NOT(ISNUMBER(H1472))),N(H1472)&lt;0,N(H1472)&lt;&gt;INT(N(H1472)),AND(I1472&lt;&gt;"",NOT(ISNUMBER(I1472))),N(I1472)&lt;0,N(I1472)&lt;&gt;INT(N(I1472))),"Quantité invalide",IF(Q1472&lt;=0,"Cadence manquante (poste ou article)",IF(M1472&lt;=0,"Arrêts planifiés supérieurs au temps d'ouverture",IF(O1472&lt;0,"Arrêts supérieurs au temps requis",IF(AND(P1472&gt;0,O1472=0),"Pièces déclarées sans temps de marche",IF(AND(P1472=0,O1472&gt;0),"Aucune pièce déclarée",IF(P1472*60/Q1472&gt;O1472+0.001,"Cadence dépassée : vérifiez la cadence","OK"))))))))))))))))))</f>
        <v/>
      </c>
      <c r="AC1472">
        <f>IF(OR(AB1472="OK",AB1472="Aucune pièce déclarée",AB1472="Cadence dépassée : vérifiez la cadence"),1,0)</f>
        <v>0.0</v>
      </c>
      <c r="AD1472">
        <f>IF(AND(AC1472=1,A1472&gt;=p_from,A1472&lt;=p_to),1,0)</f>
        <v>0.0</v>
      </c>
      <c r="AE1472">
        <f>IF(AD1472=1,IF(COUNTIFS($A$6:A1472,A1472,$AD$6:AD1472,1)=1,1,0),0)</f>
        <v>0.0</v>
      </c>
      <c r="AF1472" t="str">
        <f>IF(AE1472=1,COUNTIFS(sj_first,1,sj_date,"&lt;"&amp;A1472)+1,"")</f>
        <v/>
      </c>
      <c r="AG1472" t="str">
        <f>IF(AND(AD1472=1,N(W1472)&lt;p_alert),ROUND(W1472,4),"")</f>
        <v/>
      </c>
      <c r="AH1472" t="str">
        <f>IF(AG1472="","",COUNTIF(sj_akey,"&lt;"&amp;AG1472)+COUNTIF($AG$6:AG1472,AG1472))</f>
        <v/>
      </c>
    </row>
    <row r="1473">
      <c r="A1473" s="51" t="n"/>
      <c r="B1473" s="52" t="n"/>
      <c r="C1473" s="52" t="n"/>
      <c r="D1473" s="53" t="n"/>
      <c r="E1473" s="53" t="n"/>
      <c r="F1473" s="54" t="n"/>
      <c r="G1473" s="54" t="n"/>
      <c r="H1473" s="54" t="n"/>
      <c r="I1473" s="54" t="n"/>
      <c r="J1473" s="53" t="n"/>
      <c r="K1473" s="55" t="str">
        <f>IF(COUNTA(A1473:I1473)=0,"",IF(F1473="",IFERROR(INDEX(eq_dur,MATCH(B1473,eq_code,0)),""),F1473))</f>
        <v/>
      </c>
      <c r="L1473" s="55" t="str">
        <f>IF(ISNUMBER(K1473),N(IFERROR(INDEX(eq_pause,MATCH(B1473,eq_code,0)),0))+SUMIFS(st_min,st_date,A1473,st_eq,B1473,st_po,C1473,st_type,"Planifié"),"")</f>
        <v/>
      </c>
      <c r="M1473" s="55" t="str">
        <f>IF(ISNUMBER(K1473),K1473-L1473,"")</f>
        <v/>
      </c>
      <c r="N1473" s="55" t="str">
        <f>IF(ISNUMBER(K1473),SUMIFS(st_min,st_date,A1473,st_eq,B1473,st_po,C1473,st_type,"Non planifié"),"")</f>
        <v/>
      </c>
      <c r="O1473" s="55" t="str">
        <f>IF(ISNUMBER(K1473),M1473-N1473,"")</f>
        <v/>
      </c>
      <c r="P1473" s="55" t="str">
        <f>IF(COUNTA(A1473:I1473)=0,"",N(G1473)+N(H1473)+N(I1473))</f>
        <v/>
      </c>
      <c r="Q1473" s="56" t="str">
        <f>IF(COUNTA(A1473:I1473)=0,"",IF(N(IFERROR(INDEX(art_rate,MATCH(E1473,art_ref,0)),0))&gt;0,N(IFERROR(INDEX(art_rate,MATCH(E1473,art_ref,0)),0)),N(IFERROR(INDEX(po_rate,MATCH(C1473,po_code,0)),0))))</f>
        <v/>
      </c>
      <c r="R1473" s="55" t="str">
        <f>IF(AC1473=1,P1473*60/Q1473,"")</f>
        <v/>
      </c>
      <c r="S1473" s="55" t="str">
        <f>IF(AC1473=1,N(G1473)*60/Q1473,"")</f>
        <v/>
      </c>
      <c r="T1473" s="57" t="str">
        <f>IF(AC1473=1,O1473/M1473,"")</f>
        <v/>
      </c>
      <c r="U1473" s="57" t="str">
        <f>IF(AC1473=1,IF(O1473&gt;0,R1473/O1473,""),"")</f>
        <v/>
      </c>
      <c r="V1473" s="57" t="str">
        <f>IF(AC1473=1,IF(P1473&gt;0,N(G1473)/P1473,""),"")</f>
        <v/>
      </c>
      <c r="W1473" s="57" t="str">
        <f>IF(AC1473=1,S1473/M1473,"")</f>
        <v/>
      </c>
      <c r="X1473" s="57" t="str">
        <f>IF(AC1473=1,S1473/K1473,"")</f>
        <v/>
      </c>
      <c r="Y1473" s="58" t="str">
        <f>IF(W1473="","",IF(W1473&gt;=p_target,"Bon",IF(W1473&gt;=p_alert,"À surveiller","Faible")))</f>
        <v/>
      </c>
      <c r="Z1473" s="58" t="str">
        <f>IF(W1473="","",IF(MIN(IF(T1473="",1,T1473),IF(U1473="",1,U1473),IF(V1473="",1,V1473))&gt;=1,"Aucune",IF(IF(T1473="",1,T1473)&lt;=MIN(IF(U1473="",1,U1473),IF(V1473="",1,V1473)),"Disponibilité",IF(IF(U1473="",1,U1473)&lt;=IF(V1473="",1,V1473),"Performance","Qualité"))))</f>
        <v/>
      </c>
      <c r="AA1473" s="59" t="str">
        <f>IF(AC1473=1,N(H1473)*N(IFERROR(INDEX(art_cost,MATCH(E1473,art_ref,0)),0)),"")</f>
        <v/>
      </c>
      <c r="AB1473" s="58" t="str">
        <f>IF(COUNTA(A1473:I1473)=0,"",IF(N(A1473)&lt;=0,"Date manquante ou invalide",IF(B1473="","Équipe manquante",IF(ISNA(MATCH(B1473,eq_code,0)),"Équipe inconnue",IF(INDEX(eq_check,MATCH(B1473,eq_code,0))&lt;&gt;"OK","Équipe à corriger dans Paramètres",IF(C1473="","Poste manquant",IF(ISNA(MATCH(C1473,po_code,0)),"Poste inconnu",IF(AND(E1473&lt;&gt;"",ISNA(MATCH(E1473,art_ref,0))),"Article inconnu",IF(IF(E1473="",FALSE,INDEX(art_check,MATCH(E1473,art_ref,0))&lt;&gt;"OK"),"Article à corriger (feuille Articles)",IF(COUNTIFS(sj_date,A1473,sj_eq,B1473,sj_po,C1473)&gt;1,"Ligne en double (même jour, équipe et poste)",IF(OR(NOT(ISNUMBER(K1473)),N(K1473)&lt;=0,N(K1473)&gt;1440),"Temps d'ouverture invalide",IF(OR(AND(G1473&lt;&gt;"",NOT(ISNUMBER(G1473))),N(G1473)&lt;0,N(G1473)&lt;&gt;INT(N(G1473)),AND(H1473&lt;&gt;"",NOT(ISNUMBER(H1473))),N(H1473)&lt;0,N(H1473)&lt;&gt;INT(N(H1473)),AND(I1473&lt;&gt;"",NOT(ISNUMBER(I1473))),N(I1473)&lt;0,N(I1473)&lt;&gt;INT(N(I1473))),"Quantité invalide",IF(Q1473&lt;=0,"Cadence manquante (poste ou article)",IF(M1473&lt;=0,"Arrêts planifiés supérieurs au temps d'ouverture",IF(O1473&lt;0,"Arrêts supérieurs au temps requis",IF(AND(P1473&gt;0,O1473=0),"Pièces déclarées sans temps de marche",IF(AND(P1473=0,O1473&gt;0),"Aucune pièce déclarée",IF(P1473*60/Q1473&gt;O1473+0.001,"Cadence dépassée : vérifiez la cadence","OK"))))))))))))))))))</f>
        <v/>
      </c>
      <c r="AC1473">
        <f>IF(OR(AB1473="OK",AB1473="Aucune pièce déclarée",AB1473="Cadence dépassée : vérifiez la cadence"),1,0)</f>
        <v>0.0</v>
      </c>
      <c r="AD1473">
        <f>IF(AND(AC1473=1,A1473&gt;=p_from,A1473&lt;=p_to),1,0)</f>
        <v>0.0</v>
      </c>
      <c r="AE1473">
        <f>IF(AD1473=1,IF(COUNTIFS($A$6:A1473,A1473,$AD$6:AD1473,1)=1,1,0),0)</f>
        <v>0.0</v>
      </c>
      <c r="AF1473" t="str">
        <f>IF(AE1473=1,COUNTIFS(sj_first,1,sj_date,"&lt;"&amp;A1473)+1,"")</f>
        <v/>
      </c>
      <c r="AG1473" t="str">
        <f>IF(AND(AD1473=1,N(W1473)&lt;p_alert),ROUND(W1473,4),"")</f>
        <v/>
      </c>
      <c r="AH1473" t="str">
        <f>IF(AG1473="","",COUNTIF(sj_akey,"&lt;"&amp;AG1473)+COUNTIF($AG$6:AG1473,AG1473))</f>
        <v/>
      </c>
    </row>
    <row r="1474">
      <c r="A1474" s="51" t="n"/>
      <c r="B1474" s="52" t="n"/>
      <c r="C1474" s="52" t="n"/>
      <c r="D1474" s="53" t="n"/>
      <c r="E1474" s="53" t="n"/>
      <c r="F1474" s="54" t="n"/>
      <c r="G1474" s="54" t="n"/>
      <c r="H1474" s="54" t="n"/>
      <c r="I1474" s="54" t="n"/>
      <c r="J1474" s="53" t="n"/>
      <c r="K1474" s="55" t="str">
        <f>IF(COUNTA(A1474:I1474)=0,"",IF(F1474="",IFERROR(INDEX(eq_dur,MATCH(B1474,eq_code,0)),""),F1474))</f>
        <v/>
      </c>
      <c r="L1474" s="55" t="str">
        <f>IF(ISNUMBER(K1474),N(IFERROR(INDEX(eq_pause,MATCH(B1474,eq_code,0)),0))+SUMIFS(st_min,st_date,A1474,st_eq,B1474,st_po,C1474,st_type,"Planifié"),"")</f>
        <v/>
      </c>
      <c r="M1474" s="55" t="str">
        <f>IF(ISNUMBER(K1474),K1474-L1474,"")</f>
        <v/>
      </c>
      <c r="N1474" s="55" t="str">
        <f>IF(ISNUMBER(K1474),SUMIFS(st_min,st_date,A1474,st_eq,B1474,st_po,C1474,st_type,"Non planifié"),"")</f>
        <v/>
      </c>
      <c r="O1474" s="55" t="str">
        <f>IF(ISNUMBER(K1474),M1474-N1474,"")</f>
        <v/>
      </c>
      <c r="P1474" s="55" t="str">
        <f>IF(COUNTA(A1474:I1474)=0,"",N(G1474)+N(H1474)+N(I1474))</f>
        <v/>
      </c>
      <c r="Q1474" s="56" t="str">
        <f>IF(COUNTA(A1474:I1474)=0,"",IF(N(IFERROR(INDEX(art_rate,MATCH(E1474,art_ref,0)),0))&gt;0,N(IFERROR(INDEX(art_rate,MATCH(E1474,art_ref,0)),0)),N(IFERROR(INDEX(po_rate,MATCH(C1474,po_code,0)),0))))</f>
        <v/>
      </c>
      <c r="R1474" s="55" t="str">
        <f>IF(AC1474=1,P1474*60/Q1474,"")</f>
        <v/>
      </c>
      <c r="S1474" s="55" t="str">
        <f>IF(AC1474=1,N(G1474)*60/Q1474,"")</f>
        <v/>
      </c>
      <c r="T1474" s="57" t="str">
        <f>IF(AC1474=1,O1474/M1474,"")</f>
        <v/>
      </c>
      <c r="U1474" s="57" t="str">
        <f>IF(AC1474=1,IF(O1474&gt;0,R1474/O1474,""),"")</f>
        <v/>
      </c>
      <c r="V1474" s="57" t="str">
        <f>IF(AC1474=1,IF(P1474&gt;0,N(G1474)/P1474,""),"")</f>
        <v/>
      </c>
      <c r="W1474" s="57" t="str">
        <f>IF(AC1474=1,S1474/M1474,"")</f>
        <v/>
      </c>
      <c r="X1474" s="57" t="str">
        <f>IF(AC1474=1,S1474/K1474,"")</f>
        <v/>
      </c>
      <c r="Y1474" s="58" t="str">
        <f>IF(W1474="","",IF(W1474&gt;=p_target,"Bon",IF(W1474&gt;=p_alert,"À surveiller","Faible")))</f>
        <v/>
      </c>
      <c r="Z1474" s="58" t="str">
        <f>IF(W1474="","",IF(MIN(IF(T1474="",1,T1474),IF(U1474="",1,U1474),IF(V1474="",1,V1474))&gt;=1,"Aucune",IF(IF(T1474="",1,T1474)&lt;=MIN(IF(U1474="",1,U1474),IF(V1474="",1,V1474)),"Disponibilité",IF(IF(U1474="",1,U1474)&lt;=IF(V1474="",1,V1474),"Performance","Qualité"))))</f>
        <v/>
      </c>
      <c r="AA1474" s="59" t="str">
        <f>IF(AC1474=1,N(H1474)*N(IFERROR(INDEX(art_cost,MATCH(E1474,art_ref,0)),0)),"")</f>
        <v/>
      </c>
      <c r="AB1474" s="58" t="str">
        <f>IF(COUNTA(A1474:I1474)=0,"",IF(N(A1474)&lt;=0,"Date manquante ou invalide",IF(B1474="","Équipe manquante",IF(ISNA(MATCH(B1474,eq_code,0)),"Équipe inconnue",IF(INDEX(eq_check,MATCH(B1474,eq_code,0))&lt;&gt;"OK","Équipe à corriger dans Paramètres",IF(C1474="","Poste manquant",IF(ISNA(MATCH(C1474,po_code,0)),"Poste inconnu",IF(AND(E1474&lt;&gt;"",ISNA(MATCH(E1474,art_ref,0))),"Article inconnu",IF(IF(E1474="",FALSE,INDEX(art_check,MATCH(E1474,art_ref,0))&lt;&gt;"OK"),"Article à corriger (feuille Articles)",IF(COUNTIFS(sj_date,A1474,sj_eq,B1474,sj_po,C1474)&gt;1,"Ligne en double (même jour, équipe et poste)",IF(OR(NOT(ISNUMBER(K1474)),N(K1474)&lt;=0,N(K1474)&gt;1440),"Temps d'ouverture invalide",IF(OR(AND(G1474&lt;&gt;"",NOT(ISNUMBER(G1474))),N(G1474)&lt;0,N(G1474)&lt;&gt;INT(N(G1474)),AND(H1474&lt;&gt;"",NOT(ISNUMBER(H1474))),N(H1474)&lt;0,N(H1474)&lt;&gt;INT(N(H1474)),AND(I1474&lt;&gt;"",NOT(ISNUMBER(I1474))),N(I1474)&lt;0,N(I1474)&lt;&gt;INT(N(I1474))),"Quantité invalide",IF(Q1474&lt;=0,"Cadence manquante (poste ou article)",IF(M1474&lt;=0,"Arrêts planifiés supérieurs au temps d'ouverture",IF(O1474&lt;0,"Arrêts supérieurs au temps requis",IF(AND(P1474&gt;0,O1474=0),"Pièces déclarées sans temps de marche",IF(AND(P1474=0,O1474&gt;0),"Aucune pièce déclarée",IF(P1474*60/Q1474&gt;O1474+0.001,"Cadence dépassée : vérifiez la cadence","OK"))))))))))))))))))</f>
        <v/>
      </c>
      <c r="AC1474">
        <f>IF(OR(AB1474="OK",AB1474="Aucune pièce déclarée",AB1474="Cadence dépassée : vérifiez la cadence"),1,0)</f>
        <v>0.0</v>
      </c>
      <c r="AD1474">
        <f>IF(AND(AC1474=1,A1474&gt;=p_from,A1474&lt;=p_to),1,0)</f>
        <v>0.0</v>
      </c>
      <c r="AE1474">
        <f>IF(AD1474=1,IF(COUNTIFS($A$6:A1474,A1474,$AD$6:AD1474,1)=1,1,0),0)</f>
        <v>0.0</v>
      </c>
      <c r="AF1474" t="str">
        <f>IF(AE1474=1,COUNTIFS(sj_first,1,sj_date,"&lt;"&amp;A1474)+1,"")</f>
        <v/>
      </c>
      <c r="AG1474" t="str">
        <f>IF(AND(AD1474=1,N(W1474)&lt;p_alert),ROUND(W1474,4),"")</f>
        <v/>
      </c>
      <c r="AH1474" t="str">
        <f>IF(AG1474="","",COUNTIF(sj_akey,"&lt;"&amp;AG1474)+COUNTIF($AG$6:AG1474,AG1474))</f>
        <v/>
      </c>
    </row>
    <row r="1475">
      <c r="A1475" s="51" t="n"/>
      <c r="B1475" s="52" t="n"/>
      <c r="C1475" s="52" t="n"/>
      <c r="D1475" s="53" t="n"/>
      <c r="E1475" s="53" t="n"/>
      <c r="F1475" s="54" t="n"/>
      <c r="G1475" s="54" t="n"/>
      <c r="H1475" s="54" t="n"/>
      <c r="I1475" s="54" t="n"/>
      <c r="J1475" s="53" t="n"/>
      <c r="K1475" s="55" t="str">
        <f>IF(COUNTA(A1475:I1475)=0,"",IF(F1475="",IFERROR(INDEX(eq_dur,MATCH(B1475,eq_code,0)),""),F1475))</f>
        <v/>
      </c>
      <c r="L1475" s="55" t="str">
        <f>IF(ISNUMBER(K1475),N(IFERROR(INDEX(eq_pause,MATCH(B1475,eq_code,0)),0))+SUMIFS(st_min,st_date,A1475,st_eq,B1475,st_po,C1475,st_type,"Planifié"),"")</f>
        <v/>
      </c>
      <c r="M1475" s="55" t="str">
        <f>IF(ISNUMBER(K1475),K1475-L1475,"")</f>
        <v/>
      </c>
      <c r="N1475" s="55" t="str">
        <f>IF(ISNUMBER(K1475),SUMIFS(st_min,st_date,A1475,st_eq,B1475,st_po,C1475,st_type,"Non planifié"),"")</f>
        <v/>
      </c>
      <c r="O1475" s="55" t="str">
        <f>IF(ISNUMBER(K1475),M1475-N1475,"")</f>
        <v/>
      </c>
      <c r="P1475" s="55" t="str">
        <f>IF(COUNTA(A1475:I1475)=0,"",N(G1475)+N(H1475)+N(I1475))</f>
        <v/>
      </c>
      <c r="Q1475" s="56" t="str">
        <f>IF(COUNTA(A1475:I1475)=0,"",IF(N(IFERROR(INDEX(art_rate,MATCH(E1475,art_ref,0)),0))&gt;0,N(IFERROR(INDEX(art_rate,MATCH(E1475,art_ref,0)),0)),N(IFERROR(INDEX(po_rate,MATCH(C1475,po_code,0)),0))))</f>
        <v/>
      </c>
      <c r="R1475" s="55" t="str">
        <f>IF(AC1475=1,P1475*60/Q1475,"")</f>
        <v/>
      </c>
      <c r="S1475" s="55" t="str">
        <f>IF(AC1475=1,N(G1475)*60/Q1475,"")</f>
        <v/>
      </c>
      <c r="T1475" s="57" t="str">
        <f>IF(AC1475=1,O1475/M1475,"")</f>
        <v/>
      </c>
      <c r="U1475" s="57" t="str">
        <f>IF(AC1475=1,IF(O1475&gt;0,R1475/O1475,""),"")</f>
        <v/>
      </c>
      <c r="V1475" s="57" t="str">
        <f>IF(AC1475=1,IF(P1475&gt;0,N(G1475)/P1475,""),"")</f>
        <v/>
      </c>
      <c r="W1475" s="57" t="str">
        <f>IF(AC1475=1,S1475/M1475,"")</f>
        <v/>
      </c>
      <c r="X1475" s="57" t="str">
        <f>IF(AC1475=1,S1475/K1475,"")</f>
        <v/>
      </c>
      <c r="Y1475" s="58" t="str">
        <f>IF(W1475="","",IF(W1475&gt;=p_target,"Bon",IF(W1475&gt;=p_alert,"À surveiller","Faible")))</f>
        <v/>
      </c>
      <c r="Z1475" s="58" t="str">
        <f>IF(W1475="","",IF(MIN(IF(T1475="",1,T1475),IF(U1475="",1,U1475),IF(V1475="",1,V1475))&gt;=1,"Aucune",IF(IF(T1475="",1,T1475)&lt;=MIN(IF(U1475="",1,U1475),IF(V1475="",1,V1475)),"Disponibilité",IF(IF(U1475="",1,U1475)&lt;=IF(V1475="",1,V1475),"Performance","Qualité"))))</f>
        <v/>
      </c>
      <c r="AA1475" s="59" t="str">
        <f>IF(AC1475=1,N(H1475)*N(IFERROR(INDEX(art_cost,MATCH(E1475,art_ref,0)),0)),"")</f>
        <v/>
      </c>
      <c r="AB1475" s="58" t="str">
        <f>IF(COUNTA(A1475:I1475)=0,"",IF(N(A1475)&lt;=0,"Date manquante ou invalide",IF(B1475="","Équipe manquante",IF(ISNA(MATCH(B1475,eq_code,0)),"Équipe inconnue",IF(INDEX(eq_check,MATCH(B1475,eq_code,0))&lt;&gt;"OK","Équipe à corriger dans Paramètres",IF(C1475="","Poste manquant",IF(ISNA(MATCH(C1475,po_code,0)),"Poste inconnu",IF(AND(E1475&lt;&gt;"",ISNA(MATCH(E1475,art_ref,0))),"Article inconnu",IF(IF(E1475="",FALSE,INDEX(art_check,MATCH(E1475,art_ref,0))&lt;&gt;"OK"),"Article à corriger (feuille Articles)",IF(COUNTIFS(sj_date,A1475,sj_eq,B1475,sj_po,C1475)&gt;1,"Ligne en double (même jour, équipe et poste)",IF(OR(NOT(ISNUMBER(K1475)),N(K1475)&lt;=0,N(K1475)&gt;1440),"Temps d'ouverture invalide",IF(OR(AND(G1475&lt;&gt;"",NOT(ISNUMBER(G1475))),N(G1475)&lt;0,N(G1475)&lt;&gt;INT(N(G1475)),AND(H1475&lt;&gt;"",NOT(ISNUMBER(H1475))),N(H1475)&lt;0,N(H1475)&lt;&gt;INT(N(H1475)),AND(I1475&lt;&gt;"",NOT(ISNUMBER(I1475))),N(I1475)&lt;0,N(I1475)&lt;&gt;INT(N(I1475))),"Quantité invalide",IF(Q1475&lt;=0,"Cadence manquante (poste ou article)",IF(M1475&lt;=0,"Arrêts planifiés supérieurs au temps d'ouverture",IF(O1475&lt;0,"Arrêts supérieurs au temps requis",IF(AND(P1475&gt;0,O1475=0),"Pièces déclarées sans temps de marche",IF(AND(P1475=0,O1475&gt;0),"Aucune pièce déclarée",IF(P1475*60/Q1475&gt;O1475+0.001,"Cadence dépassée : vérifiez la cadence","OK"))))))))))))))))))</f>
        <v/>
      </c>
      <c r="AC1475">
        <f>IF(OR(AB1475="OK",AB1475="Aucune pièce déclarée",AB1475="Cadence dépassée : vérifiez la cadence"),1,0)</f>
        <v>0.0</v>
      </c>
      <c r="AD1475">
        <f>IF(AND(AC1475=1,A1475&gt;=p_from,A1475&lt;=p_to),1,0)</f>
        <v>0.0</v>
      </c>
      <c r="AE1475">
        <f>IF(AD1475=1,IF(COUNTIFS($A$6:A1475,A1475,$AD$6:AD1475,1)=1,1,0),0)</f>
        <v>0.0</v>
      </c>
      <c r="AF1475" t="str">
        <f>IF(AE1475=1,COUNTIFS(sj_first,1,sj_date,"&lt;"&amp;A1475)+1,"")</f>
        <v/>
      </c>
      <c r="AG1475" t="str">
        <f>IF(AND(AD1475=1,N(W1475)&lt;p_alert),ROUND(W1475,4),"")</f>
        <v/>
      </c>
      <c r="AH1475" t="str">
        <f>IF(AG1475="","",COUNTIF(sj_akey,"&lt;"&amp;AG1475)+COUNTIF($AG$6:AG1475,AG1475))</f>
        <v/>
      </c>
    </row>
    <row r="1476">
      <c r="A1476" s="51" t="n"/>
      <c r="B1476" s="52" t="n"/>
      <c r="C1476" s="52" t="n"/>
      <c r="D1476" s="53" t="n"/>
      <c r="E1476" s="53" t="n"/>
      <c r="F1476" s="54" t="n"/>
      <c r="G1476" s="54" t="n"/>
      <c r="H1476" s="54" t="n"/>
      <c r="I1476" s="54" t="n"/>
      <c r="J1476" s="53" t="n"/>
      <c r="K1476" s="55" t="str">
        <f>IF(COUNTA(A1476:I1476)=0,"",IF(F1476="",IFERROR(INDEX(eq_dur,MATCH(B1476,eq_code,0)),""),F1476))</f>
        <v/>
      </c>
      <c r="L1476" s="55" t="str">
        <f>IF(ISNUMBER(K1476),N(IFERROR(INDEX(eq_pause,MATCH(B1476,eq_code,0)),0))+SUMIFS(st_min,st_date,A1476,st_eq,B1476,st_po,C1476,st_type,"Planifié"),"")</f>
        <v/>
      </c>
      <c r="M1476" s="55" t="str">
        <f>IF(ISNUMBER(K1476),K1476-L1476,"")</f>
        <v/>
      </c>
      <c r="N1476" s="55" t="str">
        <f>IF(ISNUMBER(K1476),SUMIFS(st_min,st_date,A1476,st_eq,B1476,st_po,C1476,st_type,"Non planifié"),"")</f>
        <v/>
      </c>
      <c r="O1476" s="55" t="str">
        <f>IF(ISNUMBER(K1476),M1476-N1476,"")</f>
        <v/>
      </c>
      <c r="P1476" s="55" t="str">
        <f>IF(COUNTA(A1476:I1476)=0,"",N(G1476)+N(H1476)+N(I1476))</f>
        <v/>
      </c>
      <c r="Q1476" s="56" t="str">
        <f>IF(COUNTA(A1476:I1476)=0,"",IF(N(IFERROR(INDEX(art_rate,MATCH(E1476,art_ref,0)),0))&gt;0,N(IFERROR(INDEX(art_rate,MATCH(E1476,art_ref,0)),0)),N(IFERROR(INDEX(po_rate,MATCH(C1476,po_code,0)),0))))</f>
        <v/>
      </c>
      <c r="R1476" s="55" t="str">
        <f>IF(AC1476=1,P1476*60/Q1476,"")</f>
        <v/>
      </c>
      <c r="S1476" s="55" t="str">
        <f>IF(AC1476=1,N(G1476)*60/Q1476,"")</f>
        <v/>
      </c>
      <c r="T1476" s="57" t="str">
        <f>IF(AC1476=1,O1476/M1476,"")</f>
        <v/>
      </c>
      <c r="U1476" s="57" t="str">
        <f>IF(AC1476=1,IF(O1476&gt;0,R1476/O1476,""),"")</f>
        <v/>
      </c>
      <c r="V1476" s="57" t="str">
        <f>IF(AC1476=1,IF(P1476&gt;0,N(G1476)/P1476,""),"")</f>
        <v/>
      </c>
      <c r="W1476" s="57" t="str">
        <f>IF(AC1476=1,S1476/M1476,"")</f>
        <v/>
      </c>
      <c r="X1476" s="57" t="str">
        <f>IF(AC1476=1,S1476/K1476,"")</f>
        <v/>
      </c>
      <c r="Y1476" s="58" t="str">
        <f>IF(W1476="","",IF(W1476&gt;=p_target,"Bon",IF(W1476&gt;=p_alert,"À surveiller","Faible")))</f>
        <v/>
      </c>
      <c r="Z1476" s="58" t="str">
        <f>IF(W1476="","",IF(MIN(IF(T1476="",1,T1476),IF(U1476="",1,U1476),IF(V1476="",1,V1476))&gt;=1,"Aucune",IF(IF(T1476="",1,T1476)&lt;=MIN(IF(U1476="",1,U1476),IF(V1476="",1,V1476)),"Disponibilité",IF(IF(U1476="",1,U1476)&lt;=IF(V1476="",1,V1476),"Performance","Qualité"))))</f>
        <v/>
      </c>
      <c r="AA1476" s="59" t="str">
        <f>IF(AC1476=1,N(H1476)*N(IFERROR(INDEX(art_cost,MATCH(E1476,art_ref,0)),0)),"")</f>
        <v/>
      </c>
      <c r="AB1476" s="58" t="str">
        <f>IF(COUNTA(A1476:I1476)=0,"",IF(N(A1476)&lt;=0,"Date manquante ou invalide",IF(B1476="","Équipe manquante",IF(ISNA(MATCH(B1476,eq_code,0)),"Équipe inconnue",IF(INDEX(eq_check,MATCH(B1476,eq_code,0))&lt;&gt;"OK","Équipe à corriger dans Paramètres",IF(C1476="","Poste manquant",IF(ISNA(MATCH(C1476,po_code,0)),"Poste inconnu",IF(AND(E1476&lt;&gt;"",ISNA(MATCH(E1476,art_ref,0))),"Article inconnu",IF(IF(E1476="",FALSE,INDEX(art_check,MATCH(E1476,art_ref,0))&lt;&gt;"OK"),"Article à corriger (feuille Articles)",IF(COUNTIFS(sj_date,A1476,sj_eq,B1476,sj_po,C1476)&gt;1,"Ligne en double (même jour, équipe et poste)",IF(OR(NOT(ISNUMBER(K1476)),N(K1476)&lt;=0,N(K1476)&gt;1440),"Temps d'ouverture invalide",IF(OR(AND(G1476&lt;&gt;"",NOT(ISNUMBER(G1476))),N(G1476)&lt;0,N(G1476)&lt;&gt;INT(N(G1476)),AND(H1476&lt;&gt;"",NOT(ISNUMBER(H1476))),N(H1476)&lt;0,N(H1476)&lt;&gt;INT(N(H1476)),AND(I1476&lt;&gt;"",NOT(ISNUMBER(I1476))),N(I1476)&lt;0,N(I1476)&lt;&gt;INT(N(I1476))),"Quantité invalide",IF(Q1476&lt;=0,"Cadence manquante (poste ou article)",IF(M1476&lt;=0,"Arrêts planifiés supérieurs au temps d'ouverture",IF(O1476&lt;0,"Arrêts supérieurs au temps requis",IF(AND(P1476&gt;0,O1476=0),"Pièces déclarées sans temps de marche",IF(AND(P1476=0,O1476&gt;0),"Aucune pièce déclarée",IF(P1476*60/Q1476&gt;O1476+0.001,"Cadence dépassée : vérifiez la cadence","OK"))))))))))))))))))</f>
        <v/>
      </c>
      <c r="AC1476">
        <f>IF(OR(AB1476="OK",AB1476="Aucune pièce déclarée",AB1476="Cadence dépassée : vérifiez la cadence"),1,0)</f>
        <v>0.0</v>
      </c>
      <c r="AD1476">
        <f>IF(AND(AC1476=1,A1476&gt;=p_from,A1476&lt;=p_to),1,0)</f>
        <v>0.0</v>
      </c>
      <c r="AE1476">
        <f>IF(AD1476=1,IF(COUNTIFS($A$6:A1476,A1476,$AD$6:AD1476,1)=1,1,0),0)</f>
        <v>0.0</v>
      </c>
      <c r="AF1476" t="str">
        <f>IF(AE1476=1,COUNTIFS(sj_first,1,sj_date,"&lt;"&amp;A1476)+1,"")</f>
        <v/>
      </c>
      <c r="AG1476" t="str">
        <f>IF(AND(AD1476=1,N(W1476)&lt;p_alert),ROUND(W1476,4),"")</f>
        <v/>
      </c>
      <c r="AH1476" t="str">
        <f>IF(AG1476="","",COUNTIF(sj_akey,"&lt;"&amp;AG1476)+COUNTIF($AG$6:AG1476,AG1476))</f>
        <v/>
      </c>
    </row>
    <row r="1477">
      <c r="A1477" s="51" t="n"/>
      <c r="B1477" s="52" t="n"/>
      <c r="C1477" s="52" t="n"/>
      <c r="D1477" s="53" t="n"/>
      <c r="E1477" s="53" t="n"/>
      <c r="F1477" s="54" t="n"/>
      <c r="G1477" s="54" t="n"/>
      <c r="H1477" s="54" t="n"/>
      <c r="I1477" s="54" t="n"/>
      <c r="J1477" s="53" t="n"/>
      <c r="K1477" s="55" t="str">
        <f>IF(COUNTA(A1477:I1477)=0,"",IF(F1477="",IFERROR(INDEX(eq_dur,MATCH(B1477,eq_code,0)),""),F1477))</f>
        <v/>
      </c>
      <c r="L1477" s="55" t="str">
        <f>IF(ISNUMBER(K1477),N(IFERROR(INDEX(eq_pause,MATCH(B1477,eq_code,0)),0))+SUMIFS(st_min,st_date,A1477,st_eq,B1477,st_po,C1477,st_type,"Planifié"),"")</f>
        <v/>
      </c>
      <c r="M1477" s="55" t="str">
        <f>IF(ISNUMBER(K1477),K1477-L1477,"")</f>
        <v/>
      </c>
      <c r="N1477" s="55" t="str">
        <f>IF(ISNUMBER(K1477),SUMIFS(st_min,st_date,A1477,st_eq,B1477,st_po,C1477,st_type,"Non planifié"),"")</f>
        <v/>
      </c>
      <c r="O1477" s="55" t="str">
        <f>IF(ISNUMBER(K1477),M1477-N1477,"")</f>
        <v/>
      </c>
      <c r="P1477" s="55" t="str">
        <f>IF(COUNTA(A1477:I1477)=0,"",N(G1477)+N(H1477)+N(I1477))</f>
        <v/>
      </c>
      <c r="Q1477" s="56" t="str">
        <f>IF(COUNTA(A1477:I1477)=0,"",IF(N(IFERROR(INDEX(art_rate,MATCH(E1477,art_ref,0)),0))&gt;0,N(IFERROR(INDEX(art_rate,MATCH(E1477,art_ref,0)),0)),N(IFERROR(INDEX(po_rate,MATCH(C1477,po_code,0)),0))))</f>
        <v/>
      </c>
      <c r="R1477" s="55" t="str">
        <f>IF(AC1477=1,P1477*60/Q1477,"")</f>
        <v/>
      </c>
      <c r="S1477" s="55" t="str">
        <f>IF(AC1477=1,N(G1477)*60/Q1477,"")</f>
        <v/>
      </c>
      <c r="T1477" s="57" t="str">
        <f>IF(AC1477=1,O1477/M1477,"")</f>
        <v/>
      </c>
      <c r="U1477" s="57" t="str">
        <f>IF(AC1477=1,IF(O1477&gt;0,R1477/O1477,""),"")</f>
        <v/>
      </c>
      <c r="V1477" s="57" t="str">
        <f>IF(AC1477=1,IF(P1477&gt;0,N(G1477)/P1477,""),"")</f>
        <v/>
      </c>
      <c r="W1477" s="57" t="str">
        <f>IF(AC1477=1,S1477/M1477,"")</f>
        <v/>
      </c>
      <c r="X1477" s="57" t="str">
        <f>IF(AC1477=1,S1477/K1477,"")</f>
        <v/>
      </c>
      <c r="Y1477" s="58" t="str">
        <f>IF(W1477="","",IF(W1477&gt;=p_target,"Bon",IF(W1477&gt;=p_alert,"À surveiller","Faible")))</f>
        <v/>
      </c>
      <c r="Z1477" s="58" t="str">
        <f>IF(W1477="","",IF(MIN(IF(T1477="",1,T1477),IF(U1477="",1,U1477),IF(V1477="",1,V1477))&gt;=1,"Aucune",IF(IF(T1477="",1,T1477)&lt;=MIN(IF(U1477="",1,U1477),IF(V1477="",1,V1477)),"Disponibilité",IF(IF(U1477="",1,U1477)&lt;=IF(V1477="",1,V1477),"Performance","Qualité"))))</f>
        <v/>
      </c>
      <c r="AA1477" s="59" t="str">
        <f>IF(AC1477=1,N(H1477)*N(IFERROR(INDEX(art_cost,MATCH(E1477,art_ref,0)),0)),"")</f>
        <v/>
      </c>
      <c r="AB1477" s="58" t="str">
        <f>IF(COUNTA(A1477:I1477)=0,"",IF(N(A1477)&lt;=0,"Date manquante ou invalide",IF(B1477="","Équipe manquante",IF(ISNA(MATCH(B1477,eq_code,0)),"Équipe inconnue",IF(INDEX(eq_check,MATCH(B1477,eq_code,0))&lt;&gt;"OK","Équipe à corriger dans Paramètres",IF(C1477="","Poste manquant",IF(ISNA(MATCH(C1477,po_code,0)),"Poste inconnu",IF(AND(E1477&lt;&gt;"",ISNA(MATCH(E1477,art_ref,0))),"Article inconnu",IF(IF(E1477="",FALSE,INDEX(art_check,MATCH(E1477,art_ref,0))&lt;&gt;"OK"),"Article à corriger (feuille Articles)",IF(COUNTIFS(sj_date,A1477,sj_eq,B1477,sj_po,C1477)&gt;1,"Ligne en double (même jour, équipe et poste)",IF(OR(NOT(ISNUMBER(K1477)),N(K1477)&lt;=0,N(K1477)&gt;1440),"Temps d'ouverture invalide",IF(OR(AND(G1477&lt;&gt;"",NOT(ISNUMBER(G1477))),N(G1477)&lt;0,N(G1477)&lt;&gt;INT(N(G1477)),AND(H1477&lt;&gt;"",NOT(ISNUMBER(H1477))),N(H1477)&lt;0,N(H1477)&lt;&gt;INT(N(H1477)),AND(I1477&lt;&gt;"",NOT(ISNUMBER(I1477))),N(I1477)&lt;0,N(I1477)&lt;&gt;INT(N(I1477))),"Quantité invalide",IF(Q1477&lt;=0,"Cadence manquante (poste ou article)",IF(M1477&lt;=0,"Arrêts planifiés supérieurs au temps d'ouverture",IF(O1477&lt;0,"Arrêts supérieurs au temps requis",IF(AND(P1477&gt;0,O1477=0),"Pièces déclarées sans temps de marche",IF(AND(P1477=0,O1477&gt;0),"Aucune pièce déclarée",IF(P1477*60/Q1477&gt;O1477+0.001,"Cadence dépassée : vérifiez la cadence","OK"))))))))))))))))))</f>
        <v/>
      </c>
      <c r="AC1477">
        <f>IF(OR(AB1477="OK",AB1477="Aucune pièce déclarée",AB1477="Cadence dépassée : vérifiez la cadence"),1,0)</f>
        <v>0.0</v>
      </c>
      <c r="AD1477">
        <f>IF(AND(AC1477=1,A1477&gt;=p_from,A1477&lt;=p_to),1,0)</f>
        <v>0.0</v>
      </c>
      <c r="AE1477">
        <f>IF(AD1477=1,IF(COUNTIFS($A$6:A1477,A1477,$AD$6:AD1477,1)=1,1,0),0)</f>
        <v>0.0</v>
      </c>
      <c r="AF1477" t="str">
        <f>IF(AE1477=1,COUNTIFS(sj_first,1,sj_date,"&lt;"&amp;A1477)+1,"")</f>
        <v/>
      </c>
      <c r="AG1477" t="str">
        <f>IF(AND(AD1477=1,N(W1477)&lt;p_alert),ROUND(W1477,4),"")</f>
        <v/>
      </c>
      <c r="AH1477" t="str">
        <f>IF(AG1477="","",COUNTIF(sj_akey,"&lt;"&amp;AG1477)+COUNTIF($AG$6:AG1477,AG1477))</f>
        <v/>
      </c>
    </row>
    <row r="1478">
      <c r="A1478" s="51" t="n"/>
      <c r="B1478" s="52" t="n"/>
      <c r="C1478" s="52" t="n"/>
      <c r="D1478" s="53" t="n"/>
      <c r="E1478" s="53" t="n"/>
      <c r="F1478" s="54" t="n"/>
      <c r="G1478" s="54" t="n"/>
      <c r="H1478" s="54" t="n"/>
      <c r="I1478" s="54" t="n"/>
      <c r="J1478" s="53" t="n"/>
      <c r="K1478" s="55" t="str">
        <f>IF(COUNTA(A1478:I1478)=0,"",IF(F1478="",IFERROR(INDEX(eq_dur,MATCH(B1478,eq_code,0)),""),F1478))</f>
        <v/>
      </c>
      <c r="L1478" s="55" t="str">
        <f>IF(ISNUMBER(K1478),N(IFERROR(INDEX(eq_pause,MATCH(B1478,eq_code,0)),0))+SUMIFS(st_min,st_date,A1478,st_eq,B1478,st_po,C1478,st_type,"Planifié"),"")</f>
        <v/>
      </c>
      <c r="M1478" s="55" t="str">
        <f>IF(ISNUMBER(K1478),K1478-L1478,"")</f>
        <v/>
      </c>
      <c r="N1478" s="55" t="str">
        <f>IF(ISNUMBER(K1478),SUMIFS(st_min,st_date,A1478,st_eq,B1478,st_po,C1478,st_type,"Non planifié"),"")</f>
        <v/>
      </c>
      <c r="O1478" s="55" t="str">
        <f>IF(ISNUMBER(K1478),M1478-N1478,"")</f>
        <v/>
      </c>
      <c r="P1478" s="55" t="str">
        <f>IF(COUNTA(A1478:I1478)=0,"",N(G1478)+N(H1478)+N(I1478))</f>
        <v/>
      </c>
      <c r="Q1478" s="56" t="str">
        <f>IF(COUNTA(A1478:I1478)=0,"",IF(N(IFERROR(INDEX(art_rate,MATCH(E1478,art_ref,0)),0))&gt;0,N(IFERROR(INDEX(art_rate,MATCH(E1478,art_ref,0)),0)),N(IFERROR(INDEX(po_rate,MATCH(C1478,po_code,0)),0))))</f>
        <v/>
      </c>
      <c r="R1478" s="55" t="str">
        <f>IF(AC1478=1,P1478*60/Q1478,"")</f>
        <v/>
      </c>
      <c r="S1478" s="55" t="str">
        <f>IF(AC1478=1,N(G1478)*60/Q1478,"")</f>
        <v/>
      </c>
      <c r="T1478" s="57" t="str">
        <f>IF(AC1478=1,O1478/M1478,"")</f>
        <v/>
      </c>
      <c r="U1478" s="57" t="str">
        <f>IF(AC1478=1,IF(O1478&gt;0,R1478/O1478,""),"")</f>
        <v/>
      </c>
      <c r="V1478" s="57" t="str">
        <f>IF(AC1478=1,IF(P1478&gt;0,N(G1478)/P1478,""),"")</f>
        <v/>
      </c>
      <c r="W1478" s="57" t="str">
        <f>IF(AC1478=1,S1478/M1478,"")</f>
        <v/>
      </c>
      <c r="X1478" s="57" t="str">
        <f>IF(AC1478=1,S1478/K1478,"")</f>
        <v/>
      </c>
      <c r="Y1478" s="58" t="str">
        <f>IF(W1478="","",IF(W1478&gt;=p_target,"Bon",IF(W1478&gt;=p_alert,"À surveiller","Faible")))</f>
        <v/>
      </c>
      <c r="Z1478" s="58" t="str">
        <f>IF(W1478="","",IF(MIN(IF(T1478="",1,T1478),IF(U1478="",1,U1478),IF(V1478="",1,V1478))&gt;=1,"Aucune",IF(IF(T1478="",1,T1478)&lt;=MIN(IF(U1478="",1,U1478),IF(V1478="",1,V1478)),"Disponibilité",IF(IF(U1478="",1,U1478)&lt;=IF(V1478="",1,V1478),"Performance","Qualité"))))</f>
        <v/>
      </c>
      <c r="AA1478" s="59" t="str">
        <f>IF(AC1478=1,N(H1478)*N(IFERROR(INDEX(art_cost,MATCH(E1478,art_ref,0)),0)),"")</f>
        <v/>
      </c>
      <c r="AB1478" s="58" t="str">
        <f>IF(COUNTA(A1478:I1478)=0,"",IF(N(A1478)&lt;=0,"Date manquante ou invalide",IF(B1478="","Équipe manquante",IF(ISNA(MATCH(B1478,eq_code,0)),"Équipe inconnue",IF(INDEX(eq_check,MATCH(B1478,eq_code,0))&lt;&gt;"OK","Équipe à corriger dans Paramètres",IF(C1478="","Poste manquant",IF(ISNA(MATCH(C1478,po_code,0)),"Poste inconnu",IF(AND(E1478&lt;&gt;"",ISNA(MATCH(E1478,art_ref,0))),"Article inconnu",IF(IF(E1478="",FALSE,INDEX(art_check,MATCH(E1478,art_ref,0))&lt;&gt;"OK"),"Article à corriger (feuille Articles)",IF(COUNTIFS(sj_date,A1478,sj_eq,B1478,sj_po,C1478)&gt;1,"Ligne en double (même jour, équipe et poste)",IF(OR(NOT(ISNUMBER(K1478)),N(K1478)&lt;=0,N(K1478)&gt;1440),"Temps d'ouverture invalide",IF(OR(AND(G1478&lt;&gt;"",NOT(ISNUMBER(G1478))),N(G1478)&lt;0,N(G1478)&lt;&gt;INT(N(G1478)),AND(H1478&lt;&gt;"",NOT(ISNUMBER(H1478))),N(H1478)&lt;0,N(H1478)&lt;&gt;INT(N(H1478)),AND(I1478&lt;&gt;"",NOT(ISNUMBER(I1478))),N(I1478)&lt;0,N(I1478)&lt;&gt;INT(N(I1478))),"Quantité invalide",IF(Q1478&lt;=0,"Cadence manquante (poste ou article)",IF(M1478&lt;=0,"Arrêts planifiés supérieurs au temps d'ouverture",IF(O1478&lt;0,"Arrêts supérieurs au temps requis",IF(AND(P1478&gt;0,O1478=0),"Pièces déclarées sans temps de marche",IF(AND(P1478=0,O1478&gt;0),"Aucune pièce déclarée",IF(P1478*60/Q1478&gt;O1478+0.001,"Cadence dépassée : vérifiez la cadence","OK"))))))))))))))))))</f>
        <v/>
      </c>
      <c r="AC1478">
        <f>IF(OR(AB1478="OK",AB1478="Aucune pièce déclarée",AB1478="Cadence dépassée : vérifiez la cadence"),1,0)</f>
        <v>0.0</v>
      </c>
      <c r="AD1478">
        <f>IF(AND(AC1478=1,A1478&gt;=p_from,A1478&lt;=p_to),1,0)</f>
        <v>0.0</v>
      </c>
      <c r="AE1478">
        <f>IF(AD1478=1,IF(COUNTIFS($A$6:A1478,A1478,$AD$6:AD1478,1)=1,1,0),0)</f>
        <v>0.0</v>
      </c>
      <c r="AF1478" t="str">
        <f>IF(AE1478=1,COUNTIFS(sj_first,1,sj_date,"&lt;"&amp;A1478)+1,"")</f>
        <v/>
      </c>
      <c r="AG1478" t="str">
        <f>IF(AND(AD1478=1,N(W1478)&lt;p_alert),ROUND(W1478,4),"")</f>
        <v/>
      </c>
      <c r="AH1478" t="str">
        <f>IF(AG1478="","",COUNTIF(sj_akey,"&lt;"&amp;AG1478)+COUNTIF($AG$6:AG1478,AG1478))</f>
        <v/>
      </c>
    </row>
    <row r="1479">
      <c r="A1479" s="51" t="n"/>
      <c r="B1479" s="52" t="n"/>
      <c r="C1479" s="52" t="n"/>
      <c r="D1479" s="53" t="n"/>
      <c r="E1479" s="53" t="n"/>
      <c r="F1479" s="54" t="n"/>
      <c r="G1479" s="54" t="n"/>
      <c r="H1479" s="54" t="n"/>
      <c r="I1479" s="54" t="n"/>
      <c r="J1479" s="53" t="n"/>
      <c r="K1479" s="55" t="str">
        <f>IF(COUNTA(A1479:I1479)=0,"",IF(F1479="",IFERROR(INDEX(eq_dur,MATCH(B1479,eq_code,0)),""),F1479))</f>
        <v/>
      </c>
      <c r="L1479" s="55" t="str">
        <f>IF(ISNUMBER(K1479),N(IFERROR(INDEX(eq_pause,MATCH(B1479,eq_code,0)),0))+SUMIFS(st_min,st_date,A1479,st_eq,B1479,st_po,C1479,st_type,"Planifié"),"")</f>
        <v/>
      </c>
      <c r="M1479" s="55" t="str">
        <f>IF(ISNUMBER(K1479),K1479-L1479,"")</f>
        <v/>
      </c>
      <c r="N1479" s="55" t="str">
        <f>IF(ISNUMBER(K1479),SUMIFS(st_min,st_date,A1479,st_eq,B1479,st_po,C1479,st_type,"Non planifié"),"")</f>
        <v/>
      </c>
      <c r="O1479" s="55" t="str">
        <f>IF(ISNUMBER(K1479),M1479-N1479,"")</f>
        <v/>
      </c>
      <c r="P1479" s="55" t="str">
        <f>IF(COUNTA(A1479:I1479)=0,"",N(G1479)+N(H1479)+N(I1479))</f>
        <v/>
      </c>
      <c r="Q1479" s="56" t="str">
        <f>IF(COUNTA(A1479:I1479)=0,"",IF(N(IFERROR(INDEX(art_rate,MATCH(E1479,art_ref,0)),0))&gt;0,N(IFERROR(INDEX(art_rate,MATCH(E1479,art_ref,0)),0)),N(IFERROR(INDEX(po_rate,MATCH(C1479,po_code,0)),0))))</f>
        <v/>
      </c>
      <c r="R1479" s="55" t="str">
        <f>IF(AC1479=1,P1479*60/Q1479,"")</f>
        <v/>
      </c>
      <c r="S1479" s="55" t="str">
        <f>IF(AC1479=1,N(G1479)*60/Q1479,"")</f>
        <v/>
      </c>
      <c r="T1479" s="57" t="str">
        <f>IF(AC1479=1,O1479/M1479,"")</f>
        <v/>
      </c>
      <c r="U1479" s="57" t="str">
        <f>IF(AC1479=1,IF(O1479&gt;0,R1479/O1479,""),"")</f>
        <v/>
      </c>
      <c r="V1479" s="57" t="str">
        <f>IF(AC1479=1,IF(P1479&gt;0,N(G1479)/P1479,""),"")</f>
        <v/>
      </c>
      <c r="W1479" s="57" t="str">
        <f>IF(AC1479=1,S1479/M1479,"")</f>
        <v/>
      </c>
      <c r="X1479" s="57" t="str">
        <f>IF(AC1479=1,S1479/K1479,"")</f>
        <v/>
      </c>
      <c r="Y1479" s="58" t="str">
        <f>IF(W1479="","",IF(W1479&gt;=p_target,"Bon",IF(W1479&gt;=p_alert,"À surveiller","Faible")))</f>
        <v/>
      </c>
      <c r="Z1479" s="58" t="str">
        <f>IF(W1479="","",IF(MIN(IF(T1479="",1,T1479),IF(U1479="",1,U1479),IF(V1479="",1,V1479))&gt;=1,"Aucune",IF(IF(T1479="",1,T1479)&lt;=MIN(IF(U1479="",1,U1479),IF(V1479="",1,V1479)),"Disponibilité",IF(IF(U1479="",1,U1479)&lt;=IF(V1479="",1,V1479),"Performance","Qualité"))))</f>
        <v/>
      </c>
      <c r="AA1479" s="59" t="str">
        <f>IF(AC1479=1,N(H1479)*N(IFERROR(INDEX(art_cost,MATCH(E1479,art_ref,0)),0)),"")</f>
        <v/>
      </c>
      <c r="AB1479" s="58" t="str">
        <f>IF(COUNTA(A1479:I1479)=0,"",IF(N(A1479)&lt;=0,"Date manquante ou invalide",IF(B1479="","Équipe manquante",IF(ISNA(MATCH(B1479,eq_code,0)),"Équipe inconnue",IF(INDEX(eq_check,MATCH(B1479,eq_code,0))&lt;&gt;"OK","Équipe à corriger dans Paramètres",IF(C1479="","Poste manquant",IF(ISNA(MATCH(C1479,po_code,0)),"Poste inconnu",IF(AND(E1479&lt;&gt;"",ISNA(MATCH(E1479,art_ref,0))),"Article inconnu",IF(IF(E1479="",FALSE,INDEX(art_check,MATCH(E1479,art_ref,0))&lt;&gt;"OK"),"Article à corriger (feuille Articles)",IF(COUNTIFS(sj_date,A1479,sj_eq,B1479,sj_po,C1479)&gt;1,"Ligne en double (même jour, équipe et poste)",IF(OR(NOT(ISNUMBER(K1479)),N(K1479)&lt;=0,N(K1479)&gt;1440),"Temps d'ouverture invalide",IF(OR(AND(G1479&lt;&gt;"",NOT(ISNUMBER(G1479))),N(G1479)&lt;0,N(G1479)&lt;&gt;INT(N(G1479)),AND(H1479&lt;&gt;"",NOT(ISNUMBER(H1479))),N(H1479)&lt;0,N(H1479)&lt;&gt;INT(N(H1479)),AND(I1479&lt;&gt;"",NOT(ISNUMBER(I1479))),N(I1479)&lt;0,N(I1479)&lt;&gt;INT(N(I1479))),"Quantité invalide",IF(Q1479&lt;=0,"Cadence manquante (poste ou article)",IF(M1479&lt;=0,"Arrêts planifiés supérieurs au temps d'ouverture",IF(O1479&lt;0,"Arrêts supérieurs au temps requis",IF(AND(P1479&gt;0,O1479=0),"Pièces déclarées sans temps de marche",IF(AND(P1479=0,O1479&gt;0),"Aucune pièce déclarée",IF(P1479*60/Q1479&gt;O1479+0.001,"Cadence dépassée : vérifiez la cadence","OK"))))))))))))))))))</f>
        <v/>
      </c>
      <c r="AC1479">
        <f>IF(OR(AB1479="OK",AB1479="Aucune pièce déclarée",AB1479="Cadence dépassée : vérifiez la cadence"),1,0)</f>
        <v>0.0</v>
      </c>
      <c r="AD1479">
        <f>IF(AND(AC1479=1,A1479&gt;=p_from,A1479&lt;=p_to),1,0)</f>
        <v>0.0</v>
      </c>
      <c r="AE1479">
        <f>IF(AD1479=1,IF(COUNTIFS($A$6:A1479,A1479,$AD$6:AD1479,1)=1,1,0),0)</f>
        <v>0.0</v>
      </c>
      <c r="AF1479" t="str">
        <f>IF(AE1479=1,COUNTIFS(sj_first,1,sj_date,"&lt;"&amp;A1479)+1,"")</f>
        <v/>
      </c>
      <c r="AG1479" t="str">
        <f>IF(AND(AD1479=1,N(W1479)&lt;p_alert),ROUND(W1479,4),"")</f>
        <v/>
      </c>
      <c r="AH1479" t="str">
        <f>IF(AG1479="","",COUNTIF(sj_akey,"&lt;"&amp;AG1479)+COUNTIF($AG$6:AG1479,AG1479))</f>
        <v/>
      </c>
    </row>
    <row r="1480">
      <c r="A1480" s="51" t="n"/>
      <c r="B1480" s="52" t="n"/>
      <c r="C1480" s="52" t="n"/>
      <c r="D1480" s="53" t="n"/>
      <c r="E1480" s="53" t="n"/>
      <c r="F1480" s="54" t="n"/>
      <c r="G1480" s="54" t="n"/>
      <c r="H1480" s="54" t="n"/>
      <c r="I1480" s="54" t="n"/>
      <c r="J1480" s="53" t="n"/>
      <c r="K1480" s="55" t="str">
        <f>IF(COUNTA(A1480:I1480)=0,"",IF(F1480="",IFERROR(INDEX(eq_dur,MATCH(B1480,eq_code,0)),""),F1480))</f>
        <v/>
      </c>
      <c r="L1480" s="55" t="str">
        <f>IF(ISNUMBER(K1480),N(IFERROR(INDEX(eq_pause,MATCH(B1480,eq_code,0)),0))+SUMIFS(st_min,st_date,A1480,st_eq,B1480,st_po,C1480,st_type,"Planifié"),"")</f>
        <v/>
      </c>
      <c r="M1480" s="55" t="str">
        <f>IF(ISNUMBER(K1480),K1480-L1480,"")</f>
        <v/>
      </c>
      <c r="N1480" s="55" t="str">
        <f>IF(ISNUMBER(K1480),SUMIFS(st_min,st_date,A1480,st_eq,B1480,st_po,C1480,st_type,"Non planifié"),"")</f>
        <v/>
      </c>
      <c r="O1480" s="55" t="str">
        <f>IF(ISNUMBER(K1480),M1480-N1480,"")</f>
        <v/>
      </c>
      <c r="P1480" s="55" t="str">
        <f>IF(COUNTA(A1480:I1480)=0,"",N(G1480)+N(H1480)+N(I1480))</f>
        <v/>
      </c>
      <c r="Q1480" s="56" t="str">
        <f>IF(COUNTA(A1480:I1480)=0,"",IF(N(IFERROR(INDEX(art_rate,MATCH(E1480,art_ref,0)),0))&gt;0,N(IFERROR(INDEX(art_rate,MATCH(E1480,art_ref,0)),0)),N(IFERROR(INDEX(po_rate,MATCH(C1480,po_code,0)),0))))</f>
        <v/>
      </c>
      <c r="R1480" s="55" t="str">
        <f>IF(AC1480=1,P1480*60/Q1480,"")</f>
        <v/>
      </c>
      <c r="S1480" s="55" t="str">
        <f>IF(AC1480=1,N(G1480)*60/Q1480,"")</f>
        <v/>
      </c>
      <c r="T1480" s="57" t="str">
        <f>IF(AC1480=1,O1480/M1480,"")</f>
        <v/>
      </c>
      <c r="U1480" s="57" t="str">
        <f>IF(AC1480=1,IF(O1480&gt;0,R1480/O1480,""),"")</f>
        <v/>
      </c>
      <c r="V1480" s="57" t="str">
        <f>IF(AC1480=1,IF(P1480&gt;0,N(G1480)/P1480,""),"")</f>
        <v/>
      </c>
      <c r="W1480" s="57" t="str">
        <f>IF(AC1480=1,S1480/M1480,"")</f>
        <v/>
      </c>
      <c r="X1480" s="57" t="str">
        <f>IF(AC1480=1,S1480/K1480,"")</f>
        <v/>
      </c>
      <c r="Y1480" s="58" t="str">
        <f>IF(W1480="","",IF(W1480&gt;=p_target,"Bon",IF(W1480&gt;=p_alert,"À surveiller","Faible")))</f>
        <v/>
      </c>
      <c r="Z1480" s="58" t="str">
        <f>IF(W1480="","",IF(MIN(IF(T1480="",1,T1480),IF(U1480="",1,U1480),IF(V1480="",1,V1480))&gt;=1,"Aucune",IF(IF(T1480="",1,T1480)&lt;=MIN(IF(U1480="",1,U1480),IF(V1480="",1,V1480)),"Disponibilité",IF(IF(U1480="",1,U1480)&lt;=IF(V1480="",1,V1480),"Performance","Qualité"))))</f>
        <v/>
      </c>
      <c r="AA1480" s="59" t="str">
        <f>IF(AC1480=1,N(H1480)*N(IFERROR(INDEX(art_cost,MATCH(E1480,art_ref,0)),0)),"")</f>
        <v/>
      </c>
      <c r="AB1480" s="58" t="str">
        <f>IF(COUNTA(A1480:I1480)=0,"",IF(N(A1480)&lt;=0,"Date manquante ou invalide",IF(B1480="","Équipe manquante",IF(ISNA(MATCH(B1480,eq_code,0)),"Équipe inconnue",IF(INDEX(eq_check,MATCH(B1480,eq_code,0))&lt;&gt;"OK","Équipe à corriger dans Paramètres",IF(C1480="","Poste manquant",IF(ISNA(MATCH(C1480,po_code,0)),"Poste inconnu",IF(AND(E1480&lt;&gt;"",ISNA(MATCH(E1480,art_ref,0))),"Article inconnu",IF(IF(E1480="",FALSE,INDEX(art_check,MATCH(E1480,art_ref,0))&lt;&gt;"OK"),"Article à corriger (feuille Articles)",IF(COUNTIFS(sj_date,A1480,sj_eq,B1480,sj_po,C1480)&gt;1,"Ligne en double (même jour, équipe et poste)",IF(OR(NOT(ISNUMBER(K1480)),N(K1480)&lt;=0,N(K1480)&gt;1440),"Temps d'ouverture invalide",IF(OR(AND(G1480&lt;&gt;"",NOT(ISNUMBER(G1480))),N(G1480)&lt;0,N(G1480)&lt;&gt;INT(N(G1480)),AND(H1480&lt;&gt;"",NOT(ISNUMBER(H1480))),N(H1480)&lt;0,N(H1480)&lt;&gt;INT(N(H1480)),AND(I1480&lt;&gt;"",NOT(ISNUMBER(I1480))),N(I1480)&lt;0,N(I1480)&lt;&gt;INT(N(I1480))),"Quantité invalide",IF(Q1480&lt;=0,"Cadence manquante (poste ou article)",IF(M1480&lt;=0,"Arrêts planifiés supérieurs au temps d'ouverture",IF(O1480&lt;0,"Arrêts supérieurs au temps requis",IF(AND(P1480&gt;0,O1480=0),"Pièces déclarées sans temps de marche",IF(AND(P1480=0,O1480&gt;0),"Aucune pièce déclarée",IF(P1480*60/Q1480&gt;O1480+0.001,"Cadence dépassée : vérifiez la cadence","OK"))))))))))))))))))</f>
        <v/>
      </c>
      <c r="AC1480">
        <f>IF(OR(AB1480="OK",AB1480="Aucune pièce déclarée",AB1480="Cadence dépassée : vérifiez la cadence"),1,0)</f>
        <v>0.0</v>
      </c>
      <c r="AD1480">
        <f>IF(AND(AC1480=1,A1480&gt;=p_from,A1480&lt;=p_to),1,0)</f>
        <v>0.0</v>
      </c>
      <c r="AE1480">
        <f>IF(AD1480=1,IF(COUNTIFS($A$6:A1480,A1480,$AD$6:AD1480,1)=1,1,0),0)</f>
        <v>0.0</v>
      </c>
      <c r="AF1480" t="str">
        <f>IF(AE1480=1,COUNTIFS(sj_first,1,sj_date,"&lt;"&amp;A1480)+1,"")</f>
        <v/>
      </c>
      <c r="AG1480" t="str">
        <f>IF(AND(AD1480=1,N(W1480)&lt;p_alert),ROUND(W1480,4),"")</f>
        <v/>
      </c>
      <c r="AH1480" t="str">
        <f>IF(AG1480="","",COUNTIF(sj_akey,"&lt;"&amp;AG1480)+COUNTIF($AG$6:AG1480,AG1480))</f>
        <v/>
      </c>
    </row>
    <row r="1481">
      <c r="A1481" s="51" t="n"/>
      <c r="B1481" s="52" t="n"/>
      <c r="C1481" s="52" t="n"/>
      <c r="D1481" s="53" t="n"/>
      <c r="E1481" s="53" t="n"/>
      <c r="F1481" s="54" t="n"/>
      <c r="G1481" s="54" t="n"/>
      <c r="H1481" s="54" t="n"/>
      <c r="I1481" s="54" t="n"/>
      <c r="J1481" s="53" t="n"/>
      <c r="K1481" s="55" t="str">
        <f>IF(COUNTA(A1481:I1481)=0,"",IF(F1481="",IFERROR(INDEX(eq_dur,MATCH(B1481,eq_code,0)),""),F1481))</f>
        <v/>
      </c>
      <c r="L1481" s="55" t="str">
        <f>IF(ISNUMBER(K1481),N(IFERROR(INDEX(eq_pause,MATCH(B1481,eq_code,0)),0))+SUMIFS(st_min,st_date,A1481,st_eq,B1481,st_po,C1481,st_type,"Planifié"),"")</f>
        <v/>
      </c>
      <c r="M1481" s="55" t="str">
        <f>IF(ISNUMBER(K1481),K1481-L1481,"")</f>
        <v/>
      </c>
      <c r="N1481" s="55" t="str">
        <f>IF(ISNUMBER(K1481),SUMIFS(st_min,st_date,A1481,st_eq,B1481,st_po,C1481,st_type,"Non planifié"),"")</f>
        <v/>
      </c>
      <c r="O1481" s="55" t="str">
        <f>IF(ISNUMBER(K1481),M1481-N1481,"")</f>
        <v/>
      </c>
      <c r="P1481" s="55" t="str">
        <f>IF(COUNTA(A1481:I1481)=0,"",N(G1481)+N(H1481)+N(I1481))</f>
        <v/>
      </c>
      <c r="Q1481" s="56" t="str">
        <f>IF(COUNTA(A1481:I1481)=0,"",IF(N(IFERROR(INDEX(art_rate,MATCH(E1481,art_ref,0)),0))&gt;0,N(IFERROR(INDEX(art_rate,MATCH(E1481,art_ref,0)),0)),N(IFERROR(INDEX(po_rate,MATCH(C1481,po_code,0)),0))))</f>
        <v/>
      </c>
      <c r="R1481" s="55" t="str">
        <f>IF(AC1481=1,P1481*60/Q1481,"")</f>
        <v/>
      </c>
      <c r="S1481" s="55" t="str">
        <f>IF(AC1481=1,N(G1481)*60/Q1481,"")</f>
        <v/>
      </c>
      <c r="T1481" s="57" t="str">
        <f>IF(AC1481=1,O1481/M1481,"")</f>
        <v/>
      </c>
      <c r="U1481" s="57" t="str">
        <f>IF(AC1481=1,IF(O1481&gt;0,R1481/O1481,""),"")</f>
        <v/>
      </c>
      <c r="V1481" s="57" t="str">
        <f>IF(AC1481=1,IF(P1481&gt;0,N(G1481)/P1481,""),"")</f>
        <v/>
      </c>
      <c r="W1481" s="57" t="str">
        <f>IF(AC1481=1,S1481/M1481,"")</f>
        <v/>
      </c>
      <c r="X1481" s="57" t="str">
        <f>IF(AC1481=1,S1481/K1481,"")</f>
        <v/>
      </c>
      <c r="Y1481" s="58" t="str">
        <f>IF(W1481="","",IF(W1481&gt;=p_target,"Bon",IF(W1481&gt;=p_alert,"À surveiller","Faible")))</f>
        <v/>
      </c>
      <c r="Z1481" s="58" t="str">
        <f>IF(W1481="","",IF(MIN(IF(T1481="",1,T1481),IF(U1481="",1,U1481),IF(V1481="",1,V1481))&gt;=1,"Aucune",IF(IF(T1481="",1,T1481)&lt;=MIN(IF(U1481="",1,U1481),IF(V1481="",1,V1481)),"Disponibilité",IF(IF(U1481="",1,U1481)&lt;=IF(V1481="",1,V1481),"Performance","Qualité"))))</f>
        <v/>
      </c>
      <c r="AA1481" s="59" t="str">
        <f>IF(AC1481=1,N(H1481)*N(IFERROR(INDEX(art_cost,MATCH(E1481,art_ref,0)),0)),"")</f>
        <v/>
      </c>
      <c r="AB1481" s="58" t="str">
        <f>IF(COUNTA(A1481:I1481)=0,"",IF(N(A1481)&lt;=0,"Date manquante ou invalide",IF(B1481="","Équipe manquante",IF(ISNA(MATCH(B1481,eq_code,0)),"Équipe inconnue",IF(INDEX(eq_check,MATCH(B1481,eq_code,0))&lt;&gt;"OK","Équipe à corriger dans Paramètres",IF(C1481="","Poste manquant",IF(ISNA(MATCH(C1481,po_code,0)),"Poste inconnu",IF(AND(E1481&lt;&gt;"",ISNA(MATCH(E1481,art_ref,0))),"Article inconnu",IF(IF(E1481="",FALSE,INDEX(art_check,MATCH(E1481,art_ref,0))&lt;&gt;"OK"),"Article à corriger (feuille Articles)",IF(COUNTIFS(sj_date,A1481,sj_eq,B1481,sj_po,C1481)&gt;1,"Ligne en double (même jour, équipe et poste)",IF(OR(NOT(ISNUMBER(K1481)),N(K1481)&lt;=0,N(K1481)&gt;1440),"Temps d'ouverture invalide",IF(OR(AND(G1481&lt;&gt;"",NOT(ISNUMBER(G1481))),N(G1481)&lt;0,N(G1481)&lt;&gt;INT(N(G1481)),AND(H1481&lt;&gt;"",NOT(ISNUMBER(H1481))),N(H1481)&lt;0,N(H1481)&lt;&gt;INT(N(H1481)),AND(I1481&lt;&gt;"",NOT(ISNUMBER(I1481))),N(I1481)&lt;0,N(I1481)&lt;&gt;INT(N(I1481))),"Quantité invalide",IF(Q1481&lt;=0,"Cadence manquante (poste ou article)",IF(M1481&lt;=0,"Arrêts planifiés supérieurs au temps d'ouverture",IF(O1481&lt;0,"Arrêts supérieurs au temps requis",IF(AND(P1481&gt;0,O1481=0),"Pièces déclarées sans temps de marche",IF(AND(P1481=0,O1481&gt;0),"Aucune pièce déclarée",IF(P1481*60/Q1481&gt;O1481+0.001,"Cadence dépassée : vérifiez la cadence","OK"))))))))))))))))))</f>
        <v/>
      </c>
      <c r="AC1481">
        <f>IF(OR(AB1481="OK",AB1481="Aucune pièce déclarée",AB1481="Cadence dépassée : vérifiez la cadence"),1,0)</f>
        <v>0.0</v>
      </c>
      <c r="AD1481">
        <f>IF(AND(AC1481=1,A1481&gt;=p_from,A1481&lt;=p_to),1,0)</f>
        <v>0.0</v>
      </c>
      <c r="AE1481">
        <f>IF(AD1481=1,IF(COUNTIFS($A$6:A1481,A1481,$AD$6:AD1481,1)=1,1,0),0)</f>
        <v>0.0</v>
      </c>
      <c r="AF1481" t="str">
        <f>IF(AE1481=1,COUNTIFS(sj_first,1,sj_date,"&lt;"&amp;A1481)+1,"")</f>
        <v/>
      </c>
      <c r="AG1481" t="str">
        <f>IF(AND(AD1481=1,N(W1481)&lt;p_alert),ROUND(W1481,4),"")</f>
        <v/>
      </c>
      <c r="AH1481" t="str">
        <f>IF(AG1481="","",COUNTIF(sj_akey,"&lt;"&amp;AG1481)+COUNTIF($AG$6:AG1481,AG1481))</f>
        <v/>
      </c>
    </row>
    <row r="1482">
      <c r="A1482" s="51" t="n"/>
      <c r="B1482" s="52" t="n"/>
      <c r="C1482" s="52" t="n"/>
      <c r="D1482" s="53" t="n"/>
      <c r="E1482" s="53" t="n"/>
      <c r="F1482" s="54" t="n"/>
      <c r="G1482" s="54" t="n"/>
      <c r="H1482" s="54" t="n"/>
      <c r="I1482" s="54" t="n"/>
      <c r="J1482" s="53" t="n"/>
      <c r="K1482" s="55" t="str">
        <f>IF(COUNTA(A1482:I1482)=0,"",IF(F1482="",IFERROR(INDEX(eq_dur,MATCH(B1482,eq_code,0)),""),F1482))</f>
        <v/>
      </c>
      <c r="L1482" s="55" t="str">
        <f>IF(ISNUMBER(K1482),N(IFERROR(INDEX(eq_pause,MATCH(B1482,eq_code,0)),0))+SUMIFS(st_min,st_date,A1482,st_eq,B1482,st_po,C1482,st_type,"Planifié"),"")</f>
        <v/>
      </c>
      <c r="M1482" s="55" t="str">
        <f>IF(ISNUMBER(K1482),K1482-L1482,"")</f>
        <v/>
      </c>
      <c r="N1482" s="55" t="str">
        <f>IF(ISNUMBER(K1482),SUMIFS(st_min,st_date,A1482,st_eq,B1482,st_po,C1482,st_type,"Non planifié"),"")</f>
        <v/>
      </c>
      <c r="O1482" s="55" t="str">
        <f>IF(ISNUMBER(K1482),M1482-N1482,"")</f>
        <v/>
      </c>
      <c r="P1482" s="55" t="str">
        <f>IF(COUNTA(A1482:I1482)=0,"",N(G1482)+N(H1482)+N(I1482))</f>
        <v/>
      </c>
      <c r="Q1482" s="56" t="str">
        <f>IF(COUNTA(A1482:I1482)=0,"",IF(N(IFERROR(INDEX(art_rate,MATCH(E1482,art_ref,0)),0))&gt;0,N(IFERROR(INDEX(art_rate,MATCH(E1482,art_ref,0)),0)),N(IFERROR(INDEX(po_rate,MATCH(C1482,po_code,0)),0))))</f>
        <v/>
      </c>
      <c r="R1482" s="55" t="str">
        <f>IF(AC1482=1,P1482*60/Q1482,"")</f>
        <v/>
      </c>
      <c r="S1482" s="55" t="str">
        <f>IF(AC1482=1,N(G1482)*60/Q1482,"")</f>
        <v/>
      </c>
      <c r="T1482" s="57" t="str">
        <f>IF(AC1482=1,O1482/M1482,"")</f>
        <v/>
      </c>
      <c r="U1482" s="57" t="str">
        <f>IF(AC1482=1,IF(O1482&gt;0,R1482/O1482,""),"")</f>
        <v/>
      </c>
      <c r="V1482" s="57" t="str">
        <f>IF(AC1482=1,IF(P1482&gt;0,N(G1482)/P1482,""),"")</f>
        <v/>
      </c>
      <c r="W1482" s="57" t="str">
        <f>IF(AC1482=1,S1482/M1482,"")</f>
        <v/>
      </c>
      <c r="X1482" s="57" t="str">
        <f>IF(AC1482=1,S1482/K1482,"")</f>
        <v/>
      </c>
      <c r="Y1482" s="58" t="str">
        <f>IF(W1482="","",IF(W1482&gt;=p_target,"Bon",IF(W1482&gt;=p_alert,"À surveiller","Faible")))</f>
        <v/>
      </c>
      <c r="Z1482" s="58" t="str">
        <f>IF(W1482="","",IF(MIN(IF(T1482="",1,T1482),IF(U1482="",1,U1482),IF(V1482="",1,V1482))&gt;=1,"Aucune",IF(IF(T1482="",1,T1482)&lt;=MIN(IF(U1482="",1,U1482),IF(V1482="",1,V1482)),"Disponibilité",IF(IF(U1482="",1,U1482)&lt;=IF(V1482="",1,V1482),"Performance","Qualité"))))</f>
        <v/>
      </c>
      <c r="AA1482" s="59" t="str">
        <f>IF(AC1482=1,N(H1482)*N(IFERROR(INDEX(art_cost,MATCH(E1482,art_ref,0)),0)),"")</f>
        <v/>
      </c>
      <c r="AB1482" s="58" t="str">
        <f>IF(COUNTA(A1482:I1482)=0,"",IF(N(A1482)&lt;=0,"Date manquante ou invalide",IF(B1482="","Équipe manquante",IF(ISNA(MATCH(B1482,eq_code,0)),"Équipe inconnue",IF(INDEX(eq_check,MATCH(B1482,eq_code,0))&lt;&gt;"OK","Équipe à corriger dans Paramètres",IF(C1482="","Poste manquant",IF(ISNA(MATCH(C1482,po_code,0)),"Poste inconnu",IF(AND(E1482&lt;&gt;"",ISNA(MATCH(E1482,art_ref,0))),"Article inconnu",IF(IF(E1482="",FALSE,INDEX(art_check,MATCH(E1482,art_ref,0))&lt;&gt;"OK"),"Article à corriger (feuille Articles)",IF(COUNTIFS(sj_date,A1482,sj_eq,B1482,sj_po,C1482)&gt;1,"Ligne en double (même jour, équipe et poste)",IF(OR(NOT(ISNUMBER(K1482)),N(K1482)&lt;=0,N(K1482)&gt;1440),"Temps d'ouverture invalide",IF(OR(AND(G1482&lt;&gt;"",NOT(ISNUMBER(G1482))),N(G1482)&lt;0,N(G1482)&lt;&gt;INT(N(G1482)),AND(H1482&lt;&gt;"",NOT(ISNUMBER(H1482))),N(H1482)&lt;0,N(H1482)&lt;&gt;INT(N(H1482)),AND(I1482&lt;&gt;"",NOT(ISNUMBER(I1482))),N(I1482)&lt;0,N(I1482)&lt;&gt;INT(N(I1482))),"Quantité invalide",IF(Q1482&lt;=0,"Cadence manquante (poste ou article)",IF(M1482&lt;=0,"Arrêts planifiés supérieurs au temps d'ouverture",IF(O1482&lt;0,"Arrêts supérieurs au temps requis",IF(AND(P1482&gt;0,O1482=0),"Pièces déclarées sans temps de marche",IF(AND(P1482=0,O1482&gt;0),"Aucune pièce déclarée",IF(P1482*60/Q1482&gt;O1482+0.001,"Cadence dépassée : vérifiez la cadence","OK"))))))))))))))))))</f>
        <v/>
      </c>
      <c r="AC1482">
        <f>IF(OR(AB1482="OK",AB1482="Aucune pièce déclarée",AB1482="Cadence dépassée : vérifiez la cadence"),1,0)</f>
        <v>0.0</v>
      </c>
      <c r="AD1482">
        <f>IF(AND(AC1482=1,A1482&gt;=p_from,A1482&lt;=p_to),1,0)</f>
        <v>0.0</v>
      </c>
      <c r="AE1482">
        <f>IF(AD1482=1,IF(COUNTIFS($A$6:A1482,A1482,$AD$6:AD1482,1)=1,1,0),0)</f>
        <v>0.0</v>
      </c>
      <c r="AF1482" t="str">
        <f>IF(AE1482=1,COUNTIFS(sj_first,1,sj_date,"&lt;"&amp;A1482)+1,"")</f>
        <v/>
      </c>
      <c r="AG1482" t="str">
        <f>IF(AND(AD1482=1,N(W1482)&lt;p_alert),ROUND(W1482,4),"")</f>
        <v/>
      </c>
      <c r="AH1482" t="str">
        <f>IF(AG1482="","",COUNTIF(sj_akey,"&lt;"&amp;AG1482)+COUNTIF($AG$6:AG1482,AG1482))</f>
        <v/>
      </c>
    </row>
    <row r="1483">
      <c r="A1483" s="51" t="n"/>
      <c r="B1483" s="52" t="n"/>
      <c r="C1483" s="52" t="n"/>
      <c r="D1483" s="53" t="n"/>
      <c r="E1483" s="53" t="n"/>
      <c r="F1483" s="54" t="n"/>
      <c r="G1483" s="54" t="n"/>
      <c r="H1483" s="54" t="n"/>
      <c r="I1483" s="54" t="n"/>
      <c r="J1483" s="53" t="n"/>
      <c r="K1483" s="55" t="str">
        <f>IF(COUNTA(A1483:I1483)=0,"",IF(F1483="",IFERROR(INDEX(eq_dur,MATCH(B1483,eq_code,0)),""),F1483))</f>
        <v/>
      </c>
      <c r="L1483" s="55" t="str">
        <f>IF(ISNUMBER(K1483),N(IFERROR(INDEX(eq_pause,MATCH(B1483,eq_code,0)),0))+SUMIFS(st_min,st_date,A1483,st_eq,B1483,st_po,C1483,st_type,"Planifié"),"")</f>
        <v/>
      </c>
      <c r="M1483" s="55" t="str">
        <f>IF(ISNUMBER(K1483),K1483-L1483,"")</f>
        <v/>
      </c>
      <c r="N1483" s="55" t="str">
        <f>IF(ISNUMBER(K1483),SUMIFS(st_min,st_date,A1483,st_eq,B1483,st_po,C1483,st_type,"Non planifié"),"")</f>
        <v/>
      </c>
      <c r="O1483" s="55" t="str">
        <f>IF(ISNUMBER(K1483),M1483-N1483,"")</f>
        <v/>
      </c>
      <c r="P1483" s="55" t="str">
        <f>IF(COUNTA(A1483:I1483)=0,"",N(G1483)+N(H1483)+N(I1483))</f>
        <v/>
      </c>
      <c r="Q1483" s="56" t="str">
        <f>IF(COUNTA(A1483:I1483)=0,"",IF(N(IFERROR(INDEX(art_rate,MATCH(E1483,art_ref,0)),0))&gt;0,N(IFERROR(INDEX(art_rate,MATCH(E1483,art_ref,0)),0)),N(IFERROR(INDEX(po_rate,MATCH(C1483,po_code,0)),0))))</f>
        <v/>
      </c>
      <c r="R1483" s="55" t="str">
        <f>IF(AC1483=1,P1483*60/Q1483,"")</f>
        <v/>
      </c>
      <c r="S1483" s="55" t="str">
        <f>IF(AC1483=1,N(G1483)*60/Q1483,"")</f>
        <v/>
      </c>
      <c r="T1483" s="57" t="str">
        <f>IF(AC1483=1,O1483/M1483,"")</f>
        <v/>
      </c>
      <c r="U1483" s="57" t="str">
        <f>IF(AC1483=1,IF(O1483&gt;0,R1483/O1483,""),"")</f>
        <v/>
      </c>
      <c r="V1483" s="57" t="str">
        <f>IF(AC1483=1,IF(P1483&gt;0,N(G1483)/P1483,""),"")</f>
        <v/>
      </c>
      <c r="W1483" s="57" t="str">
        <f>IF(AC1483=1,S1483/M1483,"")</f>
        <v/>
      </c>
      <c r="X1483" s="57" t="str">
        <f>IF(AC1483=1,S1483/K1483,"")</f>
        <v/>
      </c>
      <c r="Y1483" s="58" t="str">
        <f>IF(W1483="","",IF(W1483&gt;=p_target,"Bon",IF(W1483&gt;=p_alert,"À surveiller","Faible")))</f>
        <v/>
      </c>
      <c r="Z1483" s="58" t="str">
        <f>IF(W1483="","",IF(MIN(IF(T1483="",1,T1483),IF(U1483="",1,U1483),IF(V1483="",1,V1483))&gt;=1,"Aucune",IF(IF(T1483="",1,T1483)&lt;=MIN(IF(U1483="",1,U1483),IF(V1483="",1,V1483)),"Disponibilité",IF(IF(U1483="",1,U1483)&lt;=IF(V1483="",1,V1483),"Performance","Qualité"))))</f>
        <v/>
      </c>
      <c r="AA1483" s="59" t="str">
        <f>IF(AC1483=1,N(H1483)*N(IFERROR(INDEX(art_cost,MATCH(E1483,art_ref,0)),0)),"")</f>
        <v/>
      </c>
      <c r="AB1483" s="58" t="str">
        <f>IF(COUNTA(A1483:I1483)=0,"",IF(N(A1483)&lt;=0,"Date manquante ou invalide",IF(B1483="","Équipe manquante",IF(ISNA(MATCH(B1483,eq_code,0)),"Équipe inconnue",IF(INDEX(eq_check,MATCH(B1483,eq_code,0))&lt;&gt;"OK","Équipe à corriger dans Paramètres",IF(C1483="","Poste manquant",IF(ISNA(MATCH(C1483,po_code,0)),"Poste inconnu",IF(AND(E1483&lt;&gt;"",ISNA(MATCH(E1483,art_ref,0))),"Article inconnu",IF(IF(E1483="",FALSE,INDEX(art_check,MATCH(E1483,art_ref,0))&lt;&gt;"OK"),"Article à corriger (feuille Articles)",IF(COUNTIFS(sj_date,A1483,sj_eq,B1483,sj_po,C1483)&gt;1,"Ligne en double (même jour, équipe et poste)",IF(OR(NOT(ISNUMBER(K1483)),N(K1483)&lt;=0,N(K1483)&gt;1440),"Temps d'ouverture invalide",IF(OR(AND(G1483&lt;&gt;"",NOT(ISNUMBER(G1483))),N(G1483)&lt;0,N(G1483)&lt;&gt;INT(N(G1483)),AND(H1483&lt;&gt;"",NOT(ISNUMBER(H1483))),N(H1483)&lt;0,N(H1483)&lt;&gt;INT(N(H1483)),AND(I1483&lt;&gt;"",NOT(ISNUMBER(I1483))),N(I1483)&lt;0,N(I1483)&lt;&gt;INT(N(I1483))),"Quantité invalide",IF(Q1483&lt;=0,"Cadence manquante (poste ou article)",IF(M1483&lt;=0,"Arrêts planifiés supérieurs au temps d'ouverture",IF(O1483&lt;0,"Arrêts supérieurs au temps requis",IF(AND(P1483&gt;0,O1483=0),"Pièces déclarées sans temps de marche",IF(AND(P1483=0,O1483&gt;0),"Aucune pièce déclarée",IF(P1483*60/Q1483&gt;O1483+0.001,"Cadence dépassée : vérifiez la cadence","OK"))))))))))))))))))</f>
        <v/>
      </c>
      <c r="AC1483">
        <f>IF(OR(AB1483="OK",AB1483="Aucune pièce déclarée",AB1483="Cadence dépassée : vérifiez la cadence"),1,0)</f>
        <v>0.0</v>
      </c>
      <c r="AD1483">
        <f>IF(AND(AC1483=1,A1483&gt;=p_from,A1483&lt;=p_to),1,0)</f>
        <v>0.0</v>
      </c>
      <c r="AE1483">
        <f>IF(AD1483=1,IF(COUNTIFS($A$6:A1483,A1483,$AD$6:AD1483,1)=1,1,0),0)</f>
        <v>0.0</v>
      </c>
      <c r="AF1483" t="str">
        <f>IF(AE1483=1,COUNTIFS(sj_first,1,sj_date,"&lt;"&amp;A1483)+1,"")</f>
        <v/>
      </c>
      <c r="AG1483" t="str">
        <f>IF(AND(AD1483=1,N(W1483)&lt;p_alert),ROUND(W1483,4),"")</f>
        <v/>
      </c>
      <c r="AH1483" t="str">
        <f>IF(AG1483="","",COUNTIF(sj_akey,"&lt;"&amp;AG1483)+COUNTIF($AG$6:AG1483,AG1483))</f>
        <v/>
      </c>
    </row>
    <row r="1484">
      <c r="A1484" s="51" t="n"/>
      <c r="B1484" s="52" t="n"/>
      <c r="C1484" s="52" t="n"/>
      <c r="D1484" s="53" t="n"/>
      <c r="E1484" s="53" t="n"/>
      <c r="F1484" s="54" t="n"/>
      <c r="G1484" s="54" t="n"/>
      <c r="H1484" s="54" t="n"/>
      <c r="I1484" s="54" t="n"/>
      <c r="J1484" s="53" t="n"/>
      <c r="K1484" s="55" t="str">
        <f>IF(COUNTA(A1484:I1484)=0,"",IF(F1484="",IFERROR(INDEX(eq_dur,MATCH(B1484,eq_code,0)),""),F1484))</f>
        <v/>
      </c>
      <c r="L1484" s="55" t="str">
        <f>IF(ISNUMBER(K1484),N(IFERROR(INDEX(eq_pause,MATCH(B1484,eq_code,0)),0))+SUMIFS(st_min,st_date,A1484,st_eq,B1484,st_po,C1484,st_type,"Planifié"),"")</f>
        <v/>
      </c>
      <c r="M1484" s="55" t="str">
        <f>IF(ISNUMBER(K1484),K1484-L1484,"")</f>
        <v/>
      </c>
      <c r="N1484" s="55" t="str">
        <f>IF(ISNUMBER(K1484),SUMIFS(st_min,st_date,A1484,st_eq,B1484,st_po,C1484,st_type,"Non planifié"),"")</f>
        <v/>
      </c>
      <c r="O1484" s="55" t="str">
        <f>IF(ISNUMBER(K1484),M1484-N1484,"")</f>
        <v/>
      </c>
      <c r="P1484" s="55" t="str">
        <f>IF(COUNTA(A1484:I1484)=0,"",N(G1484)+N(H1484)+N(I1484))</f>
        <v/>
      </c>
      <c r="Q1484" s="56" t="str">
        <f>IF(COUNTA(A1484:I1484)=0,"",IF(N(IFERROR(INDEX(art_rate,MATCH(E1484,art_ref,0)),0))&gt;0,N(IFERROR(INDEX(art_rate,MATCH(E1484,art_ref,0)),0)),N(IFERROR(INDEX(po_rate,MATCH(C1484,po_code,0)),0))))</f>
        <v/>
      </c>
      <c r="R1484" s="55" t="str">
        <f>IF(AC1484=1,P1484*60/Q1484,"")</f>
        <v/>
      </c>
      <c r="S1484" s="55" t="str">
        <f>IF(AC1484=1,N(G1484)*60/Q1484,"")</f>
        <v/>
      </c>
      <c r="T1484" s="57" t="str">
        <f>IF(AC1484=1,O1484/M1484,"")</f>
        <v/>
      </c>
      <c r="U1484" s="57" t="str">
        <f>IF(AC1484=1,IF(O1484&gt;0,R1484/O1484,""),"")</f>
        <v/>
      </c>
      <c r="V1484" s="57" t="str">
        <f>IF(AC1484=1,IF(P1484&gt;0,N(G1484)/P1484,""),"")</f>
        <v/>
      </c>
      <c r="W1484" s="57" t="str">
        <f>IF(AC1484=1,S1484/M1484,"")</f>
        <v/>
      </c>
      <c r="X1484" s="57" t="str">
        <f>IF(AC1484=1,S1484/K1484,"")</f>
        <v/>
      </c>
      <c r="Y1484" s="58" t="str">
        <f>IF(W1484="","",IF(W1484&gt;=p_target,"Bon",IF(W1484&gt;=p_alert,"À surveiller","Faible")))</f>
        <v/>
      </c>
      <c r="Z1484" s="58" t="str">
        <f>IF(W1484="","",IF(MIN(IF(T1484="",1,T1484),IF(U1484="",1,U1484),IF(V1484="",1,V1484))&gt;=1,"Aucune",IF(IF(T1484="",1,T1484)&lt;=MIN(IF(U1484="",1,U1484),IF(V1484="",1,V1484)),"Disponibilité",IF(IF(U1484="",1,U1484)&lt;=IF(V1484="",1,V1484),"Performance","Qualité"))))</f>
        <v/>
      </c>
      <c r="AA1484" s="59" t="str">
        <f>IF(AC1484=1,N(H1484)*N(IFERROR(INDEX(art_cost,MATCH(E1484,art_ref,0)),0)),"")</f>
        <v/>
      </c>
      <c r="AB1484" s="58" t="str">
        <f>IF(COUNTA(A1484:I1484)=0,"",IF(N(A1484)&lt;=0,"Date manquante ou invalide",IF(B1484="","Équipe manquante",IF(ISNA(MATCH(B1484,eq_code,0)),"Équipe inconnue",IF(INDEX(eq_check,MATCH(B1484,eq_code,0))&lt;&gt;"OK","Équipe à corriger dans Paramètres",IF(C1484="","Poste manquant",IF(ISNA(MATCH(C1484,po_code,0)),"Poste inconnu",IF(AND(E1484&lt;&gt;"",ISNA(MATCH(E1484,art_ref,0))),"Article inconnu",IF(IF(E1484="",FALSE,INDEX(art_check,MATCH(E1484,art_ref,0))&lt;&gt;"OK"),"Article à corriger (feuille Articles)",IF(COUNTIFS(sj_date,A1484,sj_eq,B1484,sj_po,C1484)&gt;1,"Ligne en double (même jour, équipe et poste)",IF(OR(NOT(ISNUMBER(K1484)),N(K1484)&lt;=0,N(K1484)&gt;1440),"Temps d'ouverture invalide",IF(OR(AND(G1484&lt;&gt;"",NOT(ISNUMBER(G1484))),N(G1484)&lt;0,N(G1484)&lt;&gt;INT(N(G1484)),AND(H1484&lt;&gt;"",NOT(ISNUMBER(H1484))),N(H1484)&lt;0,N(H1484)&lt;&gt;INT(N(H1484)),AND(I1484&lt;&gt;"",NOT(ISNUMBER(I1484))),N(I1484)&lt;0,N(I1484)&lt;&gt;INT(N(I1484))),"Quantité invalide",IF(Q1484&lt;=0,"Cadence manquante (poste ou article)",IF(M1484&lt;=0,"Arrêts planifiés supérieurs au temps d'ouverture",IF(O1484&lt;0,"Arrêts supérieurs au temps requis",IF(AND(P1484&gt;0,O1484=0),"Pièces déclarées sans temps de marche",IF(AND(P1484=0,O1484&gt;0),"Aucune pièce déclarée",IF(P1484*60/Q1484&gt;O1484+0.001,"Cadence dépassée : vérifiez la cadence","OK"))))))))))))))))))</f>
        <v/>
      </c>
      <c r="AC1484">
        <f>IF(OR(AB1484="OK",AB1484="Aucune pièce déclarée",AB1484="Cadence dépassée : vérifiez la cadence"),1,0)</f>
        <v>0.0</v>
      </c>
      <c r="AD1484">
        <f>IF(AND(AC1484=1,A1484&gt;=p_from,A1484&lt;=p_to),1,0)</f>
        <v>0.0</v>
      </c>
      <c r="AE1484">
        <f>IF(AD1484=1,IF(COUNTIFS($A$6:A1484,A1484,$AD$6:AD1484,1)=1,1,0),0)</f>
        <v>0.0</v>
      </c>
      <c r="AF1484" t="str">
        <f>IF(AE1484=1,COUNTIFS(sj_first,1,sj_date,"&lt;"&amp;A1484)+1,"")</f>
        <v/>
      </c>
      <c r="AG1484" t="str">
        <f>IF(AND(AD1484=1,N(W1484)&lt;p_alert),ROUND(W1484,4),"")</f>
        <v/>
      </c>
      <c r="AH1484" t="str">
        <f>IF(AG1484="","",COUNTIF(sj_akey,"&lt;"&amp;AG1484)+COUNTIF($AG$6:AG1484,AG1484))</f>
        <v/>
      </c>
    </row>
    <row r="1485">
      <c r="A1485" s="51" t="n"/>
      <c r="B1485" s="52" t="n"/>
      <c r="C1485" s="52" t="n"/>
      <c r="D1485" s="53" t="n"/>
      <c r="E1485" s="53" t="n"/>
      <c r="F1485" s="54" t="n"/>
      <c r="G1485" s="54" t="n"/>
      <c r="H1485" s="54" t="n"/>
      <c r="I1485" s="54" t="n"/>
      <c r="J1485" s="53" t="n"/>
      <c r="K1485" s="55" t="str">
        <f>IF(COUNTA(A1485:I1485)=0,"",IF(F1485="",IFERROR(INDEX(eq_dur,MATCH(B1485,eq_code,0)),""),F1485))</f>
        <v/>
      </c>
      <c r="L1485" s="55" t="str">
        <f>IF(ISNUMBER(K1485),N(IFERROR(INDEX(eq_pause,MATCH(B1485,eq_code,0)),0))+SUMIFS(st_min,st_date,A1485,st_eq,B1485,st_po,C1485,st_type,"Planifié"),"")</f>
        <v/>
      </c>
      <c r="M1485" s="55" t="str">
        <f>IF(ISNUMBER(K1485),K1485-L1485,"")</f>
        <v/>
      </c>
      <c r="N1485" s="55" t="str">
        <f>IF(ISNUMBER(K1485),SUMIFS(st_min,st_date,A1485,st_eq,B1485,st_po,C1485,st_type,"Non planifié"),"")</f>
        <v/>
      </c>
      <c r="O1485" s="55" t="str">
        <f>IF(ISNUMBER(K1485),M1485-N1485,"")</f>
        <v/>
      </c>
      <c r="P1485" s="55" t="str">
        <f>IF(COUNTA(A1485:I1485)=0,"",N(G1485)+N(H1485)+N(I1485))</f>
        <v/>
      </c>
      <c r="Q1485" s="56" t="str">
        <f>IF(COUNTA(A1485:I1485)=0,"",IF(N(IFERROR(INDEX(art_rate,MATCH(E1485,art_ref,0)),0))&gt;0,N(IFERROR(INDEX(art_rate,MATCH(E1485,art_ref,0)),0)),N(IFERROR(INDEX(po_rate,MATCH(C1485,po_code,0)),0))))</f>
        <v/>
      </c>
      <c r="R1485" s="55" t="str">
        <f>IF(AC1485=1,P1485*60/Q1485,"")</f>
        <v/>
      </c>
      <c r="S1485" s="55" t="str">
        <f>IF(AC1485=1,N(G1485)*60/Q1485,"")</f>
        <v/>
      </c>
      <c r="T1485" s="57" t="str">
        <f>IF(AC1485=1,O1485/M1485,"")</f>
        <v/>
      </c>
      <c r="U1485" s="57" t="str">
        <f>IF(AC1485=1,IF(O1485&gt;0,R1485/O1485,""),"")</f>
        <v/>
      </c>
      <c r="V1485" s="57" t="str">
        <f>IF(AC1485=1,IF(P1485&gt;0,N(G1485)/P1485,""),"")</f>
        <v/>
      </c>
      <c r="W1485" s="57" t="str">
        <f>IF(AC1485=1,S1485/M1485,"")</f>
        <v/>
      </c>
      <c r="X1485" s="57" t="str">
        <f>IF(AC1485=1,S1485/K1485,"")</f>
        <v/>
      </c>
      <c r="Y1485" s="58" t="str">
        <f>IF(W1485="","",IF(W1485&gt;=p_target,"Bon",IF(W1485&gt;=p_alert,"À surveiller","Faible")))</f>
        <v/>
      </c>
      <c r="Z1485" s="58" t="str">
        <f>IF(W1485="","",IF(MIN(IF(T1485="",1,T1485),IF(U1485="",1,U1485),IF(V1485="",1,V1485))&gt;=1,"Aucune",IF(IF(T1485="",1,T1485)&lt;=MIN(IF(U1485="",1,U1485),IF(V1485="",1,V1485)),"Disponibilité",IF(IF(U1485="",1,U1485)&lt;=IF(V1485="",1,V1485),"Performance","Qualité"))))</f>
        <v/>
      </c>
      <c r="AA1485" s="59" t="str">
        <f>IF(AC1485=1,N(H1485)*N(IFERROR(INDEX(art_cost,MATCH(E1485,art_ref,0)),0)),"")</f>
        <v/>
      </c>
      <c r="AB1485" s="58" t="str">
        <f>IF(COUNTA(A1485:I1485)=0,"",IF(N(A1485)&lt;=0,"Date manquante ou invalide",IF(B1485="","Équipe manquante",IF(ISNA(MATCH(B1485,eq_code,0)),"Équipe inconnue",IF(INDEX(eq_check,MATCH(B1485,eq_code,0))&lt;&gt;"OK","Équipe à corriger dans Paramètres",IF(C1485="","Poste manquant",IF(ISNA(MATCH(C1485,po_code,0)),"Poste inconnu",IF(AND(E1485&lt;&gt;"",ISNA(MATCH(E1485,art_ref,0))),"Article inconnu",IF(IF(E1485="",FALSE,INDEX(art_check,MATCH(E1485,art_ref,0))&lt;&gt;"OK"),"Article à corriger (feuille Articles)",IF(COUNTIFS(sj_date,A1485,sj_eq,B1485,sj_po,C1485)&gt;1,"Ligne en double (même jour, équipe et poste)",IF(OR(NOT(ISNUMBER(K1485)),N(K1485)&lt;=0,N(K1485)&gt;1440),"Temps d'ouverture invalide",IF(OR(AND(G1485&lt;&gt;"",NOT(ISNUMBER(G1485))),N(G1485)&lt;0,N(G1485)&lt;&gt;INT(N(G1485)),AND(H1485&lt;&gt;"",NOT(ISNUMBER(H1485))),N(H1485)&lt;0,N(H1485)&lt;&gt;INT(N(H1485)),AND(I1485&lt;&gt;"",NOT(ISNUMBER(I1485))),N(I1485)&lt;0,N(I1485)&lt;&gt;INT(N(I1485))),"Quantité invalide",IF(Q1485&lt;=0,"Cadence manquante (poste ou article)",IF(M1485&lt;=0,"Arrêts planifiés supérieurs au temps d'ouverture",IF(O1485&lt;0,"Arrêts supérieurs au temps requis",IF(AND(P1485&gt;0,O1485=0),"Pièces déclarées sans temps de marche",IF(AND(P1485=0,O1485&gt;0),"Aucune pièce déclarée",IF(P1485*60/Q1485&gt;O1485+0.001,"Cadence dépassée : vérifiez la cadence","OK"))))))))))))))))))</f>
        <v/>
      </c>
      <c r="AC1485">
        <f>IF(OR(AB1485="OK",AB1485="Aucune pièce déclarée",AB1485="Cadence dépassée : vérifiez la cadence"),1,0)</f>
        <v>0.0</v>
      </c>
      <c r="AD1485">
        <f>IF(AND(AC1485=1,A1485&gt;=p_from,A1485&lt;=p_to),1,0)</f>
        <v>0.0</v>
      </c>
      <c r="AE1485">
        <f>IF(AD1485=1,IF(COUNTIFS($A$6:A1485,A1485,$AD$6:AD1485,1)=1,1,0),0)</f>
        <v>0.0</v>
      </c>
      <c r="AF1485" t="str">
        <f>IF(AE1485=1,COUNTIFS(sj_first,1,sj_date,"&lt;"&amp;A1485)+1,"")</f>
        <v/>
      </c>
      <c r="AG1485" t="str">
        <f>IF(AND(AD1485=1,N(W1485)&lt;p_alert),ROUND(W1485,4),"")</f>
        <v/>
      </c>
      <c r="AH1485" t="str">
        <f>IF(AG1485="","",COUNTIF(sj_akey,"&lt;"&amp;AG1485)+COUNTIF($AG$6:AG1485,AG1485))</f>
        <v/>
      </c>
    </row>
    <row r="1486">
      <c r="A1486" s="51" t="n"/>
      <c r="B1486" s="52" t="n"/>
      <c r="C1486" s="52" t="n"/>
      <c r="D1486" s="53" t="n"/>
      <c r="E1486" s="53" t="n"/>
      <c r="F1486" s="54" t="n"/>
      <c r="G1486" s="54" t="n"/>
      <c r="H1486" s="54" t="n"/>
      <c r="I1486" s="54" t="n"/>
      <c r="J1486" s="53" t="n"/>
      <c r="K1486" s="55" t="str">
        <f>IF(COUNTA(A1486:I1486)=0,"",IF(F1486="",IFERROR(INDEX(eq_dur,MATCH(B1486,eq_code,0)),""),F1486))</f>
        <v/>
      </c>
      <c r="L1486" s="55" t="str">
        <f>IF(ISNUMBER(K1486),N(IFERROR(INDEX(eq_pause,MATCH(B1486,eq_code,0)),0))+SUMIFS(st_min,st_date,A1486,st_eq,B1486,st_po,C1486,st_type,"Planifié"),"")</f>
        <v/>
      </c>
      <c r="M1486" s="55" t="str">
        <f>IF(ISNUMBER(K1486),K1486-L1486,"")</f>
        <v/>
      </c>
      <c r="N1486" s="55" t="str">
        <f>IF(ISNUMBER(K1486),SUMIFS(st_min,st_date,A1486,st_eq,B1486,st_po,C1486,st_type,"Non planifié"),"")</f>
        <v/>
      </c>
      <c r="O1486" s="55" t="str">
        <f>IF(ISNUMBER(K1486),M1486-N1486,"")</f>
        <v/>
      </c>
      <c r="P1486" s="55" t="str">
        <f>IF(COUNTA(A1486:I1486)=0,"",N(G1486)+N(H1486)+N(I1486))</f>
        <v/>
      </c>
      <c r="Q1486" s="56" t="str">
        <f>IF(COUNTA(A1486:I1486)=0,"",IF(N(IFERROR(INDEX(art_rate,MATCH(E1486,art_ref,0)),0))&gt;0,N(IFERROR(INDEX(art_rate,MATCH(E1486,art_ref,0)),0)),N(IFERROR(INDEX(po_rate,MATCH(C1486,po_code,0)),0))))</f>
        <v/>
      </c>
      <c r="R1486" s="55" t="str">
        <f>IF(AC1486=1,P1486*60/Q1486,"")</f>
        <v/>
      </c>
      <c r="S1486" s="55" t="str">
        <f>IF(AC1486=1,N(G1486)*60/Q1486,"")</f>
        <v/>
      </c>
      <c r="T1486" s="57" t="str">
        <f>IF(AC1486=1,O1486/M1486,"")</f>
        <v/>
      </c>
      <c r="U1486" s="57" t="str">
        <f>IF(AC1486=1,IF(O1486&gt;0,R1486/O1486,""),"")</f>
        <v/>
      </c>
      <c r="V1486" s="57" t="str">
        <f>IF(AC1486=1,IF(P1486&gt;0,N(G1486)/P1486,""),"")</f>
        <v/>
      </c>
      <c r="W1486" s="57" t="str">
        <f>IF(AC1486=1,S1486/M1486,"")</f>
        <v/>
      </c>
      <c r="X1486" s="57" t="str">
        <f>IF(AC1486=1,S1486/K1486,"")</f>
        <v/>
      </c>
      <c r="Y1486" s="58" t="str">
        <f>IF(W1486="","",IF(W1486&gt;=p_target,"Bon",IF(W1486&gt;=p_alert,"À surveiller","Faible")))</f>
        <v/>
      </c>
      <c r="Z1486" s="58" t="str">
        <f>IF(W1486="","",IF(MIN(IF(T1486="",1,T1486),IF(U1486="",1,U1486),IF(V1486="",1,V1486))&gt;=1,"Aucune",IF(IF(T1486="",1,T1486)&lt;=MIN(IF(U1486="",1,U1486),IF(V1486="",1,V1486)),"Disponibilité",IF(IF(U1486="",1,U1486)&lt;=IF(V1486="",1,V1486),"Performance","Qualité"))))</f>
        <v/>
      </c>
      <c r="AA1486" s="59" t="str">
        <f>IF(AC1486=1,N(H1486)*N(IFERROR(INDEX(art_cost,MATCH(E1486,art_ref,0)),0)),"")</f>
        <v/>
      </c>
      <c r="AB1486" s="58" t="str">
        <f>IF(COUNTA(A1486:I1486)=0,"",IF(N(A1486)&lt;=0,"Date manquante ou invalide",IF(B1486="","Équipe manquante",IF(ISNA(MATCH(B1486,eq_code,0)),"Équipe inconnue",IF(INDEX(eq_check,MATCH(B1486,eq_code,0))&lt;&gt;"OK","Équipe à corriger dans Paramètres",IF(C1486="","Poste manquant",IF(ISNA(MATCH(C1486,po_code,0)),"Poste inconnu",IF(AND(E1486&lt;&gt;"",ISNA(MATCH(E1486,art_ref,0))),"Article inconnu",IF(IF(E1486="",FALSE,INDEX(art_check,MATCH(E1486,art_ref,0))&lt;&gt;"OK"),"Article à corriger (feuille Articles)",IF(COUNTIFS(sj_date,A1486,sj_eq,B1486,sj_po,C1486)&gt;1,"Ligne en double (même jour, équipe et poste)",IF(OR(NOT(ISNUMBER(K1486)),N(K1486)&lt;=0,N(K1486)&gt;1440),"Temps d'ouverture invalide",IF(OR(AND(G1486&lt;&gt;"",NOT(ISNUMBER(G1486))),N(G1486)&lt;0,N(G1486)&lt;&gt;INT(N(G1486)),AND(H1486&lt;&gt;"",NOT(ISNUMBER(H1486))),N(H1486)&lt;0,N(H1486)&lt;&gt;INT(N(H1486)),AND(I1486&lt;&gt;"",NOT(ISNUMBER(I1486))),N(I1486)&lt;0,N(I1486)&lt;&gt;INT(N(I1486))),"Quantité invalide",IF(Q1486&lt;=0,"Cadence manquante (poste ou article)",IF(M1486&lt;=0,"Arrêts planifiés supérieurs au temps d'ouverture",IF(O1486&lt;0,"Arrêts supérieurs au temps requis",IF(AND(P1486&gt;0,O1486=0),"Pièces déclarées sans temps de marche",IF(AND(P1486=0,O1486&gt;0),"Aucune pièce déclarée",IF(P1486*60/Q1486&gt;O1486+0.001,"Cadence dépassée : vérifiez la cadence","OK"))))))))))))))))))</f>
        <v/>
      </c>
      <c r="AC1486">
        <f>IF(OR(AB1486="OK",AB1486="Aucune pièce déclarée",AB1486="Cadence dépassée : vérifiez la cadence"),1,0)</f>
        <v>0.0</v>
      </c>
      <c r="AD1486">
        <f>IF(AND(AC1486=1,A1486&gt;=p_from,A1486&lt;=p_to),1,0)</f>
        <v>0.0</v>
      </c>
      <c r="AE1486">
        <f>IF(AD1486=1,IF(COUNTIFS($A$6:A1486,A1486,$AD$6:AD1486,1)=1,1,0),0)</f>
        <v>0.0</v>
      </c>
      <c r="AF1486" t="str">
        <f>IF(AE1486=1,COUNTIFS(sj_first,1,sj_date,"&lt;"&amp;A1486)+1,"")</f>
        <v/>
      </c>
      <c r="AG1486" t="str">
        <f>IF(AND(AD1486=1,N(W1486)&lt;p_alert),ROUND(W1486,4),"")</f>
        <v/>
      </c>
      <c r="AH1486" t="str">
        <f>IF(AG1486="","",COUNTIF(sj_akey,"&lt;"&amp;AG1486)+COUNTIF($AG$6:AG1486,AG1486))</f>
        <v/>
      </c>
    </row>
    <row r="1487">
      <c r="A1487" s="51" t="n"/>
      <c r="B1487" s="52" t="n"/>
      <c r="C1487" s="52" t="n"/>
      <c r="D1487" s="53" t="n"/>
      <c r="E1487" s="53" t="n"/>
      <c r="F1487" s="54" t="n"/>
      <c r="G1487" s="54" t="n"/>
      <c r="H1487" s="54" t="n"/>
      <c r="I1487" s="54" t="n"/>
      <c r="J1487" s="53" t="n"/>
      <c r="K1487" s="55" t="str">
        <f>IF(COUNTA(A1487:I1487)=0,"",IF(F1487="",IFERROR(INDEX(eq_dur,MATCH(B1487,eq_code,0)),""),F1487))</f>
        <v/>
      </c>
      <c r="L1487" s="55" t="str">
        <f>IF(ISNUMBER(K1487),N(IFERROR(INDEX(eq_pause,MATCH(B1487,eq_code,0)),0))+SUMIFS(st_min,st_date,A1487,st_eq,B1487,st_po,C1487,st_type,"Planifié"),"")</f>
        <v/>
      </c>
      <c r="M1487" s="55" t="str">
        <f>IF(ISNUMBER(K1487),K1487-L1487,"")</f>
        <v/>
      </c>
      <c r="N1487" s="55" t="str">
        <f>IF(ISNUMBER(K1487),SUMIFS(st_min,st_date,A1487,st_eq,B1487,st_po,C1487,st_type,"Non planifié"),"")</f>
        <v/>
      </c>
      <c r="O1487" s="55" t="str">
        <f>IF(ISNUMBER(K1487),M1487-N1487,"")</f>
        <v/>
      </c>
      <c r="P1487" s="55" t="str">
        <f>IF(COUNTA(A1487:I1487)=0,"",N(G1487)+N(H1487)+N(I1487))</f>
        <v/>
      </c>
      <c r="Q1487" s="56" t="str">
        <f>IF(COUNTA(A1487:I1487)=0,"",IF(N(IFERROR(INDEX(art_rate,MATCH(E1487,art_ref,0)),0))&gt;0,N(IFERROR(INDEX(art_rate,MATCH(E1487,art_ref,0)),0)),N(IFERROR(INDEX(po_rate,MATCH(C1487,po_code,0)),0))))</f>
        <v/>
      </c>
      <c r="R1487" s="55" t="str">
        <f>IF(AC1487=1,P1487*60/Q1487,"")</f>
        <v/>
      </c>
      <c r="S1487" s="55" t="str">
        <f>IF(AC1487=1,N(G1487)*60/Q1487,"")</f>
        <v/>
      </c>
      <c r="T1487" s="57" t="str">
        <f>IF(AC1487=1,O1487/M1487,"")</f>
        <v/>
      </c>
      <c r="U1487" s="57" t="str">
        <f>IF(AC1487=1,IF(O1487&gt;0,R1487/O1487,""),"")</f>
        <v/>
      </c>
      <c r="V1487" s="57" t="str">
        <f>IF(AC1487=1,IF(P1487&gt;0,N(G1487)/P1487,""),"")</f>
        <v/>
      </c>
      <c r="W1487" s="57" t="str">
        <f>IF(AC1487=1,S1487/M1487,"")</f>
        <v/>
      </c>
      <c r="X1487" s="57" t="str">
        <f>IF(AC1487=1,S1487/K1487,"")</f>
        <v/>
      </c>
      <c r="Y1487" s="58" t="str">
        <f>IF(W1487="","",IF(W1487&gt;=p_target,"Bon",IF(W1487&gt;=p_alert,"À surveiller","Faible")))</f>
        <v/>
      </c>
      <c r="Z1487" s="58" t="str">
        <f>IF(W1487="","",IF(MIN(IF(T1487="",1,T1487),IF(U1487="",1,U1487),IF(V1487="",1,V1487))&gt;=1,"Aucune",IF(IF(T1487="",1,T1487)&lt;=MIN(IF(U1487="",1,U1487),IF(V1487="",1,V1487)),"Disponibilité",IF(IF(U1487="",1,U1487)&lt;=IF(V1487="",1,V1487),"Performance","Qualité"))))</f>
        <v/>
      </c>
      <c r="AA1487" s="59" t="str">
        <f>IF(AC1487=1,N(H1487)*N(IFERROR(INDEX(art_cost,MATCH(E1487,art_ref,0)),0)),"")</f>
        <v/>
      </c>
      <c r="AB1487" s="58" t="str">
        <f>IF(COUNTA(A1487:I1487)=0,"",IF(N(A1487)&lt;=0,"Date manquante ou invalide",IF(B1487="","Équipe manquante",IF(ISNA(MATCH(B1487,eq_code,0)),"Équipe inconnue",IF(INDEX(eq_check,MATCH(B1487,eq_code,0))&lt;&gt;"OK","Équipe à corriger dans Paramètres",IF(C1487="","Poste manquant",IF(ISNA(MATCH(C1487,po_code,0)),"Poste inconnu",IF(AND(E1487&lt;&gt;"",ISNA(MATCH(E1487,art_ref,0))),"Article inconnu",IF(IF(E1487="",FALSE,INDEX(art_check,MATCH(E1487,art_ref,0))&lt;&gt;"OK"),"Article à corriger (feuille Articles)",IF(COUNTIFS(sj_date,A1487,sj_eq,B1487,sj_po,C1487)&gt;1,"Ligne en double (même jour, équipe et poste)",IF(OR(NOT(ISNUMBER(K1487)),N(K1487)&lt;=0,N(K1487)&gt;1440),"Temps d'ouverture invalide",IF(OR(AND(G1487&lt;&gt;"",NOT(ISNUMBER(G1487))),N(G1487)&lt;0,N(G1487)&lt;&gt;INT(N(G1487)),AND(H1487&lt;&gt;"",NOT(ISNUMBER(H1487))),N(H1487)&lt;0,N(H1487)&lt;&gt;INT(N(H1487)),AND(I1487&lt;&gt;"",NOT(ISNUMBER(I1487))),N(I1487)&lt;0,N(I1487)&lt;&gt;INT(N(I1487))),"Quantité invalide",IF(Q1487&lt;=0,"Cadence manquante (poste ou article)",IF(M1487&lt;=0,"Arrêts planifiés supérieurs au temps d'ouverture",IF(O1487&lt;0,"Arrêts supérieurs au temps requis",IF(AND(P1487&gt;0,O1487=0),"Pièces déclarées sans temps de marche",IF(AND(P1487=0,O1487&gt;0),"Aucune pièce déclarée",IF(P1487*60/Q1487&gt;O1487+0.001,"Cadence dépassée : vérifiez la cadence","OK"))))))))))))))))))</f>
        <v/>
      </c>
      <c r="AC1487">
        <f>IF(OR(AB1487="OK",AB1487="Aucune pièce déclarée",AB1487="Cadence dépassée : vérifiez la cadence"),1,0)</f>
        <v>0.0</v>
      </c>
      <c r="AD1487">
        <f>IF(AND(AC1487=1,A1487&gt;=p_from,A1487&lt;=p_to),1,0)</f>
        <v>0.0</v>
      </c>
      <c r="AE1487">
        <f>IF(AD1487=1,IF(COUNTIFS($A$6:A1487,A1487,$AD$6:AD1487,1)=1,1,0),0)</f>
        <v>0.0</v>
      </c>
      <c r="AF1487" t="str">
        <f>IF(AE1487=1,COUNTIFS(sj_first,1,sj_date,"&lt;"&amp;A1487)+1,"")</f>
        <v/>
      </c>
      <c r="AG1487" t="str">
        <f>IF(AND(AD1487=1,N(W1487)&lt;p_alert),ROUND(W1487,4),"")</f>
        <v/>
      </c>
      <c r="AH1487" t="str">
        <f>IF(AG1487="","",COUNTIF(sj_akey,"&lt;"&amp;AG1487)+COUNTIF($AG$6:AG1487,AG1487))</f>
        <v/>
      </c>
    </row>
    <row r="1488">
      <c r="A1488" s="51" t="n"/>
      <c r="B1488" s="52" t="n"/>
      <c r="C1488" s="52" t="n"/>
      <c r="D1488" s="53" t="n"/>
      <c r="E1488" s="53" t="n"/>
      <c r="F1488" s="54" t="n"/>
      <c r="G1488" s="54" t="n"/>
      <c r="H1488" s="54" t="n"/>
      <c r="I1488" s="54" t="n"/>
      <c r="J1488" s="53" t="n"/>
      <c r="K1488" s="55" t="str">
        <f>IF(COUNTA(A1488:I1488)=0,"",IF(F1488="",IFERROR(INDEX(eq_dur,MATCH(B1488,eq_code,0)),""),F1488))</f>
        <v/>
      </c>
      <c r="L1488" s="55" t="str">
        <f>IF(ISNUMBER(K1488),N(IFERROR(INDEX(eq_pause,MATCH(B1488,eq_code,0)),0))+SUMIFS(st_min,st_date,A1488,st_eq,B1488,st_po,C1488,st_type,"Planifié"),"")</f>
        <v/>
      </c>
      <c r="M1488" s="55" t="str">
        <f>IF(ISNUMBER(K1488),K1488-L1488,"")</f>
        <v/>
      </c>
      <c r="N1488" s="55" t="str">
        <f>IF(ISNUMBER(K1488),SUMIFS(st_min,st_date,A1488,st_eq,B1488,st_po,C1488,st_type,"Non planifié"),"")</f>
        <v/>
      </c>
      <c r="O1488" s="55" t="str">
        <f>IF(ISNUMBER(K1488),M1488-N1488,"")</f>
        <v/>
      </c>
      <c r="P1488" s="55" t="str">
        <f>IF(COUNTA(A1488:I1488)=0,"",N(G1488)+N(H1488)+N(I1488))</f>
        <v/>
      </c>
      <c r="Q1488" s="56" t="str">
        <f>IF(COUNTA(A1488:I1488)=0,"",IF(N(IFERROR(INDEX(art_rate,MATCH(E1488,art_ref,0)),0))&gt;0,N(IFERROR(INDEX(art_rate,MATCH(E1488,art_ref,0)),0)),N(IFERROR(INDEX(po_rate,MATCH(C1488,po_code,0)),0))))</f>
        <v/>
      </c>
      <c r="R1488" s="55" t="str">
        <f>IF(AC1488=1,P1488*60/Q1488,"")</f>
        <v/>
      </c>
      <c r="S1488" s="55" t="str">
        <f>IF(AC1488=1,N(G1488)*60/Q1488,"")</f>
        <v/>
      </c>
      <c r="T1488" s="57" t="str">
        <f>IF(AC1488=1,O1488/M1488,"")</f>
        <v/>
      </c>
      <c r="U1488" s="57" t="str">
        <f>IF(AC1488=1,IF(O1488&gt;0,R1488/O1488,""),"")</f>
        <v/>
      </c>
      <c r="V1488" s="57" t="str">
        <f>IF(AC1488=1,IF(P1488&gt;0,N(G1488)/P1488,""),"")</f>
        <v/>
      </c>
      <c r="W1488" s="57" t="str">
        <f>IF(AC1488=1,S1488/M1488,"")</f>
        <v/>
      </c>
      <c r="X1488" s="57" t="str">
        <f>IF(AC1488=1,S1488/K1488,"")</f>
        <v/>
      </c>
      <c r="Y1488" s="58" t="str">
        <f>IF(W1488="","",IF(W1488&gt;=p_target,"Bon",IF(W1488&gt;=p_alert,"À surveiller","Faible")))</f>
        <v/>
      </c>
      <c r="Z1488" s="58" t="str">
        <f>IF(W1488="","",IF(MIN(IF(T1488="",1,T1488),IF(U1488="",1,U1488),IF(V1488="",1,V1488))&gt;=1,"Aucune",IF(IF(T1488="",1,T1488)&lt;=MIN(IF(U1488="",1,U1488),IF(V1488="",1,V1488)),"Disponibilité",IF(IF(U1488="",1,U1488)&lt;=IF(V1488="",1,V1488),"Performance","Qualité"))))</f>
        <v/>
      </c>
      <c r="AA1488" s="59" t="str">
        <f>IF(AC1488=1,N(H1488)*N(IFERROR(INDEX(art_cost,MATCH(E1488,art_ref,0)),0)),"")</f>
        <v/>
      </c>
      <c r="AB1488" s="58" t="str">
        <f>IF(COUNTA(A1488:I1488)=0,"",IF(N(A1488)&lt;=0,"Date manquante ou invalide",IF(B1488="","Équipe manquante",IF(ISNA(MATCH(B1488,eq_code,0)),"Équipe inconnue",IF(INDEX(eq_check,MATCH(B1488,eq_code,0))&lt;&gt;"OK","Équipe à corriger dans Paramètres",IF(C1488="","Poste manquant",IF(ISNA(MATCH(C1488,po_code,0)),"Poste inconnu",IF(AND(E1488&lt;&gt;"",ISNA(MATCH(E1488,art_ref,0))),"Article inconnu",IF(IF(E1488="",FALSE,INDEX(art_check,MATCH(E1488,art_ref,0))&lt;&gt;"OK"),"Article à corriger (feuille Articles)",IF(COUNTIFS(sj_date,A1488,sj_eq,B1488,sj_po,C1488)&gt;1,"Ligne en double (même jour, équipe et poste)",IF(OR(NOT(ISNUMBER(K1488)),N(K1488)&lt;=0,N(K1488)&gt;1440),"Temps d'ouverture invalide",IF(OR(AND(G1488&lt;&gt;"",NOT(ISNUMBER(G1488))),N(G1488)&lt;0,N(G1488)&lt;&gt;INT(N(G1488)),AND(H1488&lt;&gt;"",NOT(ISNUMBER(H1488))),N(H1488)&lt;0,N(H1488)&lt;&gt;INT(N(H1488)),AND(I1488&lt;&gt;"",NOT(ISNUMBER(I1488))),N(I1488)&lt;0,N(I1488)&lt;&gt;INT(N(I1488))),"Quantité invalide",IF(Q1488&lt;=0,"Cadence manquante (poste ou article)",IF(M1488&lt;=0,"Arrêts planifiés supérieurs au temps d'ouverture",IF(O1488&lt;0,"Arrêts supérieurs au temps requis",IF(AND(P1488&gt;0,O1488=0),"Pièces déclarées sans temps de marche",IF(AND(P1488=0,O1488&gt;0),"Aucune pièce déclarée",IF(P1488*60/Q1488&gt;O1488+0.001,"Cadence dépassée : vérifiez la cadence","OK"))))))))))))))))))</f>
        <v/>
      </c>
      <c r="AC1488">
        <f>IF(OR(AB1488="OK",AB1488="Aucune pièce déclarée",AB1488="Cadence dépassée : vérifiez la cadence"),1,0)</f>
        <v>0.0</v>
      </c>
      <c r="AD1488">
        <f>IF(AND(AC1488=1,A1488&gt;=p_from,A1488&lt;=p_to),1,0)</f>
        <v>0.0</v>
      </c>
      <c r="AE1488">
        <f>IF(AD1488=1,IF(COUNTIFS($A$6:A1488,A1488,$AD$6:AD1488,1)=1,1,0),0)</f>
        <v>0.0</v>
      </c>
      <c r="AF1488" t="str">
        <f>IF(AE1488=1,COUNTIFS(sj_first,1,sj_date,"&lt;"&amp;A1488)+1,"")</f>
        <v/>
      </c>
      <c r="AG1488" t="str">
        <f>IF(AND(AD1488=1,N(W1488)&lt;p_alert),ROUND(W1488,4),"")</f>
        <v/>
      </c>
      <c r="AH1488" t="str">
        <f>IF(AG1488="","",COUNTIF(sj_akey,"&lt;"&amp;AG1488)+COUNTIF($AG$6:AG1488,AG1488))</f>
        <v/>
      </c>
    </row>
    <row r="1489">
      <c r="A1489" s="51" t="n"/>
      <c r="B1489" s="52" t="n"/>
      <c r="C1489" s="52" t="n"/>
      <c r="D1489" s="53" t="n"/>
      <c r="E1489" s="53" t="n"/>
      <c r="F1489" s="54" t="n"/>
      <c r="G1489" s="54" t="n"/>
      <c r="H1489" s="54" t="n"/>
      <c r="I1489" s="54" t="n"/>
      <c r="J1489" s="53" t="n"/>
      <c r="K1489" s="55" t="str">
        <f>IF(COUNTA(A1489:I1489)=0,"",IF(F1489="",IFERROR(INDEX(eq_dur,MATCH(B1489,eq_code,0)),""),F1489))</f>
        <v/>
      </c>
      <c r="L1489" s="55" t="str">
        <f>IF(ISNUMBER(K1489),N(IFERROR(INDEX(eq_pause,MATCH(B1489,eq_code,0)),0))+SUMIFS(st_min,st_date,A1489,st_eq,B1489,st_po,C1489,st_type,"Planifié"),"")</f>
        <v/>
      </c>
      <c r="M1489" s="55" t="str">
        <f>IF(ISNUMBER(K1489),K1489-L1489,"")</f>
        <v/>
      </c>
      <c r="N1489" s="55" t="str">
        <f>IF(ISNUMBER(K1489),SUMIFS(st_min,st_date,A1489,st_eq,B1489,st_po,C1489,st_type,"Non planifié"),"")</f>
        <v/>
      </c>
      <c r="O1489" s="55" t="str">
        <f>IF(ISNUMBER(K1489),M1489-N1489,"")</f>
        <v/>
      </c>
      <c r="P1489" s="55" t="str">
        <f>IF(COUNTA(A1489:I1489)=0,"",N(G1489)+N(H1489)+N(I1489))</f>
        <v/>
      </c>
      <c r="Q1489" s="56" t="str">
        <f>IF(COUNTA(A1489:I1489)=0,"",IF(N(IFERROR(INDEX(art_rate,MATCH(E1489,art_ref,0)),0))&gt;0,N(IFERROR(INDEX(art_rate,MATCH(E1489,art_ref,0)),0)),N(IFERROR(INDEX(po_rate,MATCH(C1489,po_code,0)),0))))</f>
        <v/>
      </c>
      <c r="R1489" s="55" t="str">
        <f>IF(AC1489=1,P1489*60/Q1489,"")</f>
        <v/>
      </c>
      <c r="S1489" s="55" t="str">
        <f>IF(AC1489=1,N(G1489)*60/Q1489,"")</f>
        <v/>
      </c>
      <c r="T1489" s="57" t="str">
        <f>IF(AC1489=1,O1489/M1489,"")</f>
        <v/>
      </c>
      <c r="U1489" s="57" t="str">
        <f>IF(AC1489=1,IF(O1489&gt;0,R1489/O1489,""),"")</f>
        <v/>
      </c>
      <c r="V1489" s="57" t="str">
        <f>IF(AC1489=1,IF(P1489&gt;0,N(G1489)/P1489,""),"")</f>
        <v/>
      </c>
      <c r="W1489" s="57" t="str">
        <f>IF(AC1489=1,S1489/M1489,"")</f>
        <v/>
      </c>
      <c r="X1489" s="57" t="str">
        <f>IF(AC1489=1,S1489/K1489,"")</f>
        <v/>
      </c>
      <c r="Y1489" s="58" t="str">
        <f>IF(W1489="","",IF(W1489&gt;=p_target,"Bon",IF(W1489&gt;=p_alert,"À surveiller","Faible")))</f>
        <v/>
      </c>
      <c r="Z1489" s="58" t="str">
        <f>IF(W1489="","",IF(MIN(IF(T1489="",1,T1489),IF(U1489="",1,U1489),IF(V1489="",1,V1489))&gt;=1,"Aucune",IF(IF(T1489="",1,T1489)&lt;=MIN(IF(U1489="",1,U1489),IF(V1489="",1,V1489)),"Disponibilité",IF(IF(U1489="",1,U1489)&lt;=IF(V1489="",1,V1489),"Performance","Qualité"))))</f>
        <v/>
      </c>
      <c r="AA1489" s="59" t="str">
        <f>IF(AC1489=1,N(H1489)*N(IFERROR(INDEX(art_cost,MATCH(E1489,art_ref,0)),0)),"")</f>
        <v/>
      </c>
      <c r="AB1489" s="58" t="str">
        <f>IF(COUNTA(A1489:I1489)=0,"",IF(N(A1489)&lt;=0,"Date manquante ou invalide",IF(B1489="","Équipe manquante",IF(ISNA(MATCH(B1489,eq_code,0)),"Équipe inconnue",IF(INDEX(eq_check,MATCH(B1489,eq_code,0))&lt;&gt;"OK","Équipe à corriger dans Paramètres",IF(C1489="","Poste manquant",IF(ISNA(MATCH(C1489,po_code,0)),"Poste inconnu",IF(AND(E1489&lt;&gt;"",ISNA(MATCH(E1489,art_ref,0))),"Article inconnu",IF(IF(E1489="",FALSE,INDEX(art_check,MATCH(E1489,art_ref,0))&lt;&gt;"OK"),"Article à corriger (feuille Articles)",IF(COUNTIFS(sj_date,A1489,sj_eq,B1489,sj_po,C1489)&gt;1,"Ligne en double (même jour, équipe et poste)",IF(OR(NOT(ISNUMBER(K1489)),N(K1489)&lt;=0,N(K1489)&gt;1440),"Temps d'ouverture invalide",IF(OR(AND(G1489&lt;&gt;"",NOT(ISNUMBER(G1489))),N(G1489)&lt;0,N(G1489)&lt;&gt;INT(N(G1489)),AND(H1489&lt;&gt;"",NOT(ISNUMBER(H1489))),N(H1489)&lt;0,N(H1489)&lt;&gt;INT(N(H1489)),AND(I1489&lt;&gt;"",NOT(ISNUMBER(I1489))),N(I1489)&lt;0,N(I1489)&lt;&gt;INT(N(I1489))),"Quantité invalide",IF(Q1489&lt;=0,"Cadence manquante (poste ou article)",IF(M1489&lt;=0,"Arrêts planifiés supérieurs au temps d'ouverture",IF(O1489&lt;0,"Arrêts supérieurs au temps requis",IF(AND(P1489&gt;0,O1489=0),"Pièces déclarées sans temps de marche",IF(AND(P1489=0,O1489&gt;0),"Aucune pièce déclarée",IF(P1489*60/Q1489&gt;O1489+0.001,"Cadence dépassée : vérifiez la cadence","OK"))))))))))))))))))</f>
        <v/>
      </c>
      <c r="AC1489">
        <f>IF(OR(AB1489="OK",AB1489="Aucune pièce déclarée",AB1489="Cadence dépassée : vérifiez la cadence"),1,0)</f>
        <v>0.0</v>
      </c>
      <c r="AD1489">
        <f>IF(AND(AC1489=1,A1489&gt;=p_from,A1489&lt;=p_to),1,0)</f>
        <v>0.0</v>
      </c>
      <c r="AE1489">
        <f>IF(AD1489=1,IF(COUNTIFS($A$6:A1489,A1489,$AD$6:AD1489,1)=1,1,0),0)</f>
        <v>0.0</v>
      </c>
      <c r="AF1489" t="str">
        <f>IF(AE1489=1,COUNTIFS(sj_first,1,sj_date,"&lt;"&amp;A1489)+1,"")</f>
        <v/>
      </c>
      <c r="AG1489" t="str">
        <f>IF(AND(AD1489=1,N(W1489)&lt;p_alert),ROUND(W1489,4),"")</f>
        <v/>
      </c>
      <c r="AH1489" t="str">
        <f>IF(AG1489="","",COUNTIF(sj_akey,"&lt;"&amp;AG1489)+COUNTIF($AG$6:AG1489,AG1489))</f>
        <v/>
      </c>
    </row>
    <row r="1490">
      <c r="A1490" s="51" t="n"/>
      <c r="B1490" s="52" t="n"/>
      <c r="C1490" s="52" t="n"/>
      <c r="D1490" s="53" t="n"/>
      <c r="E1490" s="53" t="n"/>
      <c r="F1490" s="54" t="n"/>
      <c r="G1490" s="54" t="n"/>
      <c r="H1490" s="54" t="n"/>
      <c r="I1490" s="54" t="n"/>
      <c r="J1490" s="53" t="n"/>
      <c r="K1490" s="55" t="str">
        <f>IF(COUNTA(A1490:I1490)=0,"",IF(F1490="",IFERROR(INDEX(eq_dur,MATCH(B1490,eq_code,0)),""),F1490))</f>
        <v/>
      </c>
      <c r="L1490" s="55" t="str">
        <f>IF(ISNUMBER(K1490),N(IFERROR(INDEX(eq_pause,MATCH(B1490,eq_code,0)),0))+SUMIFS(st_min,st_date,A1490,st_eq,B1490,st_po,C1490,st_type,"Planifié"),"")</f>
        <v/>
      </c>
      <c r="M1490" s="55" t="str">
        <f>IF(ISNUMBER(K1490),K1490-L1490,"")</f>
        <v/>
      </c>
      <c r="N1490" s="55" t="str">
        <f>IF(ISNUMBER(K1490),SUMIFS(st_min,st_date,A1490,st_eq,B1490,st_po,C1490,st_type,"Non planifié"),"")</f>
        <v/>
      </c>
      <c r="O1490" s="55" t="str">
        <f>IF(ISNUMBER(K1490),M1490-N1490,"")</f>
        <v/>
      </c>
      <c r="P1490" s="55" t="str">
        <f>IF(COUNTA(A1490:I1490)=0,"",N(G1490)+N(H1490)+N(I1490))</f>
        <v/>
      </c>
      <c r="Q1490" s="56" t="str">
        <f>IF(COUNTA(A1490:I1490)=0,"",IF(N(IFERROR(INDEX(art_rate,MATCH(E1490,art_ref,0)),0))&gt;0,N(IFERROR(INDEX(art_rate,MATCH(E1490,art_ref,0)),0)),N(IFERROR(INDEX(po_rate,MATCH(C1490,po_code,0)),0))))</f>
        <v/>
      </c>
      <c r="R1490" s="55" t="str">
        <f>IF(AC1490=1,P1490*60/Q1490,"")</f>
        <v/>
      </c>
      <c r="S1490" s="55" t="str">
        <f>IF(AC1490=1,N(G1490)*60/Q1490,"")</f>
        <v/>
      </c>
      <c r="T1490" s="57" t="str">
        <f>IF(AC1490=1,O1490/M1490,"")</f>
        <v/>
      </c>
      <c r="U1490" s="57" t="str">
        <f>IF(AC1490=1,IF(O1490&gt;0,R1490/O1490,""),"")</f>
        <v/>
      </c>
      <c r="V1490" s="57" t="str">
        <f>IF(AC1490=1,IF(P1490&gt;0,N(G1490)/P1490,""),"")</f>
        <v/>
      </c>
      <c r="W1490" s="57" t="str">
        <f>IF(AC1490=1,S1490/M1490,"")</f>
        <v/>
      </c>
      <c r="X1490" s="57" t="str">
        <f>IF(AC1490=1,S1490/K1490,"")</f>
        <v/>
      </c>
      <c r="Y1490" s="58" t="str">
        <f>IF(W1490="","",IF(W1490&gt;=p_target,"Bon",IF(W1490&gt;=p_alert,"À surveiller","Faible")))</f>
        <v/>
      </c>
      <c r="Z1490" s="58" t="str">
        <f>IF(W1490="","",IF(MIN(IF(T1490="",1,T1490),IF(U1490="",1,U1490),IF(V1490="",1,V1490))&gt;=1,"Aucune",IF(IF(T1490="",1,T1490)&lt;=MIN(IF(U1490="",1,U1490),IF(V1490="",1,V1490)),"Disponibilité",IF(IF(U1490="",1,U1490)&lt;=IF(V1490="",1,V1490),"Performance","Qualité"))))</f>
        <v/>
      </c>
      <c r="AA1490" s="59" t="str">
        <f>IF(AC1490=1,N(H1490)*N(IFERROR(INDEX(art_cost,MATCH(E1490,art_ref,0)),0)),"")</f>
        <v/>
      </c>
      <c r="AB1490" s="58" t="str">
        <f>IF(COUNTA(A1490:I1490)=0,"",IF(N(A1490)&lt;=0,"Date manquante ou invalide",IF(B1490="","Équipe manquante",IF(ISNA(MATCH(B1490,eq_code,0)),"Équipe inconnue",IF(INDEX(eq_check,MATCH(B1490,eq_code,0))&lt;&gt;"OK","Équipe à corriger dans Paramètres",IF(C1490="","Poste manquant",IF(ISNA(MATCH(C1490,po_code,0)),"Poste inconnu",IF(AND(E1490&lt;&gt;"",ISNA(MATCH(E1490,art_ref,0))),"Article inconnu",IF(IF(E1490="",FALSE,INDEX(art_check,MATCH(E1490,art_ref,0))&lt;&gt;"OK"),"Article à corriger (feuille Articles)",IF(COUNTIFS(sj_date,A1490,sj_eq,B1490,sj_po,C1490)&gt;1,"Ligne en double (même jour, équipe et poste)",IF(OR(NOT(ISNUMBER(K1490)),N(K1490)&lt;=0,N(K1490)&gt;1440),"Temps d'ouverture invalide",IF(OR(AND(G1490&lt;&gt;"",NOT(ISNUMBER(G1490))),N(G1490)&lt;0,N(G1490)&lt;&gt;INT(N(G1490)),AND(H1490&lt;&gt;"",NOT(ISNUMBER(H1490))),N(H1490)&lt;0,N(H1490)&lt;&gt;INT(N(H1490)),AND(I1490&lt;&gt;"",NOT(ISNUMBER(I1490))),N(I1490)&lt;0,N(I1490)&lt;&gt;INT(N(I1490))),"Quantité invalide",IF(Q1490&lt;=0,"Cadence manquante (poste ou article)",IF(M1490&lt;=0,"Arrêts planifiés supérieurs au temps d'ouverture",IF(O1490&lt;0,"Arrêts supérieurs au temps requis",IF(AND(P1490&gt;0,O1490=0),"Pièces déclarées sans temps de marche",IF(AND(P1490=0,O1490&gt;0),"Aucune pièce déclarée",IF(P1490*60/Q1490&gt;O1490+0.001,"Cadence dépassée : vérifiez la cadence","OK"))))))))))))))))))</f>
        <v/>
      </c>
      <c r="AC1490">
        <f>IF(OR(AB1490="OK",AB1490="Aucune pièce déclarée",AB1490="Cadence dépassée : vérifiez la cadence"),1,0)</f>
        <v>0.0</v>
      </c>
      <c r="AD1490">
        <f>IF(AND(AC1490=1,A1490&gt;=p_from,A1490&lt;=p_to),1,0)</f>
        <v>0.0</v>
      </c>
      <c r="AE1490">
        <f>IF(AD1490=1,IF(COUNTIFS($A$6:A1490,A1490,$AD$6:AD1490,1)=1,1,0),0)</f>
        <v>0.0</v>
      </c>
      <c r="AF1490" t="str">
        <f>IF(AE1490=1,COUNTIFS(sj_first,1,sj_date,"&lt;"&amp;A1490)+1,"")</f>
        <v/>
      </c>
      <c r="AG1490" t="str">
        <f>IF(AND(AD1490=1,N(W1490)&lt;p_alert),ROUND(W1490,4),"")</f>
        <v/>
      </c>
      <c r="AH1490" t="str">
        <f>IF(AG1490="","",COUNTIF(sj_akey,"&lt;"&amp;AG1490)+COUNTIF($AG$6:AG1490,AG1490))</f>
        <v/>
      </c>
    </row>
    <row r="1491">
      <c r="A1491" s="51" t="n"/>
      <c r="B1491" s="52" t="n"/>
      <c r="C1491" s="52" t="n"/>
      <c r="D1491" s="53" t="n"/>
      <c r="E1491" s="53" t="n"/>
      <c r="F1491" s="54" t="n"/>
      <c r="G1491" s="54" t="n"/>
      <c r="H1491" s="54" t="n"/>
      <c r="I1491" s="54" t="n"/>
      <c r="J1491" s="53" t="n"/>
      <c r="K1491" s="55" t="str">
        <f>IF(COUNTA(A1491:I1491)=0,"",IF(F1491="",IFERROR(INDEX(eq_dur,MATCH(B1491,eq_code,0)),""),F1491))</f>
        <v/>
      </c>
      <c r="L1491" s="55" t="str">
        <f>IF(ISNUMBER(K1491),N(IFERROR(INDEX(eq_pause,MATCH(B1491,eq_code,0)),0))+SUMIFS(st_min,st_date,A1491,st_eq,B1491,st_po,C1491,st_type,"Planifié"),"")</f>
        <v/>
      </c>
      <c r="M1491" s="55" t="str">
        <f>IF(ISNUMBER(K1491),K1491-L1491,"")</f>
        <v/>
      </c>
      <c r="N1491" s="55" t="str">
        <f>IF(ISNUMBER(K1491),SUMIFS(st_min,st_date,A1491,st_eq,B1491,st_po,C1491,st_type,"Non planifié"),"")</f>
        <v/>
      </c>
      <c r="O1491" s="55" t="str">
        <f>IF(ISNUMBER(K1491),M1491-N1491,"")</f>
        <v/>
      </c>
      <c r="P1491" s="55" t="str">
        <f>IF(COUNTA(A1491:I1491)=0,"",N(G1491)+N(H1491)+N(I1491))</f>
        <v/>
      </c>
      <c r="Q1491" s="56" t="str">
        <f>IF(COUNTA(A1491:I1491)=0,"",IF(N(IFERROR(INDEX(art_rate,MATCH(E1491,art_ref,0)),0))&gt;0,N(IFERROR(INDEX(art_rate,MATCH(E1491,art_ref,0)),0)),N(IFERROR(INDEX(po_rate,MATCH(C1491,po_code,0)),0))))</f>
        <v/>
      </c>
      <c r="R1491" s="55" t="str">
        <f>IF(AC1491=1,P1491*60/Q1491,"")</f>
        <v/>
      </c>
      <c r="S1491" s="55" t="str">
        <f>IF(AC1491=1,N(G1491)*60/Q1491,"")</f>
        <v/>
      </c>
      <c r="T1491" s="57" t="str">
        <f>IF(AC1491=1,O1491/M1491,"")</f>
        <v/>
      </c>
      <c r="U1491" s="57" t="str">
        <f>IF(AC1491=1,IF(O1491&gt;0,R1491/O1491,""),"")</f>
        <v/>
      </c>
      <c r="V1491" s="57" t="str">
        <f>IF(AC1491=1,IF(P1491&gt;0,N(G1491)/P1491,""),"")</f>
        <v/>
      </c>
      <c r="W1491" s="57" t="str">
        <f>IF(AC1491=1,S1491/M1491,"")</f>
        <v/>
      </c>
      <c r="X1491" s="57" t="str">
        <f>IF(AC1491=1,S1491/K1491,"")</f>
        <v/>
      </c>
      <c r="Y1491" s="58" t="str">
        <f>IF(W1491="","",IF(W1491&gt;=p_target,"Bon",IF(W1491&gt;=p_alert,"À surveiller","Faible")))</f>
        <v/>
      </c>
      <c r="Z1491" s="58" t="str">
        <f>IF(W1491="","",IF(MIN(IF(T1491="",1,T1491),IF(U1491="",1,U1491),IF(V1491="",1,V1491))&gt;=1,"Aucune",IF(IF(T1491="",1,T1491)&lt;=MIN(IF(U1491="",1,U1491),IF(V1491="",1,V1491)),"Disponibilité",IF(IF(U1491="",1,U1491)&lt;=IF(V1491="",1,V1491),"Performance","Qualité"))))</f>
        <v/>
      </c>
      <c r="AA1491" s="59" t="str">
        <f>IF(AC1491=1,N(H1491)*N(IFERROR(INDEX(art_cost,MATCH(E1491,art_ref,0)),0)),"")</f>
        <v/>
      </c>
      <c r="AB1491" s="58" t="str">
        <f>IF(COUNTA(A1491:I1491)=0,"",IF(N(A1491)&lt;=0,"Date manquante ou invalide",IF(B1491="","Équipe manquante",IF(ISNA(MATCH(B1491,eq_code,0)),"Équipe inconnue",IF(INDEX(eq_check,MATCH(B1491,eq_code,0))&lt;&gt;"OK","Équipe à corriger dans Paramètres",IF(C1491="","Poste manquant",IF(ISNA(MATCH(C1491,po_code,0)),"Poste inconnu",IF(AND(E1491&lt;&gt;"",ISNA(MATCH(E1491,art_ref,0))),"Article inconnu",IF(IF(E1491="",FALSE,INDEX(art_check,MATCH(E1491,art_ref,0))&lt;&gt;"OK"),"Article à corriger (feuille Articles)",IF(COUNTIFS(sj_date,A1491,sj_eq,B1491,sj_po,C1491)&gt;1,"Ligne en double (même jour, équipe et poste)",IF(OR(NOT(ISNUMBER(K1491)),N(K1491)&lt;=0,N(K1491)&gt;1440),"Temps d'ouverture invalide",IF(OR(AND(G1491&lt;&gt;"",NOT(ISNUMBER(G1491))),N(G1491)&lt;0,N(G1491)&lt;&gt;INT(N(G1491)),AND(H1491&lt;&gt;"",NOT(ISNUMBER(H1491))),N(H1491)&lt;0,N(H1491)&lt;&gt;INT(N(H1491)),AND(I1491&lt;&gt;"",NOT(ISNUMBER(I1491))),N(I1491)&lt;0,N(I1491)&lt;&gt;INT(N(I1491))),"Quantité invalide",IF(Q1491&lt;=0,"Cadence manquante (poste ou article)",IF(M1491&lt;=0,"Arrêts planifiés supérieurs au temps d'ouverture",IF(O1491&lt;0,"Arrêts supérieurs au temps requis",IF(AND(P1491&gt;0,O1491=0),"Pièces déclarées sans temps de marche",IF(AND(P1491=0,O1491&gt;0),"Aucune pièce déclarée",IF(P1491*60/Q1491&gt;O1491+0.001,"Cadence dépassée : vérifiez la cadence","OK"))))))))))))))))))</f>
        <v/>
      </c>
      <c r="AC1491">
        <f>IF(OR(AB1491="OK",AB1491="Aucune pièce déclarée",AB1491="Cadence dépassée : vérifiez la cadence"),1,0)</f>
        <v>0.0</v>
      </c>
      <c r="AD1491">
        <f>IF(AND(AC1491=1,A1491&gt;=p_from,A1491&lt;=p_to),1,0)</f>
        <v>0.0</v>
      </c>
      <c r="AE1491">
        <f>IF(AD1491=1,IF(COUNTIFS($A$6:A1491,A1491,$AD$6:AD1491,1)=1,1,0),0)</f>
        <v>0.0</v>
      </c>
      <c r="AF1491" t="str">
        <f>IF(AE1491=1,COUNTIFS(sj_first,1,sj_date,"&lt;"&amp;A1491)+1,"")</f>
        <v/>
      </c>
      <c r="AG1491" t="str">
        <f>IF(AND(AD1491=1,N(W1491)&lt;p_alert),ROUND(W1491,4),"")</f>
        <v/>
      </c>
      <c r="AH1491" t="str">
        <f>IF(AG1491="","",COUNTIF(sj_akey,"&lt;"&amp;AG1491)+COUNTIF($AG$6:AG1491,AG1491))</f>
        <v/>
      </c>
    </row>
    <row r="1492">
      <c r="A1492" s="51" t="n"/>
      <c r="B1492" s="52" t="n"/>
      <c r="C1492" s="52" t="n"/>
      <c r="D1492" s="53" t="n"/>
      <c r="E1492" s="53" t="n"/>
      <c r="F1492" s="54" t="n"/>
      <c r="G1492" s="54" t="n"/>
      <c r="H1492" s="54" t="n"/>
      <c r="I1492" s="54" t="n"/>
      <c r="J1492" s="53" t="n"/>
      <c r="K1492" s="55" t="str">
        <f>IF(COUNTA(A1492:I1492)=0,"",IF(F1492="",IFERROR(INDEX(eq_dur,MATCH(B1492,eq_code,0)),""),F1492))</f>
        <v/>
      </c>
      <c r="L1492" s="55" t="str">
        <f>IF(ISNUMBER(K1492),N(IFERROR(INDEX(eq_pause,MATCH(B1492,eq_code,0)),0))+SUMIFS(st_min,st_date,A1492,st_eq,B1492,st_po,C1492,st_type,"Planifié"),"")</f>
        <v/>
      </c>
      <c r="M1492" s="55" t="str">
        <f>IF(ISNUMBER(K1492),K1492-L1492,"")</f>
        <v/>
      </c>
      <c r="N1492" s="55" t="str">
        <f>IF(ISNUMBER(K1492),SUMIFS(st_min,st_date,A1492,st_eq,B1492,st_po,C1492,st_type,"Non planifié"),"")</f>
        <v/>
      </c>
      <c r="O1492" s="55" t="str">
        <f>IF(ISNUMBER(K1492),M1492-N1492,"")</f>
        <v/>
      </c>
      <c r="P1492" s="55" t="str">
        <f>IF(COUNTA(A1492:I1492)=0,"",N(G1492)+N(H1492)+N(I1492))</f>
        <v/>
      </c>
      <c r="Q1492" s="56" t="str">
        <f>IF(COUNTA(A1492:I1492)=0,"",IF(N(IFERROR(INDEX(art_rate,MATCH(E1492,art_ref,0)),0))&gt;0,N(IFERROR(INDEX(art_rate,MATCH(E1492,art_ref,0)),0)),N(IFERROR(INDEX(po_rate,MATCH(C1492,po_code,0)),0))))</f>
        <v/>
      </c>
      <c r="R1492" s="55" t="str">
        <f>IF(AC1492=1,P1492*60/Q1492,"")</f>
        <v/>
      </c>
      <c r="S1492" s="55" t="str">
        <f>IF(AC1492=1,N(G1492)*60/Q1492,"")</f>
        <v/>
      </c>
      <c r="T1492" s="57" t="str">
        <f>IF(AC1492=1,O1492/M1492,"")</f>
        <v/>
      </c>
      <c r="U1492" s="57" t="str">
        <f>IF(AC1492=1,IF(O1492&gt;0,R1492/O1492,""),"")</f>
        <v/>
      </c>
      <c r="V1492" s="57" t="str">
        <f>IF(AC1492=1,IF(P1492&gt;0,N(G1492)/P1492,""),"")</f>
        <v/>
      </c>
      <c r="W1492" s="57" t="str">
        <f>IF(AC1492=1,S1492/M1492,"")</f>
        <v/>
      </c>
      <c r="X1492" s="57" t="str">
        <f>IF(AC1492=1,S1492/K1492,"")</f>
        <v/>
      </c>
      <c r="Y1492" s="58" t="str">
        <f>IF(W1492="","",IF(W1492&gt;=p_target,"Bon",IF(W1492&gt;=p_alert,"À surveiller","Faible")))</f>
        <v/>
      </c>
      <c r="Z1492" s="58" t="str">
        <f>IF(W1492="","",IF(MIN(IF(T1492="",1,T1492),IF(U1492="",1,U1492),IF(V1492="",1,V1492))&gt;=1,"Aucune",IF(IF(T1492="",1,T1492)&lt;=MIN(IF(U1492="",1,U1492),IF(V1492="",1,V1492)),"Disponibilité",IF(IF(U1492="",1,U1492)&lt;=IF(V1492="",1,V1492),"Performance","Qualité"))))</f>
        <v/>
      </c>
      <c r="AA1492" s="59" t="str">
        <f>IF(AC1492=1,N(H1492)*N(IFERROR(INDEX(art_cost,MATCH(E1492,art_ref,0)),0)),"")</f>
        <v/>
      </c>
      <c r="AB1492" s="58" t="str">
        <f>IF(COUNTA(A1492:I1492)=0,"",IF(N(A1492)&lt;=0,"Date manquante ou invalide",IF(B1492="","Équipe manquante",IF(ISNA(MATCH(B1492,eq_code,0)),"Équipe inconnue",IF(INDEX(eq_check,MATCH(B1492,eq_code,0))&lt;&gt;"OK","Équipe à corriger dans Paramètres",IF(C1492="","Poste manquant",IF(ISNA(MATCH(C1492,po_code,0)),"Poste inconnu",IF(AND(E1492&lt;&gt;"",ISNA(MATCH(E1492,art_ref,0))),"Article inconnu",IF(IF(E1492="",FALSE,INDEX(art_check,MATCH(E1492,art_ref,0))&lt;&gt;"OK"),"Article à corriger (feuille Articles)",IF(COUNTIFS(sj_date,A1492,sj_eq,B1492,sj_po,C1492)&gt;1,"Ligne en double (même jour, équipe et poste)",IF(OR(NOT(ISNUMBER(K1492)),N(K1492)&lt;=0,N(K1492)&gt;1440),"Temps d'ouverture invalide",IF(OR(AND(G1492&lt;&gt;"",NOT(ISNUMBER(G1492))),N(G1492)&lt;0,N(G1492)&lt;&gt;INT(N(G1492)),AND(H1492&lt;&gt;"",NOT(ISNUMBER(H1492))),N(H1492)&lt;0,N(H1492)&lt;&gt;INT(N(H1492)),AND(I1492&lt;&gt;"",NOT(ISNUMBER(I1492))),N(I1492)&lt;0,N(I1492)&lt;&gt;INT(N(I1492))),"Quantité invalide",IF(Q1492&lt;=0,"Cadence manquante (poste ou article)",IF(M1492&lt;=0,"Arrêts planifiés supérieurs au temps d'ouverture",IF(O1492&lt;0,"Arrêts supérieurs au temps requis",IF(AND(P1492&gt;0,O1492=0),"Pièces déclarées sans temps de marche",IF(AND(P1492=0,O1492&gt;0),"Aucune pièce déclarée",IF(P1492*60/Q1492&gt;O1492+0.001,"Cadence dépassée : vérifiez la cadence","OK"))))))))))))))))))</f>
        <v/>
      </c>
      <c r="AC1492">
        <f>IF(OR(AB1492="OK",AB1492="Aucune pièce déclarée",AB1492="Cadence dépassée : vérifiez la cadence"),1,0)</f>
        <v>0.0</v>
      </c>
      <c r="AD1492">
        <f>IF(AND(AC1492=1,A1492&gt;=p_from,A1492&lt;=p_to),1,0)</f>
        <v>0.0</v>
      </c>
      <c r="AE1492">
        <f>IF(AD1492=1,IF(COUNTIFS($A$6:A1492,A1492,$AD$6:AD1492,1)=1,1,0),0)</f>
        <v>0.0</v>
      </c>
      <c r="AF1492" t="str">
        <f>IF(AE1492=1,COUNTIFS(sj_first,1,sj_date,"&lt;"&amp;A1492)+1,"")</f>
        <v/>
      </c>
      <c r="AG1492" t="str">
        <f>IF(AND(AD1492=1,N(W1492)&lt;p_alert),ROUND(W1492,4),"")</f>
        <v/>
      </c>
      <c r="AH1492" t="str">
        <f>IF(AG1492="","",COUNTIF(sj_akey,"&lt;"&amp;AG1492)+COUNTIF($AG$6:AG1492,AG1492))</f>
        <v/>
      </c>
    </row>
    <row r="1493">
      <c r="A1493" s="51" t="n"/>
      <c r="B1493" s="52" t="n"/>
      <c r="C1493" s="52" t="n"/>
      <c r="D1493" s="53" t="n"/>
      <c r="E1493" s="53" t="n"/>
      <c r="F1493" s="54" t="n"/>
      <c r="G1493" s="54" t="n"/>
      <c r="H1493" s="54" t="n"/>
      <c r="I1493" s="54" t="n"/>
      <c r="J1493" s="53" t="n"/>
      <c r="K1493" s="55" t="str">
        <f>IF(COUNTA(A1493:I1493)=0,"",IF(F1493="",IFERROR(INDEX(eq_dur,MATCH(B1493,eq_code,0)),""),F1493))</f>
        <v/>
      </c>
      <c r="L1493" s="55" t="str">
        <f>IF(ISNUMBER(K1493),N(IFERROR(INDEX(eq_pause,MATCH(B1493,eq_code,0)),0))+SUMIFS(st_min,st_date,A1493,st_eq,B1493,st_po,C1493,st_type,"Planifié"),"")</f>
        <v/>
      </c>
      <c r="M1493" s="55" t="str">
        <f>IF(ISNUMBER(K1493),K1493-L1493,"")</f>
        <v/>
      </c>
      <c r="N1493" s="55" t="str">
        <f>IF(ISNUMBER(K1493),SUMIFS(st_min,st_date,A1493,st_eq,B1493,st_po,C1493,st_type,"Non planifié"),"")</f>
        <v/>
      </c>
      <c r="O1493" s="55" t="str">
        <f>IF(ISNUMBER(K1493),M1493-N1493,"")</f>
        <v/>
      </c>
      <c r="P1493" s="55" t="str">
        <f>IF(COUNTA(A1493:I1493)=0,"",N(G1493)+N(H1493)+N(I1493))</f>
        <v/>
      </c>
      <c r="Q1493" s="56" t="str">
        <f>IF(COUNTA(A1493:I1493)=0,"",IF(N(IFERROR(INDEX(art_rate,MATCH(E1493,art_ref,0)),0))&gt;0,N(IFERROR(INDEX(art_rate,MATCH(E1493,art_ref,0)),0)),N(IFERROR(INDEX(po_rate,MATCH(C1493,po_code,0)),0))))</f>
        <v/>
      </c>
      <c r="R1493" s="55" t="str">
        <f>IF(AC1493=1,P1493*60/Q1493,"")</f>
        <v/>
      </c>
      <c r="S1493" s="55" t="str">
        <f>IF(AC1493=1,N(G1493)*60/Q1493,"")</f>
        <v/>
      </c>
      <c r="T1493" s="57" t="str">
        <f>IF(AC1493=1,O1493/M1493,"")</f>
        <v/>
      </c>
      <c r="U1493" s="57" t="str">
        <f>IF(AC1493=1,IF(O1493&gt;0,R1493/O1493,""),"")</f>
        <v/>
      </c>
      <c r="V1493" s="57" t="str">
        <f>IF(AC1493=1,IF(P1493&gt;0,N(G1493)/P1493,""),"")</f>
        <v/>
      </c>
      <c r="W1493" s="57" t="str">
        <f>IF(AC1493=1,S1493/M1493,"")</f>
        <v/>
      </c>
      <c r="X1493" s="57" t="str">
        <f>IF(AC1493=1,S1493/K1493,"")</f>
        <v/>
      </c>
      <c r="Y1493" s="58" t="str">
        <f>IF(W1493="","",IF(W1493&gt;=p_target,"Bon",IF(W1493&gt;=p_alert,"À surveiller","Faible")))</f>
        <v/>
      </c>
      <c r="Z1493" s="58" t="str">
        <f>IF(W1493="","",IF(MIN(IF(T1493="",1,T1493),IF(U1493="",1,U1493),IF(V1493="",1,V1493))&gt;=1,"Aucune",IF(IF(T1493="",1,T1493)&lt;=MIN(IF(U1493="",1,U1493),IF(V1493="",1,V1493)),"Disponibilité",IF(IF(U1493="",1,U1493)&lt;=IF(V1493="",1,V1493),"Performance","Qualité"))))</f>
        <v/>
      </c>
      <c r="AA1493" s="59" t="str">
        <f>IF(AC1493=1,N(H1493)*N(IFERROR(INDEX(art_cost,MATCH(E1493,art_ref,0)),0)),"")</f>
        <v/>
      </c>
      <c r="AB1493" s="58" t="str">
        <f>IF(COUNTA(A1493:I1493)=0,"",IF(N(A1493)&lt;=0,"Date manquante ou invalide",IF(B1493="","Équipe manquante",IF(ISNA(MATCH(B1493,eq_code,0)),"Équipe inconnue",IF(INDEX(eq_check,MATCH(B1493,eq_code,0))&lt;&gt;"OK","Équipe à corriger dans Paramètres",IF(C1493="","Poste manquant",IF(ISNA(MATCH(C1493,po_code,0)),"Poste inconnu",IF(AND(E1493&lt;&gt;"",ISNA(MATCH(E1493,art_ref,0))),"Article inconnu",IF(IF(E1493="",FALSE,INDEX(art_check,MATCH(E1493,art_ref,0))&lt;&gt;"OK"),"Article à corriger (feuille Articles)",IF(COUNTIFS(sj_date,A1493,sj_eq,B1493,sj_po,C1493)&gt;1,"Ligne en double (même jour, équipe et poste)",IF(OR(NOT(ISNUMBER(K1493)),N(K1493)&lt;=0,N(K1493)&gt;1440),"Temps d'ouverture invalide",IF(OR(AND(G1493&lt;&gt;"",NOT(ISNUMBER(G1493))),N(G1493)&lt;0,N(G1493)&lt;&gt;INT(N(G1493)),AND(H1493&lt;&gt;"",NOT(ISNUMBER(H1493))),N(H1493)&lt;0,N(H1493)&lt;&gt;INT(N(H1493)),AND(I1493&lt;&gt;"",NOT(ISNUMBER(I1493))),N(I1493)&lt;0,N(I1493)&lt;&gt;INT(N(I1493))),"Quantité invalide",IF(Q1493&lt;=0,"Cadence manquante (poste ou article)",IF(M1493&lt;=0,"Arrêts planifiés supérieurs au temps d'ouverture",IF(O1493&lt;0,"Arrêts supérieurs au temps requis",IF(AND(P1493&gt;0,O1493=0),"Pièces déclarées sans temps de marche",IF(AND(P1493=0,O1493&gt;0),"Aucune pièce déclarée",IF(P1493*60/Q1493&gt;O1493+0.001,"Cadence dépassée : vérifiez la cadence","OK"))))))))))))))))))</f>
        <v/>
      </c>
      <c r="AC1493">
        <f>IF(OR(AB1493="OK",AB1493="Aucune pièce déclarée",AB1493="Cadence dépassée : vérifiez la cadence"),1,0)</f>
        <v>0.0</v>
      </c>
      <c r="AD1493">
        <f>IF(AND(AC1493=1,A1493&gt;=p_from,A1493&lt;=p_to),1,0)</f>
        <v>0.0</v>
      </c>
      <c r="AE1493">
        <f>IF(AD1493=1,IF(COUNTIFS($A$6:A1493,A1493,$AD$6:AD1493,1)=1,1,0),0)</f>
        <v>0.0</v>
      </c>
      <c r="AF1493" t="str">
        <f>IF(AE1493=1,COUNTIFS(sj_first,1,sj_date,"&lt;"&amp;A1493)+1,"")</f>
        <v/>
      </c>
      <c r="AG1493" t="str">
        <f>IF(AND(AD1493=1,N(W1493)&lt;p_alert),ROUND(W1493,4),"")</f>
        <v/>
      </c>
      <c r="AH1493" t="str">
        <f>IF(AG1493="","",COUNTIF(sj_akey,"&lt;"&amp;AG1493)+COUNTIF($AG$6:AG1493,AG1493))</f>
        <v/>
      </c>
    </row>
    <row r="1494">
      <c r="A1494" s="51" t="n"/>
      <c r="B1494" s="52" t="n"/>
      <c r="C1494" s="52" t="n"/>
      <c r="D1494" s="53" t="n"/>
      <c r="E1494" s="53" t="n"/>
      <c r="F1494" s="54" t="n"/>
      <c r="G1494" s="54" t="n"/>
      <c r="H1494" s="54" t="n"/>
      <c r="I1494" s="54" t="n"/>
      <c r="J1494" s="53" t="n"/>
      <c r="K1494" s="55" t="str">
        <f>IF(COUNTA(A1494:I1494)=0,"",IF(F1494="",IFERROR(INDEX(eq_dur,MATCH(B1494,eq_code,0)),""),F1494))</f>
        <v/>
      </c>
      <c r="L1494" s="55" t="str">
        <f>IF(ISNUMBER(K1494),N(IFERROR(INDEX(eq_pause,MATCH(B1494,eq_code,0)),0))+SUMIFS(st_min,st_date,A1494,st_eq,B1494,st_po,C1494,st_type,"Planifié"),"")</f>
        <v/>
      </c>
      <c r="M1494" s="55" t="str">
        <f>IF(ISNUMBER(K1494),K1494-L1494,"")</f>
        <v/>
      </c>
      <c r="N1494" s="55" t="str">
        <f>IF(ISNUMBER(K1494),SUMIFS(st_min,st_date,A1494,st_eq,B1494,st_po,C1494,st_type,"Non planifié"),"")</f>
        <v/>
      </c>
      <c r="O1494" s="55" t="str">
        <f>IF(ISNUMBER(K1494),M1494-N1494,"")</f>
        <v/>
      </c>
      <c r="P1494" s="55" t="str">
        <f>IF(COUNTA(A1494:I1494)=0,"",N(G1494)+N(H1494)+N(I1494))</f>
        <v/>
      </c>
      <c r="Q1494" s="56" t="str">
        <f>IF(COUNTA(A1494:I1494)=0,"",IF(N(IFERROR(INDEX(art_rate,MATCH(E1494,art_ref,0)),0))&gt;0,N(IFERROR(INDEX(art_rate,MATCH(E1494,art_ref,0)),0)),N(IFERROR(INDEX(po_rate,MATCH(C1494,po_code,0)),0))))</f>
        <v/>
      </c>
      <c r="R1494" s="55" t="str">
        <f>IF(AC1494=1,P1494*60/Q1494,"")</f>
        <v/>
      </c>
      <c r="S1494" s="55" t="str">
        <f>IF(AC1494=1,N(G1494)*60/Q1494,"")</f>
        <v/>
      </c>
      <c r="T1494" s="57" t="str">
        <f>IF(AC1494=1,O1494/M1494,"")</f>
        <v/>
      </c>
      <c r="U1494" s="57" t="str">
        <f>IF(AC1494=1,IF(O1494&gt;0,R1494/O1494,""),"")</f>
        <v/>
      </c>
      <c r="V1494" s="57" t="str">
        <f>IF(AC1494=1,IF(P1494&gt;0,N(G1494)/P1494,""),"")</f>
        <v/>
      </c>
      <c r="W1494" s="57" t="str">
        <f>IF(AC1494=1,S1494/M1494,"")</f>
        <v/>
      </c>
      <c r="X1494" s="57" t="str">
        <f>IF(AC1494=1,S1494/K1494,"")</f>
        <v/>
      </c>
      <c r="Y1494" s="58" t="str">
        <f>IF(W1494="","",IF(W1494&gt;=p_target,"Bon",IF(W1494&gt;=p_alert,"À surveiller","Faible")))</f>
        <v/>
      </c>
      <c r="Z1494" s="58" t="str">
        <f>IF(W1494="","",IF(MIN(IF(T1494="",1,T1494),IF(U1494="",1,U1494),IF(V1494="",1,V1494))&gt;=1,"Aucune",IF(IF(T1494="",1,T1494)&lt;=MIN(IF(U1494="",1,U1494),IF(V1494="",1,V1494)),"Disponibilité",IF(IF(U1494="",1,U1494)&lt;=IF(V1494="",1,V1494),"Performance","Qualité"))))</f>
        <v/>
      </c>
      <c r="AA1494" s="59" t="str">
        <f>IF(AC1494=1,N(H1494)*N(IFERROR(INDEX(art_cost,MATCH(E1494,art_ref,0)),0)),"")</f>
        <v/>
      </c>
      <c r="AB1494" s="58" t="str">
        <f>IF(COUNTA(A1494:I1494)=0,"",IF(N(A1494)&lt;=0,"Date manquante ou invalide",IF(B1494="","Équipe manquante",IF(ISNA(MATCH(B1494,eq_code,0)),"Équipe inconnue",IF(INDEX(eq_check,MATCH(B1494,eq_code,0))&lt;&gt;"OK","Équipe à corriger dans Paramètres",IF(C1494="","Poste manquant",IF(ISNA(MATCH(C1494,po_code,0)),"Poste inconnu",IF(AND(E1494&lt;&gt;"",ISNA(MATCH(E1494,art_ref,0))),"Article inconnu",IF(IF(E1494="",FALSE,INDEX(art_check,MATCH(E1494,art_ref,0))&lt;&gt;"OK"),"Article à corriger (feuille Articles)",IF(COUNTIFS(sj_date,A1494,sj_eq,B1494,sj_po,C1494)&gt;1,"Ligne en double (même jour, équipe et poste)",IF(OR(NOT(ISNUMBER(K1494)),N(K1494)&lt;=0,N(K1494)&gt;1440),"Temps d'ouverture invalide",IF(OR(AND(G1494&lt;&gt;"",NOT(ISNUMBER(G1494))),N(G1494)&lt;0,N(G1494)&lt;&gt;INT(N(G1494)),AND(H1494&lt;&gt;"",NOT(ISNUMBER(H1494))),N(H1494)&lt;0,N(H1494)&lt;&gt;INT(N(H1494)),AND(I1494&lt;&gt;"",NOT(ISNUMBER(I1494))),N(I1494)&lt;0,N(I1494)&lt;&gt;INT(N(I1494))),"Quantité invalide",IF(Q1494&lt;=0,"Cadence manquante (poste ou article)",IF(M1494&lt;=0,"Arrêts planifiés supérieurs au temps d'ouverture",IF(O1494&lt;0,"Arrêts supérieurs au temps requis",IF(AND(P1494&gt;0,O1494=0),"Pièces déclarées sans temps de marche",IF(AND(P1494=0,O1494&gt;0),"Aucune pièce déclarée",IF(P1494*60/Q1494&gt;O1494+0.001,"Cadence dépassée : vérifiez la cadence","OK"))))))))))))))))))</f>
        <v/>
      </c>
      <c r="AC1494">
        <f>IF(OR(AB1494="OK",AB1494="Aucune pièce déclarée",AB1494="Cadence dépassée : vérifiez la cadence"),1,0)</f>
        <v>0.0</v>
      </c>
      <c r="AD1494">
        <f>IF(AND(AC1494=1,A1494&gt;=p_from,A1494&lt;=p_to),1,0)</f>
        <v>0.0</v>
      </c>
      <c r="AE1494">
        <f>IF(AD1494=1,IF(COUNTIFS($A$6:A1494,A1494,$AD$6:AD1494,1)=1,1,0),0)</f>
        <v>0.0</v>
      </c>
      <c r="AF1494" t="str">
        <f>IF(AE1494=1,COUNTIFS(sj_first,1,sj_date,"&lt;"&amp;A1494)+1,"")</f>
        <v/>
      </c>
      <c r="AG1494" t="str">
        <f>IF(AND(AD1494=1,N(W1494)&lt;p_alert),ROUND(W1494,4),"")</f>
        <v/>
      </c>
      <c r="AH1494" t="str">
        <f>IF(AG1494="","",COUNTIF(sj_akey,"&lt;"&amp;AG1494)+COUNTIF($AG$6:AG1494,AG1494))</f>
        <v/>
      </c>
    </row>
    <row r="1495">
      <c r="A1495" s="51" t="n"/>
      <c r="B1495" s="52" t="n"/>
      <c r="C1495" s="52" t="n"/>
      <c r="D1495" s="53" t="n"/>
      <c r="E1495" s="53" t="n"/>
      <c r="F1495" s="54" t="n"/>
      <c r="G1495" s="54" t="n"/>
      <c r="H1495" s="54" t="n"/>
      <c r="I1495" s="54" t="n"/>
      <c r="J1495" s="53" t="n"/>
      <c r="K1495" s="55" t="str">
        <f>IF(COUNTA(A1495:I1495)=0,"",IF(F1495="",IFERROR(INDEX(eq_dur,MATCH(B1495,eq_code,0)),""),F1495))</f>
        <v/>
      </c>
      <c r="L1495" s="55" t="str">
        <f>IF(ISNUMBER(K1495),N(IFERROR(INDEX(eq_pause,MATCH(B1495,eq_code,0)),0))+SUMIFS(st_min,st_date,A1495,st_eq,B1495,st_po,C1495,st_type,"Planifié"),"")</f>
        <v/>
      </c>
      <c r="M1495" s="55" t="str">
        <f>IF(ISNUMBER(K1495),K1495-L1495,"")</f>
        <v/>
      </c>
      <c r="N1495" s="55" t="str">
        <f>IF(ISNUMBER(K1495),SUMIFS(st_min,st_date,A1495,st_eq,B1495,st_po,C1495,st_type,"Non planifié"),"")</f>
        <v/>
      </c>
      <c r="O1495" s="55" t="str">
        <f>IF(ISNUMBER(K1495),M1495-N1495,"")</f>
        <v/>
      </c>
      <c r="P1495" s="55" t="str">
        <f>IF(COUNTA(A1495:I1495)=0,"",N(G1495)+N(H1495)+N(I1495))</f>
        <v/>
      </c>
      <c r="Q1495" s="56" t="str">
        <f>IF(COUNTA(A1495:I1495)=0,"",IF(N(IFERROR(INDEX(art_rate,MATCH(E1495,art_ref,0)),0))&gt;0,N(IFERROR(INDEX(art_rate,MATCH(E1495,art_ref,0)),0)),N(IFERROR(INDEX(po_rate,MATCH(C1495,po_code,0)),0))))</f>
        <v/>
      </c>
      <c r="R1495" s="55" t="str">
        <f>IF(AC1495=1,P1495*60/Q1495,"")</f>
        <v/>
      </c>
      <c r="S1495" s="55" t="str">
        <f>IF(AC1495=1,N(G1495)*60/Q1495,"")</f>
        <v/>
      </c>
      <c r="T1495" s="57" t="str">
        <f>IF(AC1495=1,O1495/M1495,"")</f>
        <v/>
      </c>
      <c r="U1495" s="57" t="str">
        <f>IF(AC1495=1,IF(O1495&gt;0,R1495/O1495,""),"")</f>
        <v/>
      </c>
      <c r="V1495" s="57" t="str">
        <f>IF(AC1495=1,IF(P1495&gt;0,N(G1495)/P1495,""),"")</f>
        <v/>
      </c>
      <c r="W1495" s="57" t="str">
        <f>IF(AC1495=1,S1495/M1495,"")</f>
        <v/>
      </c>
      <c r="X1495" s="57" t="str">
        <f>IF(AC1495=1,S1495/K1495,"")</f>
        <v/>
      </c>
      <c r="Y1495" s="58" t="str">
        <f>IF(W1495="","",IF(W1495&gt;=p_target,"Bon",IF(W1495&gt;=p_alert,"À surveiller","Faible")))</f>
        <v/>
      </c>
      <c r="Z1495" s="58" t="str">
        <f>IF(W1495="","",IF(MIN(IF(T1495="",1,T1495),IF(U1495="",1,U1495),IF(V1495="",1,V1495))&gt;=1,"Aucune",IF(IF(T1495="",1,T1495)&lt;=MIN(IF(U1495="",1,U1495),IF(V1495="",1,V1495)),"Disponibilité",IF(IF(U1495="",1,U1495)&lt;=IF(V1495="",1,V1495),"Performance","Qualité"))))</f>
        <v/>
      </c>
      <c r="AA1495" s="59" t="str">
        <f>IF(AC1495=1,N(H1495)*N(IFERROR(INDEX(art_cost,MATCH(E1495,art_ref,0)),0)),"")</f>
        <v/>
      </c>
      <c r="AB1495" s="58" t="str">
        <f>IF(COUNTA(A1495:I1495)=0,"",IF(N(A1495)&lt;=0,"Date manquante ou invalide",IF(B1495="","Équipe manquante",IF(ISNA(MATCH(B1495,eq_code,0)),"Équipe inconnue",IF(INDEX(eq_check,MATCH(B1495,eq_code,0))&lt;&gt;"OK","Équipe à corriger dans Paramètres",IF(C1495="","Poste manquant",IF(ISNA(MATCH(C1495,po_code,0)),"Poste inconnu",IF(AND(E1495&lt;&gt;"",ISNA(MATCH(E1495,art_ref,0))),"Article inconnu",IF(IF(E1495="",FALSE,INDEX(art_check,MATCH(E1495,art_ref,0))&lt;&gt;"OK"),"Article à corriger (feuille Articles)",IF(COUNTIFS(sj_date,A1495,sj_eq,B1495,sj_po,C1495)&gt;1,"Ligne en double (même jour, équipe et poste)",IF(OR(NOT(ISNUMBER(K1495)),N(K1495)&lt;=0,N(K1495)&gt;1440),"Temps d'ouverture invalide",IF(OR(AND(G1495&lt;&gt;"",NOT(ISNUMBER(G1495))),N(G1495)&lt;0,N(G1495)&lt;&gt;INT(N(G1495)),AND(H1495&lt;&gt;"",NOT(ISNUMBER(H1495))),N(H1495)&lt;0,N(H1495)&lt;&gt;INT(N(H1495)),AND(I1495&lt;&gt;"",NOT(ISNUMBER(I1495))),N(I1495)&lt;0,N(I1495)&lt;&gt;INT(N(I1495))),"Quantité invalide",IF(Q1495&lt;=0,"Cadence manquante (poste ou article)",IF(M1495&lt;=0,"Arrêts planifiés supérieurs au temps d'ouverture",IF(O1495&lt;0,"Arrêts supérieurs au temps requis",IF(AND(P1495&gt;0,O1495=0),"Pièces déclarées sans temps de marche",IF(AND(P1495=0,O1495&gt;0),"Aucune pièce déclarée",IF(P1495*60/Q1495&gt;O1495+0.001,"Cadence dépassée : vérifiez la cadence","OK"))))))))))))))))))</f>
        <v/>
      </c>
      <c r="AC1495">
        <f>IF(OR(AB1495="OK",AB1495="Aucune pièce déclarée",AB1495="Cadence dépassée : vérifiez la cadence"),1,0)</f>
        <v>0.0</v>
      </c>
      <c r="AD1495">
        <f>IF(AND(AC1495=1,A1495&gt;=p_from,A1495&lt;=p_to),1,0)</f>
        <v>0.0</v>
      </c>
      <c r="AE1495">
        <f>IF(AD1495=1,IF(COUNTIFS($A$6:A1495,A1495,$AD$6:AD1495,1)=1,1,0),0)</f>
        <v>0.0</v>
      </c>
      <c r="AF1495" t="str">
        <f>IF(AE1495=1,COUNTIFS(sj_first,1,sj_date,"&lt;"&amp;A1495)+1,"")</f>
        <v/>
      </c>
      <c r="AG1495" t="str">
        <f>IF(AND(AD1495=1,N(W1495)&lt;p_alert),ROUND(W1495,4),"")</f>
        <v/>
      </c>
      <c r="AH1495" t="str">
        <f>IF(AG1495="","",COUNTIF(sj_akey,"&lt;"&amp;AG1495)+COUNTIF($AG$6:AG1495,AG1495))</f>
        <v/>
      </c>
    </row>
    <row r="1496">
      <c r="A1496" s="51" t="n"/>
      <c r="B1496" s="52" t="n"/>
      <c r="C1496" s="52" t="n"/>
      <c r="D1496" s="53" t="n"/>
      <c r="E1496" s="53" t="n"/>
      <c r="F1496" s="54" t="n"/>
      <c r="G1496" s="54" t="n"/>
      <c r="H1496" s="54" t="n"/>
      <c r="I1496" s="54" t="n"/>
      <c r="J1496" s="53" t="n"/>
      <c r="K1496" s="55" t="str">
        <f>IF(COUNTA(A1496:I1496)=0,"",IF(F1496="",IFERROR(INDEX(eq_dur,MATCH(B1496,eq_code,0)),""),F1496))</f>
        <v/>
      </c>
      <c r="L1496" s="55" t="str">
        <f>IF(ISNUMBER(K1496),N(IFERROR(INDEX(eq_pause,MATCH(B1496,eq_code,0)),0))+SUMIFS(st_min,st_date,A1496,st_eq,B1496,st_po,C1496,st_type,"Planifié"),"")</f>
        <v/>
      </c>
      <c r="M1496" s="55" t="str">
        <f>IF(ISNUMBER(K1496),K1496-L1496,"")</f>
        <v/>
      </c>
      <c r="N1496" s="55" t="str">
        <f>IF(ISNUMBER(K1496),SUMIFS(st_min,st_date,A1496,st_eq,B1496,st_po,C1496,st_type,"Non planifié"),"")</f>
        <v/>
      </c>
      <c r="O1496" s="55" t="str">
        <f>IF(ISNUMBER(K1496),M1496-N1496,"")</f>
        <v/>
      </c>
      <c r="P1496" s="55" t="str">
        <f>IF(COUNTA(A1496:I1496)=0,"",N(G1496)+N(H1496)+N(I1496))</f>
        <v/>
      </c>
      <c r="Q1496" s="56" t="str">
        <f>IF(COUNTA(A1496:I1496)=0,"",IF(N(IFERROR(INDEX(art_rate,MATCH(E1496,art_ref,0)),0))&gt;0,N(IFERROR(INDEX(art_rate,MATCH(E1496,art_ref,0)),0)),N(IFERROR(INDEX(po_rate,MATCH(C1496,po_code,0)),0))))</f>
        <v/>
      </c>
      <c r="R1496" s="55" t="str">
        <f>IF(AC1496=1,P1496*60/Q1496,"")</f>
        <v/>
      </c>
      <c r="S1496" s="55" t="str">
        <f>IF(AC1496=1,N(G1496)*60/Q1496,"")</f>
        <v/>
      </c>
      <c r="T1496" s="57" t="str">
        <f>IF(AC1496=1,O1496/M1496,"")</f>
        <v/>
      </c>
      <c r="U1496" s="57" t="str">
        <f>IF(AC1496=1,IF(O1496&gt;0,R1496/O1496,""),"")</f>
        <v/>
      </c>
      <c r="V1496" s="57" t="str">
        <f>IF(AC1496=1,IF(P1496&gt;0,N(G1496)/P1496,""),"")</f>
        <v/>
      </c>
      <c r="W1496" s="57" t="str">
        <f>IF(AC1496=1,S1496/M1496,"")</f>
        <v/>
      </c>
      <c r="X1496" s="57" t="str">
        <f>IF(AC1496=1,S1496/K1496,"")</f>
        <v/>
      </c>
      <c r="Y1496" s="58" t="str">
        <f>IF(W1496="","",IF(W1496&gt;=p_target,"Bon",IF(W1496&gt;=p_alert,"À surveiller","Faible")))</f>
        <v/>
      </c>
      <c r="Z1496" s="58" t="str">
        <f>IF(W1496="","",IF(MIN(IF(T1496="",1,T1496),IF(U1496="",1,U1496),IF(V1496="",1,V1496))&gt;=1,"Aucune",IF(IF(T1496="",1,T1496)&lt;=MIN(IF(U1496="",1,U1496),IF(V1496="",1,V1496)),"Disponibilité",IF(IF(U1496="",1,U1496)&lt;=IF(V1496="",1,V1496),"Performance","Qualité"))))</f>
        <v/>
      </c>
      <c r="AA1496" s="59" t="str">
        <f>IF(AC1496=1,N(H1496)*N(IFERROR(INDEX(art_cost,MATCH(E1496,art_ref,0)),0)),"")</f>
        <v/>
      </c>
      <c r="AB1496" s="58" t="str">
        <f>IF(COUNTA(A1496:I1496)=0,"",IF(N(A1496)&lt;=0,"Date manquante ou invalide",IF(B1496="","Équipe manquante",IF(ISNA(MATCH(B1496,eq_code,0)),"Équipe inconnue",IF(INDEX(eq_check,MATCH(B1496,eq_code,0))&lt;&gt;"OK","Équipe à corriger dans Paramètres",IF(C1496="","Poste manquant",IF(ISNA(MATCH(C1496,po_code,0)),"Poste inconnu",IF(AND(E1496&lt;&gt;"",ISNA(MATCH(E1496,art_ref,0))),"Article inconnu",IF(IF(E1496="",FALSE,INDEX(art_check,MATCH(E1496,art_ref,0))&lt;&gt;"OK"),"Article à corriger (feuille Articles)",IF(COUNTIFS(sj_date,A1496,sj_eq,B1496,sj_po,C1496)&gt;1,"Ligne en double (même jour, équipe et poste)",IF(OR(NOT(ISNUMBER(K1496)),N(K1496)&lt;=0,N(K1496)&gt;1440),"Temps d'ouverture invalide",IF(OR(AND(G1496&lt;&gt;"",NOT(ISNUMBER(G1496))),N(G1496)&lt;0,N(G1496)&lt;&gt;INT(N(G1496)),AND(H1496&lt;&gt;"",NOT(ISNUMBER(H1496))),N(H1496)&lt;0,N(H1496)&lt;&gt;INT(N(H1496)),AND(I1496&lt;&gt;"",NOT(ISNUMBER(I1496))),N(I1496)&lt;0,N(I1496)&lt;&gt;INT(N(I1496))),"Quantité invalide",IF(Q1496&lt;=0,"Cadence manquante (poste ou article)",IF(M1496&lt;=0,"Arrêts planifiés supérieurs au temps d'ouverture",IF(O1496&lt;0,"Arrêts supérieurs au temps requis",IF(AND(P1496&gt;0,O1496=0),"Pièces déclarées sans temps de marche",IF(AND(P1496=0,O1496&gt;0),"Aucune pièce déclarée",IF(P1496*60/Q1496&gt;O1496+0.001,"Cadence dépassée : vérifiez la cadence","OK"))))))))))))))))))</f>
        <v/>
      </c>
      <c r="AC1496">
        <f>IF(OR(AB1496="OK",AB1496="Aucune pièce déclarée",AB1496="Cadence dépassée : vérifiez la cadence"),1,0)</f>
        <v>0.0</v>
      </c>
      <c r="AD1496">
        <f>IF(AND(AC1496=1,A1496&gt;=p_from,A1496&lt;=p_to),1,0)</f>
        <v>0.0</v>
      </c>
      <c r="AE1496">
        <f>IF(AD1496=1,IF(COUNTIFS($A$6:A1496,A1496,$AD$6:AD1496,1)=1,1,0),0)</f>
        <v>0.0</v>
      </c>
      <c r="AF1496" t="str">
        <f>IF(AE1496=1,COUNTIFS(sj_first,1,sj_date,"&lt;"&amp;A1496)+1,"")</f>
        <v/>
      </c>
      <c r="AG1496" t="str">
        <f>IF(AND(AD1496=1,N(W1496)&lt;p_alert),ROUND(W1496,4),"")</f>
        <v/>
      </c>
      <c r="AH1496" t="str">
        <f>IF(AG1496="","",COUNTIF(sj_akey,"&lt;"&amp;AG1496)+COUNTIF($AG$6:AG1496,AG1496))</f>
        <v/>
      </c>
    </row>
    <row r="1497">
      <c r="A1497" s="51" t="n"/>
      <c r="B1497" s="52" t="n"/>
      <c r="C1497" s="52" t="n"/>
      <c r="D1497" s="53" t="n"/>
      <c r="E1497" s="53" t="n"/>
      <c r="F1497" s="54" t="n"/>
      <c r="G1497" s="54" t="n"/>
      <c r="H1497" s="54" t="n"/>
      <c r="I1497" s="54" t="n"/>
      <c r="J1497" s="53" t="n"/>
      <c r="K1497" s="55" t="str">
        <f>IF(COUNTA(A1497:I1497)=0,"",IF(F1497="",IFERROR(INDEX(eq_dur,MATCH(B1497,eq_code,0)),""),F1497))</f>
        <v/>
      </c>
      <c r="L1497" s="55" t="str">
        <f>IF(ISNUMBER(K1497),N(IFERROR(INDEX(eq_pause,MATCH(B1497,eq_code,0)),0))+SUMIFS(st_min,st_date,A1497,st_eq,B1497,st_po,C1497,st_type,"Planifié"),"")</f>
        <v/>
      </c>
      <c r="M1497" s="55" t="str">
        <f>IF(ISNUMBER(K1497),K1497-L1497,"")</f>
        <v/>
      </c>
      <c r="N1497" s="55" t="str">
        <f>IF(ISNUMBER(K1497),SUMIFS(st_min,st_date,A1497,st_eq,B1497,st_po,C1497,st_type,"Non planifié"),"")</f>
        <v/>
      </c>
      <c r="O1497" s="55" t="str">
        <f>IF(ISNUMBER(K1497),M1497-N1497,"")</f>
        <v/>
      </c>
      <c r="P1497" s="55" t="str">
        <f>IF(COUNTA(A1497:I1497)=0,"",N(G1497)+N(H1497)+N(I1497))</f>
        <v/>
      </c>
      <c r="Q1497" s="56" t="str">
        <f>IF(COUNTA(A1497:I1497)=0,"",IF(N(IFERROR(INDEX(art_rate,MATCH(E1497,art_ref,0)),0))&gt;0,N(IFERROR(INDEX(art_rate,MATCH(E1497,art_ref,0)),0)),N(IFERROR(INDEX(po_rate,MATCH(C1497,po_code,0)),0))))</f>
        <v/>
      </c>
      <c r="R1497" s="55" t="str">
        <f>IF(AC1497=1,P1497*60/Q1497,"")</f>
        <v/>
      </c>
      <c r="S1497" s="55" t="str">
        <f>IF(AC1497=1,N(G1497)*60/Q1497,"")</f>
        <v/>
      </c>
      <c r="T1497" s="57" t="str">
        <f>IF(AC1497=1,O1497/M1497,"")</f>
        <v/>
      </c>
      <c r="U1497" s="57" t="str">
        <f>IF(AC1497=1,IF(O1497&gt;0,R1497/O1497,""),"")</f>
        <v/>
      </c>
      <c r="V1497" s="57" t="str">
        <f>IF(AC1497=1,IF(P1497&gt;0,N(G1497)/P1497,""),"")</f>
        <v/>
      </c>
      <c r="W1497" s="57" t="str">
        <f>IF(AC1497=1,S1497/M1497,"")</f>
        <v/>
      </c>
      <c r="X1497" s="57" t="str">
        <f>IF(AC1497=1,S1497/K1497,"")</f>
        <v/>
      </c>
      <c r="Y1497" s="58" t="str">
        <f>IF(W1497="","",IF(W1497&gt;=p_target,"Bon",IF(W1497&gt;=p_alert,"À surveiller","Faible")))</f>
        <v/>
      </c>
      <c r="Z1497" s="58" t="str">
        <f>IF(W1497="","",IF(MIN(IF(T1497="",1,T1497),IF(U1497="",1,U1497),IF(V1497="",1,V1497))&gt;=1,"Aucune",IF(IF(T1497="",1,T1497)&lt;=MIN(IF(U1497="",1,U1497),IF(V1497="",1,V1497)),"Disponibilité",IF(IF(U1497="",1,U1497)&lt;=IF(V1497="",1,V1497),"Performance","Qualité"))))</f>
        <v/>
      </c>
      <c r="AA1497" s="59" t="str">
        <f>IF(AC1497=1,N(H1497)*N(IFERROR(INDEX(art_cost,MATCH(E1497,art_ref,0)),0)),"")</f>
        <v/>
      </c>
      <c r="AB1497" s="58" t="str">
        <f>IF(COUNTA(A1497:I1497)=0,"",IF(N(A1497)&lt;=0,"Date manquante ou invalide",IF(B1497="","Équipe manquante",IF(ISNA(MATCH(B1497,eq_code,0)),"Équipe inconnue",IF(INDEX(eq_check,MATCH(B1497,eq_code,0))&lt;&gt;"OK","Équipe à corriger dans Paramètres",IF(C1497="","Poste manquant",IF(ISNA(MATCH(C1497,po_code,0)),"Poste inconnu",IF(AND(E1497&lt;&gt;"",ISNA(MATCH(E1497,art_ref,0))),"Article inconnu",IF(IF(E1497="",FALSE,INDEX(art_check,MATCH(E1497,art_ref,0))&lt;&gt;"OK"),"Article à corriger (feuille Articles)",IF(COUNTIFS(sj_date,A1497,sj_eq,B1497,sj_po,C1497)&gt;1,"Ligne en double (même jour, équipe et poste)",IF(OR(NOT(ISNUMBER(K1497)),N(K1497)&lt;=0,N(K1497)&gt;1440),"Temps d'ouverture invalide",IF(OR(AND(G1497&lt;&gt;"",NOT(ISNUMBER(G1497))),N(G1497)&lt;0,N(G1497)&lt;&gt;INT(N(G1497)),AND(H1497&lt;&gt;"",NOT(ISNUMBER(H1497))),N(H1497)&lt;0,N(H1497)&lt;&gt;INT(N(H1497)),AND(I1497&lt;&gt;"",NOT(ISNUMBER(I1497))),N(I1497)&lt;0,N(I1497)&lt;&gt;INT(N(I1497))),"Quantité invalide",IF(Q1497&lt;=0,"Cadence manquante (poste ou article)",IF(M1497&lt;=0,"Arrêts planifiés supérieurs au temps d'ouverture",IF(O1497&lt;0,"Arrêts supérieurs au temps requis",IF(AND(P1497&gt;0,O1497=0),"Pièces déclarées sans temps de marche",IF(AND(P1497=0,O1497&gt;0),"Aucune pièce déclarée",IF(P1497*60/Q1497&gt;O1497+0.001,"Cadence dépassée : vérifiez la cadence","OK"))))))))))))))))))</f>
        <v/>
      </c>
      <c r="AC1497">
        <f>IF(OR(AB1497="OK",AB1497="Aucune pièce déclarée",AB1497="Cadence dépassée : vérifiez la cadence"),1,0)</f>
        <v>0.0</v>
      </c>
      <c r="AD1497">
        <f>IF(AND(AC1497=1,A1497&gt;=p_from,A1497&lt;=p_to),1,0)</f>
        <v>0.0</v>
      </c>
      <c r="AE1497">
        <f>IF(AD1497=1,IF(COUNTIFS($A$6:A1497,A1497,$AD$6:AD1497,1)=1,1,0),0)</f>
        <v>0.0</v>
      </c>
      <c r="AF1497" t="str">
        <f>IF(AE1497=1,COUNTIFS(sj_first,1,sj_date,"&lt;"&amp;A1497)+1,"")</f>
        <v/>
      </c>
      <c r="AG1497" t="str">
        <f>IF(AND(AD1497=1,N(W1497)&lt;p_alert),ROUND(W1497,4),"")</f>
        <v/>
      </c>
      <c r="AH1497" t="str">
        <f>IF(AG1497="","",COUNTIF(sj_akey,"&lt;"&amp;AG1497)+COUNTIF($AG$6:AG1497,AG1497))</f>
        <v/>
      </c>
    </row>
    <row r="1498">
      <c r="A1498" s="51" t="n"/>
      <c r="B1498" s="52" t="n"/>
      <c r="C1498" s="52" t="n"/>
      <c r="D1498" s="53" t="n"/>
      <c r="E1498" s="53" t="n"/>
      <c r="F1498" s="54" t="n"/>
      <c r="G1498" s="54" t="n"/>
      <c r="H1498" s="54" t="n"/>
      <c r="I1498" s="54" t="n"/>
      <c r="J1498" s="53" t="n"/>
      <c r="K1498" s="55" t="str">
        <f>IF(COUNTA(A1498:I1498)=0,"",IF(F1498="",IFERROR(INDEX(eq_dur,MATCH(B1498,eq_code,0)),""),F1498))</f>
        <v/>
      </c>
      <c r="L1498" s="55" t="str">
        <f>IF(ISNUMBER(K1498),N(IFERROR(INDEX(eq_pause,MATCH(B1498,eq_code,0)),0))+SUMIFS(st_min,st_date,A1498,st_eq,B1498,st_po,C1498,st_type,"Planifié"),"")</f>
        <v/>
      </c>
      <c r="M1498" s="55" t="str">
        <f>IF(ISNUMBER(K1498),K1498-L1498,"")</f>
        <v/>
      </c>
      <c r="N1498" s="55" t="str">
        <f>IF(ISNUMBER(K1498),SUMIFS(st_min,st_date,A1498,st_eq,B1498,st_po,C1498,st_type,"Non planifié"),"")</f>
        <v/>
      </c>
      <c r="O1498" s="55" t="str">
        <f>IF(ISNUMBER(K1498),M1498-N1498,"")</f>
        <v/>
      </c>
      <c r="P1498" s="55" t="str">
        <f>IF(COUNTA(A1498:I1498)=0,"",N(G1498)+N(H1498)+N(I1498))</f>
        <v/>
      </c>
      <c r="Q1498" s="56" t="str">
        <f>IF(COUNTA(A1498:I1498)=0,"",IF(N(IFERROR(INDEX(art_rate,MATCH(E1498,art_ref,0)),0))&gt;0,N(IFERROR(INDEX(art_rate,MATCH(E1498,art_ref,0)),0)),N(IFERROR(INDEX(po_rate,MATCH(C1498,po_code,0)),0))))</f>
        <v/>
      </c>
      <c r="R1498" s="55" t="str">
        <f>IF(AC1498=1,P1498*60/Q1498,"")</f>
        <v/>
      </c>
      <c r="S1498" s="55" t="str">
        <f>IF(AC1498=1,N(G1498)*60/Q1498,"")</f>
        <v/>
      </c>
      <c r="T1498" s="57" t="str">
        <f>IF(AC1498=1,O1498/M1498,"")</f>
        <v/>
      </c>
      <c r="U1498" s="57" t="str">
        <f>IF(AC1498=1,IF(O1498&gt;0,R1498/O1498,""),"")</f>
        <v/>
      </c>
      <c r="V1498" s="57" t="str">
        <f>IF(AC1498=1,IF(P1498&gt;0,N(G1498)/P1498,""),"")</f>
        <v/>
      </c>
      <c r="W1498" s="57" t="str">
        <f>IF(AC1498=1,S1498/M1498,"")</f>
        <v/>
      </c>
      <c r="X1498" s="57" t="str">
        <f>IF(AC1498=1,S1498/K1498,"")</f>
        <v/>
      </c>
      <c r="Y1498" s="58" t="str">
        <f>IF(W1498="","",IF(W1498&gt;=p_target,"Bon",IF(W1498&gt;=p_alert,"À surveiller","Faible")))</f>
        <v/>
      </c>
      <c r="Z1498" s="58" t="str">
        <f>IF(W1498="","",IF(MIN(IF(T1498="",1,T1498),IF(U1498="",1,U1498),IF(V1498="",1,V1498))&gt;=1,"Aucune",IF(IF(T1498="",1,T1498)&lt;=MIN(IF(U1498="",1,U1498),IF(V1498="",1,V1498)),"Disponibilité",IF(IF(U1498="",1,U1498)&lt;=IF(V1498="",1,V1498),"Performance","Qualité"))))</f>
        <v/>
      </c>
      <c r="AA1498" s="59" t="str">
        <f>IF(AC1498=1,N(H1498)*N(IFERROR(INDEX(art_cost,MATCH(E1498,art_ref,0)),0)),"")</f>
        <v/>
      </c>
      <c r="AB1498" s="58" t="str">
        <f>IF(COUNTA(A1498:I1498)=0,"",IF(N(A1498)&lt;=0,"Date manquante ou invalide",IF(B1498="","Équipe manquante",IF(ISNA(MATCH(B1498,eq_code,0)),"Équipe inconnue",IF(INDEX(eq_check,MATCH(B1498,eq_code,0))&lt;&gt;"OK","Équipe à corriger dans Paramètres",IF(C1498="","Poste manquant",IF(ISNA(MATCH(C1498,po_code,0)),"Poste inconnu",IF(AND(E1498&lt;&gt;"",ISNA(MATCH(E1498,art_ref,0))),"Article inconnu",IF(IF(E1498="",FALSE,INDEX(art_check,MATCH(E1498,art_ref,0))&lt;&gt;"OK"),"Article à corriger (feuille Articles)",IF(COUNTIFS(sj_date,A1498,sj_eq,B1498,sj_po,C1498)&gt;1,"Ligne en double (même jour, équipe et poste)",IF(OR(NOT(ISNUMBER(K1498)),N(K1498)&lt;=0,N(K1498)&gt;1440),"Temps d'ouverture invalide",IF(OR(AND(G1498&lt;&gt;"",NOT(ISNUMBER(G1498))),N(G1498)&lt;0,N(G1498)&lt;&gt;INT(N(G1498)),AND(H1498&lt;&gt;"",NOT(ISNUMBER(H1498))),N(H1498)&lt;0,N(H1498)&lt;&gt;INT(N(H1498)),AND(I1498&lt;&gt;"",NOT(ISNUMBER(I1498))),N(I1498)&lt;0,N(I1498)&lt;&gt;INT(N(I1498))),"Quantité invalide",IF(Q1498&lt;=0,"Cadence manquante (poste ou article)",IF(M1498&lt;=0,"Arrêts planifiés supérieurs au temps d'ouverture",IF(O1498&lt;0,"Arrêts supérieurs au temps requis",IF(AND(P1498&gt;0,O1498=0),"Pièces déclarées sans temps de marche",IF(AND(P1498=0,O1498&gt;0),"Aucune pièce déclarée",IF(P1498*60/Q1498&gt;O1498+0.001,"Cadence dépassée : vérifiez la cadence","OK"))))))))))))))))))</f>
        <v/>
      </c>
      <c r="AC1498">
        <f>IF(OR(AB1498="OK",AB1498="Aucune pièce déclarée",AB1498="Cadence dépassée : vérifiez la cadence"),1,0)</f>
        <v>0.0</v>
      </c>
      <c r="AD1498">
        <f>IF(AND(AC1498=1,A1498&gt;=p_from,A1498&lt;=p_to),1,0)</f>
        <v>0.0</v>
      </c>
      <c r="AE1498">
        <f>IF(AD1498=1,IF(COUNTIFS($A$6:A1498,A1498,$AD$6:AD1498,1)=1,1,0),0)</f>
        <v>0.0</v>
      </c>
      <c r="AF1498" t="str">
        <f>IF(AE1498=1,COUNTIFS(sj_first,1,sj_date,"&lt;"&amp;A1498)+1,"")</f>
        <v/>
      </c>
      <c r="AG1498" t="str">
        <f>IF(AND(AD1498=1,N(W1498)&lt;p_alert),ROUND(W1498,4),"")</f>
        <v/>
      </c>
      <c r="AH1498" t="str">
        <f>IF(AG1498="","",COUNTIF(sj_akey,"&lt;"&amp;AG1498)+COUNTIF($AG$6:AG1498,AG1498))</f>
        <v/>
      </c>
    </row>
    <row r="1499">
      <c r="A1499" s="51" t="n"/>
      <c r="B1499" s="52" t="n"/>
      <c r="C1499" s="52" t="n"/>
      <c r="D1499" s="53" t="n"/>
      <c r="E1499" s="53" t="n"/>
      <c r="F1499" s="54" t="n"/>
      <c r="G1499" s="54" t="n"/>
      <c r="H1499" s="54" t="n"/>
      <c r="I1499" s="54" t="n"/>
      <c r="J1499" s="53" t="n"/>
      <c r="K1499" s="55" t="str">
        <f>IF(COUNTA(A1499:I1499)=0,"",IF(F1499="",IFERROR(INDEX(eq_dur,MATCH(B1499,eq_code,0)),""),F1499))</f>
        <v/>
      </c>
      <c r="L1499" s="55" t="str">
        <f>IF(ISNUMBER(K1499),N(IFERROR(INDEX(eq_pause,MATCH(B1499,eq_code,0)),0))+SUMIFS(st_min,st_date,A1499,st_eq,B1499,st_po,C1499,st_type,"Planifié"),"")</f>
        <v/>
      </c>
      <c r="M1499" s="55" t="str">
        <f>IF(ISNUMBER(K1499),K1499-L1499,"")</f>
        <v/>
      </c>
      <c r="N1499" s="55" t="str">
        <f>IF(ISNUMBER(K1499),SUMIFS(st_min,st_date,A1499,st_eq,B1499,st_po,C1499,st_type,"Non planifié"),"")</f>
        <v/>
      </c>
      <c r="O1499" s="55" t="str">
        <f>IF(ISNUMBER(K1499),M1499-N1499,"")</f>
        <v/>
      </c>
      <c r="P1499" s="55" t="str">
        <f>IF(COUNTA(A1499:I1499)=0,"",N(G1499)+N(H1499)+N(I1499))</f>
        <v/>
      </c>
      <c r="Q1499" s="56" t="str">
        <f>IF(COUNTA(A1499:I1499)=0,"",IF(N(IFERROR(INDEX(art_rate,MATCH(E1499,art_ref,0)),0))&gt;0,N(IFERROR(INDEX(art_rate,MATCH(E1499,art_ref,0)),0)),N(IFERROR(INDEX(po_rate,MATCH(C1499,po_code,0)),0))))</f>
        <v/>
      </c>
      <c r="R1499" s="55" t="str">
        <f>IF(AC1499=1,P1499*60/Q1499,"")</f>
        <v/>
      </c>
      <c r="S1499" s="55" t="str">
        <f>IF(AC1499=1,N(G1499)*60/Q1499,"")</f>
        <v/>
      </c>
      <c r="T1499" s="57" t="str">
        <f>IF(AC1499=1,O1499/M1499,"")</f>
        <v/>
      </c>
      <c r="U1499" s="57" t="str">
        <f>IF(AC1499=1,IF(O1499&gt;0,R1499/O1499,""),"")</f>
        <v/>
      </c>
      <c r="V1499" s="57" t="str">
        <f>IF(AC1499=1,IF(P1499&gt;0,N(G1499)/P1499,""),"")</f>
        <v/>
      </c>
      <c r="W1499" s="57" t="str">
        <f>IF(AC1499=1,S1499/M1499,"")</f>
        <v/>
      </c>
      <c r="X1499" s="57" t="str">
        <f>IF(AC1499=1,S1499/K1499,"")</f>
        <v/>
      </c>
      <c r="Y1499" s="58" t="str">
        <f>IF(W1499="","",IF(W1499&gt;=p_target,"Bon",IF(W1499&gt;=p_alert,"À surveiller","Faible")))</f>
        <v/>
      </c>
      <c r="Z1499" s="58" t="str">
        <f>IF(W1499="","",IF(MIN(IF(T1499="",1,T1499),IF(U1499="",1,U1499),IF(V1499="",1,V1499))&gt;=1,"Aucune",IF(IF(T1499="",1,T1499)&lt;=MIN(IF(U1499="",1,U1499),IF(V1499="",1,V1499)),"Disponibilité",IF(IF(U1499="",1,U1499)&lt;=IF(V1499="",1,V1499),"Performance","Qualité"))))</f>
        <v/>
      </c>
      <c r="AA1499" s="59" t="str">
        <f>IF(AC1499=1,N(H1499)*N(IFERROR(INDEX(art_cost,MATCH(E1499,art_ref,0)),0)),"")</f>
        <v/>
      </c>
      <c r="AB1499" s="58" t="str">
        <f>IF(COUNTA(A1499:I1499)=0,"",IF(N(A1499)&lt;=0,"Date manquante ou invalide",IF(B1499="","Équipe manquante",IF(ISNA(MATCH(B1499,eq_code,0)),"Équipe inconnue",IF(INDEX(eq_check,MATCH(B1499,eq_code,0))&lt;&gt;"OK","Équipe à corriger dans Paramètres",IF(C1499="","Poste manquant",IF(ISNA(MATCH(C1499,po_code,0)),"Poste inconnu",IF(AND(E1499&lt;&gt;"",ISNA(MATCH(E1499,art_ref,0))),"Article inconnu",IF(IF(E1499="",FALSE,INDEX(art_check,MATCH(E1499,art_ref,0))&lt;&gt;"OK"),"Article à corriger (feuille Articles)",IF(COUNTIFS(sj_date,A1499,sj_eq,B1499,sj_po,C1499)&gt;1,"Ligne en double (même jour, équipe et poste)",IF(OR(NOT(ISNUMBER(K1499)),N(K1499)&lt;=0,N(K1499)&gt;1440),"Temps d'ouverture invalide",IF(OR(AND(G1499&lt;&gt;"",NOT(ISNUMBER(G1499))),N(G1499)&lt;0,N(G1499)&lt;&gt;INT(N(G1499)),AND(H1499&lt;&gt;"",NOT(ISNUMBER(H1499))),N(H1499)&lt;0,N(H1499)&lt;&gt;INT(N(H1499)),AND(I1499&lt;&gt;"",NOT(ISNUMBER(I1499))),N(I1499)&lt;0,N(I1499)&lt;&gt;INT(N(I1499))),"Quantité invalide",IF(Q1499&lt;=0,"Cadence manquante (poste ou article)",IF(M1499&lt;=0,"Arrêts planifiés supérieurs au temps d'ouverture",IF(O1499&lt;0,"Arrêts supérieurs au temps requis",IF(AND(P1499&gt;0,O1499=0),"Pièces déclarées sans temps de marche",IF(AND(P1499=0,O1499&gt;0),"Aucune pièce déclarée",IF(P1499*60/Q1499&gt;O1499+0.001,"Cadence dépassée : vérifiez la cadence","OK"))))))))))))))))))</f>
        <v/>
      </c>
      <c r="AC1499">
        <f>IF(OR(AB1499="OK",AB1499="Aucune pièce déclarée",AB1499="Cadence dépassée : vérifiez la cadence"),1,0)</f>
        <v>0.0</v>
      </c>
      <c r="AD1499">
        <f>IF(AND(AC1499=1,A1499&gt;=p_from,A1499&lt;=p_to),1,0)</f>
        <v>0.0</v>
      </c>
      <c r="AE1499">
        <f>IF(AD1499=1,IF(COUNTIFS($A$6:A1499,A1499,$AD$6:AD1499,1)=1,1,0),0)</f>
        <v>0.0</v>
      </c>
      <c r="AF1499" t="str">
        <f>IF(AE1499=1,COUNTIFS(sj_first,1,sj_date,"&lt;"&amp;A1499)+1,"")</f>
        <v/>
      </c>
      <c r="AG1499" t="str">
        <f>IF(AND(AD1499=1,N(W1499)&lt;p_alert),ROUND(W1499,4),"")</f>
        <v/>
      </c>
      <c r="AH1499" t="str">
        <f>IF(AG1499="","",COUNTIF(sj_akey,"&lt;"&amp;AG1499)+COUNTIF($AG$6:AG1499,AG1499))</f>
        <v/>
      </c>
    </row>
    <row r="1500">
      <c r="A1500" s="51" t="n"/>
      <c r="B1500" s="52" t="n"/>
      <c r="C1500" s="52" t="n"/>
      <c r="D1500" s="53" t="n"/>
      <c r="E1500" s="53" t="n"/>
      <c r="F1500" s="54" t="n"/>
      <c r="G1500" s="54" t="n"/>
      <c r="H1500" s="54" t="n"/>
      <c r="I1500" s="54" t="n"/>
      <c r="J1500" s="53" t="n"/>
      <c r="K1500" s="55" t="str">
        <f>IF(COUNTA(A1500:I1500)=0,"",IF(F1500="",IFERROR(INDEX(eq_dur,MATCH(B1500,eq_code,0)),""),F1500))</f>
        <v/>
      </c>
      <c r="L1500" s="55" t="str">
        <f>IF(ISNUMBER(K1500),N(IFERROR(INDEX(eq_pause,MATCH(B1500,eq_code,0)),0))+SUMIFS(st_min,st_date,A1500,st_eq,B1500,st_po,C1500,st_type,"Planifié"),"")</f>
        <v/>
      </c>
      <c r="M1500" s="55" t="str">
        <f>IF(ISNUMBER(K1500),K1500-L1500,"")</f>
        <v/>
      </c>
      <c r="N1500" s="55" t="str">
        <f>IF(ISNUMBER(K1500),SUMIFS(st_min,st_date,A1500,st_eq,B1500,st_po,C1500,st_type,"Non planifié"),"")</f>
        <v/>
      </c>
      <c r="O1500" s="55" t="str">
        <f>IF(ISNUMBER(K1500),M1500-N1500,"")</f>
        <v/>
      </c>
      <c r="P1500" s="55" t="str">
        <f>IF(COUNTA(A1500:I1500)=0,"",N(G1500)+N(H1500)+N(I1500))</f>
        <v/>
      </c>
      <c r="Q1500" s="56" t="str">
        <f>IF(COUNTA(A1500:I1500)=0,"",IF(N(IFERROR(INDEX(art_rate,MATCH(E1500,art_ref,0)),0))&gt;0,N(IFERROR(INDEX(art_rate,MATCH(E1500,art_ref,0)),0)),N(IFERROR(INDEX(po_rate,MATCH(C1500,po_code,0)),0))))</f>
        <v/>
      </c>
      <c r="R1500" s="55" t="str">
        <f>IF(AC1500=1,P1500*60/Q1500,"")</f>
        <v/>
      </c>
      <c r="S1500" s="55" t="str">
        <f>IF(AC1500=1,N(G1500)*60/Q1500,"")</f>
        <v/>
      </c>
      <c r="T1500" s="57" t="str">
        <f>IF(AC1500=1,O1500/M1500,"")</f>
        <v/>
      </c>
      <c r="U1500" s="57" t="str">
        <f>IF(AC1500=1,IF(O1500&gt;0,R1500/O1500,""),"")</f>
        <v/>
      </c>
      <c r="V1500" s="57" t="str">
        <f>IF(AC1500=1,IF(P1500&gt;0,N(G1500)/P1500,""),"")</f>
        <v/>
      </c>
      <c r="W1500" s="57" t="str">
        <f>IF(AC1500=1,S1500/M1500,"")</f>
        <v/>
      </c>
      <c r="X1500" s="57" t="str">
        <f>IF(AC1500=1,S1500/K1500,"")</f>
        <v/>
      </c>
      <c r="Y1500" s="58" t="str">
        <f>IF(W1500="","",IF(W1500&gt;=p_target,"Bon",IF(W1500&gt;=p_alert,"À surveiller","Faible")))</f>
        <v/>
      </c>
      <c r="Z1500" s="58" t="str">
        <f>IF(W1500="","",IF(MIN(IF(T1500="",1,T1500),IF(U1500="",1,U1500),IF(V1500="",1,V1500))&gt;=1,"Aucune",IF(IF(T1500="",1,T1500)&lt;=MIN(IF(U1500="",1,U1500),IF(V1500="",1,V1500)),"Disponibilité",IF(IF(U1500="",1,U1500)&lt;=IF(V1500="",1,V1500),"Performance","Qualité"))))</f>
        <v/>
      </c>
      <c r="AA1500" s="59" t="str">
        <f>IF(AC1500=1,N(H1500)*N(IFERROR(INDEX(art_cost,MATCH(E1500,art_ref,0)),0)),"")</f>
        <v/>
      </c>
      <c r="AB1500" s="58" t="str">
        <f>IF(COUNTA(A1500:I1500)=0,"",IF(N(A1500)&lt;=0,"Date manquante ou invalide",IF(B1500="","Équipe manquante",IF(ISNA(MATCH(B1500,eq_code,0)),"Équipe inconnue",IF(INDEX(eq_check,MATCH(B1500,eq_code,0))&lt;&gt;"OK","Équipe à corriger dans Paramètres",IF(C1500="","Poste manquant",IF(ISNA(MATCH(C1500,po_code,0)),"Poste inconnu",IF(AND(E1500&lt;&gt;"",ISNA(MATCH(E1500,art_ref,0))),"Article inconnu",IF(IF(E1500="",FALSE,INDEX(art_check,MATCH(E1500,art_ref,0))&lt;&gt;"OK"),"Article à corriger (feuille Articles)",IF(COUNTIFS(sj_date,A1500,sj_eq,B1500,sj_po,C1500)&gt;1,"Ligne en double (même jour, équipe et poste)",IF(OR(NOT(ISNUMBER(K1500)),N(K1500)&lt;=0,N(K1500)&gt;1440),"Temps d'ouverture invalide",IF(OR(AND(G1500&lt;&gt;"",NOT(ISNUMBER(G1500))),N(G1500)&lt;0,N(G1500)&lt;&gt;INT(N(G1500)),AND(H1500&lt;&gt;"",NOT(ISNUMBER(H1500))),N(H1500)&lt;0,N(H1500)&lt;&gt;INT(N(H1500)),AND(I1500&lt;&gt;"",NOT(ISNUMBER(I1500))),N(I1500)&lt;0,N(I1500)&lt;&gt;INT(N(I1500))),"Quantité invalide",IF(Q1500&lt;=0,"Cadence manquante (poste ou article)",IF(M1500&lt;=0,"Arrêts planifiés supérieurs au temps d'ouverture",IF(O1500&lt;0,"Arrêts supérieurs au temps requis",IF(AND(P1500&gt;0,O1500=0),"Pièces déclarées sans temps de marche",IF(AND(P1500=0,O1500&gt;0),"Aucune pièce déclarée",IF(P1500*60/Q1500&gt;O1500+0.001,"Cadence dépassée : vérifiez la cadence","OK"))))))))))))))))))</f>
        <v/>
      </c>
      <c r="AC1500">
        <f>IF(OR(AB1500="OK",AB1500="Aucune pièce déclarée",AB1500="Cadence dépassée : vérifiez la cadence"),1,0)</f>
        <v>0.0</v>
      </c>
      <c r="AD1500">
        <f>IF(AND(AC1500=1,A1500&gt;=p_from,A1500&lt;=p_to),1,0)</f>
        <v>0.0</v>
      </c>
      <c r="AE1500">
        <f>IF(AD1500=1,IF(COUNTIFS($A$6:A1500,A1500,$AD$6:AD1500,1)=1,1,0),0)</f>
        <v>0.0</v>
      </c>
      <c r="AF1500" t="str">
        <f>IF(AE1500=1,COUNTIFS(sj_first,1,sj_date,"&lt;"&amp;A1500)+1,"")</f>
        <v/>
      </c>
      <c r="AG1500" t="str">
        <f>IF(AND(AD1500=1,N(W1500)&lt;p_alert),ROUND(W1500,4),"")</f>
        <v/>
      </c>
      <c r="AH1500" t="str">
        <f>IF(AG1500="","",COUNTIF(sj_akey,"&lt;"&amp;AG1500)+COUNTIF($AG$6:AG1500,AG1500))</f>
        <v/>
      </c>
    </row>
    <row r="1501">
      <c r="A1501" s="51" t="n"/>
      <c r="B1501" s="52" t="n"/>
      <c r="C1501" s="52" t="n"/>
      <c r="D1501" s="53" t="n"/>
      <c r="E1501" s="53" t="n"/>
      <c r="F1501" s="54" t="n"/>
      <c r="G1501" s="54" t="n"/>
      <c r="H1501" s="54" t="n"/>
      <c r="I1501" s="54" t="n"/>
      <c r="J1501" s="53" t="n"/>
      <c r="K1501" s="55" t="str">
        <f>IF(COUNTA(A1501:I1501)=0,"",IF(F1501="",IFERROR(INDEX(eq_dur,MATCH(B1501,eq_code,0)),""),F1501))</f>
        <v/>
      </c>
      <c r="L1501" s="55" t="str">
        <f>IF(ISNUMBER(K1501),N(IFERROR(INDEX(eq_pause,MATCH(B1501,eq_code,0)),0))+SUMIFS(st_min,st_date,A1501,st_eq,B1501,st_po,C1501,st_type,"Planifié"),"")</f>
        <v/>
      </c>
      <c r="M1501" s="55" t="str">
        <f>IF(ISNUMBER(K1501),K1501-L1501,"")</f>
        <v/>
      </c>
      <c r="N1501" s="55" t="str">
        <f>IF(ISNUMBER(K1501),SUMIFS(st_min,st_date,A1501,st_eq,B1501,st_po,C1501,st_type,"Non planifié"),"")</f>
        <v/>
      </c>
      <c r="O1501" s="55" t="str">
        <f>IF(ISNUMBER(K1501),M1501-N1501,"")</f>
        <v/>
      </c>
      <c r="P1501" s="55" t="str">
        <f>IF(COUNTA(A1501:I1501)=0,"",N(G1501)+N(H1501)+N(I1501))</f>
        <v/>
      </c>
      <c r="Q1501" s="56" t="str">
        <f>IF(COUNTA(A1501:I1501)=0,"",IF(N(IFERROR(INDEX(art_rate,MATCH(E1501,art_ref,0)),0))&gt;0,N(IFERROR(INDEX(art_rate,MATCH(E1501,art_ref,0)),0)),N(IFERROR(INDEX(po_rate,MATCH(C1501,po_code,0)),0))))</f>
        <v/>
      </c>
      <c r="R1501" s="55" t="str">
        <f>IF(AC1501=1,P1501*60/Q1501,"")</f>
        <v/>
      </c>
      <c r="S1501" s="55" t="str">
        <f>IF(AC1501=1,N(G1501)*60/Q1501,"")</f>
        <v/>
      </c>
      <c r="T1501" s="57" t="str">
        <f>IF(AC1501=1,O1501/M1501,"")</f>
        <v/>
      </c>
      <c r="U1501" s="57" t="str">
        <f>IF(AC1501=1,IF(O1501&gt;0,R1501/O1501,""),"")</f>
        <v/>
      </c>
      <c r="V1501" s="57" t="str">
        <f>IF(AC1501=1,IF(P1501&gt;0,N(G1501)/P1501,""),"")</f>
        <v/>
      </c>
      <c r="W1501" s="57" t="str">
        <f>IF(AC1501=1,S1501/M1501,"")</f>
        <v/>
      </c>
      <c r="X1501" s="57" t="str">
        <f>IF(AC1501=1,S1501/K1501,"")</f>
        <v/>
      </c>
      <c r="Y1501" s="58" t="str">
        <f>IF(W1501="","",IF(W1501&gt;=p_target,"Bon",IF(W1501&gt;=p_alert,"À surveiller","Faible")))</f>
        <v/>
      </c>
      <c r="Z1501" s="58" t="str">
        <f>IF(W1501="","",IF(MIN(IF(T1501="",1,T1501),IF(U1501="",1,U1501),IF(V1501="",1,V1501))&gt;=1,"Aucune",IF(IF(T1501="",1,T1501)&lt;=MIN(IF(U1501="",1,U1501),IF(V1501="",1,V1501)),"Disponibilité",IF(IF(U1501="",1,U1501)&lt;=IF(V1501="",1,V1501),"Performance","Qualité"))))</f>
        <v/>
      </c>
      <c r="AA1501" s="59" t="str">
        <f>IF(AC1501=1,N(H1501)*N(IFERROR(INDEX(art_cost,MATCH(E1501,art_ref,0)),0)),"")</f>
        <v/>
      </c>
      <c r="AB1501" s="58" t="str">
        <f>IF(COUNTA(A1501:I1501)=0,"",IF(N(A1501)&lt;=0,"Date manquante ou invalide",IF(B1501="","Équipe manquante",IF(ISNA(MATCH(B1501,eq_code,0)),"Équipe inconnue",IF(INDEX(eq_check,MATCH(B1501,eq_code,0))&lt;&gt;"OK","Équipe à corriger dans Paramètres",IF(C1501="","Poste manquant",IF(ISNA(MATCH(C1501,po_code,0)),"Poste inconnu",IF(AND(E1501&lt;&gt;"",ISNA(MATCH(E1501,art_ref,0))),"Article inconnu",IF(IF(E1501="",FALSE,INDEX(art_check,MATCH(E1501,art_ref,0))&lt;&gt;"OK"),"Article à corriger (feuille Articles)",IF(COUNTIFS(sj_date,A1501,sj_eq,B1501,sj_po,C1501)&gt;1,"Ligne en double (même jour, équipe et poste)",IF(OR(NOT(ISNUMBER(K1501)),N(K1501)&lt;=0,N(K1501)&gt;1440),"Temps d'ouverture invalide",IF(OR(AND(G1501&lt;&gt;"",NOT(ISNUMBER(G1501))),N(G1501)&lt;0,N(G1501)&lt;&gt;INT(N(G1501)),AND(H1501&lt;&gt;"",NOT(ISNUMBER(H1501))),N(H1501)&lt;0,N(H1501)&lt;&gt;INT(N(H1501)),AND(I1501&lt;&gt;"",NOT(ISNUMBER(I1501))),N(I1501)&lt;0,N(I1501)&lt;&gt;INT(N(I1501))),"Quantité invalide",IF(Q1501&lt;=0,"Cadence manquante (poste ou article)",IF(M1501&lt;=0,"Arrêts planifiés supérieurs au temps d'ouverture",IF(O1501&lt;0,"Arrêts supérieurs au temps requis",IF(AND(P1501&gt;0,O1501=0),"Pièces déclarées sans temps de marche",IF(AND(P1501=0,O1501&gt;0),"Aucune pièce déclarée",IF(P1501*60/Q1501&gt;O1501+0.001,"Cadence dépassée : vérifiez la cadence","OK"))))))))))))))))))</f>
        <v/>
      </c>
      <c r="AC1501">
        <f>IF(OR(AB1501="OK",AB1501="Aucune pièce déclarée",AB1501="Cadence dépassée : vérifiez la cadence"),1,0)</f>
        <v>0.0</v>
      </c>
      <c r="AD1501">
        <f>IF(AND(AC1501=1,A1501&gt;=p_from,A1501&lt;=p_to),1,0)</f>
        <v>0.0</v>
      </c>
      <c r="AE1501">
        <f>IF(AD1501=1,IF(COUNTIFS($A$6:A1501,A1501,$AD$6:AD1501,1)=1,1,0),0)</f>
        <v>0.0</v>
      </c>
      <c r="AF1501" t="str">
        <f>IF(AE1501=1,COUNTIFS(sj_first,1,sj_date,"&lt;"&amp;A1501)+1,"")</f>
        <v/>
      </c>
      <c r="AG1501" t="str">
        <f>IF(AND(AD1501=1,N(W1501)&lt;p_alert),ROUND(W1501,4),"")</f>
        <v/>
      </c>
      <c r="AH1501" t="str">
        <f>IF(AG1501="","",COUNTIF(sj_akey,"&lt;"&amp;AG1501)+COUNTIF($AG$6:AG1501,AG1501))</f>
        <v/>
      </c>
    </row>
    <row r="1502">
      <c r="A1502" s="51" t="n"/>
      <c r="B1502" s="52" t="n"/>
      <c r="C1502" s="52" t="n"/>
      <c r="D1502" s="53" t="n"/>
      <c r="E1502" s="53" t="n"/>
      <c r="F1502" s="54" t="n"/>
      <c r="G1502" s="54" t="n"/>
      <c r="H1502" s="54" t="n"/>
      <c r="I1502" s="54" t="n"/>
      <c r="J1502" s="53" t="n"/>
      <c r="K1502" s="55" t="str">
        <f>IF(COUNTA(A1502:I1502)=0,"",IF(F1502="",IFERROR(INDEX(eq_dur,MATCH(B1502,eq_code,0)),""),F1502))</f>
        <v/>
      </c>
      <c r="L1502" s="55" t="str">
        <f>IF(ISNUMBER(K1502),N(IFERROR(INDEX(eq_pause,MATCH(B1502,eq_code,0)),0))+SUMIFS(st_min,st_date,A1502,st_eq,B1502,st_po,C1502,st_type,"Planifié"),"")</f>
        <v/>
      </c>
      <c r="M1502" s="55" t="str">
        <f>IF(ISNUMBER(K1502),K1502-L1502,"")</f>
        <v/>
      </c>
      <c r="N1502" s="55" t="str">
        <f>IF(ISNUMBER(K1502),SUMIFS(st_min,st_date,A1502,st_eq,B1502,st_po,C1502,st_type,"Non planifié"),"")</f>
        <v/>
      </c>
      <c r="O1502" s="55" t="str">
        <f>IF(ISNUMBER(K1502),M1502-N1502,"")</f>
        <v/>
      </c>
      <c r="P1502" s="55" t="str">
        <f>IF(COUNTA(A1502:I1502)=0,"",N(G1502)+N(H1502)+N(I1502))</f>
        <v/>
      </c>
      <c r="Q1502" s="56" t="str">
        <f>IF(COUNTA(A1502:I1502)=0,"",IF(N(IFERROR(INDEX(art_rate,MATCH(E1502,art_ref,0)),0))&gt;0,N(IFERROR(INDEX(art_rate,MATCH(E1502,art_ref,0)),0)),N(IFERROR(INDEX(po_rate,MATCH(C1502,po_code,0)),0))))</f>
        <v/>
      </c>
      <c r="R1502" s="55" t="str">
        <f>IF(AC1502=1,P1502*60/Q1502,"")</f>
        <v/>
      </c>
      <c r="S1502" s="55" t="str">
        <f>IF(AC1502=1,N(G1502)*60/Q1502,"")</f>
        <v/>
      </c>
      <c r="T1502" s="57" t="str">
        <f>IF(AC1502=1,O1502/M1502,"")</f>
        <v/>
      </c>
      <c r="U1502" s="57" t="str">
        <f>IF(AC1502=1,IF(O1502&gt;0,R1502/O1502,""),"")</f>
        <v/>
      </c>
      <c r="V1502" s="57" t="str">
        <f>IF(AC1502=1,IF(P1502&gt;0,N(G1502)/P1502,""),"")</f>
        <v/>
      </c>
      <c r="W1502" s="57" t="str">
        <f>IF(AC1502=1,S1502/M1502,"")</f>
        <v/>
      </c>
      <c r="X1502" s="57" t="str">
        <f>IF(AC1502=1,S1502/K1502,"")</f>
        <v/>
      </c>
      <c r="Y1502" s="58" t="str">
        <f>IF(W1502="","",IF(W1502&gt;=p_target,"Bon",IF(W1502&gt;=p_alert,"À surveiller","Faible")))</f>
        <v/>
      </c>
      <c r="Z1502" s="58" t="str">
        <f>IF(W1502="","",IF(MIN(IF(T1502="",1,T1502),IF(U1502="",1,U1502),IF(V1502="",1,V1502))&gt;=1,"Aucune",IF(IF(T1502="",1,T1502)&lt;=MIN(IF(U1502="",1,U1502),IF(V1502="",1,V1502)),"Disponibilité",IF(IF(U1502="",1,U1502)&lt;=IF(V1502="",1,V1502),"Performance","Qualité"))))</f>
        <v/>
      </c>
      <c r="AA1502" s="59" t="str">
        <f>IF(AC1502=1,N(H1502)*N(IFERROR(INDEX(art_cost,MATCH(E1502,art_ref,0)),0)),"")</f>
        <v/>
      </c>
      <c r="AB1502" s="58" t="str">
        <f>IF(COUNTA(A1502:I1502)=0,"",IF(N(A1502)&lt;=0,"Date manquante ou invalide",IF(B1502="","Équipe manquante",IF(ISNA(MATCH(B1502,eq_code,0)),"Équipe inconnue",IF(INDEX(eq_check,MATCH(B1502,eq_code,0))&lt;&gt;"OK","Équipe à corriger dans Paramètres",IF(C1502="","Poste manquant",IF(ISNA(MATCH(C1502,po_code,0)),"Poste inconnu",IF(AND(E1502&lt;&gt;"",ISNA(MATCH(E1502,art_ref,0))),"Article inconnu",IF(IF(E1502="",FALSE,INDEX(art_check,MATCH(E1502,art_ref,0))&lt;&gt;"OK"),"Article à corriger (feuille Articles)",IF(COUNTIFS(sj_date,A1502,sj_eq,B1502,sj_po,C1502)&gt;1,"Ligne en double (même jour, équipe et poste)",IF(OR(NOT(ISNUMBER(K1502)),N(K1502)&lt;=0,N(K1502)&gt;1440),"Temps d'ouverture invalide",IF(OR(AND(G1502&lt;&gt;"",NOT(ISNUMBER(G1502))),N(G1502)&lt;0,N(G1502)&lt;&gt;INT(N(G1502)),AND(H1502&lt;&gt;"",NOT(ISNUMBER(H1502))),N(H1502)&lt;0,N(H1502)&lt;&gt;INT(N(H1502)),AND(I1502&lt;&gt;"",NOT(ISNUMBER(I1502))),N(I1502)&lt;0,N(I1502)&lt;&gt;INT(N(I1502))),"Quantité invalide",IF(Q1502&lt;=0,"Cadence manquante (poste ou article)",IF(M1502&lt;=0,"Arrêts planifiés supérieurs au temps d'ouverture",IF(O1502&lt;0,"Arrêts supérieurs au temps requis",IF(AND(P1502&gt;0,O1502=0),"Pièces déclarées sans temps de marche",IF(AND(P1502=0,O1502&gt;0),"Aucune pièce déclarée",IF(P1502*60/Q1502&gt;O1502+0.001,"Cadence dépassée : vérifiez la cadence","OK"))))))))))))))))))</f>
        <v/>
      </c>
      <c r="AC1502">
        <f>IF(OR(AB1502="OK",AB1502="Aucune pièce déclarée",AB1502="Cadence dépassée : vérifiez la cadence"),1,0)</f>
        <v>0.0</v>
      </c>
      <c r="AD1502">
        <f>IF(AND(AC1502=1,A1502&gt;=p_from,A1502&lt;=p_to),1,0)</f>
        <v>0.0</v>
      </c>
      <c r="AE1502">
        <f>IF(AD1502=1,IF(COUNTIFS($A$6:A1502,A1502,$AD$6:AD1502,1)=1,1,0),0)</f>
        <v>0.0</v>
      </c>
      <c r="AF1502" t="str">
        <f>IF(AE1502=1,COUNTIFS(sj_first,1,sj_date,"&lt;"&amp;A1502)+1,"")</f>
        <v/>
      </c>
      <c r="AG1502" t="str">
        <f>IF(AND(AD1502=1,N(W1502)&lt;p_alert),ROUND(W1502,4),"")</f>
        <v/>
      </c>
      <c r="AH1502" t="str">
        <f>IF(AG1502="","",COUNTIF(sj_akey,"&lt;"&amp;AG1502)+COUNTIF($AG$6:AG1502,AG1502))</f>
        <v/>
      </c>
    </row>
    <row r="1503">
      <c r="A1503" s="51" t="n"/>
      <c r="B1503" s="52" t="n"/>
      <c r="C1503" s="52" t="n"/>
      <c r="D1503" s="53" t="n"/>
      <c r="E1503" s="53" t="n"/>
      <c r="F1503" s="54" t="n"/>
      <c r="G1503" s="54" t="n"/>
      <c r="H1503" s="54" t="n"/>
      <c r="I1503" s="54" t="n"/>
      <c r="J1503" s="53" t="n"/>
      <c r="K1503" s="55" t="str">
        <f>IF(COUNTA(A1503:I1503)=0,"",IF(F1503="",IFERROR(INDEX(eq_dur,MATCH(B1503,eq_code,0)),""),F1503))</f>
        <v/>
      </c>
      <c r="L1503" s="55" t="str">
        <f>IF(ISNUMBER(K1503),N(IFERROR(INDEX(eq_pause,MATCH(B1503,eq_code,0)),0))+SUMIFS(st_min,st_date,A1503,st_eq,B1503,st_po,C1503,st_type,"Planifié"),"")</f>
        <v/>
      </c>
      <c r="M1503" s="55" t="str">
        <f>IF(ISNUMBER(K1503),K1503-L1503,"")</f>
        <v/>
      </c>
      <c r="N1503" s="55" t="str">
        <f>IF(ISNUMBER(K1503),SUMIFS(st_min,st_date,A1503,st_eq,B1503,st_po,C1503,st_type,"Non planifié"),"")</f>
        <v/>
      </c>
      <c r="O1503" s="55" t="str">
        <f>IF(ISNUMBER(K1503),M1503-N1503,"")</f>
        <v/>
      </c>
      <c r="P1503" s="55" t="str">
        <f>IF(COUNTA(A1503:I1503)=0,"",N(G1503)+N(H1503)+N(I1503))</f>
        <v/>
      </c>
      <c r="Q1503" s="56" t="str">
        <f>IF(COUNTA(A1503:I1503)=0,"",IF(N(IFERROR(INDEX(art_rate,MATCH(E1503,art_ref,0)),0))&gt;0,N(IFERROR(INDEX(art_rate,MATCH(E1503,art_ref,0)),0)),N(IFERROR(INDEX(po_rate,MATCH(C1503,po_code,0)),0))))</f>
        <v/>
      </c>
      <c r="R1503" s="55" t="str">
        <f>IF(AC1503=1,P1503*60/Q1503,"")</f>
        <v/>
      </c>
      <c r="S1503" s="55" t="str">
        <f>IF(AC1503=1,N(G1503)*60/Q1503,"")</f>
        <v/>
      </c>
      <c r="T1503" s="57" t="str">
        <f>IF(AC1503=1,O1503/M1503,"")</f>
        <v/>
      </c>
      <c r="U1503" s="57" t="str">
        <f>IF(AC1503=1,IF(O1503&gt;0,R1503/O1503,""),"")</f>
        <v/>
      </c>
      <c r="V1503" s="57" t="str">
        <f>IF(AC1503=1,IF(P1503&gt;0,N(G1503)/P1503,""),"")</f>
        <v/>
      </c>
      <c r="W1503" s="57" t="str">
        <f>IF(AC1503=1,S1503/M1503,"")</f>
        <v/>
      </c>
      <c r="X1503" s="57" t="str">
        <f>IF(AC1503=1,S1503/K1503,"")</f>
        <v/>
      </c>
      <c r="Y1503" s="58" t="str">
        <f>IF(W1503="","",IF(W1503&gt;=p_target,"Bon",IF(W1503&gt;=p_alert,"À surveiller","Faible")))</f>
        <v/>
      </c>
      <c r="Z1503" s="58" t="str">
        <f>IF(W1503="","",IF(MIN(IF(T1503="",1,T1503),IF(U1503="",1,U1503),IF(V1503="",1,V1503))&gt;=1,"Aucune",IF(IF(T1503="",1,T1503)&lt;=MIN(IF(U1503="",1,U1503),IF(V1503="",1,V1503)),"Disponibilité",IF(IF(U1503="",1,U1503)&lt;=IF(V1503="",1,V1503),"Performance","Qualité"))))</f>
        <v/>
      </c>
      <c r="AA1503" s="59" t="str">
        <f>IF(AC1503=1,N(H1503)*N(IFERROR(INDEX(art_cost,MATCH(E1503,art_ref,0)),0)),"")</f>
        <v/>
      </c>
      <c r="AB1503" s="58" t="str">
        <f>IF(COUNTA(A1503:I1503)=0,"",IF(N(A1503)&lt;=0,"Date manquante ou invalide",IF(B1503="","Équipe manquante",IF(ISNA(MATCH(B1503,eq_code,0)),"Équipe inconnue",IF(INDEX(eq_check,MATCH(B1503,eq_code,0))&lt;&gt;"OK","Équipe à corriger dans Paramètres",IF(C1503="","Poste manquant",IF(ISNA(MATCH(C1503,po_code,0)),"Poste inconnu",IF(AND(E1503&lt;&gt;"",ISNA(MATCH(E1503,art_ref,0))),"Article inconnu",IF(IF(E1503="",FALSE,INDEX(art_check,MATCH(E1503,art_ref,0))&lt;&gt;"OK"),"Article à corriger (feuille Articles)",IF(COUNTIFS(sj_date,A1503,sj_eq,B1503,sj_po,C1503)&gt;1,"Ligne en double (même jour, équipe et poste)",IF(OR(NOT(ISNUMBER(K1503)),N(K1503)&lt;=0,N(K1503)&gt;1440),"Temps d'ouverture invalide",IF(OR(AND(G1503&lt;&gt;"",NOT(ISNUMBER(G1503))),N(G1503)&lt;0,N(G1503)&lt;&gt;INT(N(G1503)),AND(H1503&lt;&gt;"",NOT(ISNUMBER(H1503))),N(H1503)&lt;0,N(H1503)&lt;&gt;INT(N(H1503)),AND(I1503&lt;&gt;"",NOT(ISNUMBER(I1503))),N(I1503)&lt;0,N(I1503)&lt;&gt;INT(N(I1503))),"Quantité invalide",IF(Q1503&lt;=0,"Cadence manquante (poste ou article)",IF(M1503&lt;=0,"Arrêts planifiés supérieurs au temps d'ouverture",IF(O1503&lt;0,"Arrêts supérieurs au temps requis",IF(AND(P1503&gt;0,O1503=0),"Pièces déclarées sans temps de marche",IF(AND(P1503=0,O1503&gt;0),"Aucune pièce déclarée",IF(P1503*60/Q1503&gt;O1503+0.001,"Cadence dépassée : vérifiez la cadence","OK"))))))))))))))))))</f>
        <v/>
      </c>
      <c r="AC1503">
        <f>IF(OR(AB1503="OK",AB1503="Aucune pièce déclarée",AB1503="Cadence dépassée : vérifiez la cadence"),1,0)</f>
        <v>0.0</v>
      </c>
      <c r="AD1503">
        <f>IF(AND(AC1503=1,A1503&gt;=p_from,A1503&lt;=p_to),1,0)</f>
        <v>0.0</v>
      </c>
      <c r="AE1503">
        <f>IF(AD1503=1,IF(COUNTIFS($A$6:A1503,A1503,$AD$6:AD1503,1)=1,1,0),0)</f>
        <v>0.0</v>
      </c>
      <c r="AF1503" t="str">
        <f>IF(AE1503=1,COUNTIFS(sj_first,1,sj_date,"&lt;"&amp;A1503)+1,"")</f>
        <v/>
      </c>
      <c r="AG1503" t="str">
        <f>IF(AND(AD1503=1,N(W1503)&lt;p_alert),ROUND(W1503,4),"")</f>
        <v/>
      </c>
      <c r="AH1503" t="str">
        <f>IF(AG1503="","",COUNTIF(sj_akey,"&lt;"&amp;AG1503)+COUNTIF($AG$6:AG1503,AG1503))</f>
        <v/>
      </c>
    </row>
    <row r="1504">
      <c r="A1504" s="51" t="n"/>
      <c r="B1504" s="52" t="n"/>
      <c r="C1504" s="52" t="n"/>
      <c r="D1504" s="53" t="n"/>
      <c r="E1504" s="53" t="n"/>
      <c r="F1504" s="54" t="n"/>
      <c r="G1504" s="54" t="n"/>
      <c r="H1504" s="54" t="n"/>
      <c r="I1504" s="54" t="n"/>
      <c r="J1504" s="53" t="n"/>
      <c r="K1504" s="55" t="str">
        <f>IF(COUNTA(A1504:I1504)=0,"",IF(F1504="",IFERROR(INDEX(eq_dur,MATCH(B1504,eq_code,0)),""),F1504))</f>
        <v/>
      </c>
      <c r="L1504" s="55" t="str">
        <f>IF(ISNUMBER(K1504),N(IFERROR(INDEX(eq_pause,MATCH(B1504,eq_code,0)),0))+SUMIFS(st_min,st_date,A1504,st_eq,B1504,st_po,C1504,st_type,"Planifié"),"")</f>
        <v/>
      </c>
      <c r="M1504" s="55" t="str">
        <f>IF(ISNUMBER(K1504),K1504-L1504,"")</f>
        <v/>
      </c>
      <c r="N1504" s="55" t="str">
        <f>IF(ISNUMBER(K1504),SUMIFS(st_min,st_date,A1504,st_eq,B1504,st_po,C1504,st_type,"Non planifié"),"")</f>
        <v/>
      </c>
      <c r="O1504" s="55" t="str">
        <f>IF(ISNUMBER(K1504),M1504-N1504,"")</f>
        <v/>
      </c>
      <c r="P1504" s="55" t="str">
        <f>IF(COUNTA(A1504:I1504)=0,"",N(G1504)+N(H1504)+N(I1504))</f>
        <v/>
      </c>
      <c r="Q1504" s="56" t="str">
        <f>IF(COUNTA(A1504:I1504)=0,"",IF(N(IFERROR(INDEX(art_rate,MATCH(E1504,art_ref,0)),0))&gt;0,N(IFERROR(INDEX(art_rate,MATCH(E1504,art_ref,0)),0)),N(IFERROR(INDEX(po_rate,MATCH(C1504,po_code,0)),0))))</f>
        <v/>
      </c>
      <c r="R1504" s="55" t="str">
        <f>IF(AC1504=1,P1504*60/Q1504,"")</f>
        <v/>
      </c>
      <c r="S1504" s="55" t="str">
        <f>IF(AC1504=1,N(G1504)*60/Q1504,"")</f>
        <v/>
      </c>
      <c r="T1504" s="57" t="str">
        <f>IF(AC1504=1,O1504/M1504,"")</f>
        <v/>
      </c>
      <c r="U1504" s="57" t="str">
        <f>IF(AC1504=1,IF(O1504&gt;0,R1504/O1504,""),"")</f>
        <v/>
      </c>
      <c r="V1504" s="57" t="str">
        <f>IF(AC1504=1,IF(P1504&gt;0,N(G1504)/P1504,""),"")</f>
        <v/>
      </c>
      <c r="W1504" s="57" t="str">
        <f>IF(AC1504=1,S1504/M1504,"")</f>
        <v/>
      </c>
      <c r="X1504" s="57" t="str">
        <f>IF(AC1504=1,S1504/K1504,"")</f>
        <v/>
      </c>
      <c r="Y1504" s="58" t="str">
        <f>IF(W1504="","",IF(W1504&gt;=p_target,"Bon",IF(W1504&gt;=p_alert,"À surveiller","Faible")))</f>
        <v/>
      </c>
      <c r="Z1504" s="58" t="str">
        <f>IF(W1504="","",IF(MIN(IF(T1504="",1,T1504),IF(U1504="",1,U1504),IF(V1504="",1,V1504))&gt;=1,"Aucune",IF(IF(T1504="",1,T1504)&lt;=MIN(IF(U1504="",1,U1504),IF(V1504="",1,V1504)),"Disponibilité",IF(IF(U1504="",1,U1504)&lt;=IF(V1504="",1,V1504),"Performance","Qualité"))))</f>
        <v/>
      </c>
      <c r="AA1504" s="59" t="str">
        <f>IF(AC1504=1,N(H1504)*N(IFERROR(INDEX(art_cost,MATCH(E1504,art_ref,0)),0)),"")</f>
        <v/>
      </c>
      <c r="AB1504" s="58" t="str">
        <f>IF(COUNTA(A1504:I1504)=0,"",IF(N(A1504)&lt;=0,"Date manquante ou invalide",IF(B1504="","Équipe manquante",IF(ISNA(MATCH(B1504,eq_code,0)),"Équipe inconnue",IF(INDEX(eq_check,MATCH(B1504,eq_code,0))&lt;&gt;"OK","Équipe à corriger dans Paramètres",IF(C1504="","Poste manquant",IF(ISNA(MATCH(C1504,po_code,0)),"Poste inconnu",IF(AND(E1504&lt;&gt;"",ISNA(MATCH(E1504,art_ref,0))),"Article inconnu",IF(IF(E1504="",FALSE,INDEX(art_check,MATCH(E1504,art_ref,0))&lt;&gt;"OK"),"Article à corriger (feuille Articles)",IF(COUNTIFS(sj_date,A1504,sj_eq,B1504,sj_po,C1504)&gt;1,"Ligne en double (même jour, équipe et poste)",IF(OR(NOT(ISNUMBER(K1504)),N(K1504)&lt;=0,N(K1504)&gt;1440),"Temps d'ouverture invalide",IF(OR(AND(G1504&lt;&gt;"",NOT(ISNUMBER(G1504))),N(G1504)&lt;0,N(G1504)&lt;&gt;INT(N(G1504)),AND(H1504&lt;&gt;"",NOT(ISNUMBER(H1504))),N(H1504)&lt;0,N(H1504)&lt;&gt;INT(N(H1504)),AND(I1504&lt;&gt;"",NOT(ISNUMBER(I1504))),N(I1504)&lt;0,N(I1504)&lt;&gt;INT(N(I1504))),"Quantité invalide",IF(Q1504&lt;=0,"Cadence manquante (poste ou article)",IF(M1504&lt;=0,"Arrêts planifiés supérieurs au temps d'ouverture",IF(O1504&lt;0,"Arrêts supérieurs au temps requis",IF(AND(P1504&gt;0,O1504=0),"Pièces déclarées sans temps de marche",IF(AND(P1504=0,O1504&gt;0),"Aucune pièce déclarée",IF(P1504*60/Q1504&gt;O1504+0.001,"Cadence dépassée : vérifiez la cadence","OK"))))))))))))))))))</f>
        <v/>
      </c>
      <c r="AC1504">
        <f>IF(OR(AB1504="OK",AB1504="Aucune pièce déclarée",AB1504="Cadence dépassée : vérifiez la cadence"),1,0)</f>
        <v>0.0</v>
      </c>
      <c r="AD1504">
        <f>IF(AND(AC1504=1,A1504&gt;=p_from,A1504&lt;=p_to),1,0)</f>
        <v>0.0</v>
      </c>
      <c r="AE1504">
        <f>IF(AD1504=1,IF(COUNTIFS($A$6:A1504,A1504,$AD$6:AD1504,1)=1,1,0),0)</f>
        <v>0.0</v>
      </c>
      <c r="AF1504" t="str">
        <f>IF(AE1504=1,COUNTIFS(sj_first,1,sj_date,"&lt;"&amp;A1504)+1,"")</f>
        <v/>
      </c>
      <c r="AG1504" t="str">
        <f>IF(AND(AD1504=1,N(W1504)&lt;p_alert),ROUND(W1504,4),"")</f>
        <v/>
      </c>
      <c r="AH1504" t="str">
        <f>IF(AG1504="","",COUNTIF(sj_akey,"&lt;"&amp;AG1504)+COUNTIF($AG$6:AG1504,AG1504))</f>
        <v/>
      </c>
    </row>
    <row r="1505">
      <c r="A1505" s="51" t="n"/>
      <c r="B1505" s="52" t="n"/>
      <c r="C1505" s="52" t="n"/>
      <c r="D1505" s="53" t="n"/>
      <c r="E1505" s="53" t="n"/>
      <c r="F1505" s="54" t="n"/>
      <c r="G1505" s="54" t="n"/>
      <c r="H1505" s="54" t="n"/>
      <c r="I1505" s="54" t="n"/>
      <c r="J1505" s="53" t="n"/>
      <c r="K1505" s="55" t="str">
        <f>IF(COUNTA(A1505:I1505)=0,"",IF(F1505="",IFERROR(INDEX(eq_dur,MATCH(B1505,eq_code,0)),""),F1505))</f>
        <v/>
      </c>
      <c r="L1505" s="55" t="str">
        <f>IF(ISNUMBER(K1505),N(IFERROR(INDEX(eq_pause,MATCH(B1505,eq_code,0)),0))+SUMIFS(st_min,st_date,A1505,st_eq,B1505,st_po,C1505,st_type,"Planifié"),"")</f>
        <v/>
      </c>
      <c r="M1505" s="55" t="str">
        <f>IF(ISNUMBER(K1505),K1505-L1505,"")</f>
        <v/>
      </c>
      <c r="N1505" s="55" t="str">
        <f>IF(ISNUMBER(K1505),SUMIFS(st_min,st_date,A1505,st_eq,B1505,st_po,C1505,st_type,"Non planifié"),"")</f>
        <v/>
      </c>
      <c r="O1505" s="55" t="str">
        <f>IF(ISNUMBER(K1505),M1505-N1505,"")</f>
        <v/>
      </c>
      <c r="P1505" s="55" t="str">
        <f>IF(COUNTA(A1505:I1505)=0,"",N(G1505)+N(H1505)+N(I1505))</f>
        <v/>
      </c>
      <c r="Q1505" s="56" t="str">
        <f>IF(COUNTA(A1505:I1505)=0,"",IF(N(IFERROR(INDEX(art_rate,MATCH(E1505,art_ref,0)),0))&gt;0,N(IFERROR(INDEX(art_rate,MATCH(E1505,art_ref,0)),0)),N(IFERROR(INDEX(po_rate,MATCH(C1505,po_code,0)),0))))</f>
        <v/>
      </c>
      <c r="R1505" s="55" t="str">
        <f>IF(AC1505=1,P1505*60/Q1505,"")</f>
        <v/>
      </c>
      <c r="S1505" s="55" t="str">
        <f>IF(AC1505=1,N(G1505)*60/Q1505,"")</f>
        <v/>
      </c>
      <c r="T1505" s="57" t="str">
        <f>IF(AC1505=1,O1505/M1505,"")</f>
        <v/>
      </c>
      <c r="U1505" s="57" t="str">
        <f>IF(AC1505=1,IF(O1505&gt;0,R1505/O1505,""),"")</f>
        <v/>
      </c>
      <c r="V1505" s="57" t="str">
        <f>IF(AC1505=1,IF(P1505&gt;0,N(G1505)/P1505,""),"")</f>
        <v/>
      </c>
      <c r="W1505" s="57" t="str">
        <f>IF(AC1505=1,S1505/M1505,"")</f>
        <v/>
      </c>
      <c r="X1505" s="57" t="str">
        <f>IF(AC1505=1,S1505/K1505,"")</f>
        <v/>
      </c>
      <c r="Y1505" s="58" t="str">
        <f>IF(W1505="","",IF(W1505&gt;=p_target,"Bon",IF(W1505&gt;=p_alert,"À surveiller","Faible")))</f>
        <v/>
      </c>
      <c r="Z1505" s="58" t="str">
        <f>IF(W1505="","",IF(MIN(IF(T1505="",1,T1505),IF(U1505="",1,U1505),IF(V1505="",1,V1505))&gt;=1,"Aucune",IF(IF(T1505="",1,T1505)&lt;=MIN(IF(U1505="",1,U1505),IF(V1505="",1,V1505)),"Disponibilité",IF(IF(U1505="",1,U1505)&lt;=IF(V1505="",1,V1505),"Performance","Qualité"))))</f>
        <v/>
      </c>
      <c r="AA1505" s="59" t="str">
        <f>IF(AC1505=1,N(H1505)*N(IFERROR(INDEX(art_cost,MATCH(E1505,art_ref,0)),0)),"")</f>
        <v/>
      </c>
      <c r="AB1505" s="58" t="str">
        <f>IF(COUNTA(A1505:I1505)=0,"",IF(N(A1505)&lt;=0,"Date manquante ou invalide",IF(B1505="","Équipe manquante",IF(ISNA(MATCH(B1505,eq_code,0)),"Équipe inconnue",IF(INDEX(eq_check,MATCH(B1505,eq_code,0))&lt;&gt;"OK","Équipe à corriger dans Paramètres",IF(C1505="","Poste manquant",IF(ISNA(MATCH(C1505,po_code,0)),"Poste inconnu",IF(AND(E1505&lt;&gt;"",ISNA(MATCH(E1505,art_ref,0))),"Article inconnu",IF(IF(E1505="",FALSE,INDEX(art_check,MATCH(E1505,art_ref,0))&lt;&gt;"OK"),"Article à corriger (feuille Articles)",IF(COUNTIFS(sj_date,A1505,sj_eq,B1505,sj_po,C1505)&gt;1,"Ligne en double (même jour, équipe et poste)",IF(OR(NOT(ISNUMBER(K1505)),N(K1505)&lt;=0,N(K1505)&gt;1440),"Temps d'ouverture invalide",IF(OR(AND(G1505&lt;&gt;"",NOT(ISNUMBER(G1505))),N(G1505)&lt;0,N(G1505)&lt;&gt;INT(N(G1505)),AND(H1505&lt;&gt;"",NOT(ISNUMBER(H1505))),N(H1505)&lt;0,N(H1505)&lt;&gt;INT(N(H1505)),AND(I1505&lt;&gt;"",NOT(ISNUMBER(I1505))),N(I1505)&lt;0,N(I1505)&lt;&gt;INT(N(I1505))),"Quantité invalide",IF(Q1505&lt;=0,"Cadence manquante (poste ou article)",IF(M1505&lt;=0,"Arrêts planifiés supérieurs au temps d'ouverture",IF(O1505&lt;0,"Arrêts supérieurs au temps requis",IF(AND(P1505&gt;0,O1505=0),"Pièces déclarées sans temps de marche",IF(AND(P1505=0,O1505&gt;0),"Aucune pièce déclarée",IF(P1505*60/Q1505&gt;O1505+0.001,"Cadence dépassée : vérifiez la cadence","OK"))))))))))))))))))</f>
        <v/>
      </c>
      <c r="AC1505">
        <f>IF(OR(AB1505="OK",AB1505="Aucune pièce déclarée",AB1505="Cadence dépassée : vérifiez la cadence"),1,0)</f>
        <v>0.0</v>
      </c>
      <c r="AD1505">
        <f>IF(AND(AC1505=1,A1505&gt;=p_from,A1505&lt;=p_to),1,0)</f>
        <v>0.0</v>
      </c>
      <c r="AE1505">
        <f>IF(AD1505=1,IF(COUNTIFS($A$6:A1505,A1505,$AD$6:AD1505,1)=1,1,0),0)</f>
        <v>0.0</v>
      </c>
      <c r="AF1505" t="str">
        <f>IF(AE1505=1,COUNTIFS(sj_first,1,sj_date,"&lt;"&amp;A1505)+1,"")</f>
        <v/>
      </c>
      <c r="AG1505" t="str">
        <f>IF(AND(AD1505=1,N(W1505)&lt;p_alert),ROUND(W1505,4),"")</f>
        <v/>
      </c>
      <c r="AH1505" t="str">
        <f>IF(AG1505="","",COUNTIF(sj_akey,"&lt;"&amp;AG1505)+COUNTIF($AG$6:AG1505,AG1505))</f>
        <v/>
      </c>
    </row>
    <row r="1506">
      <c r="A1506" s="51" t="n"/>
      <c r="B1506" s="52" t="n"/>
      <c r="C1506" s="52" t="n"/>
      <c r="D1506" s="53" t="n"/>
      <c r="E1506" s="53" t="n"/>
      <c r="F1506" s="54" t="n"/>
      <c r="G1506" s="54" t="n"/>
      <c r="H1506" s="54" t="n"/>
      <c r="I1506" s="54" t="n"/>
      <c r="J1506" s="53" t="n"/>
      <c r="K1506" s="55" t="str">
        <f>IF(COUNTA(A1506:I1506)=0,"",IF(F1506="",IFERROR(INDEX(eq_dur,MATCH(B1506,eq_code,0)),""),F1506))</f>
        <v/>
      </c>
      <c r="L1506" s="55" t="str">
        <f>IF(ISNUMBER(K1506),N(IFERROR(INDEX(eq_pause,MATCH(B1506,eq_code,0)),0))+SUMIFS(st_min,st_date,A1506,st_eq,B1506,st_po,C1506,st_type,"Planifié"),"")</f>
        <v/>
      </c>
      <c r="M1506" s="55" t="str">
        <f>IF(ISNUMBER(K1506),K1506-L1506,"")</f>
        <v/>
      </c>
      <c r="N1506" s="55" t="str">
        <f>IF(ISNUMBER(K1506),SUMIFS(st_min,st_date,A1506,st_eq,B1506,st_po,C1506,st_type,"Non planifié"),"")</f>
        <v/>
      </c>
      <c r="O1506" s="55" t="str">
        <f>IF(ISNUMBER(K1506),M1506-N1506,"")</f>
        <v/>
      </c>
      <c r="P1506" s="55" t="str">
        <f>IF(COUNTA(A1506:I1506)=0,"",N(G1506)+N(H1506)+N(I1506))</f>
        <v/>
      </c>
      <c r="Q1506" s="56" t="str">
        <f>IF(COUNTA(A1506:I1506)=0,"",IF(N(IFERROR(INDEX(art_rate,MATCH(E1506,art_ref,0)),0))&gt;0,N(IFERROR(INDEX(art_rate,MATCH(E1506,art_ref,0)),0)),N(IFERROR(INDEX(po_rate,MATCH(C1506,po_code,0)),0))))</f>
        <v/>
      </c>
      <c r="R1506" s="55" t="str">
        <f>IF(AC1506=1,P1506*60/Q1506,"")</f>
        <v/>
      </c>
      <c r="S1506" s="55" t="str">
        <f>IF(AC1506=1,N(G1506)*60/Q1506,"")</f>
        <v/>
      </c>
      <c r="T1506" s="57" t="str">
        <f>IF(AC1506=1,O1506/M1506,"")</f>
        <v/>
      </c>
      <c r="U1506" s="57" t="str">
        <f>IF(AC1506=1,IF(O1506&gt;0,R1506/O1506,""),"")</f>
        <v/>
      </c>
      <c r="V1506" s="57" t="str">
        <f>IF(AC1506=1,IF(P1506&gt;0,N(G1506)/P1506,""),"")</f>
        <v/>
      </c>
      <c r="W1506" s="57" t="str">
        <f>IF(AC1506=1,S1506/M1506,"")</f>
        <v/>
      </c>
      <c r="X1506" s="57" t="str">
        <f>IF(AC1506=1,S1506/K1506,"")</f>
        <v/>
      </c>
      <c r="Y1506" s="58" t="str">
        <f>IF(W1506="","",IF(W1506&gt;=p_target,"Bon",IF(W1506&gt;=p_alert,"À surveiller","Faible")))</f>
        <v/>
      </c>
      <c r="Z1506" s="58" t="str">
        <f>IF(W1506="","",IF(MIN(IF(T1506="",1,T1506),IF(U1506="",1,U1506),IF(V1506="",1,V1506))&gt;=1,"Aucune",IF(IF(T1506="",1,T1506)&lt;=MIN(IF(U1506="",1,U1506),IF(V1506="",1,V1506)),"Disponibilité",IF(IF(U1506="",1,U1506)&lt;=IF(V1506="",1,V1506),"Performance","Qualité"))))</f>
        <v/>
      </c>
      <c r="AA1506" s="59" t="str">
        <f>IF(AC1506=1,N(H1506)*N(IFERROR(INDEX(art_cost,MATCH(E1506,art_ref,0)),0)),"")</f>
        <v/>
      </c>
      <c r="AB1506" s="58" t="str">
        <f>IF(COUNTA(A1506:I1506)=0,"",IF(N(A1506)&lt;=0,"Date manquante ou invalide",IF(B1506="","Équipe manquante",IF(ISNA(MATCH(B1506,eq_code,0)),"Équipe inconnue",IF(INDEX(eq_check,MATCH(B1506,eq_code,0))&lt;&gt;"OK","Équipe à corriger dans Paramètres",IF(C1506="","Poste manquant",IF(ISNA(MATCH(C1506,po_code,0)),"Poste inconnu",IF(AND(E1506&lt;&gt;"",ISNA(MATCH(E1506,art_ref,0))),"Article inconnu",IF(IF(E1506="",FALSE,INDEX(art_check,MATCH(E1506,art_ref,0))&lt;&gt;"OK"),"Article à corriger (feuille Articles)",IF(COUNTIFS(sj_date,A1506,sj_eq,B1506,sj_po,C1506)&gt;1,"Ligne en double (même jour, équipe et poste)",IF(OR(NOT(ISNUMBER(K1506)),N(K1506)&lt;=0,N(K1506)&gt;1440),"Temps d'ouverture invalide",IF(OR(AND(G1506&lt;&gt;"",NOT(ISNUMBER(G1506))),N(G1506)&lt;0,N(G1506)&lt;&gt;INT(N(G1506)),AND(H1506&lt;&gt;"",NOT(ISNUMBER(H1506))),N(H1506)&lt;0,N(H1506)&lt;&gt;INT(N(H1506)),AND(I1506&lt;&gt;"",NOT(ISNUMBER(I1506))),N(I1506)&lt;0,N(I1506)&lt;&gt;INT(N(I1506))),"Quantité invalide",IF(Q1506&lt;=0,"Cadence manquante (poste ou article)",IF(M1506&lt;=0,"Arrêts planifiés supérieurs au temps d'ouverture",IF(O1506&lt;0,"Arrêts supérieurs au temps requis",IF(AND(P1506&gt;0,O1506=0),"Pièces déclarées sans temps de marche",IF(AND(P1506=0,O1506&gt;0),"Aucune pièce déclarée",IF(P1506*60/Q1506&gt;O1506+0.001,"Cadence dépassée : vérifiez la cadence","OK"))))))))))))))))))</f>
        <v/>
      </c>
      <c r="AC1506">
        <f>IF(OR(AB1506="OK",AB1506="Aucune pièce déclarée",AB1506="Cadence dépassée : vérifiez la cadence"),1,0)</f>
        <v>0.0</v>
      </c>
      <c r="AD1506">
        <f>IF(AND(AC1506=1,A1506&gt;=p_from,A1506&lt;=p_to),1,0)</f>
        <v>0.0</v>
      </c>
      <c r="AE1506">
        <f>IF(AD1506=1,IF(COUNTIFS($A$6:A1506,A1506,$AD$6:AD1506,1)=1,1,0),0)</f>
        <v>0.0</v>
      </c>
      <c r="AF1506" t="str">
        <f>IF(AE1506=1,COUNTIFS(sj_first,1,sj_date,"&lt;"&amp;A1506)+1,"")</f>
        <v/>
      </c>
      <c r="AG1506" t="str">
        <f>IF(AND(AD1506=1,N(W1506)&lt;p_alert),ROUND(W1506,4),"")</f>
        <v/>
      </c>
      <c r="AH1506" t="str">
        <f>IF(AG1506="","",COUNTIF(sj_akey,"&lt;"&amp;AG1506)+COUNTIF($AG$6:AG1506,AG1506))</f>
        <v/>
      </c>
    </row>
    <row r="1507">
      <c r="A1507" s="51" t="n"/>
      <c r="B1507" s="52" t="n"/>
      <c r="C1507" s="52" t="n"/>
      <c r="D1507" s="53" t="n"/>
      <c r="E1507" s="53" t="n"/>
      <c r="F1507" s="54" t="n"/>
      <c r="G1507" s="54" t="n"/>
      <c r="H1507" s="54" t="n"/>
      <c r="I1507" s="54" t="n"/>
      <c r="J1507" s="53" t="n"/>
      <c r="K1507" s="55" t="str">
        <f>IF(COUNTA(A1507:I1507)=0,"",IF(F1507="",IFERROR(INDEX(eq_dur,MATCH(B1507,eq_code,0)),""),F1507))</f>
        <v/>
      </c>
      <c r="L1507" s="55" t="str">
        <f>IF(ISNUMBER(K1507),N(IFERROR(INDEX(eq_pause,MATCH(B1507,eq_code,0)),0))+SUMIFS(st_min,st_date,A1507,st_eq,B1507,st_po,C1507,st_type,"Planifié"),"")</f>
        <v/>
      </c>
      <c r="M1507" s="55" t="str">
        <f>IF(ISNUMBER(K1507),K1507-L1507,"")</f>
        <v/>
      </c>
      <c r="N1507" s="55" t="str">
        <f>IF(ISNUMBER(K1507),SUMIFS(st_min,st_date,A1507,st_eq,B1507,st_po,C1507,st_type,"Non planifié"),"")</f>
        <v/>
      </c>
      <c r="O1507" s="55" t="str">
        <f>IF(ISNUMBER(K1507),M1507-N1507,"")</f>
        <v/>
      </c>
      <c r="P1507" s="55" t="str">
        <f>IF(COUNTA(A1507:I1507)=0,"",N(G1507)+N(H1507)+N(I1507))</f>
        <v/>
      </c>
      <c r="Q1507" s="56" t="str">
        <f>IF(COUNTA(A1507:I1507)=0,"",IF(N(IFERROR(INDEX(art_rate,MATCH(E1507,art_ref,0)),0))&gt;0,N(IFERROR(INDEX(art_rate,MATCH(E1507,art_ref,0)),0)),N(IFERROR(INDEX(po_rate,MATCH(C1507,po_code,0)),0))))</f>
        <v/>
      </c>
      <c r="R1507" s="55" t="str">
        <f>IF(AC1507=1,P1507*60/Q1507,"")</f>
        <v/>
      </c>
      <c r="S1507" s="55" t="str">
        <f>IF(AC1507=1,N(G1507)*60/Q1507,"")</f>
        <v/>
      </c>
      <c r="T1507" s="57" t="str">
        <f>IF(AC1507=1,O1507/M1507,"")</f>
        <v/>
      </c>
      <c r="U1507" s="57" t="str">
        <f>IF(AC1507=1,IF(O1507&gt;0,R1507/O1507,""),"")</f>
        <v/>
      </c>
      <c r="V1507" s="57" t="str">
        <f>IF(AC1507=1,IF(P1507&gt;0,N(G1507)/P1507,""),"")</f>
        <v/>
      </c>
      <c r="W1507" s="57" t="str">
        <f>IF(AC1507=1,S1507/M1507,"")</f>
        <v/>
      </c>
      <c r="X1507" s="57" t="str">
        <f>IF(AC1507=1,S1507/K1507,"")</f>
        <v/>
      </c>
      <c r="Y1507" s="58" t="str">
        <f>IF(W1507="","",IF(W1507&gt;=p_target,"Bon",IF(W1507&gt;=p_alert,"À surveiller","Faible")))</f>
        <v/>
      </c>
      <c r="Z1507" s="58" t="str">
        <f>IF(W1507="","",IF(MIN(IF(T1507="",1,T1507),IF(U1507="",1,U1507),IF(V1507="",1,V1507))&gt;=1,"Aucune",IF(IF(T1507="",1,T1507)&lt;=MIN(IF(U1507="",1,U1507),IF(V1507="",1,V1507)),"Disponibilité",IF(IF(U1507="",1,U1507)&lt;=IF(V1507="",1,V1507),"Performance","Qualité"))))</f>
        <v/>
      </c>
      <c r="AA1507" s="59" t="str">
        <f>IF(AC1507=1,N(H1507)*N(IFERROR(INDEX(art_cost,MATCH(E1507,art_ref,0)),0)),"")</f>
        <v/>
      </c>
      <c r="AB1507" s="58" t="str">
        <f>IF(COUNTA(A1507:I1507)=0,"",IF(N(A1507)&lt;=0,"Date manquante ou invalide",IF(B1507="","Équipe manquante",IF(ISNA(MATCH(B1507,eq_code,0)),"Équipe inconnue",IF(INDEX(eq_check,MATCH(B1507,eq_code,0))&lt;&gt;"OK","Équipe à corriger dans Paramètres",IF(C1507="","Poste manquant",IF(ISNA(MATCH(C1507,po_code,0)),"Poste inconnu",IF(AND(E1507&lt;&gt;"",ISNA(MATCH(E1507,art_ref,0))),"Article inconnu",IF(IF(E1507="",FALSE,INDEX(art_check,MATCH(E1507,art_ref,0))&lt;&gt;"OK"),"Article à corriger (feuille Articles)",IF(COUNTIFS(sj_date,A1507,sj_eq,B1507,sj_po,C1507)&gt;1,"Ligne en double (même jour, équipe et poste)",IF(OR(NOT(ISNUMBER(K1507)),N(K1507)&lt;=0,N(K1507)&gt;1440),"Temps d'ouverture invalide",IF(OR(AND(G1507&lt;&gt;"",NOT(ISNUMBER(G1507))),N(G1507)&lt;0,N(G1507)&lt;&gt;INT(N(G1507)),AND(H1507&lt;&gt;"",NOT(ISNUMBER(H1507))),N(H1507)&lt;0,N(H1507)&lt;&gt;INT(N(H1507)),AND(I1507&lt;&gt;"",NOT(ISNUMBER(I1507))),N(I1507)&lt;0,N(I1507)&lt;&gt;INT(N(I1507))),"Quantité invalide",IF(Q1507&lt;=0,"Cadence manquante (poste ou article)",IF(M1507&lt;=0,"Arrêts planifiés supérieurs au temps d'ouverture",IF(O1507&lt;0,"Arrêts supérieurs au temps requis",IF(AND(P1507&gt;0,O1507=0),"Pièces déclarées sans temps de marche",IF(AND(P1507=0,O1507&gt;0),"Aucune pièce déclarée",IF(P1507*60/Q1507&gt;O1507+0.001,"Cadence dépassée : vérifiez la cadence","OK"))))))))))))))))))</f>
        <v/>
      </c>
      <c r="AC1507">
        <f>IF(OR(AB1507="OK",AB1507="Aucune pièce déclarée",AB1507="Cadence dépassée : vérifiez la cadence"),1,0)</f>
        <v>0.0</v>
      </c>
      <c r="AD1507">
        <f>IF(AND(AC1507=1,A1507&gt;=p_from,A1507&lt;=p_to),1,0)</f>
        <v>0.0</v>
      </c>
      <c r="AE1507">
        <f>IF(AD1507=1,IF(COUNTIFS($A$6:A1507,A1507,$AD$6:AD1507,1)=1,1,0),0)</f>
        <v>0.0</v>
      </c>
      <c r="AF1507" t="str">
        <f>IF(AE1507=1,COUNTIFS(sj_first,1,sj_date,"&lt;"&amp;A1507)+1,"")</f>
        <v/>
      </c>
      <c r="AG1507" t="str">
        <f>IF(AND(AD1507=1,N(W1507)&lt;p_alert),ROUND(W1507,4),"")</f>
        <v/>
      </c>
      <c r="AH1507" t="str">
        <f>IF(AG1507="","",COUNTIF(sj_akey,"&lt;"&amp;AG1507)+COUNTIF($AG$6:AG1507,AG1507))</f>
        <v/>
      </c>
    </row>
    <row r="1508">
      <c r="A1508" s="51" t="n"/>
      <c r="B1508" s="52" t="n"/>
      <c r="C1508" s="52" t="n"/>
      <c r="D1508" s="53" t="n"/>
      <c r="E1508" s="53" t="n"/>
      <c r="F1508" s="54" t="n"/>
      <c r="G1508" s="54" t="n"/>
      <c r="H1508" s="54" t="n"/>
      <c r="I1508" s="54" t="n"/>
      <c r="J1508" s="53" t="n"/>
      <c r="K1508" s="55" t="str">
        <f>IF(COUNTA(A1508:I1508)=0,"",IF(F1508="",IFERROR(INDEX(eq_dur,MATCH(B1508,eq_code,0)),""),F1508))</f>
        <v/>
      </c>
      <c r="L1508" s="55" t="str">
        <f>IF(ISNUMBER(K1508),N(IFERROR(INDEX(eq_pause,MATCH(B1508,eq_code,0)),0))+SUMIFS(st_min,st_date,A1508,st_eq,B1508,st_po,C1508,st_type,"Planifié"),"")</f>
        <v/>
      </c>
      <c r="M1508" s="55" t="str">
        <f>IF(ISNUMBER(K1508),K1508-L1508,"")</f>
        <v/>
      </c>
      <c r="N1508" s="55" t="str">
        <f>IF(ISNUMBER(K1508),SUMIFS(st_min,st_date,A1508,st_eq,B1508,st_po,C1508,st_type,"Non planifié"),"")</f>
        <v/>
      </c>
      <c r="O1508" s="55" t="str">
        <f>IF(ISNUMBER(K1508),M1508-N1508,"")</f>
        <v/>
      </c>
      <c r="P1508" s="55" t="str">
        <f>IF(COUNTA(A1508:I1508)=0,"",N(G1508)+N(H1508)+N(I1508))</f>
        <v/>
      </c>
      <c r="Q1508" s="56" t="str">
        <f>IF(COUNTA(A1508:I1508)=0,"",IF(N(IFERROR(INDEX(art_rate,MATCH(E1508,art_ref,0)),0))&gt;0,N(IFERROR(INDEX(art_rate,MATCH(E1508,art_ref,0)),0)),N(IFERROR(INDEX(po_rate,MATCH(C1508,po_code,0)),0))))</f>
        <v/>
      </c>
      <c r="R1508" s="55" t="str">
        <f>IF(AC1508=1,P1508*60/Q1508,"")</f>
        <v/>
      </c>
      <c r="S1508" s="55" t="str">
        <f>IF(AC1508=1,N(G1508)*60/Q1508,"")</f>
        <v/>
      </c>
      <c r="T1508" s="57" t="str">
        <f>IF(AC1508=1,O1508/M1508,"")</f>
        <v/>
      </c>
      <c r="U1508" s="57" t="str">
        <f>IF(AC1508=1,IF(O1508&gt;0,R1508/O1508,""),"")</f>
        <v/>
      </c>
      <c r="V1508" s="57" t="str">
        <f>IF(AC1508=1,IF(P1508&gt;0,N(G1508)/P1508,""),"")</f>
        <v/>
      </c>
      <c r="W1508" s="57" t="str">
        <f>IF(AC1508=1,S1508/M1508,"")</f>
        <v/>
      </c>
      <c r="X1508" s="57" t="str">
        <f>IF(AC1508=1,S1508/K1508,"")</f>
        <v/>
      </c>
      <c r="Y1508" s="58" t="str">
        <f>IF(W1508="","",IF(W1508&gt;=p_target,"Bon",IF(W1508&gt;=p_alert,"À surveiller","Faible")))</f>
        <v/>
      </c>
      <c r="Z1508" s="58" t="str">
        <f>IF(W1508="","",IF(MIN(IF(T1508="",1,T1508),IF(U1508="",1,U1508),IF(V1508="",1,V1508))&gt;=1,"Aucune",IF(IF(T1508="",1,T1508)&lt;=MIN(IF(U1508="",1,U1508),IF(V1508="",1,V1508)),"Disponibilité",IF(IF(U1508="",1,U1508)&lt;=IF(V1508="",1,V1508),"Performance","Qualité"))))</f>
        <v/>
      </c>
      <c r="AA1508" s="59" t="str">
        <f>IF(AC1508=1,N(H1508)*N(IFERROR(INDEX(art_cost,MATCH(E1508,art_ref,0)),0)),"")</f>
        <v/>
      </c>
      <c r="AB1508" s="58" t="str">
        <f>IF(COUNTA(A1508:I1508)=0,"",IF(N(A1508)&lt;=0,"Date manquante ou invalide",IF(B1508="","Équipe manquante",IF(ISNA(MATCH(B1508,eq_code,0)),"Équipe inconnue",IF(INDEX(eq_check,MATCH(B1508,eq_code,0))&lt;&gt;"OK","Équipe à corriger dans Paramètres",IF(C1508="","Poste manquant",IF(ISNA(MATCH(C1508,po_code,0)),"Poste inconnu",IF(AND(E1508&lt;&gt;"",ISNA(MATCH(E1508,art_ref,0))),"Article inconnu",IF(IF(E1508="",FALSE,INDEX(art_check,MATCH(E1508,art_ref,0))&lt;&gt;"OK"),"Article à corriger (feuille Articles)",IF(COUNTIFS(sj_date,A1508,sj_eq,B1508,sj_po,C1508)&gt;1,"Ligne en double (même jour, équipe et poste)",IF(OR(NOT(ISNUMBER(K1508)),N(K1508)&lt;=0,N(K1508)&gt;1440),"Temps d'ouverture invalide",IF(OR(AND(G1508&lt;&gt;"",NOT(ISNUMBER(G1508))),N(G1508)&lt;0,N(G1508)&lt;&gt;INT(N(G1508)),AND(H1508&lt;&gt;"",NOT(ISNUMBER(H1508))),N(H1508)&lt;0,N(H1508)&lt;&gt;INT(N(H1508)),AND(I1508&lt;&gt;"",NOT(ISNUMBER(I1508))),N(I1508)&lt;0,N(I1508)&lt;&gt;INT(N(I1508))),"Quantité invalide",IF(Q1508&lt;=0,"Cadence manquante (poste ou article)",IF(M1508&lt;=0,"Arrêts planifiés supérieurs au temps d'ouverture",IF(O1508&lt;0,"Arrêts supérieurs au temps requis",IF(AND(P1508&gt;0,O1508=0),"Pièces déclarées sans temps de marche",IF(AND(P1508=0,O1508&gt;0),"Aucune pièce déclarée",IF(P1508*60/Q1508&gt;O1508+0.001,"Cadence dépassée : vérifiez la cadence","OK"))))))))))))))))))</f>
        <v/>
      </c>
      <c r="AC1508">
        <f>IF(OR(AB1508="OK",AB1508="Aucune pièce déclarée",AB1508="Cadence dépassée : vérifiez la cadence"),1,0)</f>
        <v>0.0</v>
      </c>
      <c r="AD1508">
        <f>IF(AND(AC1508=1,A1508&gt;=p_from,A1508&lt;=p_to),1,0)</f>
        <v>0.0</v>
      </c>
      <c r="AE1508">
        <f>IF(AD1508=1,IF(COUNTIFS($A$6:A1508,A1508,$AD$6:AD1508,1)=1,1,0),0)</f>
        <v>0.0</v>
      </c>
      <c r="AF1508" t="str">
        <f>IF(AE1508=1,COUNTIFS(sj_first,1,sj_date,"&lt;"&amp;A1508)+1,"")</f>
        <v/>
      </c>
      <c r="AG1508" t="str">
        <f>IF(AND(AD1508=1,N(W1508)&lt;p_alert),ROUND(W1508,4),"")</f>
        <v/>
      </c>
      <c r="AH1508" t="str">
        <f>IF(AG1508="","",COUNTIF(sj_akey,"&lt;"&amp;AG1508)+COUNTIF($AG$6:AG1508,AG1508))</f>
        <v/>
      </c>
    </row>
    <row r="1509">
      <c r="A1509" s="51" t="n"/>
      <c r="B1509" s="52" t="n"/>
      <c r="C1509" s="52" t="n"/>
      <c r="D1509" s="53" t="n"/>
      <c r="E1509" s="53" t="n"/>
      <c r="F1509" s="54" t="n"/>
      <c r="G1509" s="54" t="n"/>
      <c r="H1509" s="54" t="n"/>
      <c r="I1509" s="54" t="n"/>
      <c r="J1509" s="53" t="n"/>
      <c r="K1509" s="55" t="str">
        <f>IF(COUNTA(A1509:I1509)=0,"",IF(F1509="",IFERROR(INDEX(eq_dur,MATCH(B1509,eq_code,0)),""),F1509))</f>
        <v/>
      </c>
      <c r="L1509" s="55" t="str">
        <f>IF(ISNUMBER(K1509),N(IFERROR(INDEX(eq_pause,MATCH(B1509,eq_code,0)),0))+SUMIFS(st_min,st_date,A1509,st_eq,B1509,st_po,C1509,st_type,"Planifié"),"")</f>
        <v/>
      </c>
      <c r="M1509" s="55" t="str">
        <f>IF(ISNUMBER(K1509),K1509-L1509,"")</f>
        <v/>
      </c>
      <c r="N1509" s="55" t="str">
        <f>IF(ISNUMBER(K1509),SUMIFS(st_min,st_date,A1509,st_eq,B1509,st_po,C1509,st_type,"Non planifié"),"")</f>
        <v/>
      </c>
      <c r="O1509" s="55" t="str">
        <f>IF(ISNUMBER(K1509),M1509-N1509,"")</f>
        <v/>
      </c>
      <c r="P1509" s="55" t="str">
        <f>IF(COUNTA(A1509:I1509)=0,"",N(G1509)+N(H1509)+N(I1509))</f>
        <v/>
      </c>
      <c r="Q1509" s="56" t="str">
        <f>IF(COUNTA(A1509:I1509)=0,"",IF(N(IFERROR(INDEX(art_rate,MATCH(E1509,art_ref,0)),0))&gt;0,N(IFERROR(INDEX(art_rate,MATCH(E1509,art_ref,0)),0)),N(IFERROR(INDEX(po_rate,MATCH(C1509,po_code,0)),0))))</f>
        <v/>
      </c>
      <c r="R1509" s="55" t="str">
        <f>IF(AC1509=1,P1509*60/Q1509,"")</f>
        <v/>
      </c>
      <c r="S1509" s="55" t="str">
        <f>IF(AC1509=1,N(G1509)*60/Q1509,"")</f>
        <v/>
      </c>
      <c r="T1509" s="57" t="str">
        <f>IF(AC1509=1,O1509/M1509,"")</f>
        <v/>
      </c>
      <c r="U1509" s="57" t="str">
        <f>IF(AC1509=1,IF(O1509&gt;0,R1509/O1509,""),"")</f>
        <v/>
      </c>
      <c r="V1509" s="57" t="str">
        <f>IF(AC1509=1,IF(P1509&gt;0,N(G1509)/P1509,""),"")</f>
        <v/>
      </c>
      <c r="W1509" s="57" t="str">
        <f>IF(AC1509=1,S1509/M1509,"")</f>
        <v/>
      </c>
      <c r="X1509" s="57" t="str">
        <f>IF(AC1509=1,S1509/K1509,"")</f>
        <v/>
      </c>
      <c r="Y1509" s="58" t="str">
        <f>IF(W1509="","",IF(W1509&gt;=p_target,"Bon",IF(W1509&gt;=p_alert,"À surveiller","Faible")))</f>
        <v/>
      </c>
      <c r="Z1509" s="58" t="str">
        <f>IF(W1509="","",IF(MIN(IF(T1509="",1,T1509),IF(U1509="",1,U1509),IF(V1509="",1,V1509))&gt;=1,"Aucune",IF(IF(T1509="",1,T1509)&lt;=MIN(IF(U1509="",1,U1509),IF(V1509="",1,V1509)),"Disponibilité",IF(IF(U1509="",1,U1509)&lt;=IF(V1509="",1,V1509),"Performance","Qualité"))))</f>
        <v/>
      </c>
      <c r="AA1509" s="59" t="str">
        <f>IF(AC1509=1,N(H1509)*N(IFERROR(INDEX(art_cost,MATCH(E1509,art_ref,0)),0)),"")</f>
        <v/>
      </c>
      <c r="AB1509" s="58" t="str">
        <f>IF(COUNTA(A1509:I1509)=0,"",IF(N(A1509)&lt;=0,"Date manquante ou invalide",IF(B1509="","Équipe manquante",IF(ISNA(MATCH(B1509,eq_code,0)),"Équipe inconnue",IF(INDEX(eq_check,MATCH(B1509,eq_code,0))&lt;&gt;"OK","Équipe à corriger dans Paramètres",IF(C1509="","Poste manquant",IF(ISNA(MATCH(C1509,po_code,0)),"Poste inconnu",IF(AND(E1509&lt;&gt;"",ISNA(MATCH(E1509,art_ref,0))),"Article inconnu",IF(IF(E1509="",FALSE,INDEX(art_check,MATCH(E1509,art_ref,0))&lt;&gt;"OK"),"Article à corriger (feuille Articles)",IF(COUNTIFS(sj_date,A1509,sj_eq,B1509,sj_po,C1509)&gt;1,"Ligne en double (même jour, équipe et poste)",IF(OR(NOT(ISNUMBER(K1509)),N(K1509)&lt;=0,N(K1509)&gt;1440),"Temps d'ouverture invalide",IF(OR(AND(G1509&lt;&gt;"",NOT(ISNUMBER(G1509))),N(G1509)&lt;0,N(G1509)&lt;&gt;INT(N(G1509)),AND(H1509&lt;&gt;"",NOT(ISNUMBER(H1509))),N(H1509)&lt;0,N(H1509)&lt;&gt;INT(N(H1509)),AND(I1509&lt;&gt;"",NOT(ISNUMBER(I1509))),N(I1509)&lt;0,N(I1509)&lt;&gt;INT(N(I1509))),"Quantité invalide",IF(Q1509&lt;=0,"Cadence manquante (poste ou article)",IF(M1509&lt;=0,"Arrêts planifiés supérieurs au temps d'ouverture",IF(O1509&lt;0,"Arrêts supérieurs au temps requis",IF(AND(P1509&gt;0,O1509=0),"Pièces déclarées sans temps de marche",IF(AND(P1509=0,O1509&gt;0),"Aucune pièce déclarée",IF(P1509*60/Q1509&gt;O1509+0.001,"Cadence dépassée : vérifiez la cadence","OK"))))))))))))))))))</f>
        <v/>
      </c>
      <c r="AC1509">
        <f>IF(OR(AB1509="OK",AB1509="Aucune pièce déclarée",AB1509="Cadence dépassée : vérifiez la cadence"),1,0)</f>
        <v>0.0</v>
      </c>
      <c r="AD1509">
        <f>IF(AND(AC1509=1,A1509&gt;=p_from,A1509&lt;=p_to),1,0)</f>
        <v>0.0</v>
      </c>
      <c r="AE1509">
        <f>IF(AD1509=1,IF(COUNTIFS($A$6:A1509,A1509,$AD$6:AD1509,1)=1,1,0),0)</f>
        <v>0.0</v>
      </c>
      <c r="AF1509" t="str">
        <f>IF(AE1509=1,COUNTIFS(sj_first,1,sj_date,"&lt;"&amp;A1509)+1,"")</f>
        <v/>
      </c>
      <c r="AG1509" t="str">
        <f>IF(AND(AD1509=1,N(W1509)&lt;p_alert),ROUND(W1509,4),"")</f>
        <v/>
      </c>
      <c r="AH1509" t="str">
        <f>IF(AG1509="","",COUNTIF(sj_akey,"&lt;"&amp;AG1509)+COUNTIF($AG$6:AG1509,AG1509))</f>
        <v/>
      </c>
    </row>
    <row r="1510">
      <c r="A1510" s="51" t="n"/>
      <c r="B1510" s="52" t="n"/>
      <c r="C1510" s="52" t="n"/>
      <c r="D1510" s="53" t="n"/>
      <c r="E1510" s="53" t="n"/>
      <c r="F1510" s="54" t="n"/>
      <c r="G1510" s="54" t="n"/>
      <c r="H1510" s="54" t="n"/>
      <c r="I1510" s="54" t="n"/>
      <c r="J1510" s="53" t="n"/>
      <c r="K1510" s="55" t="str">
        <f>IF(COUNTA(A1510:I1510)=0,"",IF(F1510="",IFERROR(INDEX(eq_dur,MATCH(B1510,eq_code,0)),""),F1510))</f>
        <v/>
      </c>
      <c r="L1510" s="55" t="str">
        <f>IF(ISNUMBER(K1510),N(IFERROR(INDEX(eq_pause,MATCH(B1510,eq_code,0)),0))+SUMIFS(st_min,st_date,A1510,st_eq,B1510,st_po,C1510,st_type,"Planifié"),"")</f>
        <v/>
      </c>
      <c r="M1510" s="55" t="str">
        <f>IF(ISNUMBER(K1510),K1510-L1510,"")</f>
        <v/>
      </c>
      <c r="N1510" s="55" t="str">
        <f>IF(ISNUMBER(K1510),SUMIFS(st_min,st_date,A1510,st_eq,B1510,st_po,C1510,st_type,"Non planifié"),"")</f>
        <v/>
      </c>
      <c r="O1510" s="55" t="str">
        <f>IF(ISNUMBER(K1510),M1510-N1510,"")</f>
        <v/>
      </c>
      <c r="P1510" s="55" t="str">
        <f>IF(COUNTA(A1510:I1510)=0,"",N(G1510)+N(H1510)+N(I1510))</f>
        <v/>
      </c>
      <c r="Q1510" s="56" t="str">
        <f>IF(COUNTA(A1510:I1510)=0,"",IF(N(IFERROR(INDEX(art_rate,MATCH(E1510,art_ref,0)),0))&gt;0,N(IFERROR(INDEX(art_rate,MATCH(E1510,art_ref,0)),0)),N(IFERROR(INDEX(po_rate,MATCH(C1510,po_code,0)),0))))</f>
        <v/>
      </c>
      <c r="R1510" s="55" t="str">
        <f>IF(AC1510=1,P1510*60/Q1510,"")</f>
        <v/>
      </c>
      <c r="S1510" s="55" t="str">
        <f>IF(AC1510=1,N(G1510)*60/Q1510,"")</f>
        <v/>
      </c>
      <c r="T1510" s="57" t="str">
        <f>IF(AC1510=1,O1510/M1510,"")</f>
        <v/>
      </c>
      <c r="U1510" s="57" t="str">
        <f>IF(AC1510=1,IF(O1510&gt;0,R1510/O1510,""),"")</f>
        <v/>
      </c>
      <c r="V1510" s="57" t="str">
        <f>IF(AC1510=1,IF(P1510&gt;0,N(G1510)/P1510,""),"")</f>
        <v/>
      </c>
      <c r="W1510" s="57" t="str">
        <f>IF(AC1510=1,S1510/M1510,"")</f>
        <v/>
      </c>
      <c r="X1510" s="57" t="str">
        <f>IF(AC1510=1,S1510/K1510,"")</f>
        <v/>
      </c>
      <c r="Y1510" s="58" t="str">
        <f>IF(W1510="","",IF(W1510&gt;=p_target,"Bon",IF(W1510&gt;=p_alert,"À surveiller","Faible")))</f>
        <v/>
      </c>
      <c r="Z1510" s="58" t="str">
        <f>IF(W1510="","",IF(MIN(IF(T1510="",1,T1510),IF(U1510="",1,U1510),IF(V1510="",1,V1510))&gt;=1,"Aucune",IF(IF(T1510="",1,T1510)&lt;=MIN(IF(U1510="",1,U1510),IF(V1510="",1,V1510)),"Disponibilité",IF(IF(U1510="",1,U1510)&lt;=IF(V1510="",1,V1510),"Performance","Qualité"))))</f>
        <v/>
      </c>
      <c r="AA1510" s="59" t="str">
        <f>IF(AC1510=1,N(H1510)*N(IFERROR(INDEX(art_cost,MATCH(E1510,art_ref,0)),0)),"")</f>
        <v/>
      </c>
      <c r="AB1510" s="58" t="str">
        <f>IF(COUNTA(A1510:I1510)=0,"",IF(N(A1510)&lt;=0,"Date manquante ou invalide",IF(B1510="","Équipe manquante",IF(ISNA(MATCH(B1510,eq_code,0)),"Équipe inconnue",IF(INDEX(eq_check,MATCH(B1510,eq_code,0))&lt;&gt;"OK","Équipe à corriger dans Paramètres",IF(C1510="","Poste manquant",IF(ISNA(MATCH(C1510,po_code,0)),"Poste inconnu",IF(AND(E1510&lt;&gt;"",ISNA(MATCH(E1510,art_ref,0))),"Article inconnu",IF(IF(E1510="",FALSE,INDEX(art_check,MATCH(E1510,art_ref,0))&lt;&gt;"OK"),"Article à corriger (feuille Articles)",IF(COUNTIFS(sj_date,A1510,sj_eq,B1510,sj_po,C1510)&gt;1,"Ligne en double (même jour, équipe et poste)",IF(OR(NOT(ISNUMBER(K1510)),N(K1510)&lt;=0,N(K1510)&gt;1440),"Temps d'ouverture invalide",IF(OR(AND(G1510&lt;&gt;"",NOT(ISNUMBER(G1510))),N(G1510)&lt;0,N(G1510)&lt;&gt;INT(N(G1510)),AND(H1510&lt;&gt;"",NOT(ISNUMBER(H1510))),N(H1510)&lt;0,N(H1510)&lt;&gt;INT(N(H1510)),AND(I1510&lt;&gt;"",NOT(ISNUMBER(I1510))),N(I1510)&lt;0,N(I1510)&lt;&gt;INT(N(I1510))),"Quantité invalide",IF(Q1510&lt;=0,"Cadence manquante (poste ou article)",IF(M1510&lt;=0,"Arrêts planifiés supérieurs au temps d'ouverture",IF(O1510&lt;0,"Arrêts supérieurs au temps requis",IF(AND(P1510&gt;0,O1510=0),"Pièces déclarées sans temps de marche",IF(AND(P1510=0,O1510&gt;0),"Aucune pièce déclarée",IF(P1510*60/Q1510&gt;O1510+0.001,"Cadence dépassée : vérifiez la cadence","OK"))))))))))))))))))</f>
        <v/>
      </c>
      <c r="AC1510">
        <f>IF(OR(AB1510="OK",AB1510="Aucune pièce déclarée",AB1510="Cadence dépassée : vérifiez la cadence"),1,0)</f>
        <v>0.0</v>
      </c>
      <c r="AD1510">
        <f>IF(AND(AC1510=1,A1510&gt;=p_from,A1510&lt;=p_to),1,0)</f>
        <v>0.0</v>
      </c>
      <c r="AE1510">
        <f>IF(AD1510=1,IF(COUNTIFS($A$6:A1510,A1510,$AD$6:AD1510,1)=1,1,0),0)</f>
        <v>0.0</v>
      </c>
      <c r="AF1510" t="str">
        <f>IF(AE1510=1,COUNTIFS(sj_first,1,sj_date,"&lt;"&amp;A1510)+1,"")</f>
        <v/>
      </c>
      <c r="AG1510" t="str">
        <f>IF(AND(AD1510=1,N(W1510)&lt;p_alert),ROUND(W1510,4),"")</f>
        <v/>
      </c>
      <c r="AH1510" t="str">
        <f>IF(AG1510="","",COUNTIF(sj_akey,"&lt;"&amp;AG1510)+COUNTIF($AG$6:AG1510,AG1510))</f>
        <v/>
      </c>
    </row>
    <row r="1511">
      <c r="A1511" s="51" t="n"/>
      <c r="B1511" s="52" t="n"/>
      <c r="C1511" s="52" t="n"/>
      <c r="D1511" s="53" t="n"/>
      <c r="E1511" s="53" t="n"/>
      <c r="F1511" s="54" t="n"/>
      <c r="G1511" s="54" t="n"/>
      <c r="H1511" s="54" t="n"/>
      <c r="I1511" s="54" t="n"/>
      <c r="J1511" s="53" t="n"/>
      <c r="K1511" s="55" t="str">
        <f>IF(COUNTA(A1511:I1511)=0,"",IF(F1511="",IFERROR(INDEX(eq_dur,MATCH(B1511,eq_code,0)),""),F1511))</f>
        <v/>
      </c>
      <c r="L1511" s="55" t="str">
        <f>IF(ISNUMBER(K1511),N(IFERROR(INDEX(eq_pause,MATCH(B1511,eq_code,0)),0))+SUMIFS(st_min,st_date,A1511,st_eq,B1511,st_po,C1511,st_type,"Planifié"),"")</f>
        <v/>
      </c>
      <c r="M1511" s="55" t="str">
        <f>IF(ISNUMBER(K1511),K1511-L1511,"")</f>
        <v/>
      </c>
      <c r="N1511" s="55" t="str">
        <f>IF(ISNUMBER(K1511),SUMIFS(st_min,st_date,A1511,st_eq,B1511,st_po,C1511,st_type,"Non planifié"),"")</f>
        <v/>
      </c>
      <c r="O1511" s="55" t="str">
        <f>IF(ISNUMBER(K1511),M1511-N1511,"")</f>
        <v/>
      </c>
      <c r="P1511" s="55" t="str">
        <f>IF(COUNTA(A1511:I1511)=0,"",N(G1511)+N(H1511)+N(I1511))</f>
        <v/>
      </c>
      <c r="Q1511" s="56" t="str">
        <f>IF(COUNTA(A1511:I1511)=0,"",IF(N(IFERROR(INDEX(art_rate,MATCH(E1511,art_ref,0)),0))&gt;0,N(IFERROR(INDEX(art_rate,MATCH(E1511,art_ref,0)),0)),N(IFERROR(INDEX(po_rate,MATCH(C1511,po_code,0)),0))))</f>
        <v/>
      </c>
      <c r="R1511" s="55" t="str">
        <f>IF(AC1511=1,P1511*60/Q1511,"")</f>
        <v/>
      </c>
      <c r="S1511" s="55" t="str">
        <f>IF(AC1511=1,N(G1511)*60/Q1511,"")</f>
        <v/>
      </c>
      <c r="T1511" s="57" t="str">
        <f>IF(AC1511=1,O1511/M1511,"")</f>
        <v/>
      </c>
      <c r="U1511" s="57" t="str">
        <f>IF(AC1511=1,IF(O1511&gt;0,R1511/O1511,""),"")</f>
        <v/>
      </c>
      <c r="V1511" s="57" t="str">
        <f>IF(AC1511=1,IF(P1511&gt;0,N(G1511)/P1511,""),"")</f>
        <v/>
      </c>
      <c r="W1511" s="57" t="str">
        <f>IF(AC1511=1,S1511/M1511,"")</f>
        <v/>
      </c>
      <c r="X1511" s="57" t="str">
        <f>IF(AC1511=1,S1511/K1511,"")</f>
        <v/>
      </c>
      <c r="Y1511" s="58" t="str">
        <f>IF(W1511="","",IF(W1511&gt;=p_target,"Bon",IF(W1511&gt;=p_alert,"À surveiller","Faible")))</f>
        <v/>
      </c>
      <c r="Z1511" s="58" t="str">
        <f>IF(W1511="","",IF(MIN(IF(T1511="",1,T1511),IF(U1511="",1,U1511),IF(V1511="",1,V1511))&gt;=1,"Aucune",IF(IF(T1511="",1,T1511)&lt;=MIN(IF(U1511="",1,U1511),IF(V1511="",1,V1511)),"Disponibilité",IF(IF(U1511="",1,U1511)&lt;=IF(V1511="",1,V1511),"Performance","Qualité"))))</f>
        <v/>
      </c>
      <c r="AA1511" s="59" t="str">
        <f>IF(AC1511=1,N(H1511)*N(IFERROR(INDEX(art_cost,MATCH(E1511,art_ref,0)),0)),"")</f>
        <v/>
      </c>
      <c r="AB1511" s="58" t="str">
        <f>IF(COUNTA(A1511:I1511)=0,"",IF(N(A1511)&lt;=0,"Date manquante ou invalide",IF(B1511="","Équipe manquante",IF(ISNA(MATCH(B1511,eq_code,0)),"Équipe inconnue",IF(INDEX(eq_check,MATCH(B1511,eq_code,0))&lt;&gt;"OK","Équipe à corriger dans Paramètres",IF(C1511="","Poste manquant",IF(ISNA(MATCH(C1511,po_code,0)),"Poste inconnu",IF(AND(E1511&lt;&gt;"",ISNA(MATCH(E1511,art_ref,0))),"Article inconnu",IF(IF(E1511="",FALSE,INDEX(art_check,MATCH(E1511,art_ref,0))&lt;&gt;"OK"),"Article à corriger (feuille Articles)",IF(COUNTIFS(sj_date,A1511,sj_eq,B1511,sj_po,C1511)&gt;1,"Ligne en double (même jour, équipe et poste)",IF(OR(NOT(ISNUMBER(K1511)),N(K1511)&lt;=0,N(K1511)&gt;1440),"Temps d'ouverture invalide",IF(OR(AND(G1511&lt;&gt;"",NOT(ISNUMBER(G1511))),N(G1511)&lt;0,N(G1511)&lt;&gt;INT(N(G1511)),AND(H1511&lt;&gt;"",NOT(ISNUMBER(H1511))),N(H1511)&lt;0,N(H1511)&lt;&gt;INT(N(H1511)),AND(I1511&lt;&gt;"",NOT(ISNUMBER(I1511))),N(I1511)&lt;0,N(I1511)&lt;&gt;INT(N(I1511))),"Quantité invalide",IF(Q1511&lt;=0,"Cadence manquante (poste ou article)",IF(M1511&lt;=0,"Arrêts planifiés supérieurs au temps d'ouverture",IF(O1511&lt;0,"Arrêts supérieurs au temps requis",IF(AND(P1511&gt;0,O1511=0),"Pièces déclarées sans temps de marche",IF(AND(P1511=0,O1511&gt;0),"Aucune pièce déclarée",IF(P1511*60/Q1511&gt;O1511+0.001,"Cadence dépassée : vérifiez la cadence","OK"))))))))))))))))))</f>
        <v/>
      </c>
      <c r="AC1511">
        <f>IF(OR(AB1511="OK",AB1511="Aucune pièce déclarée",AB1511="Cadence dépassée : vérifiez la cadence"),1,0)</f>
        <v>0.0</v>
      </c>
      <c r="AD1511">
        <f>IF(AND(AC1511=1,A1511&gt;=p_from,A1511&lt;=p_to),1,0)</f>
        <v>0.0</v>
      </c>
      <c r="AE1511">
        <f>IF(AD1511=1,IF(COUNTIFS($A$6:A1511,A1511,$AD$6:AD1511,1)=1,1,0),0)</f>
        <v>0.0</v>
      </c>
      <c r="AF1511" t="str">
        <f>IF(AE1511=1,COUNTIFS(sj_first,1,sj_date,"&lt;"&amp;A1511)+1,"")</f>
        <v/>
      </c>
      <c r="AG1511" t="str">
        <f>IF(AND(AD1511=1,N(W1511)&lt;p_alert),ROUND(W1511,4),"")</f>
        <v/>
      </c>
      <c r="AH1511" t="str">
        <f>IF(AG1511="","",COUNTIF(sj_akey,"&lt;"&amp;AG1511)+COUNTIF($AG$6:AG1511,AG1511))</f>
        <v/>
      </c>
    </row>
    <row r="1512">
      <c r="A1512" s="51" t="n"/>
      <c r="B1512" s="52" t="n"/>
      <c r="C1512" s="52" t="n"/>
      <c r="D1512" s="53" t="n"/>
      <c r="E1512" s="53" t="n"/>
      <c r="F1512" s="54" t="n"/>
      <c r="G1512" s="54" t="n"/>
      <c r="H1512" s="54" t="n"/>
      <c r="I1512" s="54" t="n"/>
      <c r="J1512" s="53" t="n"/>
      <c r="K1512" s="55" t="str">
        <f>IF(COUNTA(A1512:I1512)=0,"",IF(F1512="",IFERROR(INDEX(eq_dur,MATCH(B1512,eq_code,0)),""),F1512))</f>
        <v/>
      </c>
      <c r="L1512" s="55" t="str">
        <f>IF(ISNUMBER(K1512),N(IFERROR(INDEX(eq_pause,MATCH(B1512,eq_code,0)),0))+SUMIFS(st_min,st_date,A1512,st_eq,B1512,st_po,C1512,st_type,"Planifié"),"")</f>
        <v/>
      </c>
      <c r="M1512" s="55" t="str">
        <f>IF(ISNUMBER(K1512),K1512-L1512,"")</f>
        <v/>
      </c>
      <c r="N1512" s="55" t="str">
        <f>IF(ISNUMBER(K1512),SUMIFS(st_min,st_date,A1512,st_eq,B1512,st_po,C1512,st_type,"Non planifié"),"")</f>
        <v/>
      </c>
      <c r="O1512" s="55" t="str">
        <f>IF(ISNUMBER(K1512),M1512-N1512,"")</f>
        <v/>
      </c>
      <c r="P1512" s="55" t="str">
        <f>IF(COUNTA(A1512:I1512)=0,"",N(G1512)+N(H1512)+N(I1512))</f>
        <v/>
      </c>
      <c r="Q1512" s="56" t="str">
        <f>IF(COUNTA(A1512:I1512)=0,"",IF(N(IFERROR(INDEX(art_rate,MATCH(E1512,art_ref,0)),0))&gt;0,N(IFERROR(INDEX(art_rate,MATCH(E1512,art_ref,0)),0)),N(IFERROR(INDEX(po_rate,MATCH(C1512,po_code,0)),0))))</f>
        <v/>
      </c>
      <c r="R1512" s="55" t="str">
        <f>IF(AC1512=1,P1512*60/Q1512,"")</f>
        <v/>
      </c>
      <c r="S1512" s="55" t="str">
        <f>IF(AC1512=1,N(G1512)*60/Q1512,"")</f>
        <v/>
      </c>
      <c r="T1512" s="57" t="str">
        <f>IF(AC1512=1,O1512/M1512,"")</f>
        <v/>
      </c>
      <c r="U1512" s="57" t="str">
        <f>IF(AC1512=1,IF(O1512&gt;0,R1512/O1512,""),"")</f>
        <v/>
      </c>
      <c r="V1512" s="57" t="str">
        <f>IF(AC1512=1,IF(P1512&gt;0,N(G1512)/P1512,""),"")</f>
        <v/>
      </c>
      <c r="W1512" s="57" t="str">
        <f>IF(AC1512=1,S1512/M1512,"")</f>
        <v/>
      </c>
      <c r="X1512" s="57" t="str">
        <f>IF(AC1512=1,S1512/K1512,"")</f>
        <v/>
      </c>
      <c r="Y1512" s="58" t="str">
        <f>IF(W1512="","",IF(W1512&gt;=p_target,"Bon",IF(W1512&gt;=p_alert,"À surveiller","Faible")))</f>
        <v/>
      </c>
      <c r="Z1512" s="58" t="str">
        <f>IF(W1512="","",IF(MIN(IF(T1512="",1,T1512),IF(U1512="",1,U1512),IF(V1512="",1,V1512))&gt;=1,"Aucune",IF(IF(T1512="",1,T1512)&lt;=MIN(IF(U1512="",1,U1512),IF(V1512="",1,V1512)),"Disponibilité",IF(IF(U1512="",1,U1512)&lt;=IF(V1512="",1,V1512),"Performance","Qualité"))))</f>
        <v/>
      </c>
      <c r="AA1512" s="59" t="str">
        <f>IF(AC1512=1,N(H1512)*N(IFERROR(INDEX(art_cost,MATCH(E1512,art_ref,0)),0)),"")</f>
        <v/>
      </c>
      <c r="AB1512" s="58" t="str">
        <f>IF(COUNTA(A1512:I1512)=0,"",IF(N(A1512)&lt;=0,"Date manquante ou invalide",IF(B1512="","Équipe manquante",IF(ISNA(MATCH(B1512,eq_code,0)),"Équipe inconnue",IF(INDEX(eq_check,MATCH(B1512,eq_code,0))&lt;&gt;"OK","Équipe à corriger dans Paramètres",IF(C1512="","Poste manquant",IF(ISNA(MATCH(C1512,po_code,0)),"Poste inconnu",IF(AND(E1512&lt;&gt;"",ISNA(MATCH(E1512,art_ref,0))),"Article inconnu",IF(IF(E1512="",FALSE,INDEX(art_check,MATCH(E1512,art_ref,0))&lt;&gt;"OK"),"Article à corriger (feuille Articles)",IF(COUNTIFS(sj_date,A1512,sj_eq,B1512,sj_po,C1512)&gt;1,"Ligne en double (même jour, équipe et poste)",IF(OR(NOT(ISNUMBER(K1512)),N(K1512)&lt;=0,N(K1512)&gt;1440),"Temps d'ouverture invalide",IF(OR(AND(G1512&lt;&gt;"",NOT(ISNUMBER(G1512))),N(G1512)&lt;0,N(G1512)&lt;&gt;INT(N(G1512)),AND(H1512&lt;&gt;"",NOT(ISNUMBER(H1512))),N(H1512)&lt;0,N(H1512)&lt;&gt;INT(N(H1512)),AND(I1512&lt;&gt;"",NOT(ISNUMBER(I1512))),N(I1512)&lt;0,N(I1512)&lt;&gt;INT(N(I1512))),"Quantité invalide",IF(Q1512&lt;=0,"Cadence manquante (poste ou article)",IF(M1512&lt;=0,"Arrêts planifiés supérieurs au temps d'ouverture",IF(O1512&lt;0,"Arrêts supérieurs au temps requis",IF(AND(P1512&gt;0,O1512=0),"Pièces déclarées sans temps de marche",IF(AND(P1512=0,O1512&gt;0),"Aucune pièce déclarée",IF(P1512*60/Q1512&gt;O1512+0.001,"Cadence dépassée : vérifiez la cadence","OK"))))))))))))))))))</f>
        <v/>
      </c>
      <c r="AC1512">
        <f>IF(OR(AB1512="OK",AB1512="Aucune pièce déclarée",AB1512="Cadence dépassée : vérifiez la cadence"),1,0)</f>
        <v>0.0</v>
      </c>
      <c r="AD1512">
        <f>IF(AND(AC1512=1,A1512&gt;=p_from,A1512&lt;=p_to),1,0)</f>
        <v>0.0</v>
      </c>
      <c r="AE1512">
        <f>IF(AD1512=1,IF(COUNTIFS($A$6:A1512,A1512,$AD$6:AD1512,1)=1,1,0),0)</f>
        <v>0.0</v>
      </c>
      <c r="AF1512" t="str">
        <f>IF(AE1512=1,COUNTIFS(sj_first,1,sj_date,"&lt;"&amp;A1512)+1,"")</f>
        <v/>
      </c>
      <c r="AG1512" t="str">
        <f>IF(AND(AD1512=1,N(W1512)&lt;p_alert),ROUND(W1512,4),"")</f>
        <v/>
      </c>
      <c r="AH1512" t="str">
        <f>IF(AG1512="","",COUNTIF(sj_akey,"&lt;"&amp;AG1512)+COUNTIF($AG$6:AG1512,AG1512))</f>
        <v/>
      </c>
    </row>
    <row r="1513">
      <c r="A1513" s="51" t="n"/>
      <c r="B1513" s="52" t="n"/>
      <c r="C1513" s="52" t="n"/>
      <c r="D1513" s="53" t="n"/>
      <c r="E1513" s="53" t="n"/>
      <c r="F1513" s="54" t="n"/>
      <c r="G1513" s="54" t="n"/>
      <c r="H1513" s="54" t="n"/>
      <c r="I1513" s="54" t="n"/>
      <c r="J1513" s="53" t="n"/>
      <c r="K1513" s="55" t="str">
        <f>IF(COUNTA(A1513:I1513)=0,"",IF(F1513="",IFERROR(INDEX(eq_dur,MATCH(B1513,eq_code,0)),""),F1513))</f>
        <v/>
      </c>
      <c r="L1513" s="55" t="str">
        <f>IF(ISNUMBER(K1513),N(IFERROR(INDEX(eq_pause,MATCH(B1513,eq_code,0)),0))+SUMIFS(st_min,st_date,A1513,st_eq,B1513,st_po,C1513,st_type,"Planifié"),"")</f>
        <v/>
      </c>
      <c r="M1513" s="55" t="str">
        <f>IF(ISNUMBER(K1513),K1513-L1513,"")</f>
        <v/>
      </c>
      <c r="N1513" s="55" t="str">
        <f>IF(ISNUMBER(K1513),SUMIFS(st_min,st_date,A1513,st_eq,B1513,st_po,C1513,st_type,"Non planifié"),"")</f>
        <v/>
      </c>
      <c r="O1513" s="55" t="str">
        <f>IF(ISNUMBER(K1513),M1513-N1513,"")</f>
        <v/>
      </c>
      <c r="P1513" s="55" t="str">
        <f>IF(COUNTA(A1513:I1513)=0,"",N(G1513)+N(H1513)+N(I1513))</f>
        <v/>
      </c>
      <c r="Q1513" s="56" t="str">
        <f>IF(COUNTA(A1513:I1513)=0,"",IF(N(IFERROR(INDEX(art_rate,MATCH(E1513,art_ref,0)),0))&gt;0,N(IFERROR(INDEX(art_rate,MATCH(E1513,art_ref,0)),0)),N(IFERROR(INDEX(po_rate,MATCH(C1513,po_code,0)),0))))</f>
        <v/>
      </c>
      <c r="R1513" s="55" t="str">
        <f>IF(AC1513=1,P1513*60/Q1513,"")</f>
        <v/>
      </c>
      <c r="S1513" s="55" t="str">
        <f>IF(AC1513=1,N(G1513)*60/Q1513,"")</f>
        <v/>
      </c>
      <c r="T1513" s="57" t="str">
        <f>IF(AC1513=1,O1513/M1513,"")</f>
        <v/>
      </c>
      <c r="U1513" s="57" t="str">
        <f>IF(AC1513=1,IF(O1513&gt;0,R1513/O1513,""),"")</f>
        <v/>
      </c>
      <c r="V1513" s="57" t="str">
        <f>IF(AC1513=1,IF(P1513&gt;0,N(G1513)/P1513,""),"")</f>
        <v/>
      </c>
      <c r="W1513" s="57" t="str">
        <f>IF(AC1513=1,S1513/M1513,"")</f>
        <v/>
      </c>
      <c r="X1513" s="57" t="str">
        <f>IF(AC1513=1,S1513/K1513,"")</f>
        <v/>
      </c>
      <c r="Y1513" s="58" t="str">
        <f>IF(W1513="","",IF(W1513&gt;=p_target,"Bon",IF(W1513&gt;=p_alert,"À surveiller","Faible")))</f>
        <v/>
      </c>
      <c r="Z1513" s="58" t="str">
        <f>IF(W1513="","",IF(MIN(IF(T1513="",1,T1513),IF(U1513="",1,U1513),IF(V1513="",1,V1513))&gt;=1,"Aucune",IF(IF(T1513="",1,T1513)&lt;=MIN(IF(U1513="",1,U1513),IF(V1513="",1,V1513)),"Disponibilité",IF(IF(U1513="",1,U1513)&lt;=IF(V1513="",1,V1513),"Performance","Qualité"))))</f>
        <v/>
      </c>
      <c r="AA1513" s="59" t="str">
        <f>IF(AC1513=1,N(H1513)*N(IFERROR(INDEX(art_cost,MATCH(E1513,art_ref,0)),0)),"")</f>
        <v/>
      </c>
      <c r="AB1513" s="58" t="str">
        <f>IF(COUNTA(A1513:I1513)=0,"",IF(N(A1513)&lt;=0,"Date manquante ou invalide",IF(B1513="","Équipe manquante",IF(ISNA(MATCH(B1513,eq_code,0)),"Équipe inconnue",IF(INDEX(eq_check,MATCH(B1513,eq_code,0))&lt;&gt;"OK","Équipe à corriger dans Paramètres",IF(C1513="","Poste manquant",IF(ISNA(MATCH(C1513,po_code,0)),"Poste inconnu",IF(AND(E1513&lt;&gt;"",ISNA(MATCH(E1513,art_ref,0))),"Article inconnu",IF(IF(E1513="",FALSE,INDEX(art_check,MATCH(E1513,art_ref,0))&lt;&gt;"OK"),"Article à corriger (feuille Articles)",IF(COUNTIFS(sj_date,A1513,sj_eq,B1513,sj_po,C1513)&gt;1,"Ligne en double (même jour, équipe et poste)",IF(OR(NOT(ISNUMBER(K1513)),N(K1513)&lt;=0,N(K1513)&gt;1440),"Temps d'ouverture invalide",IF(OR(AND(G1513&lt;&gt;"",NOT(ISNUMBER(G1513))),N(G1513)&lt;0,N(G1513)&lt;&gt;INT(N(G1513)),AND(H1513&lt;&gt;"",NOT(ISNUMBER(H1513))),N(H1513)&lt;0,N(H1513)&lt;&gt;INT(N(H1513)),AND(I1513&lt;&gt;"",NOT(ISNUMBER(I1513))),N(I1513)&lt;0,N(I1513)&lt;&gt;INT(N(I1513))),"Quantité invalide",IF(Q1513&lt;=0,"Cadence manquante (poste ou article)",IF(M1513&lt;=0,"Arrêts planifiés supérieurs au temps d'ouverture",IF(O1513&lt;0,"Arrêts supérieurs au temps requis",IF(AND(P1513&gt;0,O1513=0),"Pièces déclarées sans temps de marche",IF(AND(P1513=0,O1513&gt;0),"Aucune pièce déclarée",IF(P1513*60/Q1513&gt;O1513+0.001,"Cadence dépassée : vérifiez la cadence","OK"))))))))))))))))))</f>
        <v/>
      </c>
      <c r="AC1513">
        <f>IF(OR(AB1513="OK",AB1513="Aucune pièce déclarée",AB1513="Cadence dépassée : vérifiez la cadence"),1,0)</f>
        <v>0.0</v>
      </c>
      <c r="AD1513">
        <f>IF(AND(AC1513=1,A1513&gt;=p_from,A1513&lt;=p_to),1,0)</f>
        <v>0.0</v>
      </c>
      <c r="AE1513">
        <f>IF(AD1513=1,IF(COUNTIFS($A$6:A1513,A1513,$AD$6:AD1513,1)=1,1,0),0)</f>
        <v>0.0</v>
      </c>
      <c r="AF1513" t="str">
        <f>IF(AE1513=1,COUNTIFS(sj_first,1,sj_date,"&lt;"&amp;A1513)+1,"")</f>
        <v/>
      </c>
      <c r="AG1513" t="str">
        <f>IF(AND(AD1513=1,N(W1513)&lt;p_alert),ROUND(W1513,4),"")</f>
        <v/>
      </c>
      <c r="AH1513" t="str">
        <f>IF(AG1513="","",COUNTIF(sj_akey,"&lt;"&amp;AG1513)+COUNTIF($AG$6:AG1513,AG1513))</f>
        <v/>
      </c>
    </row>
    <row r="1514">
      <c r="A1514" s="51" t="n"/>
      <c r="B1514" s="52" t="n"/>
      <c r="C1514" s="52" t="n"/>
      <c r="D1514" s="53" t="n"/>
      <c r="E1514" s="53" t="n"/>
      <c r="F1514" s="54" t="n"/>
      <c r="G1514" s="54" t="n"/>
      <c r="H1514" s="54" t="n"/>
      <c r="I1514" s="54" t="n"/>
      <c r="J1514" s="53" t="n"/>
      <c r="K1514" s="55" t="str">
        <f>IF(COUNTA(A1514:I1514)=0,"",IF(F1514="",IFERROR(INDEX(eq_dur,MATCH(B1514,eq_code,0)),""),F1514))</f>
        <v/>
      </c>
      <c r="L1514" s="55" t="str">
        <f>IF(ISNUMBER(K1514),N(IFERROR(INDEX(eq_pause,MATCH(B1514,eq_code,0)),0))+SUMIFS(st_min,st_date,A1514,st_eq,B1514,st_po,C1514,st_type,"Planifié"),"")</f>
        <v/>
      </c>
      <c r="M1514" s="55" t="str">
        <f>IF(ISNUMBER(K1514),K1514-L1514,"")</f>
        <v/>
      </c>
      <c r="N1514" s="55" t="str">
        <f>IF(ISNUMBER(K1514),SUMIFS(st_min,st_date,A1514,st_eq,B1514,st_po,C1514,st_type,"Non planifié"),"")</f>
        <v/>
      </c>
      <c r="O1514" s="55" t="str">
        <f>IF(ISNUMBER(K1514),M1514-N1514,"")</f>
        <v/>
      </c>
      <c r="P1514" s="55" t="str">
        <f>IF(COUNTA(A1514:I1514)=0,"",N(G1514)+N(H1514)+N(I1514))</f>
        <v/>
      </c>
      <c r="Q1514" s="56" t="str">
        <f>IF(COUNTA(A1514:I1514)=0,"",IF(N(IFERROR(INDEX(art_rate,MATCH(E1514,art_ref,0)),0))&gt;0,N(IFERROR(INDEX(art_rate,MATCH(E1514,art_ref,0)),0)),N(IFERROR(INDEX(po_rate,MATCH(C1514,po_code,0)),0))))</f>
        <v/>
      </c>
      <c r="R1514" s="55" t="str">
        <f>IF(AC1514=1,P1514*60/Q1514,"")</f>
        <v/>
      </c>
      <c r="S1514" s="55" t="str">
        <f>IF(AC1514=1,N(G1514)*60/Q1514,"")</f>
        <v/>
      </c>
      <c r="T1514" s="57" t="str">
        <f>IF(AC1514=1,O1514/M1514,"")</f>
        <v/>
      </c>
      <c r="U1514" s="57" t="str">
        <f>IF(AC1514=1,IF(O1514&gt;0,R1514/O1514,""),"")</f>
        <v/>
      </c>
      <c r="V1514" s="57" t="str">
        <f>IF(AC1514=1,IF(P1514&gt;0,N(G1514)/P1514,""),"")</f>
        <v/>
      </c>
      <c r="W1514" s="57" t="str">
        <f>IF(AC1514=1,S1514/M1514,"")</f>
        <v/>
      </c>
      <c r="X1514" s="57" t="str">
        <f>IF(AC1514=1,S1514/K1514,"")</f>
        <v/>
      </c>
      <c r="Y1514" s="58" t="str">
        <f>IF(W1514="","",IF(W1514&gt;=p_target,"Bon",IF(W1514&gt;=p_alert,"À surveiller","Faible")))</f>
        <v/>
      </c>
      <c r="Z1514" s="58" t="str">
        <f>IF(W1514="","",IF(MIN(IF(T1514="",1,T1514),IF(U1514="",1,U1514),IF(V1514="",1,V1514))&gt;=1,"Aucune",IF(IF(T1514="",1,T1514)&lt;=MIN(IF(U1514="",1,U1514),IF(V1514="",1,V1514)),"Disponibilité",IF(IF(U1514="",1,U1514)&lt;=IF(V1514="",1,V1514),"Performance","Qualité"))))</f>
        <v/>
      </c>
      <c r="AA1514" s="59" t="str">
        <f>IF(AC1514=1,N(H1514)*N(IFERROR(INDEX(art_cost,MATCH(E1514,art_ref,0)),0)),"")</f>
        <v/>
      </c>
      <c r="AB1514" s="58" t="str">
        <f>IF(COUNTA(A1514:I1514)=0,"",IF(N(A1514)&lt;=0,"Date manquante ou invalide",IF(B1514="","Équipe manquante",IF(ISNA(MATCH(B1514,eq_code,0)),"Équipe inconnue",IF(INDEX(eq_check,MATCH(B1514,eq_code,0))&lt;&gt;"OK","Équipe à corriger dans Paramètres",IF(C1514="","Poste manquant",IF(ISNA(MATCH(C1514,po_code,0)),"Poste inconnu",IF(AND(E1514&lt;&gt;"",ISNA(MATCH(E1514,art_ref,0))),"Article inconnu",IF(IF(E1514="",FALSE,INDEX(art_check,MATCH(E1514,art_ref,0))&lt;&gt;"OK"),"Article à corriger (feuille Articles)",IF(COUNTIFS(sj_date,A1514,sj_eq,B1514,sj_po,C1514)&gt;1,"Ligne en double (même jour, équipe et poste)",IF(OR(NOT(ISNUMBER(K1514)),N(K1514)&lt;=0,N(K1514)&gt;1440),"Temps d'ouverture invalide",IF(OR(AND(G1514&lt;&gt;"",NOT(ISNUMBER(G1514))),N(G1514)&lt;0,N(G1514)&lt;&gt;INT(N(G1514)),AND(H1514&lt;&gt;"",NOT(ISNUMBER(H1514))),N(H1514)&lt;0,N(H1514)&lt;&gt;INT(N(H1514)),AND(I1514&lt;&gt;"",NOT(ISNUMBER(I1514))),N(I1514)&lt;0,N(I1514)&lt;&gt;INT(N(I1514))),"Quantité invalide",IF(Q1514&lt;=0,"Cadence manquante (poste ou article)",IF(M1514&lt;=0,"Arrêts planifiés supérieurs au temps d'ouverture",IF(O1514&lt;0,"Arrêts supérieurs au temps requis",IF(AND(P1514&gt;0,O1514=0),"Pièces déclarées sans temps de marche",IF(AND(P1514=0,O1514&gt;0),"Aucune pièce déclarée",IF(P1514*60/Q1514&gt;O1514+0.001,"Cadence dépassée : vérifiez la cadence","OK"))))))))))))))))))</f>
        <v/>
      </c>
      <c r="AC1514">
        <f>IF(OR(AB1514="OK",AB1514="Aucune pièce déclarée",AB1514="Cadence dépassée : vérifiez la cadence"),1,0)</f>
        <v>0.0</v>
      </c>
      <c r="AD1514">
        <f>IF(AND(AC1514=1,A1514&gt;=p_from,A1514&lt;=p_to),1,0)</f>
        <v>0.0</v>
      </c>
      <c r="AE1514">
        <f>IF(AD1514=1,IF(COUNTIFS($A$6:A1514,A1514,$AD$6:AD1514,1)=1,1,0),0)</f>
        <v>0.0</v>
      </c>
      <c r="AF1514" t="str">
        <f>IF(AE1514=1,COUNTIFS(sj_first,1,sj_date,"&lt;"&amp;A1514)+1,"")</f>
        <v/>
      </c>
      <c r="AG1514" t="str">
        <f>IF(AND(AD1514=1,N(W1514)&lt;p_alert),ROUND(W1514,4),"")</f>
        <v/>
      </c>
      <c r="AH1514" t="str">
        <f>IF(AG1514="","",COUNTIF(sj_akey,"&lt;"&amp;AG1514)+COUNTIF($AG$6:AG1514,AG1514))</f>
        <v/>
      </c>
    </row>
    <row r="1515">
      <c r="A1515" s="51" t="n"/>
      <c r="B1515" s="52" t="n"/>
      <c r="C1515" s="52" t="n"/>
      <c r="D1515" s="53" t="n"/>
      <c r="E1515" s="53" t="n"/>
      <c r="F1515" s="54" t="n"/>
      <c r="G1515" s="54" t="n"/>
      <c r="H1515" s="54" t="n"/>
      <c r="I1515" s="54" t="n"/>
      <c r="J1515" s="53" t="n"/>
      <c r="K1515" s="55" t="str">
        <f>IF(COUNTA(A1515:I1515)=0,"",IF(F1515="",IFERROR(INDEX(eq_dur,MATCH(B1515,eq_code,0)),""),F1515))</f>
        <v/>
      </c>
      <c r="L1515" s="55" t="str">
        <f>IF(ISNUMBER(K1515),N(IFERROR(INDEX(eq_pause,MATCH(B1515,eq_code,0)),0))+SUMIFS(st_min,st_date,A1515,st_eq,B1515,st_po,C1515,st_type,"Planifié"),"")</f>
        <v/>
      </c>
      <c r="M1515" s="55" t="str">
        <f>IF(ISNUMBER(K1515),K1515-L1515,"")</f>
        <v/>
      </c>
      <c r="N1515" s="55" t="str">
        <f>IF(ISNUMBER(K1515),SUMIFS(st_min,st_date,A1515,st_eq,B1515,st_po,C1515,st_type,"Non planifié"),"")</f>
        <v/>
      </c>
      <c r="O1515" s="55" t="str">
        <f>IF(ISNUMBER(K1515),M1515-N1515,"")</f>
        <v/>
      </c>
      <c r="P1515" s="55" t="str">
        <f>IF(COUNTA(A1515:I1515)=0,"",N(G1515)+N(H1515)+N(I1515))</f>
        <v/>
      </c>
      <c r="Q1515" s="56" t="str">
        <f>IF(COUNTA(A1515:I1515)=0,"",IF(N(IFERROR(INDEX(art_rate,MATCH(E1515,art_ref,0)),0))&gt;0,N(IFERROR(INDEX(art_rate,MATCH(E1515,art_ref,0)),0)),N(IFERROR(INDEX(po_rate,MATCH(C1515,po_code,0)),0))))</f>
        <v/>
      </c>
      <c r="R1515" s="55" t="str">
        <f>IF(AC1515=1,P1515*60/Q1515,"")</f>
        <v/>
      </c>
      <c r="S1515" s="55" t="str">
        <f>IF(AC1515=1,N(G1515)*60/Q1515,"")</f>
        <v/>
      </c>
      <c r="T1515" s="57" t="str">
        <f>IF(AC1515=1,O1515/M1515,"")</f>
        <v/>
      </c>
      <c r="U1515" s="57" t="str">
        <f>IF(AC1515=1,IF(O1515&gt;0,R1515/O1515,""),"")</f>
        <v/>
      </c>
      <c r="V1515" s="57" t="str">
        <f>IF(AC1515=1,IF(P1515&gt;0,N(G1515)/P1515,""),"")</f>
        <v/>
      </c>
      <c r="W1515" s="57" t="str">
        <f>IF(AC1515=1,S1515/M1515,"")</f>
        <v/>
      </c>
      <c r="X1515" s="57" t="str">
        <f>IF(AC1515=1,S1515/K1515,"")</f>
        <v/>
      </c>
      <c r="Y1515" s="58" t="str">
        <f>IF(W1515="","",IF(W1515&gt;=p_target,"Bon",IF(W1515&gt;=p_alert,"À surveiller","Faible")))</f>
        <v/>
      </c>
      <c r="Z1515" s="58" t="str">
        <f>IF(W1515="","",IF(MIN(IF(T1515="",1,T1515),IF(U1515="",1,U1515),IF(V1515="",1,V1515))&gt;=1,"Aucune",IF(IF(T1515="",1,T1515)&lt;=MIN(IF(U1515="",1,U1515),IF(V1515="",1,V1515)),"Disponibilité",IF(IF(U1515="",1,U1515)&lt;=IF(V1515="",1,V1515),"Performance","Qualité"))))</f>
        <v/>
      </c>
      <c r="AA1515" s="59" t="str">
        <f>IF(AC1515=1,N(H1515)*N(IFERROR(INDEX(art_cost,MATCH(E1515,art_ref,0)),0)),"")</f>
        <v/>
      </c>
      <c r="AB1515" s="58" t="str">
        <f>IF(COUNTA(A1515:I1515)=0,"",IF(N(A1515)&lt;=0,"Date manquante ou invalide",IF(B1515="","Équipe manquante",IF(ISNA(MATCH(B1515,eq_code,0)),"Équipe inconnue",IF(INDEX(eq_check,MATCH(B1515,eq_code,0))&lt;&gt;"OK","Équipe à corriger dans Paramètres",IF(C1515="","Poste manquant",IF(ISNA(MATCH(C1515,po_code,0)),"Poste inconnu",IF(AND(E1515&lt;&gt;"",ISNA(MATCH(E1515,art_ref,0))),"Article inconnu",IF(IF(E1515="",FALSE,INDEX(art_check,MATCH(E1515,art_ref,0))&lt;&gt;"OK"),"Article à corriger (feuille Articles)",IF(COUNTIFS(sj_date,A1515,sj_eq,B1515,sj_po,C1515)&gt;1,"Ligne en double (même jour, équipe et poste)",IF(OR(NOT(ISNUMBER(K1515)),N(K1515)&lt;=0,N(K1515)&gt;1440),"Temps d'ouverture invalide",IF(OR(AND(G1515&lt;&gt;"",NOT(ISNUMBER(G1515))),N(G1515)&lt;0,N(G1515)&lt;&gt;INT(N(G1515)),AND(H1515&lt;&gt;"",NOT(ISNUMBER(H1515))),N(H1515)&lt;0,N(H1515)&lt;&gt;INT(N(H1515)),AND(I1515&lt;&gt;"",NOT(ISNUMBER(I1515))),N(I1515)&lt;0,N(I1515)&lt;&gt;INT(N(I1515))),"Quantité invalide",IF(Q1515&lt;=0,"Cadence manquante (poste ou article)",IF(M1515&lt;=0,"Arrêts planifiés supérieurs au temps d'ouverture",IF(O1515&lt;0,"Arrêts supérieurs au temps requis",IF(AND(P1515&gt;0,O1515=0),"Pièces déclarées sans temps de marche",IF(AND(P1515=0,O1515&gt;0),"Aucune pièce déclarée",IF(P1515*60/Q1515&gt;O1515+0.001,"Cadence dépassée : vérifiez la cadence","OK"))))))))))))))))))</f>
        <v/>
      </c>
      <c r="AC1515">
        <f>IF(OR(AB1515="OK",AB1515="Aucune pièce déclarée",AB1515="Cadence dépassée : vérifiez la cadence"),1,0)</f>
        <v>0.0</v>
      </c>
      <c r="AD1515">
        <f>IF(AND(AC1515=1,A1515&gt;=p_from,A1515&lt;=p_to),1,0)</f>
        <v>0.0</v>
      </c>
      <c r="AE1515">
        <f>IF(AD1515=1,IF(COUNTIFS($A$6:A1515,A1515,$AD$6:AD1515,1)=1,1,0),0)</f>
        <v>0.0</v>
      </c>
      <c r="AF1515" t="str">
        <f>IF(AE1515=1,COUNTIFS(sj_first,1,sj_date,"&lt;"&amp;A1515)+1,"")</f>
        <v/>
      </c>
      <c r="AG1515" t="str">
        <f>IF(AND(AD1515=1,N(W1515)&lt;p_alert),ROUND(W1515,4),"")</f>
        <v/>
      </c>
      <c r="AH1515" t="str">
        <f>IF(AG1515="","",COUNTIF(sj_akey,"&lt;"&amp;AG1515)+COUNTIF($AG$6:AG1515,AG1515))</f>
        <v/>
      </c>
    </row>
    <row r="1516">
      <c r="A1516" s="51" t="n"/>
      <c r="B1516" s="52" t="n"/>
      <c r="C1516" s="52" t="n"/>
      <c r="D1516" s="53" t="n"/>
      <c r="E1516" s="53" t="n"/>
      <c r="F1516" s="54" t="n"/>
      <c r="G1516" s="54" t="n"/>
      <c r="H1516" s="54" t="n"/>
      <c r="I1516" s="54" t="n"/>
      <c r="J1516" s="53" t="n"/>
      <c r="K1516" s="55" t="str">
        <f>IF(COUNTA(A1516:I1516)=0,"",IF(F1516="",IFERROR(INDEX(eq_dur,MATCH(B1516,eq_code,0)),""),F1516))</f>
        <v/>
      </c>
      <c r="L1516" s="55" t="str">
        <f>IF(ISNUMBER(K1516),N(IFERROR(INDEX(eq_pause,MATCH(B1516,eq_code,0)),0))+SUMIFS(st_min,st_date,A1516,st_eq,B1516,st_po,C1516,st_type,"Planifié"),"")</f>
        <v/>
      </c>
      <c r="M1516" s="55" t="str">
        <f>IF(ISNUMBER(K1516),K1516-L1516,"")</f>
        <v/>
      </c>
      <c r="N1516" s="55" t="str">
        <f>IF(ISNUMBER(K1516),SUMIFS(st_min,st_date,A1516,st_eq,B1516,st_po,C1516,st_type,"Non planifié"),"")</f>
        <v/>
      </c>
      <c r="O1516" s="55" t="str">
        <f>IF(ISNUMBER(K1516),M1516-N1516,"")</f>
        <v/>
      </c>
      <c r="P1516" s="55" t="str">
        <f>IF(COUNTA(A1516:I1516)=0,"",N(G1516)+N(H1516)+N(I1516))</f>
        <v/>
      </c>
      <c r="Q1516" s="56" t="str">
        <f>IF(COUNTA(A1516:I1516)=0,"",IF(N(IFERROR(INDEX(art_rate,MATCH(E1516,art_ref,0)),0))&gt;0,N(IFERROR(INDEX(art_rate,MATCH(E1516,art_ref,0)),0)),N(IFERROR(INDEX(po_rate,MATCH(C1516,po_code,0)),0))))</f>
        <v/>
      </c>
      <c r="R1516" s="55" t="str">
        <f>IF(AC1516=1,P1516*60/Q1516,"")</f>
        <v/>
      </c>
      <c r="S1516" s="55" t="str">
        <f>IF(AC1516=1,N(G1516)*60/Q1516,"")</f>
        <v/>
      </c>
      <c r="T1516" s="57" t="str">
        <f>IF(AC1516=1,O1516/M1516,"")</f>
        <v/>
      </c>
      <c r="U1516" s="57" t="str">
        <f>IF(AC1516=1,IF(O1516&gt;0,R1516/O1516,""),"")</f>
        <v/>
      </c>
      <c r="V1516" s="57" t="str">
        <f>IF(AC1516=1,IF(P1516&gt;0,N(G1516)/P1516,""),"")</f>
        <v/>
      </c>
      <c r="W1516" s="57" t="str">
        <f>IF(AC1516=1,S1516/M1516,"")</f>
        <v/>
      </c>
      <c r="X1516" s="57" t="str">
        <f>IF(AC1516=1,S1516/K1516,"")</f>
        <v/>
      </c>
      <c r="Y1516" s="58" t="str">
        <f>IF(W1516="","",IF(W1516&gt;=p_target,"Bon",IF(W1516&gt;=p_alert,"À surveiller","Faible")))</f>
        <v/>
      </c>
      <c r="Z1516" s="58" t="str">
        <f>IF(W1516="","",IF(MIN(IF(T1516="",1,T1516),IF(U1516="",1,U1516),IF(V1516="",1,V1516))&gt;=1,"Aucune",IF(IF(T1516="",1,T1516)&lt;=MIN(IF(U1516="",1,U1516),IF(V1516="",1,V1516)),"Disponibilité",IF(IF(U1516="",1,U1516)&lt;=IF(V1516="",1,V1516),"Performance","Qualité"))))</f>
        <v/>
      </c>
      <c r="AA1516" s="59" t="str">
        <f>IF(AC1516=1,N(H1516)*N(IFERROR(INDEX(art_cost,MATCH(E1516,art_ref,0)),0)),"")</f>
        <v/>
      </c>
      <c r="AB1516" s="58" t="str">
        <f>IF(COUNTA(A1516:I1516)=0,"",IF(N(A1516)&lt;=0,"Date manquante ou invalide",IF(B1516="","Équipe manquante",IF(ISNA(MATCH(B1516,eq_code,0)),"Équipe inconnue",IF(INDEX(eq_check,MATCH(B1516,eq_code,0))&lt;&gt;"OK","Équipe à corriger dans Paramètres",IF(C1516="","Poste manquant",IF(ISNA(MATCH(C1516,po_code,0)),"Poste inconnu",IF(AND(E1516&lt;&gt;"",ISNA(MATCH(E1516,art_ref,0))),"Article inconnu",IF(IF(E1516="",FALSE,INDEX(art_check,MATCH(E1516,art_ref,0))&lt;&gt;"OK"),"Article à corriger (feuille Articles)",IF(COUNTIFS(sj_date,A1516,sj_eq,B1516,sj_po,C1516)&gt;1,"Ligne en double (même jour, équipe et poste)",IF(OR(NOT(ISNUMBER(K1516)),N(K1516)&lt;=0,N(K1516)&gt;1440),"Temps d'ouverture invalide",IF(OR(AND(G1516&lt;&gt;"",NOT(ISNUMBER(G1516))),N(G1516)&lt;0,N(G1516)&lt;&gt;INT(N(G1516)),AND(H1516&lt;&gt;"",NOT(ISNUMBER(H1516))),N(H1516)&lt;0,N(H1516)&lt;&gt;INT(N(H1516)),AND(I1516&lt;&gt;"",NOT(ISNUMBER(I1516))),N(I1516)&lt;0,N(I1516)&lt;&gt;INT(N(I1516))),"Quantité invalide",IF(Q1516&lt;=0,"Cadence manquante (poste ou article)",IF(M1516&lt;=0,"Arrêts planifiés supérieurs au temps d'ouverture",IF(O1516&lt;0,"Arrêts supérieurs au temps requis",IF(AND(P1516&gt;0,O1516=0),"Pièces déclarées sans temps de marche",IF(AND(P1516=0,O1516&gt;0),"Aucune pièce déclarée",IF(P1516*60/Q1516&gt;O1516+0.001,"Cadence dépassée : vérifiez la cadence","OK"))))))))))))))))))</f>
        <v/>
      </c>
      <c r="AC1516">
        <f>IF(OR(AB1516="OK",AB1516="Aucune pièce déclarée",AB1516="Cadence dépassée : vérifiez la cadence"),1,0)</f>
        <v>0.0</v>
      </c>
      <c r="AD1516">
        <f>IF(AND(AC1516=1,A1516&gt;=p_from,A1516&lt;=p_to),1,0)</f>
        <v>0.0</v>
      </c>
      <c r="AE1516">
        <f>IF(AD1516=1,IF(COUNTIFS($A$6:A1516,A1516,$AD$6:AD1516,1)=1,1,0),0)</f>
        <v>0.0</v>
      </c>
      <c r="AF1516" t="str">
        <f>IF(AE1516=1,COUNTIFS(sj_first,1,sj_date,"&lt;"&amp;A1516)+1,"")</f>
        <v/>
      </c>
      <c r="AG1516" t="str">
        <f>IF(AND(AD1516=1,N(W1516)&lt;p_alert),ROUND(W1516,4),"")</f>
        <v/>
      </c>
      <c r="AH1516" t="str">
        <f>IF(AG1516="","",COUNTIF(sj_akey,"&lt;"&amp;AG1516)+COUNTIF($AG$6:AG1516,AG1516))</f>
        <v/>
      </c>
    </row>
    <row r="1517">
      <c r="A1517" s="51" t="n"/>
      <c r="B1517" s="52" t="n"/>
      <c r="C1517" s="52" t="n"/>
      <c r="D1517" s="53" t="n"/>
      <c r="E1517" s="53" t="n"/>
      <c r="F1517" s="54" t="n"/>
      <c r="G1517" s="54" t="n"/>
      <c r="H1517" s="54" t="n"/>
      <c r="I1517" s="54" t="n"/>
      <c r="J1517" s="53" t="n"/>
      <c r="K1517" s="55" t="str">
        <f>IF(COUNTA(A1517:I1517)=0,"",IF(F1517="",IFERROR(INDEX(eq_dur,MATCH(B1517,eq_code,0)),""),F1517))</f>
        <v/>
      </c>
      <c r="L1517" s="55" t="str">
        <f>IF(ISNUMBER(K1517),N(IFERROR(INDEX(eq_pause,MATCH(B1517,eq_code,0)),0))+SUMIFS(st_min,st_date,A1517,st_eq,B1517,st_po,C1517,st_type,"Planifié"),"")</f>
        <v/>
      </c>
      <c r="M1517" s="55" t="str">
        <f>IF(ISNUMBER(K1517),K1517-L1517,"")</f>
        <v/>
      </c>
      <c r="N1517" s="55" t="str">
        <f>IF(ISNUMBER(K1517),SUMIFS(st_min,st_date,A1517,st_eq,B1517,st_po,C1517,st_type,"Non planifié"),"")</f>
        <v/>
      </c>
      <c r="O1517" s="55" t="str">
        <f>IF(ISNUMBER(K1517),M1517-N1517,"")</f>
        <v/>
      </c>
      <c r="P1517" s="55" t="str">
        <f>IF(COUNTA(A1517:I1517)=0,"",N(G1517)+N(H1517)+N(I1517))</f>
        <v/>
      </c>
      <c r="Q1517" s="56" t="str">
        <f>IF(COUNTA(A1517:I1517)=0,"",IF(N(IFERROR(INDEX(art_rate,MATCH(E1517,art_ref,0)),0))&gt;0,N(IFERROR(INDEX(art_rate,MATCH(E1517,art_ref,0)),0)),N(IFERROR(INDEX(po_rate,MATCH(C1517,po_code,0)),0))))</f>
        <v/>
      </c>
      <c r="R1517" s="55" t="str">
        <f>IF(AC1517=1,P1517*60/Q1517,"")</f>
        <v/>
      </c>
      <c r="S1517" s="55" t="str">
        <f>IF(AC1517=1,N(G1517)*60/Q1517,"")</f>
        <v/>
      </c>
      <c r="T1517" s="57" t="str">
        <f>IF(AC1517=1,O1517/M1517,"")</f>
        <v/>
      </c>
      <c r="U1517" s="57" t="str">
        <f>IF(AC1517=1,IF(O1517&gt;0,R1517/O1517,""),"")</f>
        <v/>
      </c>
      <c r="V1517" s="57" t="str">
        <f>IF(AC1517=1,IF(P1517&gt;0,N(G1517)/P1517,""),"")</f>
        <v/>
      </c>
      <c r="W1517" s="57" t="str">
        <f>IF(AC1517=1,S1517/M1517,"")</f>
        <v/>
      </c>
      <c r="X1517" s="57" t="str">
        <f>IF(AC1517=1,S1517/K1517,"")</f>
        <v/>
      </c>
      <c r="Y1517" s="58" t="str">
        <f>IF(W1517="","",IF(W1517&gt;=p_target,"Bon",IF(W1517&gt;=p_alert,"À surveiller","Faible")))</f>
        <v/>
      </c>
      <c r="Z1517" s="58" t="str">
        <f>IF(W1517="","",IF(MIN(IF(T1517="",1,T1517),IF(U1517="",1,U1517),IF(V1517="",1,V1517))&gt;=1,"Aucune",IF(IF(T1517="",1,T1517)&lt;=MIN(IF(U1517="",1,U1517),IF(V1517="",1,V1517)),"Disponibilité",IF(IF(U1517="",1,U1517)&lt;=IF(V1517="",1,V1517),"Performance","Qualité"))))</f>
        <v/>
      </c>
      <c r="AA1517" s="59" t="str">
        <f>IF(AC1517=1,N(H1517)*N(IFERROR(INDEX(art_cost,MATCH(E1517,art_ref,0)),0)),"")</f>
        <v/>
      </c>
      <c r="AB1517" s="58" t="str">
        <f>IF(COUNTA(A1517:I1517)=0,"",IF(N(A1517)&lt;=0,"Date manquante ou invalide",IF(B1517="","Équipe manquante",IF(ISNA(MATCH(B1517,eq_code,0)),"Équipe inconnue",IF(INDEX(eq_check,MATCH(B1517,eq_code,0))&lt;&gt;"OK","Équipe à corriger dans Paramètres",IF(C1517="","Poste manquant",IF(ISNA(MATCH(C1517,po_code,0)),"Poste inconnu",IF(AND(E1517&lt;&gt;"",ISNA(MATCH(E1517,art_ref,0))),"Article inconnu",IF(IF(E1517="",FALSE,INDEX(art_check,MATCH(E1517,art_ref,0))&lt;&gt;"OK"),"Article à corriger (feuille Articles)",IF(COUNTIFS(sj_date,A1517,sj_eq,B1517,sj_po,C1517)&gt;1,"Ligne en double (même jour, équipe et poste)",IF(OR(NOT(ISNUMBER(K1517)),N(K1517)&lt;=0,N(K1517)&gt;1440),"Temps d'ouverture invalide",IF(OR(AND(G1517&lt;&gt;"",NOT(ISNUMBER(G1517))),N(G1517)&lt;0,N(G1517)&lt;&gt;INT(N(G1517)),AND(H1517&lt;&gt;"",NOT(ISNUMBER(H1517))),N(H1517)&lt;0,N(H1517)&lt;&gt;INT(N(H1517)),AND(I1517&lt;&gt;"",NOT(ISNUMBER(I1517))),N(I1517)&lt;0,N(I1517)&lt;&gt;INT(N(I1517))),"Quantité invalide",IF(Q1517&lt;=0,"Cadence manquante (poste ou article)",IF(M1517&lt;=0,"Arrêts planifiés supérieurs au temps d'ouverture",IF(O1517&lt;0,"Arrêts supérieurs au temps requis",IF(AND(P1517&gt;0,O1517=0),"Pièces déclarées sans temps de marche",IF(AND(P1517=0,O1517&gt;0),"Aucune pièce déclarée",IF(P1517*60/Q1517&gt;O1517+0.001,"Cadence dépassée : vérifiez la cadence","OK"))))))))))))))))))</f>
        <v/>
      </c>
      <c r="AC1517">
        <f>IF(OR(AB1517="OK",AB1517="Aucune pièce déclarée",AB1517="Cadence dépassée : vérifiez la cadence"),1,0)</f>
        <v>0.0</v>
      </c>
      <c r="AD1517">
        <f>IF(AND(AC1517=1,A1517&gt;=p_from,A1517&lt;=p_to),1,0)</f>
        <v>0.0</v>
      </c>
      <c r="AE1517">
        <f>IF(AD1517=1,IF(COUNTIFS($A$6:A1517,A1517,$AD$6:AD1517,1)=1,1,0),0)</f>
        <v>0.0</v>
      </c>
      <c r="AF1517" t="str">
        <f>IF(AE1517=1,COUNTIFS(sj_first,1,sj_date,"&lt;"&amp;A1517)+1,"")</f>
        <v/>
      </c>
      <c r="AG1517" t="str">
        <f>IF(AND(AD1517=1,N(W1517)&lt;p_alert),ROUND(W1517,4),"")</f>
        <v/>
      </c>
      <c r="AH1517" t="str">
        <f>IF(AG1517="","",COUNTIF(sj_akey,"&lt;"&amp;AG1517)+COUNTIF($AG$6:AG1517,AG1517))</f>
        <v/>
      </c>
    </row>
    <row r="1518">
      <c r="A1518" s="51" t="n"/>
      <c r="B1518" s="52" t="n"/>
      <c r="C1518" s="52" t="n"/>
      <c r="D1518" s="53" t="n"/>
      <c r="E1518" s="53" t="n"/>
      <c r="F1518" s="54" t="n"/>
      <c r="G1518" s="54" t="n"/>
      <c r="H1518" s="54" t="n"/>
      <c r="I1518" s="54" t="n"/>
      <c r="J1518" s="53" t="n"/>
      <c r="K1518" s="55" t="str">
        <f>IF(COUNTA(A1518:I1518)=0,"",IF(F1518="",IFERROR(INDEX(eq_dur,MATCH(B1518,eq_code,0)),""),F1518))</f>
        <v/>
      </c>
      <c r="L1518" s="55" t="str">
        <f>IF(ISNUMBER(K1518),N(IFERROR(INDEX(eq_pause,MATCH(B1518,eq_code,0)),0))+SUMIFS(st_min,st_date,A1518,st_eq,B1518,st_po,C1518,st_type,"Planifié"),"")</f>
        <v/>
      </c>
      <c r="M1518" s="55" t="str">
        <f>IF(ISNUMBER(K1518),K1518-L1518,"")</f>
        <v/>
      </c>
      <c r="N1518" s="55" t="str">
        <f>IF(ISNUMBER(K1518),SUMIFS(st_min,st_date,A1518,st_eq,B1518,st_po,C1518,st_type,"Non planifié"),"")</f>
        <v/>
      </c>
      <c r="O1518" s="55" t="str">
        <f>IF(ISNUMBER(K1518),M1518-N1518,"")</f>
        <v/>
      </c>
      <c r="P1518" s="55" t="str">
        <f>IF(COUNTA(A1518:I1518)=0,"",N(G1518)+N(H1518)+N(I1518))</f>
        <v/>
      </c>
      <c r="Q1518" s="56" t="str">
        <f>IF(COUNTA(A1518:I1518)=0,"",IF(N(IFERROR(INDEX(art_rate,MATCH(E1518,art_ref,0)),0))&gt;0,N(IFERROR(INDEX(art_rate,MATCH(E1518,art_ref,0)),0)),N(IFERROR(INDEX(po_rate,MATCH(C1518,po_code,0)),0))))</f>
        <v/>
      </c>
      <c r="R1518" s="55" t="str">
        <f>IF(AC1518=1,P1518*60/Q1518,"")</f>
        <v/>
      </c>
      <c r="S1518" s="55" t="str">
        <f>IF(AC1518=1,N(G1518)*60/Q1518,"")</f>
        <v/>
      </c>
      <c r="T1518" s="57" t="str">
        <f>IF(AC1518=1,O1518/M1518,"")</f>
        <v/>
      </c>
      <c r="U1518" s="57" t="str">
        <f>IF(AC1518=1,IF(O1518&gt;0,R1518/O1518,""),"")</f>
        <v/>
      </c>
      <c r="V1518" s="57" t="str">
        <f>IF(AC1518=1,IF(P1518&gt;0,N(G1518)/P1518,""),"")</f>
        <v/>
      </c>
      <c r="W1518" s="57" t="str">
        <f>IF(AC1518=1,S1518/M1518,"")</f>
        <v/>
      </c>
      <c r="X1518" s="57" t="str">
        <f>IF(AC1518=1,S1518/K1518,"")</f>
        <v/>
      </c>
      <c r="Y1518" s="58" t="str">
        <f>IF(W1518="","",IF(W1518&gt;=p_target,"Bon",IF(W1518&gt;=p_alert,"À surveiller","Faible")))</f>
        <v/>
      </c>
      <c r="Z1518" s="58" t="str">
        <f>IF(W1518="","",IF(MIN(IF(T1518="",1,T1518),IF(U1518="",1,U1518),IF(V1518="",1,V1518))&gt;=1,"Aucune",IF(IF(T1518="",1,T1518)&lt;=MIN(IF(U1518="",1,U1518),IF(V1518="",1,V1518)),"Disponibilité",IF(IF(U1518="",1,U1518)&lt;=IF(V1518="",1,V1518),"Performance","Qualité"))))</f>
        <v/>
      </c>
      <c r="AA1518" s="59" t="str">
        <f>IF(AC1518=1,N(H1518)*N(IFERROR(INDEX(art_cost,MATCH(E1518,art_ref,0)),0)),"")</f>
        <v/>
      </c>
      <c r="AB1518" s="58" t="str">
        <f>IF(COUNTA(A1518:I1518)=0,"",IF(N(A1518)&lt;=0,"Date manquante ou invalide",IF(B1518="","Équipe manquante",IF(ISNA(MATCH(B1518,eq_code,0)),"Équipe inconnue",IF(INDEX(eq_check,MATCH(B1518,eq_code,0))&lt;&gt;"OK","Équipe à corriger dans Paramètres",IF(C1518="","Poste manquant",IF(ISNA(MATCH(C1518,po_code,0)),"Poste inconnu",IF(AND(E1518&lt;&gt;"",ISNA(MATCH(E1518,art_ref,0))),"Article inconnu",IF(IF(E1518="",FALSE,INDEX(art_check,MATCH(E1518,art_ref,0))&lt;&gt;"OK"),"Article à corriger (feuille Articles)",IF(COUNTIFS(sj_date,A1518,sj_eq,B1518,sj_po,C1518)&gt;1,"Ligne en double (même jour, équipe et poste)",IF(OR(NOT(ISNUMBER(K1518)),N(K1518)&lt;=0,N(K1518)&gt;1440),"Temps d'ouverture invalide",IF(OR(AND(G1518&lt;&gt;"",NOT(ISNUMBER(G1518))),N(G1518)&lt;0,N(G1518)&lt;&gt;INT(N(G1518)),AND(H1518&lt;&gt;"",NOT(ISNUMBER(H1518))),N(H1518)&lt;0,N(H1518)&lt;&gt;INT(N(H1518)),AND(I1518&lt;&gt;"",NOT(ISNUMBER(I1518))),N(I1518)&lt;0,N(I1518)&lt;&gt;INT(N(I1518))),"Quantité invalide",IF(Q1518&lt;=0,"Cadence manquante (poste ou article)",IF(M1518&lt;=0,"Arrêts planifiés supérieurs au temps d'ouverture",IF(O1518&lt;0,"Arrêts supérieurs au temps requis",IF(AND(P1518&gt;0,O1518=0),"Pièces déclarées sans temps de marche",IF(AND(P1518=0,O1518&gt;0),"Aucune pièce déclarée",IF(P1518*60/Q1518&gt;O1518+0.001,"Cadence dépassée : vérifiez la cadence","OK"))))))))))))))))))</f>
        <v/>
      </c>
      <c r="AC1518">
        <f>IF(OR(AB1518="OK",AB1518="Aucune pièce déclarée",AB1518="Cadence dépassée : vérifiez la cadence"),1,0)</f>
        <v>0.0</v>
      </c>
      <c r="AD1518">
        <f>IF(AND(AC1518=1,A1518&gt;=p_from,A1518&lt;=p_to),1,0)</f>
        <v>0.0</v>
      </c>
      <c r="AE1518">
        <f>IF(AD1518=1,IF(COUNTIFS($A$6:A1518,A1518,$AD$6:AD1518,1)=1,1,0),0)</f>
        <v>0.0</v>
      </c>
      <c r="AF1518" t="str">
        <f>IF(AE1518=1,COUNTIFS(sj_first,1,sj_date,"&lt;"&amp;A1518)+1,"")</f>
        <v/>
      </c>
      <c r="AG1518" t="str">
        <f>IF(AND(AD1518=1,N(W1518)&lt;p_alert),ROUND(W1518,4),"")</f>
        <v/>
      </c>
      <c r="AH1518" t="str">
        <f>IF(AG1518="","",COUNTIF(sj_akey,"&lt;"&amp;AG1518)+COUNTIF($AG$6:AG1518,AG1518))</f>
        <v/>
      </c>
    </row>
    <row r="1519">
      <c r="A1519" s="51" t="n"/>
      <c r="B1519" s="52" t="n"/>
      <c r="C1519" s="52" t="n"/>
      <c r="D1519" s="53" t="n"/>
      <c r="E1519" s="53" t="n"/>
      <c r="F1519" s="54" t="n"/>
      <c r="G1519" s="54" t="n"/>
      <c r="H1519" s="54" t="n"/>
      <c r="I1519" s="54" t="n"/>
      <c r="J1519" s="53" t="n"/>
      <c r="K1519" s="55" t="str">
        <f>IF(COUNTA(A1519:I1519)=0,"",IF(F1519="",IFERROR(INDEX(eq_dur,MATCH(B1519,eq_code,0)),""),F1519))</f>
        <v/>
      </c>
      <c r="L1519" s="55" t="str">
        <f>IF(ISNUMBER(K1519),N(IFERROR(INDEX(eq_pause,MATCH(B1519,eq_code,0)),0))+SUMIFS(st_min,st_date,A1519,st_eq,B1519,st_po,C1519,st_type,"Planifié"),"")</f>
        <v/>
      </c>
      <c r="M1519" s="55" t="str">
        <f>IF(ISNUMBER(K1519),K1519-L1519,"")</f>
        <v/>
      </c>
      <c r="N1519" s="55" t="str">
        <f>IF(ISNUMBER(K1519),SUMIFS(st_min,st_date,A1519,st_eq,B1519,st_po,C1519,st_type,"Non planifié"),"")</f>
        <v/>
      </c>
      <c r="O1519" s="55" t="str">
        <f>IF(ISNUMBER(K1519),M1519-N1519,"")</f>
        <v/>
      </c>
      <c r="P1519" s="55" t="str">
        <f>IF(COUNTA(A1519:I1519)=0,"",N(G1519)+N(H1519)+N(I1519))</f>
        <v/>
      </c>
      <c r="Q1519" s="56" t="str">
        <f>IF(COUNTA(A1519:I1519)=0,"",IF(N(IFERROR(INDEX(art_rate,MATCH(E1519,art_ref,0)),0))&gt;0,N(IFERROR(INDEX(art_rate,MATCH(E1519,art_ref,0)),0)),N(IFERROR(INDEX(po_rate,MATCH(C1519,po_code,0)),0))))</f>
        <v/>
      </c>
      <c r="R1519" s="55" t="str">
        <f>IF(AC1519=1,P1519*60/Q1519,"")</f>
        <v/>
      </c>
      <c r="S1519" s="55" t="str">
        <f>IF(AC1519=1,N(G1519)*60/Q1519,"")</f>
        <v/>
      </c>
      <c r="T1519" s="57" t="str">
        <f>IF(AC1519=1,O1519/M1519,"")</f>
        <v/>
      </c>
      <c r="U1519" s="57" t="str">
        <f>IF(AC1519=1,IF(O1519&gt;0,R1519/O1519,""),"")</f>
        <v/>
      </c>
      <c r="V1519" s="57" t="str">
        <f>IF(AC1519=1,IF(P1519&gt;0,N(G1519)/P1519,""),"")</f>
        <v/>
      </c>
      <c r="W1519" s="57" t="str">
        <f>IF(AC1519=1,S1519/M1519,"")</f>
        <v/>
      </c>
      <c r="X1519" s="57" t="str">
        <f>IF(AC1519=1,S1519/K1519,"")</f>
        <v/>
      </c>
      <c r="Y1519" s="58" t="str">
        <f>IF(W1519="","",IF(W1519&gt;=p_target,"Bon",IF(W1519&gt;=p_alert,"À surveiller","Faible")))</f>
        <v/>
      </c>
      <c r="Z1519" s="58" t="str">
        <f>IF(W1519="","",IF(MIN(IF(T1519="",1,T1519),IF(U1519="",1,U1519),IF(V1519="",1,V1519))&gt;=1,"Aucune",IF(IF(T1519="",1,T1519)&lt;=MIN(IF(U1519="",1,U1519),IF(V1519="",1,V1519)),"Disponibilité",IF(IF(U1519="",1,U1519)&lt;=IF(V1519="",1,V1519),"Performance","Qualité"))))</f>
        <v/>
      </c>
      <c r="AA1519" s="59" t="str">
        <f>IF(AC1519=1,N(H1519)*N(IFERROR(INDEX(art_cost,MATCH(E1519,art_ref,0)),0)),"")</f>
        <v/>
      </c>
      <c r="AB1519" s="58" t="str">
        <f>IF(COUNTA(A1519:I1519)=0,"",IF(N(A1519)&lt;=0,"Date manquante ou invalide",IF(B1519="","Équipe manquante",IF(ISNA(MATCH(B1519,eq_code,0)),"Équipe inconnue",IF(INDEX(eq_check,MATCH(B1519,eq_code,0))&lt;&gt;"OK","Équipe à corriger dans Paramètres",IF(C1519="","Poste manquant",IF(ISNA(MATCH(C1519,po_code,0)),"Poste inconnu",IF(AND(E1519&lt;&gt;"",ISNA(MATCH(E1519,art_ref,0))),"Article inconnu",IF(IF(E1519="",FALSE,INDEX(art_check,MATCH(E1519,art_ref,0))&lt;&gt;"OK"),"Article à corriger (feuille Articles)",IF(COUNTIFS(sj_date,A1519,sj_eq,B1519,sj_po,C1519)&gt;1,"Ligne en double (même jour, équipe et poste)",IF(OR(NOT(ISNUMBER(K1519)),N(K1519)&lt;=0,N(K1519)&gt;1440),"Temps d'ouverture invalide",IF(OR(AND(G1519&lt;&gt;"",NOT(ISNUMBER(G1519))),N(G1519)&lt;0,N(G1519)&lt;&gt;INT(N(G1519)),AND(H1519&lt;&gt;"",NOT(ISNUMBER(H1519))),N(H1519)&lt;0,N(H1519)&lt;&gt;INT(N(H1519)),AND(I1519&lt;&gt;"",NOT(ISNUMBER(I1519))),N(I1519)&lt;0,N(I1519)&lt;&gt;INT(N(I1519))),"Quantité invalide",IF(Q1519&lt;=0,"Cadence manquante (poste ou article)",IF(M1519&lt;=0,"Arrêts planifiés supérieurs au temps d'ouverture",IF(O1519&lt;0,"Arrêts supérieurs au temps requis",IF(AND(P1519&gt;0,O1519=0),"Pièces déclarées sans temps de marche",IF(AND(P1519=0,O1519&gt;0),"Aucune pièce déclarée",IF(P1519*60/Q1519&gt;O1519+0.001,"Cadence dépassée : vérifiez la cadence","OK"))))))))))))))))))</f>
        <v/>
      </c>
      <c r="AC1519">
        <f>IF(OR(AB1519="OK",AB1519="Aucune pièce déclarée",AB1519="Cadence dépassée : vérifiez la cadence"),1,0)</f>
        <v>0.0</v>
      </c>
      <c r="AD1519">
        <f>IF(AND(AC1519=1,A1519&gt;=p_from,A1519&lt;=p_to),1,0)</f>
        <v>0.0</v>
      </c>
      <c r="AE1519">
        <f>IF(AD1519=1,IF(COUNTIFS($A$6:A1519,A1519,$AD$6:AD1519,1)=1,1,0),0)</f>
        <v>0.0</v>
      </c>
      <c r="AF1519" t="str">
        <f>IF(AE1519=1,COUNTIFS(sj_first,1,sj_date,"&lt;"&amp;A1519)+1,"")</f>
        <v/>
      </c>
      <c r="AG1519" t="str">
        <f>IF(AND(AD1519=1,N(W1519)&lt;p_alert),ROUND(W1519,4),"")</f>
        <v/>
      </c>
      <c r="AH1519" t="str">
        <f>IF(AG1519="","",COUNTIF(sj_akey,"&lt;"&amp;AG1519)+COUNTIF($AG$6:AG1519,AG1519))</f>
        <v/>
      </c>
    </row>
    <row r="1520">
      <c r="A1520" s="51" t="n"/>
      <c r="B1520" s="52" t="n"/>
      <c r="C1520" s="52" t="n"/>
      <c r="D1520" s="53" t="n"/>
      <c r="E1520" s="53" t="n"/>
      <c r="F1520" s="54" t="n"/>
      <c r="G1520" s="54" t="n"/>
      <c r="H1520" s="54" t="n"/>
      <c r="I1520" s="54" t="n"/>
      <c r="J1520" s="53" t="n"/>
      <c r="K1520" s="55" t="str">
        <f>IF(COUNTA(A1520:I1520)=0,"",IF(F1520="",IFERROR(INDEX(eq_dur,MATCH(B1520,eq_code,0)),""),F1520))</f>
        <v/>
      </c>
      <c r="L1520" s="55" t="str">
        <f>IF(ISNUMBER(K1520),N(IFERROR(INDEX(eq_pause,MATCH(B1520,eq_code,0)),0))+SUMIFS(st_min,st_date,A1520,st_eq,B1520,st_po,C1520,st_type,"Planifié"),"")</f>
        <v/>
      </c>
      <c r="M1520" s="55" t="str">
        <f>IF(ISNUMBER(K1520),K1520-L1520,"")</f>
        <v/>
      </c>
      <c r="N1520" s="55" t="str">
        <f>IF(ISNUMBER(K1520),SUMIFS(st_min,st_date,A1520,st_eq,B1520,st_po,C1520,st_type,"Non planifié"),"")</f>
        <v/>
      </c>
      <c r="O1520" s="55" t="str">
        <f>IF(ISNUMBER(K1520),M1520-N1520,"")</f>
        <v/>
      </c>
      <c r="P1520" s="55" t="str">
        <f>IF(COUNTA(A1520:I1520)=0,"",N(G1520)+N(H1520)+N(I1520))</f>
        <v/>
      </c>
      <c r="Q1520" s="56" t="str">
        <f>IF(COUNTA(A1520:I1520)=0,"",IF(N(IFERROR(INDEX(art_rate,MATCH(E1520,art_ref,0)),0))&gt;0,N(IFERROR(INDEX(art_rate,MATCH(E1520,art_ref,0)),0)),N(IFERROR(INDEX(po_rate,MATCH(C1520,po_code,0)),0))))</f>
        <v/>
      </c>
      <c r="R1520" s="55" t="str">
        <f>IF(AC1520=1,P1520*60/Q1520,"")</f>
        <v/>
      </c>
      <c r="S1520" s="55" t="str">
        <f>IF(AC1520=1,N(G1520)*60/Q1520,"")</f>
        <v/>
      </c>
      <c r="T1520" s="57" t="str">
        <f>IF(AC1520=1,O1520/M1520,"")</f>
        <v/>
      </c>
      <c r="U1520" s="57" t="str">
        <f>IF(AC1520=1,IF(O1520&gt;0,R1520/O1520,""),"")</f>
        <v/>
      </c>
      <c r="V1520" s="57" t="str">
        <f>IF(AC1520=1,IF(P1520&gt;0,N(G1520)/P1520,""),"")</f>
        <v/>
      </c>
      <c r="W1520" s="57" t="str">
        <f>IF(AC1520=1,S1520/M1520,"")</f>
        <v/>
      </c>
      <c r="X1520" s="57" t="str">
        <f>IF(AC1520=1,S1520/K1520,"")</f>
        <v/>
      </c>
      <c r="Y1520" s="58" t="str">
        <f>IF(W1520="","",IF(W1520&gt;=p_target,"Bon",IF(W1520&gt;=p_alert,"À surveiller","Faible")))</f>
        <v/>
      </c>
      <c r="Z1520" s="58" t="str">
        <f>IF(W1520="","",IF(MIN(IF(T1520="",1,T1520),IF(U1520="",1,U1520),IF(V1520="",1,V1520))&gt;=1,"Aucune",IF(IF(T1520="",1,T1520)&lt;=MIN(IF(U1520="",1,U1520),IF(V1520="",1,V1520)),"Disponibilité",IF(IF(U1520="",1,U1520)&lt;=IF(V1520="",1,V1520),"Performance","Qualité"))))</f>
        <v/>
      </c>
      <c r="AA1520" s="59" t="str">
        <f>IF(AC1520=1,N(H1520)*N(IFERROR(INDEX(art_cost,MATCH(E1520,art_ref,0)),0)),"")</f>
        <v/>
      </c>
      <c r="AB1520" s="58" t="str">
        <f>IF(COUNTA(A1520:I1520)=0,"",IF(N(A1520)&lt;=0,"Date manquante ou invalide",IF(B1520="","Équipe manquante",IF(ISNA(MATCH(B1520,eq_code,0)),"Équipe inconnue",IF(INDEX(eq_check,MATCH(B1520,eq_code,0))&lt;&gt;"OK","Équipe à corriger dans Paramètres",IF(C1520="","Poste manquant",IF(ISNA(MATCH(C1520,po_code,0)),"Poste inconnu",IF(AND(E1520&lt;&gt;"",ISNA(MATCH(E1520,art_ref,0))),"Article inconnu",IF(IF(E1520="",FALSE,INDEX(art_check,MATCH(E1520,art_ref,0))&lt;&gt;"OK"),"Article à corriger (feuille Articles)",IF(COUNTIFS(sj_date,A1520,sj_eq,B1520,sj_po,C1520)&gt;1,"Ligne en double (même jour, équipe et poste)",IF(OR(NOT(ISNUMBER(K1520)),N(K1520)&lt;=0,N(K1520)&gt;1440),"Temps d'ouverture invalide",IF(OR(AND(G1520&lt;&gt;"",NOT(ISNUMBER(G1520))),N(G1520)&lt;0,N(G1520)&lt;&gt;INT(N(G1520)),AND(H1520&lt;&gt;"",NOT(ISNUMBER(H1520))),N(H1520)&lt;0,N(H1520)&lt;&gt;INT(N(H1520)),AND(I1520&lt;&gt;"",NOT(ISNUMBER(I1520))),N(I1520)&lt;0,N(I1520)&lt;&gt;INT(N(I1520))),"Quantité invalide",IF(Q1520&lt;=0,"Cadence manquante (poste ou article)",IF(M1520&lt;=0,"Arrêts planifiés supérieurs au temps d'ouverture",IF(O1520&lt;0,"Arrêts supérieurs au temps requis",IF(AND(P1520&gt;0,O1520=0),"Pièces déclarées sans temps de marche",IF(AND(P1520=0,O1520&gt;0),"Aucune pièce déclarée",IF(P1520*60/Q1520&gt;O1520+0.001,"Cadence dépassée : vérifiez la cadence","OK"))))))))))))))))))</f>
        <v/>
      </c>
      <c r="AC1520">
        <f>IF(OR(AB1520="OK",AB1520="Aucune pièce déclarée",AB1520="Cadence dépassée : vérifiez la cadence"),1,0)</f>
        <v>0.0</v>
      </c>
      <c r="AD1520">
        <f>IF(AND(AC1520=1,A1520&gt;=p_from,A1520&lt;=p_to),1,0)</f>
        <v>0.0</v>
      </c>
      <c r="AE1520">
        <f>IF(AD1520=1,IF(COUNTIFS($A$6:A1520,A1520,$AD$6:AD1520,1)=1,1,0),0)</f>
        <v>0.0</v>
      </c>
      <c r="AF1520" t="str">
        <f>IF(AE1520=1,COUNTIFS(sj_first,1,sj_date,"&lt;"&amp;A1520)+1,"")</f>
        <v/>
      </c>
      <c r="AG1520" t="str">
        <f>IF(AND(AD1520=1,N(W1520)&lt;p_alert),ROUND(W1520,4),"")</f>
        <v/>
      </c>
      <c r="AH1520" t="str">
        <f>IF(AG1520="","",COUNTIF(sj_akey,"&lt;"&amp;AG1520)+COUNTIF($AG$6:AG1520,AG1520))</f>
        <v/>
      </c>
    </row>
    <row r="1521">
      <c r="A1521" s="51" t="n"/>
      <c r="B1521" s="52" t="n"/>
      <c r="C1521" s="52" t="n"/>
      <c r="D1521" s="53" t="n"/>
      <c r="E1521" s="53" t="n"/>
      <c r="F1521" s="54" t="n"/>
      <c r="G1521" s="54" t="n"/>
      <c r="H1521" s="54" t="n"/>
      <c r="I1521" s="54" t="n"/>
      <c r="J1521" s="53" t="n"/>
      <c r="K1521" s="55" t="str">
        <f>IF(COUNTA(A1521:I1521)=0,"",IF(F1521="",IFERROR(INDEX(eq_dur,MATCH(B1521,eq_code,0)),""),F1521))</f>
        <v/>
      </c>
      <c r="L1521" s="55" t="str">
        <f>IF(ISNUMBER(K1521),N(IFERROR(INDEX(eq_pause,MATCH(B1521,eq_code,0)),0))+SUMIFS(st_min,st_date,A1521,st_eq,B1521,st_po,C1521,st_type,"Planifié"),"")</f>
        <v/>
      </c>
      <c r="M1521" s="55" t="str">
        <f>IF(ISNUMBER(K1521),K1521-L1521,"")</f>
        <v/>
      </c>
      <c r="N1521" s="55" t="str">
        <f>IF(ISNUMBER(K1521),SUMIFS(st_min,st_date,A1521,st_eq,B1521,st_po,C1521,st_type,"Non planifié"),"")</f>
        <v/>
      </c>
      <c r="O1521" s="55" t="str">
        <f>IF(ISNUMBER(K1521),M1521-N1521,"")</f>
        <v/>
      </c>
      <c r="P1521" s="55" t="str">
        <f>IF(COUNTA(A1521:I1521)=0,"",N(G1521)+N(H1521)+N(I1521))</f>
        <v/>
      </c>
      <c r="Q1521" s="56" t="str">
        <f>IF(COUNTA(A1521:I1521)=0,"",IF(N(IFERROR(INDEX(art_rate,MATCH(E1521,art_ref,0)),0))&gt;0,N(IFERROR(INDEX(art_rate,MATCH(E1521,art_ref,0)),0)),N(IFERROR(INDEX(po_rate,MATCH(C1521,po_code,0)),0))))</f>
        <v/>
      </c>
      <c r="R1521" s="55" t="str">
        <f>IF(AC1521=1,P1521*60/Q1521,"")</f>
        <v/>
      </c>
      <c r="S1521" s="55" t="str">
        <f>IF(AC1521=1,N(G1521)*60/Q1521,"")</f>
        <v/>
      </c>
      <c r="T1521" s="57" t="str">
        <f>IF(AC1521=1,O1521/M1521,"")</f>
        <v/>
      </c>
      <c r="U1521" s="57" t="str">
        <f>IF(AC1521=1,IF(O1521&gt;0,R1521/O1521,""),"")</f>
        <v/>
      </c>
      <c r="V1521" s="57" t="str">
        <f>IF(AC1521=1,IF(P1521&gt;0,N(G1521)/P1521,""),"")</f>
        <v/>
      </c>
      <c r="W1521" s="57" t="str">
        <f>IF(AC1521=1,S1521/M1521,"")</f>
        <v/>
      </c>
      <c r="X1521" s="57" t="str">
        <f>IF(AC1521=1,S1521/K1521,"")</f>
        <v/>
      </c>
      <c r="Y1521" s="58" t="str">
        <f>IF(W1521="","",IF(W1521&gt;=p_target,"Bon",IF(W1521&gt;=p_alert,"À surveiller","Faible")))</f>
        <v/>
      </c>
      <c r="Z1521" s="58" t="str">
        <f>IF(W1521="","",IF(MIN(IF(T1521="",1,T1521),IF(U1521="",1,U1521),IF(V1521="",1,V1521))&gt;=1,"Aucune",IF(IF(T1521="",1,T1521)&lt;=MIN(IF(U1521="",1,U1521),IF(V1521="",1,V1521)),"Disponibilité",IF(IF(U1521="",1,U1521)&lt;=IF(V1521="",1,V1521),"Performance","Qualité"))))</f>
        <v/>
      </c>
      <c r="AA1521" s="59" t="str">
        <f>IF(AC1521=1,N(H1521)*N(IFERROR(INDEX(art_cost,MATCH(E1521,art_ref,0)),0)),"")</f>
        <v/>
      </c>
      <c r="AB1521" s="58" t="str">
        <f>IF(COUNTA(A1521:I1521)=0,"",IF(N(A1521)&lt;=0,"Date manquante ou invalide",IF(B1521="","Équipe manquante",IF(ISNA(MATCH(B1521,eq_code,0)),"Équipe inconnue",IF(INDEX(eq_check,MATCH(B1521,eq_code,0))&lt;&gt;"OK","Équipe à corriger dans Paramètres",IF(C1521="","Poste manquant",IF(ISNA(MATCH(C1521,po_code,0)),"Poste inconnu",IF(AND(E1521&lt;&gt;"",ISNA(MATCH(E1521,art_ref,0))),"Article inconnu",IF(IF(E1521="",FALSE,INDEX(art_check,MATCH(E1521,art_ref,0))&lt;&gt;"OK"),"Article à corriger (feuille Articles)",IF(COUNTIFS(sj_date,A1521,sj_eq,B1521,sj_po,C1521)&gt;1,"Ligne en double (même jour, équipe et poste)",IF(OR(NOT(ISNUMBER(K1521)),N(K1521)&lt;=0,N(K1521)&gt;1440),"Temps d'ouverture invalide",IF(OR(AND(G1521&lt;&gt;"",NOT(ISNUMBER(G1521))),N(G1521)&lt;0,N(G1521)&lt;&gt;INT(N(G1521)),AND(H1521&lt;&gt;"",NOT(ISNUMBER(H1521))),N(H1521)&lt;0,N(H1521)&lt;&gt;INT(N(H1521)),AND(I1521&lt;&gt;"",NOT(ISNUMBER(I1521))),N(I1521)&lt;0,N(I1521)&lt;&gt;INT(N(I1521))),"Quantité invalide",IF(Q1521&lt;=0,"Cadence manquante (poste ou article)",IF(M1521&lt;=0,"Arrêts planifiés supérieurs au temps d'ouverture",IF(O1521&lt;0,"Arrêts supérieurs au temps requis",IF(AND(P1521&gt;0,O1521=0),"Pièces déclarées sans temps de marche",IF(AND(P1521=0,O1521&gt;0),"Aucune pièce déclarée",IF(P1521*60/Q1521&gt;O1521+0.001,"Cadence dépassée : vérifiez la cadence","OK"))))))))))))))))))</f>
        <v/>
      </c>
      <c r="AC1521">
        <f>IF(OR(AB1521="OK",AB1521="Aucune pièce déclarée",AB1521="Cadence dépassée : vérifiez la cadence"),1,0)</f>
        <v>0.0</v>
      </c>
      <c r="AD1521">
        <f>IF(AND(AC1521=1,A1521&gt;=p_from,A1521&lt;=p_to),1,0)</f>
        <v>0.0</v>
      </c>
      <c r="AE1521">
        <f>IF(AD1521=1,IF(COUNTIFS($A$6:A1521,A1521,$AD$6:AD1521,1)=1,1,0),0)</f>
        <v>0.0</v>
      </c>
      <c r="AF1521" t="str">
        <f>IF(AE1521=1,COUNTIFS(sj_first,1,sj_date,"&lt;"&amp;A1521)+1,"")</f>
        <v/>
      </c>
      <c r="AG1521" t="str">
        <f>IF(AND(AD1521=1,N(W1521)&lt;p_alert),ROUND(W1521,4),"")</f>
        <v/>
      </c>
      <c r="AH1521" t="str">
        <f>IF(AG1521="","",COUNTIF(sj_akey,"&lt;"&amp;AG1521)+COUNTIF($AG$6:AG1521,AG1521))</f>
        <v/>
      </c>
    </row>
    <row r="1522">
      <c r="A1522" s="51" t="n"/>
      <c r="B1522" s="52" t="n"/>
      <c r="C1522" s="52" t="n"/>
      <c r="D1522" s="53" t="n"/>
      <c r="E1522" s="53" t="n"/>
      <c r="F1522" s="54" t="n"/>
      <c r="G1522" s="54" t="n"/>
      <c r="H1522" s="54" t="n"/>
      <c r="I1522" s="54" t="n"/>
      <c r="J1522" s="53" t="n"/>
      <c r="K1522" s="55" t="str">
        <f>IF(COUNTA(A1522:I1522)=0,"",IF(F1522="",IFERROR(INDEX(eq_dur,MATCH(B1522,eq_code,0)),""),F1522))</f>
        <v/>
      </c>
      <c r="L1522" s="55" t="str">
        <f>IF(ISNUMBER(K1522),N(IFERROR(INDEX(eq_pause,MATCH(B1522,eq_code,0)),0))+SUMIFS(st_min,st_date,A1522,st_eq,B1522,st_po,C1522,st_type,"Planifié"),"")</f>
        <v/>
      </c>
      <c r="M1522" s="55" t="str">
        <f>IF(ISNUMBER(K1522),K1522-L1522,"")</f>
        <v/>
      </c>
      <c r="N1522" s="55" t="str">
        <f>IF(ISNUMBER(K1522),SUMIFS(st_min,st_date,A1522,st_eq,B1522,st_po,C1522,st_type,"Non planifié"),"")</f>
        <v/>
      </c>
      <c r="O1522" s="55" t="str">
        <f>IF(ISNUMBER(K1522),M1522-N1522,"")</f>
        <v/>
      </c>
      <c r="P1522" s="55" t="str">
        <f>IF(COUNTA(A1522:I1522)=0,"",N(G1522)+N(H1522)+N(I1522))</f>
        <v/>
      </c>
      <c r="Q1522" s="56" t="str">
        <f>IF(COUNTA(A1522:I1522)=0,"",IF(N(IFERROR(INDEX(art_rate,MATCH(E1522,art_ref,0)),0))&gt;0,N(IFERROR(INDEX(art_rate,MATCH(E1522,art_ref,0)),0)),N(IFERROR(INDEX(po_rate,MATCH(C1522,po_code,0)),0))))</f>
        <v/>
      </c>
      <c r="R1522" s="55" t="str">
        <f>IF(AC1522=1,P1522*60/Q1522,"")</f>
        <v/>
      </c>
      <c r="S1522" s="55" t="str">
        <f>IF(AC1522=1,N(G1522)*60/Q1522,"")</f>
        <v/>
      </c>
      <c r="T1522" s="57" t="str">
        <f>IF(AC1522=1,O1522/M1522,"")</f>
        <v/>
      </c>
      <c r="U1522" s="57" t="str">
        <f>IF(AC1522=1,IF(O1522&gt;0,R1522/O1522,""),"")</f>
        <v/>
      </c>
      <c r="V1522" s="57" t="str">
        <f>IF(AC1522=1,IF(P1522&gt;0,N(G1522)/P1522,""),"")</f>
        <v/>
      </c>
      <c r="W1522" s="57" t="str">
        <f>IF(AC1522=1,S1522/M1522,"")</f>
        <v/>
      </c>
      <c r="X1522" s="57" t="str">
        <f>IF(AC1522=1,S1522/K1522,"")</f>
        <v/>
      </c>
      <c r="Y1522" s="58" t="str">
        <f>IF(W1522="","",IF(W1522&gt;=p_target,"Bon",IF(W1522&gt;=p_alert,"À surveiller","Faible")))</f>
        <v/>
      </c>
      <c r="Z1522" s="58" t="str">
        <f>IF(W1522="","",IF(MIN(IF(T1522="",1,T1522),IF(U1522="",1,U1522),IF(V1522="",1,V1522))&gt;=1,"Aucune",IF(IF(T1522="",1,T1522)&lt;=MIN(IF(U1522="",1,U1522),IF(V1522="",1,V1522)),"Disponibilité",IF(IF(U1522="",1,U1522)&lt;=IF(V1522="",1,V1522),"Performance","Qualité"))))</f>
        <v/>
      </c>
      <c r="AA1522" s="59" t="str">
        <f>IF(AC1522=1,N(H1522)*N(IFERROR(INDEX(art_cost,MATCH(E1522,art_ref,0)),0)),"")</f>
        <v/>
      </c>
      <c r="AB1522" s="58" t="str">
        <f>IF(COUNTA(A1522:I1522)=0,"",IF(N(A1522)&lt;=0,"Date manquante ou invalide",IF(B1522="","Équipe manquante",IF(ISNA(MATCH(B1522,eq_code,0)),"Équipe inconnue",IF(INDEX(eq_check,MATCH(B1522,eq_code,0))&lt;&gt;"OK","Équipe à corriger dans Paramètres",IF(C1522="","Poste manquant",IF(ISNA(MATCH(C1522,po_code,0)),"Poste inconnu",IF(AND(E1522&lt;&gt;"",ISNA(MATCH(E1522,art_ref,0))),"Article inconnu",IF(IF(E1522="",FALSE,INDEX(art_check,MATCH(E1522,art_ref,0))&lt;&gt;"OK"),"Article à corriger (feuille Articles)",IF(COUNTIFS(sj_date,A1522,sj_eq,B1522,sj_po,C1522)&gt;1,"Ligne en double (même jour, équipe et poste)",IF(OR(NOT(ISNUMBER(K1522)),N(K1522)&lt;=0,N(K1522)&gt;1440),"Temps d'ouverture invalide",IF(OR(AND(G1522&lt;&gt;"",NOT(ISNUMBER(G1522))),N(G1522)&lt;0,N(G1522)&lt;&gt;INT(N(G1522)),AND(H1522&lt;&gt;"",NOT(ISNUMBER(H1522))),N(H1522)&lt;0,N(H1522)&lt;&gt;INT(N(H1522)),AND(I1522&lt;&gt;"",NOT(ISNUMBER(I1522))),N(I1522)&lt;0,N(I1522)&lt;&gt;INT(N(I1522))),"Quantité invalide",IF(Q1522&lt;=0,"Cadence manquante (poste ou article)",IF(M1522&lt;=0,"Arrêts planifiés supérieurs au temps d'ouverture",IF(O1522&lt;0,"Arrêts supérieurs au temps requis",IF(AND(P1522&gt;0,O1522=0),"Pièces déclarées sans temps de marche",IF(AND(P1522=0,O1522&gt;0),"Aucune pièce déclarée",IF(P1522*60/Q1522&gt;O1522+0.001,"Cadence dépassée : vérifiez la cadence","OK"))))))))))))))))))</f>
        <v/>
      </c>
      <c r="AC1522">
        <f>IF(OR(AB1522="OK",AB1522="Aucune pièce déclarée",AB1522="Cadence dépassée : vérifiez la cadence"),1,0)</f>
        <v>0.0</v>
      </c>
      <c r="AD1522">
        <f>IF(AND(AC1522=1,A1522&gt;=p_from,A1522&lt;=p_to),1,0)</f>
        <v>0.0</v>
      </c>
      <c r="AE1522">
        <f>IF(AD1522=1,IF(COUNTIFS($A$6:A1522,A1522,$AD$6:AD1522,1)=1,1,0),0)</f>
        <v>0.0</v>
      </c>
      <c r="AF1522" t="str">
        <f>IF(AE1522=1,COUNTIFS(sj_first,1,sj_date,"&lt;"&amp;A1522)+1,"")</f>
        <v/>
      </c>
      <c r="AG1522" t="str">
        <f>IF(AND(AD1522=1,N(W1522)&lt;p_alert),ROUND(W1522,4),"")</f>
        <v/>
      </c>
      <c r="AH1522" t="str">
        <f>IF(AG1522="","",COUNTIF(sj_akey,"&lt;"&amp;AG1522)+COUNTIF($AG$6:AG1522,AG1522))</f>
        <v/>
      </c>
    </row>
    <row r="1523">
      <c r="A1523" s="51" t="n"/>
      <c r="B1523" s="52" t="n"/>
      <c r="C1523" s="52" t="n"/>
      <c r="D1523" s="53" t="n"/>
      <c r="E1523" s="53" t="n"/>
      <c r="F1523" s="54" t="n"/>
      <c r="G1523" s="54" t="n"/>
      <c r="H1523" s="54" t="n"/>
      <c r="I1523" s="54" t="n"/>
      <c r="J1523" s="53" t="n"/>
      <c r="K1523" s="55" t="str">
        <f>IF(COUNTA(A1523:I1523)=0,"",IF(F1523="",IFERROR(INDEX(eq_dur,MATCH(B1523,eq_code,0)),""),F1523))</f>
        <v/>
      </c>
      <c r="L1523" s="55" t="str">
        <f>IF(ISNUMBER(K1523),N(IFERROR(INDEX(eq_pause,MATCH(B1523,eq_code,0)),0))+SUMIFS(st_min,st_date,A1523,st_eq,B1523,st_po,C1523,st_type,"Planifié"),"")</f>
        <v/>
      </c>
      <c r="M1523" s="55" t="str">
        <f>IF(ISNUMBER(K1523),K1523-L1523,"")</f>
        <v/>
      </c>
      <c r="N1523" s="55" t="str">
        <f>IF(ISNUMBER(K1523),SUMIFS(st_min,st_date,A1523,st_eq,B1523,st_po,C1523,st_type,"Non planifié"),"")</f>
        <v/>
      </c>
      <c r="O1523" s="55" t="str">
        <f>IF(ISNUMBER(K1523),M1523-N1523,"")</f>
        <v/>
      </c>
      <c r="P1523" s="55" t="str">
        <f>IF(COUNTA(A1523:I1523)=0,"",N(G1523)+N(H1523)+N(I1523))</f>
        <v/>
      </c>
      <c r="Q1523" s="56" t="str">
        <f>IF(COUNTA(A1523:I1523)=0,"",IF(N(IFERROR(INDEX(art_rate,MATCH(E1523,art_ref,0)),0))&gt;0,N(IFERROR(INDEX(art_rate,MATCH(E1523,art_ref,0)),0)),N(IFERROR(INDEX(po_rate,MATCH(C1523,po_code,0)),0))))</f>
        <v/>
      </c>
      <c r="R1523" s="55" t="str">
        <f>IF(AC1523=1,P1523*60/Q1523,"")</f>
        <v/>
      </c>
      <c r="S1523" s="55" t="str">
        <f>IF(AC1523=1,N(G1523)*60/Q1523,"")</f>
        <v/>
      </c>
      <c r="T1523" s="57" t="str">
        <f>IF(AC1523=1,O1523/M1523,"")</f>
        <v/>
      </c>
      <c r="U1523" s="57" t="str">
        <f>IF(AC1523=1,IF(O1523&gt;0,R1523/O1523,""),"")</f>
        <v/>
      </c>
      <c r="V1523" s="57" t="str">
        <f>IF(AC1523=1,IF(P1523&gt;0,N(G1523)/P1523,""),"")</f>
        <v/>
      </c>
      <c r="W1523" s="57" t="str">
        <f>IF(AC1523=1,S1523/M1523,"")</f>
        <v/>
      </c>
      <c r="X1523" s="57" t="str">
        <f>IF(AC1523=1,S1523/K1523,"")</f>
        <v/>
      </c>
      <c r="Y1523" s="58" t="str">
        <f>IF(W1523="","",IF(W1523&gt;=p_target,"Bon",IF(W1523&gt;=p_alert,"À surveiller","Faible")))</f>
        <v/>
      </c>
      <c r="Z1523" s="58" t="str">
        <f>IF(W1523="","",IF(MIN(IF(T1523="",1,T1523),IF(U1523="",1,U1523),IF(V1523="",1,V1523))&gt;=1,"Aucune",IF(IF(T1523="",1,T1523)&lt;=MIN(IF(U1523="",1,U1523),IF(V1523="",1,V1523)),"Disponibilité",IF(IF(U1523="",1,U1523)&lt;=IF(V1523="",1,V1523),"Performance","Qualité"))))</f>
        <v/>
      </c>
      <c r="AA1523" s="59" t="str">
        <f>IF(AC1523=1,N(H1523)*N(IFERROR(INDEX(art_cost,MATCH(E1523,art_ref,0)),0)),"")</f>
        <v/>
      </c>
      <c r="AB1523" s="58" t="str">
        <f>IF(COUNTA(A1523:I1523)=0,"",IF(N(A1523)&lt;=0,"Date manquante ou invalide",IF(B1523="","Équipe manquante",IF(ISNA(MATCH(B1523,eq_code,0)),"Équipe inconnue",IF(INDEX(eq_check,MATCH(B1523,eq_code,0))&lt;&gt;"OK","Équipe à corriger dans Paramètres",IF(C1523="","Poste manquant",IF(ISNA(MATCH(C1523,po_code,0)),"Poste inconnu",IF(AND(E1523&lt;&gt;"",ISNA(MATCH(E1523,art_ref,0))),"Article inconnu",IF(IF(E1523="",FALSE,INDEX(art_check,MATCH(E1523,art_ref,0))&lt;&gt;"OK"),"Article à corriger (feuille Articles)",IF(COUNTIFS(sj_date,A1523,sj_eq,B1523,sj_po,C1523)&gt;1,"Ligne en double (même jour, équipe et poste)",IF(OR(NOT(ISNUMBER(K1523)),N(K1523)&lt;=0,N(K1523)&gt;1440),"Temps d'ouverture invalide",IF(OR(AND(G1523&lt;&gt;"",NOT(ISNUMBER(G1523))),N(G1523)&lt;0,N(G1523)&lt;&gt;INT(N(G1523)),AND(H1523&lt;&gt;"",NOT(ISNUMBER(H1523))),N(H1523)&lt;0,N(H1523)&lt;&gt;INT(N(H1523)),AND(I1523&lt;&gt;"",NOT(ISNUMBER(I1523))),N(I1523)&lt;0,N(I1523)&lt;&gt;INT(N(I1523))),"Quantité invalide",IF(Q1523&lt;=0,"Cadence manquante (poste ou article)",IF(M1523&lt;=0,"Arrêts planifiés supérieurs au temps d'ouverture",IF(O1523&lt;0,"Arrêts supérieurs au temps requis",IF(AND(P1523&gt;0,O1523=0),"Pièces déclarées sans temps de marche",IF(AND(P1523=0,O1523&gt;0),"Aucune pièce déclarée",IF(P1523*60/Q1523&gt;O1523+0.001,"Cadence dépassée : vérifiez la cadence","OK"))))))))))))))))))</f>
        <v/>
      </c>
      <c r="AC1523">
        <f>IF(OR(AB1523="OK",AB1523="Aucune pièce déclarée",AB1523="Cadence dépassée : vérifiez la cadence"),1,0)</f>
        <v>0.0</v>
      </c>
      <c r="AD1523">
        <f>IF(AND(AC1523=1,A1523&gt;=p_from,A1523&lt;=p_to),1,0)</f>
        <v>0.0</v>
      </c>
      <c r="AE1523">
        <f>IF(AD1523=1,IF(COUNTIFS($A$6:A1523,A1523,$AD$6:AD1523,1)=1,1,0),0)</f>
        <v>0.0</v>
      </c>
      <c r="AF1523" t="str">
        <f>IF(AE1523=1,COUNTIFS(sj_first,1,sj_date,"&lt;"&amp;A1523)+1,"")</f>
        <v/>
      </c>
      <c r="AG1523" t="str">
        <f>IF(AND(AD1523=1,N(W1523)&lt;p_alert),ROUND(W1523,4),"")</f>
        <v/>
      </c>
      <c r="AH1523" t="str">
        <f>IF(AG1523="","",COUNTIF(sj_akey,"&lt;"&amp;AG1523)+COUNTIF($AG$6:AG1523,AG1523))</f>
        <v/>
      </c>
    </row>
    <row r="1524">
      <c r="A1524" s="51" t="n"/>
      <c r="B1524" s="52" t="n"/>
      <c r="C1524" s="52" t="n"/>
      <c r="D1524" s="53" t="n"/>
      <c r="E1524" s="53" t="n"/>
      <c r="F1524" s="54" t="n"/>
      <c r="G1524" s="54" t="n"/>
      <c r="H1524" s="54" t="n"/>
      <c r="I1524" s="54" t="n"/>
      <c r="J1524" s="53" t="n"/>
      <c r="K1524" s="55" t="str">
        <f>IF(COUNTA(A1524:I1524)=0,"",IF(F1524="",IFERROR(INDEX(eq_dur,MATCH(B1524,eq_code,0)),""),F1524))</f>
        <v/>
      </c>
      <c r="L1524" s="55" t="str">
        <f>IF(ISNUMBER(K1524),N(IFERROR(INDEX(eq_pause,MATCH(B1524,eq_code,0)),0))+SUMIFS(st_min,st_date,A1524,st_eq,B1524,st_po,C1524,st_type,"Planifié"),"")</f>
        <v/>
      </c>
      <c r="M1524" s="55" t="str">
        <f>IF(ISNUMBER(K1524),K1524-L1524,"")</f>
        <v/>
      </c>
      <c r="N1524" s="55" t="str">
        <f>IF(ISNUMBER(K1524),SUMIFS(st_min,st_date,A1524,st_eq,B1524,st_po,C1524,st_type,"Non planifié"),"")</f>
        <v/>
      </c>
      <c r="O1524" s="55" t="str">
        <f>IF(ISNUMBER(K1524),M1524-N1524,"")</f>
        <v/>
      </c>
      <c r="P1524" s="55" t="str">
        <f>IF(COUNTA(A1524:I1524)=0,"",N(G1524)+N(H1524)+N(I1524))</f>
        <v/>
      </c>
      <c r="Q1524" s="56" t="str">
        <f>IF(COUNTA(A1524:I1524)=0,"",IF(N(IFERROR(INDEX(art_rate,MATCH(E1524,art_ref,0)),0))&gt;0,N(IFERROR(INDEX(art_rate,MATCH(E1524,art_ref,0)),0)),N(IFERROR(INDEX(po_rate,MATCH(C1524,po_code,0)),0))))</f>
        <v/>
      </c>
      <c r="R1524" s="55" t="str">
        <f>IF(AC1524=1,P1524*60/Q1524,"")</f>
        <v/>
      </c>
      <c r="S1524" s="55" t="str">
        <f>IF(AC1524=1,N(G1524)*60/Q1524,"")</f>
        <v/>
      </c>
      <c r="T1524" s="57" t="str">
        <f>IF(AC1524=1,O1524/M1524,"")</f>
        <v/>
      </c>
      <c r="U1524" s="57" t="str">
        <f>IF(AC1524=1,IF(O1524&gt;0,R1524/O1524,""),"")</f>
        <v/>
      </c>
      <c r="V1524" s="57" t="str">
        <f>IF(AC1524=1,IF(P1524&gt;0,N(G1524)/P1524,""),"")</f>
        <v/>
      </c>
      <c r="W1524" s="57" t="str">
        <f>IF(AC1524=1,S1524/M1524,"")</f>
        <v/>
      </c>
      <c r="X1524" s="57" t="str">
        <f>IF(AC1524=1,S1524/K1524,"")</f>
        <v/>
      </c>
      <c r="Y1524" s="58" t="str">
        <f>IF(W1524="","",IF(W1524&gt;=p_target,"Bon",IF(W1524&gt;=p_alert,"À surveiller","Faible")))</f>
        <v/>
      </c>
      <c r="Z1524" s="58" t="str">
        <f>IF(W1524="","",IF(MIN(IF(T1524="",1,T1524),IF(U1524="",1,U1524),IF(V1524="",1,V1524))&gt;=1,"Aucune",IF(IF(T1524="",1,T1524)&lt;=MIN(IF(U1524="",1,U1524),IF(V1524="",1,V1524)),"Disponibilité",IF(IF(U1524="",1,U1524)&lt;=IF(V1524="",1,V1524),"Performance","Qualité"))))</f>
        <v/>
      </c>
      <c r="AA1524" s="59" t="str">
        <f>IF(AC1524=1,N(H1524)*N(IFERROR(INDEX(art_cost,MATCH(E1524,art_ref,0)),0)),"")</f>
        <v/>
      </c>
      <c r="AB1524" s="58" t="str">
        <f>IF(COUNTA(A1524:I1524)=0,"",IF(N(A1524)&lt;=0,"Date manquante ou invalide",IF(B1524="","Équipe manquante",IF(ISNA(MATCH(B1524,eq_code,0)),"Équipe inconnue",IF(INDEX(eq_check,MATCH(B1524,eq_code,0))&lt;&gt;"OK","Équipe à corriger dans Paramètres",IF(C1524="","Poste manquant",IF(ISNA(MATCH(C1524,po_code,0)),"Poste inconnu",IF(AND(E1524&lt;&gt;"",ISNA(MATCH(E1524,art_ref,0))),"Article inconnu",IF(IF(E1524="",FALSE,INDEX(art_check,MATCH(E1524,art_ref,0))&lt;&gt;"OK"),"Article à corriger (feuille Articles)",IF(COUNTIFS(sj_date,A1524,sj_eq,B1524,sj_po,C1524)&gt;1,"Ligne en double (même jour, équipe et poste)",IF(OR(NOT(ISNUMBER(K1524)),N(K1524)&lt;=0,N(K1524)&gt;1440),"Temps d'ouverture invalide",IF(OR(AND(G1524&lt;&gt;"",NOT(ISNUMBER(G1524))),N(G1524)&lt;0,N(G1524)&lt;&gt;INT(N(G1524)),AND(H1524&lt;&gt;"",NOT(ISNUMBER(H1524))),N(H1524)&lt;0,N(H1524)&lt;&gt;INT(N(H1524)),AND(I1524&lt;&gt;"",NOT(ISNUMBER(I1524))),N(I1524)&lt;0,N(I1524)&lt;&gt;INT(N(I1524))),"Quantité invalide",IF(Q1524&lt;=0,"Cadence manquante (poste ou article)",IF(M1524&lt;=0,"Arrêts planifiés supérieurs au temps d'ouverture",IF(O1524&lt;0,"Arrêts supérieurs au temps requis",IF(AND(P1524&gt;0,O1524=0),"Pièces déclarées sans temps de marche",IF(AND(P1524=0,O1524&gt;0),"Aucune pièce déclarée",IF(P1524*60/Q1524&gt;O1524+0.001,"Cadence dépassée : vérifiez la cadence","OK"))))))))))))))))))</f>
        <v/>
      </c>
      <c r="AC1524">
        <f>IF(OR(AB1524="OK",AB1524="Aucune pièce déclarée",AB1524="Cadence dépassée : vérifiez la cadence"),1,0)</f>
        <v>0.0</v>
      </c>
      <c r="AD1524">
        <f>IF(AND(AC1524=1,A1524&gt;=p_from,A1524&lt;=p_to),1,0)</f>
        <v>0.0</v>
      </c>
      <c r="AE1524">
        <f>IF(AD1524=1,IF(COUNTIFS($A$6:A1524,A1524,$AD$6:AD1524,1)=1,1,0),0)</f>
        <v>0.0</v>
      </c>
      <c r="AF1524" t="str">
        <f>IF(AE1524=1,COUNTIFS(sj_first,1,sj_date,"&lt;"&amp;A1524)+1,"")</f>
        <v/>
      </c>
      <c r="AG1524" t="str">
        <f>IF(AND(AD1524=1,N(W1524)&lt;p_alert),ROUND(W1524,4),"")</f>
        <v/>
      </c>
      <c r="AH1524" t="str">
        <f>IF(AG1524="","",COUNTIF(sj_akey,"&lt;"&amp;AG1524)+COUNTIF($AG$6:AG1524,AG1524))</f>
        <v/>
      </c>
    </row>
    <row r="1525">
      <c r="A1525" s="51" t="n"/>
      <c r="B1525" s="52" t="n"/>
      <c r="C1525" s="52" t="n"/>
      <c r="D1525" s="53" t="n"/>
      <c r="E1525" s="53" t="n"/>
      <c r="F1525" s="54" t="n"/>
      <c r="G1525" s="54" t="n"/>
      <c r="H1525" s="54" t="n"/>
      <c r="I1525" s="54" t="n"/>
      <c r="J1525" s="53" t="n"/>
      <c r="K1525" s="55" t="str">
        <f>IF(COUNTA(A1525:I1525)=0,"",IF(F1525="",IFERROR(INDEX(eq_dur,MATCH(B1525,eq_code,0)),""),F1525))</f>
        <v/>
      </c>
      <c r="L1525" s="55" t="str">
        <f>IF(ISNUMBER(K1525),N(IFERROR(INDEX(eq_pause,MATCH(B1525,eq_code,0)),0))+SUMIFS(st_min,st_date,A1525,st_eq,B1525,st_po,C1525,st_type,"Planifié"),"")</f>
        <v/>
      </c>
      <c r="M1525" s="55" t="str">
        <f>IF(ISNUMBER(K1525),K1525-L1525,"")</f>
        <v/>
      </c>
      <c r="N1525" s="55" t="str">
        <f>IF(ISNUMBER(K1525),SUMIFS(st_min,st_date,A1525,st_eq,B1525,st_po,C1525,st_type,"Non planifié"),"")</f>
        <v/>
      </c>
      <c r="O1525" s="55" t="str">
        <f>IF(ISNUMBER(K1525),M1525-N1525,"")</f>
        <v/>
      </c>
      <c r="P1525" s="55" t="str">
        <f>IF(COUNTA(A1525:I1525)=0,"",N(G1525)+N(H1525)+N(I1525))</f>
        <v/>
      </c>
      <c r="Q1525" s="56" t="str">
        <f>IF(COUNTA(A1525:I1525)=0,"",IF(N(IFERROR(INDEX(art_rate,MATCH(E1525,art_ref,0)),0))&gt;0,N(IFERROR(INDEX(art_rate,MATCH(E1525,art_ref,0)),0)),N(IFERROR(INDEX(po_rate,MATCH(C1525,po_code,0)),0))))</f>
        <v/>
      </c>
      <c r="R1525" s="55" t="str">
        <f>IF(AC1525=1,P1525*60/Q1525,"")</f>
        <v/>
      </c>
      <c r="S1525" s="55" t="str">
        <f>IF(AC1525=1,N(G1525)*60/Q1525,"")</f>
        <v/>
      </c>
      <c r="T1525" s="57" t="str">
        <f>IF(AC1525=1,O1525/M1525,"")</f>
        <v/>
      </c>
      <c r="U1525" s="57" t="str">
        <f>IF(AC1525=1,IF(O1525&gt;0,R1525/O1525,""),"")</f>
        <v/>
      </c>
      <c r="V1525" s="57" t="str">
        <f>IF(AC1525=1,IF(P1525&gt;0,N(G1525)/P1525,""),"")</f>
        <v/>
      </c>
      <c r="W1525" s="57" t="str">
        <f>IF(AC1525=1,S1525/M1525,"")</f>
        <v/>
      </c>
      <c r="X1525" s="57" t="str">
        <f>IF(AC1525=1,S1525/K1525,"")</f>
        <v/>
      </c>
      <c r="Y1525" s="58" t="str">
        <f>IF(W1525="","",IF(W1525&gt;=p_target,"Bon",IF(W1525&gt;=p_alert,"À surveiller","Faible")))</f>
        <v/>
      </c>
      <c r="Z1525" s="58" t="str">
        <f>IF(W1525="","",IF(MIN(IF(T1525="",1,T1525),IF(U1525="",1,U1525),IF(V1525="",1,V1525))&gt;=1,"Aucune",IF(IF(T1525="",1,T1525)&lt;=MIN(IF(U1525="",1,U1525),IF(V1525="",1,V1525)),"Disponibilité",IF(IF(U1525="",1,U1525)&lt;=IF(V1525="",1,V1525),"Performance","Qualité"))))</f>
        <v/>
      </c>
      <c r="AA1525" s="59" t="str">
        <f>IF(AC1525=1,N(H1525)*N(IFERROR(INDEX(art_cost,MATCH(E1525,art_ref,0)),0)),"")</f>
        <v/>
      </c>
      <c r="AB1525" s="58" t="str">
        <f>IF(COUNTA(A1525:I1525)=0,"",IF(N(A1525)&lt;=0,"Date manquante ou invalide",IF(B1525="","Équipe manquante",IF(ISNA(MATCH(B1525,eq_code,0)),"Équipe inconnue",IF(INDEX(eq_check,MATCH(B1525,eq_code,0))&lt;&gt;"OK","Équipe à corriger dans Paramètres",IF(C1525="","Poste manquant",IF(ISNA(MATCH(C1525,po_code,0)),"Poste inconnu",IF(AND(E1525&lt;&gt;"",ISNA(MATCH(E1525,art_ref,0))),"Article inconnu",IF(IF(E1525="",FALSE,INDEX(art_check,MATCH(E1525,art_ref,0))&lt;&gt;"OK"),"Article à corriger (feuille Articles)",IF(COUNTIFS(sj_date,A1525,sj_eq,B1525,sj_po,C1525)&gt;1,"Ligne en double (même jour, équipe et poste)",IF(OR(NOT(ISNUMBER(K1525)),N(K1525)&lt;=0,N(K1525)&gt;1440),"Temps d'ouverture invalide",IF(OR(AND(G1525&lt;&gt;"",NOT(ISNUMBER(G1525))),N(G1525)&lt;0,N(G1525)&lt;&gt;INT(N(G1525)),AND(H1525&lt;&gt;"",NOT(ISNUMBER(H1525))),N(H1525)&lt;0,N(H1525)&lt;&gt;INT(N(H1525)),AND(I1525&lt;&gt;"",NOT(ISNUMBER(I1525))),N(I1525)&lt;0,N(I1525)&lt;&gt;INT(N(I1525))),"Quantité invalide",IF(Q1525&lt;=0,"Cadence manquante (poste ou article)",IF(M1525&lt;=0,"Arrêts planifiés supérieurs au temps d'ouverture",IF(O1525&lt;0,"Arrêts supérieurs au temps requis",IF(AND(P1525&gt;0,O1525=0),"Pièces déclarées sans temps de marche",IF(AND(P1525=0,O1525&gt;0),"Aucune pièce déclarée",IF(P1525*60/Q1525&gt;O1525+0.001,"Cadence dépassée : vérifiez la cadence","OK"))))))))))))))))))</f>
        <v/>
      </c>
      <c r="AC1525">
        <f>IF(OR(AB1525="OK",AB1525="Aucune pièce déclarée",AB1525="Cadence dépassée : vérifiez la cadence"),1,0)</f>
        <v>0.0</v>
      </c>
      <c r="AD1525">
        <f>IF(AND(AC1525=1,A1525&gt;=p_from,A1525&lt;=p_to),1,0)</f>
        <v>0.0</v>
      </c>
      <c r="AE1525">
        <f>IF(AD1525=1,IF(COUNTIFS($A$6:A1525,A1525,$AD$6:AD1525,1)=1,1,0),0)</f>
        <v>0.0</v>
      </c>
      <c r="AF1525" t="str">
        <f>IF(AE1525=1,COUNTIFS(sj_first,1,sj_date,"&lt;"&amp;A1525)+1,"")</f>
        <v/>
      </c>
      <c r="AG1525" t="str">
        <f>IF(AND(AD1525=1,N(W1525)&lt;p_alert),ROUND(W1525,4),"")</f>
        <v/>
      </c>
      <c r="AH1525" t="str">
        <f>IF(AG1525="","",COUNTIF(sj_akey,"&lt;"&amp;AG1525)+COUNTIF($AG$6:AG1525,AG1525))</f>
        <v/>
      </c>
    </row>
    <row r="1526">
      <c r="A1526" s="51" t="n"/>
      <c r="B1526" s="52" t="n"/>
      <c r="C1526" s="52" t="n"/>
      <c r="D1526" s="53" t="n"/>
      <c r="E1526" s="53" t="n"/>
      <c r="F1526" s="54" t="n"/>
      <c r="G1526" s="54" t="n"/>
      <c r="H1526" s="54" t="n"/>
      <c r="I1526" s="54" t="n"/>
      <c r="J1526" s="53" t="n"/>
      <c r="K1526" s="55" t="str">
        <f>IF(COUNTA(A1526:I1526)=0,"",IF(F1526="",IFERROR(INDEX(eq_dur,MATCH(B1526,eq_code,0)),""),F1526))</f>
        <v/>
      </c>
      <c r="L1526" s="55" t="str">
        <f>IF(ISNUMBER(K1526),N(IFERROR(INDEX(eq_pause,MATCH(B1526,eq_code,0)),0))+SUMIFS(st_min,st_date,A1526,st_eq,B1526,st_po,C1526,st_type,"Planifié"),"")</f>
        <v/>
      </c>
      <c r="M1526" s="55" t="str">
        <f>IF(ISNUMBER(K1526),K1526-L1526,"")</f>
        <v/>
      </c>
      <c r="N1526" s="55" t="str">
        <f>IF(ISNUMBER(K1526),SUMIFS(st_min,st_date,A1526,st_eq,B1526,st_po,C1526,st_type,"Non planifié"),"")</f>
        <v/>
      </c>
      <c r="O1526" s="55" t="str">
        <f>IF(ISNUMBER(K1526),M1526-N1526,"")</f>
        <v/>
      </c>
      <c r="P1526" s="55" t="str">
        <f>IF(COUNTA(A1526:I1526)=0,"",N(G1526)+N(H1526)+N(I1526))</f>
        <v/>
      </c>
      <c r="Q1526" s="56" t="str">
        <f>IF(COUNTA(A1526:I1526)=0,"",IF(N(IFERROR(INDEX(art_rate,MATCH(E1526,art_ref,0)),0))&gt;0,N(IFERROR(INDEX(art_rate,MATCH(E1526,art_ref,0)),0)),N(IFERROR(INDEX(po_rate,MATCH(C1526,po_code,0)),0))))</f>
        <v/>
      </c>
      <c r="R1526" s="55" t="str">
        <f>IF(AC1526=1,P1526*60/Q1526,"")</f>
        <v/>
      </c>
      <c r="S1526" s="55" t="str">
        <f>IF(AC1526=1,N(G1526)*60/Q1526,"")</f>
        <v/>
      </c>
      <c r="T1526" s="57" t="str">
        <f>IF(AC1526=1,O1526/M1526,"")</f>
        <v/>
      </c>
      <c r="U1526" s="57" t="str">
        <f>IF(AC1526=1,IF(O1526&gt;0,R1526/O1526,""),"")</f>
        <v/>
      </c>
      <c r="V1526" s="57" t="str">
        <f>IF(AC1526=1,IF(P1526&gt;0,N(G1526)/P1526,""),"")</f>
        <v/>
      </c>
      <c r="W1526" s="57" t="str">
        <f>IF(AC1526=1,S1526/M1526,"")</f>
        <v/>
      </c>
      <c r="X1526" s="57" t="str">
        <f>IF(AC1526=1,S1526/K1526,"")</f>
        <v/>
      </c>
      <c r="Y1526" s="58" t="str">
        <f>IF(W1526="","",IF(W1526&gt;=p_target,"Bon",IF(W1526&gt;=p_alert,"À surveiller","Faible")))</f>
        <v/>
      </c>
      <c r="Z1526" s="58" t="str">
        <f>IF(W1526="","",IF(MIN(IF(T1526="",1,T1526),IF(U1526="",1,U1526),IF(V1526="",1,V1526))&gt;=1,"Aucune",IF(IF(T1526="",1,T1526)&lt;=MIN(IF(U1526="",1,U1526),IF(V1526="",1,V1526)),"Disponibilité",IF(IF(U1526="",1,U1526)&lt;=IF(V1526="",1,V1526),"Performance","Qualité"))))</f>
        <v/>
      </c>
      <c r="AA1526" s="59" t="str">
        <f>IF(AC1526=1,N(H1526)*N(IFERROR(INDEX(art_cost,MATCH(E1526,art_ref,0)),0)),"")</f>
        <v/>
      </c>
      <c r="AB1526" s="58" t="str">
        <f>IF(COUNTA(A1526:I1526)=0,"",IF(N(A1526)&lt;=0,"Date manquante ou invalide",IF(B1526="","Équipe manquante",IF(ISNA(MATCH(B1526,eq_code,0)),"Équipe inconnue",IF(INDEX(eq_check,MATCH(B1526,eq_code,0))&lt;&gt;"OK","Équipe à corriger dans Paramètres",IF(C1526="","Poste manquant",IF(ISNA(MATCH(C1526,po_code,0)),"Poste inconnu",IF(AND(E1526&lt;&gt;"",ISNA(MATCH(E1526,art_ref,0))),"Article inconnu",IF(IF(E1526="",FALSE,INDEX(art_check,MATCH(E1526,art_ref,0))&lt;&gt;"OK"),"Article à corriger (feuille Articles)",IF(COUNTIFS(sj_date,A1526,sj_eq,B1526,sj_po,C1526)&gt;1,"Ligne en double (même jour, équipe et poste)",IF(OR(NOT(ISNUMBER(K1526)),N(K1526)&lt;=0,N(K1526)&gt;1440),"Temps d'ouverture invalide",IF(OR(AND(G1526&lt;&gt;"",NOT(ISNUMBER(G1526))),N(G1526)&lt;0,N(G1526)&lt;&gt;INT(N(G1526)),AND(H1526&lt;&gt;"",NOT(ISNUMBER(H1526))),N(H1526)&lt;0,N(H1526)&lt;&gt;INT(N(H1526)),AND(I1526&lt;&gt;"",NOT(ISNUMBER(I1526))),N(I1526)&lt;0,N(I1526)&lt;&gt;INT(N(I1526))),"Quantité invalide",IF(Q1526&lt;=0,"Cadence manquante (poste ou article)",IF(M1526&lt;=0,"Arrêts planifiés supérieurs au temps d'ouverture",IF(O1526&lt;0,"Arrêts supérieurs au temps requis",IF(AND(P1526&gt;0,O1526=0),"Pièces déclarées sans temps de marche",IF(AND(P1526=0,O1526&gt;0),"Aucune pièce déclarée",IF(P1526*60/Q1526&gt;O1526+0.001,"Cadence dépassée : vérifiez la cadence","OK"))))))))))))))))))</f>
        <v/>
      </c>
      <c r="AC1526">
        <f>IF(OR(AB1526="OK",AB1526="Aucune pièce déclarée",AB1526="Cadence dépassée : vérifiez la cadence"),1,0)</f>
        <v>0.0</v>
      </c>
      <c r="AD1526">
        <f>IF(AND(AC1526=1,A1526&gt;=p_from,A1526&lt;=p_to),1,0)</f>
        <v>0.0</v>
      </c>
      <c r="AE1526">
        <f>IF(AD1526=1,IF(COUNTIFS($A$6:A1526,A1526,$AD$6:AD1526,1)=1,1,0),0)</f>
        <v>0.0</v>
      </c>
      <c r="AF1526" t="str">
        <f>IF(AE1526=1,COUNTIFS(sj_first,1,sj_date,"&lt;"&amp;A1526)+1,"")</f>
        <v/>
      </c>
      <c r="AG1526" t="str">
        <f>IF(AND(AD1526=1,N(W1526)&lt;p_alert),ROUND(W1526,4),"")</f>
        <v/>
      </c>
      <c r="AH1526" t="str">
        <f>IF(AG1526="","",COUNTIF(sj_akey,"&lt;"&amp;AG1526)+COUNTIF($AG$6:AG1526,AG1526))</f>
        <v/>
      </c>
    </row>
    <row r="1527">
      <c r="A1527" s="51" t="n"/>
      <c r="B1527" s="52" t="n"/>
      <c r="C1527" s="52" t="n"/>
      <c r="D1527" s="53" t="n"/>
      <c r="E1527" s="53" t="n"/>
      <c r="F1527" s="54" t="n"/>
      <c r="G1527" s="54" t="n"/>
      <c r="H1527" s="54" t="n"/>
      <c r="I1527" s="54" t="n"/>
      <c r="J1527" s="53" t="n"/>
      <c r="K1527" s="55" t="str">
        <f>IF(COUNTA(A1527:I1527)=0,"",IF(F1527="",IFERROR(INDEX(eq_dur,MATCH(B1527,eq_code,0)),""),F1527))</f>
        <v/>
      </c>
      <c r="L1527" s="55" t="str">
        <f>IF(ISNUMBER(K1527),N(IFERROR(INDEX(eq_pause,MATCH(B1527,eq_code,0)),0))+SUMIFS(st_min,st_date,A1527,st_eq,B1527,st_po,C1527,st_type,"Planifié"),"")</f>
        <v/>
      </c>
      <c r="M1527" s="55" t="str">
        <f>IF(ISNUMBER(K1527),K1527-L1527,"")</f>
        <v/>
      </c>
      <c r="N1527" s="55" t="str">
        <f>IF(ISNUMBER(K1527),SUMIFS(st_min,st_date,A1527,st_eq,B1527,st_po,C1527,st_type,"Non planifié"),"")</f>
        <v/>
      </c>
      <c r="O1527" s="55" t="str">
        <f>IF(ISNUMBER(K1527),M1527-N1527,"")</f>
        <v/>
      </c>
      <c r="P1527" s="55" t="str">
        <f>IF(COUNTA(A1527:I1527)=0,"",N(G1527)+N(H1527)+N(I1527))</f>
        <v/>
      </c>
      <c r="Q1527" s="56" t="str">
        <f>IF(COUNTA(A1527:I1527)=0,"",IF(N(IFERROR(INDEX(art_rate,MATCH(E1527,art_ref,0)),0))&gt;0,N(IFERROR(INDEX(art_rate,MATCH(E1527,art_ref,0)),0)),N(IFERROR(INDEX(po_rate,MATCH(C1527,po_code,0)),0))))</f>
        <v/>
      </c>
      <c r="R1527" s="55" t="str">
        <f>IF(AC1527=1,P1527*60/Q1527,"")</f>
        <v/>
      </c>
      <c r="S1527" s="55" t="str">
        <f>IF(AC1527=1,N(G1527)*60/Q1527,"")</f>
        <v/>
      </c>
      <c r="T1527" s="57" t="str">
        <f>IF(AC1527=1,O1527/M1527,"")</f>
        <v/>
      </c>
      <c r="U1527" s="57" t="str">
        <f>IF(AC1527=1,IF(O1527&gt;0,R1527/O1527,""),"")</f>
        <v/>
      </c>
      <c r="V1527" s="57" t="str">
        <f>IF(AC1527=1,IF(P1527&gt;0,N(G1527)/P1527,""),"")</f>
        <v/>
      </c>
      <c r="W1527" s="57" t="str">
        <f>IF(AC1527=1,S1527/M1527,"")</f>
        <v/>
      </c>
      <c r="X1527" s="57" t="str">
        <f>IF(AC1527=1,S1527/K1527,"")</f>
        <v/>
      </c>
      <c r="Y1527" s="58" t="str">
        <f>IF(W1527="","",IF(W1527&gt;=p_target,"Bon",IF(W1527&gt;=p_alert,"À surveiller","Faible")))</f>
        <v/>
      </c>
      <c r="Z1527" s="58" t="str">
        <f>IF(W1527="","",IF(MIN(IF(T1527="",1,T1527),IF(U1527="",1,U1527),IF(V1527="",1,V1527))&gt;=1,"Aucune",IF(IF(T1527="",1,T1527)&lt;=MIN(IF(U1527="",1,U1527),IF(V1527="",1,V1527)),"Disponibilité",IF(IF(U1527="",1,U1527)&lt;=IF(V1527="",1,V1527),"Performance","Qualité"))))</f>
        <v/>
      </c>
      <c r="AA1527" s="59" t="str">
        <f>IF(AC1527=1,N(H1527)*N(IFERROR(INDEX(art_cost,MATCH(E1527,art_ref,0)),0)),"")</f>
        <v/>
      </c>
      <c r="AB1527" s="58" t="str">
        <f>IF(COUNTA(A1527:I1527)=0,"",IF(N(A1527)&lt;=0,"Date manquante ou invalide",IF(B1527="","Équipe manquante",IF(ISNA(MATCH(B1527,eq_code,0)),"Équipe inconnue",IF(INDEX(eq_check,MATCH(B1527,eq_code,0))&lt;&gt;"OK","Équipe à corriger dans Paramètres",IF(C1527="","Poste manquant",IF(ISNA(MATCH(C1527,po_code,0)),"Poste inconnu",IF(AND(E1527&lt;&gt;"",ISNA(MATCH(E1527,art_ref,0))),"Article inconnu",IF(IF(E1527="",FALSE,INDEX(art_check,MATCH(E1527,art_ref,0))&lt;&gt;"OK"),"Article à corriger (feuille Articles)",IF(COUNTIFS(sj_date,A1527,sj_eq,B1527,sj_po,C1527)&gt;1,"Ligne en double (même jour, équipe et poste)",IF(OR(NOT(ISNUMBER(K1527)),N(K1527)&lt;=0,N(K1527)&gt;1440),"Temps d'ouverture invalide",IF(OR(AND(G1527&lt;&gt;"",NOT(ISNUMBER(G1527))),N(G1527)&lt;0,N(G1527)&lt;&gt;INT(N(G1527)),AND(H1527&lt;&gt;"",NOT(ISNUMBER(H1527))),N(H1527)&lt;0,N(H1527)&lt;&gt;INT(N(H1527)),AND(I1527&lt;&gt;"",NOT(ISNUMBER(I1527))),N(I1527)&lt;0,N(I1527)&lt;&gt;INT(N(I1527))),"Quantité invalide",IF(Q1527&lt;=0,"Cadence manquante (poste ou article)",IF(M1527&lt;=0,"Arrêts planifiés supérieurs au temps d'ouverture",IF(O1527&lt;0,"Arrêts supérieurs au temps requis",IF(AND(P1527&gt;0,O1527=0),"Pièces déclarées sans temps de marche",IF(AND(P1527=0,O1527&gt;0),"Aucune pièce déclarée",IF(P1527*60/Q1527&gt;O1527+0.001,"Cadence dépassée : vérifiez la cadence","OK"))))))))))))))))))</f>
        <v/>
      </c>
      <c r="AC1527">
        <f>IF(OR(AB1527="OK",AB1527="Aucune pièce déclarée",AB1527="Cadence dépassée : vérifiez la cadence"),1,0)</f>
        <v>0.0</v>
      </c>
      <c r="AD1527">
        <f>IF(AND(AC1527=1,A1527&gt;=p_from,A1527&lt;=p_to),1,0)</f>
        <v>0.0</v>
      </c>
      <c r="AE1527">
        <f>IF(AD1527=1,IF(COUNTIFS($A$6:A1527,A1527,$AD$6:AD1527,1)=1,1,0),0)</f>
        <v>0.0</v>
      </c>
      <c r="AF1527" t="str">
        <f>IF(AE1527=1,COUNTIFS(sj_first,1,sj_date,"&lt;"&amp;A1527)+1,"")</f>
        <v/>
      </c>
      <c r="AG1527" t="str">
        <f>IF(AND(AD1527=1,N(W1527)&lt;p_alert),ROUND(W1527,4),"")</f>
        <v/>
      </c>
      <c r="AH1527" t="str">
        <f>IF(AG1527="","",COUNTIF(sj_akey,"&lt;"&amp;AG1527)+COUNTIF($AG$6:AG1527,AG1527))</f>
        <v/>
      </c>
    </row>
    <row r="1528">
      <c r="A1528" s="51" t="n"/>
      <c r="B1528" s="52" t="n"/>
      <c r="C1528" s="52" t="n"/>
      <c r="D1528" s="53" t="n"/>
      <c r="E1528" s="53" t="n"/>
      <c r="F1528" s="54" t="n"/>
      <c r="G1528" s="54" t="n"/>
      <c r="H1528" s="54" t="n"/>
      <c r="I1528" s="54" t="n"/>
      <c r="J1528" s="53" t="n"/>
      <c r="K1528" s="55" t="str">
        <f>IF(COUNTA(A1528:I1528)=0,"",IF(F1528="",IFERROR(INDEX(eq_dur,MATCH(B1528,eq_code,0)),""),F1528))</f>
        <v/>
      </c>
      <c r="L1528" s="55" t="str">
        <f>IF(ISNUMBER(K1528),N(IFERROR(INDEX(eq_pause,MATCH(B1528,eq_code,0)),0))+SUMIFS(st_min,st_date,A1528,st_eq,B1528,st_po,C1528,st_type,"Planifié"),"")</f>
        <v/>
      </c>
      <c r="M1528" s="55" t="str">
        <f>IF(ISNUMBER(K1528),K1528-L1528,"")</f>
        <v/>
      </c>
      <c r="N1528" s="55" t="str">
        <f>IF(ISNUMBER(K1528),SUMIFS(st_min,st_date,A1528,st_eq,B1528,st_po,C1528,st_type,"Non planifié"),"")</f>
        <v/>
      </c>
      <c r="O1528" s="55" t="str">
        <f>IF(ISNUMBER(K1528),M1528-N1528,"")</f>
        <v/>
      </c>
      <c r="P1528" s="55" t="str">
        <f>IF(COUNTA(A1528:I1528)=0,"",N(G1528)+N(H1528)+N(I1528))</f>
        <v/>
      </c>
      <c r="Q1528" s="56" t="str">
        <f>IF(COUNTA(A1528:I1528)=0,"",IF(N(IFERROR(INDEX(art_rate,MATCH(E1528,art_ref,0)),0))&gt;0,N(IFERROR(INDEX(art_rate,MATCH(E1528,art_ref,0)),0)),N(IFERROR(INDEX(po_rate,MATCH(C1528,po_code,0)),0))))</f>
        <v/>
      </c>
      <c r="R1528" s="55" t="str">
        <f>IF(AC1528=1,P1528*60/Q1528,"")</f>
        <v/>
      </c>
      <c r="S1528" s="55" t="str">
        <f>IF(AC1528=1,N(G1528)*60/Q1528,"")</f>
        <v/>
      </c>
      <c r="T1528" s="57" t="str">
        <f>IF(AC1528=1,O1528/M1528,"")</f>
        <v/>
      </c>
      <c r="U1528" s="57" t="str">
        <f>IF(AC1528=1,IF(O1528&gt;0,R1528/O1528,""),"")</f>
        <v/>
      </c>
      <c r="V1528" s="57" t="str">
        <f>IF(AC1528=1,IF(P1528&gt;0,N(G1528)/P1528,""),"")</f>
        <v/>
      </c>
      <c r="W1528" s="57" t="str">
        <f>IF(AC1528=1,S1528/M1528,"")</f>
        <v/>
      </c>
      <c r="X1528" s="57" t="str">
        <f>IF(AC1528=1,S1528/K1528,"")</f>
        <v/>
      </c>
      <c r="Y1528" s="58" t="str">
        <f>IF(W1528="","",IF(W1528&gt;=p_target,"Bon",IF(W1528&gt;=p_alert,"À surveiller","Faible")))</f>
        <v/>
      </c>
      <c r="Z1528" s="58" t="str">
        <f>IF(W1528="","",IF(MIN(IF(T1528="",1,T1528),IF(U1528="",1,U1528),IF(V1528="",1,V1528))&gt;=1,"Aucune",IF(IF(T1528="",1,T1528)&lt;=MIN(IF(U1528="",1,U1528),IF(V1528="",1,V1528)),"Disponibilité",IF(IF(U1528="",1,U1528)&lt;=IF(V1528="",1,V1528),"Performance","Qualité"))))</f>
        <v/>
      </c>
      <c r="AA1528" s="59" t="str">
        <f>IF(AC1528=1,N(H1528)*N(IFERROR(INDEX(art_cost,MATCH(E1528,art_ref,0)),0)),"")</f>
        <v/>
      </c>
      <c r="AB1528" s="58" t="str">
        <f>IF(COUNTA(A1528:I1528)=0,"",IF(N(A1528)&lt;=0,"Date manquante ou invalide",IF(B1528="","Équipe manquante",IF(ISNA(MATCH(B1528,eq_code,0)),"Équipe inconnue",IF(INDEX(eq_check,MATCH(B1528,eq_code,0))&lt;&gt;"OK","Équipe à corriger dans Paramètres",IF(C1528="","Poste manquant",IF(ISNA(MATCH(C1528,po_code,0)),"Poste inconnu",IF(AND(E1528&lt;&gt;"",ISNA(MATCH(E1528,art_ref,0))),"Article inconnu",IF(IF(E1528="",FALSE,INDEX(art_check,MATCH(E1528,art_ref,0))&lt;&gt;"OK"),"Article à corriger (feuille Articles)",IF(COUNTIFS(sj_date,A1528,sj_eq,B1528,sj_po,C1528)&gt;1,"Ligne en double (même jour, équipe et poste)",IF(OR(NOT(ISNUMBER(K1528)),N(K1528)&lt;=0,N(K1528)&gt;1440),"Temps d'ouverture invalide",IF(OR(AND(G1528&lt;&gt;"",NOT(ISNUMBER(G1528))),N(G1528)&lt;0,N(G1528)&lt;&gt;INT(N(G1528)),AND(H1528&lt;&gt;"",NOT(ISNUMBER(H1528))),N(H1528)&lt;0,N(H1528)&lt;&gt;INT(N(H1528)),AND(I1528&lt;&gt;"",NOT(ISNUMBER(I1528))),N(I1528)&lt;0,N(I1528)&lt;&gt;INT(N(I1528))),"Quantité invalide",IF(Q1528&lt;=0,"Cadence manquante (poste ou article)",IF(M1528&lt;=0,"Arrêts planifiés supérieurs au temps d'ouverture",IF(O1528&lt;0,"Arrêts supérieurs au temps requis",IF(AND(P1528&gt;0,O1528=0),"Pièces déclarées sans temps de marche",IF(AND(P1528=0,O1528&gt;0),"Aucune pièce déclarée",IF(P1528*60/Q1528&gt;O1528+0.001,"Cadence dépassée : vérifiez la cadence","OK"))))))))))))))))))</f>
        <v/>
      </c>
      <c r="AC1528">
        <f>IF(OR(AB1528="OK",AB1528="Aucune pièce déclarée",AB1528="Cadence dépassée : vérifiez la cadence"),1,0)</f>
        <v>0.0</v>
      </c>
      <c r="AD1528">
        <f>IF(AND(AC1528=1,A1528&gt;=p_from,A1528&lt;=p_to),1,0)</f>
        <v>0.0</v>
      </c>
      <c r="AE1528">
        <f>IF(AD1528=1,IF(COUNTIFS($A$6:A1528,A1528,$AD$6:AD1528,1)=1,1,0),0)</f>
        <v>0.0</v>
      </c>
      <c r="AF1528" t="str">
        <f>IF(AE1528=1,COUNTIFS(sj_first,1,sj_date,"&lt;"&amp;A1528)+1,"")</f>
        <v/>
      </c>
      <c r="AG1528" t="str">
        <f>IF(AND(AD1528=1,N(W1528)&lt;p_alert),ROUND(W1528,4),"")</f>
        <v/>
      </c>
      <c r="AH1528" t="str">
        <f>IF(AG1528="","",COUNTIF(sj_akey,"&lt;"&amp;AG1528)+COUNTIF($AG$6:AG1528,AG1528))</f>
        <v/>
      </c>
    </row>
    <row r="1529">
      <c r="A1529" s="51" t="n"/>
      <c r="B1529" s="52" t="n"/>
      <c r="C1529" s="52" t="n"/>
      <c r="D1529" s="53" t="n"/>
      <c r="E1529" s="53" t="n"/>
      <c r="F1529" s="54" t="n"/>
      <c r="G1529" s="54" t="n"/>
      <c r="H1529" s="54" t="n"/>
      <c r="I1529" s="54" t="n"/>
      <c r="J1529" s="53" t="n"/>
      <c r="K1529" s="55" t="str">
        <f>IF(COUNTA(A1529:I1529)=0,"",IF(F1529="",IFERROR(INDEX(eq_dur,MATCH(B1529,eq_code,0)),""),F1529))</f>
        <v/>
      </c>
      <c r="L1529" s="55" t="str">
        <f>IF(ISNUMBER(K1529),N(IFERROR(INDEX(eq_pause,MATCH(B1529,eq_code,0)),0))+SUMIFS(st_min,st_date,A1529,st_eq,B1529,st_po,C1529,st_type,"Planifié"),"")</f>
        <v/>
      </c>
      <c r="M1529" s="55" t="str">
        <f>IF(ISNUMBER(K1529),K1529-L1529,"")</f>
        <v/>
      </c>
      <c r="N1529" s="55" t="str">
        <f>IF(ISNUMBER(K1529),SUMIFS(st_min,st_date,A1529,st_eq,B1529,st_po,C1529,st_type,"Non planifié"),"")</f>
        <v/>
      </c>
      <c r="O1529" s="55" t="str">
        <f>IF(ISNUMBER(K1529),M1529-N1529,"")</f>
        <v/>
      </c>
      <c r="P1529" s="55" t="str">
        <f>IF(COUNTA(A1529:I1529)=0,"",N(G1529)+N(H1529)+N(I1529))</f>
        <v/>
      </c>
      <c r="Q1529" s="56" t="str">
        <f>IF(COUNTA(A1529:I1529)=0,"",IF(N(IFERROR(INDEX(art_rate,MATCH(E1529,art_ref,0)),0))&gt;0,N(IFERROR(INDEX(art_rate,MATCH(E1529,art_ref,0)),0)),N(IFERROR(INDEX(po_rate,MATCH(C1529,po_code,0)),0))))</f>
        <v/>
      </c>
      <c r="R1529" s="55" t="str">
        <f>IF(AC1529=1,P1529*60/Q1529,"")</f>
        <v/>
      </c>
      <c r="S1529" s="55" t="str">
        <f>IF(AC1529=1,N(G1529)*60/Q1529,"")</f>
        <v/>
      </c>
      <c r="T1529" s="57" t="str">
        <f>IF(AC1529=1,O1529/M1529,"")</f>
        <v/>
      </c>
      <c r="U1529" s="57" t="str">
        <f>IF(AC1529=1,IF(O1529&gt;0,R1529/O1529,""),"")</f>
        <v/>
      </c>
      <c r="V1529" s="57" t="str">
        <f>IF(AC1529=1,IF(P1529&gt;0,N(G1529)/P1529,""),"")</f>
        <v/>
      </c>
      <c r="W1529" s="57" t="str">
        <f>IF(AC1529=1,S1529/M1529,"")</f>
        <v/>
      </c>
      <c r="X1529" s="57" t="str">
        <f>IF(AC1529=1,S1529/K1529,"")</f>
        <v/>
      </c>
      <c r="Y1529" s="58" t="str">
        <f>IF(W1529="","",IF(W1529&gt;=p_target,"Bon",IF(W1529&gt;=p_alert,"À surveiller","Faible")))</f>
        <v/>
      </c>
      <c r="Z1529" s="58" t="str">
        <f>IF(W1529="","",IF(MIN(IF(T1529="",1,T1529),IF(U1529="",1,U1529),IF(V1529="",1,V1529))&gt;=1,"Aucune",IF(IF(T1529="",1,T1529)&lt;=MIN(IF(U1529="",1,U1529),IF(V1529="",1,V1529)),"Disponibilité",IF(IF(U1529="",1,U1529)&lt;=IF(V1529="",1,V1529),"Performance","Qualité"))))</f>
        <v/>
      </c>
      <c r="AA1529" s="59" t="str">
        <f>IF(AC1529=1,N(H1529)*N(IFERROR(INDEX(art_cost,MATCH(E1529,art_ref,0)),0)),"")</f>
        <v/>
      </c>
      <c r="AB1529" s="58" t="str">
        <f>IF(COUNTA(A1529:I1529)=0,"",IF(N(A1529)&lt;=0,"Date manquante ou invalide",IF(B1529="","Équipe manquante",IF(ISNA(MATCH(B1529,eq_code,0)),"Équipe inconnue",IF(INDEX(eq_check,MATCH(B1529,eq_code,0))&lt;&gt;"OK","Équipe à corriger dans Paramètres",IF(C1529="","Poste manquant",IF(ISNA(MATCH(C1529,po_code,0)),"Poste inconnu",IF(AND(E1529&lt;&gt;"",ISNA(MATCH(E1529,art_ref,0))),"Article inconnu",IF(IF(E1529="",FALSE,INDEX(art_check,MATCH(E1529,art_ref,0))&lt;&gt;"OK"),"Article à corriger (feuille Articles)",IF(COUNTIFS(sj_date,A1529,sj_eq,B1529,sj_po,C1529)&gt;1,"Ligne en double (même jour, équipe et poste)",IF(OR(NOT(ISNUMBER(K1529)),N(K1529)&lt;=0,N(K1529)&gt;1440),"Temps d'ouverture invalide",IF(OR(AND(G1529&lt;&gt;"",NOT(ISNUMBER(G1529))),N(G1529)&lt;0,N(G1529)&lt;&gt;INT(N(G1529)),AND(H1529&lt;&gt;"",NOT(ISNUMBER(H1529))),N(H1529)&lt;0,N(H1529)&lt;&gt;INT(N(H1529)),AND(I1529&lt;&gt;"",NOT(ISNUMBER(I1529))),N(I1529)&lt;0,N(I1529)&lt;&gt;INT(N(I1529))),"Quantité invalide",IF(Q1529&lt;=0,"Cadence manquante (poste ou article)",IF(M1529&lt;=0,"Arrêts planifiés supérieurs au temps d'ouverture",IF(O1529&lt;0,"Arrêts supérieurs au temps requis",IF(AND(P1529&gt;0,O1529=0),"Pièces déclarées sans temps de marche",IF(AND(P1529=0,O1529&gt;0),"Aucune pièce déclarée",IF(P1529*60/Q1529&gt;O1529+0.001,"Cadence dépassée : vérifiez la cadence","OK"))))))))))))))))))</f>
        <v/>
      </c>
      <c r="AC1529">
        <f>IF(OR(AB1529="OK",AB1529="Aucune pièce déclarée",AB1529="Cadence dépassée : vérifiez la cadence"),1,0)</f>
        <v>0.0</v>
      </c>
      <c r="AD1529">
        <f>IF(AND(AC1529=1,A1529&gt;=p_from,A1529&lt;=p_to),1,0)</f>
        <v>0.0</v>
      </c>
      <c r="AE1529">
        <f>IF(AD1529=1,IF(COUNTIFS($A$6:A1529,A1529,$AD$6:AD1529,1)=1,1,0),0)</f>
        <v>0.0</v>
      </c>
      <c r="AF1529" t="str">
        <f>IF(AE1529=1,COUNTIFS(sj_first,1,sj_date,"&lt;"&amp;A1529)+1,"")</f>
        <v/>
      </c>
      <c r="AG1529" t="str">
        <f>IF(AND(AD1529=1,N(W1529)&lt;p_alert),ROUND(W1529,4),"")</f>
        <v/>
      </c>
      <c r="AH1529" t="str">
        <f>IF(AG1529="","",COUNTIF(sj_akey,"&lt;"&amp;AG1529)+COUNTIF($AG$6:AG1529,AG1529))</f>
        <v/>
      </c>
    </row>
    <row r="1530">
      <c r="A1530" s="51" t="n"/>
      <c r="B1530" s="52" t="n"/>
      <c r="C1530" s="52" t="n"/>
      <c r="D1530" s="53" t="n"/>
      <c r="E1530" s="53" t="n"/>
      <c r="F1530" s="54" t="n"/>
      <c r="G1530" s="54" t="n"/>
      <c r="H1530" s="54" t="n"/>
      <c r="I1530" s="54" t="n"/>
      <c r="J1530" s="53" t="n"/>
      <c r="K1530" s="55" t="str">
        <f>IF(COUNTA(A1530:I1530)=0,"",IF(F1530="",IFERROR(INDEX(eq_dur,MATCH(B1530,eq_code,0)),""),F1530))</f>
        <v/>
      </c>
      <c r="L1530" s="55" t="str">
        <f>IF(ISNUMBER(K1530),N(IFERROR(INDEX(eq_pause,MATCH(B1530,eq_code,0)),0))+SUMIFS(st_min,st_date,A1530,st_eq,B1530,st_po,C1530,st_type,"Planifié"),"")</f>
        <v/>
      </c>
      <c r="M1530" s="55" t="str">
        <f>IF(ISNUMBER(K1530),K1530-L1530,"")</f>
        <v/>
      </c>
      <c r="N1530" s="55" t="str">
        <f>IF(ISNUMBER(K1530),SUMIFS(st_min,st_date,A1530,st_eq,B1530,st_po,C1530,st_type,"Non planifié"),"")</f>
        <v/>
      </c>
      <c r="O1530" s="55" t="str">
        <f>IF(ISNUMBER(K1530),M1530-N1530,"")</f>
        <v/>
      </c>
      <c r="P1530" s="55" t="str">
        <f>IF(COUNTA(A1530:I1530)=0,"",N(G1530)+N(H1530)+N(I1530))</f>
        <v/>
      </c>
      <c r="Q1530" s="56" t="str">
        <f>IF(COUNTA(A1530:I1530)=0,"",IF(N(IFERROR(INDEX(art_rate,MATCH(E1530,art_ref,0)),0))&gt;0,N(IFERROR(INDEX(art_rate,MATCH(E1530,art_ref,0)),0)),N(IFERROR(INDEX(po_rate,MATCH(C1530,po_code,0)),0))))</f>
        <v/>
      </c>
      <c r="R1530" s="55" t="str">
        <f>IF(AC1530=1,P1530*60/Q1530,"")</f>
        <v/>
      </c>
      <c r="S1530" s="55" t="str">
        <f>IF(AC1530=1,N(G1530)*60/Q1530,"")</f>
        <v/>
      </c>
      <c r="T1530" s="57" t="str">
        <f>IF(AC1530=1,O1530/M1530,"")</f>
        <v/>
      </c>
      <c r="U1530" s="57" t="str">
        <f>IF(AC1530=1,IF(O1530&gt;0,R1530/O1530,""),"")</f>
        <v/>
      </c>
      <c r="V1530" s="57" t="str">
        <f>IF(AC1530=1,IF(P1530&gt;0,N(G1530)/P1530,""),"")</f>
        <v/>
      </c>
      <c r="W1530" s="57" t="str">
        <f>IF(AC1530=1,S1530/M1530,"")</f>
        <v/>
      </c>
      <c r="X1530" s="57" t="str">
        <f>IF(AC1530=1,S1530/K1530,"")</f>
        <v/>
      </c>
      <c r="Y1530" s="58" t="str">
        <f>IF(W1530="","",IF(W1530&gt;=p_target,"Bon",IF(W1530&gt;=p_alert,"À surveiller","Faible")))</f>
        <v/>
      </c>
      <c r="Z1530" s="58" t="str">
        <f>IF(W1530="","",IF(MIN(IF(T1530="",1,T1530),IF(U1530="",1,U1530),IF(V1530="",1,V1530))&gt;=1,"Aucune",IF(IF(T1530="",1,T1530)&lt;=MIN(IF(U1530="",1,U1530),IF(V1530="",1,V1530)),"Disponibilité",IF(IF(U1530="",1,U1530)&lt;=IF(V1530="",1,V1530),"Performance","Qualité"))))</f>
        <v/>
      </c>
      <c r="AA1530" s="59" t="str">
        <f>IF(AC1530=1,N(H1530)*N(IFERROR(INDEX(art_cost,MATCH(E1530,art_ref,0)),0)),"")</f>
        <v/>
      </c>
      <c r="AB1530" s="58" t="str">
        <f>IF(COUNTA(A1530:I1530)=0,"",IF(N(A1530)&lt;=0,"Date manquante ou invalide",IF(B1530="","Équipe manquante",IF(ISNA(MATCH(B1530,eq_code,0)),"Équipe inconnue",IF(INDEX(eq_check,MATCH(B1530,eq_code,0))&lt;&gt;"OK","Équipe à corriger dans Paramètres",IF(C1530="","Poste manquant",IF(ISNA(MATCH(C1530,po_code,0)),"Poste inconnu",IF(AND(E1530&lt;&gt;"",ISNA(MATCH(E1530,art_ref,0))),"Article inconnu",IF(IF(E1530="",FALSE,INDEX(art_check,MATCH(E1530,art_ref,0))&lt;&gt;"OK"),"Article à corriger (feuille Articles)",IF(COUNTIFS(sj_date,A1530,sj_eq,B1530,sj_po,C1530)&gt;1,"Ligne en double (même jour, équipe et poste)",IF(OR(NOT(ISNUMBER(K1530)),N(K1530)&lt;=0,N(K1530)&gt;1440),"Temps d'ouverture invalide",IF(OR(AND(G1530&lt;&gt;"",NOT(ISNUMBER(G1530))),N(G1530)&lt;0,N(G1530)&lt;&gt;INT(N(G1530)),AND(H1530&lt;&gt;"",NOT(ISNUMBER(H1530))),N(H1530)&lt;0,N(H1530)&lt;&gt;INT(N(H1530)),AND(I1530&lt;&gt;"",NOT(ISNUMBER(I1530))),N(I1530)&lt;0,N(I1530)&lt;&gt;INT(N(I1530))),"Quantité invalide",IF(Q1530&lt;=0,"Cadence manquante (poste ou article)",IF(M1530&lt;=0,"Arrêts planifiés supérieurs au temps d'ouverture",IF(O1530&lt;0,"Arrêts supérieurs au temps requis",IF(AND(P1530&gt;0,O1530=0),"Pièces déclarées sans temps de marche",IF(AND(P1530=0,O1530&gt;0),"Aucune pièce déclarée",IF(P1530*60/Q1530&gt;O1530+0.001,"Cadence dépassée : vérifiez la cadence","OK"))))))))))))))))))</f>
        <v/>
      </c>
      <c r="AC1530">
        <f>IF(OR(AB1530="OK",AB1530="Aucune pièce déclarée",AB1530="Cadence dépassée : vérifiez la cadence"),1,0)</f>
        <v>0.0</v>
      </c>
      <c r="AD1530">
        <f>IF(AND(AC1530=1,A1530&gt;=p_from,A1530&lt;=p_to),1,0)</f>
        <v>0.0</v>
      </c>
      <c r="AE1530">
        <f>IF(AD1530=1,IF(COUNTIFS($A$6:A1530,A1530,$AD$6:AD1530,1)=1,1,0),0)</f>
        <v>0.0</v>
      </c>
      <c r="AF1530" t="str">
        <f>IF(AE1530=1,COUNTIFS(sj_first,1,sj_date,"&lt;"&amp;A1530)+1,"")</f>
        <v/>
      </c>
      <c r="AG1530" t="str">
        <f>IF(AND(AD1530=1,N(W1530)&lt;p_alert),ROUND(W1530,4),"")</f>
        <v/>
      </c>
      <c r="AH1530" t="str">
        <f>IF(AG1530="","",COUNTIF(sj_akey,"&lt;"&amp;AG1530)+COUNTIF($AG$6:AG1530,AG1530))</f>
        <v/>
      </c>
    </row>
    <row r="1531">
      <c r="A1531" s="51" t="n"/>
      <c r="B1531" s="52" t="n"/>
      <c r="C1531" s="52" t="n"/>
      <c r="D1531" s="53" t="n"/>
      <c r="E1531" s="53" t="n"/>
      <c r="F1531" s="54" t="n"/>
      <c r="G1531" s="54" t="n"/>
      <c r="H1531" s="54" t="n"/>
      <c r="I1531" s="54" t="n"/>
      <c r="J1531" s="53" t="n"/>
      <c r="K1531" s="55" t="str">
        <f>IF(COUNTA(A1531:I1531)=0,"",IF(F1531="",IFERROR(INDEX(eq_dur,MATCH(B1531,eq_code,0)),""),F1531))</f>
        <v/>
      </c>
      <c r="L1531" s="55" t="str">
        <f>IF(ISNUMBER(K1531),N(IFERROR(INDEX(eq_pause,MATCH(B1531,eq_code,0)),0))+SUMIFS(st_min,st_date,A1531,st_eq,B1531,st_po,C1531,st_type,"Planifié"),"")</f>
        <v/>
      </c>
      <c r="M1531" s="55" t="str">
        <f>IF(ISNUMBER(K1531),K1531-L1531,"")</f>
        <v/>
      </c>
      <c r="N1531" s="55" t="str">
        <f>IF(ISNUMBER(K1531),SUMIFS(st_min,st_date,A1531,st_eq,B1531,st_po,C1531,st_type,"Non planifié"),"")</f>
        <v/>
      </c>
      <c r="O1531" s="55" t="str">
        <f>IF(ISNUMBER(K1531),M1531-N1531,"")</f>
        <v/>
      </c>
      <c r="P1531" s="55" t="str">
        <f>IF(COUNTA(A1531:I1531)=0,"",N(G1531)+N(H1531)+N(I1531))</f>
        <v/>
      </c>
      <c r="Q1531" s="56" t="str">
        <f>IF(COUNTA(A1531:I1531)=0,"",IF(N(IFERROR(INDEX(art_rate,MATCH(E1531,art_ref,0)),0))&gt;0,N(IFERROR(INDEX(art_rate,MATCH(E1531,art_ref,0)),0)),N(IFERROR(INDEX(po_rate,MATCH(C1531,po_code,0)),0))))</f>
        <v/>
      </c>
      <c r="R1531" s="55" t="str">
        <f>IF(AC1531=1,P1531*60/Q1531,"")</f>
        <v/>
      </c>
      <c r="S1531" s="55" t="str">
        <f>IF(AC1531=1,N(G1531)*60/Q1531,"")</f>
        <v/>
      </c>
      <c r="T1531" s="57" t="str">
        <f>IF(AC1531=1,O1531/M1531,"")</f>
        <v/>
      </c>
      <c r="U1531" s="57" t="str">
        <f>IF(AC1531=1,IF(O1531&gt;0,R1531/O1531,""),"")</f>
        <v/>
      </c>
      <c r="V1531" s="57" t="str">
        <f>IF(AC1531=1,IF(P1531&gt;0,N(G1531)/P1531,""),"")</f>
        <v/>
      </c>
      <c r="W1531" s="57" t="str">
        <f>IF(AC1531=1,S1531/M1531,"")</f>
        <v/>
      </c>
      <c r="X1531" s="57" t="str">
        <f>IF(AC1531=1,S1531/K1531,"")</f>
        <v/>
      </c>
      <c r="Y1531" s="58" t="str">
        <f>IF(W1531="","",IF(W1531&gt;=p_target,"Bon",IF(W1531&gt;=p_alert,"À surveiller","Faible")))</f>
        <v/>
      </c>
      <c r="Z1531" s="58" t="str">
        <f>IF(W1531="","",IF(MIN(IF(T1531="",1,T1531),IF(U1531="",1,U1531),IF(V1531="",1,V1531))&gt;=1,"Aucune",IF(IF(T1531="",1,T1531)&lt;=MIN(IF(U1531="",1,U1531),IF(V1531="",1,V1531)),"Disponibilité",IF(IF(U1531="",1,U1531)&lt;=IF(V1531="",1,V1531),"Performance","Qualité"))))</f>
        <v/>
      </c>
      <c r="AA1531" s="59" t="str">
        <f>IF(AC1531=1,N(H1531)*N(IFERROR(INDEX(art_cost,MATCH(E1531,art_ref,0)),0)),"")</f>
        <v/>
      </c>
      <c r="AB1531" s="58" t="str">
        <f>IF(COUNTA(A1531:I1531)=0,"",IF(N(A1531)&lt;=0,"Date manquante ou invalide",IF(B1531="","Équipe manquante",IF(ISNA(MATCH(B1531,eq_code,0)),"Équipe inconnue",IF(INDEX(eq_check,MATCH(B1531,eq_code,0))&lt;&gt;"OK","Équipe à corriger dans Paramètres",IF(C1531="","Poste manquant",IF(ISNA(MATCH(C1531,po_code,0)),"Poste inconnu",IF(AND(E1531&lt;&gt;"",ISNA(MATCH(E1531,art_ref,0))),"Article inconnu",IF(IF(E1531="",FALSE,INDEX(art_check,MATCH(E1531,art_ref,0))&lt;&gt;"OK"),"Article à corriger (feuille Articles)",IF(COUNTIFS(sj_date,A1531,sj_eq,B1531,sj_po,C1531)&gt;1,"Ligne en double (même jour, équipe et poste)",IF(OR(NOT(ISNUMBER(K1531)),N(K1531)&lt;=0,N(K1531)&gt;1440),"Temps d'ouverture invalide",IF(OR(AND(G1531&lt;&gt;"",NOT(ISNUMBER(G1531))),N(G1531)&lt;0,N(G1531)&lt;&gt;INT(N(G1531)),AND(H1531&lt;&gt;"",NOT(ISNUMBER(H1531))),N(H1531)&lt;0,N(H1531)&lt;&gt;INT(N(H1531)),AND(I1531&lt;&gt;"",NOT(ISNUMBER(I1531))),N(I1531)&lt;0,N(I1531)&lt;&gt;INT(N(I1531))),"Quantité invalide",IF(Q1531&lt;=0,"Cadence manquante (poste ou article)",IF(M1531&lt;=0,"Arrêts planifiés supérieurs au temps d'ouverture",IF(O1531&lt;0,"Arrêts supérieurs au temps requis",IF(AND(P1531&gt;0,O1531=0),"Pièces déclarées sans temps de marche",IF(AND(P1531=0,O1531&gt;0),"Aucune pièce déclarée",IF(P1531*60/Q1531&gt;O1531+0.001,"Cadence dépassée : vérifiez la cadence","OK"))))))))))))))))))</f>
        <v/>
      </c>
      <c r="AC1531">
        <f>IF(OR(AB1531="OK",AB1531="Aucune pièce déclarée",AB1531="Cadence dépassée : vérifiez la cadence"),1,0)</f>
        <v>0.0</v>
      </c>
      <c r="AD1531">
        <f>IF(AND(AC1531=1,A1531&gt;=p_from,A1531&lt;=p_to),1,0)</f>
        <v>0.0</v>
      </c>
      <c r="AE1531">
        <f>IF(AD1531=1,IF(COUNTIFS($A$6:A1531,A1531,$AD$6:AD1531,1)=1,1,0),0)</f>
        <v>0.0</v>
      </c>
      <c r="AF1531" t="str">
        <f>IF(AE1531=1,COUNTIFS(sj_first,1,sj_date,"&lt;"&amp;A1531)+1,"")</f>
        <v/>
      </c>
      <c r="AG1531" t="str">
        <f>IF(AND(AD1531=1,N(W1531)&lt;p_alert),ROUND(W1531,4),"")</f>
        <v/>
      </c>
      <c r="AH1531" t="str">
        <f>IF(AG1531="","",COUNTIF(sj_akey,"&lt;"&amp;AG1531)+COUNTIF($AG$6:AG1531,AG1531))</f>
        <v/>
      </c>
    </row>
    <row r="1532">
      <c r="A1532" s="51" t="n"/>
      <c r="B1532" s="52" t="n"/>
      <c r="C1532" s="52" t="n"/>
      <c r="D1532" s="53" t="n"/>
      <c r="E1532" s="53" t="n"/>
      <c r="F1532" s="54" t="n"/>
      <c r="G1532" s="54" t="n"/>
      <c r="H1532" s="54" t="n"/>
      <c r="I1532" s="54" t="n"/>
      <c r="J1532" s="53" t="n"/>
      <c r="K1532" s="55" t="str">
        <f>IF(COUNTA(A1532:I1532)=0,"",IF(F1532="",IFERROR(INDEX(eq_dur,MATCH(B1532,eq_code,0)),""),F1532))</f>
        <v/>
      </c>
      <c r="L1532" s="55" t="str">
        <f>IF(ISNUMBER(K1532),N(IFERROR(INDEX(eq_pause,MATCH(B1532,eq_code,0)),0))+SUMIFS(st_min,st_date,A1532,st_eq,B1532,st_po,C1532,st_type,"Planifié"),"")</f>
        <v/>
      </c>
      <c r="M1532" s="55" t="str">
        <f>IF(ISNUMBER(K1532),K1532-L1532,"")</f>
        <v/>
      </c>
      <c r="N1532" s="55" t="str">
        <f>IF(ISNUMBER(K1532),SUMIFS(st_min,st_date,A1532,st_eq,B1532,st_po,C1532,st_type,"Non planifié"),"")</f>
        <v/>
      </c>
      <c r="O1532" s="55" t="str">
        <f>IF(ISNUMBER(K1532),M1532-N1532,"")</f>
        <v/>
      </c>
      <c r="P1532" s="55" t="str">
        <f>IF(COUNTA(A1532:I1532)=0,"",N(G1532)+N(H1532)+N(I1532))</f>
        <v/>
      </c>
      <c r="Q1532" s="56" t="str">
        <f>IF(COUNTA(A1532:I1532)=0,"",IF(N(IFERROR(INDEX(art_rate,MATCH(E1532,art_ref,0)),0))&gt;0,N(IFERROR(INDEX(art_rate,MATCH(E1532,art_ref,0)),0)),N(IFERROR(INDEX(po_rate,MATCH(C1532,po_code,0)),0))))</f>
        <v/>
      </c>
      <c r="R1532" s="55" t="str">
        <f>IF(AC1532=1,P1532*60/Q1532,"")</f>
        <v/>
      </c>
      <c r="S1532" s="55" t="str">
        <f>IF(AC1532=1,N(G1532)*60/Q1532,"")</f>
        <v/>
      </c>
      <c r="T1532" s="57" t="str">
        <f>IF(AC1532=1,O1532/M1532,"")</f>
        <v/>
      </c>
      <c r="U1532" s="57" t="str">
        <f>IF(AC1532=1,IF(O1532&gt;0,R1532/O1532,""),"")</f>
        <v/>
      </c>
      <c r="V1532" s="57" t="str">
        <f>IF(AC1532=1,IF(P1532&gt;0,N(G1532)/P1532,""),"")</f>
        <v/>
      </c>
      <c r="W1532" s="57" t="str">
        <f>IF(AC1532=1,S1532/M1532,"")</f>
        <v/>
      </c>
      <c r="X1532" s="57" t="str">
        <f>IF(AC1532=1,S1532/K1532,"")</f>
        <v/>
      </c>
      <c r="Y1532" s="58" t="str">
        <f>IF(W1532="","",IF(W1532&gt;=p_target,"Bon",IF(W1532&gt;=p_alert,"À surveiller","Faible")))</f>
        <v/>
      </c>
      <c r="Z1532" s="58" t="str">
        <f>IF(W1532="","",IF(MIN(IF(T1532="",1,T1532),IF(U1532="",1,U1532),IF(V1532="",1,V1532))&gt;=1,"Aucune",IF(IF(T1532="",1,T1532)&lt;=MIN(IF(U1532="",1,U1532),IF(V1532="",1,V1532)),"Disponibilité",IF(IF(U1532="",1,U1532)&lt;=IF(V1532="",1,V1532),"Performance","Qualité"))))</f>
        <v/>
      </c>
      <c r="AA1532" s="59" t="str">
        <f>IF(AC1532=1,N(H1532)*N(IFERROR(INDEX(art_cost,MATCH(E1532,art_ref,0)),0)),"")</f>
        <v/>
      </c>
      <c r="AB1532" s="58" t="str">
        <f>IF(COUNTA(A1532:I1532)=0,"",IF(N(A1532)&lt;=0,"Date manquante ou invalide",IF(B1532="","Équipe manquante",IF(ISNA(MATCH(B1532,eq_code,0)),"Équipe inconnue",IF(INDEX(eq_check,MATCH(B1532,eq_code,0))&lt;&gt;"OK","Équipe à corriger dans Paramètres",IF(C1532="","Poste manquant",IF(ISNA(MATCH(C1532,po_code,0)),"Poste inconnu",IF(AND(E1532&lt;&gt;"",ISNA(MATCH(E1532,art_ref,0))),"Article inconnu",IF(IF(E1532="",FALSE,INDEX(art_check,MATCH(E1532,art_ref,0))&lt;&gt;"OK"),"Article à corriger (feuille Articles)",IF(COUNTIFS(sj_date,A1532,sj_eq,B1532,sj_po,C1532)&gt;1,"Ligne en double (même jour, équipe et poste)",IF(OR(NOT(ISNUMBER(K1532)),N(K1532)&lt;=0,N(K1532)&gt;1440),"Temps d'ouverture invalide",IF(OR(AND(G1532&lt;&gt;"",NOT(ISNUMBER(G1532))),N(G1532)&lt;0,N(G1532)&lt;&gt;INT(N(G1532)),AND(H1532&lt;&gt;"",NOT(ISNUMBER(H1532))),N(H1532)&lt;0,N(H1532)&lt;&gt;INT(N(H1532)),AND(I1532&lt;&gt;"",NOT(ISNUMBER(I1532))),N(I1532)&lt;0,N(I1532)&lt;&gt;INT(N(I1532))),"Quantité invalide",IF(Q1532&lt;=0,"Cadence manquante (poste ou article)",IF(M1532&lt;=0,"Arrêts planifiés supérieurs au temps d'ouverture",IF(O1532&lt;0,"Arrêts supérieurs au temps requis",IF(AND(P1532&gt;0,O1532=0),"Pièces déclarées sans temps de marche",IF(AND(P1532=0,O1532&gt;0),"Aucune pièce déclarée",IF(P1532*60/Q1532&gt;O1532+0.001,"Cadence dépassée : vérifiez la cadence","OK"))))))))))))))))))</f>
        <v/>
      </c>
      <c r="AC1532">
        <f>IF(OR(AB1532="OK",AB1532="Aucune pièce déclarée",AB1532="Cadence dépassée : vérifiez la cadence"),1,0)</f>
        <v>0.0</v>
      </c>
      <c r="AD1532">
        <f>IF(AND(AC1532=1,A1532&gt;=p_from,A1532&lt;=p_to),1,0)</f>
        <v>0.0</v>
      </c>
      <c r="AE1532">
        <f>IF(AD1532=1,IF(COUNTIFS($A$6:A1532,A1532,$AD$6:AD1532,1)=1,1,0),0)</f>
        <v>0.0</v>
      </c>
      <c r="AF1532" t="str">
        <f>IF(AE1532=1,COUNTIFS(sj_first,1,sj_date,"&lt;"&amp;A1532)+1,"")</f>
        <v/>
      </c>
      <c r="AG1532" t="str">
        <f>IF(AND(AD1532=1,N(W1532)&lt;p_alert),ROUND(W1532,4),"")</f>
        <v/>
      </c>
      <c r="AH1532" t="str">
        <f>IF(AG1532="","",COUNTIF(sj_akey,"&lt;"&amp;AG1532)+COUNTIF($AG$6:AG1532,AG1532))</f>
        <v/>
      </c>
    </row>
    <row r="1533">
      <c r="A1533" s="51" t="n"/>
      <c r="B1533" s="52" t="n"/>
      <c r="C1533" s="52" t="n"/>
      <c r="D1533" s="53" t="n"/>
      <c r="E1533" s="53" t="n"/>
      <c r="F1533" s="54" t="n"/>
      <c r="G1533" s="54" t="n"/>
      <c r="H1533" s="54" t="n"/>
      <c r="I1533" s="54" t="n"/>
      <c r="J1533" s="53" t="n"/>
      <c r="K1533" s="55" t="str">
        <f>IF(COUNTA(A1533:I1533)=0,"",IF(F1533="",IFERROR(INDEX(eq_dur,MATCH(B1533,eq_code,0)),""),F1533))</f>
        <v/>
      </c>
      <c r="L1533" s="55" t="str">
        <f>IF(ISNUMBER(K1533),N(IFERROR(INDEX(eq_pause,MATCH(B1533,eq_code,0)),0))+SUMIFS(st_min,st_date,A1533,st_eq,B1533,st_po,C1533,st_type,"Planifié"),"")</f>
        <v/>
      </c>
      <c r="M1533" s="55" t="str">
        <f>IF(ISNUMBER(K1533),K1533-L1533,"")</f>
        <v/>
      </c>
      <c r="N1533" s="55" t="str">
        <f>IF(ISNUMBER(K1533),SUMIFS(st_min,st_date,A1533,st_eq,B1533,st_po,C1533,st_type,"Non planifié"),"")</f>
        <v/>
      </c>
      <c r="O1533" s="55" t="str">
        <f>IF(ISNUMBER(K1533),M1533-N1533,"")</f>
        <v/>
      </c>
      <c r="P1533" s="55" t="str">
        <f>IF(COUNTA(A1533:I1533)=0,"",N(G1533)+N(H1533)+N(I1533))</f>
        <v/>
      </c>
      <c r="Q1533" s="56" t="str">
        <f>IF(COUNTA(A1533:I1533)=0,"",IF(N(IFERROR(INDEX(art_rate,MATCH(E1533,art_ref,0)),0))&gt;0,N(IFERROR(INDEX(art_rate,MATCH(E1533,art_ref,0)),0)),N(IFERROR(INDEX(po_rate,MATCH(C1533,po_code,0)),0))))</f>
        <v/>
      </c>
      <c r="R1533" s="55" t="str">
        <f>IF(AC1533=1,P1533*60/Q1533,"")</f>
        <v/>
      </c>
      <c r="S1533" s="55" t="str">
        <f>IF(AC1533=1,N(G1533)*60/Q1533,"")</f>
        <v/>
      </c>
      <c r="T1533" s="57" t="str">
        <f>IF(AC1533=1,O1533/M1533,"")</f>
        <v/>
      </c>
      <c r="U1533" s="57" t="str">
        <f>IF(AC1533=1,IF(O1533&gt;0,R1533/O1533,""),"")</f>
        <v/>
      </c>
      <c r="V1533" s="57" t="str">
        <f>IF(AC1533=1,IF(P1533&gt;0,N(G1533)/P1533,""),"")</f>
        <v/>
      </c>
      <c r="W1533" s="57" t="str">
        <f>IF(AC1533=1,S1533/M1533,"")</f>
        <v/>
      </c>
      <c r="X1533" s="57" t="str">
        <f>IF(AC1533=1,S1533/K1533,"")</f>
        <v/>
      </c>
      <c r="Y1533" s="58" t="str">
        <f>IF(W1533="","",IF(W1533&gt;=p_target,"Bon",IF(W1533&gt;=p_alert,"À surveiller","Faible")))</f>
        <v/>
      </c>
      <c r="Z1533" s="58" t="str">
        <f>IF(W1533="","",IF(MIN(IF(T1533="",1,T1533),IF(U1533="",1,U1533),IF(V1533="",1,V1533))&gt;=1,"Aucune",IF(IF(T1533="",1,T1533)&lt;=MIN(IF(U1533="",1,U1533),IF(V1533="",1,V1533)),"Disponibilité",IF(IF(U1533="",1,U1533)&lt;=IF(V1533="",1,V1533),"Performance","Qualité"))))</f>
        <v/>
      </c>
      <c r="AA1533" s="59" t="str">
        <f>IF(AC1533=1,N(H1533)*N(IFERROR(INDEX(art_cost,MATCH(E1533,art_ref,0)),0)),"")</f>
        <v/>
      </c>
      <c r="AB1533" s="58" t="str">
        <f>IF(COUNTA(A1533:I1533)=0,"",IF(N(A1533)&lt;=0,"Date manquante ou invalide",IF(B1533="","Équipe manquante",IF(ISNA(MATCH(B1533,eq_code,0)),"Équipe inconnue",IF(INDEX(eq_check,MATCH(B1533,eq_code,0))&lt;&gt;"OK","Équipe à corriger dans Paramètres",IF(C1533="","Poste manquant",IF(ISNA(MATCH(C1533,po_code,0)),"Poste inconnu",IF(AND(E1533&lt;&gt;"",ISNA(MATCH(E1533,art_ref,0))),"Article inconnu",IF(IF(E1533="",FALSE,INDEX(art_check,MATCH(E1533,art_ref,0))&lt;&gt;"OK"),"Article à corriger (feuille Articles)",IF(COUNTIFS(sj_date,A1533,sj_eq,B1533,sj_po,C1533)&gt;1,"Ligne en double (même jour, équipe et poste)",IF(OR(NOT(ISNUMBER(K1533)),N(K1533)&lt;=0,N(K1533)&gt;1440),"Temps d'ouverture invalide",IF(OR(AND(G1533&lt;&gt;"",NOT(ISNUMBER(G1533))),N(G1533)&lt;0,N(G1533)&lt;&gt;INT(N(G1533)),AND(H1533&lt;&gt;"",NOT(ISNUMBER(H1533))),N(H1533)&lt;0,N(H1533)&lt;&gt;INT(N(H1533)),AND(I1533&lt;&gt;"",NOT(ISNUMBER(I1533))),N(I1533)&lt;0,N(I1533)&lt;&gt;INT(N(I1533))),"Quantité invalide",IF(Q1533&lt;=0,"Cadence manquante (poste ou article)",IF(M1533&lt;=0,"Arrêts planifiés supérieurs au temps d'ouverture",IF(O1533&lt;0,"Arrêts supérieurs au temps requis",IF(AND(P1533&gt;0,O1533=0),"Pièces déclarées sans temps de marche",IF(AND(P1533=0,O1533&gt;0),"Aucune pièce déclarée",IF(P1533*60/Q1533&gt;O1533+0.001,"Cadence dépassée : vérifiez la cadence","OK"))))))))))))))))))</f>
        <v/>
      </c>
      <c r="AC1533">
        <f>IF(OR(AB1533="OK",AB1533="Aucune pièce déclarée",AB1533="Cadence dépassée : vérifiez la cadence"),1,0)</f>
        <v>0.0</v>
      </c>
      <c r="AD1533">
        <f>IF(AND(AC1533=1,A1533&gt;=p_from,A1533&lt;=p_to),1,0)</f>
        <v>0.0</v>
      </c>
      <c r="AE1533">
        <f>IF(AD1533=1,IF(COUNTIFS($A$6:A1533,A1533,$AD$6:AD1533,1)=1,1,0),0)</f>
        <v>0.0</v>
      </c>
      <c r="AF1533" t="str">
        <f>IF(AE1533=1,COUNTIFS(sj_first,1,sj_date,"&lt;"&amp;A1533)+1,"")</f>
        <v/>
      </c>
      <c r="AG1533" t="str">
        <f>IF(AND(AD1533=1,N(W1533)&lt;p_alert),ROUND(W1533,4),"")</f>
        <v/>
      </c>
      <c r="AH1533" t="str">
        <f>IF(AG1533="","",COUNTIF(sj_akey,"&lt;"&amp;AG1533)+COUNTIF($AG$6:AG1533,AG1533))</f>
        <v/>
      </c>
    </row>
    <row r="1534">
      <c r="A1534" s="51" t="n"/>
      <c r="B1534" s="52" t="n"/>
      <c r="C1534" s="52" t="n"/>
      <c r="D1534" s="53" t="n"/>
      <c r="E1534" s="53" t="n"/>
      <c r="F1534" s="54" t="n"/>
      <c r="G1534" s="54" t="n"/>
      <c r="H1534" s="54" t="n"/>
      <c r="I1534" s="54" t="n"/>
      <c r="J1534" s="53" t="n"/>
      <c r="K1534" s="55" t="str">
        <f>IF(COUNTA(A1534:I1534)=0,"",IF(F1534="",IFERROR(INDEX(eq_dur,MATCH(B1534,eq_code,0)),""),F1534))</f>
        <v/>
      </c>
      <c r="L1534" s="55" t="str">
        <f>IF(ISNUMBER(K1534),N(IFERROR(INDEX(eq_pause,MATCH(B1534,eq_code,0)),0))+SUMIFS(st_min,st_date,A1534,st_eq,B1534,st_po,C1534,st_type,"Planifié"),"")</f>
        <v/>
      </c>
      <c r="M1534" s="55" t="str">
        <f>IF(ISNUMBER(K1534),K1534-L1534,"")</f>
        <v/>
      </c>
      <c r="N1534" s="55" t="str">
        <f>IF(ISNUMBER(K1534),SUMIFS(st_min,st_date,A1534,st_eq,B1534,st_po,C1534,st_type,"Non planifié"),"")</f>
        <v/>
      </c>
      <c r="O1534" s="55" t="str">
        <f>IF(ISNUMBER(K1534),M1534-N1534,"")</f>
        <v/>
      </c>
      <c r="P1534" s="55" t="str">
        <f>IF(COUNTA(A1534:I1534)=0,"",N(G1534)+N(H1534)+N(I1534))</f>
        <v/>
      </c>
      <c r="Q1534" s="56" t="str">
        <f>IF(COUNTA(A1534:I1534)=0,"",IF(N(IFERROR(INDEX(art_rate,MATCH(E1534,art_ref,0)),0))&gt;0,N(IFERROR(INDEX(art_rate,MATCH(E1534,art_ref,0)),0)),N(IFERROR(INDEX(po_rate,MATCH(C1534,po_code,0)),0))))</f>
        <v/>
      </c>
      <c r="R1534" s="55" t="str">
        <f>IF(AC1534=1,P1534*60/Q1534,"")</f>
        <v/>
      </c>
      <c r="S1534" s="55" t="str">
        <f>IF(AC1534=1,N(G1534)*60/Q1534,"")</f>
        <v/>
      </c>
      <c r="T1534" s="57" t="str">
        <f>IF(AC1534=1,O1534/M1534,"")</f>
        <v/>
      </c>
      <c r="U1534" s="57" t="str">
        <f>IF(AC1534=1,IF(O1534&gt;0,R1534/O1534,""),"")</f>
        <v/>
      </c>
      <c r="V1534" s="57" t="str">
        <f>IF(AC1534=1,IF(P1534&gt;0,N(G1534)/P1534,""),"")</f>
        <v/>
      </c>
      <c r="W1534" s="57" t="str">
        <f>IF(AC1534=1,S1534/M1534,"")</f>
        <v/>
      </c>
      <c r="X1534" s="57" t="str">
        <f>IF(AC1534=1,S1534/K1534,"")</f>
        <v/>
      </c>
      <c r="Y1534" s="58" t="str">
        <f>IF(W1534="","",IF(W1534&gt;=p_target,"Bon",IF(W1534&gt;=p_alert,"À surveiller","Faible")))</f>
        <v/>
      </c>
      <c r="Z1534" s="58" t="str">
        <f>IF(W1534="","",IF(MIN(IF(T1534="",1,T1534),IF(U1534="",1,U1534),IF(V1534="",1,V1534))&gt;=1,"Aucune",IF(IF(T1534="",1,T1534)&lt;=MIN(IF(U1534="",1,U1534),IF(V1534="",1,V1534)),"Disponibilité",IF(IF(U1534="",1,U1534)&lt;=IF(V1534="",1,V1534),"Performance","Qualité"))))</f>
        <v/>
      </c>
      <c r="AA1534" s="59" t="str">
        <f>IF(AC1534=1,N(H1534)*N(IFERROR(INDEX(art_cost,MATCH(E1534,art_ref,0)),0)),"")</f>
        <v/>
      </c>
      <c r="AB1534" s="58" t="str">
        <f>IF(COUNTA(A1534:I1534)=0,"",IF(N(A1534)&lt;=0,"Date manquante ou invalide",IF(B1534="","Équipe manquante",IF(ISNA(MATCH(B1534,eq_code,0)),"Équipe inconnue",IF(INDEX(eq_check,MATCH(B1534,eq_code,0))&lt;&gt;"OK","Équipe à corriger dans Paramètres",IF(C1534="","Poste manquant",IF(ISNA(MATCH(C1534,po_code,0)),"Poste inconnu",IF(AND(E1534&lt;&gt;"",ISNA(MATCH(E1534,art_ref,0))),"Article inconnu",IF(IF(E1534="",FALSE,INDEX(art_check,MATCH(E1534,art_ref,0))&lt;&gt;"OK"),"Article à corriger (feuille Articles)",IF(COUNTIFS(sj_date,A1534,sj_eq,B1534,sj_po,C1534)&gt;1,"Ligne en double (même jour, équipe et poste)",IF(OR(NOT(ISNUMBER(K1534)),N(K1534)&lt;=0,N(K1534)&gt;1440),"Temps d'ouverture invalide",IF(OR(AND(G1534&lt;&gt;"",NOT(ISNUMBER(G1534))),N(G1534)&lt;0,N(G1534)&lt;&gt;INT(N(G1534)),AND(H1534&lt;&gt;"",NOT(ISNUMBER(H1534))),N(H1534)&lt;0,N(H1534)&lt;&gt;INT(N(H1534)),AND(I1534&lt;&gt;"",NOT(ISNUMBER(I1534))),N(I1534)&lt;0,N(I1534)&lt;&gt;INT(N(I1534))),"Quantité invalide",IF(Q1534&lt;=0,"Cadence manquante (poste ou article)",IF(M1534&lt;=0,"Arrêts planifiés supérieurs au temps d'ouverture",IF(O1534&lt;0,"Arrêts supérieurs au temps requis",IF(AND(P1534&gt;0,O1534=0),"Pièces déclarées sans temps de marche",IF(AND(P1534=0,O1534&gt;0),"Aucune pièce déclarée",IF(P1534*60/Q1534&gt;O1534+0.001,"Cadence dépassée : vérifiez la cadence","OK"))))))))))))))))))</f>
        <v/>
      </c>
      <c r="AC1534">
        <f>IF(OR(AB1534="OK",AB1534="Aucune pièce déclarée",AB1534="Cadence dépassée : vérifiez la cadence"),1,0)</f>
        <v>0.0</v>
      </c>
      <c r="AD1534">
        <f>IF(AND(AC1534=1,A1534&gt;=p_from,A1534&lt;=p_to),1,0)</f>
        <v>0.0</v>
      </c>
      <c r="AE1534">
        <f>IF(AD1534=1,IF(COUNTIFS($A$6:A1534,A1534,$AD$6:AD1534,1)=1,1,0),0)</f>
        <v>0.0</v>
      </c>
      <c r="AF1534" t="str">
        <f>IF(AE1534=1,COUNTIFS(sj_first,1,sj_date,"&lt;"&amp;A1534)+1,"")</f>
        <v/>
      </c>
      <c r="AG1534" t="str">
        <f>IF(AND(AD1534=1,N(W1534)&lt;p_alert),ROUND(W1534,4),"")</f>
        <v/>
      </c>
      <c r="AH1534" t="str">
        <f>IF(AG1534="","",COUNTIF(sj_akey,"&lt;"&amp;AG1534)+COUNTIF($AG$6:AG1534,AG1534))</f>
        <v/>
      </c>
    </row>
    <row r="1535">
      <c r="A1535" s="51" t="n"/>
      <c r="B1535" s="52" t="n"/>
      <c r="C1535" s="52" t="n"/>
      <c r="D1535" s="53" t="n"/>
      <c r="E1535" s="53" t="n"/>
      <c r="F1535" s="54" t="n"/>
      <c r="G1535" s="54" t="n"/>
      <c r="H1535" s="54" t="n"/>
      <c r="I1535" s="54" t="n"/>
      <c r="J1535" s="53" t="n"/>
      <c r="K1535" s="55" t="str">
        <f>IF(COUNTA(A1535:I1535)=0,"",IF(F1535="",IFERROR(INDEX(eq_dur,MATCH(B1535,eq_code,0)),""),F1535))</f>
        <v/>
      </c>
      <c r="L1535" s="55" t="str">
        <f>IF(ISNUMBER(K1535),N(IFERROR(INDEX(eq_pause,MATCH(B1535,eq_code,0)),0))+SUMIFS(st_min,st_date,A1535,st_eq,B1535,st_po,C1535,st_type,"Planifié"),"")</f>
        <v/>
      </c>
      <c r="M1535" s="55" t="str">
        <f>IF(ISNUMBER(K1535),K1535-L1535,"")</f>
        <v/>
      </c>
      <c r="N1535" s="55" t="str">
        <f>IF(ISNUMBER(K1535),SUMIFS(st_min,st_date,A1535,st_eq,B1535,st_po,C1535,st_type,"Non planifié"),"")</f>
        <v/>
      </c>
      <c r="O1535" s="55" t="str">
        <f>IF(ISNUMBER(K1535),M1535-N1535,"")</f>
        <v/>
      </c>
      <c r="P1535" s="55" t="str">
        <f>IF(COUNTA(A1535:I1535)=0,"",N(G1535)+N(H1535)+N(I1535))</f>
        <v/>
      </c>
      <c r="Q1535" s="56" t="str">
        <f>IF(COUNTA(A1535:I1535)=0,"",IF(N(IFERROR(INDEX(art_rate,MATCH(E1535,art_ref,0)),0))&gt;0,N(IFERROR(INDEX(art_rate,MATCH(E1535,art_ref,0)),0)),N(IFERROR(INDEX(po_rate,MATCH(C1535,po_code,0)),0))))</f>
        <v/>
      </c>
      <c r="R1535" s="55" t="str">
        <f>IF(AC1535=1,P1535*60/Q1535,"")</f>
        <v/>
      </c>
      <c r="S1535" s="55" t="str">
        <f>IF(AC1535=1,N(G1535)*60/Q1535,"")</f>
        <v/>
      </c>
      <c r="T1535" s="57" t="str">
        <f>IF(AC1535=1,O1535/M1535,"")</f>
        <v/>
      </c>
      <c r="U1535" s="57" t="str">
        <f>IF(AC1535=1,IF(O1535&gt;0,R1535/O1535,""),"")</f>
        <v/>
      </c>
      <c r="V1535" s="57" t="str">
        <f>IF(AC1535=1,IF(P1535&gt;0,N(G1535)/P1535,""),"")</f>
        <v/>
      </c>
      <c r="W1535" s="57" t="str">
        <f>IF(AC1535=1,S1535/M1535,"")</f>
        <v/>
      </c>
      <c r="X1535" s="57" t="str">
        <f>IF(AC1535=1,S1535/K1535,"")</f>
        <v/>
      </c>
      <c r="Y1535" s="58" t="str">
        <f>IF(W1535="","",IF(W1535&gt;=p_target,"Bon",IF(W1535&gt;=p_alert,"À surveiller","Faible")))</f>
        <v/>
      </c>
      <c r="Z1535" s="58" t="str">
        <f>IF(W1535="","",IF(MIN(IF(T1535="",1,T1535),IF(U1535="",1,U1535),IF(V1535="",1,V1535))&gt;=1,"Aucune",IF(IF(T1535="",1,T1535)&lt;=MIN(IF(U1535="",1,U1535),IF(V1535="",1,V1535)),"Disponibilité",IF(IF(U1535="",1,U1535)&lt;=IF(V1535="",1,V1535),"Performance","Qualité"))))</f>
        <v/>
      </c>
      <c r="AA1535" s="59" t="str">
        <f>IF(AC1535=1,N(H1535)*N(IFERROR(INDEX(art_cost,MATCH(E1535,art_ref,0)),0)),"")</f>
        <v/>
      </c>
      <c r="AB1535" s="58" t="str">
        <f>IF(COUNTA(A1535:I1535)=0,"",IF(N(A1535)&lt;=0,"Date manquante ou invalide",IF(B1535="","Équipe manquante",IF(ISNA(MATCH(B1535,eq_code,0)),"Équipe inconnue",IF(INDEX(eq_check,MATCH(B1535,eq_code,0))&lt;&gt;"OK","Équipe à corriger dans Paramètres",IF(C1535="","Poste manquant",IF(ISNA(MATCH(C1535,po_code,0)),"Poste inconnu",IF(AND(E1535&lt;&gt;"",ISNA(MATCH(E1535,art_ref,0))),"Article inconnu",IF(IF(E1535="",FALSE,INDEX(art_check,MATCH(E1535,art_ref,0))&lt;&gt;"OK"),"Article à corriger (feuille Articles)",IF(COUNTIFS(sj_date,A1535,sj_eq,B1535,sj_po,C1535)&gt;1,"Ligne en double (même jour, équipe et poste)",IF(OR(NOT(ISNUMBER(K1535)),N(K1535)&lt;=0,N(K1535)&gt;1440),"Temps d'ouverture invalide",IF(OR(AND(G1535&lt;&gt;"",NOT(ISNUMBER(G1535))),N(G1535)&lt;0,N(G1535)&lt;&gt;INT(N(G1535)),AND(H1535&lt;&gt;"",NOT(ISNUMBER(H1535))),N(H1535)&lt;0,N(H1535)&lt;&gt;INT(N(H1535)),AND(I1535&lt;&gt;"",NOT(ISNUMBER(I1535))),N(I1535)&lt;0,N(I1535)&lt;&gt;INT(N(I1535))),"Quantité invalide",IF(Q1535&lt;=0,"Cadence manquante (poste ou article)",IF(M1535&lt;=0,"Arrêts planifiés supérieurs au temps d'ouverture",IF(O1535&lt;0,"Arrêts supérieurs au temps requis",IF(AND(P1535&gt;0,O1535=0),"Pièces déclarées sans temps de marche",IF(AND(P1535=0,O1535&gt;0),"Aucune pièce déclarée",IF(P1535*60/Q1535&gt;O1535+0.001,"Cadence dépassée : vérifiez la cadence","OK"))))))))))))))))))</f>
        <v/>
      </c>
      <c r="AC1535">
        <f>IF(OR(AB1535="OK",AB1535="Aucune pièce déclarée",AB1535="Cadence dépassée : vérifiez la cadence"),1,0)</f>
        <v>0.0</v>
      </c>
      <c r="AD1535">
        <f>IF(AND(AC1535=1,A1535&gt;=p_from,A1535&lt;=p_to),1,0)</f>
        <v>0.0</v>
      </c>
      <c r="AE1535">
        <f>IF(AD1535=1,IF(COUNTIFS($A$6:A1535,A1535,$AD$6:AD1535,1)=1,1,0),0)</f>
        <v>0.0</v>
      </c>
      <c r="AF1535" t="str">
        <f>IF(AE1535=1,COUNTIFS(sj_first,1,sj_date,"&lt;"&amp;A1535)+1,"")</f>
        <v/>
      </c>
      <c r="AG1535" t="str">
        <f>IF(AND(AD1535=1,N(W1535)&lt;p_alert),ROUND(W1535,4),"")</f>
        <v/>
      </c>
      <c r="AH1535" t="str">
        <f>IF(AG1535="","",COUNTIF(sj_akey,"&lt;"&amp;AG1535)+COUNTIF($AG$6:AG1535,AG1535))</f>
        <v/>
      </c>
    </row>
    <row r="1536">
      <c r="A1536" s="51" t="n"/>
      <c r="B1536" s="52" t="n"/>
      <c r="C1536" s="52" t="n"/>
      <c r="D1536" s="53" t="n"/>
      <c r="E1536" s="53" t="n"/>
      <c r="F1536" s="54" t="n"/>
      <c r="G1536" s="54" t="n"/>
      <c r="H1536" s="54" t="n"/>
      <c r="I1536" s="54" t="n"/>
      <c r="J1536" s="53" t="n"/>
      <c r="K1536" s="55" t="str">
        <f>IF(COUNTA(A1536:I1536)=0,"",IF(F1536="",IFERROR(INDEX(eq_dur,MATCH(B1536,eq_code,0)),""),F1536))</f>
        <v/>
      </c>
      <c r="L1536" s="55" t="str">
        <f>IF(ISNUMBER(K1536),N(IFERROR(INDEX(eq_pause,MATCH(B1536,eq_code,0)),0))+SUMIFS(st_min,st_date,A1536,st_eq,B1536,st_po,C1536,st_type,"Planifié"),"")</f>
        <v/>
      </c>
      <c r="M1536" s="55" t="str">
        <f>IF(ISNUMBER(K1536),K1536-L1536,"")</f>
        <v/>
      </c>
      <c r="N1536" s="55" t="str">
        <f>IF(ISNUMBER(K1536),SUMIFS(st_min,st_date,A1536,st_eq,B1536,st_po,C1536,st_type,"Non planifié"),"")</f>
        <v/>
      </c>
      <c r="O1536" s="55" t="str">
        <f>IF(ISNUMBER(K1536),M1536-N1536,"")</f>
        <v/>
      </c>
      <c r="P1536" s="55" t="str">
        <f>IF(COUNTA(A1536:I1536)=0,"",N(G1536)+N(H1536)+N(I1536))</f>
        <v/>
      </c>
      <c r="Q1536" s="56" t="str">
        <f>IF(COUNTA(A1536:I1536)=0,"",IF(N(IFERROR(INDEX(art_rate,MATCH(E1536,art_ref,0)),0))&gt;0,N(IFERROR(INDEX(art_rate,MATCH(E1536,art_ref,0)),0)),N(IFERROR(INDEX(po_rate,MATCH(C1536,po_code,0)),0))))</f>
        <v/>
      </c>
      <c r="R1536" s="55" t="str">
        <f>IF(AC1536=1,P1536*60/Q1536,"")</f>
        <v/>
      </c>
      <c r="S1536" s="55" t="str">
        <f>IF(AC1536=1,N(G1536)*60/Q1536,"")</f>
        <v/>
      </c>
      <c r="T1536" s="57" t="str">
        <f>IF(AC1536=1,O1536/M1536,"")</f>
        <v/>
      </c>
      <c r="U1536" s="57" t="str">
        <f>IF(AC1536=1,IF(O1536&gt;0,R1536/O1536,""),"")</f>
        <v/>
      </c>
      <c r="V1536" s="57" t="str">
        <f>IF(AC1536=1,IF(P1536&gt;0,N(G1536)/P1536,""),"")</f>
        <v/>
      </c>
      <c r="W1536" s="57" t="str">
        <f>IF(AC1536=1,S1536/M1536,"")</f>
        <v/>
      </c>
      <c r="X1536" s="57" t="str">
        <f>IF(AC1536=1,S1536/K1536,"")</f>
        <v/>
      </c>
      <c r="Y1536" s="58" t="str">
        <f>IF(W1536="","",IF(W1536&gt;=p_target,"Bon",IF(W1536&gt;=p_alert,"À surveiller","Faible")))</f>
        <v/>
      </c>
      <c r="Z1536" s="58" t="str">
        <f>IF(W1536="","",IF(MIN(IF(T1536="",1,T1536),IF(U1536="",1,U1536),IF(V1536="",1,V1536))&gt;=1,"Aucune",IF(IF(T1536="",1,T1536)&lt;=MIN(IF(U1536="",1,U1536),IF(V1536="",1,V1536)),"Disponibilité",IF(IF(U1536="",1,U1536)&lt;=IF(V1536="",1,V1536),"Performance","Qualité"))))</f>
        <v/>
      </c>
      <c r="AA1536" s="59" t="str">
        <f>IF(AC1536=1,N(H1536)*N(IFERROR(INDEX(art_cost,MATCH(E1536,art_ref,0)),0)),"")</f>
        <v/>
      </c>
      <c r="AB1536" s="58" t="str">
        <f>IF(COUNTA(A1536:I1536)=0,"",IF(N(A1536)&lt;=0,"Date manquante ou invalide",IF(B1536="","Équipe manquante",IF(ISNA(MATCH(B1536,eq_code,0)),"Équipe inconnue",IF(INDEX(eq_check,MATCH(B1536,eq_code,0))&lt;&gt;"OK","Équipe à corriger dans Paramètres",IF(C1536="","Poste manquant",IF(ISNA(MATCH(C1536,po_code,0)),"Poste inconnu",IF(AND(E1536&lt;&gt;"",ISNA(MATCH(E1536,art_ref,0))),"Article inconnu",IF(IF(E1536="",FALSE,INDEX(art_check,MATCH(E1536,art_ref,0))&lt;&gt;"OK"),"Article à corriger (feuille Articles)",IF(COUNTIFS(sj_date,A1536,sj_eq,B1536,sj_po,C1536)&gt;1,"Ligne en double (même jour, équipe et poste)",IF(OR(NOT(ISNUMBER(K1536)),N(K1536)&lt;=0,N(K1536)&gt;1440),"Temps d'ouverture invalide",IF(OR(AND(G1536&lt;&gt;"",NOT(ISNUMBER(G1536))),N(G1536)&lt;0,N(G1536)&lt;&gt;INT(N(G1536)),AND(H1536&lt;&gt;"",NOT(ISNUMBER(H1536))),N(H1536)&lt;0,N(H1536)&lt;&gt;INT(N(H1536)),AND(I1536&lt;&gt;"",NOT(ISNUMBER(I1536))),N(I1536)&lt;0,N(I1536)&lt;&gt;INT(N(I1536))),"Quantité invalide",IF(Q1536&lt;=0,"Cadence manquante (poste ou article)",IF(M1536&lt;=0,"Arrêts planifiés supérieurs au temps d'ouverture",IF(O1536&lt;0,"Arrêts supérieurs au temps requis",IF(AND(P1536&gt;0,O1536=0),"Pièces déclarées sans temps de marche",IF(AND(P1536=0,O1536&gt;0),"Aucune pièce déclarée",IF(P1536*60/Q1536&gt;O1536+0.001,"Cadence dépassée : vérifiez la cadence","OK"))))))))))))))))))</f>
        <v/>
      </c>
      <c r="AC1536">
        <f>IF(OR(AB1536="OK",AB1536="Aucune pièce déclarée",AB1536="Cadence dépassée : vérifiez la cadence"),1,0)</f>
        <v>0.0</v>
      </c>
      <c r="AD1536">
        <f>IF(AND(AC1536=1,A1536&gt;=p_from,A1536&lt;=p_to),1,0)</f>
        <v>0.0</v>
      </c>
      <c r="AE1536">
        <f>IF(AD1536=1,IF(COUNTIFS($A$6:A1536,A1536,$AD$6:AD1536,1)=1,1,0),0)</f>
        <v>0.0</v>
      </c>
      <c r="AF1536" t="str">
        <f>IF(AE1536=1,COUNTIFS(sj_first,1,sj_date,"&lt;"&amp;A1536)+1,"")</f>
        <v/>
      </c>
      <c r="AG1536" t="str">
        <f>IF(AND(AD1536=1,N(W1536)&lt;p_alert),ROUND(W1536,4),"")</f>
        <v/>
      </c>
      <c r="AH1536" t="str">
        <f>IF(AG1536="","",COUNTIF(sj_akey,"&lt;"&amp;AG1536)+COUNTIF($AG$6:AG1536,AG1536))</f>
        <v/>
      </c>
    </row>
    <row r="1537">
      <c r="A1537" s="51" t="n"/>
      <c r="B1537" s="52" t="n"/>
      <c r="C1537" s="52" t="n"/>
      <c r="D1537" s="53" t="n"/>
      <c r="E1537" s="53" t="n"/>
      <c r="F1537" s="54" t="n"/>
      <c r="G1537" s="54" t="n"/>
      <c r="H1537" s="54" t="n"/>
      <c r="I1537" s="54" t="n"/>
      <c r="J1537" s="53" t="n"/>
      <c r="K1537" s="55" t="str">
        <f>IF(COUNTA(A1537:I1537)=0,"",IF(F1537="",IFERROR(INDEX(eq_dur,MATCH(B1537,eq_code,0)),""),F1537))</f>
        <v/>
      </c>
      <c r="L1537" s="55" t="str">
        <f>IF(ISNUMBER(K1537),N(IFERROR(INDEX(eq_pause,MATCH(B1537,eq_code,0)),0))+SUMIFS(st_min,st_date,A1537,st_eq,B1537,st_po,C1537,st_type,"Planifié"),"")</f>
        <v/>
      </c>
      <c r="M1537" s="55" t="str">
        <f>IF(ISNUMBER(K1537),K1537-L1537,"")</f>
        <v/>
      </c>
      <c r="N1537" s="55" t="str">
        <f>IF(ISNUMBER(K1537),SUMIFS(st_min,st_date,A1537,st_eq,B1537,st_po,C1537,st_type,"Non planifié"),"")</f>
        <v/>
      </c>
      <c r="O1537" s="55" t="str">
        <f>IF(ISNUMBER(K1537),M1537-N1537,"")</f>
        <v/>
      </c>
      <c r="P1537" s="55" t="str">
        <f>IF(COUNTA(A1537:I1537)=0,"",N(G1537)+N(H1537)+N(I1537))</f>
        <v/>
      </c>
      <c r="Q1537" s="56" t="str">
        <f>IF(COUNTA(A1537:I1537)=0,"",IF(N(IFERROR(INDEX(art_rate,MATCH(E1537,art_ref,0)),0))&gt;0,N(IFERROR(INDEX(art_rate,MATCH(E1537,art_ref,0)),0)),N(IFERROR(INDEX(po_rate,MATCH(C1537,po_code,0)),0))))</f>
        <v/>
      </c>
      <c r="R1537" s="55" t="str">
        <f>IF(AC1537=1,P1537*60/Q1537,"")</f>
        <v/>
      </c>
      <c r="S1537" s="55" t="str">
        <f>IF(AC1537=1,N(G1537)*60/Q1537,"")</f>
        <v/>
      </c>
      <c r="T1537" s="57" t="str">
        <f>IF(AC1537=1,O1537/M1537,"")</f>
        <v/>
      </c>
      <c r="U1537" s="57" t="str">
        <f>IF(AC1537=1,IF(O1537&gt;0,R1537/O1537,""),"")</f>
        <v/>
      </c>
      <c r="V1537" s="57" t="str">
        <f>IF(AC1537=1,IF(P1537&gt;0,N(G1537)/P1537,""),"")</f>
        <v/>
      </c>
      <c r="W1537" s="57" t="str">
        <f>IF(AC1537=1,S1537/M1537,"")</f>
        <v/>
      </c>
      <c r="X1537" s="57" t="str">
        <f>IF(AC1537=1,S1537/K1537,"")</f>
        <v/>
      </c>
      <c r="Y1537" s="58" t="str">
        <f>IF(W1537="","",IF(W1537&gt;=p_target,"Bon",IF(W1537&gt;=p_alert,"À surveiller","Faible")))</f>
        <v/>
      </c>
      <c r="Z1537" s="58" t="str">
        <f>IF(W1537="","",IF(MIN(IF(T1537="",1,T1537),IF(U1537="",1,U1537),IF(V1537="",1,V1537))&gt;=1,"Aucune",IF(IF(T1537="",1,T1537)&lt;=MIN(IF(U1537="",1,U1537),IF(V1537="",1,V1537)),"Disponibilité",IF(IF(U1537="",1,U1537)&lt;=IF(V1537="",1,V1537),"Performance","Qualité"))))</f>
        <v/>
      </c>
      <c r="AA1537" s="59" t="str">
        <f>IF(AC1537=1,N(H1537)*N(IFERROR(INDEX(art_cost,MATCH(E1537,art_ref,0)),0)),"")</f>
        <v/>
      </c>
      <c r="AB1537" s="58" t="str">
        <f>IF(COUNTA(A1537:I1537)=0,"",IF(N(A1537)&lt;=0,"Date manquante ou invalide",IF(B1537="","Équipe manquante",IF(ISNA(MATCH(B1537,eq_code,0)),"Équipe inconnue",IF(INDEX(eq_check,MATCH(B1537,eq_code,0))&lt;&gt;"OK","Équipe à corriger dans Paramètres",IF(C1537="","Poste manquant",IF(ISNA(MATCH(C1537,po_code,0)),"Poste inconnu",IF(AND(E1537&lt;&gt;"",ISNA(MATCH(E1537,art_ref,0))),"Article inconnu",IF(IF(E1537="",FALSE,INDEX(art_check,MATCH(E1537,art_ref,0))&lt;&gt;"OK"),"Article à corriger (feuille Articles)",IF(COUNTIFS(sj_date,A1537,sj_eq,B1537,sj_po,C1537)&gt;1,"Ligne en double (même jour, équipe et poste)",IF(OR(NOT(ISNUMBER(K1537)),N(K1537)&lt;=0,N(K1537)&gt;1440),"Temps d'ouverture invalide",IF(OR(AND(G1537&lt;&gt;"",NOT(ISNUMBER(G1537))),N(G1537)&lt;0,N(G1537)&lt;&gt;INT(N(G1537)),AND(H1537&lt;&gt;"",NOT(ISNUMBER(H1537))),N(H1537)&lt;0,N(H1537)&lt;&gt;INT(N(H1537)),AND(I1537&lt;&gt;"",NOT(ISNUMBER(I1537))),N(I1537)&lt;0,N(I1537)&lt;&gt;INT(N(I1537))),"Quantité invalide",IF(Q1537&lt;=0,"Cadence manquante (poste ou article)",IF(M1537&lt;=0,"Arrêts planifiés supérieurs au temps d'ouverture",IF(O1537&lt;0,"Arrêts supérieurs au temps requis",IF(AND(P1537&gt;0,O1537=0),"Pièces déclarées sans temps de marche",IF(AND(P1537=0,O1537&gt;0),"Aucune pièce déclarée",IF(P1537*60/Q1537&gt;O1537+0.001,"Cadence dépassée : vérifiez la cadence","OK"))))))))))))))))))</f>
        <v/>
      </c>
      <c r="AC1537">
        <f>IF(OR(AB1537="OK",AB1537="Aucune pièce déclarée",AB1537="Cadence dépassée : vérifiez la cadence"),1,0)</f>
        <v>0.0</v>
      </c>
      <c r="AD1537">
        <f>IF(AND(AC1537=1,A1537&gt;=p_from,A1537&lt;=p_to),1,0)</f>
        <v>0.0</v>
      </c>
      <c r="AE1537">
        <f>IF(AD1537=1,IF(COUNTIFS($A$6:A1537,A1537,$AD$6:AD1537,1)=1,1,0),0)</f>
        <v>0.0</v>
      </c>
      <c r="AF1537" t="str">
        <f>IF(AE1537=1,COUNTIFS(sj_first,1,sj_date,"&lt;"&amp;A1537)+1,"")</f>
        <v/>
      </c>
      <c r="AG1537" t="str">
        <f>IF(AND(AD1537=1,N(W1537)&lt;p_alert),ROUND(W1537,4),"")</f>
        <v/>
      </c>
      <c r="AH1537" t="str">
        <f>IF(AG1537="","",COUNTIF(sj_akey,"&lt;"&amp;AG1537)+COUNTIF($AG$6:AG1537,AG1537))</f>
        <v/>
      </c>
    </row>
    <row r="1538">
      <c r="A1538" s="51" t="n"/>
      <c r="B1538" s="52" t="n"/>
      <c r="C1538" s="52" t="n"/>
      <c r="D1538" s="53" t="n"/>
      <c r="E1538" s="53" t="n"/>
      <c r="F1538" s="54" t="n"/>
      <c r="G1538" s="54" t="n"/>
      <c r="H1538" s="54" t="n"/>
      <c r="I1538" s="54" t="n"/>
      <c r="J1538" s="53" t="n"/>
      <c r="K1538" s="55" t="str">
        <f>IF(COUNTA(A1538:I1538)=0,"",IF(F1538="",IFERROR(INDEX(eq_dur,MATCH(B1538,eq_code,0)),""),F1538))</f>
        <v/>
      </c>
      <c r="L1538" s="55" t="str">
        <f>IF(ISNUMBER(K1538),N(IFERROR(INDEX(eq_pause,MATCH(B1538,eq_code,0)),0))+SUMIFS(st_min,st_date,A1538,st_eq,B1538,st_po,C1538,st_type,"Planifié"),"")</f>
        <v/>
      </c>
      <c r="M1538" s="55" t="str">
        <f>IF(ISNUMBER(K1538),K1538-L1538,"")</f>
        <v/>
      </c>
      <c r="N1538" s="55" t="str">
        <f>IF(ISNUMBER(K1538),SUMIFS(st_min,st_date,A1538,st_eq,B1538,st_po,C1538,st_type,"Non planifié"),"")</f>
        <v/>
      </c>
      <c r="O1538" s="55" t="str">
        <f>IF(ISNUMBER(K1538),M1538-N1538,"")</f>
        <v/>
      </c>
      <c r="P1538" s="55" t="str">
        <f>IF(COUNTA(A1538:I1538)=0,"",N(G1538)+N(H1538)+N(I1538))</f>
        <v/>
      </c>
      <c r="Q1538" s="56" t="str">
        <f>IF(COUNTA(A1538:I1538)=0,"",IF(N(IFERROR(INDEX(art_rate,MATCH(E1538,art_ref,0)),0))&gt;0,N(IFERROR(INDEX(art_rate,MATCH(E1538,art_ref,0)),0)),N(IFERROR(INDEX(po_rate,MATCH(C1538,po_code,0)),0))))</f>
        <v/>
      </c>
      <c r="R1538" s="55" t="str">
        <f>IF(AC1538=1,P1538*60/Q1538,"")</f>
        <v/>
      </c>
      <c r="S1538" s="55" t="str">
        <f>IF(AC1538=1,N(G1538)*60/Q1538,"")</f>
        <v/>
      </c>
      <c r="T1538" s="57" t="str">
        <f>IF(AC1538=1,O1538/M1538,"")</f>
        <v/>
      </c>
      <c r="U1538" s="57" t="str">
        <f>IF(AC1538=1,IF(O1538&gt;0,R1538/O1538,""),"")</f>
        <v/>
      </c>
      <c r="V1538" s="57" t="str">
        <f>IF(AC1538=1,IF(P1538&gt;0,N(G1538)/P1538,""),"")</f>
        <v/>
      </c>
      <c r="W1538" s="57" t="str">
        <f>IF(AC1538=1,S1538/M1538,"")</f>
        <v/>
      </c>
      <c r="X1538" s="57" t="str">
        <f>IF(AC1538=1,S1538/K1538,"")</f>
        <v/>
      </c>
      <c r="Y1538" s="58" t="str">
        <f>IF(W1538="","",IF(W1538&gt;=p_target,"Bon",IF(W1538&gt;=p_alert,"À surveiller","Faible")))</f>
        <v/>
      </c>
      <c r="Z1538" s="58" t="str">
        <f>IF(W1538="","",IF(MIN(IF(T1538="",1,T1538),IF(U1538="",1,U1538),IF(V1538="",1,V1538))&gt;=1,"Aucune",IF(IF(T1538="",1,T1538)&lt;=MIN(IF(U1538="",1,U1538),IF(V1538="",1,V1538)),"Disponibilité",IF(IF(U1538="",1,U1538)&lt;=IF(V1538="",1,V1538),"Performance","Qualité"))))</f>
        <v/>
      </c>
      <c r="AA1538" s="59" t="str">
        <f>IF(AC1538=1,N(H1538)*N(IFERROR(INDEX(art_cost,MATCH(E1538,art_ref,0)),0)),"")</f>
        <v/>
      </c>
      <c r="AB1538" s="58" t="str">
        <f>IF(COUNTA(A1538:I1538)=0,"",IF(N(A1538)&lt;=0,"Date manquante ou invalide",IF(B1538="","Équipe manquante",IF(ISNA(MATCH(B1538,eq_code,0)),"Équipe inconnue",IF(INDEX(eq_check,MATCH(B1538,eq_code,0))&lt;&gt;"OK","Équipe à corriger dans Paramètres",IF(C1538="","Poste manquant",IF(ISNA(MATCH(C1538,po_code,0)),"Poste inconnu",IF(AND(E1538&lt;&gt;"",ISNA(MATCH(E1538,art_ref,0))),"Article inconnu",IF(IF(E1538="",FALSE,INDEX(art_check,MATCH(E1538,art_ref,0))&lt;&gt;"OK"),"Article à corriger (feuille Articles)",IF(COUNTIFS(sj_date,A1538,sj_eq,B1538,sj_po,C1538)&gt;1,"Ligne en double (même jour, équipe et poste)",IF(OR(NOT(ISNUMBER(K1538)),N(K1538)&lt;=0,N(K1538)&gt;1440),"Temps d'ouverture invalide",IF(OR(AND(G1538&lt;&gt;"",NOT(ISNUMBER(G1538))),N(G1538)&lt;0,N(G1538)&lt;&gt;INT(N(G1538)),AND(H1538&lt;&gt;"",NOT(ISNUMBER(H1538))),N(H1538)&lt;0,N(H1538)&lt;&gt;INT(N(H1538)),AND(I1538&lt;&gt;"",NOT(ISNUMBER(I1538))),N(I1538)&lt;0,N(I1538)&lt;&gt;INT(N(I1538))),"Quantité invalide",IF(Q1538&lt;=0,"Cadence manquante (poste ou article)",IF(M1538&lt;=0,"Arrêts planifiés supérieurs au temps d'ouverture",IF(O1538&lt;0,"Arrêts supérieurs au temps requis",IF(AND(P1538&gt;0,O1538=0),"Pièces déclarées sans temps de marche",IF(AND(P1538=0,O1538&gt;0),"Aucune pièce déclarée",IF(P1538*60/Q1538&gt;O1538+0.001,"Cadence dépassée : vérifiez la cadence","OK"))))))))))))))))))</f>
        <v/>
      </c>
      <c r="AC1538">
        <f>IF(OR(AB1538="OK",AB1538="Aucune pièce déclarée",AB1538="Cadence dépassée : vérifiez la cadence"),1,0)</f>
        <v>0.0</v>
      </c>
      <c r="AD1538">
        <f>IF(AND(AC1538=1,A1538&gt;=p_from,A1538&lt;=p_to),1,0)</f>
        <v>0.0</v>
      </c>
      <c r="AE1538">
        <f>IF(AD1538=1,IF(COUNTIFS($A$6:A1538,A1538,$AD$6:AD1538,1)=1,1,0),0)</f>
        <v>0.0</v>
      </c>
      <c r="AF1538" t="str">
        <f>IF(AE1538=1,COUNTIFS(sj_first,1,sj_date,"&lt;"&amp;A1538)+1,"")</f>
        <v/>
      </c>
      <c r="AG1538" t="str">
        <f>IF(AND(AD1538=1,N(W1538)&lt;p_alert),ROUND(W1538,4),"")</f>
        <v/>
      </c>
      <c r="AH1538" t="str">
        <f>IF(AG1538="","",COUNTIF(sj_akey,"&lt;"&amp;AG1538)+COUNTIF($AG$6:AG1538,AG1538))</f>
        <v/>
      </c>
    </row>
    <row r="1539">
      <c r="A1539" s="51" t="n"/>
      <c r="B1539" s="52" t="n"/>
      <c r="C1539" s="52" t="n"/>
      <c r="D1539" s="53" t="n"/>
      <c r="E1539" s="53" t="n"/>
      <c r="F1539" s="54" t="n"/>
      <c r="G1539" s="54" t="n"/>
      <c r="H1539" s="54" t="n"/>
      <c r="I1539" s="54" t="n"/>
      <c r="J1539" s="53" t="n"/>
      <c r="K1539" s="55" t="str">
        <f>IF(COUNTA(A1539:I1539)=0,"",IF(F1539="",IFERROR(INDEX(eq_dur,MATCH(B1539,eq_code,0)),""),F1539))</f>
        <v/>
      </c>
      <c r="L1539" s="55" t="str">
        <f>IF(ISNUMBER(K1539),N(IFERROR(INDEX(eq_pause,MATCH(B1539,eq_code,0)),0))+SUMIFS(st_min,st_date,A1539,st_eq,B1539,st_po,C1539,st_type,"Planifié"),"")</f>
        <v/>
      </c>
      <c r="M1539" s="55" t="str">
        <f>IF(ISNUMBER(K1539),K1539-L1539,"")</f>
        <v/>
      </c>
      <c r="N1539" s="55" t="str">
        <f>IF(ISNUMBER(K1539),SUMIFS(st_min,st_date,A1539,st_eq,B1539,st_po,C1539,st_type,"Non planifié"),"")</f>
        <v/>
      </c>
      <c r="O1539" s="55" t="str">
        <f>IF(ISNUMBER(K1539),M1539-N1539,"")</f>
        <v/>
      </c>
      <c r="P1539" s="55" t="str">
        <f>IF(COUNTA(A1539:I1539)=0,"",N(G1539)+N(H1539)+N(I1539))</f>
        <v/>
      </c>
      <c r="Q1539" s="56" t="str">
        <f>IF(COUNTA(A1539:I1539)=0,"",IF(N(IFERROR(INDEX(art_rate,MATCH(E1539,art_ref,0)),0))&gt;0,N(IFERROR(INDEX(art_rate,MATCH(E1539,art_ref,0)),0)),N(IFERROR(INDEX(po_rate,MATCH(C1539,po_code,0)),0))))</f>
        <v/>
      </c>
      <c r="R1539" s="55" t="str">
        <f>IF(AC1539=1,P1539*60/Q1539,"")</f>
        <v/>
      </c>
      <c r="S1539" s="55" t="str">
        <f>IF(AC1539=1,N(G1539)*60/Q1539,"")</f>
        <v/>
      </c>
      <c r="T1539" s="57" t="str">
        <f>IF(AC1539=1,O1539/M1539,"")</f>
        <v/>
      </c>
      <c r="U1539" s="57" t="str">
        <f>IF(AC1539=1,IF(O1539&gt;0,R1539/O1539,""),"")</f>
        <v/>
      </c>
      <c r="V1539" s="57" t="str">
        <f>IF(AC1539=1,IF(P1539&gt;0,N(G1539)/P1539,""),"")</f>
        <v/>
      </c>
      <c r="W1539" s="57" t="str">
        <f>IF(AC1539=1,S1539/M1539,"")</f>
        <v/>
      </c>
      <c r="X1539" s="57" t="str">
        <f>IF(AC1539=1,S1539/K1539,"")</f>
        <v/>
      </c>
      <c r="Y1539" s="58" t="str">
        <f>IF(W1539="","",IF(W1539&gt;=p_target,"Bon",IF(W1539&gt;=p_alert,"À surveiller","Faible")))</f>
        <v/>
      </c>
      <c r="Z1539" s="58" t="str">
        <f>IF(W1539="","",IF(MIN(IF(T1539="",1,T1539),IF(U1539="",1,U1539),IF(V1539="",1,V1539))&gt;=1,"Aucune",IF(IF(T1539="",1,T1539)&lt;=MIN(IF(U1539="",1,U1539),IF(V1539="",1,V1539)),"Disponibilité",IF(IF(U1539="",1,U1539)&lt;=IF(V1539="",1,V1539),"Performance","Qualité"))))</f>
        <v/>
      </c>
      <c r="AA1539" s="59" t="str">
        <f>IF(AC1539=1,N(H1539)*N(IFERROR(INDEX(art_cost,MATCH(E1539,art_ref,0)),0)),"")</f>
        <v/>
      </c>
      <c r="AB1539" s="58" t="str">
        <f>IF(COUNTA(A1539:I1539)=0,"",IF(N(A1539)&lt;=0,"Date manquante ou invalide",IF(B1539="","Équipe manquante",IF(ISNA(MATCH(B1539,eq_code,0)),"Équipe inconnue",IF(INDEX(eq_check,MATCH(B1539,eq_code,0))&lt;&gt;"OK","Équipe à corriger dans Paramètres",IF(C1539="","Poste manquant",IF(ISNA(MATCH(C1539,po_code,0)),"Poste inconnu",IF(AND(E1539&lt;&gt;"",ISNA(MATCH(E1539,art_ref,0))),"Article inconnu",IF(IF(E1539="",FALSE,INDEX(art_check,MATCH(E1539,art_ref,0))&lt;&gt;"OK"),"Article à corriger (feuille Articles)",IF(COUNTIFS(sj_date,A1539,sj_eq,B1539,sj_po,C1539)&gt;1,"Ligne en double (même jour, équipe et poste)",IF(OR(NOT(ISNUMBER(K1539)),N(K1539)&lt;=0,N(K1539)&gt;1440),"Temps d'ouverture invalide",IF(OR(AND(G1539&lt;&gt;"",NOT(ISNUMBER(G1539))),N(G1539)&lt;0,N(G1539)&lt;&gt;INT(N(G1539)),AND(H1539&lt;&gt;"",NOT(ISNUMBER(H1539))),N(H1539)&lt;0,N(H1539)&lt;&gt;INT(N(H1539)),AND(I1539&lt;&gt;"",NOT(ISNUMBER(I1539))),N(I1539)&lt;0,N(I1539)&lt;&gt;INT(N(I1539))),"Quantité invalide",IF(Q1539&lt;=0,"Cadence manquante (poste ou article)",IF(M1539&lt;=0,"Arrêts planifiés supérieurs au temps d'ouverture",IF(O1539&lt;0,"Arrêts supérieurs au temps requis",IF(AND(P1539&gt;0,O1539=0),"Pièces déclarées sans temps de marche",IF(AND(P1539=0,O1539&gt;0),"Aucune pièce déclarée",IF(P1539*60/Q1539&gt;O1539+0.001,"Cadence dépassée : vérifiez la cadence","OK"))))))))))))))))))</f>
        <v/>
      </c>
      <c r="AC1539">
        <f>IF(OR(AB1539="OK",AB1539="Aucune pièce déclarée",AB1539="Cadence dépassée : vérifiez la cadence"),1,0)</f>
        <v>0.0</v>
      </c>
      <c r="AD1539">
        <f>IF(AND(AC1539=1,A1539&gt;=p_from,A1539&lt;=p_to),1,0)</f>
        <v>0.0</v>
      </c>
      <c r="AE1539">
        <f>IF(AD1539=1,IF(COUNTIFS($A$6:A1539,A1539,$AD$6:AD1539,1)=1,1,0),0)</f>
        <v>0.0</v>
      </c>
      <c r="AF1539" t="str">
        <f>IF(AE1539=1,COUNTIFS(sj_first,1,sj_date,"&lt;"&amp;A1539)+1,"")</f>
        <v/>
      </c>
      <c r="AG1539" t="str">
        <f>IF(AND(AD1539=1,N(W1539)&lt;p_alert),ROUND(W1539,4),"")</f>
        <v/>
      </c>
      <c r="AH1539" t="str">
        <f>IF(AG1539="","",COUNTIF(sj_akey,"&lt;"&amp;AG1539)+COUNTIF($AG$6:AG1539,AG1539))</f>
        <v/>
      </c>
    </row>
    <row r="1540">
      <c r="A1540" s="51" t="n"/>
      <c r="B1540" s="52" t="n"/>
      <c r="C1540" s="52" t="n"/>
      <c r="D1540" s="53" t="n"/>
      <c r="E1540" s="53" t="n"/>
      <c r="F1540" s="54" t="n"/>
      <c r="G1540" s="54" t="n"/>
      <c r="H1540" s="54" t="n"/>
      <c r="I1540" s="54" t="n"/>
      <c r="J1540" s="53" t="n"/>
      <c r="K1540" s="55" t="str">
        <f>IF(COUNTA(A1540:I1540)=0,"",IF(F1540="",IFERROR(INDEX(eq_dur,MATCH(B1540,eq_code,0)),""),F1540))</f>
        <v/>
      </c>
      <c r="L1540" s="55" t="str">
        <f>IF(ISNUMBER(K1540),N(IFERROR(INDEX(eq_pause,MATCH(B1540,eq_code,0)),0))+SUMIFS(st_min,st_date,A1540,st_eq,B1540,st_po,C1540,st_type,"Planifié"),"")</f>
        <v/>
      </c>
      <c r="M1540" s="55" t="str">
        <f>IF(ISNUMBER(K1540),K1540-L1540,"")</f>
        <v/>
      </c>
      <c r="N1540" s="55" t="str">
        <f>IF(ISNUMBER(K1540),SUMIFS(st_min,st_date,A1540,st_eq,B1540,st_po,C1540,st_type,"Non planifié"),"")</f>
        <v/>
      </c>
      <c r="O1540" s="55" t="str">
        <f>IF(ISNUMBER(K1540),M1540-N1540,"")</f>
        <v/>
      </c>
      <c r="P1540" s="55" t="str">
        <f>IF(COUNTA(A1540:I1540)=0,"",N(G1540)+N(H1540)+N(I1540))</f>
        <v/>
      </c>
      <c r="Q1540" s="56" t="str">
        <f>IF(COUNTA(A1540:I1540)=0,"",IF(N(IFERROR(INDEX(art_rate,MATCH(E1540,art_ref,0)),0))&gt;0,N(IFERROR(INDEX(art_rate,MATCH(E1540,art_ref,0)),0)),N(IFERROR(INDEX(po_rate,MATCH(C1540,po_code,0)),0))))</f>
        <v/>
      </c>
      <c r="R1540" s="55" t="str">
        <f>IF(AC1540=1,P1540*60/Q1540,"")</f>
        <v/>
      </c>
      <c r="S1540" s="55" t="str">
        <f>IF(AC1540=1,N(G1540)*60/Q1540,"")</f>
        <v/>
      </c>
      <c r="T1540" s="57" t="str">
        <f>IF(AC1540=1,O1540/M1540,"")</f>
        <v/>
      </c>
      <c r="U1540" s="57" t="str">
        <f>IF(AC1540=1,IF(O1540&gt;0,R1540/O1540,""),"")</f>
        <v/>
      </c>
      <c r="V1540" s="57" t="str">
        <f>IF(AC1540=1,IF(P1540&gt;0,N(G1540)/P1540,""),"")</f>
        <v/>
      </c>
      <c r="W1540" s="57" t="str">
        <f>IF(AC1540=1,S1540/M1540,"")</f>
        <v/>
      </c>
      <c r="X1540" s="57" t="str">
        <f>IF(AC1540=1,S1540/K1540,"")</f>
        <v/>
      </c>
      <c r="Y1540" s="58" t="str">
        <f>IF(W1540="","",IF(W1540&gt;=p_target,"Bon",IF(W1540&gt;=p_alert,"À surveiller","Faible")))</f>
        <v/>
      </c>
      <c r="Z1540" s="58" t="str">
        <f>IF(W1540="","",IF(MIN(IF(T1540="",1,T1540),IF(U1540="",1,U1540),IF(V1540="",1,V1540))&gt;=1,"Aucune",IF(IF(T1540="",1,T1540)&lt;=MIN(IF(U1540="",1,U1540),IF(V1540="",1,V1540)),"Disponibilité",IF(IF(U1540="",1,U1540)&lt;=IF(V1540="",1,V1540),"Performance","Qualité"))))</f>
        <v/>
      </c>
      <c r="AA1540" s="59" t="str">
        <f>IF(AC1540=1,N(H1540)*N(IFERROR(INDEX(art_cost,MATCH(E1540,art_ref,0)),0)),"")</f>
        <v/>
      </c>
      <c r="AB1540" s="58" t="str">
        <f>IF(COUNTA(A1540:I1540)=0,"",IF(N(A1540)&lt;=0,"Date manquante ou invalide",IF(B1540="","Équipe manquante",IF(ISNA(MATCH(B1540,eq_code,0)),"Équipe inconnue",IF(INDEX(eq_check,MATCH(B1540,eq_code,0))&lt;&gt;"OK","Équipe à corriger dans Paramètres",IF(C1540="","Poste manquant",IF(ISNA(MATCH(C1540,po_code,0)),"Poste inconnu",IF(AND(E1540&lt;&gt;"",ISNA(MATCH(E1540,art_ref,0))),"Article inconnu",IF(IF(E1540="",FALSE,INDEX(art_check,MATCH(E1540,art_ref,0))&lt;&gt;"OK"),"Article à corriger (feuille Articles)",IF(COUNTIFS(sj_date,A1540,sj_eq,B1540,sj_po,C1540)&gt;1,"Ligne en double (même jour, équipe et poste)",IF(OR(NOT(ISNUMBER(K1540)),N(K1540)&lt;=0,N(K1540)&gt;1440),"Temps d'ouverture invalide",IF(OR(AND(G1540&lt;&gt;"",NOT(ISNUMBER(G1540))),N(G1540)&lt;0,N(G1540)&lt;&gt;INT(N(G1540)),AND(H1540&lt;&gt;"",NOT(ISNUMBER(H1540))),N(H1540)&lt;0,N(H1540)&lt;&gt;INT(N(H1540)),AND(I1540&lt;&gt;"",NOT(ISNUMBER(I1540))),N(I1540)&lt;0,N(I1540)&lt;&gt;INT(N(I1540))),"Quantité invalide",IF(Q1540&lt;=0,"Cadence manquante (poste ou article)",IF(M1540&lt;=0,"Arrêts planifiés supérieurs au temps d'ouverture",IF(O1540&lt;0,"Arrêts supérieurs au temps requis",IF(AND(P1540&gt;0,O1540=0),"Pièces déclarées sans temps de marche",IF(AND(P1540=0,O1540&gt;0),"Aucune pièce déclarée",IF(P1540*60/Q1540&gt;O1540+0.001,"Cadence dépassée : vérifiez la cadence","OK"))))))))))))))))))</f>
        <v/>
      </c>
      <c r="AC1540">
        <f>IF(OR(AB1540="OK",AB1540="Aucune pièce déclarée",AB1540="Cadence dépassée : vérifiez la cadence"),1,0)</f>
        <v>0.0</v>
      </c>
      <c r="AD1540">
        <f>IF(AND(AC1540=1,A1540&gt;=p_from,A1540&lt;=p_to),1,0)</f>
        <v>0.0</v>
      </c>
      <c r="AE1540">
        <f>IF(AD1540=1,IF(COUNTIFS($A$6:A1540,A1540,$AD$6:AD1540,1)=1,1,0),0)</f>
        <v>0.0</v>
      </c>
      <c r="AF1540" t="str">
        <f>IF(AE1540=1,COUNTIFS(sj_first,1,sj_date,"&lt;"&amp;A1540)+1,"")</f>
        <v/>
      </c>
      <c r="AG1540" t="str">
        <f>IF(AND(AD1540=1,N(W1540)&lt;p_alert),ROUND(W1540,4),"")</f>
        <v/>
      </c>
      <c r="AH1540" t="str">
        <f>IF(AG1540="","",COUNTIF(sj_akey,"&lt;"&amp;AG1540)+COUNTIF($AG$6:AG1540,AG1540))</f>
        <v/>
      </c>
    </row>
    <row r="1541">
      <c r="A1541" s="51" t="n"/>
      <c r="B1541" s="52" t="n"/>
      <c r="C1541" s="52" t="n"/>
      <c r="D1541" s="53" t="n"/>
      <c r="E1541" s="53" t="n"/>
      <c r="F1541" s="54" t="n"/>
      <c r="G1541" s="54" t="n"/>
      <c r="H1541" s="54" t="n"/>
      <c r="I1541" s="54" t="n"/>
      <c r="J1541" s="53" t="n"/>
      <c r="K1541" s="55" t="str">
        <f>IF(COUNTA(A1541:I1541)=0,"",IF(F1541="",IFERROR(INDEX(eq_dur,MATCH(B1541,eq_code,0)),""),F1541))</f>
        <v/>
      </c>
      <c r="L1541" s="55" t="str">
        <f>IF(ISNUMBER(K1541),N(IFERROR(INDEX(eq_pause,MATCH(B1541,eq_code,0)),0))+SUMIFS(st_min,st_date,A1541,st_eq,B1541,st_po,C1541,st_type,"Planifié"),"")</f>
        <v/>
      </c>
      <c r="M1541" s="55" t="str">
        <f>IF(ISNUMBER(K1541),K1541-L1541,"")</f>
        <v/>
      </c>
      <c r="N1541" s="55" t="str">
        <f>IF(ISNUMBER(K1541),SUMIFS(st_min,st_date,A1541,st_eq,B1541,st_po,C1541,st_type,"Non planifié"),"")</f>
        <v/>
      </c>
      <c r="O1541" s="55" t="str">
        <f>IF(ISNUMBER(K1541),M1541-N1541,"")</f>
        <v/>
      </c>
      <c r="P1541" s="55" t="str">
        <f>IF(COUNTA(A1541:I1541)=0,"",N(G1541)+N(H1541)+N(I1541))</f>
        <v/>
      </c>
      <c r="Q1541" s="56" t="str">
        <f>IF(COUNTA(A1541:I1541)=0,"",IF(N(IFERROR(INDEX(art_rate,MATCH(E1541,art_ref,0)),0))&gt;0,N(IFERROR(INDEX(art_rate,MATCH(E1541,art_ref,0)),0)),N(IFERROR(INDEX(po_rate,MATCH(C1541,po_code,0)),0))))</f>
        <v/>
      </c>
      <c r="R1541" s="55" t="str">
        <f>IF(AC1541=1,P1541*60/Q1541,"")</f>
        <v/>
      </c>
      <c r="S1541" s="55" t="str">
        <f>IF(AC1541=1,N(G1541)*60/Q1541,"")</f>
        <v/>
      </c>
      <c r="T1541" s="57" t="str">
        <f>IF(AC1541=1,O1541/M1541,"")</f>
        <v/>
      </c>
      <c r="U1541" s="57" t="str">
        <f>IF(AC1541=1,IF(O1541&gt;0,R1541/O1541,""),"")</f>
        <v/>
      </c>
      <c r="V1541" s="57" t="str">
        <f>IF(AC1541=1,IF(P1541&gt;0,N(G1541)/P1541,""),"")</f>
        <v/>
      </c>
      <c r="W1541" s="57" t="str">
        <f>IF(AC1541=1,S1541/M1541,"")</f>
        <v/>
      </c>
      <c r="X1541" s="57" t="str">
        <f>IF(AC1541=1,S1541/K1541,"")</f>
        <v/>
      </c>
      <c r="Y1541" s="58" t="str">
        <f>IF(W1541="","",IF(W1541&gt;=p_target,"Bon",IF(W1541&gt;=p_alert,"À surveiller","Faible")))</f>
        <v/>
      </c>
      <c r="Z1541" s="58" t="str">
        <f>IF(W1541="","",IF(MIN(IF(T1541="",1,T1541),IF(U1541="",1,U1541),IF(V1541="",1,V1541))&gt;=1,"Aucune",IF(IF(T1541="",1,T1541)&lt;=MIN(IF(U1541="",1,U1541),IF(V1541="",1,V1541)),"Disponibilité",IF(IF(U1541="",1,U1541)&lt;=IF(V1541="",1,V1541),"Performance","Qualité"))))</f>
        <v/>
      </c>
      <c r="AA1541" s="59" t="str">
        <f>IF(AC1541=1,N(H1541)*N(IFERROR(INDEX(art_cost,MATCH(E1541,art_ref,0)),0)),"")</f>
        <v/>
      </c>
      <c r="AB1541" s="58" t="str">
        <f>IF(COUNTA(A1541:I1541)=0,"",IF(N(A1541)&lt;=0,"Date manquante ou invalide",IF(B1541="","Équipe manquante",IF(ISNA(MATCH(B1541,eq_code,0)),"Équipe inconnue",IF(INDEX(eq_check,MATCH(B1541,eq_code,0))&lt;&gt;"OK","Équipe à corriger dans Paramètres",IF(C1541="","Poste manquant",IF(ISNA(MATCH(C1541,po_code,0)),"Poste inconnu",IF(AND(E1541&lt;&gt;"",ISNA(MATCH(E1541,art_ref,0))),"Article inconnu",IF(IF(E1541="",FALSE,INDEX(art_check,MATCH(E1541,art_ref,0))&lt;&gt;"OK"),"Article à corriger (feuille Articles)",IF(COUNTIFS(sj_date,A1541,sj_eq,B1541,sj_po,C1541)&gt;1,"Ligne en double (même jour, équipe et poste)",IF(OR(NOT(ISNUMBER(K1541)),N(K1541)&lt;=0,N(K1541)&gt;1440),"Temps d'ouverture invalide",IF(OR(AND(G1541&lt;&gt;"",NOT(ISNUMBER(G1541))),N(G1541)&lt;0,N(G1541)&lt;&gt;INT(N(G1541)),AND(H1541&lt;&gt;"",NOT(ISNUMBER(H1541))),N(H1541)&lt;0,N(H1541)&lt;&gt;INT(N(H1541)),AND(I1541&lt;&gt;"",NOT(ISNUMBER(I1541))),N(I1541)&lt;0,N(I1541)&lt;&gt;INT(N(I1541))),"Quantité invalide",IF(Q1541&lt;=0,"Cadence manquante (poste ou article)",IF(M1541&lt;=0,"Arrêts planifiés supérieurs au temps d'ouverture",IF(O1541&lt;0,"Arrêts supérieurs au temps requis",IF(AND(P1541&gt;0,O1541=0),"Pièces déclarées sans temps de marche",IF(AND(P1541=0,O1541&gt;0),"Aucune pièce déclarée",IF(P1541*60/Q1541&gt;O1541+0.001,"Cadence dépassée : vérifiez la cadence","OK"))))))))))))))))))</f>
        <v/>
      </c>
      <c r="AC1541">
        <f>IF(OR(AB1541="OK",AB1541="Aucune pièce déclarée",AB1541="Cadence dépassée : vérifiez la cadence"),1,0)</f>
        <v>0.0</v>
      </c>
      <c r="AD1541">
        <f>IF(AND(AC1541=1,A1541&gt;=p_from,A1541&lt;=p_to),1,0)</f>
        <v>0.0</v>
      </c>
      <c r="AE1541">
        <f>IF(AD1541=1,IF(COUNTIFS($A$6:A1541,A1541,$AD$6:AD1541,1)=1,1,0),0)</f>
        <v>0.0</v>
      </c>
      <c r="AF1541" t="str">
        <f>IF(AE1541=1,COUNTIFS(sj_first,1,sj_date,"&lt;"&amp;A1541)+1,"")</f>
        <v/>
      </c>
      <c r="AG1541" t="str">
        <f>IF(AND(AD1541=1,N(W1541)&lt;p_alert),ROUND(W1541,4),"")</f>
        <v/>
      </c>
      <c r="AH1541" t="str">
        <f>IF(AG1541="","",COUNTIF(sj_akey,"&lt;"&amp;AG1541)+COUNTIF($AG$6:AG1541,AG1541))</f>
        <v/>
      </c>
    </row>
    <row r="1542">
      <c r="A1542" s="51" t="n"/>
      <c r="B1542" s="52" t="n"/>
      <c r="C1542" s="52" t="n"/>
      <c r="D1542" s="53" t="n"/>
      <c r="E1542" s="53" t="n"/>
      <c r="F1542" s="54" t="n"/>
      <c r="G1542" s="54" t="n"/>
      <c r="H1542" s="54" t="n"/>
      <c r="I1542" s="54" t="n"/>
      <c r="J1542" s="53" t="n"/>
      <c r="K1542" s="55" t="str">
        <f>IF(COUNTA(A1542:I1542)=0,"",IF(F1542="",IFERROR(INDEX(eq_dur,MATCH(B1542,eq_code,0)),""),F1542))</f>
        <v/>
      </c>
      <c r="L1542" s="55" t="str">
        <f>IF(ISNUMBER(K1542),N(IFERROR(INDEX(eq_pause,MATCH(B1542,eq_code,0)),0))+SUMIFS(st_min,st_date,A1542,st_eq,B1542,st_po,C1542,st_type,"Planifié"),"")</f>
        <v/>
      </c>
      <c r="M1542" s="55" t="str">
        <f>IF(ISNUMBER(K1542),K1542-L1542,"")</f>
        <v/>
      </c>
      <c r="N1542" s="55" t="str">
        <f>IF(ISNUMBER(K1542),SUMIFS(st_min,st_date,A1542,st_eq,B1542,st_po,C1542,st_type,"Non planifié"),"")</f>
        <v/>
      </c>
      <c r="O1542" s="55" t="str">
        <f>IF(ISNUMBER(K1542),M1542-N1542,"")</f>
        <v/>
      </c>
      <c r="P1542" s="55" t="str">
        <f>IF(COUNTA(A1542:I1542)=0,"",N(G1542)+N(H1542)+N(I1542))</f>
        <v/>
      </c>
      <c r="Q1542" s="56" t="str">
        <f>IF(COUNTA(A1542:I1542)=0,"",IF(N(IFERROR(INDEX(art_rate,MATCH(E1542,art_ref,0)),0))&gt;0,N(IFERROR(INDEX(art_rate,MATCH(E1542,art_ref,0)),0)),N(IFERROR(INDEX(po_rate,MATCH(C1542,po_code,0)),0))))</f>
        <v/>
      </c>
      <c r="R1542" s="55" t="str">
        <f>IF(AC1542=1,P1542*60/Q1542,"")</f>
        <v/>
      </c>
      <c r="S1542" s="55" t="str">
        <f>IF(AC1542=1,N(G1542)*60/Q1542,"")</f>
        <v/>
      </c>
      <c r="T1542" s="57" t="str">
        <f>IF(AC1542=1,O1542/M1542,"")</f>
        <v/>
      </c>
      <c r="U1542" s="57" t="str">
        <f>IF(AC1542=1,IF(O1542&gt;0,R1542/O1542,""),"")</f>
        <v/>
      </c>
      <c r="V1542" s="57" t="str">
        <f>IF(AC1542=1,IF(P1542&gt;0,N(G1542)/P1542,""),"")</f>
        <v/>
      </c>
      <c r="W1542" s="57" t="str">
        <f>IF(AC1542=1,S1542/M1542,"")</f>
        <v/>
      </c>
      <c r="X1542" s="57" t="str">
        <f>IF(AC1542=1,S1542/K1542,"")</f>
        <v/>
      </c>
      <c r="Y1542" s="58" t="str">
        <f>IF(W1542="","",IF(W1542&gt;=p_target,"Bon",IF(W1542&gt;=p_alert,"À surveiller","Faible")))</f>
        <v/>
      </c>
      <c r="Z1542" s="58" t="str">
        <f>IF(W1542="","",IF(MIN(IF(T1542="",1,T1542),IF(U1542="",1,U1542),IF(V1542="",1,V1542))&gt;=1,"Aucune",IF(IF(T1542="",1,T1542)&lt;=MIN(IF(U1542="",1,U1542),IF(V1542="",1,V1542)),"Disponibilité",IF(IF(U1542="",1,U1542)&lt;=IF(V1542="",1,V1542),"Performance","Qualité"))))</f>
        <v/>
      </c>
      <c r="AA1542" s="59" t="str">
        <f>IF(AC1542=1,N(H1542)*N(IFERROR(INDEX(art_cost,MATCH(E1542,art_ref,0)),0)),"")</f>
        <v/>
      </c>
      <c r="AB1542" s="58" t="str">
        <f>IF(COUNTA(A1542:I1542)=0,"",IF(N(A1542)&lt;=0,"Date manquante ou invalide",IF(B1542="","Équipe manquante",IF(ISNA(MATCH(B1542,eq_code,0)),"Équipe inconnue",IF(INDEX(eq_check,MATCH(B1542,eq_code,0))&lt;&gt;"OK","Équipe à corriger dans Paramètres",IF(C1542="","Poste manquant",IF(ISNA(MATCH(C1542,po_code,0)),"Poste inconnu",IF(AND(E1542&lt;&gt;"",ISNA(MATCH(E1542,art_ref,0))),"Article inconnu",IF(IF(E1542="",FALSE,INDEX(art_check,MATCH(E1542,art_ref,0))&lt;&gt;"OK"),"Article à corriger (feuille Articles)",IF(COUNTIFS(sj_date,A1542,sj_eq,B1542,sj_po,C1542)&gt;1,"Ligne en double (même jour, équipe et poste)",IF(OR(NOT(ISNUMBER(K1542)),N(K1542)&lt;=0,N(K1542)&gt;1440),"Temps d'ouverture invalide",IF(OR(AND(G1542&lt;&gt;"",NOT(ISNUMBER(G1542))),N(G1542)&lt;0,N(G1542)&lt;&gt;INT(N(G1542)),AND(H1542&lt;&gt;"",NOT(ISNUMBER(H1542))),N(H1542)&lt;0,N(H1542)&lt;&gt;INT(N(H1542)),AND(I1542&lt;&gt;"",NOT(ISNUMBER(I1542))),N(I1542)&lt;0,N(I1542)&lt;&gt;INT(N(I1542))),"Quantité invalide",IF(Q1542&lt;=0,"Cadence manquante (poste ou article)",IF(M1542&lt;=0,"Arrêts planifiés supérieurs au temps d'ouverture",IF(O1542&lt;0,"Arrêts supérieurs au temps requis",IF(AND(P1542&gt;0,O1542=0),"Pièces déclarées sans temps de marche",IF(AND(P1542=0,O1542&gt;0),"Aucune pièce déclarée",IF(P1542*60/Q1542&gt;O1542+0.001,"Cadence dépassée : vérifiez la cadence","OK"))))))))))))))))))</f>
        <v/>
      </c>
      <c r="AC1542">
        <f>IF(OR(AB1542="OK",AB1542="Aucune pièce déclarée",AB1542="Cadence dépassée : vérifiez la cadence"),1,0)</f>
        <v>0.0</v>
      </c>
      <c r="AD1542">
        <f>IF(AND(AC1542=1,A1542&gt;=p_from,A1542&lt;=p_to),1,0)</f>
        <v>0.0</v>
      </c>
      <c r="AE1542">
        <f>IF(AD1542=1,IF(COUNTIFS($A$6:A1542,A1542,$AD$6:AD1542,1)=1,1,0),0)</f>
        <v>0.0</v>
      </c>
      <c r="AF1542" t="str">
        <f>IF(AE1542=1,COUNTIFS(sj_first,1,sj_date,"&lt;"&amp;A1542)+1,"")</f>
        <v/>
      </c>
      <c r="AG1542" t="str">
        <f>IF(AND(AD1542=1,N(W1542)&lt;p_alert),ROUND(W1542,4),"")</f>
        <v/>
      </c>
      <c r="AH1542" t="str">
        <f>IF(AG1542="","",COUNTIF(sj_akey,"&lt;"&amp;AG1542)+COUNTIF($AG$6:AG1542,AG1542))</f>
        <v/>
      </c>
    </row>
    <row r="1543">
      <c r="A1543" s="51" t="n"/>
      <c r="B1543" s="52" t="n"/>
      <c r="C1543" s="52" t="n"/>
      <c r="D1543" s="53" t="n"/>
      <c r="E1543" s="53" t="n"/>
      <c r="F1543" s="54" t="n"/>
      <c r="G1543" s="54" t="n"/>
      <c r="H1543" s="54" t="n"/>
      <c r="I1543" s="54" t="n"/>
      <c r="J1543" s="53" t="n"/>
      <c r="K1543" s="55" t="str">
        <f>IF(COUNTA(A1543:I1543)=0,"",IF(F1543="",IFERROR(INDEX(eq_dur,MATCH(B1543,eq_code,0)),""),F1543))</f>
        <v/>
      </c>
      <c r="L1543" s="55" t="str">
        <f>IF(ISNUMBER(K1543),N(IFERROR(INDEX(eq_pause,MATCH(B1543,eq_code,0)),0))+SUMIFS(st_min,st_date,A1543,st_eq,B1543,st_po,C1543,st_type,"Planifié"),"")</f>
        <v/>
      </c>
      <c r="M1543" s="55" t="str">
        <f>IF(ISNUMBER(K1543),K1543-L1543,"")</f>
        <v/>
      </c>
      <c r="N1543" s="55" t="str">
        <f>IF(ISNUMBER(K1543),SUMIFS(st_min,st_date,A1543,st_eq,B1543,st_po,C1543,st_type,"Non planifié"),"")</f>
        <v/>
      </c>
      <c r="O1543" s="55" t="str">
        <f>IF(ISNUMBER(K1543),M1543-N1543,"")</f>
        <v/>
      </c>
      <c r="P1543" s="55" t="str">
        <f>IF(COUNTA(A1543:I1543)=0,"",N(G1543)+N(H1543)+N(I1543))</f>
        <v/>
      </c>
      <c r="Q1543" s="56" t="str">
        <f>IF(COUNTA(A1543:I1543)=0,"",IF(N(IFERROR(INDEX(art_rate,MATCH(E1543,art_ref,0)),0))&gt;0,N(IFERROR(INDEX(art_rate,MATCH(E1543,art_ref,0)),0)),N(IFERROR(INDEX(po_rate,MATCH(C1543,po_code,0)),0))))</f>
        <v/>
      </c>
      <c r="R1543" s="55" t="str">
        <f>IF(AC1543=1,P1543*60/Q1543,"")</f>
        <v/>
      </c>
      <c r="S1543" s="55" t="str">
        <f>IF(AC1543=1,N(G1543)*60/Q1543,"")</f>
        <v/>
      </c>
      <c r="T1543" s="57" t="str">
        <f>IF(AC1543=1,O1543/M1543,"")</f>
        <v/>
      </c>
      <c r="U1543" s="57" t="str">
        <f>IF(AC1543=1,IF(O1543&gt;0,R1543/O1543,""),"")</f>
        <v/>
      </c>
      <c r="V1543" s="57" t="str">
        <f>IF(AC1543=1,IF(P1543&gt;0,N(G1543)/P1543,""),"")</f>
        <v/>
      </c>
      <c r="W1543" s="57" t="str">
        <f>IF(AC1543=1,S1543/M1543,"")</f>
        <v/>
      </c>
      <c r="X1543" s="57" t="str">
        <f>IF(AC1543=1,S1543/K1543,"")</f>
        <v/>
      </c>
      <c r="Y1543" s="58" t="str">
        <f>IF(W1543="","",IF(W1543&gt;=p_target,"Bon",IF(W1543&gt;=p_alert,"À surveiller","Faible")))</f>
        <v/>
      </c>
      <c r="Z1543" s="58" t="str">
        <f>IF(W1543="","",IF(MIN(IF(T1543="",1,T1543),IF(U1543="",1,U1543),IF(V1543="",1,V1543))&gt;=1,"Aucune",IF(IF(T1543="",1,T1543)&lt;=MIN(IF(U1543="",1,U1543),IF(V1543="",1,V1543)),"Disponibilité",IF(IF(U1543="",1,U1543)&lt;=IF(V1543="",1,V1543),"Performance","Qualité"))))</f>
        <v/>
      </c>
      <c r="AA1543" s="59" t="str">
        <f>IF(AC1543=1,N(H1543)*N(IFERROR(INDEX(art_cost,MATCH(E1543,art_ref,0)),0)),"")</f>
        <v/>
      </c>
      <c r="AB1543" s="58" t="str">
        <f>IF(COUNTA(A1543:I1543)=0,"",IF(N(A1543)&lt;=0,"Date manquante ou invalide",IF(B1543="","Équipe manquante",IF(ISNA(MATCH(B1543,eq_code,0)),"Équipe inconnue",IF(INDEX(eq_check,MATCH(B1543,eq_code,0))&lt;&gt;"OK","Équipe à corriger dans Paramètres",IF(C1543="","Poste manquant",IF(ISNA(MATCH(C1543,po_code,0)),"Poste inconnu",IF(AND(E1543&lt;&gt;"",ISNA(MATCH(E1543,art_ref,0))),"Article inconnu",IF(IF(E1543="",FALSE,INDEX(art_check,MATCH(E1543,art_ref,0))&lt;&gt;"OK"),"Article à corriger (feuille Articles)",IF(COUNTIFS(sj_date,A1543,sj_eq,B1543,sj_po,C1543)&gt;1,"Ligne en double (même jour, équipe et poste)",IF(OR(NOT(ISNUMBER(K1543)),N(K1543)&lt;=0,N(K1543)&gt;1440),"Temps d'ouverture invalide",IF(OR(AND(G1543&lt;&gt;"",NOT(ISNUMBER(G1543))),N(G1543)&lt;0,N(G1543)&lt;&gt;INT(N(G1543)),AND(H1543&lt;&gt;"",NOT(ISNUMBER(H1543))),N(H1543)&lt;0,N(H1543)&lt;&gt;INT(N(H1543)),AND(I1543&lt;&gt;"",NOT(ISNUMBER(I1543))),N(I1543)&lt;0,N(I1543)&lt;&gt;INT(N(I1543))),"Quantité invalide",IF(Q1543&lt;=0,"Cadence manquante (poste ou article)",IF(M1543&lt;=0,"Arrêts planifiés supérieurs au temps d'ouverture",IF(O1543&lt;0,"Arrêts supérieurs au temps requis",IF(AND(P1543&gt;0,O1543=0),"Pièces déclarées sans temps de marche",IF(AND(P1543=0,O1543&gt;0),"Aucune pièce déclarée",IF(P1543*60/Q1543&gt;O1543+0.001,"Cadence dépassée : vérifiez la cadence","OK"))))))))))))))))))</f>
        <v/>
      </c>
      <c r="AC1543">
        <f>IF(OR(AB1543="OK",AB1543="Aucune pièce déclarée",AB1543="Cadence dépassée : vérifiez la cadence"),1,0)</f>
        <v>0.0</v>
      </c>
      <c r="AD1543">
        <f>IF(AND(AC1543=1,A1543&gt;=p_from,A1543&lt;=p_to),1,0)</f>
        <v>0.0</v>
      </c>
      <c r="AE1543">
        <f>IF(AD1543=1,IF(COUNTIFS($A$6:A1543,A1543,$AD$6:AD1543,1)=1,1,0),0)</f>
        <v>0.0</v>
      </c>
      <c r="AF1543" t="str">
        <f>IF(AE1543=1,COUNTIFS(sj_first,1,sj_date,"&lt;"&amp;A1543)+1,"")</f>
        <v/>
      </c>
      <c r="AG1543" t="str">
        <f>IF(AND(AD1543=1,N(W1543)&lt;p_alert),ROUND(W1543,4),"")</f>
        <v/>
      </c>
      <c r="AH1543" t="str">
        <f>IF(AG1543="","",COUNTIF(sj_akey,"&lt;"&amp;AG1543)+COUNTIF($AG$6:AG1543,AG1543))</f>
        <v/>
      </c>
    </row>
    <row r="1544">
      <c r="A1544" s="51" t="n"/>
      <c r="B1544" s="52" t="n"/>
      <c r="C1544" s="52" t="n"/>
      <c r="D1544" s="53" t="n"/>
      <c r="E1544" s="53" t="n"/>
      <c r="F1544" s="54" t="n"/>
      <c r="G1544" s="54" t="n"/>
      <c r="H1544" s="54" t="n"/>
      <c r="I1544" s="54" t="n"/>
      <c r="J1544" s="53" t="n"/>
      <c r="K1544" s="55" t="str">
        <f>IF(COUNTA(A1544:I1544)=0,"",IF(F1544="",IFERROR(INDEX(eq_dur,MATCH(B1544,eq_code,0)),""),F1544))</f>
        <v/>
      </c>
      <c r="L1544" s="55" t="str">
        <f>IF(ISNUMBER(K1544),N(IFERROR(INDEX(eq_pause,MATCH(B1544,eq_code,0)),0))+SUMIFS(st_min,st_date,A1544,st_eq,B1544,st_po,C1544,st_type,"Planifié"),"")</f>
        <v/>
      </c>
      <c r="M1544" s="55" t="str">
        <f>IF(ISNUMBER(K1544),K1544-L1544,"")</f>
        <v/>
      </c>
      <c r="N1544" s="55" t="str">
        <f>IF(ISNUMBER(K1544),SUMIFS(st_min,st_date,A1544,st_eq,B1544,st_po,C1544,st_type,"Non planifié"),"")</f>
        <v/>
      </c>
      <c r="O1544" s="55" t="str">
        <f>IF(ISNUMBER(K1544),M1544-N1544,"")</f>
        <v/>
      </c>
      <c r="P1544" s="55" t="str">
        <f>IF(COUNTA(A1544:I1544)=0,"",N(G1544)+N(H1544)+N(I1544))</f>
        <v/>
      </c>
      <c r="Q1544" s="56" t="str">
        <f>IF(COUNTA(A1544:I1544)=0,"",IF(N(IFERROR(INDEX(art_rate,MATCH(E1544,art_ref,0)),0))&gt;0,N(IFERROR(INDEX(art_rate,MATCH(E1544,art_ref,0)),0)),N(IFERROR(INDEX(po_rate,MATCH(C1544,po_code,0)),0))))</f>
        <v/>
      </c>
      <c r="R1544" s="55" t="str">
        <f>IF(AC1544=1,P1544*60/Q1544,"")</f>
        <v/>
      </c>
      <c r="S1544" s="55" t="str">
        <f>IF(AC1544=1,N(G1544)*60/Q1544,"")</f>
        <v/>
      </c>
      <c r="T1544" s="57" t="str">
        <f>IF(AC1544=1,O1544/M1544,"")</f>
        <v/>
      </c>
      <c r="U1544" s="57" t="str">
        <f>IF(AC1544=1,IF(O1544&gt;0,R1544/O1544,""),"")</f>
        <v/>
      </c>
      <c r="V1544" s="57" t="str">
        <f>IF(AC1544=1,IF(P1544&gt;0,N(G1544)/P1544,""),"")</f>
        <v/>
      </c>
      <c r="W1544" s="57" t="str">
        <f>IF(AC1544=1,S1544/M1544,"")</f>
        <v/>
      </c>
      <c r="X1544" s="57" t="str">
        <f>IF(AC1544=1,S1544/K1544,"")</f>
        <v/>
      </c>
      <c r="Y1544" s="58" t="str">
        <f>IF(W1544="","",IF(W1544&gt;=p_target,"Bon",IF(W1544&gt;=p_alert,"À surveiller","Faible")))</f>
        <v/>
      </c>
      <c r="Z1544" s="58" t="str">
        <f>IF(W1544="","",IF(MIN(IF(T1544="",1,T1544),IF(U1544="",1,U1544),IF(V1544="",1,V1544))&gt;=1,"Aucune",IF(IF(T1544="",1,T1544)&lt;=MIN(IF(U1544="",1,U1544),IF(V1544="",1,V1544)),"Disponibilité",IF(IF(U1544="",1,U1544)&lt;=IF(V1544="",1,V1544),"Performance","Qualité"))))</f>
        <v/>
      </c>
      <c r="AA1544" s="59" t="str">
        <f>IF(AC1544=1,N(H1544)*N(IFERROR(INDEX(art_cost,MATCH(E1544,art_ref,0)),0)),"")</f>
        <v/>
      </c>
      <c r="AB1544" s="58" t="str">
        <f>IF(COUNTA(A1544:I1544)=0,"",IF(N(A1544)&lt;=0,"Date manquante ou invalide",IF(B1544="","Équipe manquante",IF(ISNA(MATCH(B1544,eq_code,0)),"Équipe inconnue",IF(INDEX(eq_check,MATCH(B1544,eq_code,0))&lt;&gt;"OK","Équipe à corriger dans Paramètres",IF(C1544="","Poste manquant",IF(ISNA(MATCH(C1544,po_code,0)),"Poste inconnu",IF(AND(E1544&lt;&gt;"",ISNA(MATCH(E1544,art_ref,0))),"Article inconnu",IF(IF(E1544="",FALSE,INDEX(art_check,MATCH(E1544,art_ref,0))&lt;&gt;"OK"),"Article à corriger (feuille Articles)",IF(COUNTIFS(sj_date,A1544,sj_eq,B1544,sj_po,C1544)&gt;1,"Ligne en double (même jour, équipe et poste)",IF(OR(NOT(ISNUMBER(K1544)),N(K1544)&lt;=0,N(K1544)&gt;1440),"Temps d'ouverture invalide",IF(OR(AND(G1544&lt;&gt;"",NOT(ISNUMBER(G1544))),N(G1544)&lt;0,N(G1544)&lt;&gt;INT(N(G1544)),AND(H1544&lt;&gt;"",NOT(ISNUMBER(H1544))),N(H1544)&lt;0,N(H1544)&lt;&gt;INT(N(H1544)),AND(I1544&lt;&gt;"",NOT(ISNUMBER(I1544))),N(I1544)&lt;0,N(I1544)&lt;&gt;INT(N(I1544))),"Quantité invalide",IF(Q1544&lt;=0,"Cadence manquante (poste ou article)",IF(M1544&lt;=0,"Arrêts planifiés supérieurs au temps d'ouverture",IF(O1544&lt;0,"Arrêts supérieurs au temps requis",IF(AND(P1544&gt;0,O1544=0),"Pièces déclarées sans temps de marche",IF(AND(P1544=0,O1544&gt;0),"Aucune pièce déclarée",IF(P1544*60/Q1544&gt;O1544+0.001,"Cadence dépassée : vérifiez la cadence","OK"))))))))))))))))))</f>
        <v/>
      </c>
      <c r="AC1544">
        <f>IF(OR(AB1544="OK",AB1544="Aucune pièce déclarée",AB1544="Cadence dépassée : vérifiez la cadence"),1,0)</f>
        <v>0.0</v>
      </c>
      <c r="AD1544">
        <f>IF(AND(AC1544=1,A1544&gt;=p_from,A1544&lt;=p_to),1,0)</f>
        <v>0.0</v>
      </c>
      <c r="AE1544">
        <f>IF(AD1544=1,IF(COUNTIFS($A$6:A1544,A1544,$AD$6:AD1544,1)=1,1,0),0)</f>
        <v>0.0</v>
      </c>
      <c r="AF1544" t="str">
        <f>IF(AE1544=1,COUNTIFS(sj_first,1,sj_date,"&lt;"&amp;A1544)+1,"")</f>
        <v/>
      </c>
      <c r="AG1544" t="str">
        <f>IF(AND(AD1544=1,N(W1544)&lt;p_alert),ROUND(W1544,4),"")</f>
        <v/>
      </c>
      <c r="AH1544" t="str">
        <f>IF(AG1544="","",COUNTIF(sj_akey,"&lt;"&amp;AG1544)+COUNTIF($AG$6:AG1544,AG1544))</f>
        <v/>
      </c>
    </row>
    <row r="1545">
      <c r="A1545" s="51" t="n"/>
      <c r="B1545" s="52" t="n"/>
      <c r="C1545" s="52" t="n"/>
      <c r="D1545" s="53" t="n"/>
      <c r="E1545" s="53" t="n"/>
      <c r="F1545" s="54" t="n"/>
      <c r="G1545" s="54" t="n"/>
      <c r="H1545" s="54" t="n"/>
      <c r="I1545" s="54" t="n"/>
      <c r="J1545" s="53" t="n"/>
      <c r="K1545" s="55" t="str">
        <f>IF(COUNTA(A1545:I1545)=0,"",IF(F1545="",IFERROR(INDEX(eq_dur,MATCH(B1545,eq_code,0)),""),F1545))</f>
        <v/>
      </c>
      <c r="L1545" s="55" t="str">
        <f>IF(ISNUMBER(K1545),N(IFERROR(INDEX(eq_pause,MATCH(B1545,eq_code,0)),0))+SUMIFS(st_min,st_date,A1545,st_eq,B1545,st_po,C1545,st_type,"Planifié"),"")</f>
        <v/>
      </c>
      <c r="M1545" s="55" t="str">
        <f>IF(ISNUMBER(K1545),K1545-L1545,"")</f>
        <v/>
      </c>
      <c r="N1545" s="55" t="str">
        <f>IF(ISNUMBER(K1545),SUMIFS(st_min,st_date,A1545,st_eq,B1545,st_po,C1545,st_type,"Non planifié"),"")</f>
        <v/>
      </c>
      <c r="O1545" s="55" t="str">
        <f>IF(ISNUMBER(K1545),M1545-N1545,"")</f>
        <v/>
      </c>
      <c r="P1545" s="55" t="str">
        <f>IF(COUNTA(A1545:I1545)=0,"",N(G1545)+N(H1545)+N(I1545))</f>
        <v/>
      </c>
      <c r="Q1545" s="56" t="str">
        <f>IF(COUNTA(A1545:I1545)=0,"",IF(N(IFERROR(INDEX(art_rate,MATCH(E1545,art_ref,0)),0))&gt;0,N(IFERROR(INDEX(art_rate,MATCH(E1545,art_ref,0)),0)),N(IFERROR(INDEX(po_rate,MATCH(C1545,po_code,0)),0))))</f>
        <v/>
      </c>
      <c r="R1545" s="55" t="str">
        <f>IF(AC1545=1,P1545*60/Q1545,"")</f>
        <v/>
      </c>
      <c r="S1545" s="55" t="str">
        <f>IF(AC1545=1,N(G1545)*60/Q1545,"")</f>
        <v/>
      </c>
      <c r="T1545" s="57" t="str">
        <f>IF(AC1545=1,O1545/M1545,"")</f>
        <v/>
      </c>
      <c r="U1545" s="57" t="str">
        <f>IF(AC1545=1,IF(O1545&gt;0,R1545/O1545,""),"")</f>
        <v/>
      </c>
      <c r="V1545" s="57" t="str">
        <f>IF(AC1545=1,IF(P1545&gt;0,N(G1545)/P1545,""),"")</f>
        <v/>
      </c>
      <c r="W1545" s="57" t="str">
        <f>IF(AC1545=1,S1545/M1545,"")</f>
        <v/>
      </c>
      <c r="X1545" s="57" t="str">
        <f>IF(AC1545=1,S1545/K1545,"")</f>
        <v/>
      </c>
      <c r="Y1545" s="58" t="str">
        <f>IF(W1545="","",IF(W1545&gt;=p_target,"Bon",IF(W1545&gt;=p_alert,"À surveiller","Faible")))</f>
        <v/>
      </c>
      <c r="Z1545" s="58" t="str">
        <f>IF(W1545="","",IF(MIN(IF(T1545="",1,T1545),IF(U1545="",1,U1545),IF(V1545="",1,V1545))&gt;=1,"Aucune",IF(IF(T1545="",1,T1545)&lt;=MIN(IF(U1545="",1,U1545),IF(V1545="",1,V1545)),"Disponibilité",IF(IF(U1545="",1,U1545)&lt;=IF(V1545="",1,V1545),"Performance","Qualité"))))</f>
        <v/>
      </c>
      <c r="AA1545" s="59" t="str">
        <f>IF(AC1545=1,N(H1545)*N(IFERROR(INDEX(art_cost,MATCH(E1545,art_ref,0)),0)),"")</f>
        <v/>
      </c>
      <c r="AB1545" s="58" t="str">
        <f>IF(COUNTA(A1545:I1545)=0,"",IF(N(A1545)&lt;=0,"Date manquante ou invalide",IF(B1545="","Équipe manquante",IF(ISNA(MATCH(B1545,eq_code,0)),"Équipe inconnue",IF(INDEX(eq_check,MATCH(B1545,eq_code,0))&lt;&gt;"OK","Équipe à corriger dans Paramètres",IF(C1545="","Poste manquant",IF(ISNA(MATCH(C1545,po_code,0)),"Poste inconnu",IF(AND(E1545&lt;&gt;"",ISNA(MATCH(E1545,art_ref,0))),"Article inconnu",IF(IF(E1545="",FALSE,INDEX(art_check,MATCH(E1545,art_ref,0))&lt;&gt;"OK"),"Article à corriger (feuille Articles)",IF(COUNTIFS(sj_date,A1545,sj_eq,B1545,sj_po,C1545)&gt;1,"Ligne en double (même jour, équipe et poste)",IF(OR(NOT(ISNUMBER(K1545)),N(K1545)&lt;=0,N(K1545)&gt;1440),"Temps d'ouverture invalide",IF(OR(AND(G1545&lt;&gt;"",NOT(ISNUMBER(G1545))),N(G1545)&lt;0,N(G1545)&lt;&gt;INT(N(G1545)),AND(H1545&lt;&gt;"",NOT(ISNUMBER(H1545))),N(H1545)&lt;0,N(H1545)&lt;&gt;INT(N(H1545)),AND(I1545&lt;&gt;"",NOT(ISNUMBER(I1545))),N(I1545)&lt;0,N(I1545)&lt;&gt;INT(N(I1545))),"Quantité invalide",IF(Q1545&lt;=0,"Cadence manquante (poste ou article)",IF(M1545&lt;=0,"Arrêts planifiés supérieurs au temps d'ouverture",IF(O1545&lt;0,"Arrêts supérieurs au temps requis",IF(AND(P1545&gt;0,O1545=0),"Pièces déclarées sans temps de marche",IF(AND(P1545=0,O1545&gt;0),"Aucune pièce déclarée",IF(P1545*60/Q1545&gt;O1545+0.001,"Cadence dépassée : vérifiez la cadence","OK"))))))))))))))))))</f>
        <v/>
      </c>
      <c r="AC1545">
        <f>IF(OR(AB1545="OK",AB1545="Aucune pièce déclarée",AB1545="Cadence dépassée : vérifiez la cadence"),1,0)</f>
        <v>0.0</v>
      </c>
      <c r="AD1545">
        <f>IF(AND(AC1545=1,A1545&gt;=p_from,A1545&lt;=p_to),1,0)</f>
        <v>0.0</v>
      </c>
      <c r="AE1545">
        <f>IF(AD1545=1,IF(COUNTIFS($A$6:A1545,A1545,$AD$6:AD1545,1)=1,1,0),0)</f>
        <v>0.0</v>
      </c>
      <c r="AF1545" t="str">
        <f>IF(AE1545=1,COUNTIFS(sj_first,1,sj_date,"&lt;"&amp;A1545)+1,"")</f>
        <v/>
      </c>
      <c r="AG1545" t="str">
        <f>IF(AND(AD1545=1,N(W1545)&lt;p_alert),ROUND(W1545,4),"")</f>
        <v/>
      </c>
      <c r="AH1545" t="str">
        <f>IF(AG1545="","",COUNTIF(sj_akey,"&lt;"&amp;AG1545)+COUNTIF($AG$6:AG1545,AG1545))</f>
        <v/>
      </c>
    </row>
    <row r="1546">
      <c r="A1546" s="51" t="n"/>
      <c r="B1546" s="52" t="n"/>
      <c r="C1546" s="52" t="n"/>
      <c r="D1546" s="53" t="n"/>
      <c r="E1546" s="53" t="n"/>
      <c r="F1546" s="54" t="n"/>
      <c r="G1546" s="54" t="n"/>
      <c r="H1546" s="54" t="n"/>
      <c r="I1546" s="54" t="n"/>
      <c r="J1546" s="53" t="n"/>
      <c r="K1546" s="55" t="str">
        <f>IF(COUNTA(A1546:I1546)=0,"",IF(F1546="",IFERROR(INDEX(eq_dur,MATCH(B1546,eq_code,0)),""),F1546))</f>
        <v/>
      </c>
      <c r="L1546" s="55" t="str">
        <f>IF(ISNUMBER(K1546),N(IFERROR(INDEX(eq_pause,MATCH(B1546,eq_code,0)),0))+SUMIFS(st_min,st_date,A1546,st_eq,B1546,st_po,C1546,st_type,"Planifié"),"")</f>
        <v/>
      </c>
      <c r="M1546" s="55" t="str">
        <f>IF(ISNUMBER(K1546),K1546-L1546,"")</f>
        <v/>
      </c>
      <c r="N1546" s="55" t="str">
        <f>IF(ISNUMBER(K1546),SUMIFS(st_min,st_date,A1546,st_eq,B1546,st_po,C1546,st_type,"Non planifié"),"")</f>
        <v/>
      </c>
      <c r="O1546" s="55" t="str">
        <f>IF(ISNUMBER(K1546),M1546-N1546,"")</f>
        <v/>
      </c>
      <c r="P1546" s="55" t="str">
        <f>IF(COUNTA(A1546:I1546)=0,"",N(G1546)+N(H1546)+N(I1546))</f>
        <v/>
      </c>
      <c r="Q1546" s="56" t="str">
        <f>IF(COUNTA(A1546:I1546)=0,"",IF(N(IFERROR(INDEX(art_rate,MATCH(E1546,art_ref,0)),0))&gt;0,N(IFERROR(INDEX(art_rate,MATCH(E1546,art_ref,0)),0)),N(IFERROR(INDEX(po_rate,MATCH(C1546,po_code,0)),0))))</f>
        <v/>
      </c>
      <c r="R1546" s="55" t="str">
        <f>IF(AC1546=1,P1546*60/Q1546,"")</f>
        <v/>
      </c>
      <c r="S1546" s="55" t="str">
        <f>IF(AC1546=1,N(G1546)*60/Q1546,"")</f>
        <v/>
      </c>
      <c r="T1546" s="57" t="str">
        <f>IF(AC1546=1,O1546/M1546,"")</f>
        <v/>
      </c>
      <c r="U1546" s="57" t="str">
        <f>IF(AC1546=1,IF(O1546&gt;0,R1546/O1546,""),"")</f>
        <v/>
      </c>
      <c r="V1546" s="57" t="str">
        <f>IF(AC1546=1,IF(P1546&gt;0,N(G1546)/P1546,""),"")</f>
        <v/>
      </c>
      <c r="W1546" s="57" t="str">
        <f>IF(AC1546=1,S1546/M1546,"")</f>
        <v/>
      </c>
      <c r="X1546" s="57" t="str">
        <f>IF(AC1546=1,S1546/K1546,"")</f>
        <v/>
      </c>
      <c r="Y1546" s="58" t="str">
        <f>IF(W1546="","",IF(W1546&gt;=p_target,"Bon",IF(W1546&gt;=p_alert,"À surveiller","Faible")))</f>
        <v/>
      </c>
      <c r="Z1546" s="58" t="str">
        <f>IF(W1546="","",IF(MIN(IF(T1546="",1,T1546),IF(U1546="",1,U1546),IF(V1546="",1,V1546))&gt;=1,"Aucune",IF(IF(T1546="",1,T1546)&lt;=MIN(IF(U1546="",1,U1546),IF(V1546="",1,V1546)),"Disponibilité",IF(IF(U1546="",1,U1546)&lt;=IF(V1546="",1,V1546),"Performance","Qualité"))))</f>
        <v/>
      </c>
      <c r="AA1546" s="59" t="str">
        <f>IF(AC1546=1,N(H1546)*N(IFERROR(INDEX(art_cost,MATCH(E1546,art_ref,0)),0)),"")</f>
        <v/>
      </c>
      <c r="AB1546" s="58" t="str">
        <f>IF(COUNTA(A1546:I1546)=0,"",IF(N(A1546)&lt;=0,"Date manquante ou invalide",IF(B1546="","Équipe manquante",IF(ISNA(MATCH(B1546,eq_code,0)),"Équipe inconnue",IF(INDEX(eq_check,MATCH(B1546,eq_code,0))&lt;&gt;"OK","Équipe à corriger dans Paramètres",IF(C1546="","Poste manquant",IF(ISNA(MATCH(C1546,po_code,0)),"Poste inconnu",IF(AND(E1546&lt;&gt;"",ISNA(MATCH(E1546,art_ref,0))),"Article inconnu",IF(IF(E1546="",FALSE,INDEX(art_check,MATCH(E1546,art_ref,0))&lt;&gt;"OK"),"Article à corriger (feuille Articles)",IF(COUNTIFS(sj_date,A1546,sj_eq,B1546,sj_po,C1546)&gt;1,"Ligne en double (même jour, équipe et poste)",IF(OR(NOT(ISNUMBER(K1546)),N(K1546)&lt;=0,N(K1546)&gt;1440),"Temps d'ouverture invalide",IF(OR(AND(G1546&lt;&gt;"",NOT(ISNUMBER(G1546))),N(G1546)&lt;0,N(G1546)&lt;&gt;INT(N(G1546)),AND(H1546&lt;&gt;"",NOT(ISNUMBER(H1546))),N(H1546)&lt;0,N(H1546)&lt;&gt;INT(N(H1546)),AND(I1546&lt;&gt;"",NOT(ISNUMBER(I1546))),N(I1546)&lt;0,N(I1546)&lt;&gt;INT(N(I1546))),"Quantité invalide",IF(Q1546&lt;=0,"Cadence manquante (poste ou article)",IF(M1546&lt;=0,"Arrêts planifiés supérieurs au temps d'ouverture",IF(O1546&lt;0,"Arrêts supérieurs au temps requis",IF(AND(P1546&gt;0,O1546=0),"Pièces déclarées sans temps de marche",IF(AND(P1546=0,O1546&gt;0),"Aucune pièce déclarée",IF(P1546*60/Q1546&gt;O1546+0.001,"Cadence dépassée : vérifiez la cadence","OK"))))))))))))))))))</f>
        <v/>
      </c>
      <c r="AC1546">
        <f>IF(OR(AB1546="OK",AB1546="Aucune pièce déclarée",AB1546="Cadence dépassée : vérifiez la cadence"),1,0)</f>
        <v>0.0</v>
      </c>
      <c r="AD1546">
        <f>IF(AND(AC1546=1,A1546&gt;=p_from,A1546&lt;=p_to),1,0)</f>
        <v>0.0</v>
      </c>
      <c r="AE1546">
        <f>IF(AD1546=1,IF(COUNTIFS($A$6:A1546,A1546,$AD$6:AD1546,1)=1,1,0),0)</f>
        <v>0.0</v>
      </c>
      <c r="AF1546" t="str">
        <f>IF(AE1546=1,COUNTIFS(sj_first,1,sj_date,"&lt;"&amp;A1546)+1,"")</f>
        <v/>
      </c>
      <c r="AG1546" t="str">
        <f>IF(AND(AD1546=1,N(W1546)&lt;p_alert),ROUND(W1546,4),"")</f>
        <v/>
      </c>
      <c r="AH1546" t="str">
        <f>IF(AG1546="","",COUNTIF(sj_akey,"&lt;"&amp;AG1546)+COUNTIF($AG$6:AG1546,AG1546))</f>
        <v/>
      </c>
    </row>
    <row r="1547">
      <c r="A1547" s="51" t="n"/>
      <c r="B1547" s="52" t="n"/>
      <c r="C1547" s="52" t="n"/>
      <c r="D1547" s="53" t="n"/>
      <c r="E1547" s="53" t="n"/>
      <c r="F1547" s="54" t="n"/>
      <c r="G1547" s="54" t="n"/>
      <c r="H1547" s="54" t="n"/>
      <c r="I1547" s="54" t="n"/>
      <c r="J1547" s="53" t="n"/>
      <c r="K1547" s="55" t="str">
        <f>IF(COUNTA(A1547:I1547)=0,"",IF(F1547="",IFERROR(INDEX(eq_dur,MATCH(B1547,eq_code,0)),""),F1547))</f>
        <v/>
      </c>
      <c r="L1547" s="55" t="str">
        <f>IF(ISNUMBER(K1547),N(IFERROR(INDEX(eq_pause,MATCH(B1547,eq_code,0)),0))+SUMIFS(st_min,st_date,A1547,st_eq,B1547,st_po,C1547,st_type,"Planifié"),"")</f>
        <v/>
      </c>
      <c r="M1547" s="55" t="str">
        <f>IF(ISNUMBER(K1547),K1547-L1547,"")</f>
        <v/>
      </c>
      <c r="N1547" s="55" t="str">
        <f>IF(ISNUMBER(K1547),SUMIFS(st_min,st_date,A1547,st_eq,B1547,st_po,C1547,st_type,"Non planifié"),"")</f>
        <v/>
      </c>
      <c r="O1547" s="55" t="str">
        <f>IF(ISNUMBER(K1547),M1547-N1547,"")</f>
        <v/>
      </c>
      <c r="P1547" s="55" t="str">
        <f>IF(COUNTA(A1547:I1547)=0,"",N(G1547)+N(H1547)+N(I1547))</f>
        <v/>
      </c>
      <c r="Q1547" s="56" t="str">
        <f>IF(COUNTA(A1547:I1547)=0,"",IF(N(IFERROR(INDEX(art_rate,MATCH(E1547,art_ref,0)),0))&gt;0,N(IFERROR(INDEX(art_rate,MATCH(E1547,art_ref,0)),0)),N(IFERROR(INDEX(po_rate,MATCH(C1547,po_code,0)),0))))</f>
        <v/>
      </c>
      <c r="R1547" s="55" t="str">
        <f>IF(AC1547=1,P1547*60/Q1547,"")</f>
        <v/>
      </c>
      <c r="S1547" s="55" t="str">
        <f>IF(AC1547=1,N(G1547)*60/Q1547,"")</f>
        <v/>
      </c>
      <c r="T1547" s="57" t="str">
        <f>IF(AC1547=1,O1547/M1547,"")</f>
        <v/>
      </c>
      <c r="U1547" s="57" t="str">
        <f>IF(AC1547=1,IF(O1547&gt;0,R1547/O1547,""),"")</f>
        <v/>
      </c>
      <c r="V1547" s="57" t="str">
        <f>IF(AC1547=1,IF(P1547&gt;0,N(G1547)/P1547,""),"")</f>
        <v/>
      </c>
      <c r="W1547" s="57" t="str">
        <f>IF(AC1547=1,S1547/M1547,"")</f>
        <v/>
      </c>
      <c r="X1547" s="57" t="str">
        <f>IF(AC1547=1,S1547/K1547,"")</f>
        <v/>
      </c>
      <c r="Y1547" s="58" t="str">
        <f>IF(W1547="","",IF(W1547&gt;=p_target,"Bon",IF(W1547&gt;=p_alert,"À surveiller","Faible")))</f>
        <v/>
      </c>
      <c r="Z1547" s="58" t="str">
        <f>IF(W1547="","",IF(MIN(IF(T1547="",1,T1547),IF(U1547="",1,U1547),IF(V1547="",1,V1547))&gt;=1,"Aucune",IF(IF(T1547="",1,T1547)&lt;=MIN(IF(U1547="",1,U1547),IF(V1547="",1,V1547)),"Disponibilité",IF(IF(U1547="",1,U1547)&lt;=IF(V1547="",1,V1547),"Performance","Qualité"))))</f>
        <v/>
      </c>
      <c r="AA1547" s="59" t="str">
        <f>IF(AC1547=1,N(H1547)*N(IFERROR(INDEX(art_cost,MATCH(E1547,art_ref,0)),0)),"")</f>
        <v/>
      </c>
      <c r="AB1547" s="58" t="str">
        <f>IF(COUNTA(A1547:I1547)=0,"",IF(N(A1547)&lt;=0,"Date manquante ou invalide",IF(B1547="","Équipe manquante",IF(ISNA(MATCH(B1547,eq_code,0)),"Équipe inconnue",IF(INDEX(eq_check,MATCH(B1547,eq_code,0))&lt;&gt;"OK","Équipe à corriger dans Paramètres",IF(C1547="","Poste manquant",IF(ISNA(MATCH(C1547,po_code,0)),"Poste inconnu",IF(AND(E1547&lt;&gt;"",ISNA(MATCH(E1547,art_ref,0))),"Article inconnu",IF(IF(E1547="",FALSE,INDEX(art_check,MATCH(E1547,art_ref,0))&lt;&gt;"OK"),"Article à corriger (feuille Articles)",IF(COUNTIFS(sj_date,A1547,sj_eq,B1547,sj_po,C1547)&gt;1,"Ligne en double (même jour, équipe et poste)",IF(OR(NOT(ISNUMBER(K1547)),N(K1547)&lt;=0,N(K1547)&gt;1440),"Temps d'ouverture invalide",IF(OR(AND(G1547&lt;&gt;"",NOT(ISNUMBER(G1547))),N(G1547)&lt;0,N(G1547)&lt;&gt;INT(N(G1547)),AND(H1547&lt;&gt;"",NOT(ISNUMBER(H1547))),N(H1547)&lt;0,N(H1547)&lt;&gt;INT(N(H1547)),AND(I1547&lt;&gt;"",NOT(ISNUMBER(I1547))),N(I1547)&lt;0,N(I1547)&lt;&gt;INT(N(I1547))),"Quantité invalide",IF(Q1547&lt;=0,"Cadence manquante (poste ou article)",IF(M1547&lt;=0,"Arrêts planifiés supérieurs au temps d'ouverture",IF(O1547&lt;0,"Arrêts supérieurs au temps requis",IF(AND(P1547&gt;0,O1547=0),"Pièces déclarées sans temps de marche",IF(AND(P1547=0,O1547&gt;0),"Aucune pièce déclarée",IF(P1547*60/Q1547&gt;O1547+0.001,"Cadence dépassée : vérifiez la cadence","OK"))))))))))))))))))</f>
        <v/>
      </c>
      <c r="AC1547">
        <f>IF(OR(AB1547="OK",AB1547="Aucune pièce déclarée",AB1547="Cadence dépassée : vérifiez la cadence"),1,0)</f>
        <v>0.0</v>
      </c>
      <c r="AD1547">
        <f>IF(AND(AC1547=1,A1547&gt;=p_from,A1547&lt;=p_to),1,0)</f>
        <v>0.0</v>
      </c>
      <c r="AE1547">
        <f>IF(AD1547=1,IF(COUNTIFS($A$6:A1547,A1547,$AD$6:AD1547,1)=1,1,0),0)</f>
        <v>0.0</v>
      </c>
      <c r="AF1547" t="str">
        <f>IF(AE1547=1,COUNTIFS(sj_first,1,sj_date,"&lt;"&amp;A1547)+1,"")</f>
        <v/>
      </c>
      <c r="AG1547" t="str">
        <f>IF(AND(AD1547=1,N(W1547)&lt;p_alert),ROUND(W1547,4),"")</f>
        <v/>
      </c>
      <c r="AH1547" t="str">
        <f>IF(AG1547="","",COUNTIF(sj_akey,"&lt;"&amp;AG1547)+COUNTIF($AG$6:AG1547,AG1547))</f>
        <v/>
      </c>
    </row>
    <row r="1548">
      <c r="A1548" s="51" t="n"/>
      <c r="B1548" s="52" t="n"/>
      <c r="C1548" s="52" t="n"/>
      <c r="D1548" s="53" t="n"/>
      <c r="E1548" s="53" t="n"/>
      <c r="F1548" s="54" t="n"/>
      <c r="G1548" s="54" t="n"/>
      <c r="H1548" s="54" t="n"/>
      <c r="I1548" s="54" t="n"/>
      <c r="J1548" s="53" t="n"/>
      <c r="K1548" s="55" t="str">
        <f>IF(COUNTA(A1548:I1548)=0,"",IF(F1548="",IFERROR(INDEX(eq_dur,MATCH(B1548,eq_code,0)),""),F1548))</f>
        <v/>
      </c>
      <c r="L1548" s="55" t="str">
        <f>IF(ISNUMBER(K1548),N(IFERROR(INDEX(eq_pause,MATCH(B1548,eq_code,0)),0))+SUMIFS(st_min,st_date,A1548,st_eq,B1548,st_po,C1548,st_type,"Planifié"),"")</f>
        <v/>
      </c>
      <c r="M1548" s="55" t="str">
        <f>IF(ISNUMBER(K1548),K1548-L1548,"")</f>
        <v/>
      </c>
      <c r="N1548" s="55" t="str">
        <f>IF(ISNUMBER(K1548),SUMIFS(st_min,st_date,A1548,st_eq,B1548,st_po,C1548,st_type,"Non planifié"),"")</f>
        <v/>
      </c>
      <c r="O1548" s="55" t="str">
        <f>IF(ISNUMBER(K1548),M1548-N1548,"")</f>
        <v/>
      </c>
      <c r="P1548" s="55" t="str">
        <f>IF(COUNTA(A1548:I1548)=0,"",N(G1548)+N(H1548)+N(I1548))</f>
        <v/>
      </c>
      <c r="Q1548" s="56" t="str">
        <f>IF(COUNTA(A1548:I1548)=0,"",IF(N(IFERROR(INDEX(art_rate,MATCH(E1548,art_ref,0)),0))&gt;0,N(IFERROR(INDEX(art_rate,MATCH(E1548,art_ref,0)),0)),N(IFERROR(INDEX(po_rate,MATCH(C1548,po_code,0)),0))))</f>
        <v/>
      </c>
      <c r="R1548" s="55" t="str">
        <f>IF(AC1548=1,P1548*60/Q1548,"")</f>
        <v/>
      </c>
      <c r="S1548" s="55" t="str">
        <f>IF(AC1548=1,N(G1548)*60/Q1548,"")</f>
        <v/>
      </c>
      <c r="T1548" s="57" t="str">
        <f>IF(AC1548=1,O1548/M1548,"")</f>
        <v/>
      </c>
      <c r="U1548" s="57" t="str">
        <f>IF(AC1548=1,IF(O1548&gt;0,R1548/O1548,""),"")</f>
        <v/>
      </c>
      <c r="V1548" s="57" t="str">
        <f>IF(AC1548=1,IF(P1548&gt;0,N(G1548)/P1548,""),"")</f>
        <v/>
      </c>
      <c r="W1548" s="57" t="str">
        <f>IF(AC1548=1,S1548/M1548,"")</f>
        <v/>
      </c>
      <c r="X1548" s="57" t="str">
        <f>IF(AC1548=1,S1548/K1548,"")</f>
        <v/>
      </c>
      <c r="Y1548" s="58" t="str">
        <f>IF(W1548="","",IF(W1548&gt;=p_target,"Bon",IF(W1548&gt;=p_alert,"À surveiller","Faible")))</f>
        <v/>
      </c>
      <c r="Z1548" s="58" t="str">
        <f>IF(W1548="","",IF(MIN(IF(T1548="",1,T1548),IF(U1548="",1,U1548),IF(V1548="",1,V1548))&gt;=1,"Aucune",IF(IF(T1548="",1,T1548)&lt;=MIN(IF(U1548="",1,U1548),IF(V1548="",1,V1548)),"Disponibilité",IF(IF(U1548="",1,U1548)&lt;=IF(V1548="",1,V1548),"Performance","Qualité"))))</f>
        <v/>
      </c>
      <c r="AA1548" s="59" t="str">
        <f>IF(AC1548=1,N(H1548)*N(IFERROR(INDEX(art_cost,MATCH(E1548,art_ref,0)),0)),"")</f>
        <v/>
      </c>
      <c r="AB1548" s="58" t="str">
        <f>IF(COUNTA(A1548:I1548)=0,"",IF(N(A1548)&lt;=0,"Date manquante ou invalide",IF(B1548="","Équipe manquante",IF(ISNA(MATCH(B1548,eq_code,0)),"Équipe inconnue",IF(INDEX(eq_check,MATCH(B1548,eq_code,0))&lt;&gt;"OK","Équipe à corriger dans Paramètres",IF(C1548="","Poste manquant",IF(ISNA(MATCH(C1548,po_code,0)),"Poste inconnu",IF(AND(E1548&lt;&gt;"",ISNA(MATCH(E1548,art_ref,0))),"Article inconnu",IF(IF(E1548="",FALSE,INDEX(art_check,MATCH(E1548,art_ref,0))&lt;&gt;"OK"),"Article à corriger (feuille Articles)",IF(COUNTIFS(sj_date,A1548,sj_eq,B1548,sj_po,C1548)&gt;1,"Ligne en double (même jour, équipe et poste)",IF(OR(NOT(ISNUMBER(K1548)),N(K1548)&lt;=0,N(K1548)&gt;1440),"Temps d'ouverture invalide",IF(OR(AND(G1548&lt;&gt;"",NOT(ISNUMBER(G1548))),N(G1548)&lt;0,N(G1548)&lt;&gt;INT(N(G1548)),AND(H1548&lt;&gt;"",NOT(ISNUMBER(H1548))),N(H1548)&lt;0,N(H1548)&lt;&gt;INT(N(H1548)),AND(I1548&lt;&gt;"",NOT(ISNUMBER(I1548))),N(I1548)&lt;0,N(I1548)&lt;&gt;INT(N(I1548))),"Quantité invalide",IF(Q1548&lt;=0,"Cadence manquante (poste ou article)",IF(M1548&lt;=0,"Arrêts planifiés supérieurs au temps d'ouverture",IF(O1548&lt;0,"Arrêts supérieurs au temps requis",IF(AND(P1548&gt;0,O1548=0),"Pièces déclarées sans temps de marche",IF(AND(P1548=0,O1548&gt;0),"Aucune pièce déclarée",IF(P1548*60/Q1548&gt;O1548+0.001,"Cadence dépassée : vérifiez la cadence","OK"))))))))))))))))))</f>
        <v/>
      </c>
      <c r="AC1548">
        <f>IF(OR(AB1548="OK",AB1548="Aucune pièce déclarée",AB1548="Cadence dépassée : vérifiez la cadence"),1,0)</f>
        <v>0.0</v>
      </c>
      <c r="AD1548">
        <f>IF(AND(AC1548=1,A1548&gt;=p_from,A1548&lt;=p_to),1,0)</f>
        <v>0.0</v>
      </c>
      <c r="AE1548">
        <f>IF(AD1548=1,IF(COUNTIFS($A$6:A1548,A1548,$AD$6:AD1548,1)=1,1,0),0)</f>
        <v>0.0</v>
      </c>
      <c r="AF1548" t="str">
        <f>IF(AE1548=1,COUNTIFS(sj_first,1,sj_date,"&lt;"&amp;A1548)+1,"")</f>
        <v/>
      </c>
      <c r="AG1548" t="str">
        <f>IF(AND(AD1548=1,N(W1548)&lt;p_alert),ROUND(W1548,4),"")</f>
        <v/>
      </c>
      <c r="AH1548" t="str">
        <f>IF(AG1548="","",COUNTIF(sj_akey,"&lt;"&amp;AG1548)+COUNTIF($AG$6:AG1548,AG1548))</f>
        <v/>
      </c>
    </row>
    <row r="1549">
      <c r="A1549" s="51" t="n"/>
      <c r="B1549" s="52" t="n"/>
      <c r="C1549" s="52" t="n"/>
      <c r="D1549" s="53" t="n"/>
      <c r="E1549" s="53" t="n"/>
      <c r="F1549" s="54" t="n"/>
      <c r="G1549" s="54" t="n"/>
      <c r="H1549" s="54" t="n"/>
      <c r="I1549" s="54" t="n"/>
      <c r="J1549" s="53" t="n"/>
      <c r="K1549" s="55" t="str">
        <f>IF(COUNTA(A1549:I1549)=0,"",IF(F1549="",IFERROR(INDEX(eq_dur,MATCH(B1549,eq_code,0)),""),F1549))</f>
        <v/>
      </c>
      <c r="L1549" s="55" t="str">
        <f>IF(ISNUMBER(K1549),N(IFERROR(INDEX(eq_pause,MATCH(B1549,eq_code,0)),0))+SUMIFS(st_min,st_date,A1549,st_eq,B1549,st_po,C1549,st_type,"Planifié"),"")</f>
        <v/>
      </c>
      <c r="M1549" s="55" t="str">
        <f>IF(ISNUMBER(K1549),K1549-L1549,"")</f>
        <v/>
      </c>
      <c r="N1549" s="55" t="str">
        <f>IF(ISNUMBER(K1549),SUMIFS(st_min,st_date,A1549,st_eq,B1549,st_po,C1549,st_type,"Non planifié"),"")</f>
        <v/>
      </c>
      <c r="O1549" s="55" t="str">
        <f>IF(ISNUMBER(K1549),M1549-N1549,"")</f>
        <v/>
      </c>
      <c r="P1549" s="55" t="str">
        <f>IF(COUNTA(A1549:I1549)=0,"",N(G1549)+N(H1549)+N(I1549))</f>
        <v/>
      </c>
      <c r="Q1549" s="56" t="str">
        <f>IF(COUNTA(A1549:I1549)=0,"",IF(N(IFERROR(INDEX(art_rate,MATCH(E1549,art_ref,0)),0))&gt;0,N(IFERROR(INDEX(art_rate,MATCH(E1549,art_ref,0)),0)),N(IFERROR(INDEX(po_rate,MATCH(C1549,po_code,0)),0))))</f>
        <v/>
      </c>
      <c r="R1549" s="55" t="str">
        <f>IF(AC1549=1,P1549*60/Q1549,"")</f>
        <v/>
      </c>
      <c r="S1549" s="55" t="str">
        <f>IF(AC1549=1,N(G1549)*60/Q1549,"")</f>
        <v/>
      </c>
      <c r="T1549" s="57" t="str">
        <f>IF(AC1549=1,O1549/M1549,"")</f>
        <v/>
      </c>
      <c r="U1549" s="57" t="str">
        <f>IF(AC1549=1,IF(O1549&gt;0,R1549/O1549,""),"")</f>
        <v/>
      </c>
      <c r="V1549" s="57" t="str">
        <f>IF(AC1549=1,IF(P1549&gt;0,N(G1549)/P1549,""),"")</f>
        <v/>
      </c>
      <c r="W1549" s="57" t="str">
        <f>IF(AC1549=1,S1549/M1549,"")</f>
        <v/>
      </c>
      <c r="X1549" s="57" t="str">
        <f>IF(AC1549=1,S1549/K1549,"")</f>
        <v/>
      </c>
      <c r="Y1549" s="58" t="str">
        <f>IF(W1549="","",IF(W1549&gt;=p_target,"Bon",IF(W1549&gt;=p_alert,"À surveiller","Faible")))</f>
        <v/>
      </c>
      <c r="Z1549" s="58" t="str">
        <f>IF(W1549="","",IF(MIN(IF(T1549="",1,T1549),IF(U1549="",1,U1549),IF(V1549="",1,V1549))&gt;=1,"Aucune",IF(IF(T1549="",1,T1549)&lt;=MIN(IF(U1549="",1,U1549),IF(V1549="",1,V1549)),"Disponibilité",IF(IF(U1549="",1,U1549)&lt;=IF(V1549="",1,V1549),"Performance","Qualité"))))</f>
        <v/>
      </c>
      <c r="AA1549" s="59" t="str">
        <f>IF(AC1549=1,N(H1549)*N(IFERROR(INDEX(art_cost,MATCH(E1549,art_ref,0)),0)),"")</f>
        <v/>
      </c>
      <c r="AB1549" s="58" t="str">
        <f>IF(COUNTA(A1549:I1549)=0,"",IF(N(A1549)&lt;=0,"Date manquante ou invalide",IF(B1549="","Équipe manquante",IF(ISNA(MATCH(B1549,eq_code,0)),"Équipe inconnue",IF(INDEX(eq_check,MATCH(B1549,eq_code,0))&lt;&gt;"OK","Équipe à corriger dans Paramètres",IF(C1549="","Poste manquant",IF(ISNA(MATCH(C1549,po_code,0)),"Poste inconnu",IF(AND(E1549&lt;&gt;"",ISNA(MATCH(E1549,art_ref,0))),"Article inconnu",IF(IF(E1549="",FALSE,INDEX(art_check,MATCH(E1549,art_ref,0))&lt;&gt;"OK"),"Article à corriger (feuille Articles)",IF(COUNTIFS(sj_date,A1549,sj_eq,B1549,sj_po,C1549)&gt;1,"Ligne en double (même jour, équipe et poste)",IF(OR(NOT(ISNUMBER(K1549)),N(K1549)&lt;=0,N(K1549)&gt;1440),"Temps d'ouverture invalide",IF(OR(AND(G1549&lt;&gt;"",NOT(ISNUMBER(G1549))),N(G1549)&lt;0,N(G1549)&lt;&gt;INT(N(G1549)),AND(H1549&lt;&gt;"",NOT(ISNUMBER(H1549))),N(H1549)&lt;0,N(H1549)&lt;&gt;INT(N(H1549)),AND(I1549&lt;&gt;"",NOT(ISNUMBER(I1549))),N(I1549)&lt;0,N(I1549)&lt;&gt;INT(N(I1549))),"Quantité invalide",IF(Q1549&lt;=0,"Cadence manquante (poste ou article)",IF(M1549&lt;=0,"Arrêts planifiés supérieurs au temps d'ouverture",IF(O1549&lt;0,"Arrêts supérieurs au temps requis",IF(AND(P1549&gt;0,O1549=0),"Pièces déclarées sans temps de marche",IF(AND(P1549=0,O1549&gt;0),"Aucune pièce déclarée",IF(P1549*60/Q1549&gt;O1549+0.001,"Cadence dépassée : vérifiez la cadence","OK"))))))))))))))))))</f>
        <v/>
      </c>
      <c r="AC1549">
        <f>IF(OR(AB1549="OK",AB1549="Aucune pièce déclarée",AB1549="Cadence dépassée : vérifiez la cadence"),1,0)</f>
        <v>0.0</v>
      </c>
      <c r="AD1549">
        <f>IF(AND(AC1549=1,A1549&gt;=p_from,A1549&lt;=p_to),1,0)</f>
        <v>0.0</v>
      </c>
      <c r="AE1549">
        <f>IF(AD1549=1,IF(COUNTIFS($A$6:A1549,A1549,$AD$6:AD1549,1)=1,1,0),0)</f>
        <v>0.0</v>
      </c>
      <c r="AF1549" t="str">
        <f>IF(AE1549=1,COUNTIFS(sj_first,1,sj_date,"&lt;"&amp;A1549)+1,"")</f>
        <v/>
      </c>
      <c r="AG1549" t="str">
        <f>IF(AND(AD1549=1,N(W1549)&lt;p_alert),ROUND(W1549,4),"")</f>
        <v/>
      </c>
      <c r="AH1549" t="str">
        <f>IF(AG1549="","",COUNTIF(sj_akey,"&lt;"&amp;AG1549)+COUNTIF($AG$6:AG1549,AG1549))</f>
        <v/>
      </c>
    </row>
    <row r="1550">
      <c r="A1550" s="51" t="n"/>
      <c r="B1550" s="52" t="n"/>
      <c r="C1550" s="52" t="n"/>
      <c r="D1550" s="53" t="n"/>
      <c r="E1550" s="53" t="n"/>
      <c r="F1550" s="54" t="n"/>
      <c r="G1550" s="54" t="n"/>
      <c r="H1550" s="54" t="n"/>
      <c r="I1550" s="54" t="n"/>
      <c r="J1550" s="53" t="n"/>
      <c r="K1550" s="55" t="str">
        <f>IF(COUNTA(A1550:I1550)=0,"",IF(F1550="",IFERROR(INDEX(eq_dur,MATCH(B1550,eq_code,0)),""),F1550))</f>
        <v/>
      </c>
      <c r="L1550" s="55" t="str">
        <f>IF(ISNUMBER(K1550),N(IFERROR(INDEX(eq_pause,MATCH(B1550,eq_code,0)),0))+SUMIFS(st_min,st_date,A1550,st_eq,B1550,st_po,C1550,st_type,"Planifié"),"")</f>
        <v/>
      </c>
      <c r="M1550" s="55" t="str">
        <f>IF(ISNUMBER(K1550),K1550-L1550,"")</f>
        <v/>
      </c>
      <c r="N1550" s="55" t="str">
        <f>IF(ISNUMBER(K1550),SUMIFS(st_min,st_date,A1550,st_eq,B1550,st_po,C1550,st_type,"Non planifié"),"")</f>
        <v/>
      </c>
      <c r="O1550" s="55" t="str">
        <f>IF(ISNUMBER(K1550),M1550-N1550,"")</f>
        <v/>
      </c>
      <c r="P1550" s="55" t="str">
        <f>IF(COUNTA(A1550:I1550)=0,"",N(G1550)+N(H1550)+N(I1550))</f>
        <v/>
      </c>
      <c r="Q1550" s="56" t="str">
        <f>IF(COUNTA(A1550:I1550)=0,"",IF(N(IFERROR(INDEX(art_rate,MATCH(E1550,art_ref,0)),0))&gt;0,N(IFERROR(INDEX(art_rate,MATCH(E1550,art_ref,0)),0)),N(IFERROR(INDEX(po_rate,MATCH(C1550,po_code,0)),0))))</f>
        <v/>
      </c>
      <c r="R1550" s="55" t="str">
        <f>IF(AC1550=1,P1550*60/Q1550,"")</f>
        <v/>
      </c>
      <c r="S1550" s="55" t="str">
        <f>IF(AC1550=1,N(G1550)*60/Q1550,"")</f>
        <v/>
      </c>
      <c r="T1550" s="57" t="str">
        <f>IF(AC1550=1,O1550/M1550,"")</f>
        <v/>
      </c>
      <c r="U1550" s="57" t="str">
        <f>IF(AC1550=1,IF(O1550&gt;0,R1550/O1550,""),"")</f>
        <v/>
      </c>
      <c r="V1550" s="57" t="str">
        <f>IF(AC1550=1,IF(P1550&gt;0,N(G1550)/P1550,""),"")</f>
        <v/>
      </c>
      <c r="W1550" s="57" t="str">
        <f>IF(AC1550=1,S1550/M1550,"")</f>
        <v/>
      </c>
      <c r="X1550" s="57" t="str">
        <f>IF(AC1550=1,S1550/K1550,"")</f>
        <v/>
      </c>
      <c r="Y1550" s="58" t="str">
        <f>IF(W1550="","",IF(W1550&gt;=p_target,"Bon",IF(W1550&gt;=p_alert,"À surveiller","Faible")))</f>
        <v/>
      </c>
      <c r="Z1550" s="58" t="str">
        <f>IF(W1550="","",IF(MIN(IF(T1550="",1,T1550),IF(U1550="",1,U1550),IF(V1550="",1,V1550))&gt;=1,"Aucune",IF(IF(T1550="",1,T1550)&lt;=MIN(IF(U1550="",1,U1550),IF(V1550="",1,V1550)),"Disponibilité",IF(IF(U1550="",1,U1550)&lt;=IF(V1550="",1,V1550),"Performance","Qualité"))))</f>
        <v/>
      </c>
      <c r="AA1550" s="59" t="str">
        <f>IF(AC1550=1,N(H1550)*N(IFERROR(INDEX(art_cost,MATCH(E1550,art_ref,0)),0)),"")</f>
        <v/>
      </c>
      <c r="AB1550" s="58" t="str">
        <f>IF(COUNTA(A1550:I1550)=0,"",IF(N(A1550)&lt;=0,"Date manquante ou invalide",IF(B1550="","Équipe manquante",IF(ISNA(MATCH(B1550,eq_code,0)),"Équipe inconnue",IF(INDEX(eq_check,MATCH(B1550,eq_code,0))&lt;&gt;"OK","Équipe à corriger dans Paramètres",IF(C1550="","Poste manquant",IF(ISNA(MATCH(C1550,po_code,0)),"Poste inconnu",IF(AND(E1550&lt;&gt;"",ISNA(MATCH(E1550,art_ref,0))),"Article inconnu",IF(IF(E1550="",FALSE,INDEX(art_check,MATCH(E1550,art_ref,0))&lt;&gt;"OK"),"Article à corriger (feuille Articles)",IF(COUNTIFS(sj_date,A1550,sj_eq,B1550,sj_po,C1550)&gt;1,"Ligne en double (même jour, équipe et poste)",IF(OR(NOT(ISNUMBER(K1550)),N(K1550)&lt;=0,N(K1550)&gt;1440),"Temps d'ouverture invalide",IF(OR(AND(G1550&lt;&gt;"",NOT(ISNUMBER(G1550))),N(G1550)&lt;0,N(G1550)&lt;&gt;INT(N(G1550)),AND(H1550&lt;&gt;"",NOT(ISNUMBER(H1550))),N(H1550)&lt;0,N(H1550)&lt;&gt;INT(N(H1550)),AND(I1550&lt;&gt;"",NOT(ISNUMBER(I1550))),N(I1550)&lt;0,N(I1550)&lt;&gt;INT(N(I1550))),"Quantité invalide",IF(Q1550&lt;=0,"Cadence manquante (poste ou article)",IF(M1550&lt;=0,"Arrêts planifiés supérieurs au temps d'ouverture",IF(O1550&lt;0,"Arrêts supérieurs au temps requis",IF(AND(P1550&gt;0,O1550=0),"Pièces déclarées sans temps de marche",IF(AND(P1550=0,O1550&gt;0),"Aucune pièce déclarée",IF(P1550*60/Q1550&gt;O1550+0.001,"Cadence dépassée : vérifiez la cadence","OK"))))))))))))))))))</f>
        <v/>
      </c>
      <c r="AC1550">
        <f>IF(OR(AB1550="OK",AB1550="Aucune pièce déclarée",AB1550="Cadence dépassée : vérifiez la cadence"),1,0)</f>
        <v>0.0</v>
      </c>
      <c r="AD1550">
        <f>IF(AND(AC1550=1,A1550&gt;=p_from,A1550&lt;=p_to),1,0)</f>
        <v>0.0</v>
      </c>
      <c r="AE1550">
        <f>IF(AD1550=1,IF(COUNTIFS($A$6:A1550,A1550,$AD$6:AD1550,1)=1,1,0),0)</f>
        <v>0.0</v>
      </c>
      <c r="AF1550" t="str">
        <f>IF(AE1550=1,COUNTIFS(sj_first,1,sj_date,"&lt;"&amp;A1550)+1,"")</f>
        <v/>
      </c>
      <c r="AG1550" t="str">
        <f>IF(AND(AD1550=1,N(W1550)&lt;p_alert),ROUND(W1550,4),"")</f>
        <v/>
      </c>
      <c r="AH1550" t="str">
        <f>IF(AG1550="","",COUNTIF(sj_akey,"&lt;"&amp;AG1550)+COUNTIF($AG$6:AG1550,AG1550))</f>
        <v/>
      </c>
    </row>
    <row r="1551">
      <c r="A1551" s="51" t="n"/>
      <c r="B1551" s="52" t="n"/>
      <c r="C1551" s="52" t="n"/>
      <c r="D1551" s="53" t="n"/>
      <c r="E1551" s="53" t="n"/>
      <c r="F1551" s="54" t="n"/>
      <c r="G1551" s="54" t="n"/>
      <c r="H1551" s="54" t="n"/>
      <c r="I1551" s="54" t="n"/>
      <c r="J1551" s="53" t="n"/>
      <c r="K1551" s="55" t="str">
        <f>IF(COUNTA(A1551:I1551)=0,"",IF(F1551="",IFERROR(INDEX(eq_dur,MATCH(B1551,eq_code,0)),""),F1551))</f>
        <v/>
      </c>
      <c r="L1551" s="55" t="str">
        <f>IF(ISNUMBER(K1551),N(IFERROR(INDEX(eq_pause,MATCH(B1551,eq_code,0)),0))+SUMIFS(st_min,st_date,A1551,st_eq,B1551,st_po,C1551,st_type,"Planifié"),"")</f>
        <v/>
      </c>
      <c r="M1551" s="55" t="str">
        <f>IF(ISNUMBER(K1551),K1551-L1551,"")</f>
        <v/>
      </c>
      <c r="N1551" s="55" t="str">
        <f>IF(ISNUMBER(K1551),SUMIFS(st_min,st_date,A1551,st_eq,B1551,st_po,C1551,st_type,"Non planifié"),"")</f>
        <v/>
      </c>
      <c r="O1551" s="55" t="str">
        <f>IF(ISNUMBER(K1551),M1551-N1551,"")</f>
        <v/>
      </c>
      <c r="P1551" s="55" t="str">
        <f>IF(COUNTA(A1551:I1551)=0,"",N(G1551)+N(H1551)+N(I1551))</f>
        <v/>
      </c>
      <c r="Q1551" s="56" t="str">
        <f>IF(COUNTA(A1551:I1551)=0,"",IF(N(IFERROR(INDEX(art_rate,MATCH(E1551,art_ref,0)),0))&gt;0,N(IFERROR(INDEX(art_rate,MATCH(E1551,art_ref,0)),0)),N(IFERROR(INDEX(po_rate,MATCH(C1551,po_code,0)),0))))</f>
        <v/>
      </c>
      <c r="R1551" s="55" t="str">
        <f>IF(AC1551=1,P1551*60/Q1551,"")</f>
        <v/>
      </c>
      <c r="S1551" s="55" t="str">
        <f>IF(AC1551=1,N(G1551)*60/Q1551,"")</f>
        <v/>
      </c>
      <c r="T1551" s="57" t="str">
        <f>IF(AC1551=1,O1551/M1551,"")</f>
        <v/>
      </c>
      <c r="U1551" s="57" t="str">
        <f>IF(AC1551=1,IF(O1551&gt;0,R1551/O1551,""),"")</f>
        <v/>
      </c>
      <c r="V1551" s="57" t="str">
        <f>IF(AC1551=1,IF(P1551&gt;0,N(G1551)/P1551,""),"")</f>
        <v/>
      </c>
      <c r="W1551" s="57" t="str">
        <f>IF(AC1551=1,S1551/M1551,"")</f>
        <v/>
      </c>
      <c r="X1551" s="57" t="str">
        <f>IF(AC1551=1,S1551/K1551,"")</f>
        <v/>
      </c>
      <c r="Y1551" s="58" t="str">
        <f>IF(W1551="","",IF(W1551&gt;=p_target,"Bon",IF(W1551&gt;=p_alert,"À surveiller","Faible")))</f>
        <v/>
      </c>
      <c r="Z1551" s="58" t="str">
        <f>IF(W1551="","",IF(MIN(IF(T1551="",1,T1551),IF(U1551="",1,U1551),IF(V1551="",1,V1551))&gt;=1,"Aucune",IF(IF(T1551="",1,T1551)&lt;=MIN(IF(U1551="",1,U1551),IF(V1551="",1,V1551)),"Disponibilité",IF(IF(U1551="",1,U1551)&lt;=IF(V1551="",1,V1551),"Performance","Qualité"))))</f>
        <v/>
      </c>
      <c r="AA1551" s="59" t="str">
        <f>IF(AC1551=1,N(H1551)*N(IFERROR(INDEX(art_cost,MATCH(E1551,art_ref,0)),0)),"")</f>
        <v/>
      </c>
      <c r="AB1551" s="58" t="str">
        <f>IF(COUNTA(A1551:I1551)=0,"",IF(N(A1551)&lt;=0,"Date manquante ou invalide",IF(B1551="","Équipe manquante",IF(ISNA(MATCH(B1551,eq_code,0)),"Équipe inconnue",IF(INDEX(eq_check,MATCH(B1551,eq_code,0))&lt;&gt;"OK","Équipe à corriger dans Paramètres",IF(C1551="","Poste manquant",IF(ISNA(MATCH(C1551,po_code,0)),"Poste inconnu",IF(AND(E1551&lt;&gt;"",ISNA(MATCH(E1551,art_ref,0))),"Article inconnu",IF(IF(E1551="",FALSE,INDEX(art_check,MATCH(E1551,art_ref,0))&lt;&gt;"OK"),"Article à corriger (feuille Articles)",IF(COUNTIFS(sj_date,A1551,sj_eq,B1551,sj_po,C1551)&gt;1,"Ligne en double (même jour, équipe et poste)",IF(OR(NOT(ISNUMBER(K1551)),N(K1551)&lt;=0,N(K1551)&gt;1440),"Temps d'ouverture invalide",IF(OR(AND(G1551&lt;&gt;"",NOT(ISNUMBER(G1551))),N(G1551)&lt;0,N(G1551)&lt;&gt;INT(N(G1551)),AND(H1551&lt;&gt;"",NOT(ISNUMBER(H1551))),N(H1551)&lt;0,N(H1551)&lt;&gt;INT(N(H1551)),AND(I1551&lt;&gt;"",NOT(ISNUMBER(I1551))),N(I1551)&lt;0,N(I1551)&lt;&gt;INT(N(I1551))),"Quantité invalide",IF(Q1551&lt;=0,"Cadence manquante (poste ou article)",IF(M1551&lt;=0,"Arrêts planifiés supérieurs au temps d'ouverture",IF(O1551&lt;0,"Arrêts supérieurs au temps requis",IF(AND(P1551&gt;0,O1551=0),"Pièces déclarées sans temps de marche",IF(AND(P1551=0,O1551&gt;0),"Aucune pièce déclarée",IF(P1551*60/Q1551&gt;O1551+0.001,"Cadence dépassée : vérifiez la cadence","OK"))))))))))))))))))</f>
        <v/>
      </c>
      <c r="AC1551">
        <f>IF(OR(AB1551="OK",AB1551="Aucune pièce déclarée",AB1551="Cadence dépassée : vérifiez la cadence"),1,0)</f>
        <v>0.0</v>
      </c>
      <c r="AD1551">
        <f>IF(AND(AC1551=1,A1551&gt;=p_from,A1551&lt;=p_to),1,0)</f>
        <v>0.0</v>
      </c>
      <c r="AE1551">
        <f>IF(AD1551=1,IF(COUNTIFS($A$6:A1551,A1551,$AD$6:AD1551,1)=1,1,0),0)</f>
        <v>0.0</v>
      </c>
      <c r="AF1551" t="str">
        <f>IF(AE1551=1,COUNTIFS(sj_first,1,sj_date,"&lt;"&amp;A1551)+1,"")</f>
        <v/>
      </c>
      <c r="AG1551" t="str">
        <f>IF(AND(AD1551=1,N(W1551)&lt;p_alert),ROUND(W1551,4),"")</f>
        <v/>
      </c>
      <c r="AH1551" t="str">
        <f>IF(AG1551="","",COUNTIF(sj_akey,"&lt;"&amp;AG1551)+COUNTIF($AG$6:AG1551,AG1551))</f>
        <v/>
      </c>
    </row>
    <row r="1552">
      <c r="A1552" s="51" t="n"/>
      <c r="B1552" s="52" t="n"/>
      <c r="C1552" s="52" t="n"/>
      <c r="D1552" s="53" t="n"/>
      <c r="E1552" s="53" t="n"/>
      <c r="F1552" s="54" t="n"/>
      <c r="G1552" s="54" t="n"/>
      <c r="H1552" s="54" t="n"/>
      <c r="I1552" s="54" t="n"/>
      <c r="J1552" s="53" t="n"/>
      <c r="K1552" s="55" t="str">
        <f>IF(COUNTA(A1552:I1552)=0,"",IF(F1552="",IFERROR(INDEX(eq_dur,MATCH(B1552,eq_code,0)),""),F1552))</f>
        <v/>
      </c>
      <c r="L1552" s="55" t="str">
        <f>IF(ISNUMBER(K1552),N(IFERROR(INDEX(eq_pause,MATCH(B1552,eq_code,0)),0))+SUMIFS(st_min,st_date,A1552,st_eq,B1552,st_po,C1552,st_type,"Planifié"),"")</f>
        <v/>
      </c>
      <c r="M1552" s="55" t="str">
        <f>IF(ISNUMBER(K1552),K1552-L1552,"")</f>
        <v/>
      </c>
      <c r="N1552" s="55" t="str">
        <f>IF(ISNUMBER(K1552),SUMIFS(st_min,st_date,A1552,st_eq,B1552,st_po,C1552,st_type,"Non planifié"),"")</f>
        <v/>
      </c>
      <c r="O1552" s="55" t="str">
        <f>IF(ISNUMBER(K1552),M1552-N1552,"")</f>
        <v/>
      </c>
      <c r="P1552" s="55" t="str">
        <f>IF(COUNTA(A1552:I1552)=0,"",N(G1552)+N(H1552)+N(I1552))</f>
        <v/>
      </c>
      <c r="Q1552" s="56" t="str">
        <f>IF(COUNTA(A1552:I1552)=0,"",IF(N(IFERROR(INDEX(art_rate,MATCH(E1552,art_ref,0)),0))&gt;0,N(IFERROR(INDEX(art_rate,MATCH(E1552,art_ref,0)),0)),N(IFERROR(INDEX(po_rate,MATCH(C1552,po_code,0)),0))))</f>
        <v/>
      </c>
      <c r="R1552" s="55" t="str">
        <f>IF(AC1552=1,P1552*60/Q1552,"")</f>
        <v/>
      </c>
      <c r="S1552" s="55" t="str">
        <f>IF(AC1552=1,N(G1552)*60/Q1552,"")</f>
        <v/>
      </c>
      <c r="T1552" s="57" t="str">
        <f>IF(AC1552=1,O1552/M1552,"")</f>
        <v/>
      </c>
      <c r="U1552" s="57" t="str">
        <f>IF(AC1552=1,IF(O1552&gt;0,R1552/O1552,""),"")</f>
        <v/>
      </c>
      <c r="V1552" s="57" t="str">
        <f>IF(AC1552=1,IF(P1552&gt;0,N(G1552)/P1552,""),"")</f>
        <v/>
      </c>
      <c r="W1552" s="57" t="str">
        <f>IF(AC1552=1,S1552/M1552,"")</f>
        <v/>
      </c>
      <c r="X1552" s="57" t="str">
        <f>IF(AC1552=1,S1552/K1552,"")</f>
        <v/>
      </c>
      <c r="Y1552" s="58" t="str">
        <f>IF(W1552="","",IF(W1552&gt;=p_target,"Bon",IF(W1552&gt;=p_alert,"À surveiller","Faible")))</f>
        <v/>
      </c>
      <c r="Z1552" s="58" t="str">
        <f>IF(W1552="","",IF(MIN(IF(T1552="",1,T1552),IF(U1552="",1,U1552),IF(V1552="",1,V1552))&gt;=1,"Aucune",IF(IF(T1552="",1,T1552)&lt;=MIN(IF(U1552="",1,U1552),IF(V1552="",1,V1552)),"Disponibilité",IF(IF(U1552="",1,U1552)&lt;=IF(V1552="",1,V1552),"Performance","Qualité"))))</f>
        <v/>
      </c>
      <c r="AA1552" s="59" t="str">
        <f>IF(AC1552=1,N(H1552)*N(IFERROR(INDEX(art_cost,MATCH(E1552,art_ref,0)),0)),"")</f>
        <v/>
      </c>
      <c r="AB1552" s="58" t="str">
        <f>IF(COUNTA(A1552:I1552)=0,"",IF(N(A1552)&lt;=0,"Date manquante ou invalide",IF(B1552="","Équipe manquante",IF(ISNA(MATCH(B1552,eq_code,0)),"Équipe inconnue",IF(INDEX(eq_check,MATCH(B1552,eq_code,0))&lt;&gt;"OK","Équipe à corriger dans Paramètres",IF(C1552="","Poste manquant",IF(ISNA(MATCH(C1552,po_code,0)),"Poste inconnu",IF(AND(E1552&lt;&gt;"",ISNA(MATCH(E1552,art_ref,0))),"Article inconnu",IF(IF(E1552="",FALSE,INDEX(art_check,MATCH(E1552,art_ref,0))&lt;&gt;"OK"),"Article à corriger (feuille Articles)",IF(COUNTIFS(sj_date,A1552,sj_eq,B1552,sj_po,C1552)&gt;1,"Ligne en double (même jour, équipe et poste)",IF(OR(NOT(ISNUMBER(K1552)),N(K1552)&lt;=0,N(K1552)&gt;1440),"Temps d'ouverture invalide",IF(OR(AND(G1552&lt;&gt;"",NOT(ISNUMBER(G1552))),N(G1552)&lt;0,N(G1552)&lt;&gt;INT(N(G1552)),AND(H1552&lt;&gt;"",NOT(ISNUMBER(H1552))),N(H1552)&lt;0,N(H1552)&lt;&gt;INT(N(H1552)),AND(I1552&lt;&gt;"",NOT(ISNUMBER(I1552))),N(I1552)&lt;0,N(I1552)&lt;&gt;INT(N(I1552))),"Quantité invalide",IF(Q1552&lt;=0,"Cadence manquante (poste ou article)",IF(M1552&lt;=0,"Arrêts planifiés supérieurs au temps d'ouverture",IF(O1552&lt;0,"Arrêts supérieurs au temps requis",IF(AND(P1552&gt;0,O1552=0),"Pièces déclarées sans temps de marche",IF(AND(P1552=0,O1552&gt;0),"Aucune pièce déclarée",IF(P1552*60/Q1552&gt;O1552+0.001,"Cadence dépassée : vérifiez la cadence","OK"))))))))))))))))))</f>
        <v/>
      </c>
      <c r="AC1552">
        <f>IF(OR(AB1552="OK",AB1552="Aucune pièce déclarée",AB1552="Cadence dépassée : vérifiez la cadence"),1,0)</f>
        <v>0.0</v>
      </c>
      <c r="AD1552">
        <f>IF(AND(AC1552=1,A1552&gt;=p_from,A1552&lt;=p_to),1,0)</f>
        <v>0.0</v>
      </c>
      <c r="AE1552">
        <f>IF(AD1552=1,IF(COUNTIFS($A$6:A1552,A1552,$AD$6:AD1552,1)=1,1,0),0)</f>
        <v>0.0</v>
      </c>
      <c r="AF1552" t="str">
        <f>IF(AE1552=1,COUNTIFS(sj_first,1,sj_date,"&lt;"&amp;A1552)+1,"")</f>
        <v/>
      </c>
      <c r="AG1552" t="str">
        <f>IF(AND(AD1552=1,N(W1552)&lt;p_alert),ROUND(W1552,4),"")</f>
        <v/>
      </c>
      <c r="AH1552" t="str">
        <f>IF(AG1552="","",COUNTIF(sj_akey,"&lt;"&amp;AG1552)+COUNTIF($AG$6:AG1552,AG1552))</f>
        <v/>
      </c>
    </row>
    <row r="1553">
      <c r="A1553" s="51" t="n"/>
      <c r="B1553" s="52" t="n"/>
      <c r="C1553" s="52" t="n"/>
      <c r="D1553" s="53" t="n"/>
      <c r="E1553" s="53" t="n"/>
      <c r="F1553" s="54" t="n"/>
      <c r="G1553" s="54" t="n"/>
      <c r="H1553" s="54" t="n"/>
      <c r="I1553" s="54" t="n"/>
      <c r="J1553" s="53" t="n"/>
      <c r="K1553" s="55" t="str">
        <f>IF(COUNTA(A1553:I1553)=0,"",IF(F1553="",IFERROR(INDEX(eq_dur,MATCH(B1553,eq_code,0)),""),F1553))</f>
        <v/>
      </c>
      <c r="L1553" s="55" t="str">
        <f>IF(ISNUMBER(K1553),N(IFERROR(INDEX(eq_pause,MATCH(B1553,eq_code,0)),0))+SUMIFS(st_min,st_date,A1553,st_eq,B1553,st_po,C1553,st_type,"Planifié"),"")</f>
        <v/>
      </c>
      <c r="M1553" s="55" t="str">
        <f>IF(ISNUMBER(K1553),K1553-L1553,"")</f>
        <v/>
      </c>
      <c r="N1553" s="55" t="str">
        <f>IF(ISNUMBER(K1553),SUMIFS(st_min,st_date,A1553,st_eq,B1553,st_po,C1553,st_type,"Non planifié"),"")</f>
        <v/>
      </c>
      <c r="O1553" s="55" t="str">
        <f>IF(ISNUMBER(K1553),M1553-N1553,"")</f>
        <v/>
      </c>
      <c r="P1553" s="55" t="str">
        <f>IF(COUNTA(A1553:I1553)=0,"",N(G1553)+N(H1553)+N(I1553))</f>
        <v/>
      </c>
      <c r="Q1553" s="56" t="str">
        <f>IF(COUNTA(A1553:I1553)=0,"",IF(N(IFERROR(INDEX(art_rate,MATCH(E1553,art_ref,0)),0))&gt;0,N(IFERROR(INDEX(art_rate,MATCH(E1553,art_ref,0)),0)),N(IFERROR(INDEX(po_rate,MATCH(C1553,po_code,0)),0))))</f>
        <v/>
      </c>
      <c r="R1553" s="55" t="str">
        <f>IF(AC1553=1,P1553*60/Q1553,"")</f>
        <v/>
      </c>
      <c r="S1553" s="55" t="str">
        <f>IF(AC1553=1,N(G1553)*60/Q1553,"")</f>
        <v/>
      </c>
      <c r="T1553" s="57" t="str">
        <f>IF(AC1553=1,O1553/M1553,"")</f>
        <v/>
      </c>
      <c r="U1553" s="57" t="str">
        <f>IF(AC1553=1,IF(O1553&gt;0,R1553/O1553,""),"")</f>
        <v/>
      </c>
      <c r="V1553" s="57" t="str">
        <f>IF(AC1553=1,IF(P1553&gt;0,N(G1553)/P1553,""),"")</f>
        <v/>
      </c>
      <c r="W1553" s="57" t="str">
        <f>IF(AC1553=1,S1553/M1553,"")</f>
        <v/>
      </c>
      <c r="X1553" s="57" t="str">
        <f>IF(AC1553=1,S1553/K1553,"")</f>
        <v/>
      </c>
      <c r="Y1553" s="58" t="str">
        <f>IF(W1553="","",IF(W1553&gt;=p_target,"Bon",IF(W1553&gt;=p_alert,"À surveiller","Faible")))</f>
        <v/>
      </c>
      <c r="Z1553" s="58" t="str">
        <f>IF(W1553="","",IF(MIN(IF(T1553="",1,T1553),IF(U1553="",1,U1553),IF(V1553="",1,V1553))&gt;=1,"Aucune",IF(IF(T1553="",1,T1553)&lt;=MIN(IF(U1553="",1,U1553),IF(V1553="",1,V1553)),"Disponibilité",IF(IF(U1553="",1,U1553)&lt;=IF(V1553="",1,V1553),"Performance","Qualité"))))</f>
        <v/>
      </c>
      <c r="AA1553" s="59" t="str">
        <f>IF(AC1553=1,N(H1553)*N(IFERROR(INDEX(art_cost,MATCH(E1553,art_ref,0)),0)),"")</f>
        <v/>
      </c>
      <c r="AB1553" s="58" t="str">
        <f>IF(COUNTA(A1553:I1553)=0,"",IF(N(A1553)&lt;=0,"Date manquante ou invalide",IF(B1553="","Équipe manquante",IF(ISNA(MATCH(B1553,eq_code,0)),"Équipe inconnue",IF(INDEX(eq_check,MATCH(B1553,eq_code,0))&lt;&gt;"OK","Équipe à corriger dans Paramètres",IF(C1553="","Poste manquant",IF(ISNA(MATCH(C1553,po_code,0)),"Poste inconnu",IF(AND(E1553&lt;&gt;"",ISNA(MATCH(E1553,art_ref,0))),"Article inconnu",IF(IF(E1553="",FALSE,INDEX(art_check,MATCH(E1553,art_ref,0))&lt;&gt;"OK"),"Article à corriger (feuille Articles)",IF(COUNTIFS(sj_date,A1553,sj_eq,B1553,sj_po,C1553)&gt;1,"Ligne en double (même jour, équipe et poste)",IF(OR(NOT(ISNUMBER(K1553)),N(K1553)&lt;=0,N(K1553)&gt;1440),"Temps d'ouverture invalide",IF(OR(AND(G1553&lt;&gt;"",NOT(ISNUMBER(G1553))),N(G1553)&lt;0,N(G1553)&lt;&gt;INT(N(G1553)),AND(H1553&lt;&gt;"",NOT(ISNUMBER(H1553))),N(H1553)&lt;0,N(H1553)&lt;&gt;INT(N(H1553)),AND(I1553&lt;&gt;"",NOT(ISNUMBER(I1553))),N(I1553)&lt;0,N(I1553)&lt;&gt;INT(N(I1553))),"Quantité invalide",IF(Q1553&lt;=0,"Cadence manquante (poste ou article)",IF(M1553&lt;=0,"Arrêts planifiés supérieurs au temps d'ouverture",IF(O1553&lt;0,"Arrêts supérieurs au temps requis",IF(AND(P1553&gt;0,O1553=0),"Pièces déclarées sans temps de marche",IF(AND(P1553=0,O1553&gt;0),"Aucune pièce déclarée",IF(P1553*60/Q1553&gt;O1553+0.001,"Cadence dépassée : vérifiez la cadence","OK"))))))))))))))))))</f>
        <v/>
      </c>
      <c r="AC1553">
        <f>IF(OR(AB1553="OK",AB1553="Aucune pièce déclarée",AB1553="Cadence dépassée : vérifiez la cadence"),1,0)</f>
        <v>0.0</v>
      </c>
      <c r="AD1553">
        <f>IF(AND(AC1553=1,A1553&gt;=p_from,A1553&lt;=p_to),1,0)</f>
        <v>0.0</v>
      </c>
      <c r="AE1553">
        <f>IF(AD1553=1,IF(COUNTIFS($A$6:A1553,A1553,$AD$6:AD1553,1)=1,1,0),0)</f>
        <v>0.0</v>
      </c>
      <c r="AF1553" t="str">
        <f>IF(AE1553=1,COUNTIFS(sj_first,1,sj_date,"&lt;"&amp;A1553)+1,"")</f>
        <v/>
      </c>
      <c r="AG1553" t="str">
        <f>IF(AND(AD1553=1,N(W1553)&lt;p_alert),ROUND(W1553,4),"")</f>
        <v/>
      </c>
      <c r="AH1553" t="str">
        <f>IF(AG1553="","",COUNTIF(sj_akey,"&lt;"&amp;AG1553)+COUNTIF($AG$6:AG1553,AG1553))</f>
        <v/>
      </c>
    </row>
    <row r="1554">
      <c r="A1554" s="51" t="n"/>
      <c r="B1554" s="52" t="n"/>
      <c r="C1554" s="52" t="n"/>
      <c r="D1554" s="53" t="n"/>
      <c r="E1554" s="53" t="n"/>
      <c r="F1554" s="54" t="n"/>
      <c r="G1554" s="54" t="n"/>
      <c r="H1554" s="54" t="n"/>
      <c r="I1554" s="54" t="n"/>
      <c r="J1554" s="53" t="n"/>
      <c r="K1554" s="55" t="str">
        <f>IF(COUNTA(A1554:I1554)=0,"",IF(F1554="",IFERROR(INDEX(eq_dur,MATCH(B1554,eq_code,0)),""),F1554))</f>
        <v/>
      </c>
      <c r="L1554" s="55" t="str">
        <f>IF(ISNUMBER(K1554),N(IFERROR(INDEX(eq_pause,MATCH(B1554,eq_code,0)),0))+SUMIFS(st_min,st_date,A1554,st_eq,B1554,st_po,C1554,st_type,"Planifié"),"")</f>
        <v/>
      </c>
      <c r="M1554" s="55" t="str">
        <f>IF(ISNUMBER(K1554),K1554-L1554,"")</f>
        <v/>
      </c>
      <c r="N1554" s="55" t="str">
        <f>IF(ISNUMBER(K1554),SUMIFS(st_min,st_date,A1554,st_eq,B1554,st_po,C1554,st_type,"Non planifié"),"")</f>
        <v/>
      </c>
      <c r="O1554" s="55" t="str">
        <f>IF(ISNUMBER(K1554),M1554-N1554,"")</f>
        <v/>
      </c>
      <c r="P1554" s="55" t="str">
        <f>IF(COUNTA(A1554:I1554)=0,"",N(G1554)+N(H1554)+N(I1554))</f>
        <v/>
      </c>
      <c r="Q1554" s="56" t="str">
        <f>IF(COUNTA(A1554:I1554)=0,"",IF(N(IFERROR(INDEX(art_rate,MATCH(E1554,art_ref,0)),0))&gt;0,N(IFERROR(INDEX(art_rate,MATCH(E1554,art_ref,0)),0)),N(IFERROR(INDEX(po_rate,MATCH(C1554,po_code,0)),0))))</f>
        <v/>
      </c>
      <c r="R1554" s="55" t="str">
        <f>IF(AC1554=1,P1554*60/Q1554,"")</f>
        <v/>
      </c>
      <c r="S1554" s="55" t="str">
        <f>IF(AC1554=1,N(G1554)*60/Q1554,"")</f>
        <v/>
      </c>
      <c r="T1554" s="57" t="str">
        <f>IF(AC1554=1,O1554/M1554,"")</f>
        <v/>
      </c>
      <c r="U1554" s="57" t="str">
        <f>IF(AC1554=1,IF(O1554&gt;0,R1554/O1554,""),"")</f>
        <v/>
      </c>
      <c r="V1554" s="57" t="str">
        <f>IF(AC1554=1,IF(P1554&gt;0,N(G1554)/P1554,""),"")</f>
        <v/>
      </c>
      <c r="W1554" s="57" t="str">
        <f>IF(AC1554=1,S1554/M1554,"")</f>
        <v/>
      </c>
      <c r="X1554" s="57" t="str">
        <f>IF(AC1554=1,S1554/K1554,"")</f>
        <v/>
      </c>
      <c r="Y1554" s="58" t="str">
        <f>IF(W1554="","",IF(W1554&gt;=p_target,"Bon",IF(W1554&gt;=p_alert,"À surveiller","Faible")))</f>
        <v/>
      </c>
      <c r="Z1554" s="58" t="str">
        <f>IF(W1554="","",IF(MIN(IF(T1554="",1,T1554),IF(U1554="",1,U1554),IF(V1554="",1,V1554))&gt;=1,"Aucune",IF(IF(T1554="",1,T1554)&lt;=MIN(IF(U1554="",1,U1554),IF(V1554="",1,V1554)),"Disponibilité",IF(IF(U1554="",1,U1554)&lt;=IF(V1554="",1,V1554),"Performance","Qualité"))))</f>
        <v/>
      </c>
      <c r="AA1554" s="59" t="str">
        <f>IF(AC1554=1,N(H1554)*N(IFERROR(INDEX(art_cost,MATCH(E1554,art_ref,0)),0)),"")</f>
        <v/>
      </c>
      <c r="AB1554" s="58" t="str">
        <f>IF(COUNTA(A1554:I1554)=0,"",IF(N(A1554)&lt;=0,"Date manquante ou invalide",IF(B1554="","Équipe manquante",IF(ISNA(MATCH(B1554,eq_code,0)),"Équipe inconnue",IF(INDEX(eq_check,MATCH(B1554,eq_code,0))&lt;&gt;"OK","Équipe à corriger dans Paramètres",IF(C1554="","Poste manquant",IF(ISNA(MATCH(C1554,po_code,0)),"Poste inconnu",IF(AND(E1554&lt;&gt;"",ISNA(MATCH(E1554,art_ref,0))),"Article inconnu",IF(IF(E1554="",FALSE,INDEX(art_check,MATCH(E1554,art_ref,0))&lt;&gt;"OK"),"Article à corriger (feuille Articles)",IF(COUNTIFS(sj_date,A1554,sj_eq,B1554,sj_po,C1554)&gt;1,"Ligne en double (même jour, équipe et poste)",IF(OR(NOT(ISNUMBER(K1554)),N(K1554)&lt;=0,N(K1554)&gt;1440),"Temps d'ouverture invalide",IF(OR(AND(G1554&lt;&gt;"",NOT(ISNUMBER(G1554))),N(G1554)&lt;0,N(G1554)&lt;&gt;INT(N(G1554)),AND(H1554&lt;&gt;"",NOT(ISNUMBER(H1554))),N(H1554)&lt;0,N(H1554)&lt;&gt;INT(N(H1554)),AND(I1554&lt;&gt;"",NOT(ISNUMBER(I1554))),N(I1554)&lt;0,N(I1554)&lt;&gt;INT(N(I1554))),"Quantité invalide",IF(Q1554&lt;=0,"Cadence manquante (poste ou article)",IF(M1554&lt;=0,"Arrêts planifiés supérieurs au temps d'ouverture",IF(O1554&lt;0,"Arrêts supérieurs au temps requis",IF(AND(P1554&gt;0,O1554=0),"Pièces déclarées sans temps de marche",IF(AND(P1554=0,O1554&gt;0),"Aucune pièce déclarée",IF(P1554*60/Q1554&gt;O1554+0.001,"Cadence dépassée : vérifiez la cadence","OK"))))))))))))))))))</f>
        <v/>
      </c>
      <c r="AC1554">
        <f>IF(OR(AB1554="OK",AB1554="Aucune pièce déclarée",AB1554="Cadence dépassée : vérifiez la cadence"),1,0)</f>
        <v>0.0</v>
      </c>
      <c r="AD1554">
        <f>IF(AND(AC1554=1,A1554&gt;=p_from,A1554&lt;=p_to),1,0)</f>
        <v>0.0</v>
      </c>
      <c r="AE1554">
        <f>IF(AD1554=1,IF(COUNTIFS($A$6:A1554,A1554,$AD$6:AD1554,1)=1,1,0),0)</f>
        <v>0.0</v>
      </c>
      <c r="AF1554" t="str">
        <f>IF(AE1554=1,COUNTIFS(sj_first,1,sj_date,"&lt;"&amp;A1554)+1,"")</f>
        <v/>
      </c>
      <c r="AG1554" t="str">
        <f>IF(AND(AD1554=1,N(W1554)&lt;p_alert),ROUND(W1554,4),"")</f>
        <v/>
      </c>
      <c r="AH1554" t="str">
        <f>IF(AG1554="","",COUNTIF(sj_akey,"&lt;"&amp;AG1554)+COUNTIF($AG$6:AG1554,AG1554))</f>
        <v/>
      </c>
    </row>
    <row r="1555">
      <c r="A1555" s="51" t="n"/>
      <c r="B1555" s="52" t="n"/>
      <c r="C1555" s="52" t="n"/>
      <c r="D1555" s="53" t="n"/>
      <c r="E1555" s="53" t="n"/>
      <c r="F1555" s="54" t="n"/>
      <c r="G1555" s="54" t="n"/>
      <c r="H1555" s="54" t="n"/>
      <c r="I1555" s="54" t="n"/>
      <c r="J1555" s="53" t="n"/>
      <c r="K1555" s="55" t="str">
        <f>IF(COUNTA(A1555:I1555)=0,"",IF(F1555="",IFERROR(INDEX(eq_dur,MATCH(B1555,eq_code,0)),""),F1555))</f>
        <v/>
      </c>
      <c r="L1555" s="55" t="str">
        <f>IF(ISNUMBER(K1555),N(IFERROR(INDEX(eq_pause,MATCH(B1555,eq_code,0)),0))+SUMIFS(st_min,st_date,A1555,st_eq,B1555,st_po,C1555,st_type,"Planifié"),"")</f>
        <v/>
      </c>
      <c r="M1555" s="55" t="str">
        <f>IF(ISNUMBER(K1555),K1555-L1555,"")</f>
        <v/>
      </c>
      <c r="N1555" s="55" t="str">
        <f>IF(ISNUMBER(K1555),SUMIFS(st_min,st_date,A1555,st_eq,B1555,st_po,C1555,st_type,"Non planifié"),"")</f>
        <v/>
      </c>
      <c r="O1555" s="55" t="str">
        <f>IF(ISNUMBER(K1555),M1555-N1555,"")</f>
        <v/>
      </c>
      <c r="P1555" s="55" t="str">
        <f>IF(COUNTA(A1555:I1555)=0,"",N(G1555)+N(H1555)+N(I1555))</f>
        <v/>
      </c>
      <c r="Q1555" s="56" t="str">
        <f>IF(COUNTA(A1555:I1555)=0,"",IF(N(IFERROR(INDEX(art_rate,MATCH(E1555,art_ref,0)),0))&gt;0,N(IFERROR(INDEX(art_rate,MATCH(E1555,art_ref,0)),0)),N(IFERROR(INDEX(po_rate,MATCH(C1555,po_code,0)),0))))</f>
        <v/>
      </c>
      <c r="R1555" s="55" t="str">
        <f>IF(AC1555=1,P1555*60/Q1555,"")</f>
        <v/>
      </c>
      <c r="S1555" s="55" t="str">
        <f>IF(AC1555=1,N(G1555)*60/Q1555,"")</f>
        <v/>
      </c>
      <c r="T1555" s="57" t="str">
        <f>IF(AC1555=1,O1555/M1555,"")</f>
        <v/>
      </c>
      <c r="U1555" s="57" t="str">
        <f>IF(AC1555=1,IF(O1555&gt;0,R1555/O1555,""),"")</f>
        <v/>
      </c>
      <c r="V1555" s="57" t="str">
        <f>IF(AC1555=1,IF(P1555&gt;0,N(G1555)/P1555,""),"")</f>
        <v/>
      </c>
      <c r="W1555" s="57" t="str">
        <f>IF(AC1555=1,S1555/M1555,"")</f>
        <v/>
      </c>
      <c r="X1555" s="57" t="str">
        <f>IF(AC1555=1,S1555/K1555,"")</f>
        <v/>
      </c>
      <c r="Y1555" s="58" t="str">
        <f>IF(W1555="","",IF(W1555&gt;=p_target,"Bon",IF(W1555&gt;=p_alert,"À surveiller","Faible")))</f>
        <v/>
      </c>
      <c r="Z1555" s="58" t="str">
        <f>IF(W1555="","",IF(MIN(IF(T1555="",1,T1555),IF(U1555="",1,U1555),IF(V1555="",1,V1555))&gt;=1,"Aucune",IF(IF(T1555="",1,T1555)&lt;=MIN(IF(U1555="",1,U1555),IF(V1555="",1,V1555)),"Disponibilité",IF(IF(U1555="",1,U1555)&lt;=IF(V1555="",1,V1555),"Performance","Qualité"))))</f>
        <v/>
      </c>
      <c r="AA1555" s="59" t="str">
        <f>IF(AC1555=1,N(H1555)*N(IFERROR(INDEX(art_cost,MATCH(E1555,art_ref,0)),0)),"")</f>
        <v/>
      </c>
      <c r="AB1555" s="58" t="str">
        <f>IF(COUNTA(A1555:I1555)=0,"",IF(N(A1555)&lt;=0,"Date manquante ou invalide",IF(B1555="","Équipe manquante",IF(ISNA(MATCH(B1555,eq_code,0)),"Équipe inconnue",IF(INDEX(eq_check,MATCH(B1555,eq_code,0))&lt;&gt;"OK","Équipe à corriger dans Paramètres",IF(C1555="","Poste manquant",IF(ISNA(MATCH(C1555,po_code,0)),"Poste inconnu",IF(AND(E1555&lt;&gt;"",ISNA(MATCH(E1555,art_ref,0))),"Article inconnu",IF(IF(E1555="",FALSE,INDEX(art_check,MATCH(E1555,art_ref,0))&lt;&gt;"OK"),"Article à corriger (feuille Articles)",IF(COUNTIFS(sj_date,A1555,sj_eq,B1555,sj_po,C1555)&gt;1,"Ligne en double (même jour, équipe et poste)",IF(OR(NOT(ISNUMBER(K1555)),N(K1555)&lt;=0,N(K1555)&gt;1440),"Temps d'ouverture invalide",IF(OR(AND(G1555&lt;&gt;"",NOT(ISNUMBER(G1555))),N(G1555)&lt;0,N(G1555)&lt;&gt;INT(N(G1555)),AND(H1555&lt;&gt;"",NOT(ISNUMBER(H1555))),N(H1555)&lt;0,N(H1555)&lt;&gt;INT(N(H1555)),AND(I1555&lt;&gt;"",NOT(ISNUMBER(I1555))),N(I1555)&lt;0,N(I1555)&lt;&gt;INT(N(I1555))),"Quantité invalide",IF(Q1555&lt;=0,"Cadence manquante (poste ou article)",IF(M1555&lt;=0,"Arrêts planifiés supérieurs au temps d'ouverture",IF(O1555&lt;0,"Arrêts supérieurs au temps requis",IF(AND(P1555&gt;0,O1555=0),"Pièces déclarées sans temps de marche",IF(AND(P1555=0,O1555&gt;0),"Aucune pièce déclarée",IF(P1555*60/Q1555&gt;O1555+0.001,"Cadence dépassée : vérifiez la cadence","OK"))))))))))))))))))</f>
        <v/>
      </c>
      <c r="AC1555">
        <f>IF(OR(AB1555="OK",AB1555="Aucune pièce déclarée",AB1555="Cadence dépassée : vérifiez la cadence"),1,0)</f>
        <v>0.0</v>
      </c>
      <c r="AD1555">
        <f>IF(AND(AC1555=1,A1555&gt;=p_from,A1555&lt;=p_to),1,0)</f>
        <v>0.0</v>
      </c>
      <c r="AE1555">
        <f>IF(AD1555=1,IF(COUNTIFS($A$6:A1555,A1555,$AD$6:AD1555,1)=1,1,0),0)</f>
        <v>0.0</v>
      </c>
      <c r="AF1555" t="str">
        <f>IF(AE1555=1,COUNTIFS(sj_first,1,sj_date,"&lt;"&amp;A1555)+1,"")</f>
        <v/>
      </c>
      <c r="AG1555" t="str">
        <f>IF(AND(AD1555=1,N(W1555)&lt;p_alert),ROUND(W1555,4),"")</f>
        <v/>
      </c>
      <c r="AH1555" t="str">
        <f>IF(AG1555="","",COUNTIF(sj_akey,"&lt;"&amp;AG1555)+COUNTIF($AG$6:AG1555,AG1555))</f>
        <v/>
      </c>
    </row>
    <row r="1556">
      <c r="A1556" s="51" t="n"/>
      <c r="B1556" s="52" t="n"/>
      <c r="C1556" s="52" t="n"/>
      <c r="D1556" s="53" t="n"/>
      <c r="E1556" s="53" t="n"/>
      <c r="F1556" s="54" t="n"/>
      <c r="G1556" s="54" t="n"/>
      <c r="H1556" s="54" t="n"/>
      <c r="I1556" s="54" t="n"/>
      <c r="J1556" s="53" t="n"/>
      <c r="K1556" s="55" t="str">
        <f>IF(COUNTA(A1556:I1556)=0,"",IF(F1556="",IFERROR(INDEX(eq_dur,MATCH(B1556,eq_code,0)),""),F1556))</f>
        <v/>
      </c>
      <c r="L1556" s="55" t="str">
        <f>IF(ISNUMBER(K1556),N(IFERROR(INDEX(eq_pause,MATCH(B1556,eq_code,0)),0))+SUMIFS(st_min,st_date,A1556,st_eq,B1556,st_po,C1556,st_type,"Planifié"),"")</f>
        <v/>
      </c>
      <c r="M1556" s="55" t="str">
        <f>IF(ISNUMBER(K1556),K1556-L1556,"")</f>
        <v/>
      </c>
      <c r="N1556" s="55" t="str">
        <f>IF(ISNUMBER(K1556),SUMIFS(st_min,st_date,A1556,st_eq,B1556,st_po,C1556,st_type,"Non planifié"),"")</f>
        <v/>
      </c>
      <c r="O1556" s="55" t="str">
        <f>IF(ISNUMBER(K1556),M1556-N1556,"")</f>
        <v/>
      </c>
      <c r="P1556" s="55" t="str">
        <f>IF(COUNTA(A1556:I1556)=0,"",N(G1556)+N(H1556)+N(I1556))</f>
        <v/>
      </c>
      <c r="Q1556" s="56" t="str">
        <f>IF(COUNTA(A1556:I1556)=0,"",IF(N(IFERROR(INDEX(art_rate,MATCH(E1556,art_ref,0)),0))&gt;0,N(IFERROR(INDEX(art_rate,MATCH(E1556,art_ref,0)),0)),N(IFERROR(INDEX(po_rate,MATCH(C1556,po_code,0)),0))))</f>
        <v/>
      </c>
      <c r="R1556" s="55" t="str">
        <f>IF(AC1556=1,P1556*60/Q1556,"")</f>
        <v/>
      </c>
      <c r="S1556" s="55" t="str">
        <f>IF(AC1556=1,N(G1556)*60/Q1556,"")</f>
        <v/>
      </c>
      <c r="T1556" s="57" t="str">
        <f>IF(AC1556=1,O1556/M1556,"")</f>
        <v/>
      </c>
      <c r="U1556" s="57" t="str">
        <f>IF(AC1556=1,IF(O1556&gt;0,R1556/O1556,""),"")</f>
        <v/>
      </c>
      <c r="V1556" s="57" t="str">
        <f>IF(AC1556=1,IF(P1556&gt;0,N(G1556)/P1556,""),"")</f>
        <v/>
      </c>
      <c r="W1556" s="57" t="str">
        <f>IF(AC1556=1,S1556/M1556,"")</f>
        <v/>
      </c>
      <c r="X1556" s="57" t="str">
        <f>IF(AC1556=1,S1556/K1556,"")</f>
        <v/>
      </c>
      <c r="Y1556" s="58" t="str">
        <f>IF(W1556="","",IF(W1556&gt;=p_target,"Bon",IF(W1556&gt;=p_alert,"À surveiller","Faible")))</f>
        <v/>
      </c>
      <c r="Z1556" s="58" t="str">
        <f>IF(W1556="","",IF(MIN(IF(T1556="",1,T1556),IF(U1556="",1,U1556),IF(V1556="",1,V1556))&gt;=1,"Aucune",IF(IF(T1556="",1,T1556)&lt;=MIN(IF(U1556="",1,U1556),IF(V1556="",1,V1556)),"Disponibilité",IF(IF(U1556="",1,U1556)&lt;=IF(V1556="",1,V1556),"Performance","Qualité"))))</f>
        <v/>
      </c>
      <c r="AA1556" s="59" t="str">
        <f>IF(AC1556=1,N(H1556)*N(IFERROR(INDEX(art_cost,MATCH(E1556,art_ref,0)),0)),"")</f>
        <v/>
      </c>
      <c r="AB1556" s="58" t="str">
        <f>IF(COUNTA(A1556:I1556)=0,"",IF(N(A1556)&lt;=0,"Date manquante ou invalide",IF(B1556="","Équipe manquante",IF(ISNA(MATCH(B1556,eq_code,0)),"Équipe inconnue",IF(INDEX(eq_check,MATCH(B1556,eq_code,0))&lt;&gt;"OK","Équipe à corriger dans Paramètres",IF(C1556="","Poste manquant",IF(ISNA(MATCH(C1556,po_code,0)),"Poste inconnu",IF(AND(E1556&lt;&gt;"",ISNA(MATCH(E1556,art_ref,0))),"Article inconnu",IF(IF(E1556="",FALSE,INDEX(art_check,MATCH(E1556,art_ref,0))&lt;&gt;"OK"),"Article à corriger (feuille Articles)",IF(COUNTIFS(sj_date,A1556,sj_eq,B1556,sj_po,C1556)&gt;1,"Ligne en double (même jour, équipe et poste)",IF(OR(NOT(ISNUMBER(K1556)),N(K1556)&lt;=0,N(K1556)&gt;1440),"Temps d'ouverture invalide",IF(OR(AND(G1556&lt;&gt;"",NOT(ISNUMBER(G1556))),N(G1556)&lt;0,N(G1556)&lt;&gt;INT(N(G1556)),AND(H1556&lt;&gt;"",NOT(ISNUMBER(H1556))),N(H1556)&lt;0,N(H1556)&lt;&gt;INT(N(H1556)),AND(I1556&lt;&gt;"",NOT(ISNUMBER(I1556))),N(I1556)&lt;0,N(I1556)&lt;&gt;INT(N(I1556))),"Quantité invalide",IF(Q1556&lt;=0,"Cadence manquante (poste ou article)",IF(M1556&lt;=0,"Arrêts planifiés supérieurs au temps d'ouverture",IF(O1556&lt;0,"Arrêts supérieurs au temps requis",IF(AND(P1556&gt;0,O1556=0),"Pièces déclarées sans temps de marche",IF(AND(P1556=0,O1556&gt;0),"Aucune pièce déclarée",IF(P1556*60/Q1556&gt;O1556+0.001,"Cadence dépassée : vérifiez la cadence","OK"))))))))))))))))))</f>
        <v/>
      </c>
      <c r="AC1556">
        <f>IF(OR(AB1556="OK",AB1556="Aucune pièce déclarée",AB1556="Cadence dépassée : vérifiez la cadence"),1,0)</f>
        <v>0.0</v>
      </c>
      <c r="AD1556">
        <f>IF(AND(AC1556=1,A1556&gt;=p_from,A1556&lt;=p_to),1,0)</f>
        <v>0.0</v>
      </c>
      <c r="AE1556">
        <f>IF(AD1556=1,IF(COUNTIFS($A$6:A1556,A1556,$AD$6:AD1556,1)=1,1,0),0)</f>
        <v>0.0</v>
      </c>
      <c r="AF1556" t="str">
        <f>IF(AE1556=1,COUNTIFS(sj_first,1,sj_date,"&lt;"&amp;A1556)+1,"")</f>
        <v/>
      </c>
      <c r="AG1556" t="str">
        <f>IF(AND(AD1556=1,N(W1556)&lt;p_alert),ROUND(W1556,4),"")</f>
        <v/>
      </c>
      <c r="AH1556" t="str">
        <f>IF(AG1556="","",COUNTIF(sj_akey,"&lt;"&amp;AG1556)+COUNTIF($AG$6:AG1556,AG1556))</f>
        <v/>
      </c>
    </row>
    <row r="1557">
      <c r="A1557" s="51" t="n"/>
      <c r="B1557" s="52" t="n"/>
      <c r="C1557" s="52" t="n"/>
      <c r="D1557" s="53" t="n"/>
      <c r="E1557" s="53" t="n"/>
      <c r="F1557" s="54" t="n"/>
      <c r="G1557" s="54" t="n"/>
      <c r="H1557" s="54" t="n"/>
      <c r="I1557" s="54" t="n"/>
      <c r="J1557" s="53" t="n"/>
      <c r="K1557" s="55" t="str">
        <f>IF(COUNTA(A1557:I1557)=0,"",IF(F1557="",IFERROR(INDEX(eq_dur,MATCH(B1557,eq_code,0)),""),F1557))</f>
        <v/>
      </c>
      <c r="L1557" s="55" t="str">
        <f>IF(ISNUMBER(K1557),N(IFERROR(INDEX(eq_pause,MATCH(B1557,eq_code,0)),0))+SUMIFS(st_min,st_date,A1557,st_eq,B1557,st_po,C1557,st_type,"Planifié"),"")</f>
        <v/>
      </c>
      <c r="M1557" s="55" t="str">
        <f>IF(ISNUMBER(K1557),K1557-L1557,"")</f>
        <v/>
      </c>
      <c r="N1557" s="55" t="str">
        <f>IF(ISNUMBER(K1557),SUMIFS(st_min,st_date,A1557,st_eq,B1557,st_po,C1557,st_type,"Non planifié"),"")</f>
        <v/>
      </c>
      <c r="O1557" s="55" t="str">
        <f>IF(ISNUMBER(K1557),M1557-N1557,"")</f>
        <v/>
      </c>
      <c r="P1557" s="55" t="str">
        <f>IF(COUNTA(A1557:I1557)=0,"",N(G1557)+N(H1557)+N(I1557))</f>
        <v/>
      </c>
      <c r="Q1557" s="56" t="str">
        <f>IF(COUNTA(A1557:I1557)=0,"",IF(N(IFERROR(INDEX(art_rate,MATCH(E1557,art_ref,0)),0))&gt;0,N(IFERROR(INDEX(art_rate,MATCH(E1557,art_ref,0)),0)),N(IFERROR(INDEX(po_rate,MATCH(C1557,po_code,0)),0))))</f>
        <v/>
      </c>
      <c r="R1557" s="55" t="str">
        <f>IF(AC1557=1,P1557*60/Q1557,"")</f>
        <v/>
      </c>
      <c r="S1557" s="55" t="str">
        <f>IF(AC1557=1,N(G1557)*60/Q1557,"")</f>
        <v/>
      </c>
      <c r="T1557" s="57" t="str">
        <f>IF(AC1557=1,O1557/M1557,"")</f>
        <v/>
      </c>
      <c r="U1557" s="57" t="str">
        <f>IF(AC1557=1,IF(O1557&gt;0,R1557/O1557,""),"")</f>
        <v/>
      </c>
      <c r="V1557" s="57" t="str">
        <f>IF(AC1557=1,IF(P1557&gt;0,N(G1557)/P1557,""),"")</f>
        <v/>
      </c>
      <c r="W1557" s="57" t="str">
        <f>IF(AC1557=1,S1557/M1557,"")</f>
        <v/>
      </c>
      <c r="X1557" s="57" t="str">
        <f>IF(AC1557=1,S1557/K1557,"")</f>
        <v/>
      </c>
      <c r="Y1557" s="58" t="str">
        <f>IF(W1557="","",IF(W1557&gt;=p_target,"Bon",IF(W1557&gt;=p_alert,"À surveiller","Faible")))</f>
        <v/>
      </c>
      <c r="Z1557" s="58" t="str">
        <f>IF(W1557="","",IF(MIN(IF(T1557="",1,T1557),IF(U1557="",1,U1557),IF(V1557="",1,V1557))&gt;=1,"Aucune",IF(IF(T1557="",1,T1557)&lt;=MIN(IF(U1557="",1,U1557),IF(V1557="",1,V1557)),"Disponibilité",IF(IF(U1557="",1,U1557)&lt;=IF(V1557="",1,V1557),"Performance","Qualité"))))</f>
        <v/>
      </c>
      <c r="AA1557" s="59" t="str">
        <f>IF(AC1557=1,N(H1557)*N(IFERROR(INDEX(art_cost,MATCH(E1557,art_ref,0)),0)),"")</f>
        <v/>
      </c>
      <c r="AB1557" s="58" t="str">
        <f>IF(COUNTA(A1557:I1557)=0,"",IF(N(A1557)&lt;=0,"Date manquante ou invalide",IF(B1557="","Équipe manquante",IF(ISNA(MATCH(B1557,eq_code,0)),"Équipe inconnue",IF(INDEX(eq_check,MATCH(B1557,eq_code,0))&lt;&gt;"OK","Équipe à corriger dans Paramètres",IF(C1557="","Poste manquant",IF(ISNA(MATCH(C1557,po_code,0)),"Poste inconnu",IF(AND(E1557&lt;&gt;"",ISNA(MATCH(E1557,art_ref,0))),"Article inconnu",IF(IF(E1557="",FALSE,INDEX(art_check,MATCH(E1557,art_ref,0))&lt;&gt;"OK"),"Article à corriger (feuille Articles)",IF(COUNTIFS(sj_date,A1557,sj_eq,B1557,sj_po,C1557)&gt;1,"Ligne en double (même jour, équipe et poste)",IF(OR(NOT(ISNUMBER(K1557)),N(K1557)&lt;=0,N(K1557)&gt;1440),"Temps d'ouverture invalide",IF(OR(AND(G1557&lt;&gt;"",NOT(ISNUMBER(G1557))),N(G1557)&lt;0,N(G1557)&lt;&gt;INT(N(G1557)),AND(H1557&lt;&gt;"",NOT(ISNUMBER(H1557))),N(H1557)&lt;0,N(H1557)&lt;&gt;INT(N(H1557)),AND(I1557&lt;&gt;"",NOT(ISNUMBER(I1557))),N(I1557)&lt;0,N(I1557)&lt;&gt;INT(N(I1557))),"Quantité invalide",IF(Q1557&lt;=0,"Cadence manquante (poste ou article)",IF(M1557&lt;=0,"Arrêts planifiés supérieurs au temps d'ouverture",IF(O1557&lt;0,"Arrêts supérieurs au temps requis",IF(AND(P1557&gt;0,O1557=0),"Pièces déclarées sans temps de marche",IF(AND(P1557=0,O1557&gt;0),"Aucune pièce déclarée",IF(P1557*60/Q1557&gt;O1557+0.001,"Cadence dépassée : vérifiez la cadence","OK"))))))))))))))))))</f>
        <v/>
      </c>
      <c r="AC1557">
        <f>IF(OR(AB1557="OK",AB1557="Aucune pièce déclarée",AB1557="Cadence dépassée : vérifiez la cadence"),1,0)</f>
        <v>0.0</v>
      </c>
      <c r="AD1557">
        <f>IF(AND(AC1557=1,A1557&gt;=p_from,A1557&lt;=p_to),1,0)</f>
        <v>0.0</v>
      </c>
      <c r="AE1557">
        <f>IF(AD1557=1,IF(COUNTIFS($A$6:A1557,A1557,$AD$6:AD1557,1)=1,1,0),0)</f>
        <v>0.0</v>
      </c>
      <c r="AF1557" t="str">
        <f>IF(AE1557=1,COUNTIFS(sj_first,1,sj_date,"&lt;"&amp;A1557)+1,"")</f>
        <v/>
      </c>
      <c r="AG1557" t="str">
        <f>IF(AND(AD1557=1,N(W1557)&lt;p_alert),ROUND(W1557,4),"")</f>
        <v/>
      </c>
      <c r="AH1557" t="str">
        <f>IF(AG1557="","",COUNTIF(sj_akey,"&lt;"&amp;AG1557)+COUNTIF($AG$6:AG1557,AG1557))</f>
        <v/>
      </c>
    </row>
    <row r="1558">
      <c r="A1558" s="51" t="n"/>
      <c r="B1558" s="52" t="n"/>
      <c r="C1558" s="52" t="n"/>
      <c r="D1558" s="53" t="n"/>
      <c r="E1558" s="53" t="n"/>
      <c r="F1558" s="54" t="n"/>
      <c r="G1558" s="54" t="n"/>
      <c r="H1558" s="54" t="n"/>
      <c r="I1558" s="54" t="n"/>
      <c r="J1558" s="53" t="n"/>
      <c r="K1558" s="55" t="str">
        <f>IF(COUNTA(A1558:I1558)=0,"",IF(F1558="",IFERROR(INDEX(eq_dur,MATCH(B1558,eq_code,0)),""),F1558))</f>
        <v/>
      </c>
      <c r="L1558" s="55" t="str">
        <f>IF(ISNUMBER(K1558),N(IFERROR(INDEX(eq_pause,MATCH(B1558,eq_code,0)),0))+SUMIFS(st_min,st_date,A1558,st_eq,B1558,st_po,C1558,st_type,"Planifié"),"")</f>
        <v/>
      </c>
      <c r="M1558" s="55" t="str">
        <f>IF(ISNUMBER(K1558),K1558-L1558,"")</f>
        <v/>
      </c>
      <c r="N1558" s="55" t="str">
        <f>IF(ISNUMBER(K1558),SUMIFS(st_min,st_date,A1558,st_eq,B1558,st_po,C1558,st_type,"Non planifié"),"")</f>
        <v/>
      </c>
      <c r="O1558" s="55" t="str">
        <f>IF(ISNUMBER(K1558),M1558-N1558,"")</f>
        <v/>
      </c>
      <c r="P1558" s="55" t="str">
        <f>IF(COUNTA(A1558:I1558)=0,"",N(G1558)+N(H1558)+N(I1558))</f>
        <v/>
      </c>
      <c r="Q1558" s="56" t="str">
        <f>IF(COUNTA(A1558:I1558)=0,"",IF(N(IFERROR(INDEX(art_rate,MATCH(E1558,art_ref,0)),0))&gt;0,N(IFERROR(INDEX(art_rate,MATCH(E1558,art_ref,0)),0)),N(IFERROR(INDEX(po_rate,MATCH(C1558,po_code,0)),0))))</f>
        <v/>
      </c>
      <c r="R1558" s="55" t="str">
        <f>IF(AC1558=1,P1558*60/Q1558,"")</f>
        <v/>
      </c>
      <c r="S1558" s="55" t="str">
        <f>IF(AC1558=1,N(G1558)*60/Q1558,"")</f>
        <v/>
      </c>
      <c r="T1558" s="57" t="str">
        <f>IF(AC1558=1,O1558/M1558,"")</f>
        <v/>
      </c>
      <c r="U1558" s="57" t="str">
        <f>IF(AC1558=1,IF(O1558&gt;0,R1558/O1558,""),"")</f>
        <v/>
      </c>
      <c r="V1558" s="57" t="str">
        <f>IF(AC1558=1,IF(P1558&gt;0,N(G1558)/P1558,""),"")</f>
        <v/>
      </c>
      <c r="W1558" s="57" t="str">
        <f>IF(AC1558=1,S1558/M1558,"")</f>
        <v/>
      </c>
      <c r="X1558" s="57" t="str">
        <f>IF(AC1558=1,S1558/K1558,"")</f>
        <v/>
      </c>
      <c r="Y1558" s="58" t="str">
        <f>IF(W1558="","",IF(W1558&gt;=p_target,"Bon",IF(W1558&gt;=p_alert,"À surveiller","Faible")))</f>
        <v/>
      </c>
      <c r="Z1558" s="58" t="str">
        <f>IF(W1558="","",IF(MIN(IF(T1558="",1,T1558),IF(U1558="",1,U1558),IF(V1558="",1,V1558))&gt;=1,"Aucune",IF(IF(T1558="",1,T1558)&lt;=MIN(IF(U1558="",1,U1558),IF(V1558="",1,V1558)),"Disponibilité",IF(IF(U1558="",1,U1558)&lt;=IF(V1558="",1,V1558),"Performance","Qualité"))))</f>
        <v/>
      </c>
      <c r="AA1558" s="59" t="str">
        <f>IF(AC1558=1,N(H1558)*N(IFERROR(INDEX(art_cost,MATCH(E1558,art_ref,0)),0)),"")</f>
        <v/>
      </c>
      <c r="AB1558" s="58" t="str">
        <f>IF(COUNTA(A1558:I1558)=0,"",IF(N(A1558)&lt;=0,"Date manquante ou invalide",IF(B1558="","Équipe manquante",IF(ISNA(MATCH(B1558,eq_code,0)),"Équipe inconnue",IF(INDEX(eq_check,MATCH(B1558,eq_code,0))&lt;&gt;"OK","Équipe à corriger dans Paramètres",IF(C1558="","Poste manquant",IF(ISNA(MATCH(C1558,po_code,0)),"Poste inconnu",IF(AND(E1558&lt;&gt;"",ISNA(MATCH(E1558,art_ref,0))),"Article inconnu",IF(IF(E1558="",FALSE,INDEX(art_check,MATCH(E1558,art_ref,0))&lt;&gt;"OK"),"Article à corriger (feuille Articles)",IF(COUNTIFS(sj_date,A1558,sj_eq,B1558,sj_po,C1558)&gt;1,"Ligne en double (même jour, équipe et poste)",IF(OR(NOT(ISNUMBER(K1558)),N(K1558)&lt;=0,N(K1558)&gt;1440),"Temps d'ouverture invalide",IF(OR(AND(G1558&lt;&gt;"",NOT(ISNUMBER(G1558))),N(G1558)&lt;0,N(G1558)&lt;&gt;INT(N(G1558)),AND(H1558&lt;&gt;"",NOT(ISNUMBER(H1558))),N(H1558)&lt;0,N(H1558)&lt;&gt;INT(N(H1558)),AND(I1558&lt;&gt;"",NOT(ISNUMBER(I1558))),N(I1558)&lt;0,N(I1558)&lt;&gt;INT(N(I1558))),"Quantité invalide",IF(Q1558&lt;=0,"Cadence manquante (poste ou article)",IF(M1558&lt;=0,"Arrêts planifiés supérieurs au temps d'ouverture",IF(O1558&lt;0,"Arrêts supérieurs au temps requis",IF(AND(P1558&gt;0,O1558=0),"Pièces déclarées sans temps de marche",IF(AND(P1558=0,O1558&gt;0),"Aucune pièce déclarée",IF(P1558*60/Q1558&gt;O1558+0.001,"Cadence dépassée : vérifiez la cadence","OK"))))))))))))))))))</f>
        <v/>
      </c>
      <c r="AC1558">
        <f>IF(OR(AB1558="OK",AB1558="Aucune pièce déclarée",AB1558="Cadence dépassée : vérifiez la cadence"),1,0)</f>
        <v>0.0</v>
      </c>
      <c r="AD1558">
        <f>IF(AND(AC1558=1,A1558&gt;=p_from,A1558&lt;=p_to),1,0)</f>
        <v>0.0</v>
      </c>
      <c r="AE1558">
        <f>IF(AD1558=1,IF(COUNTIFS($A$6:A1558,A1558,$AD$6:AD1558,1)=1,1,0),0)</f>
        <v>0.0</v>
      </c>
      <c r="AF1558" t="str">
        <f>IF(AE1558=1,COUNTIFS(sj_first,1,sj_date,"&lt;"&amp;A1558)+1,"")</f>
        <v/>
      </c>
      <c r="AG1558" t="str">
        <f>IF(AND(AD1558=1,N(W1558)&lt;p_alert),ROUND(W1558,4),"")</f>
        <v/>
      </c>
      <c r="AH1558" t="str">
        <f>IF(AG1558="","",COUNTIF(sj_akey,"&lt;"&amp;AG1558)+COUNTIF($AG$6:AG1558,AG1558))</f>
        <v/>
      </c>
    </row>
    <row r="1559">
      <c r="A1559" s="51" t="n"/>
      <c r="B1559" s="52" t="n"/>
      <c r="C1559" s="52" t="n"/>
      <c r="D1559" s="53" t="n"/>
      <c r="E1559" s="53" t="n"/>
      <c r="F1559" s="54" t="n"/>
      <c r="G1559" s="54" t="n"/>
      <c r="H1559" s="54" t="n"/>
      <c r="I1559" s="54" t="n"/>
      <c r="J1559" s="53" t="n"/>
      <c r="K1559" s="55" t="str">
        <f>IF(COUNTA(A1559:I1559)=0,"",IF(F1559="",IFERROR(INDEX(eq_dur,MATCH(B1559,eq_code,0)),""),F1559))</f>
        <v/>
      </c>
      <c r="L1559" s="55" t="str">
        <f>IF(ISNUMBER(K1559),N(IFERROR(INDEX(eq_pause,MATCH(B1559,eq_code,0)),0))+SUMIFS(st_min,st_date,A1559,st_eq,B1559,st_po,C1559,st_type,"Planifié"),"")</f>
        <v/>
      </c>
      <c r="M1559" s="55" t="str">
        <f>IF(ISNUMBER(K1559),K1559-L1559,"")</f>
        <v/>
      </c>
      <c r="N1559" s="55" t="str">
        <f>IF(ISNUMBER(K1559),SUMIFS(st_min,st_date,A1559,st_eq,B1559,st_po,C1559,st_type,"Non planifié"),"")</f>
        <v/>
      </c>
      <c r="O1559" s="55" t="str">
        <f>IF(ISNUMBER(K1559),M1559-N1559,"")</f>
        <v/>
      </c>
      <c r="P1559" s="55" t="str">
        <f>IF(COUNTA(A1559:I1559)=0,"",N(G1559)+N(H1559)+N(I1559))</f>
        <v/>
      </c>
      <c r="Q1559" s="56" t="str">
        <f>IF(COUNTA(A1559:I1559)=0,"",IF(N(IFERROR(INDEX(art_rate,MATCH(E1559,art_ref,0)),0))&gt;0,N(IFERROR(INDEX(art_rate,MATCH(E1559,art_ref,0)),0)),N(IFERROR(INDEX(po_rate,MATCH(C1559,po_code,0)),0))))</f>
        <v/>
      </c>
      <c r="R1559" s="55" t="str">
        <f>IF(AC1559=1,P1559*60/Q1559,"")</f>
        <v/>
      </c>
      <c r="S1559" s="55" t="str">
        <f>IF(AC1559=1,N(G1559)*60/Q1559,"")</f>
        <v/>
      </c>
      <c r="T1559" s="57" t="str">
        <f>IF(AC1559=1,O1559/M1559,"")</f>
        <v/>
      </c>
      <c r="U1559" s="57" t="str">
        <f>IF(AC1559=1,IF(O1559&gt;0,R1559/O1559,""),"")</f>
        <v/>
      </c>
      <c r="V1559" s="57" t="str">
        <f>IF(AC1559=1,IF(P1559&gt;0,N(G1559)/P1559,""),"")</f>
        <v/>
      </c>
      <c r="W1559" s="57" t="str">
        <f>IF(AC1559=1,S1559/M1559,"")</f>
        <v/>
      </c>
      <c r="X1559" s="57" t="str">
        <f>IF(AC1559=1,S1559/K1559,"")</f>
        <v/>
      </c>
      <c r="Y1559" s="58" t="str">
        <f>IF(W1559="","",IF(W1559&gt;=p_target,"Bon",IF(W1559&gt;=p_alert,"À surveiller","Faible")))</f>
        <v/>
      </c>
      <c r="Z1559" s="58" t="str">
        <f>IF(W1559="","",IF(MIN(IF(T1559="",1,T1559),IF(U1559="",1,U1559),IF(V1559="",1,V1559))&gt;=1,"Aucune",IF(IF(T1559="",1,T1559)&lt;=MIN(IF(U1559="",1,U1559),IF(V1559="",1,V1559)),"Disponibilité",IF(IF(U1559="",1,U1559)&lt;=IF(V1559="",1,V1559),"Performance","Qualité"))))</f>
        <v/>
      </c>
      <c r="AA1559" s="59" t="str">
        <f>IF(AC1559=1,N(H1559)*N(IFERROR(INDEX(art_cost,MATCH(E1559,art_ref,0)),0)),"")</f>
        <v/>
      </c>
      <c r="AB1559" s="58" t="str">
        <f>IF(COUNTA(A1559:I1559)=0,"",IF(N(A1559)&lt;=0,"Date manquante ou invalide",IF(B1559="","Équipe manquante",IF(ISNA(MATCH(B1559,eq_code,0)),"Équipe inconnue",IF(INDEX(eq_check,MATCH(B1559,eq_code,0))&lt;&gt;"OK","Équipe à corriger dans Paramètres",IF(C1559="","Poste manquant",IF(ISNA(MATCH(C1559,po_code,0)),"Poste inconnu",IF(AND(E1559&lt;&gt;"",ISNA(MATCH(E1559,art_ref,0))),"Article inconnu",IF(IF(E1559="",FALSE,INDEX(art_check,MATCH(E1559,art_ref,0))&lt;&gt;"OK"),"Article à corriger (feuille Articles)",IF(COUNTIFS(sj_date,A1559,sj_eq,B1559,sj_po,C1559)&gt;1,"Ligne en double (même jour, équipe et poste)",IF(OR(NOT(ISNUMBER(K1559)),N(K1559)&lt;=0,N(K1559)&gt;1440),"Temps d'ouverture invalide",IF(OR(AND(G1559&lt;&gt;"",NOT(ISNUMBER(G1559))),N(G1559)&lt;0,N(G1559)&lt;&gt;INT(N(G1559)),AND(H1559&lt;&gt;"",NOT(ISNUMBER(H1559))),N(H1559)&lt;0,N(H1559)&lt;&gt;INT(N(H1559)),AND(I1559&lt;&gt;"",NOT(ISNUMBER(I1559))),N(I1559)&lt;0,N(I1559)&lt;&gt;INT(N(I1559))),"Quantité invalide",IF(Q1559&lt;=0,"Cadence manquante (poste ou article)",IF(M1559&lt;=0,"Arrêts planifiés supérieurs au temps d'ouverture",IF(O1559&lt;0,"Arrêts supérieurs au temps requis",IF(AND(P1559&gt;0,O1559=0),"Pièces déclarées sans temps de marche",IF(AND(P1559=0,O1559&gt;0),"Aucune pièce déclarée",IF(P1559*60/Q1559&gt;O1559+0.001,"Cadence dépassée : vérifiez la cadence","OK"))))))))))))))))))</f>
        <v/>
      </c>
      <c r="AC1559">
        <f>IF(OR(AB1559="OK",AB1559="Aucune pièce déclarée",AB1559="Cadence dépassée : vérifiez la cadence"),1,0)</f>
        <v>0.0</v>
      </c>
      <c r="AD1559">
        <f>IF(AND(AC1559=1,A1559&gt;=p_from,A1559&lt;=p_to),1,0)</f>
        <v>0.0</v>
      </c>
      <c r="AE1559">
        <f>IF(AD1559=1,IF(COUNTIFS($A$6:A1559,A1559,$AD$6:AD1559,1)=1,1,0),0)</f>
        <v>0.0</v>
      </c>
      <c r="AF1559" t="str">
        <f>IF(AE1559=1,COUNTIFS(sj_first,1,sj_date,"&lt;"&amp;A1559)+1,"")</f>
        <v/>
      </c>
      <c r="AG1559" t="str">
        <f>IF(AND(AD1559=1,N(W1559)&lt;p_alert),ROUND(W1559,4),"")</f>
        <v/>
      </c>
      <c r="AH1559" t="str">
        <f>IF(AG1559="","",COUNTIF(sj_akey,"&lt;"&amp;AG1559)+COUNTIF($AG$6:AG1559,AG1559))</f>
        <v/>
      </c>
    </row>
    <row r="1560">
      <c r="A1560" s="51" t="n"/>
      <c r="B1560" s="52" t="n"/>
      <c r="C1560" s="52" t="n"/>
      <c r="D1560" s="53" t="n"/>
      <c r="E1560" s="53" t="n"/>
      <c r="F1560" s="54" t="n"/>
      <c r="G1560" s="54" t="n"/>
      <c r="H1560" s="54" t="n"/>
      <c r="I1560" s="54" t="n"/>
      <c r="J1560" s="53" t="n"/>
      <c r="K1560" s="55" t="str">
        <f>IF(COUNTA(A1560:I1560)=0,"",IF(F1560="",IFERROR(INDEX(eq_dur,MATCH(B1560,eq_code,0)),""),F1560))</f>
        <v/>
      </c>
      <c r="L1560" s="55" t="str">
        <f>IF(ISNUMBER(K1560),N(IFERROR(INDEX(eq_pause,MATCH(B1560,eq_code,0)),0))+SUMIFS(st_min,st_date,A1560,st_eq,B1560,st_po,C1560,st_type,"Planifié"),"")</f>
        <v/>
      </c>
      <c r="M1560" s="55" t="str">
        <f>IF(ISNUMBER(K1560),K1560-L1560,"")</f>
        <v/>
      </c>
      <c r="N1560" s="55" t="str">
        <f>IF(ISNUMBER(K1560),SUMIFS(st_min,st_date,A1560,st_eq,B1560,st_po,C1560,st_type,"Non planifié"),"")</f>
        <v/>
      </c>
      <c r="O1560" s="55" t="str">
        <f>IF(ISNUMBER(K1560),M1560-N1560,"")</f>
        <v/>
      </c>
      <c r="P1560" s="55" t="str">
        <f>IF(COUNTA(A1560:I1560)=0,"",N(G1560)+N(H1560)+N(I1560))</f>
        <v/>
      </c>
      <c r="Q1560" s="56" t="str">
        <f>IF(COUNTA(A1560:I1560)=0,"",IF(N(IFERROR(INDEX(art_rate,MATCH(E1560,art_ref,0)),0))&gt;0,N(IFERROR(INDEX(art_rate,MATCH(E1560,art_ref,0)),0)),N(IFERROR(INDEX(po_rate,MATCH(C1560,po_code,0)),0))))</f>
        <v/>
      </c>
      <c r="R1560" s="55" t="str">
        <f>IF(AC1560=1,P1560*60/Q1560,"")</f>
        <v/>
      </c>
      <c r="S1560" s="55" t="str">
        <f>IF(AC1560=1,N(G1560)*60/Q1560,"")</f>
        <v/>
      </c>
      <c r="T1560" s="57" t="str">
        <f>IF(AC1560=1,O1560/M1560,"")</f>
        <v/>
      </c>
      <c r="U1560" s="57" t="str">
        <f>IF(AC1560=1,IF(O1560&gt;0,R1560/O1560,""),"")</f>
        <v/>
      </c>
      <c r="V1560" s="57" t="str">
        <f>IF(AC1560=1,IF(P1560&gt;0,N(G1560)/P1560,""),"")</f>
        <v/>
      </c>
      <c r="W1560" s="57" t="str">
        <f>IF(AC1560=1,S1560/M1560,"")</f>
        <v/>
      </c>
      <c r="X1560" s="57" t="str">
        <f>IF(AC1560=1,S1560/K1560,"")</f>
        <v/>
      </c>
      <c r="Y1560" s="58" t="str">
        <f>IF(W1560="","",IF(W1560&gt;=p_target,"Bon",IF(W1560&gt;=p_alert,"À surveiller","Faible")))</f>
        <v/>
      </c>
      <c r="Z1560" s="58" t="str">
        <f>IF(W1560="","",IF(MIN(IF(T1560="",1,T1560),IF(U1560="",1,U1560),IF(V1560="",1,V1560))&gt;=1,"Aucune",IF(IF(T1560="",1,T1560)&lt;=MIN(IF(U1560="",1,U1560),IF(V1560="",1,V1560)),"Disponibilité",IF(IF(U1560="",1,U1560)&lt;=IF(V1560="",1,V1560),"Performance","Qualité"))))</f>
        <v/>
      </c>
      <c r="AA1560" s="59" t="str">
        <f>IF(AC1560=1,N(H1560)*N(IFERROR(INDEX(art_cost,MATCH(E1560,art_ref,0)),0)),"")</f>
        <v/>
      </c>
      <c r="AB1560" s="58" t="str">
        <f>IF(COUNTA(A1560:I1560)=0,"",IF(N(A1560)&lt;=0,"Date manquante ou invalide",IF(B1560="","Équipe manquante",IF(ISNA(MATCH(B1560,eq_code,0)),"Équipe inconnue",IF(INDEX(eq_check,MATCH(B1560,eq_code,0))&lt;&gt;"OK","Équipe à corriger dans Paramètres",IF(C1560="","Poste manquant",IF(ISNA(MATCH(C1560,po_code,0)),"Poste inconnu",IF(AND(E1560&lt;&gt;"",ISNA(MATCH(E1560,art_ref,0))),"Article inconnu",IF(IF(E1560="",FALSE,INDEX(art_check,MATCH(E1560,art_ref,0))&lt;&gt;"OK"),"Article à corriger (feuille Articles)",IF(COUNTIFS(sj_date,A1560,sj_eq,B1560,sj_po,C1560)&gt;1,"Ligne en double (même jour, équipe et poste)",IF(OR(NOT(ISNUMBER(K1560)),N(K1560)&lt;=0,N(K1560)&gt;1440),"Temps d'ouverture invalide",IF(OR(AND(G1560&lt;&gt;"",NOT(ISNUMBER(G1560))),N(G1560)&lt;0,N(G1560)&lt;&gt;INT(N(G1560)),AND(H1560&lt;&gt;"",NOT(ISNUMBER(H1560))),N(H1560)&lt;0,N(H1560)&lt;&gt;INT(N(H1560)),AND(I1560&lt;&gt;"",NOT(ISNUMBER(I1560))),N(I1560)&lt;0,N(I1560)&lt;&gt;INT(N(I1560))),"Quantité invalide",IF(Q1560&lt;=0,"Cadence manquante (poste ou article)",IF(M1560&lt;=0,"Arrêts planifiés supérieurs au temps d'ouverture",IF(O1560&lt;0,"Arrêts supérieurs au temps requis",IF(AND(P1560&gt;0,O1560=0),"Pièces déclarées sans temps de marche",IF(AND(P1560=0,O1560&gt;0),"Aucune pièce déclarée",IF(P1560*60/Q1560&gt;O1560+0.001,"Cadence dépassée : vérifiez la cadence","OK"))))))))))))))))))</f>
        <v/>
      </c>
      <c r="AC1560">
        <f>IF(OR(AB1560="OK",AB1560="Aucune pièce déclarée",AB1560="Cadence dépassée : vérifiez la cadence"),1,0)</f>
        <v>0.0</v>
      </c>
      <c r="AD1560">
        <f>IF(AND(AC1560=1,A1560&gt;=p_from,A1560&lt;=p_to),1,0)</f>
        <v>0.0</v>
      </c>
      <c r="AE1560">
        <f>IF(AD1560=1,IF(COUNTIFS($A$6:A1560,A1560,$AD$6:AD1560,1)=1,1,0),0)</f>
        <v>0.0</v>
      </c>
      <c r="AF1560" t="str">
        <f>IF(AE1560=1,COUNTIFS(sj_first,1,sj_date,"&lt;"&amp;A1560)+1,"")</f>
        <v/>
      </c>
      <c r="AG1560" t="str">
        <f>IF(AND(AD1560=1,N(W1560)&lt;p_alert),ROUND(W1560,4),"")</f>
        <v/>
      </c>
      <c r="AH1560" t="str">
        <f>IF(AG1560="","",COUNTIF(sj_akey,"&lt;"&amp;AG1560)+COUNTIF($AG$6:AG1560,AG1560))</f>
        <v/>
      </c>
    </row>
    <row r="1561">
      <c r="A1561" s="51" t="n"/>
      <c r="B1561" s="52" t="n"/>
      <c r="C1561" s="52" t="n"/>
      <c r="D1561" s="53" t="n"/>
      <c r="E1561" s="53" t="n"/>
      <c r="F1561" s="54" t="n"/>
      <c r="G1561" s="54" t="n"/>
      <c r="H1561" s="54" t="n"/>
      <c r="I1561" s="54" t="n"/>
      <c r="J1561" s="53" t="n"/>
      <c r="K1561" s="55" t="str">
        <f>IF(COUNTA(A1561:I1561)=0,"",IF(F1561="",IFERROR(INDEX(eq_dur,MATCH(B1561,eq_code,0)),""),F1561))</f>
        <v/>
      </c>
      <c r="L1561" s="55" t="str">
        <f>IF(ISNUMBER(K1561),N(IFERROR(INDEX(eq_pause,MATCH(B1561,eq_code,0)),0))+SUMIFS(st_min,st_date,A1561,st_eq,B1561,st_po,C1561,st_type,"Planifié"),"")</f>
        <v/>
      </c>
      <c r="M1561" s="55" t="str">
        <f>IF(ISNUMBER(K1561),K1561-L1561,"")</f>
        <v/>
      </c>
      <c r="N1561" s="55" t="str">
        <f>IF(ISNUMBER(K1561),SUMIFS(st_min,st_date,A1561,st_eq,B1561,st_po,C1561,st_type,"Non planifié"),"")</f>
        <v/>
      </c>
      <c r="O1561" s="55" t="str">
        <f>IF(ISNUMBER(K1561),M1561-N1561,"")</f>
        <v/>
      </c>
      <c r="P1561" s="55" t="str">
        <f>IF(COUNTA(A1561:I1561)=0,"",N(G1561)+N(H1561)+N(I1561))</f>
        <v/>
      </c>
      <c r="Q1561" s="56" t="str">
        <f>IF(COUNTA(A1561:I1561)=0,"",IF(N(IFERROR(INDEX(art_rate,MATCH(E1561,art_ref,0)),0))&gt;0,N(IFERROR(INDEX(art_rate,MATCH(E1561,art_ref,0)),0)),N(IFERROR(INDEX(po_rate,MATCH(C1561,po_code,0)),0))))</f>
        <v/>
      </c>
      <c r="R1561" s="55" t="str">
        <f>IF(AC1561=1,P1561*60/Q1561,"")</f>
        <v/>
      </c>
      <c r="S1561" s="55" t="str">
        <f>IF(AC1561=1,N(G1561)*60/Q1561,"")</f>
        <v/>
      </c>
      <c r="T1561" s="57" t="str">
        <f>IF(AC1561=1,O1561/M1561,"")</f>
        <v/>
      </c>
      <c r="U1561" s="57" t="str">
        <f>IF(AC1561=1,IF(O1561&gt;0,R1561/O1561,""),"")</f>
        <v/>
      </c>
      <c r="V1561" s="57" t="str">
        <f>IF(AC1561=1,IF(P1561&gt;0,N(G1561)/P1561,""),"")</f>
        <v/>
      </c>
      <c r="W1561" s="57" t="str">
        <f>IF(AC1561=1,S1561/M1561,"")</f>
        <v/>
      </c>
      <c r="X1561" s="57" t="str">
        <f>IF(AC1561=1,S1561/K1561,"")</f>
        <v/>
      </c>
      <c r="Y1561" s="58" t="str">
        <f>IF(W1561="","",IF(W1561&gt;=p_target,"Bon",IF(W1561&gt;=p_alert,"À surveiller","Faible")))</f>
        <v/>
      </c>
      <c r="Z1561" s="58" t="str">
        <f>IF(W1561="","",IF(MIN(IF(T1561="",1,T1561),IF(U1561="",1,U1561),IF(V1561="",1,V1561))&gt;=1,"Aucune",IF(IF(T1561="",1,T1561)&lt;=MIN(IF(U1561="",1,U1561),IF(V1561="",1,V1561)),"Disponibilité",IF(IF(U1561="",1,U1561)&lt;=IF(V1561="",1,V1561),"Performance","Qualité"))))</f>
        <v/>
      </c>
      <c r="AA1561" s="59" t="str">
        <f>IF(AC1561=1,N(H1561)*N(IFERROR(INDEX(art_cost,MATCH(E1561,art_ref,0)),0)),"")</f>
        <v/>
      </c>
      <c r="AB1561" s="58" t="str">
        <f>IF(COUNTA(A1561:I1561)=0,"",IF(N(A1561)&lt;=0,"Date manquante ou invalide",IF(B1561="","Équipe manquante",IF(ISNA(MATCH(B1561,eq_code,0)),"Équipe inconnue",IF(INDEX(eq_check,MATCH(B1561,eq_code,0))&lt;&gt;"OK","Équipe à corriger dans Paramètres",IF(C1561="","Poste manquant",IF(ISNA(MATCH(C1561,po_code,0)),"Poste inconnu",IF(AND(E1561&lt;&gt;"",ISNA(MATCH(E1561,art_ref,0))),"Article inconnu",IF(IF(E1561="",FALSE,INDEX(art_check,MATCH(E1561,art_ref,0))&lt;&gt;"OK"),"Article à corriger (feuille Articles)",IF(COUNTIFS(sj_date,A1561,sj_eq,B1561,sj_po,C1561)&gt;1,"Ligne en double (même jour, équipe et poste)",IF(OR(NOT(ISNUMBER(K1561)),N(K1561)&lt;=0,N(K1561)&gt;1440),"Temps d'ouverture invalide",IF(OR(AND(G1561&lt;&gt;"",NOT(ISNUMBER(G1561))),N(G1561)&lt;0,N(G1561)&lt;&gt;INT(N(G1561)),AND(H1561&lt;&gt;"",NOT(ISNUMBER(H1561))),N(H1561)&lt;0,N(H1561)&lt;&gt;INT(N(H1561)),AND(I1561&lt;&gt;"",NOT(ISNUMBER(I1561))),N(I1561)&lt;0,N(I1561)&lt;&gt;INT(N(I1561))),"Quantité invalide",IF(Q1561&lt;=0,"Cadence manquante (poste ou article)",IF(M1561&lt;=0,"Arrêts planifiés supérieurs au temps d'ouverture",IF(O1561&lt;0,"Arrêts supérieurs au temps requis",IF(AND(P1561&gt;0,O1561=0),"Pièces déclarées sans temps de marche",IF(AND(P1561=0,O1561&gt;0),"Aucune pièce déclarée",IF(P1561*60/Q1561&gt;O1561+0.001,"Cadence dépassée : vérifiez la cadence","OK"))))))))))))))))))</f>
        <v/>
      </c>
      <c r="AC1561">
        <f>IF(OR(AB1561="OK",AB1561="Aucune pièce déclarée",AB1561="Cadence dépassée : vérifiez la cadence"),1,0)</f>
        <v>0.0</v>
      </c>
      <c r="AD1561">
        <f>IF(AND(AC1561=1,A1561&gt;=p_from,A1561&lt;=p_to),1,0)</f>
        <v>0.0</v>
      </c>
      <c r="AE1561">
        <f>IF(AD1561=1,IF(COUNTIFS($A$6:A1561,A1561,$AD$6:AD1561,1)=1,1,0),0)</f>
        <v>0.0</v>
      </c>
      <c r="AF1561" t="str">
        <f>IF(AE1561=1,COUNTIFS(sj_first,1,sj_date,"&lt;"&amp;A1561)+1,"")</f>
        <v/>
      </c>
      <c r="AG1561" t="str">
        <f>IF(AND(AD1561=1,N(W1561)&lt;p_alert),ROUND(W1561,4),"")</f>
        <v/>
      </c>
      <c r="AH1561" t="str">
        <f>IF(AG1561="","",COUNTIF(sj_akey,"&lt;"&amp;AG1561)+COUNTIF($AG$6:AG1561,AG1561))</f>
        <v/>
      </c>
    </row>
    <row r="1562">
      <c r="A1562" s="51" t="n"/>
      <c r="B1562" s="52" t="n"/>
      <c r="C1562" s="52" t="n"/>
      <c r="D1562" s="53" t="n"/>
      <c r="E1562" s="53" t="n"/>
      <c r="F1562" s="54" t="n"/>
      <c r="G1562" s="54" t="n"/>
      <c r="H1562" s="54" t="n"/>
      <c r="I1562" s="54" t="n"/>
      <c r="J1562" s="53" t="n"/>
      <c r="K1562" s="55" t="str">
        <f>IF(COUNTA(A1562:I1562)=0,"",IF(F1562="",IFERROR(INDEX(eq_dur,MATCH(B1562,eq_code,0)),""),F1562))</f>
        <v/>
      </c>
      <c r="L1562" s="55" t="str">
        <f>IF(ISNUMBER(K1562),N(IFERROR(INDEX(eq_pause,MATCH(B1562,eq_code,0)),0))+SUMIFS(st_min,st_date,A1562,st_eq,B1562,st_po,C1562,st_type,"Planifié"),"")</f>
        <v/>
      </c>
      <c r="M1562" s="55" t="str">
        <f>IF(ISNUMBER(K1562),K1562-L1562,"")</f>
        <v/>
      </c>
      <c r="N1562" s="55" t="str">
        <f>IF(ISNUMBER(K1562),SUMIFS(st_min,st_date,A1562,st_eq,B1562,st_po,C1562,st_type,"Non planifié"),"")</f>
        <v/>
      </c>
      <c r="O1562" s="55" t="str">
        <f>IF(ISNUMBER(K1562),M1562-N1562,"")</f>
        <v/>
      </c>
      <c r="P1562" s="55" t="str">
        <f>IF(COUNTA(A1562:I1562)=0,"",N(G1562)+N(H1562)+N(I1562))</f>
        <v/>
      </c>
      <c r="Q1562" s="56" t="str">
        <f>IF(COUNTA(A1562:I1562)=0,"",IF(N(IFERROR(INDEX(art_rate,MATCH(E1562,art_ref,0)),0))&gt;0,N(IFERROR(INDEX(art_rate,MATCH(E1562,art_ref,0)),0)),N(IFERROR(INDEX(po_rate,MATCH(C1562,po_code,0)),0))))</f>
        <v/>
      </c>
      <c r="R1562" s="55" t="str">
        <f>IF(AC1562=1,P1562*60/Q1562,"")</f>
        <v/>
      </c>
      <c r="S1562" s="55" t="str">
        <f>IF(AC1562=1,N(G1562)*60/Q1562,"")</f>
        <v/>
      </c>
      <c r="T1562" s="57" t="str">
        <f>IF(AC1562=1,O1562/M1562,"")</f>
        <v/>
      </c>
      <c r="U1562" s="57" t="str">
        <f>IF(AC1562=1,IF(O1562&gt;0,R1562/O1562,""),"")</f>
        <v/>
      </c>
      <c r="V1562" s="57" t="str">
        <f>IF(AC1562=1,IF(P1562&gt;0,N(G1562)/P1562,""),"")</f>
        <v/>
      </c>
      <c r="W1562" s="57" t="str">
        <f>IF(AC1562=1,S1562/M1562,"")</f>
        <v/>
      </c>
      <c r="X1562" s="57" t="str">
        <f>IF(AC1562=1,S1562/K1562,"")</f>
        <v/>
      </c>
      <c r="Y1562" s="58" t="str">
        <f>IF(W1562="","",IF(W1562&gt;=p_target,"Bon",IF(W1562&gt;=p_alert,"À surveiller","Faible")))</f>
        <v/>
      </c>
      <c r="Z1562" s="58" t="str">
        <f>IF(W1562="","",IF(MIN(IF(T1562="",1,T1562),IF(U1562="",1,U1562),IF(V1562="",1,V1562))&gt;=1,"Aucune",IF(IF(T1562="",1,T1562)&lt;=MIN(IF(U1562="",1,U1562),IF(V1562="",1,V1562)),"Disponibilité",IF(IF(U1562="",1,U1562)&lt;=IF(V1562="",1,V1562),"Performance","Qualité"))))</f>
        <v/>
      </c>
      <c r="AA1562" s="59" t="str">
        <f>IF(AC1562=1,N(H1562)*N(IFERROR(INDEX(art_cost,MATCH(E1562,art_ref,0)),0)),"")</f>
        <v/>
      </c>
      <c r="AB1562" s="58" t="str">
        <f>IF(COUNTA(A1562:I1562)=0,"",IF(N(A1562)&lt;=0,"Date manquante ou invalide",IF(B1562="","Équipe manquante",IF(ISNA(MATCH(B1562,eq_code,0)),"Équipe inconnue",IF(INDEX(eq_check,MATCH(B1562,eq_code,0))&lt;&gt;"OK","Équipe à corriger dans Paramètres",IF(C1562="","Poste manquant",IF(ISNA(MATCH(C1562,po_code,0)),"Poste inconnu",IF(AND(E1562&lt;&gt;"",ISNA(MATCH(E1562,art_ref,0))),"Article inconnu",IF(IF(E1562="",FALSE,INDEX(art_check,MATCH(E1562,art_ref,0))&lt;&gt;"OK"),"Article à corriger (feuille Articles)",IF(COUNTIFS(sj_date,A1562,sj_eq,B1562,sj_po,C1562)&gt;1,"Ligne en double (même jour, équipe et poste)",IF(OR(NOT(ISNUMBER(K1562)),N(K1562)&lt;=0,N(K1562)&gt;1440),"Temps d'ouverture invalide",IF(OR(AND(G1562&lt;&gt;"",NOT(ISNUMBER(G1562))),N(G1562)&lt;0,N(G1562)&lt;&gt;INT(N(G1562)),AND(H1562&lt;&gt;"",NOT(ISNUMBER(H1562))),N(H1562)&lt;0,N(H1562)&lt;&gt;INT(N(H1562)),AND(I1562&lt;&gt;"",NOT(ISNUMBER(I1562))),N(I1562)&lt;0,N(I1562)&lt;&gt;INT(N(I1562))),"Quantité invalide",IF(Q1562&lt;=0,"Cadence manquante (poste ou article)",IF(M1562&lt;=0,"Arrêts planifiés supérieurs au temps d'ouverture",IF(O1562&lt;0,"Arrêts supérieurs au temps requis",IF(AND(P1562&gt;0,O1562=0),"Pièces déclarées sans temps de marche",IF(AND(P1562=0,O1562&gt;0),"Aucune pièce déclarée",IF(P1562*60/Q1562&gt;O1562+0.001,"Cadence dépassée : vérifiez la cadence","OK"))))))))))))))))))</f>
        <v/>
      </c>
      <c r="AC1562">
        <f>IF(OR(AB1562="OK",AB1562="Aucune pièce déclarée",AB1562="Cadence dépassée : vérifiez la cadence"),1,0)</f>
        <v>0.0</v>
      </c>
      <c r="AD1562">
        <f>IF(AND(AC1562=1,A1562&gt;=p_from,A1562&lt;=p_to),1,0)</f>
        <v>0.0</v>
      </c>
      <c r="AE1562">
        <f>IF(AD1562=1,IF(COUNTIFS($A$6:A1562,A1562,$AD$6:AD1562,1)=1,1,0),0)</f>
        <v>0.0</v>
      </c>
      <c r="AF1562" t="str">
        <f>IF(AE1562=1,COUNTIFS(sj_first,1,sj_date,"&lt;"&amp;A1562)+1,"")</f>
        <v/>
      </c>
      <c r="AG1562" t="str">
        <f>IF(AND(AD1562=1,N(W1562)&lt;p_alert),ROUND(W1562,4),"")</f>
        <v/>
      </c>
      <c r="AH1562" t="str">
        <f>IF(AG1562="","",COUNTIF(sj_akey,"&lt;"&amp;AG1562)+COUNTIF($AG$6:AG1562,AG1562))</f>
        <v/>
      </c>
    </row>
    <row r="1563">
      <c r="A1563" s="51" t="n"/>
      <c r="B1563" s="52" t="n"/>
      <c r="C1563" s="52" t="n"/>
      <c r="D1563" s="53" t="n"/>
      <c r="E1563" s="53" t="n"/>
      <c r="F1563" s="54" t="n"/>
      <c r="G1563" s="54" t="n"/>
      <c r="H1563" s="54" t="n"/>
      <c r="I1563" s="54" t="n"/>
      <c r="J1563" s="53" t="n"/>
      <c r="K1563" s="55" t="str">
        <f>IF(COUNTA(A1563:I1563)=0,"",IF(F1563="",IFERROR(INDEX(eq_dur,MATCH(B1563,eq_code,0)),""),F1563))</f>
        <v/>
      </c>
      <c r="L1563" s="55" t="str">
        <f>IF(ISNUMBER(K1563),N(IFERROR(INDEX(eq_pause,MATCH(B1563,eq_code,0)),0))+SUMIFS(st_min,st_date,A1563,st_eq,B1563,st_po,C1563,st_type,"Planifié"),"")</f>
        <v/>
      </c>
      <c r="M1563" s="55" t="str">
        <f>IF(ISNUMBER(K1563),K1563-L1563,"")</f>
        <v/>
      </c>
      <c r="N1563" s="55" t="str">
        <f>IF(ISNUMBER(K1563),SUMIFS(st_min,st_date,A1563,st_eq,B1563,st_po,C1563,st_type,"Non planifié"),"")</f>
        <v/>
      </c>
      <c r="O1563" s="55" t="str">
        <f>IF(ISNUMBER(K1563),M1563-N1563,"")</f>
        <v/>
      </c>
      <c r="P1563" s="55" t="str">
        <f>IF(COUNTA(A1563:I1563)=0,"",N(G1563)+N(H1563)+N(I1563))</f>
        <v/>
      </c>
      <c r="Q1563" s="56" t="str">
        <f>IF(COUNTA(A1563:I1563)=0,"",IF(N(IFERROR(INDEX(art_rate,MATCH(E1563,art_ref,0)),0))&gt;0,N(IFERROR(INDEX(art_rate,MATCH(E1563,art_ref,0)),0)),N(IFERROR(INDEX(po_rate,MATCH(C1563,po_code,0)),0))))</f>
        <v/>
      </c>
      <c r="R1563" s="55" t="str">
        <f>IF(AC1563=1,P1563*60/Q1563,"")</f>
        <v/>
      </c>
      <c r="S1563" s="55" t="str">
        <f>IF(AC1563=1,N(G1563)*60/Q1563,"")</f>
        <v/>
      </c>
      <c r="T1563" s="57" t="str">
        <f>IF(AC1563=1,O1563/M1563,"")</f>
        <v/>
      </c>
      <c r="U1563" s="57" t="str">
        <f>IF(AC1563=1,IF(O1563&gt;0,R1563/O1563,""),"")</f>
        <v/>
      </c>
      <c r="V1563" s="57" t="str">
        <f>IF(AC1563=1,IF(P1563&gt;0,N(G1563)/P1563,""),"")</f>
        <v/>
      </c>
      <c r="W1563" s="57" t="str">
        <f>IF(AC1563=1,S1563/M1563,"")</f>
        <v/>
      </c>
      <c r="X1563" s="57" t="str">
        <f>IF(AC1563=1,S1563/K1563,"")</f>
        <v/>
      </c>
      <c r="Y1563" s="58" t="str">
        <f>IF(W1563="","",IF(W1563&gt;=p_target,"Bon",IF(W1563&gt;=p_alert,"À surveiller","Faible")))</f>
        <v/>
      </c>
      <c r="Z1563" s="58" t="str">
        <f>IF(W1563="","",IF(MIN(IF(T1563="",1,T1563),IF(U1563="",1,U1563),IF(V1563="",1,V1563))&gt;=1,"Aucune",IF(IF(T1563="",1,T1563)&lt;=MIN(IF(U1563="",1,U1563),IF(V1563="",1,V1563)),"Disponibilité",IF(IF(U1563="",1,U1563)&lt;=IF(V1563="",1,V1563),"Performance","Qualité"))))</f>
        <v/>
      </c>
      <c r="AA1563" s="59" t="str">
        <f>IF(AC1563=1,N(H1563)*N(IFERROR(INDEX(art_cost,MATCH(E1563,art_ref,0)),0)),"")</f>
        <v/>
      </c>
      <c r="AB1563" s="58" t="str">
        <f>IF(COUNTA(A1563:I1563)=0,"",IF(N(A1563)&lt;=0,"Date manquante ou invalide",IF(B1563="","Équipe manquante",IF(ISNA(MATCH(B1563,eq_code,0)),"Équipe inconnue",IF(INDEX(eq_check,MATCH(B1563,eq_code,0))&lt;&gt;"OK","Équipe à corriger dans Paramètres",IF(C1563="","Poste manquant",IF(ISNA(MATCH(C1563,po_code,0)),"Poste inconnu",IF(AND(E1563&lt;&gt;"",ISNA(MATCH(E1563,art_ref,0))),"Article inconnu",IF(IF(E1563="",FALSE,INDEX(art_check,MATCH(E1563,art_ref,0))&lt;&gt;"OK"),"Article à corriger (feuille Articles)",IF(COUNTIFS(sj_date,A1563,sj_eq,B1563,sj_po,C1563)&gt;1,"Ligne en double (même jour, équipe et poste)",IF(OR(NOT(ISNUMBER(K1563)),N(K1563)&lt;=0,N(K1563)&gt;1440),"Temps d'ouverture invalide",IF(OR(AND(G1563&lt;&gt;"",NOT(ISNUMBER(G1563))),N(G1563)&lt;0,N(G1563)&lt;&gt;INT(N(G1563)),AND(H1563&lt;&gt;"",NOT(ISNUMBER(H1563))),N(H1563)&lt;0,N(H1563)&lt;&gt;INT(N(H1563)),AND(I1563&lt;&gt;"",NOT(ISNUMBER(I1563))),N(I1563)&lt;0,N(I1563)&lt;&gt;INT(N(I1563))),"Quantité invalide",IF(Q1563&lt;=0,"Cadence manquante (poste ou article)",IF(M1563&lt;=0,"Arrêts planifiés supérieurs au temps d'ouverture",IF(O1563&lt;0,"Arrêts supérieurs au temps requis",IF(AND(P1563&gt;0,O1563=0),"Pièces déclarées sans temps de marche",IF(AND(P1563=0,O1563&gt;0),"Aucune pièce déclarée",IF(P1563*60/Q1563&gt;O1563+0.001,"Cadence dépassée : vérifiez la cadence","OK"))))))))))))))))))</f>
        <v/>
      </c>
      <c r="AC1563">
        <f>IF(OR(AB1563="OK",AB1563="Aucune pièce déclarée",AB1563="Cadence dépassée : vérifiez la cadence"),1,0)</f>
        <v>0.0</v>
      </c>
      <c r="AD1563">
        <f>IF(AND(AC1563=1,A1563&gt;=p_from,A1563&lt;=p_to),1,0)</f>
        <v>0.0</v>
      </c>
      <c r="AE1563">
        <f>IF(AD1563=1,IF(COUNTIFS($A$6:A1563,A1563,$AD$6:AD1563,1)=1,1,0),0)</f>
        <v>0.0</v>
      </c>
      <c r="AF1563" t="str">
        <f>IF(AE1563=1,COUNTIFS(sj_first,1,sj_date,"&lt;"&amp;A1563)+1,"")</f>
        <v/>
      </c>
      <c r="AG1563" t="str">
        <f>IF(AND(AD1563=1,N(W1563)&lt;p_alert),ROUND(W1563,4),"")</f>
        <v/>
      </c>
      <c r="AH1563" t="str">
        <f>IF(AG1563="","",COUNTIF(sj_akey,"&lt;"&amp;AG1563)+COUNTIF($AG$6:AG1563,AG1563))</f>
        <v/>
      </c>
    </row>
    <row r="1564">
      <c r="A1564" s="51" t="n"/>
      <c r="B1564" s="52" t="n"/>
      <c r="C1564" s="52" t="n"/>
      <c r="D1564" s="53" t="n"/>
      <c r="E1564" s="53" t="n"/>
      <c r="F1564" s="54" t="n"/>
      <c r="G1564" s="54" t="n"/>
      <c r="H1564" s="54" t="n"/>
      <c r="I1564" s="54" t="n"/>
      <c r="J1564" s="53" t="n"/>
      <c r="K1564" s="55" t="str">
        <f>IF(COUNTA(A1564:I1564)=0,"",IF(F1564="",IFERROR(INDEX(eq_dur,MATCH(B1564,eq_code,0)),""),F1564))</f>
        <v/>
      </c>
      <c r="L1564" s="55" t="str">
        <f>IF(ISNUMBER(K1564),N(IFERROR(INDEX(eq_pause,MATCH(B1564,eq_code,0)),0))+SUMIFS(st_min,st_date,A1564,st_eq,B1564,st_po,C1564,st_type,"Planifié"),"")</f>
        <v/>
      </c>
      <c r="M1564" s="55" t="str">
        <f>IF(ISNUMBER(K1564),K1564-L1564,"")</f>
        <v/>
      </c>
      <c r="N1564" s="55" t="str">
        <f>IF(ISNUMBER(K1564),SUMIFS(st_min,st_date,A1564,st_eq,B1564,st_po,C1564,st_type,"Non planifié"),"")</f>
        <v/>
      </c>
      <c r="O1564" s="55" t="str">
        <f>IF(ISNUMBER(K1564),M1564-N1564,"")</f>
        <v/>
      </c>
      <c r="P1564" s="55" t="str">
        <f>IF(COUNTA(A1564:I1564)=0,"",N(G1564)+N(H1564)+N(I1564))</f>
        <v/>
      </c>
      <c r="Q1564" s="56" t="str">
        <f>IF(COUNTA(A1564:I1564)=0,"",IF(N(IFERROR(INDEX(art_rate,MATCH(E1564,art_ref,0)),0))&gt;0,N(IFERROR(INDEX(art_rate,MATCH(E1564,art_ref,0)),0)),N(IFERROR(INDEX(po_rate,MATCH(C1564,po_code,0)),0))))</f>
        <v/>
      </c>
      <c r="R1564" s="55" t="str">
        <f>IF(AC1564=1,P1564*60/Q1564,"")</f>
        <v/>
      </c>
      <c r="S1564" s="55" t="str">
        <f>IF(AC1564=1,N(G1564)*60/Q1564,"")</f>
        <v/>
      </c>
      <c r="T1564" s="57" t="str">
        <f>IF(AC1564=1,O1564/M1564,"")</f>
        <v/>
      </c>
      <c r="U1564" s="57" t="str">
        <f>IF(AC1564=1,IF(O1564&gt;0,R1564/O1564,""),"")</f>
        <v/>
      </c>
      <c r="V1564" s="57" t="str">
        <f>IF(AC1564=1,IF(P1564&gt;0,N(G1564)/P1564,""),"")</f>
        <v/>
      </c>
      <c r="W1564" s="57" t="str">
        <f>IF(AC1564=1,S1564/M1564,"")</f>
        <v/>
      </c>
      <c r="X1564" s="57" t="str">
        <f>IF(AC1564=1,S1564/K1564,"")</f>
        <v/>
      </c>
      <c r="Y1564" s="58" t="str">
        <f>IF(W1564="","",IF(W1564&gt;=p_target,"Bon",IF(W1564&gt;=p_alert,"À surveiller","Faible")))</f>
        <v/>
      </c>
      <c r="Z1564" s="58" t="str">
        <f>IF(W1564="","",IF(MIN(IF(T1564="",1,T1564),IF(U1564="",1,U1564),IF(V1564="",1,V1564))&gt;=1,"Aucune",IF(IF(T1564="",1,T1564)&lt;=MIN(IF(U1564="",1,U1564),IF(V1564="",1,V1564)),"Disponibilité",IF(IF(U1564="",1,U1564)&lt;=IF(V1564="",1,V1564),"Performance","Qualité"))))</f>
        <v/>
      </c>
      <c r="AA1564" s="59" t="str">
        <f>IF(AC1564=1,N(H1564)*N(IFERROR(INDEX(art_cost,MATCH(E1564,art_ref,0)),0)),"")</f>
        <v/>
      </c>
      <c r="AB1564" s="58" t="str">
        <f>IF(COUNTA(A1564:I1564)=0,"",IF(N(A1564)&lt;=0,"Date manquante ou invalide",IF(B1564="","Équipe manquante",IF(ISNA(MATCH(B1564,eq_code,0)),"Équipe inconnue",IF(INDEX(eq_check,MATCH(B1564,eq_code,0))&lt;&gt;"OK","Équipe à corriger dans Paramètres",IF(C1564="","Poste manquant",IF(ISNA(MATCH(C1564,po_code,0)),"Poste inconnu",IF(AND(E1564&lt;&gt;"",ISNA(MATCH(E1564,art_ref,0))),"Article inconnu",IF(IF(E1564="",FALSE,INDEX(art_check,MATCH(E1564,art_ref,0))&lt;&gt;"OK"),"Article à corriger (feuille Articles)",IF(COUNTIFS(sj_date,A1564,sj_eq,B1564,sj_po,C1564)&gt;1,"Ligne en double (même jour, équipe et poste)",IF(OR(NOT(ISNUMBER(K1564)),N(K1564)&lt;=0,N(K1564)&gt;1440),"Temps d'ouverture invalide",IF(OR(AND(G1564&lt;&gt;"",NOT(ISNUMBER(G1564))),N(G1564)&lt;0,N(G1564)&lt;&gt;INT(N(G1564)),AND(H1564&lt;&gt;"",NOT(ISNUMBER(H1564))),N(H1564)&lt;0,N(H1564)&lt;&gt;INT(N(H1564)),AND(I1564&lt;&gt;"",NOT(ISNUMBER(I1564))),N(I1564)&lt;0,N(I1564)&lt;&gt;INT(N(I1564))),"Quantité invalide",IF(Q1564&lt;=0,"Cadence manquante (poste ou article)",IF(M1564&lt;=0,"Arrêts planifiés supérieurs au temps d'ouverture",IF(O1564&lt;0,"Arrêts supérieurs au temps requis",IF(AND(P1564&gt;0,O1564=0),"Pièces déclarées sans temps de marche",IF(AND(P1564=0,O1564&gt;0),"Aucune pièce déclarée",IF(P1564*60/Q1564&gt;O1564+0.001,"Cadence dépassée : vérifiez la cadence","OK"))))))))))))))))))</f>
        <v/>
      </c>
      <c r="AC1564">
        <f>IF(OR(AB1564="OK",AB1564="Aucune pièce déclarée",AB1564="Cadence dépassée : vérifiez la cadence"),1,0)</f>
        <v>0.0</v>
      </c>
      <c r="AD1564">
        <f>IF(AND(AC1564=1,A1564&gt;=p_from,A1564&lt;=p_to),1,0)</f>
        <v>0.0</v>
      </c>
      <c r="AE1564">
        <f>IF(AD1564=1,IF(COUNTIFS($A$6:A1564,A1564,$AD$6:AD1564,1)=1,1,0),0)</f>
        <v>0.0</v>
      </c>
      <c r="AF1564" t="str">
        <f>IF(AE1564=1,COUNTIFS(sj_first,1,sj_date,"&lt;"&amp;A1564)+1,"")</f>
        <v/>
      </c>
      <c r="AG1564" t="str">
        <f>IF(AND(AD1564=1,N(W1564)&lt;p_alert),ROUND(W1564,4),"")</f>
        <v/>
      </c>
      <c r="AH1564" t="str">
        <f>IF(AG1564="","",COUNTIF(sj_akey,"&lt;"&amp;AG1564)+COUNTIF($AG$6:AG1564,AG1564))</f>
        <v/>
      </c>
    </row>
    <row r="1565">
      <c r="A1565" s="51" t="n"/>
      <c r="B1565" s="52" t="n"/>
      <c r="C1565" s="52" t="n"/>
      <c r="D1565" s="53" t="n"/>
      <c r="E1565" s="53" t="n"/>
      <c r="F1565" s="54" t="n"/>
      <c r="G1565" s="54" t="n"/>
      <c r="H1565" s="54" t="n"/>
      <c r="I1565" s="54" t="n"/>
      <c r="J1565" s="53" t="n"/>
      <c r="K1565" s="55" t="str">
        <f>IF(COUNTA(A1565:I1565)=0,"",IF(F1565="",IFERROR(INDEX(eq_dur,MATCH(B1565,eq_code,0)),""),F1565))</f>
        <v/>
      </c>
      <c r="L1565" s="55" t="str">
        <f>IF(ISNUMBER(K1565),N(IFERROR(INDEX(eq_pause,MATCH(B1565,eq_code,0)),0))+SUMIFS(st_min,st_date,A1565,st_eq,B1565,st_po,C1565,st_type,"Planifié"),"")</f>
        <v/>
      </c>
      <c r="M1565" s="55" t="str">
        <f>IF(ISNUMBER(K1565),K1565-L1565,"")</f>
        <v/>
      </c>
      <c r="N1565" s="55" t="str">
        <f>IF(ISNUMBER(K1565),SUMIFS(st_min,st_date,A1565,st_eq,B1565,st_po,C1565,st_type,"Non planifié"),"")</f>
        <v/>
      </c>
      <c r="O1565" s="55" t="str">
        <f>IF(ISNUMBER(K1565),M1565-N1565,"")</f>
        <v/>
      </c>
      <c r="P1565" s="55" t="str">
        <f>IF(COUNTA(A1565:I1565)=0,"",N(G1565)+N(H1565)+N(I1565))</f>
        <v/>
      </c>
      <c r="Q1565" s="56" t="str">
        <f>IF(COUNTA(A1565:I1565)=0,"",IF(N(IFERROR(INDEX(art_rate,MATCH(E1565,art_ref,0)),0))&gt;0,N(IFERROR(INDEX(art_rate,MATCH(E1565,art_ref,0)),0)),N(IFERROR(INDEX(po_rate,MATCH(C1565,po_code,0)),0))))</f>
        <v/>
      </c>
      <c r="R1565" s="55" t="str">
        <f>IF(AC1565=1,P1565*60/Q1565,"")</f>
        <v/>
      </c>
      <c r="S1565" s="55" t="str">
        <f>IF(AC1565=1,N(G1565)*60/Q1565,"")</f>
        <v/>
      </c>
      <c r="T1565" s="57" t="str">
        <f>IF(AC1565=1,O1565/M1565,"")</f>
        <v/>
      </c>
      <c r="U1565" s="57" t="str">
        <f>IF(AC1565=1,IF(O1565&gt;0,R1565/O1565,""),"")</f>
        <v/>
      </c>
      <c r="V1565" s="57" t="str">
        <f>IF(AC1565=1,IF(P1565&gt;0,N(G1565)/P1565,""),"")</f>
        <v/>
      </c>
      <c r="W1565" s="57" t="str">
        <f>IF(AC1565=1,S1565/M1565,"")</f>
        <v/>
      </c>
      <c r="X1565" s="57" t="str">
        <f>IF(AC1565=1,S1565/K1565,"")</f>
        <v/>
      </c>
      <c r="Y1565" s="58" t="str">
        <f>IF(W1565="","",IF(W1565&gt;=p_target,"Bon",IF(W1565&gt;=p_alert,"À surveiller","Faible")))</f>
        <v/>
      </c>
      <c r="Z1565" s="58" t="str">
        <f>IF(W1565="","",IF(MIN(IF(T1565="",1,T1565),IF(U1565="",1,U1565),IF(V1565="",1,V1565))&gt;=1,"Aucune",IF(IF(T1565="",1,T1565)&lt;=MIN(IF(U1565="",1,U1565),IF(V1565="",1,V1565)),"Disponibilité",IF(IF(U1565="",1,U1565)&lt;=IF(V1565="",1,V1565),"Performance","Qualité"))))</f>
        <v/>
      </c>
      <c r="AA1565" s="59" t="str">
        <f>IF(AC1565=1,N(H1565)*N(IFERROR(INDEX(art_cost,MATCH(E1565,art_ref,0)),0)),"")</f>
        <v/>
      </c>
      <c r="AB1565" s="58" t="str">
        <f>IF(COUNTA(A1565:I1565)=0,"",IF(N(A1565)&lt;=0,"Date manquante ou invalide",IF(B1565="","Équipe manquante",IF(ISNA(MATCH(B1565,eq_code,0)),"Équipe inconnue",IF(INDEX(eq_check,MATCH(B1565,eq_code,0))&lt;&gt;"OK","Équipe à corriger dans Paramètres",IF(C1565="","Poste manquant",IF(ISNA(MATCH(C1565,po_code,0)),"Poste inconnu",IF(AND(E1565&lt;&gt;"",ISNA(MATCH(E1565,art_ref,0))),"Article inconnu",IF(IF(E1565="",FALSE,INDEX(art_check,MATCH(E1565,art_ref,0))&lt;&gt;"OK"),"Article à corriger (feuille Articles)",IF(COUNTIFS(sj_date,A1565,sj_eq,B1565,sj_po,C1565)&gt;1,"Ligne en double (même jour, équipe et poste)",IF(OR(NOT(ISNUMBER(K1565)),N(K1565)&lt;=0,N(K1565)&gt;1440),"Temps d'ouverture invalide",IF(OR(AND(G1565&lt;&gt;"",NOT(ISNUMBER(G1565))),N(G1565)&lt;0,N(G1565)&lt;&gt;INT(N(G1565)),AND(H1565&lt;&gt;"",NOT(ISNUMBER(H1565))),N(H1565)&lt;0,N(H1565)&lt;&gt;INT(N(H1565)),AND(I1565&lt;&gt;"",NOT(ISNUMBER(I1565))),N(I1565)&lt;0,N(I1565)&lt;&gt;INT(N(I1565))),"Quantité invalide",IF(Q1565&lt;=0,"Cadence manquante (poste ou article)",IF(M1565&lt;=0,"Arrêts planifiés supérieurs au temps d'ouverture",IF(O1565&lt;0,"Arrêts supérieurs au temps requis",IF(AND(P1565&gt;0,O1565=0),"Pièces déclarées sans temps de marche",IF(AND(P1565=0,O1565&gt;0),"Aucune pièce déclarée",IF(P1565*60/Q1565&gt;O1565+0.001,"Cadence dépassée : vérifiez la cadence","OK"))))))))))))))))))</f>
        <v/>
      </c>
      <c r="AC1565">
        <f>IF(OR(AB1565="OK",AB1565="Aucune pièce déclarée",AB1565="Cadence dépassée : vérifiez la cadence"),1,0)</f>
        <v>0.0</v>
      </c>
      <c r="AD1565">
        <f>IF(AND(AC1565=1,A1565&gt;=p_from,A1565&lt;=p_to),1,0)</f>
        <v>0.0</v>
      </c>
      <c r="AE1565">
        <f>IF(AD1565=1,IF(COUNTIFS($A$6:A1565,A1565,$AD$6:AD1565,1)=1,1,0),0)</f>
        <v>0.0</v>
      </c>
      <c r="AF1565" t="str">
        <f>IF(AE1565=1,COUNTIFS(sj_first,1,sj_date,"&lt;"&amp;A1565)+1,"")</f>
        <v/>
      </c>
      <c r="AG1565" t="str">
        <f>IF(AND(AD1565=1,N(W1565)&lt;p_alert),ROUND(W1565,4),"")</f>
        <v/>
      </c>
      <c r="AH1565" t="str">
        <f>IF(AG1565="","",COUNTIF(sj_akey,"&lt;"&amp;AG1565)+COUNTIF($AG$6:AG1565,AG1565))</f>
        <v/>
      </c>
    </row>
    <row r="1566">
      <c r="A1566" s="51" t="n"/>
      <c r="B1566" s="52" t="n"/>
      <c r="C1566" s="52" t="n"/>
      <c r="D1566" s="53" t="n"/>
      <c r="E1566" s="53" t="n"/>
      <c r="F1566" s="54" t="n"/>
      <c r="G1566" s="54" t="n"/>
      <c r="H1566" s="54" t="n"/>
      <c r="I1566" s="54" t="n"/>
      <c r="J1566" s="53" t="n"/>
      <c r="K1566" s="55" t="str">
        <f>IF(COUNTA(A1566:I1566)=0,"",IF(F1566="",IFERROR(INDEX(eq_dur,MATCH(B1566,eq_code,0)),""),F1566))</f>
        <v/>
      </c>
      <c r="L1566" s="55" t="str">
        <f>IF(ISNUMBER(K1566),N(IFERROR(INDEX(eq_pause,MATCH(B1566,eq_code,0)),0))+SUMIFS(st_min,st_date,A1566,st_eq,B1566,st_po,C1566,st_type,"Planifié"),"")</f>
        <v/>
      </c>
      <c r="M1566" s="55" t="str">
        <f>IF(ISNUMBER(K1566),K1566-L1566,"")</f>
        <v/>
      </c>
      <c r="N1566" s="55" t="str">
        <f>IF(ISNUMBER(K1566),SUMIFS(st_min,st_date,A1566,st_eq,B1566,st_po,C1566,st_type,"Non planifié"),"")</f>
        <v/>
      </c>
      <c r="O1566" s="55" t="str">
        <f>IF(ISNUMBER(K1566),M1566-N1566,"")</f>
        <v/>
      </c>
      <c r="P1566" s="55" t="str">
        <f>IF(COUNTA(A1566:I1566)=0,"",N(G1566)+N(H1566)+N(I1566))</f>
        <v/>
      </c>
      <c r="Q1566" s="56" t="str">
        <f>IF(COUNTA(A1566:I1566)=0,"",IF(N(IFERROR(INDEX(art_rate,MATCH(E1566,art_ref,0)),0))&gt;0,N(IFERROR(INDEX(art_rate,MATCH(E1566,art_ref,0)),0)),N(IFERROR(INDEX(po_rate,MATCH(C1566,po_code,0)),0))))</f>
        <v/>
      </c>
      <c r="R1566" s="55" t="str">
        <f>IF(AC1566=1,P1566*60/Q1566,"")</f>
        <v/>
      </c>
      <c r="S1566" s="55" t="str">
        <f>IF(AC1566=1,N(G1566)*60/Q1566,"")</f>
        <v/>
      </c>
      <c r="T1566" s="57" t="str">
        <f>IF(AC1566=1,O1566/M1566,"")</f>
        <v/>
      </c>
      <c r="U1566" s="57" t="str">
        <f>IF(AC1566=1,IF(O1566&gt;0,R1566/O1566,""),"")</f>
        <v/>
      </c>
      <c r="V1566" s="57" t="str">
        <f>IF(AC1566=1,IF(P1566&gt;0,N(G1566)/P1566,""),"")</f>
        <v/>
      </c>
      <c r="W1566" s="57" t="str">
        <f>IF(AC1566=1,S1566/M1566,"")</f>
        <v/>
      </c>
      <c r="X1566" s="57" t="str">
        <f>IF(AC1566=1,S1566/K1566,"")</f>
        <v/>
      </c>
      <c r="Y1566" s="58" t="str">
        <f>IF(W1566="","",IF(W1566&gt;=p_target,"Bon",IF(W1566&gt;=p_alert,"À surveiller","Faible")))</f>
        <v/>
      </c>
      <c r="Z1566" s="58" t="str">
        <f>IF(W1566="","",IF(MIN(IF(T1566="",1,T1566),IF(U1566="",1,U1566),IF(V1566="",1,V1566))&gt;=1,"Aucune",IF(IF(T1566="",1,T1566)&lt;=MIN(IF(U1566="",1,U1566),IF(V1566="",1,V1566)),"Disponibilité",IF(IF(U1566="",1,U1566)&lt;=IF(V1566="",1,V1566),"Performance","Qualité"))))</f>
        <v/>
      </c>
      <c r="AA1566" s="59" t="str">
        <f>IF(AC1566=1,N(H1566)*N(IFERROR(INDEX(art_cost,MATCH(E1566,art_ref,0)),0)),"")</f>
        <v/>
      </c>
      <c r="AB1566" s="58" t="str">
        <f>IF(COUNTA(A1566:I1566)=0,"",IF(N(A1566)&lt;=0,"Date manquante ou invalide",IF(B1566="","Équipe manquante",IF(ISNA(MATCH(B1566,eq_code,0)),"Équipe inconnue",IF(INDEX(eq_check,MATCH(B1566,eq_code,0))&lt;&gt;"OK","Équipe à corriger dans Paramètres",IF(C1566="","Poste manquant",IF(ISNA(MATCH(C1566,po_code,0)),"Poste inconnu",IF(AND(E1566&lt;&gt;"",ISNA(MATCH(E1566,art_ref,0))),"Article inconnu",IF(IF(E1566="",FALSE,INDEX(art_check,MATCH(E1566,art_ref,0))&lt;&gt;"OK"),"Article à corriger (feuille Articles)",IF(COUNTIFS(sj_date,A1566,sj_eq,B1566,sj_po,C1566)&gt;1,"Ligne en double (même jour, équipe et poste)",IF(OR(NOT(ISNUMBER(K1566)),N(K1566)&lt;=0,N(K1566)&gt;1440),"Temps d'ouverture invalide",IF(OR(AND(G1566&lt;&gt;"",NOT(ISNUMBER(G1566))),N(G1566)&lt;0,N(G1566)&lt;&gt;INT(N(G1566)),AND(H1566&lt;&gt;"",NOT(ISNUMBER(H1566))),N(H1566)&lt;0,N(H1566)&lt;&gt;INT(N(H1566)),AND(I1566&lt;&gt;"",NOT(ISNUMBER(I1566))),N(I1566)&lt;0,N(I1566)&lt;&gt;INT(N(I1566))),"Quantité invalide",IF(Q1566&lt;=0,"Cadence manquante (poste ou article)",IF(M1566&lt;=0,"Arrêts planifiés supérieurs au temps d'ouverture",IF(O1566&lt;0,"Arrêts supérieurs au temps requis",IF(AND(P1566&gt;0,O1566=0),"Pièces déclarées sans temps de marche",IF(AND(P1566=0,O1566&gt;0),"Aucune pièce déclarée",IF(P1566*60/Q1566&gt;O1566+0.001,"Cadence dépassée : vérifiez la cadence","OK"))))))))))))))))))</f>
        <v/>
      </c>
      <c r="AC1566">
        <f>IF(OR(AB1566="OK",AB1566="Aucune pièce déclarée",AB1566="Cadence dépassée : vérifiez la cadence"),1,0)</f>
        <v>0.0</v>
      </c>
      <c r="AD1566">
        <f>IF(AND(AC1566=1,A1566&gt;=p_from,A1566&lt;=p_to),1,0)</f>
        <v>0.0</v>
      </c>
      <c r="AE1566">
        <f>IF(AD1566=1,IF(COUNTIFS($A$6:A1566,A1566,$AD$6:AD1566,1)=1,1,0),0)</f>
        <v>0.0</v>
      </c>
      <c r="AF1566" t="str">
        <f>IF(AE1566=1,COUNTIFS(sj_first,1,sj_date,"&lt;"&amp;A1566)+1,"")</f>
        <v/>
      </c>
      <c r="AG1566" t="str">
        <f>IF(AND(AD1566=1,N(W1566)&lt;p_alert),ROUND(W1566,4),"")</f>
        <v/>
      </c>
      <c r="AH1566" t="str">
        <f>IF(AG1566="","",COUNTIF(sj_akey,"&lt;"&amp;AG1566)+COUNTIF($AG$6:AG1566,AG1566))</f>
        <v/>
      </c>
    </row>
    <row r="1567">
      <c r="A1567" s="51" t="n"/>
      <c r="B1567" s="52" t="n"/>
      <c r="C1567" s="52" t="n"/>
      <c r="D1567" s="53" t="n"/>
      <c r="E1567" s="53" t="n"/>
      <c r="F1567" s="54" t="n"/>
      <c r="G1567" s="54" t="n"/>
      <c r="H1567" s="54" t="n"/>
      <c r="I1567" s="54" t="n"/>
      <c r="J1567" s="53" t="n"/>
      <c r="K1567" s="55" t="str">
        <f>IF(COUNTA(A1567:I1567)=0,"",IF(F1567="",IFERROR(INDEX(eq_dur,MATCH(B1567,eq_code,0)),""),F1567))</f>
        <v/>
      </c>
      <c r="L1567" s="55" t="str">
        <f>IF(ISNUMBER(K1567),N(IFERROR(INDEX(eq_pause,MATCH(B1567,eq_code,0)),0))+SUMIFS(st_min,st_date,A1567,st_eq,B1567,st_po,C1567,st_type,"Planifié"),"")</f>
        <v/>
      </c>
      <c r="M1567" s="55" t="str">
        <f>IF(ISNUMBER(K1567),K1567-L1567,"")</f>
        <v/>
      </c>
      <c r="N1567" s="55" t="str">
        <f>IF(ISNUMBER(K1567),SUMIFS(st_min,st_date,A1567,st_eq,B1567,st_po,C1567,st_type,"Non planifié"),"")</f>
        <v/>
      </c>
      <c r="O1567" s="55" t="str">
        <f>IF(ISNUMBER(K1567),M1567-N1567,"")</f>
        <v/>
      </c>
      <c r="P1567" s="55" t="str">
        <f>IF(COUNTA(A1567:I1567)=0,"",N(G1567)+N(H1567)+N(I1567))</f>
        <v/>
      </c>
      <c r="Q1567" s="56" t="str">
        <f>IF(COUNTA(A1567:I1567)=0,"",IF(N(IFERROR(INDEX(art_rate,MATCH(E1567,art_ref,0)),0))&gt;0,N(IFERROR(INDEX(art_rate,MATCH(E1567,art_ref,0)),0)),N(IFERROR(INDEX(po_rate,MATCH(C1567,po_code,0)),0))))</f>
        <v/>
      </c>
      <c r="R1567" s="55" t="str">
        <f>IF(AC1567=1,P1567*60/Q1567,"")</f>
        <v/>
      </c>
      <c r="S1567" s="55" t="str">
        <f>IF(AC1567=1,N(G1567)*60/Q1567,"")</f>
        <v/>
      </c>
      <c r="T1567" s="57" t="str">
        <f>IF(AC1567=1,O1567/M1567,"")</f>
        <v/>
      </c>
      <c r="U1567" s="57" t="str">
        <f>IF(AC1567=1,IF(O1567&gt;0,R1567/O1567,""),"")</f>
        <v/>
      </c>
      <c r="V1567" s="57" t="str">
        <f>IF(AC1567=1,IF(P1567&gt;0,N(G1567)/P1567,""),"")</f>
        <v/>
      </c>
      <c r="W1567" s="57" t="str">
        <f>IF(AC1567=1,S1567/M1567,"")</f>
        <v/>
      </c>
      <c r="X1567" s="57" t="str">
        <f>IF(AC1567=1,S1567/K1567,"")</f>
        <v/>
      </c>
      <c r="Y1567" s="58" t="str">
        <f>IF(W1567="","",IF(W1567&gt;=p_target,"Bon",IF(W1567&gt;=p_alert,"À surveiller","Faible")))</f>
        <v/>
      </c>
      <c r="Z1567" s="58" t="str">
        <f>IF(W1567="","",IF(MIN(IF(T1567="",1,T1567),IF(U1567="",1,U1567),IF(V1567="",1,V1567))&gt;=1,"Aucune",IF(IF(T1567="",1,T1567)&lt;=MIN(IF(U1567="",1,U1567),IF(V1567="",1,V1567)),"Disponibilité",IF(IF(U1567="",1,U1567)&lt;=IF(V1567="",1,V1567),"Performance","Qualité"))))</f>
        <v/>
      </c>
      <c r="AA1567" s="59" t="str">
        <f>IF(AC1567=1,N(H1567)*N(IFERROR(INDEX(art_cost,MATCH(E1567,art_ref,0)),0)),"")</f>
        <v/>
      </c>
      <c r="AB1567" s="58" t="str">
        <f>IF(COUNTA(A1567:I1567)=0,"",IF(N(A1567)&lt;=0,"Date manquante ou invalide",IF(B1567="","Équipe manquante",IF(ISNA(MATCH(B1567,eq_code,0)),"Équipe inconnue",IF(INDEX(eq_check,MATCH(B1567,eq_code,0))&lt;&gt;"OK","Équipe à corriger dans Paramètres",IF(C1567="","Poste manquant",IF(ISNA(MATCH(C1567,po_code,0)),"Poste inconnu",IF(AND(E1567&lt;&gt;"",ISNA(MATCH(E1567,art_ref,0))),"Article inconnu",IF(IF(E1567="",FALSE,INDEX(art_check,MATCH(E1567,art_ref,0))&lt;&gt;"OK"),"Article à corriger (feuille Articles)",IF(COUNTIFS(sj_date,A1567,sj_eq,B1567,sj_po,C1567)&gt;1,"Ligne en double (même jour, équipe et poste)",IF(OR(NOT(ISNUMBER(K1567)),N(K1567)&lt;=0,N(K1567)&gt;1440),"Temps d'ouverture invalide",IF(OR(AND(G1567&lt;&gt;"",NOT(ISNUMBER(G1567))),N(G1567)&lt;0,N(G1567)&lt;&gt;INT(N(G1567)),AND(H1567&lt;&gt;"",NOT(ISNUMBER(H1567))),N(H1567)&lt;0,N(H1567)&lt;&gt;INT(N(H1567)),AND(I1567&lt;&gt;"",NOT(ISNUMBER(I1567))),N(I1567)&lt;0,N(I1567)&lt;&gt;INT(N(I1567))),"Quantité invalide",IF(Q1567&lt;=0,"Cadence manquante (poste ou article)",IF(M1567&lt;=0,"Arrêts planifiés supérieurs au temps d'ouverture",IF(O1567&lt;0,"Arrêts supérieurs au temps requis",IF(AND(P1567&gt;0,O1567=0),"Pièces déclarées sans temps de marche",IF(AND(P1567=0,O1567&gt;0),"Aucune pièce déclarée",IF(P1567*60/Q1567&gt;O1567+0.001,"Cadence dépassée : vérifiez la cadence","OK"))))))))))))))))))</f>
        <v/>
      </c>
      <c r="AC1567">
        <f>IF(OR(AB1567="OK",AB1567="Aucune pièce déclarée",AB1567="Cadence dépassée : vérifiez la cadence"),1,0)</f>
        <v>0.0</v>
      </c>
      <c r="AD1567">
        <f>IF(AND(AC1567=1,A1567&gt;=p_from,A1567&lt;=p_to),1,0)</f>
        <v>0.0</v>
      </c>
      <c r="AE1567">
        <f>IF(AD1567=1,IF(COUNTIFS($A$6:A1567,A1567,$AD$6:AD1567,1)=1,1,0),0)</f>
        <v>0.0</v>
      </c>
      <c r="AF1567" t="str">
        <f>IF(AE1567=1,COUNTIFS(sj_first,1,sj_date,"&lt;"&amp;A1567)+1,"")</f>
        <v/>
      </c>
      <c r="AG1567" t="str">
        <f>IF(AND(AD1567=1,N(W1567)&lt;p_alert),ROUND(W1567,4),"")</f>
        <v/>
      </c>
      <c r="AH1567" t="str">
        <f>IF(AG1567="","",COUNTIF(sj_akey,"&lt;"&amp;AG1567)+COUNTIF($AG$6:AG1567,AG1567))</f>
        <v/>
      </c>
    </row>
    <row r="1568">
      <c r="A1568" s="51" t="n"/>
      <c r="B1568" s="52" t="n"/>
      <c r="C1568" s="52" t="n"/>
      <c r="D1568" s="53" t="n"/>
      <c r="E1568" s="53" t="n"/>
      <c r="F1568" s="54" t="n"/>
      <c r="G1568" s="54" t="n"/>
      <c r="H1568" s="54" t="n"/>
      <c r="I1568" s="54" t="n"/>
      <c r="J1568" s="53" t="n"/>
      <c r="K1568" s="55" t="str">
        <f>IF(COUNTA(A1568:I1568)=0,"",IF(F1568="",IFERROR(INDEX(eq_dur,MATCH(B1568,eq_code,0)),""),F1568))</f>
        <v/>
      </c>
      <c r="L1568" s="55" t="str">
        <f>IF(ISNUMBER(K1568),N(IFERROR(INDEX(eq_pause,MATCH(B1568,eq_code,0)),0))+SUMIFS(st_min,st_date,A1568,st_eq,B1568,st_po,C1568,st_type,"Planifié"),"")</f>
        <v/>
      </c>
      <c r="M1568" s="55" t="str">
        <f>IF(ISNUMBER(K1568),K1568-L1568,"")</f>
        <v/>
      </c>
      <c r="N1568" s="55" t="str">
        <f>IF(ISNUMBER(K1568),SUMIFS(st_min,st_date,A1568,st_eq,B1568,st_po,C1568,st_type,"Non planifié"),"")</f>
        <v/>
      </c>
      <c r="O1568" s="55" t="str">
        <f>IF(ISNUMBER(K1568),M1568-N1568,"")</f>
        <v/>
      </c>
      <c r="P1568" s="55" t="str">
        <f>IF(COUNTA(A1568:I1568)=0,"",N(G1568)+N(H1568)+N(I1568))</f>
        <v/>
      </c>
      <c r="Q1568" s="56" t="str">
        <f>IF(COUNTA(A1568:I1568)=0,"",IF(N(IFERROR(INDEX(art_rate,MATCH(E1568,art_ref,0)),0))&gt;0,N(IFERROR(INDEX(art_rate,MATCH(E1568,art_ref,0)),0)),N(IFERROR(INDEX(po_rate,MATCH(C1568,po_code,0)),0))))</f>
        <v/>
      </c>
      <c r="R1568" s="55" t="str">
        <f>IF(AC1568=1,P1568*60/Q1568,"")</f>
        <v/>
      </c>
      <c r="S1568" s="55" t="str">
        <f>IF(AC1568=1,N(G1568)*60/Q1568,"")</f>
        <v/>
      </c>
      <c r="T1568" s="57" t="str">
        <f>IF(AC1568=1,O1568/M1568,"")</f>
        <v/>
      </c>
      <c r="U1568" s="57" t="str">
        <f>IF(AC1568=1,IF(O1568&gt;0,R1568/O1568,""),"")</f>
        <v/>
      </c>
      <c r="V1568" s="57" t="str">
        <f>IF(AC1568=1,IF(P1568&gt;0,N(G1568)/P1568,""),"")</f>
        <v/>
      </c>
      <c r="W1568" s="57" t="str">
        <f>IF(AC1568=1,S1568/M1568,"")</f>
        <v/>
      </c>
      <c r="X1568" s="57" t="str">
        <f>IF(AC1568=1,S1568/K1568,"")</f>
        <v/>
      </c>
      <c r="Y1568" s="58" t="str">
        <f>IF(W1568="","",IF(W1568&gt;=p_target,"Bon",IF(W1568&gt;=p_alert,"À surveiller","Faible")))</f>
        <v/>
      </c>
      <c r="Z1568" s="58" t="str">
        <f>IF(W1568="","",IF(MIN(IF(T1568="",1,T1568),IF(U1568="",1,U1568),IF(V1568="",1,V1568))&gt;=1,"Aucune",IF(IF(T1568="",1,T1568)&lt;=MIN(IF(U1568="",1,U1568),IF(V1568="",1,V1568)),"Disponibilité",IF(IF(U1568="",1,U1568)&lt;=IF(V1568="",1,V1568),"Performance","Qualité"))))</f>
        <v/>
      </c>
      <c r="AA1568" s="59" t="str">
        <f>IF(AC1568=1,N(H1568)*N(IFERROR(INDEX(art_cost,MATCH(E1568,art_ref,0)),0)),"")</f>
        <v/>
      </c>
      <c r="AB1568" s="58" t="str">
        <f>IF(COUNTA(A1568:I1568)=0,"",IF(N(A1568)&lt;=0,"Date manquante ou invalide",IF(B1568="","Équipe manquante",IF(ISNA(MATCH(B1568,eq_code,0)),"Équipe inconnue",IF(INDEX(eq_check,MATCH(B1568,eq_code,0))&lt;&gt;"OK","Équipe à corriger dans Paramètres",IF(C1568="","Poste manquant",IF(ISNA(MATCH(C1568,po_code,0)),"Poste inconnu",IF(AND(E1568&lt;&gt;"",ISNA(MATCH(E1568,art_ref,0))),"Article inconnu",IF(IF(E1568="",FALSE,INDEX(art_check,MATCH(E1568,art_ref,0))&lt;&gt;"OK"),"Article à corriger (feuille Articles)",IF(COUNTIFS(sj_date,A1568,sj_eq,B1568,sj_po,C1568)&gt;1,"Ligne en double (même jour, équipe et poste)",IF(OR(NOT(ISNUMBER(K1568)),N(K1568)&lt;=0,N(K1568)&gt;1440),"Temps d'ouverture invalide",IF(OR(AND(G1568&lt;&gt;"",NOT(ISNUMBER(G1568))),N(G1568)&lt;0,N(G1568)&lt;&gt;INT(N(G1568)),AND(H1568&lt;&gt;"",NOT(ISNUMBER(H1568))),N(H1568)&lt;0,N(H1568)&lt;&gt;INT(N(H1568)),AND(I1568&lt;&gt;"",NOT(ISNUMBER(I1568))),N(I1568)&lt;0,N(I1568)&lt;&gt;INT(N(I1568))),"Quantité invalide",IF(Q1568&lt;=0,"Cadence manquante (poste ou article)",IF(M1568&lt;=0,"Arrêts planifiés supérieurs au temps d'ouverture",IF(O1568&lt;0,"Arrêts supérieurs au temps requis",IF(AND(P1568&gt;0,O1568=0),"Pièces déclarées sans temps de marche",IF(AND(P1568=0,O1568&gt;0),"Aucune pièce déclarée",IF(P1568*60/Q1568&gt;O1568+0.001,"Cadence dépassée : vérifiez la cadence","OK"))))))))))))))))))</f>
        <v/>
      </c>
      <c r="AC1568">
        <f>IF(OR(AB1568="OK",AB1568="Aucune pièce déclarée",AB1568="Cadence dépassée : vérifiez la cadence"),1,0)</f>
        <v>0.0</v>
      </c>
      <c r="AD1568">
        <f>IF(AND(AC1568=1,A1568&gt;=p_from,A1568&lt;=p_to),1,0)</f>
        <v>0.0</v>
      </c>
      <c r="AE1568">
        <f>IF(AD1568=1,IF(COUNTIFS($A$6:A1568,A1568,$AD$6:AD1568,1)=1,1,0),0)</f>
        <v>0.0</v>
      </c>
      <c r="AF1568" t="str">
        <f>IF(AE1568=1,COUNTIFS(sj_first,1,sj_date,"&lt;"&amp;A1568)+1,"")</f>
        <v/>
      </c>
      <c r="AG1568" t="str">
        <f>IF(AND(AD1568=1,N(W1568)&lt;p_alert),ROUND(W1568,4),"")</f>
        <v/>
      </c>
      <c r="AH1568" t="str">
        <f>IF(AG1568="","",COUNTIF(sj_akey,"&lt;"&amp;AG1568)+COUNTIF($AG$6:AG1568,AG1568))</f>
        <v/>
      </c>
    </row>
    <row r="1569">
      <c r="A1569" s="51" t="n"/>
      <c r="B1569" s="52" t="n"/>
      <c r="C1569" s="52" t="n"/>
      <c r="D1569" s="53" t="n"/>
      <c r="E1569" s="53" t="n"/>
      <c r="F1569" s="54" t="n"/>
      <c r="G1569" s="54" t="n"/>
      <c r="H1569" s="54" t="n"/>
      <c r="I1569" s="54" t="n"/>
      <c r="J1569" s="53" t="n"/>
      <c r="K1569" s="55" t="str">
        <f>IF(COUNTA(A1569:I1569)=0,"",IF(F1569="",IFERROR(INDEX(eq_dur,MATCH(B1569,eq_code,0)),""),F1569))</f>
        <v/>
      </c>
      <c r="L1569" s="55" t="str">
        <f>IF(ISNUMBER(K1569),N(IFERROR(INDEX(eq_pause,MATCH(B1569,eq_code,0)),0))+SUMIFS(st_min,st_date,A1569,st_eq,B1569,st_po,C1569,st_type,"Planifié"),"")</f>
        <v/>
      </c>
      <c r="M1569" s="55" t="str">
        <f>IF(ISNUMBER(K1569),K1569-L1569,"")</f>
        <v/>
      </c>
      <c r="N1569" s="55" t="str">
        <f>IF(ISNUMBER(K1569),SUMIFS(st_min,st_date,A1569,st_eq,B1569,st_po,C1569,st_type,"Non planifié"),"")</f>
        <v/>
      </c>
      <c r="O1569" s="55" t="str">
        <f>IF(ISNUMBER(K1569),M1569-N1569,"")</f>
        <v/>
      </c>
      <c r="P1569" s="55" t="str">
        <f>IF(COUNTA(A1569:I1569)=0,"",N(G1569)+N(H1569)+N(I1569))</f>
        <v/>
      </c>
      <c r="Q1569" s="56" t="str">
        <f>IF(COUNTA(A1569:I1569)=0,"",IF(N(IFERROR(INDEX(art_rate,MATCH(E1569,art_ref,0)),0))&gt;0,N(IFERROR(INDEX(art_rate,MATCH(E1569,art_ref,0)),0)),N(IFERROR(INDEX(po_rate,MATCH(C1569,po_code,0)),0))))</f>
        <v/>
      </c>
      <c r="R1569" s="55" t="str">
        <f>IF(AC1569=1,P1569*60/Q1569,"")</f>
        <v/>
      </c>
      <c r="S1569" s="55" t="str">
        <f>IF(AC1569=1,N(G1569)*60/Q1569,"")</f>
        <v/>
      </c>
      <c r="T1569" s="57" t="str">
        <f>IF(AC1569=1,O1569/M1569,"")</f>
        <v/>
      </c>
      <c r="U1569" s="57" t="str">
        <f>IF(AC1569=1,IF(O1569&gt;0,R1569/O1569,""),"")</f>
        <v/>
      </c>
      <c r="V1569" s="57" t="str">
        <f>IF(AC1569=1,IF(P1569&gt;0,N(G1569)/P1569,""),"")</f>
        <v/>
      </c>
      <c r="W1569" s="57" t="str">
        <f>IF(AC1569=1,S1569/M1569,"")</f>
        <v/>
      </c>
      <c r="X1569" s="57" t="str">
        <f>IF(AC1569=1,S1569/K1569,"")</f>
        <v/>
      </c>
      <c r="Y1569" s="58" t="str">
        <f>IF(W1569="","",IF(W1569&gt;=p_target,"Bon",IF(W1569&gt;=p_alert,"À surveiller","Faible")))</f>
        <v/>
      </c>
      <c r="Z1569" s="58" t="str">
        <f>IF(W1569="","",IF(MIN(IF(T1569="",1,T1569),IF(U1569="",1,U1569),IF(V1569="",1,V1569))&gt;=1,"Aucune",IF(IF(T1569="",1,T1569)&lt;=MIN(IF(U1569="",1,U1569),IF(V1569="",1,V1569)),"Disponibilité",IF(IF(U1569="",1,U1569)&lt;=IF(V1569="",1,V1569),"Performance","Qualité"))))</f>
        <v/>
      </c>
      <c r="AA1569" s="59" t="str">
        <f>IF(AC1569=1,N(H1569)*N(IFERROR(INDEX(art_cost,MATCH(E1569,art_ref,0)),0)),"")</f>
        <v/>
      </c>
      <c r="AB1569" s="58" t="str">
        <f>IF(COUNTA(A1569:I1569)=0,"",IF(N(A1569)&lt;=0,"Date manquante ou invalide",IF(B1569="","Équipe manquante",IF(ISNA(MATCH(B1569,eq_code,0)),"Équipe inconnue",IF(INDEX(eq_check,MATCH(B1569,eq_code,0))&lt;&gt;"OK","Équipe à corriger dans Paramètres",IF(C1569="","Poste manquant",IF(ISNA(MATCH(C1569,po_code,0)),"Poste inconnu",IF(AND(E1569&lt;&gt;"",ISNA(MATCH(E1569,art_ref,0))),"Article inconnu",IF(IF(E1569="",FALSE,INDEX(art_check,MATCH(E1569,art_ref,0))&lt;&gt;"OK"),"Article à corriger (feuille Articles)",IF(COUNTIFS(sj_date,A1569,sj_eq,B1569,sj_po,C1569)&gt;1,"Ligne en double (même jour, équipe et poste)",IF(OR(NOT(ISNUMBER(K1569)),N(K1569)&lt;=0,N(K1569)&gt;1440),"Temps d'ouverture invalide",IF(OR(AND(G1569&lt;&gt;"",NOT(ISNUMBER(G1569))),N(G1569)&lt;0,N(G1569)&lt;&gt;INT(N(G1569)),AND(H1569&lt;&gt;"",NOT(ISNUMBER(H1569))),N(H1569)&lt;0,N(H1569)&lt;&gt;INT(N(H1569)),AND(I1569&lt;&gt;"",NOT(ISNUMBER(I1569))),N(I1569)&lt;0,N(I1569)&lt;&gt;INT(N(I1569))),"Quantité invalide",IF(Q1569&lt;=0,"Cadence manquante (poste ou article)",IF(M1569&lt;=0,"Arrêts planifiés supérieurs au temps d'ouverture",IF(O1569&lt;0,"Arrêts supérieurs au temps requis",IF(AND(P1569&gt;0,O1569=0),"Pièces déclarées sans temps de marche",IF(AND(P1569=0,O1569&gt;0),"Aucune pièce déclarée",IF(P1569*60/Q1569&gt;O1569+0.001,"Cadence dépassée : vérifiez la cadence","OK"))))))))))))))))))</f>
        <v/>
      </c>
      <c r="AC1569">
        <f>IF(OR(AB1569="OK",AB1569="Aucune pièce déclarée",AB1569="Cadence dépassée : vérifiez la cadence"),1,0)</f>
        <v>0.0</v>
      </c>
      <c r="AD1569">
        <f>IF(AND(AC1569=1,A1569&gt;=p_from,A1569&lt;=p_to),1,0)</f>
        <v>0.0</v>
      </c>
      <c r="AE1569">
        <f>IF(AD1569=1,IF(COUNTIFS($A$6:A1569,A1569,$AD$6:AD1569,1)=1,1,0),0)</f>
        <v>0.0</v>
      </c>
      <c r="AF1569" t="str">
        <f>IF(AE1569=1,COUNTIFS(sj_first,1,sj_date,"&lt;"&amp;A1569)+1,"")</f>
        <v/>
      </c>
      <c r="AG1569" t="str">
        <f>IF(AND(AD1569=1,N(W1569)&lt;p_alert),ROUND(W1569,4),"")</f>
        <v/>
      </c>
      <c r="AH1569" t="str">
        <f>IF(AG1569="","",COUNTIF(sj_akey,"&lt;"&amp;AG1569)+COUNTIF($AG$6:AG1569,AG1569))</f>
        <v/>
      </c>
    </row>
    <row r="1570">
      <c r="A1570" s="51" t="n"/>
      <c r="B1570" s="52" t="n"/>
      <c r="C1570" s="52" t="n"/>
      <c r="D1570" s="53" t="n"/>
      <c r="E1570" s="53" t="n"/>
      <c r="F1570" s="54" t="n"/>
      <c r="G1570" s="54" t="n"/>
      <c r="H1570" s="54" t="n"/>
      <c r="I1570" s="54" t="n"/>
      <c r="J1570" s="53" t="n"/>
      <c r="K1570" s="55" t="str">
        <f>IF(COUNTA(A1570:I1570)=0,"",IF(F1570="",IFERROR(INDEX(eq_dur,MATCH(B1570,eq_code,0)),""),F1570))</f>
        <v/>
      </c>
      <c r="L1570" s="55" t="str">
        <f>IF(ISNUMBER(K1570),N(IFERROR(INDEX(eq_pause,MATCH(B1570,eq_code,0)),0))+SUMIFS(st_min,st_date,A1570,st_eq,B1570,st_po,C1570,st_type,"Planifié"),"")</f>
        <v/>
      </c>
      <c r="M1570" s="55" t="str">
        <f>IF(ISNUMBER(K1570),K1570-L1570,"")</f>
        <v/>
      </c>
      <c r="N1570" s="55" t="str">
        <f>IF(ISNUMBER(K1570),SUMIFS(st_min,st_date,A1570,st_eq,B1570,st_po,C1570,st_type,"Non planifié"),"")</f>
        <v/>
      </c>
      <c r="O1570" s="55" t="str">
        <f>IF(ISNUMBER(K1570),M1570-N1570,"")</f>
        <v/>
      </c>
      <c r="P1570" s="55" t="str">
        <f>IF(COUNTA(A1570:I1570)=0,"",N(G1570)+N(H1570)+N(I1570))</f>
        <v/>
      </c>
      <c r="Q1570" s="56" t="str">
        <f>IF(COUNTA(A1570:I1570)=0,"",IF(N(IFERROR(INDEX(art_rate,MATCH(E1570,art_ref,0)),0))&gt;0,N(IFERROR(INDEX(art_rate,MATCH(E1570,art_ref,0)),0)),N(IFERROR(INDEX(po_rate,MATCH(C1570,po_code,0)),0))))</f>
        <v/>
      </c>
      <c r="R1570" s="55" t="str">
        <f>IF(AC1570=1,P1570*60/Q1570,"")</f>
        <v/>
      </c>
      <c r="S1570" s="55" t="str">
        <f>IF(AC1570=1,N(G1570)*60/Q1570,"")</f>
        <v/>
      </c>
      <c r="T1570" s="57" t="str">
        <f>IF(AC1570=1,O1570/M1570,"")</f>
        <v/>
      </c>
      <c r="U1570" s="57" t="str">
        <f>IF(AC1570=1,IF(O1570&gt;0,R1570/O1570,""),"")</f>
        <v/>
      </c>
      <c r="V1570" s="57" t="str">
        <f>IF(AC1570=1,IF(P1570&gt;0,N(G1570)/P1570,""),"")</f>
        <v/>
      </c>
      <c r="W1570" s="57" t="str">
        <f>IF(AC1570=1,S1570/M1570,"")</f>
        <v/>
      </c>
      <c r="X1570" s="57" t="str">
        <f>IF(AC1570=1,S1570/K1570,"")</f>
        <v/>
      </c>
      <c r="Y1570" s="58" t="str">
        <f>IF(W1570="","",IF(W1570&gt;=p_target,"Bon",IF(W1570&gt;=p_alert,"À surveiller","Faible")))</f>
        <v/>
      </c>
      <c r="Z1570" s="58" t="str">
        <f>IF(W1570="","",IF(MIN(IF(T1570="",1,T1570),IF(U1570="",1,U1570),IF(V1570="",1,V1570))&gt;=1,"Aucune",IF(IF(T1570="",1,T1570)&lt;=MIN(IF(U1570="",1,U1570),IF(V1570="",1,V1570)),"Disponibilité",IF(IF(U1570="",1,U1570)&lt;=IF(V1570="",1,V1570),"Performance","Qualité"))))</f>
        <v/>
      </c>
      <c r="AA1570" s="59" t="str">
        <f>IF(AC1570=1,N(H1570)*N(IFERROR(INDEX(art_cost,MATCH(E1570,art_ref,0)),0)),"")</f>
        <v/>
      </c>
      <c r="AB1570" s="58" t="str">
        <f>IF(COUNTA(A1570:I1570)=0,"",IF(N(A1570)&lt;=0,"Date manquante ou invalide",IF(B1570="","Équipe manquante",IF(ISNA(MATCH(B1570,eq_code,0)),"Équipe inconnue",IF(INDEX(eq_check,MATCH(B1570,eq_code,0))&lt;&gt;"OK","Équipe à corriger dans Paramètres",IF(C1570="","Poste manquant",IF(ISNA(MATCH(C1570,po_code,0)),"Poste inconnu",IF(AND(E1570&lt;&gt;"",ISNA(MATCH(E1570,art_ref,0))),"Article inconnu",IF(IF(E1570="",FALSE,INDEX(art_check,MATCH(E1570,art_ref,0))&lt;&gt;"OK"),"Article à corriger (feuille Articles)",IF(COUNTIFS(sj_date,A1570,sj_eq,B1570,sj_po,C1570)&gt;1,"Ligne en double (même jour, équipe et poste)",IF(OR(NOT(ISNUMBER(K1570)),N(K1570)&lt;=0,N(K1570)&gt;1440),"Temps d'ouverture invalide",IF(OR(AND(G1570&lt;&gt;"",NOT(ISNUMBER(G1570))),N(G1570)&lt;0,N(G1570)&lt;&gt;INT(N(G1570)),AND(H1570&lt;&gt;"",NOT(ISNUMBER(H1570))),N(H1570)&lt;0,N(H1570)&lt;&gt;INT(N(H1570)),AND(I1570&lt;&gt;"",NOT(ISNUMBER(I1570))),N(I1570)&lt;0,N(I1570)&lt;&gt;INT(N(I1570))),"Quantité invalide",IF(Q1570&lt;=0,"Cadence manquante (poste ou article)",IF(M1570&lt;=0,"Arrêts planifiés supérieurs au temps d'ouverture",IF(O1570&lt;0,"Arrêts supérieurs au temps requis",IF(AND(P1570&gt;0,O1570=0),"Pièces déclarées sans temps de marche",IF(AND(P1570=0,O1570&gt;0),"Aucune pièce déclarée",IF(P1570*60/Q1570&gt;O1570+0.001,"Cadence dépassée : vérifiez la cadence","OK"))))))))))))))))))</f>
        <v/>
      </c>
      <c r="AC1570">
        <f>IF(OR(AB1570="OK",AB1570="Aucune pièce déclarée",AB1570="Cadence dépassée : vérifiez la cadence"),1,0)</f>
        <v>0.0</v>
      </c>
      <c r="AD1570">
        <f>IF(AND(AC1570=1,A1570&gt;=p_from,A1570&lt;=p_to),1,0)</f>
        <v>0.0</v>
      </c>
      <c r="AE1570">
        <f>IF(AD1570=1,IF(COUNTIFS($A$6:A1570,A1570,$AD$6:AD1570,1)=1,1,0),0)</f>
        <v>0.0</v>
      </c>
      <c r="AF1570" t="str">
        <f>IF(AE1570=1,COUNTIFS(sj_first,1,sj_date,"&lt;"&amp;A1570)+1,"")</f>
        <v/>
      </c>
      <c r="AG1570" t="str">
        <f>IF(AND(AD1570=1,N(W1570)&lt;p_alert),ROUND(W1570,4),"")</f>
        <v/>
      </c>
      <c r="AH1570" t="str">
        <f>IF(AG1570="","",COUNTIF(sj_akey,"&lt;"&amp;AG1570)+COUNTIF($AG$6:AG1570,AG1570))</f>
        <v/>
      </c>
    </row>
    <row r="1571">
      <c r="A1571" s="51" t="n"/>
      <c r="B1571" s="52" t="n"/>
      <c r="C1571" s="52" t="n"/>
      <c r="D1571" s="53" t="n"/>
      <c r="E1571" s="53" t="n"/>
      <c r="F1571" s="54" t="n"/>
      <c r="G1571" s="54" t="n"/>
      <c r="H1571" s="54" t="n"/>
      <c r="I1571" s="54" t="n"/>
      <c r="J1571" s="53" t="n"/>
      <c r="K1571" s="55" t="str">
        <f>IF(COUNTA(A1571:I1571)=0,"",IF(F1571="",IFERROR(INDEX(eq_dur,MATCH(B1571,eq_code,0)),""),F1571))</f>
        <v/>
      </c>
      <c r="L1571" s="55" t="str">
        <f>IF(ISNUMBER(K1571),N(IFERROR(INDEX(eq_pause,MATCH(B1571,eq_code,0)),0))+SUMIFS(st_min,st_date,A1571,st_eq,B1571,st_po,C1571,st_type,"Planifié"),"")</f>
        <v/>
      </c>
      <c r="M1571" s="55" t="str">
        <f>IF(ISNUMBER(K1571),K1571-L1571,"")</f>
        <v/>
      </c>
      <c r="N1571" s="55" t="str">
        <f>IF(ISNUMBER(K1571),SUMIFS(st_min,st_date,A1571,st_eq,B1571,st_po,C1571,st_type,"Non planifié"),"")</f>
        <v/>
      </c>
      <c r="O1571" s="55" t="str">
        <f>IF(ISNUMBER(K1571),M1571-N1571,"")</f>
        <v/>
      </c>
      <c r="P1571" s="55" t="str">
        <f>IF(COUNTA(A1571:I1571)=0,"",N(G1571)+N(H1571)+N(I1571))</f>
        <v/>
      </c>
      <c r="Q1571" s="56" t="str">
        <f>IF(COUNTA(A1571:I1571)=0,"",IF(N(IFERROR(INDEX(art_rate,MATCH(E1571,art_ref,0)),0))&gt;0,N(IFERROR(INDEX(art_rate,MATCH(E1571,art_ref,0)),0)),N(IFERROR(INDEX(po_rate,MATCH(C1571,po_code,0)),0))))</f>
        <v/>
      </c>
      <c r="R1571" s="55" t="str">
        <f>IF(AC1571=1,P1571*60/Q1571,"")</f>
        <v/>
      </c>
      <c r="S1571" s="55" t="str">
        <f>IF(AC1571=1,N(G1571)*60/Q1571,"")</f>
        <v/>
      </c>
      <c r="T1571" s="57" t="str">
        <f>IF(AC1571=1,O1571/M1571,"")</f>
        <v/>
      </c>
      <c r="U1571" s="57" t="str">
        <f>IF(AC1571=1,IF(O1571&gt;0,R1571/O1571,""),"")</f>
        <v/>
      </c>
      <c r="V1571" s="57" t="str">
        <f>IF(AC1571=1,IF(P1571&gt;0,N(G1571)/P1571,""),"")</f>
        <v/>
      </c>
      <c r="W1571" s="57" t="str">
        <f>IF(AC1571=1,S1571/M1571,"")</f>
        <v/>
      </c>
      <c r="X1571" s="57" t="str">
        <f>IF(AC1571=1,S1571/K1571,"")</f>
        <v/>
      </c>
      <c r="Y1571" s="58" t="str">
        <f>IF(W1571="","",IF(W1571&gt;=p_target,"Bon",IF(W1571&gt;=p_alert,"À surveiller","Faible")))</f>
        <v/>
      </c>
      <c r="Z1571" s="58" t="str">
        <f>IF(W1571="","",IF(MIN(IF(T1571="",1,T1571),IF(U1571="",1,U1571),IF(V1571="",1,V1571))&gt;=1,"Aucune",IF(IF(T1571="",1,T1571)&lt;=MIN(IF(U1571="",1,U1571),IF(V1571="",1,V1571)),"Disponibilité",IF(IF(U1571="",1,U1571)&lt;=IF(V1571="",1,V1571),"Performance","Qualité"))))</f>
        <v/>
      </c>
      <c r="AA1571" s="59" t="str">
        <f>IF(AC1571=1,N(H1571)*N(IFERROR(INDEX(art_cost,MATCH(E1571,art_ref,0)),0)),"")</f>
        <v/>
      </c>
      <c r="AB1571" s="58" t="str">
        <f>IF(COUNTA(A1571:I1571)=0,"",IF(N(A1571)&lt;=0,"Date manquante ou invalide",IF(B1571="","Équipe manquante",IF(ISNA(MATCH(B1571,eq_code,0)),"Équipe inconnue",IF(INDEX(eq_check,MATCH(B1571,eq_code,0))&lt;&gt;"OK","Équipe à corriger dans Paramètres",IF(C1571="","Poste manquant",IF(ISNA(MATCH(C1571,po_code,0)),"Poste inconnu",IF(AND(E1571&lt;&gt;"",ISNA(MATCH(E1571,art_ref,0))),"Article inconnu",IF(IF(E1571="",FALSE,INDEX(art_check,MATCH(E1571,art_ref,0))&lt;&gt;"OK"),"Article à corriger (feuille Articles)",IF(COUNTIFS(sj_date,A1571,sj_eq,B1571,sj_po,C1571)&gt;1,"Ligne en double (même jour, équipe et poste)",IF(OR(NOT(ISNUMBER(K1571)),N(K1571)&lt;=0,N(K1571)&gt;1440),"Temps d'ouverture invalide",IF(OR(AND(G1571&lt;&gt;"",NOT(ISNUMBER(G1571))),N(G1571)&lt;0,N(G1571)&lt;&gt;INT(N(G1571)),AND(H1571&lt;&gt;"",NOT(ISNUMBER(H1571))),N(H1571)&lt;0,N(H1571)&lt;&gt;INT(N(H1571)),AND(I1571&lt;&gt;"",NOT(ISNUMBER(I1571))),N(I1571)&lt;0,N(I1571)&lt;&gt;INT(N(I1571))),"Quantité invalide",IF(Q1571&lt;=0,"Cadence manquante (poste ou article)",IF(M1571&lt;=0,"Arrêts planifiés supérieurs au temps d'ouverture",IF(O1571&lt;0,"Arrêts supérieurs au temps requis",IF(AND(P1571&gt;0,O1571=0),"Pièces déclarées sans temps de marche",IF(AND(P1571=0,O1571&gt;0),"Aucune pièce déclarée",IF(P1571*60/Q1571&gt;O1571+0.001,"Cadence dépassée : vérifiez la cadence","OK"))))))))))))))))))</f>
        <v/>
      </c>
      <c r="AC1571">
        <f>IF(OR(AB1571="OK",AB1571="Aucune pièce déclarée",AB1571="Cadence dépassée : vérifiez la cadence"),1,0)</f>
        <v>0.0</v>
      </c>
      <c r="AD1571">
        <f>IF(AND(AC1571=1,A1571&gt;=p_from,A1571&lt;=p_to),1,0)</f>
        <v>0.0</v>
      </c>
      <c r="AE1571">
        <f>IF(AD1571=1,IF(COUNTIFS($A$6:A1571,A1571,$AD$6:AD1571,1)=1,1,0),0)</f>
        <v>0.0</v>
      </c>
      <c r="AF1571" t="str">
        <f>IF(AE1571=1,COUNTIFS(sj_first,1,sj_date,"&lt;"&amp;A1571)+1,"")</f>
        <v/>
      </c>
      <c r="AG1571" t="str">
        <f>IF(AND(AD1571=1,N(W1571)&lt;p_alert),ROUND(W1571,4),"")</f>
        <v/>
      </c>
      <c r="AH1571" t="str">
        <f>IF(AG1571="","",COUNTIF(sj_akey,"&lt;"&amp;AG1571)+COUNTIF($AG$6:AG1571,AG1571))</f>
        <v/>
      </c>
    </row>
    <row r="1572">
      <c r="A1572" s="51" t="n"/>
      <c r="B1572" s="52" t="n"/>
      <c r="C1572" s="52" t="n"/>
      <c r="D1572" s="53" t="n"/>
      <c r="E1572" s="53" t="n"/>
      <c r="F1572" s="54" t="n"/>
      <c r="G1572" s="54" t="n"/>
      <c r="H1572" s="54" t="n"/>
      <c r="I1572" s="54" t="n"/>
      <c r="J1572" s="53" t="n"/>
      <c r="K1572" s="55" t="str">
        <f>IF(COUNTA(A1572:I1572)=0,"",IF(F1572="",IFERROR(INDEX(eq_dur,MATCH(B1572,eq_code,0)),""),F1572))</f>
        <v/>
      </c>
      <c r="L1572" s="55" t="str">
        <f>IF(ISNUMBER(K1572),N(IFERROR(INDEX(eq_pause,MATCH(B1572,eq_code,0)),0))+SUMIFS(st_min,st_date,A1572,st_eq,B1572,st_po,C1572,st_type,"Planifié"),"")</f>
        <v/>
      </c>
      <c r="M1572" s="55" t="str">
        <f>IF(ISNUMBER(K1572),K1572-L1572,"")</f>
        <v/>
      </c>
      <c r="N1572" s="55" t="str">
        <f>IF(ISNUMBER(K1572),SUMIFS(st_min,st_date,A1572,st_eq,B1572,st_po,C1572,st_type,"Non planifié"),"")</f>
        <v/>
      </c>
      <c r="O1572" s="55" t="str">
        <f>IF(ISNUMBER(K1572),M1572-N1572,"")</f>
        <v/>
      </c>
      <c r="P1572" s="55" t="str">
        <f>IF(COUNTA(A1572:I1572)=0,"",N(G1572)+N(H1572)+N(I1572))</f>
        <v/>
      </c>
      <c r="Q1572" s="56" t="str">
        <f>IF(COUNTA(A1572:I1572)=0,"",IF(N(IFERROR(INDEX(art_rate,MATCH(E1572,art_ref,0)),0))&gt;0,N(IFERROR(INDEX(art_rate,MATCH(E1572,art_ref,0)),0)),N(IFERROR(INDEX(po_rate,MATCH(C1572,po_code,0)),0))))</f>
        <v/>
      </c>
      <c r="R1572" s="55" t="str">
        <f>IF(AC1572=1,P1572*60/Q1572,"")</f>
        <v/>
      </c>
      <c r="S1572" s="55" t="str">
        <f>IF(AC1572=1,N(G1572)*60/Q1572,"")</f>
        <v/>
      </c>
      <c r="T1572" s="57" t="str">
        <f>IF(AC1572=1,O1572/M1572,"")</f>
        <v/>
      </c>
      <c r="U1572" s="57" t="str">
        <f>IF(AC1572=1,IF(O1572&gt;0,R1572/O1572,""),"")</f>
        <v/>
      </c>
      <c r="V1572" s="57" t="str">
        <f>IF(AC1572=1,IF(P1572&gt;0,N(G1572)/P1572,""),"")</f>
        <v/>
      </c>
      <c r="W1572" s="57" t="str">
        <f>IF(AC1572=1,S1572/M1572,"")</f>
        <v/>
      </c>
      <c r="X1572" s="57" t="str">
        <f>IF(AC1572=1,S1572/K1572,"")</f>
        <v/>
      </c>
      <c r="Y1572" s="58" t="str">
        <f>IF(W1572="","",IF(W1572&gt;=p_target,"Bon",IF(W1572&gt;=p_alert,"À surveiller","Faible")))</f>
        <v/>
      </c>
      <c r="Z1572" s="58" t="str">
        <f>IF(W1572="","",IF(MIN(IF(T1572="",1,T1572),IF(U1572="",1,U1572),IF(V1572="",1,V1572))&gt;=1,"Aucune",IF(IF(T1572="",1,T1572)&lt;=MIN(IF(U1572="",1,U1572),IF(V1572="",1,V1572)),"Disponibilité",IF(IF(U1572="",1,U1572)&lt;=IF(V1572="",1,V1572),"Performance","Qualité"))))</f>
        <v/>
      </c>
      <c r="AA1572" s="59" t="str">
        <f>IF(AC1572=1,N(H1572)*N(IFERROR(INDEX(art_cost,MATCH(E1572,art_ref,0)),0)),"")</f>
        <v/>
      </c>
      <c r="AB1572" s="58" t="str">
        <f>IF(COUNTA(A1572:I1572)=0,"",IF(N(A1572)&lt;=0,"Date manquante ou invalide",IF(B1572="","Équipe manquante",IF(ISNA(MATCH(B1572,eq_code,0)),"Équipe inconnue",IF(INDEX(eq_check,MATCH(B1572,eq_code,0))&lt;&gt;"OK","Équipe à corriger dans Paramètres",IF(C1572="","Poste manquant",IF(ISNA(MATCH(C1572,po_code,0)),"Poste inconnu",IF(AND(E1572&lt;&gt;"",ISNA(MATCH(E1572,art_ref,0))),"Article inconnu",IF(IF(E1572="",FALSE,INDEX(art_check,MATCH(E1572,art_ref,0))&lt;&gt;"OK"),"Article à corriger (feuille Articles)",IF(COUNTIFS(sj_date,A1572,sj_eq,B1572,sj_po,C1572)&gt;1,"Ligne en double (même jour, équipe et poste)",IF(OR(NOT(ISNUMBER(K1572)),N(K1572)&lt;=0,N(K1572)&gt;1440),"Temps d'ouverture invalide",IF(OR(AND(G1572&lt;&gt;"",NOT(ISNUMBER(G1572))),N(G1572)&lt;0,N(G1572)&lt;&gt;INT(N(G1572)),AND(H1572&lt;&gt;"",NOT(ISNUMBER(H1572))),N(H1572)&lt;0,N(H1572)&lt;&gt;INT(N(H1572)),AND(I1572&lt;&gt;"",NOT(ISNUMBER(I1572))),N(I1572)&lt;0,N(I1572)&lt;&gt;INT(N(I1572))),"Quantité invalide",IF(Q1572&lt;=0,"Cadence manquante (poste ou article)",IF(M1572&lt;=0,"Arrêts planifiés supérieurs au temps d'ouverture",IF(O1572&lt;0,"Arrêts supérieurs au temps requis",IF(AND(P1572&gt;0,O1572=0),"Pièces déclarées sans temps de marche",IF(AND(P1572=0,O1572&gt;0),"Aucune pièce déclarée",IF(P1572*60/Q1572&gt;O1572+0.001,"Cadence dépassée : vérifiez la cadence","OK"))))))))))))))))))</f>
        <v/>
      </c>
      <c r="AC1572">
        <f>IF(OR(AB1572="OK",AB1572="Aucune pièce déclarée",AB1572="Cadence dépassée : vérifiez la cadence"),1,0)</f>
        <v>0.0</v>
      </c>
      <c r="AD1572">
        <f>IF(AND(AC1572=1,A1572&gt;=p_from,A1572&lt;=p_to),1,0)</f>
        <v>0.0</v>
      </c>
      <c r="AE1572">
        <f>IF(AD1572=1,IF(COUNTIFS($A$6:A1572,A1572,$AD$6:AD1572,1)=1,1,0),0)</f>
        <v>0.0</v>
      </c>
      <c r="AF1572" t="str">
        <f>IF(AE1572=1,COUNTIFS(sj_first,1,sj_date,"&lt;"&amp;A1572)+1,"")</f>
        <v/>
      </c>
      <c r="AG1572" t="str">
        <f>IF(AND(AD1572=1,N(W1572)&lt;p_alert),ROUND(W1572,4),"")</f>
        <v/>
      </c>
      <c r="AH1572" t="str">
        <f>IF(AG1572="","",COUNTIF(sj_akey,"&lt;"&amp;AG1572)+COUNTIF($AG$6:AG1572,AG1572))</f>
        <v/>
      </c>
    </row>
    <row r="1573">
      <c r="A1573" s="51" t="n"/>
      <c r="B1573" s="52" t="n"/>
      <c r="C1573" s="52" t="n"/>
      <c r="D1573" s="53" t="n"/>
      <c r="E1573" s="53" t="n"/>
      <c r="F1573" s="54" t="n"/>
      <c r="G1573" s="54" t="n"/>
      <c r="H1573" s="54" t="n"/>
      <c r="I1573" s="54" t="n"/>
      <c r="J1573" s="53" t="n"/>
      <c r="K1573" s="55" t="str">
        <f>IF(COUNTA(A1573:I1573)=0,"",IF(F1573="",IFERROR(INDEX(eq_dur,MATCH(B1573,eq_code,0)),""),F1573))</f>
        <v/>
      </c>
      <c r="L1573" s="55" t="str">
        <f>IF(ISNUMBER(K1573),N(IFERROR(INDEX(eq_pause,MATCH(B1573,eq_code,0)),0))+SUMIFS(st_min,st_date,A1573,st_eq,B1573,st_po,C1573,st_type,"Planifié"),"")</f>
        <v/>
      </c>
      <c r="M1573" s="55" t="str">
        <f>IF(ISNUMBER(K1573),K1573-L1573,"")</f>
        <v/>
      </c>
      <c r="N1573" s="55" t="str">
        <f>IF(ISNUMBER(K1573),SUMIFS(st_min,st_date,A1573,st_eq,B1573,st_po,C1573,st_type,"Non planifié"),"")</f>
        <v/>
      </c>
      <c r="O1573" s="55" t="str">
        <f>IF(ISNUMBER(K1573),M1573-N1573,"")</f>
        <v/>
      </c>
      <c r="P1573" s="55" t="str">
        <f>IF(COUNTA(A1573:I1573)=0,"",N(G1573)+N(H1573)+N(I1573))</f>
        <v/>
      </c>
      <c r="Q1573" s="56" t="str">
        <f>IF(COUNTA(A1573:I1573)=0,"",IF(N(IFERROR(INDEX(art_rate,MATCH(E1573,art_ref,0)),0))&gt;0,N(IFERROR(INDEX(art_rate,MATCH(E1573,art_ref,0)),0)),N(IFERROR(INDEX(po_rate,MATCH(C1573,po_code,0)),0))))</f>
        <v/>
      </c>
      <c r="R1573" s="55" t="str">
        <f>IF(AC1573=1,P1573*60/Q1573,"")</f>
        <v/>
      </c>
      <c r="S1573" s="55" t="str">
        <f>IF(AC1573=1,N(G1573)*60/Q1573,"")</f>
        <v/>
      </c>
      <c r="T1573" s="57" t="str">
        <f>IF(AC1573=1,O1573/M1573,"")</f>
        <v/>
      </c>
      <c r="U1573" s="57" t="str">
        <f>IF(AC1573=1,IF(O1573&gt;0,R1573/O1573,""),"")</f>
        <v/>
      </c>
      <c r="V1573" s="57" t="str">
        <f>IF(AC1573=1,IF(P1573&gt;0,N(G1573)/P1573,""),"")</f>
        <v/>
      </c>
      <c r="W1573" s="57" t="str">
        <f>IF(AC1573=1,S1573/M1573,"")</f>
        <v/>
      </c>
      <c r="X1573" s="57" t="str">
        <f>IF(AC1573=1,S1573/K1573,"")</f>
        <v/>
      </c>
      <c r="Y1573" s="58" t="str">
        <f>IF(W1573="","",IF(W1573&gt;=p_target,"Bon",IF(W1573&gt;=p_alert,"À surveiller","Faible")))</f>
        <v/>
      </c>
      <c r="Z1573" s="58" t="str">
        <f>IF(W1573="","",IF(MIN(IF(T1573="",1,T1573),IF(U1573="",1,U1573),IF(V1573="",1,V1573))&gt;=1,"Aucune",IF(IF(T1573="",1,T1573)&lt;=MIN(IF(U1573="",1,U1573),IF(V1573="",1,V1573)),"Disponibilité",IF(IF(U1573="",1,U1573)&lt;=IF(V1573="",1,V1573),"Performance","Qualité"))))</f>
        <v/>
      </c>
      <c r="AA1573" s="59" t="str">
        <f>IF(AC1573=1,N(H1573)*N(IFERROR(INDEX(art_cost,MATCH(E1573,art_ref,0)),0)),"")</f>
        <v/>
      </c>
      <c r="AB1573" s="58" t="str">
        <f>IF(COUNTA(A1573:I1573)=0,"",IF(N(A1573)&lt;=0,"Date manquante ou invalide",IF(B1573="","Équipe manquante",IF(ISNA(MATCH(B1573,eq_code,0)),"Équipe inconnue",IF(INDEX(eq_check,MATCH(B1573,eq_code,0))&lt;&gt;"OK","Équipe à corriger dans Paramètres",IF(C1573="","Poste manquant",IF(ISNA(MATCH(C1573,po_code,0)),"Poste inconnu",IF(AND(E1573&lt;&gt;"",ISNA(MATCH(E1573,art_ref,0))),"Article inconnu",IF(IF(E1573="",FALSE,INDEX(art_check,MATCH(E1573,art_ref,0))&lt;&gt;"OK"),"Article à corriger (feuille Articles)",IF(COUNTIFS(sj_date,A1573,sj_eq,B1573,sj_po,C1573)&gt;1,"Ligne en double (même jour, équipe et poste)",IF(OR(NOT(ISNUMBER(K1573)),N(K1573)&lt;=0,N(K1573)&gt;1440),"Temps d'ouverture invalide",IF(OR(AND(G1573&lt;&gt;"",NOT(ISNUMBER(G1573))),N(G1573)&lt;0,N(G1573)&lt;&gt;INT(N(G1573)),AND(H1573&lt;&gt;"",NOT(ISNUMBER(H1573))),N(H1573)&lt;0,N(H1573)&lt;&gt;INT(N(H1573)),AND(I1573&lt;&gt;"",NOT(ISNUMBER(I1573))),N(I1573)&lt;0,N(I1573)&lt;&gt;INT(N(I1573))),"Quantité invalide",IF(Q1573&lt;=0,"Cadence manquante (poste ou article)",IF(M1573&lt;=0,"Arrêts planifiés supérieurs au temps d'ouverture",IF(O1573&lt;0,"Arrêts supérieurs au temps requis",IF(AND(P1573&gt;0,O1573=0),"Pièces déclarées sans temps de marche",IF(AND(P1573=0,O1573&gt;0),"Aucune pièce déclarée",IF(P1573*60/Q1573&gt;O1573+0.001,"Cadence dépassée : vérifiez la cadence","OK"))))))))))))))))))</f>
        <v/>
      </c>
      <c r="AC1573">
        <f>IF(OR(AB1573="OK",AB1573="Aucune pièce déclarée",AB1573="Cadence dépassée : vérifiez la cadence"),1,0)</f>
        <v>0.0</v>
      </c>
      <c r="AD1573">
        <f>IF(AND(AC1573=1,A1573&gt;=p_from,A1573&lt;=p_to),1,0)</f>
        <v>0.0</v>
      </c>
      <c r="AE1573">
        <f>IF(AD1573=1,IF(COUNTIFS($A$6:A1573,A1573,$AD$6:AD1573,1)=1,1,0),0)</f>
        <v>0.0</v>
      </c>
      <c r="AF1573" t="str">
        <f>IF(AE1573=1,COUNTIFS(sj_first,1,sj_date,"&lt;"&amp;A1573)+1,"")</f>
        <v/>
      </c>
      <c r="AG1573" t="str">
        <f>IF(AND(AD1573=1,N(W1573)&lt;p_alert),ROUND(W1573,4),"")</f>
        <v/>
      </c>
      <c r="AH1573" t="str">
        <f>IF(AG1573="","",COUNTIF(sj_akey,"&lt;"&amp;AG1573)+COUNTIF($AG$6:AG1573,AG1573))</f>
        <v/>
      </c>
    </row>
    <row r="1574">
      <c r="A1574" s="51" t="n"/>
      <c r="B1574" s="52" t="n"/>
      <c r="C1574" s="52" t="n"/>
      <c r="D1574" s="53" t="n"/>
      <c r="E1574" s="53" t="n"/>
      <c r="F1574" s="54" t="n"/>
      <c r="G1574" s="54" t="n"/>
      <c r="H1574" s="54" t="n"/>
      <c r="I1574" s="54" t="n"/>
      <c r="J1574" s="53" t="n"/>
      <c r="K1574" s="55" t="str">
        <f>IF(COUNTA(A1574:I1574)=0,"",IF(F1574="",IFERROR(INDEX(eq_dur,MATCH(B1574,eq_code,0)),""),F1574))</f>
        <v/>
      </c>
      <c r="L1574" s="55" t="str">
        <f>IF(ISNUMBER(K1574),N(IFERROR(INDEX(eq_pause,MATCH(B1574,eq_code,0)),0))+SUMIFS(st_min,st_date,A1574,st_eq,B1574,st_po,C1574,st_type,"Planifié"),"")</f>
        <v/>
      </c>
      <c r="M1574" s="55" t="str">
        <f>IF(ISNUMBER(K1574),K1574-L1574,"")</f>
        <v/>
      </c>
      <c r="N1574" s="55" t="str">
        <f>IF(ISNUMBER(K1574),SUMIFS(st_min,st_date,A1574,st_eq,B1574,st_po,C1574,st_type,"Non planifié"),"")</f>
        <v/>
      </c>
      <c r="O1574" s="55" t="str">
        <f>IF(ISNUMBER(K1574),M1574-N1574,"")</f>
        <v/>
      </c>
      <c r="P1574" s="55" t="str">
        <f>IF(COUNTA(A1574:I1574)=0,"",N(G1574)+N(H1574)+N(I1574))</f>
        <v/>
      </c>
      <c r="Q1574" s="56" t="str">
        <f>IF(COUNTA(A1574:I1574)=0,"",IF(N(IFERROR(INDEX(art_rate,MATCH(E1574,art_ref,0)),0))&gt;0,N(IFERROR(INDEX(art_rate,MATCH(E1574,art_ref,0)),0)),N(IFERROR(INDEX(po_rate,MATCH(C1574,po_code,0)),0))))</f>
        <v/>
      </c>
      <c r="R1574" s="55" t="str">
        <f>IF(AC1574=1,P1574*60/Q1574,"")</f>
        <v/>
      </c>
      <c r="S1574" s="55" t="str">
        <f>IF(AC1574=1,N(G1574)*60/Q1574,"")</f>
        <v/>
      </c>
      <c r="T1574" s="57" t="str">
        <f>IF(AC1574=1,O1574/M1574,"")</f>
        <v/>
      </c>
      <c r="U1574" s="57" t="str">
        <f>IF(AC1574=1,IF(O1574&gt;0,R1574/O1574,""),"")</f>
        <v/>
      </c>
      <c r="V1574" s="57" t="str">
        <f>IF(AC1574=1,IF(P1574&gt;0,N(G1574)/P1574,""),"")</f>
        <v/>
      </c>
      <c r="W1574" s="57" t="str">
        <f>IF(AC1574=1,S1574/M1574,"")</f>
        <v/>
      </c>
      <c r="X1574" s="57" t="str">
        <f>IF(AC1574=1,S1574/K1574,"")</f>
        <v/>
      </c>
      <c r="Y1574" s="58" t="str">
        <f>IF(W1574="","",IF(W1574&gt;=p_target,"Bon",IF(W1574&gt;=p_alert,"À surveiller","Faible")))</f>
        <v/>
      </c>
      <c r="Z1574" s="58" t="str">
        <f>IF(W1574="","",IF(MIN(IF(T1574="",1,T1574),IF(U1574="",1,U1574),IF(V1574="",1,V1574))&gt;=1,"Aucune",IF(IF(T1574="",1,T1574)&lt;=MIN(IF(U1574="",1,U1574),IF(V1574="",1,V1574)),"Disponibilité",IF(IF(U1574="",1,U1574)&lt;=IF(V1574="",1,V1574),"Performance","Qualité"))))</f>
        <v/>
      </c>
      <c r="AA1574" s="59" t="str">
        <f>IF(AC1574=1,N(H1574)*N(IFERROR(INDEX(art_cost,MATCH(E1574,art_ref,0)),0)),"")</f>
        <v/>
      </c>
      <c r="AB1574" s="58" t="str">
        <f>IF(COUNTA(A1574:I1574)=0,"",IF(N(A1574)&lt;=0,"Date manquante ou invalide",IF(B1574="","Équipe manquante",IF(ISNA(MATCH(B1574,eq_code,0)),"Équipe inconnue",IF(INDEX(eq_check,MATCH(B1574,eq_code,0))&lt;&gt;"OK","Équipe à corriger dans Paramètres",IF(C1574="","Poste manquant",IF(ISNA(MATCH(C1574,po_code,0)),"Poste inconnu",IF(AND(E1574&lt;&gt;"",ISNA(MATCH(E1574,art_ref,0))),"Article inconnu",IF(IF(E1574="",FALSE,INDEX(art_check,MATCH(E1574,art_ref,0))&lt;&gt;"OK"),"Article à corriger (feuille Articles)",IF(COUNTIFS(sj_date,A1574,sj_eq,B1574,sj_po,C1574)&gt;1,"Ligne en double (même jour, équipe et poste)",IF(OR(NOT(ISNUMBER(K1574)),N(K1574)&lt;=0,N(K1574)&gt;1440),"Temps d'ouverture invalide",IF(OR(AND(G1574&lt;&gt;"",NOT(ISNUMBER(G1574))),N(G1574)&lt;0,N(G1574)&lt;&gt;INT(N(G1574)),AND(H1574&lt;&gt;"",NOT(ISNUMBER(H1574))),N(H1574)&lt;0,N(H1574)&lt;&gt;INT(N(H1574)),AND(I1574&lt;&gt;"",NOT(ISNUMBER(I1574))),N(I1574)&lt;0,N(I1574)&lt;&gt;INT(N(I1574))),"Quantité invalide",IF(Q1574&lt;=0,"Cadence manquante (poste ou article)",IF(M1574&lt;=0,"Arrêts planifiés supérieurs au temps d'ouverture",IF(O1574&lt;0,"Arrêts supérieurs au temps requis",IF(AND(P1574&gt;0,O1574=0),"Pièces déclarées sans temps de marche",IF(AND(P1574=0,O1574&gt;0),"Aucune pièce déclarée",IF(P1574*60/Q1574&gt;O1574+0.001,"Cadence dépassée : vérifiez la cadence","OK"))))))))))))))))))</f>
        <v/>
      </c>
      <c r="AC1574">
        <f>IF(OR(AB1574="OK",AB1574="Aucune pièce déclarée",AB1574="Cadence dépassée : vérifiez la cadence"),1,0)</f>
        <v>0.0</v>
      </c>
      <c r="AD1574">
        <f>IF(AND(AC1574=1,A1574&gt;=p_from,A1574&lt;=p_to),1,0)</f>
        <v>0.0</v>
      </c>
      <c r="AE1574">
        <f>IF(AD1574=1,IF(COUNTIFS($A$6:A1574,A1574,$AD$6:AD1574,1)=1,1,0),0)</f>
        <v>0.0</v>
      </c>
      <c r="AF1574" t="str">
        <f>IF(AE1574=1,COUNTIFS(sj_first,1,sj_date,"&lt;"&amp;A1574)+1,"")</f>
        <v/>
      </c>
      <c r="AG1574" t="str">
        <f>IF(AND(AD1574=1,N(W1574)&lt;p_alert),ROUND(W1574,4),"")</f>
        <v/>
      </c>
      <c r="AH1574" t="str">
        <f>IF(AG1574="","",COUNTIF(sj_akey,"&lt;"&amp;AG1574)+COUNTIF($AG$6:AG1574,AG1574))</f>
        <v/>
      </c>
    </row>
    <row r="1575">
      <c r="A1575" s="51" t="n"/>
      <c r="B1575" s="52" t="n"/>
      <c r="C1575" s="52" t="n"/>
      <c r="D1575" s="53" t="n"/>
      <c r="E1575" s="53" t="n"/>
      <c r="F1575" s="54" t="n"/>
      <c r="G1575" s="54" t="n"/>
      <c r="H1575" s="54" t="n"/>
      <c r="I1575" s="54" t="n"/>
      <c r="J1575" s="53" t="n"/>
      <c r="K1575" s="55" t="str">
        <f>IF(COUNTA(A1575:I1575)=0,"",IF(F1575="",IFERROR(INDEX(eq_dur,MATCH(B1575,eq_code,0)),""),F1575))</f>
        <v/>
      </c>
      <c r="L1575" s="55" t="str">
        <f>IF(ISNUMBER(K1575),N(IFERROR(INDEX(eq_pause,MATCH(B1575,eq_code,0)),0))+SUMIFS(st_min,st_date,A1575,st_eq,B1575,st_po,C1575,st_type,"Planifié"),"")</f>
        <v/>
      </c>
      <c r="M1575" s="55" t="str">
        <f>IF(ISNUMBER(K1575),K1575-L1575,"")</f>
        <v/>
      </c>
      <c r="N1575" s="55" t="str">
        <f>IF(ISNUMBER(K1575),SUMIFS(st_min,st_date,A1575,st_eq,B1575,st_po,C1575,st_type,"Non planifié"),"")</f>
        <v/>
      </c>
      <c r="O1575" s="55" t="str">
        <f>IF(ISNUMBER(K1575),M1575-N1575,"")</f>
        <v/>
      </c>
      <c r="P1575" s="55" t="str">
        <f>IF(COUNTA(A1575:I1575)=0,"",N(G1575)+N(H1575)+N(I1575))</f>
        <v/>
      </c>
      <c r="Q1575" s="56" t="str">
        <f>IF(COUNTA(A1575:I1575)=0,"",IF(N(IFERROR(INDEX(art_rate,MATCH(E1575,art_ref,0)),0))&gt;0,N(IFERROR(INDEX(art_rate,MATCH(E1575,art_ref,0)),0)),N(IFERROR(INDEX(po_rate,MATCH(C1575,po_code,0)),0))))</f>
        <v/>
      </c>
      <c r="R1575" s="55" t="str">
        <f>IF(AC1575=1,P1575*60/Q1575,"")</f>
        <v/>
      </c>
      <c r="S1575" s="55" t="str">
        <f>IF(AC1575=1,N(G1575)*60/Q1575,"")</f>
        <v/>
      </c>
      <c r="T1575" s="57" t="str">
        <f>IF(AC1575=1,O1575/M1575,"")</f>
        <v/>
      </c>
      <c r="U1575" s="57" t="str">
        <f>IF(AC1575=1,IF(O1575&gt;0,R1575/O1575,""),"")</f>
        <v/>
      </c>
      <c r="V1575" s="57" t="str">
        <f>IF(AC1575=1,IF(P1575&gt;0,N(G1575)/P1575,""),"")</f>
        <v/>
      </c>
      <c r="W1575" s="57" t="str">
        <f>IF(AC1575=1,S1575/M1575,"")</f>
        <v/>
      </c>
      <c r="X1575" s="57" t="str">
        <f>IF(AC1575=1,S1575/K1575,"")</f>
        <v/>
      </c>
      <c r="Y1575" s="58" t="str">
        <f>IF(W1575="","",IF(W1575&gt;=p_target,"Bon",IF(W1575&gt;=p_alert,"À surveiller","Faible")))</f>
        <v/>
      </c>
      <c r="Z1575" s="58" t="str">
        <f>IF(W1575="","",IF(MIN(IF(T1575="",1,T1575),IF(U1575="",1,U1575),IF(V1575="",1,V1575))&gt;=1,"Aucune",IF(IF(T1575="",1,T1575)&lt;=MIN(IF(U1575="",1,U1575),IF(V1575="",1,V1575)),"Disponibilité",IF(IF(U1575="",1,U1575)&lt;=IF(V1575="",1,V1575),"Performance","Qualité"))))</f>
        <v/>
      </c>
      <c r="AA1575" s="59" t="str">
        <f>IF(AC1575=1,N(H1575)*N(IFERROR(INDEX(art_cost,MATCH(E1575,art_ref,0)),0)),"")</f>
        <v/>
      </c>
      <c r="AB1575" s="58" t="str">
        <f>IF(COUNTA(A1575:I1575)=0,"",IF(N(A1575)&lt;=0,"Date manquante ou invalide",IF(B1575="","Équipe manquante",IF(ISNA(MATCH(B1575,eq_code,0)),"Équipe inconnue",IF(INDEX(eq_check,MATCH(B1575,eq_code,0))&lt;&gt;"OK","Équipe à corriger dans Paramètres",IF(C1575="","Poste manquant",IF(ISNA(MATCH(C1575,po_code,0)),"Poste inconnu",IF(AND(E1575&lt;&gt;"",ISNA(MATCH(E1575,art_ref,0))),"Article inconnu",IF(IF(E1575="",FALSE,INDEX(art_check,MATCH(E1575,art_ref,0))&lt;&gt;"OK"),"Article à corriger (feuille Articles)",IF(COUNTIFS(sj_date,A1575,sj_eq,B1575,sj_po,C1575)&gt;1,"Ligne en double (même jour, équipe et poste)",IF(OR(NOT(ISNUMBER(K1575)),N(K1575)&lt;=0,N(K1575)&gt;1440),"Temps d'ouverture invalide",IF(OR(AND(G1575&lt;&gt;"",NOT(ISNUMBER(G1575))),N(G1575)&lt;0,N(G1575)&lt;&gt;INT(N(G1575)),AND(H1575&lt;&gt;"",NOT(ISNUMBER(H1575))),N(H1575)&lt;0,N(H1575)&lt;&gt;INT(N(H1575)),AND(I1575&lt;&gt;"",NOT(ISNUMBER(I1575))),N(I1575)&lt;0,N(I1575)&lt;&gt;INT(N(I1575))),"Quantité invalide",IF(Q1575&lt;=0,"Cadence manquante (poste ou article)",IF(M1575&lt;=0,"Arrêts planifiés supérieurs au temps d'ouverture",IF(O1575&lt;0,"Arrêts supérieurs au temps requis",IF(AND(P1575&gt;0,O1575=0),"Pièces déclarées sans temps de marche",IF(AND(P1575=0,O1575&gt;0),"Aucune pièce déclarée",IF(P1575*60/Q1575&gt;O1575+0.001,"Cadence dépassée : vérifiez la cadence","OK"))))))))))))))))))</f>
        <v/>
      </c>
      <c r="AC1575">
        <f>IF(OR(AB1575="OK",AB1575="Aucune pièce déclarée",AB1575="Cadence dépassée : vérifiez la cadence"),1,0)</f>
        <v>0.0</v>
      </c>
      <c r="AD1575">
        <f>IF(AND(AC1575=1,A1575&gt;=p_from,A1575&lt;=p_to),1,0)</f>
        <v>0.0</v>
      </c>
      <c r="AE1575">
        <f>IF(AD1575=1,IF(COUNTIFS($A$6:A1575,A1575,$AD$6:AD1575,1)=1,1,0),0)</f>
        <v>0.0</v>
      </c>
      <c r="AF1575" t="str">
        <f>IF(AE1575=1,COUNTIFS(sj_first,1,sj_date,"&lt;"&amp;A1575)+1,"")</f>
        <v/>
      </c>
      <c r="AG1575" t="str">
        <f>IF(AND(AD1575=1,N(W1575)&lt;p_alert),ROUND(W1575,4),"")</f>
        <v/>
      </c>
      <c r="AH1575" t="str">
        <f>IF(AG1575="","",COUNTIF(sj_akey,"&lt;"&amp;AG1575)+COUNTIF($AG$6:AG1575,AG1575))</f>
        <v/>
      </c>
    </row>
    <row r="1576">
      <c r="A1576" s="51" t="n"/>
      <c r="B1576" s="52" t="n"/>
      <c r="C1576" s="52" t="n"/>
      <c r="D1576" s="53" t="n"/>
      <c r="E1576" s="53" t="n"/>
      <c r="F1576" s="54" t="n"/>
      <c r="G1576" s="54" t="n"/>
      <c r="H1576" s="54" t="n"/>
      <c r="I1576" s="54" t="n"/>
      <c r="J1576" s="53" t="n"/>
      <c r="K1576" s="55" t="str">
        <f>IF(COUNTA(A1576:I1576)=0,"",IF(F1576="",IFERROR(INDEX(eq_dur,MATCH(B1576,eq_code,0)),""),F1576))</f>
        <v/>
      </c>
      <c r="L1576" s="55" t="str">
        <f>IF(ISNUMBER(K1576),N(IFERROR(INDEX(eq_pause,MATCH(B1576,eq_code,0)),0))+SUMIFS(st_min,st_date,A1576,st_eq,B1576,st_po,C1576,st_type,"Planifié"),"")</f>
        <v/>
      </c>
      <c r="M1576" s="55" t="str">
        <f>IF(ISNUMBER(K1576),K1576-L1576,"")</f>
        <v/>
      </c>
      <c r="N1576" s="55" t="str">
        <f>IF(ISNUMBER(K1576),SUMIFS(st_min,st_date,A1576,st_eq,B1576,st_po,C1576,st_type,"Non planifié"),"")</f>
        <v/>
      </c>
      <c r="O1576" s="55" t="str">
        <f>IF(ISNUMBER(K1576),M1576-N1576,"")</f>
        <v/>
      </c>
      <c r="P1576" s="55" t="str">
        <f>IF(COUNTA(A1576:I1576)=0,"",N(G1576)+N(H1576)+N(I1576))</f>
        <v/>
      </c>
      <c r="Q1576" s="56" t="str">
        <f>IF(COUNTA(A1576:I1576)=0,"",IF(N(IFERROR(INDEX(art_rate,MATCH(E1576,art_ref,0)),0))&gt;0,N(IFERROR(INDEX(art_rate,MATCH(E1576,art_ref,0)),0)),N(IFERROR(INDEX(po_rate,MATCH(C1576,po_code,0)),0))))</f>
        <v/>
      </c>
      <c r="R1576" s="55" t="str">
        <f>IF(AC1576=1,P1576*60/Q1576,"")</f>
        <v/>
      </c>
      <c r="S1576" s="55" t="str">
        <f>IF(AC1576=1,N(G1576)*60/Q1576,"")</f>
        <v/>
      </c>
      <c r="T1576" s="57" t="str">
        <f>IF(AC1576=1,O1576/M1576,"")</f>
        <v/>
      </c>
      <c r="U1576" s="57" t="str">
        <f>IF(AC1576=1,IF(O1576&gt;0,R1576/O1576,""),"")</f>
        <v/>
      </c>
      <c r="V1576" s="57" t="str">
        <f>IF(AC1576=1,IF(P1576&gt;0,N(G1576)/P1576,""),"")</f>
        <v/>
      </c>
      <c r="W1576" s="57" t="str">
        <f>IF(AC1576=1,S1576/M1576,"")</f>
        <v/>
      </c>
      <c r="X1576" s="57" t="str">
        <f>IF(AC1576=1,S1576/K1576,"")</f>
        <v/>
      </c>
      <c r="Y1576" s="58" t="str">
        <f>IF(W1576="","",IF(W1576&gt;=p_target,"Bon",IF(W1576&gt;=p_alert,"À surveiller","Faible")))</f>
        <v/>
      </c>
      <c r="Z1576" s="58" t="str">
        <f>IF(W1576="","",IF(MIN(IF(T1576="",1,T1576),IF(U1576="",1,U1576),IF(V1576="",1,V1576))&gt;=1,"Aucune",IF(IF(T1576="",1,T1576)&lt;=MIN(IF(U1576="",1,U1576),IF(V1576="",1,V1576)),"Disponibilité",IF(IF(U1576="",1,U1576)&lt;=IF(V1576="",1,V1576),"Performance","Qualité"))))</f>
        <v/>
      </c>
      <c r="AA1576" s="59" t="str">
        <f>IF(AC1576=1,N(H1576)*N(IFERROR(INDEX(art_cost,MATCH(E1576,art_ref,0)),0)),"")</f>
        <v/>
      </c>
      <c r="AB1576" s="58" t="str">
        <f>IF(COUNTA(A1576:I1576)=0,"",IF(N(A1576)&lt;=0,"Date manquante ou invalide",IF(B1576="","Équipe manquante",IF(ISNA(MATCH(B1576,eq_code,0)),"Équipe inconnue",IF(INDEX(eq_check,MATCH(B1576,eq_code,0))&lt;&gt;"OK","Équipe à corriger dans Paramètres",IF(C1576="","Poste manquant",IF(ISNA(MATCH(C1576,po_code,0)),"Poste inconnu",IF(AND(E1576&lt;&gt;"",ISNA(MATCH(E1576,art_ref,0))),"Article inconnu",IF(IF(E1576="",FALSE,INDEX(art_check,MATCH(E1576,art_ref,0))&lt;&gt;"OK"),"Article à corriger (feuille Articles)",IF(COUNTIFS(sj_date,A1576,sj_eq,B1576,sj_po,C1576)&gt;1,"Ligne en double (même jour, équipe et poste)",IF(OR(NOT(ISNUMBER(K1576)),N(K1576)&lt;=0,N(K1576)&gt;1440),"Temps d'ouverture invalide",IF(OR(AND(G1576&lt;&gt;"",NOT(ISNUMBER(G1576))),N(G1576)&lt;0,N(G1576)&lt;&gt;INT(N(G1576)),AND(H1576&lt;&gt;"",NOT(ISNUMBER(H1576))),N(H1576)&lt;0,N(H1576)&lt;&gt;INT(N(H1576)),AND(I1576&lt;&gt;"",NOT(ISNUMBER(I1576))),N(I1576)&lt;0,N(I1576)&lt;&gt;INT(N(I1576))),"Quantité invalide",IF(Q1576&lt;=0,"Cadence manquante (poste ou article)",IF(M1576&lt;=0,"Arrêts planifiés supérieurs au temps d'ouverture",IF(O1576&lt;0,"Arrêts supérieurs au temps requis",IF(AND(P1576&gt;0,O1576=0),"Pièces déclarées sans temps de marche",IF(AND(P1576=0,O1576&gt;0),"Aucune pièce déclarée",IF(P1576*60/Q1576&gt;O1576+0.001,"Cadence dépassée : vérifiez la cadence","OK"))))))))))))))))))</f>
        <v/>
      </c>
      <c r="AC1576">
        <f>IF(OR(AB1576="OK",AB1576="Aucune pièce déclarée",AB1576="Cadence dépassée : vérifiez la cadence"),1,0)</f>
        <v>0.0</v>
      </c>
      <c r="AD1576">
        <f>IF(AND(AC1576=1,A1576&gt;=p_from,A1576&lt;=p_to),1,0)</f>
        <v>0.0</v>
      </c>
      <c r="AE1576">
        <f>IF(AD1576=1,IF(COUNTIFS($A$6:A1576,A1576,$AD$6:AD1576,1)=1,1,0),0)</f>
        <v>0.0</v>
      </c>
      <c r="AF1576" t="str">
        <f>IF(AE1576=1,COUNTIFS(sj_first,1,sj_date,"&lt;"&amp;A1576)+1,"")</f>
        <v/>
      </c>
      <c r="AG1576" t="str">
        <f>IF(AND(AD1576=1,N(W1576)&lt;p_alert),ROUND(W1576,4),"")</f>
        <v/>
      </c>
      <c r="AH1576" t="str">
        <f>IF(AG1576="","",COUNTIF(sj_akey,"&lt;"&amp;AG1576)+COUNTIF($AG$6:AG1576,AG1576))</f>
        <v/>
      </c>
    </row>
    <row r="1577">
      <c r="A1577" s="51" t="n"/>
      <c r="B1577" s="52" t="n"/>
      <c r="C1577" s="52" t="n"/>
      <c r="D1577" s="53" t="n"/>
      <c r="E1577" s="53" t="n"/>
      <c r="F1577" s="54" t="n"/>
      <c r="G1577" s="54" t="n"/>
      <c r="H1577" s="54" t="n"/>
      <c r="I1577" s="54" t="n"/>
      <c r="J1577" s="53" t="n"/>
      <c r="K1577" s="55" t="str">
        <f>IF(COUNTA(A1577:I1577)=0,"",IF(F1577="",IFERROR(INDEX(eq_dur,MATCH(B1577,eq_code,0)),""),F1577))</f>
        <v/>
      </c>
      <c r="L1577" s="55" t="str">
        <f>IF(ISNUMBER(K1577),N(IFERROR(INDEX(eq_pause,MATCH(B1577,eq_code,0)),0))+SUMIFS(st_min,st_date,A1577,st_eq,B1577,st_po,C1577,st_type,"Planifié"),"")</f>
        <v/>
      </c>
      <c r="M1577" s="55" t="str">
        <f>IF(ISNUMBER(K1577),K1577-L1577,"")</f>
        <v/>
      </c>
      <c r="N1577" s="55" t="str">
        <f>IF(ISNUMBER(K1577),SUMIFS(st_min,st_date,A1577,st_eq,B1577,st_po,C1577,st_type,"Non planifié"),"")</f>
        <v/>
      </c>
      <c r="O1577" s="55" t="str">
        <f>IF(ISNUMBER(K1577),M1577-N1577,"")</f>
        <v/>
      </c>
      <c r="P1577" s="55" t="str">
        <f>IF(COUNTA(A1577:I1577)=0,"",N(G1577)+N(H1577)+N(I1577))</f>
        <v/>
      </c>
      <c r="Q1577" s="56" t="str">
        <f>IF(COUNTA(A1577:I1577)=0,"",IF(N(IFERROR(INDEX(art_rate,MATCH(E1577,art_ref,0)),0))&gt;0,N(IFERROR(INDEX(art_rate,MATCH(E1577,art_ref,0)),0)),N(IFERROR(INDEX(po_rate,MATCH(C1577,po_code,0)),0))))</f>
        <v/>
      </c>
      <c r="R1577" s="55" t="str">
        <f>IF(AC1577=1,P1577*60/Q1577,"")</f>
        <v/>
      </c>
      <c r="S1577" s="55" t="str">
        <f>IF(AC1577=1,N(G1577)*60/Q1577,"")</f>
        <v/>
      </c>
      <c r="T1577" s="57" t="str">
        <f>IF(AC1577=1,O1577/M1577,"")</f>
        <v/>
      </c>
      <c r="U1577" s="57" t="str">
        <f>IF(AC1577=1,IF(O1577&gt;0,R1577/O1577,""),"")</f>
        <v/>
      </c>
      <c r="V1577" s="57" t="str">
        <f>IF(AC1577=1,IF(P1577&gt;0,N(G1577)/P1577,""),"")</f>
        <v/>
      </c>
      <c r="W1577" s="57" t="str">
        <f>IF(AC1577=1,S1577/M1577,"")</f>
        <v/>
      </c>
      <c r="X1577" s="57" t="str">
        <f>IF(AC1577=1,S1577/K1577,"")</f>
        <v/>
      </c>
      <c r="Y1577" s="58" t="str">
        <f>IF(W1577="","",IF(W1577&gt;=p_target,"Bon",IF(W1577&gt;=p_alert,"À surveiller","Faible")))</f>
        <v/>
      </c>
      <c r="Z1577" s="58" t="str">
        <f>IF(W1577="","",IF(MIN(IF(T1577="",1,T1577),IF(U1577="",1,U1577),IF(V1577="",1,V1577))&gt;=1,"Aucune",IF(IF(T1577="",1,T1577)&lt;=MIN(IF(U1577="",1,U1577),IF(V1577="",1,V1577)),"Disponibilité",IF(IF(U1577="",1,U1577)&lt;=IF(V1577="",1,V1577),"Performance","Qualité"))))</f>
        <v/>
      </c>
      <c r="AA1577" s="59" t="str">
        <f>IF(AC1577=1,N(H1577)*N(IFERROR(INDEX(art_cost,MATCH(E1577,art_ref,0)),0)),"")</f>
        <v/>
      </c>
      <c r="AB1577" s="58" t="str">
        <f>IF(COUNTA(A1577:I1577)=0,"",IF(N(A1577)&lt;=0,"Date manquante ou invalide",IF(B1577="","Équipe manquante",IF(ISNA(MATCH(B1577,eq_code,0)),"Équipe inconnue",IF(INDEX(eq_check,MATCH(B1577,eq_code,0))&lt;&gt;"OK","Équipe à corriger dans Paramètres",IF(C1577="","Poste manquant",IF(ISNA(MATCH(C1577,po_code,0)),"Poste inconnu",IF(AND(E1577&lt;&gt;"",ISNA(MATCH(E1577,art_ref,0))),"Article inconnu",IF(IF(E1577="",FALSE,INDEX(art_check,MATCH(E1577,art_ref,0))&lt;&gt;"OK"),"Article à corriger (feuille Articles)",IF(COUNTIFS(sj_date,A1577,sj_eq,B1577,sj_po,C1577)&gt;1,"Ligne en double (même jour, équipe et poste)",IF(OR(NOT(ISNUMBER(K1577)),N(K1577)&lt;=0,N(K1577)&gt;1440),"Temps d'ouverture invalide",IF(OR(AND(G1577&lt;&gt;"",NOT(ISNUMBER(G1577))),N(G1577)&lt;0,N(G1577)&lt;&gt;INT(N(G1577)),AND(H1577&lt;&gt;"",NOT(ISNUMBER(H1577))),N(H1577)&lt;0,N(H1577)&lt;&gt;INT(N(H1577)),AND(I1577&lt;&gt;"",NOT(ISNUMBER(I1577))),N(I1577)&lt;0,N(I1577)&lt;&gt;INT(N(I1577))),"Quantité invalide",IF(Q1577&lt;=0,"Cadence manquante (poste ou article)",IF(M1577&lt;=0,"Arrêts planifiés supérieurs au temps d'ouverture",IF(O1577&lt;0,"Arrêts supérieurs au temps requis",IF(AND(P1577&gt;0,O1577=0),"Pièces déclarées sans temps de marche",IF(AND(P1577=0,O1577&gt;0),"Aucune pièce déclarée",IF(P1577*60/Q1577&gt;O1577+0.001,"Cadence dépassée : vérifiez la cadence","OK"))))))))))))))))))</f>
        <v/>
      </c>
      <c r="AC1577">
        <f>IF(OR(AB1577="OK",AB1577="Aucune pièce déclarée",AB1577="Cadence dépassée : vérifiez la cadence"),1,0)</f>
        <v>0.0</v>
      </c>
      <c r="AD1577">
        <f>IF(AND(AC1577=1,A1577&gt;=p_from,A1577&lt;=p_to),1,0)</f>
        <v>0.0</v>
      </c>
      <c r="AE1577">
        <f>IF(AD1577=1,IF(COUNTIFS($A$6:A1577,A1577,$AD$6:AD1577,1)=1,1,0),0)</f>
        <v>0.0</v>
      </c>
      <c r="AF1577" t="str">
        <f>IF(AE1577=1,COUNTIFS(sj_first,1,sj_date,"&lt;"&amp;A1577)+1,"")</f>
        <v/>
      </c>
      <c r="AG1577" t="str">
        <f>IF(AND(AD1577=1,N(W1577)&lt;p_alert),ROUND(W1577,4),"")</f>
        <v/>
      </c>
      <c r="AH1577" t="str">
        <f>IF(AG1577="","",COUNTIF(sj_akey,"&lt;"&amp;AG1577)+COUNTIF($AG$6:AG1577,AG1577))</f>
        <v/>
      </c>
    </row>
    <row r="1578">
      <c r="A1578" s="51" t="n"/>
      <c r="B1578" s="52" t="n"/>
      <c r="C1578" s="52" t="n"/>
      <c r="D1578" s="53" t="n"/>
      <c r="E1578" s="53" t="n"/>
      <c r="F1578" s="54" t="n"/>
      <c r="G1578" s="54" t="n"/>
      <c r="H1578" s="54" t="n"/>
      <c r="I1578" s="54" t="n"/>
      <c r="J1578" s="53" t="n"/>
      <c r="K1578" s="55" t="str">
        <f>IF(COUNTA(A1578:I1578)=0,"",IF(F1578="",IFERROR(INDEX(eq_dur,MATCH(B1578,eq_code,0)),""),F1578))</f>
        <v/>
      </c>
      <c r="L1578" s="55" t="str">
        <f>IF(ISNUMBER(K1578),N(IFERROR(INDEX(eq_pause,MATCH(B1578,eq_code,0)),0))+SUMIFS(st_min,st_date,A1578,st_eq,B1578,st_po,C1578,st_type,"Planifié"),"")</f>
        <v/>
      </c>
      <c r="M1578" s="55" t="str">
        <f>IF(ISNUMBER(K1578),K1578-L1578,"")</f>
        <v/>
      </c>
      <c r="N1578" s="55" t="str">
        <f>IF(ISNUMBER(K1578),SUMIFS(st_min,st_date,A1578,st_eq,B1578,st_po,C1578,st_type,"Non planifié"),"")</f>
        <v/>
      </c>
      <c r="O1578" s="55" t="str">
        <f>IF(ISNUMBER(K1578),M1578-N1578,"")</f>
        <v/>
      </c>
      <c r="P1578" s="55" t="str">
        <f>IF(COUNTA(A1578:I1578)=0,"",N(G1578)+N(H1578)+N(I1578))</f>
        <v/>
      </c>
      <c r="Q1578" s="56" t="str">
        <f>IF(COUNTA(A1578:I1578)=0,"",IF(N(IFERROR(INDEX(art_rate,MATCH(E1578,art_ref,0)),0))&gt;0,N(IFERROR(INDEX(art_rate,MATCH(E1578,art_ref,0)),0)),N(IFERROR(INDEX(po_rate,MATCH(C1578,po_code,0)),0))))</f>
        <v/>
      </c>
      <c r="R1578" s="55" t="str">
        <f>IF(AC1578=1,P1578*60/Q1578,"")</f>
        <v/>
      </c>
      <c r="S1578" s="55" t="str">
        <f>IF(AC1578=1,N(G1578)*60/Q1578,"")</f>
        <v/>
      </c>
      <c r="T1578" s="57" t="str">
        <f>IF(AC1578=1,O1578/M1578,"")</f>
        <v/>
      </c>
      <c r="U1578" s="57" t="str">
        <f>IF(AC1578=1,IF(O1578&gt;0,R1578/O1578,""),"")</f>
        <v/>
      </c>
      <c r="V1578" s="57" t="str">
        <f>IF(AC1578=1,IF(P1578&gt;0,N(G1578)/P1578,""),"")</f>
        <v/>
      </c>
      <c r="W1578" s="57" t="str">
        <f>IF(AC1578=1,S1578/M1578,"")</f>
        <v/>
      </c>
      <c r="X1578" s="57" t="str">
        <f>IF(AC1578=1,S1578/K1578,"")</f>
        <v/>
      </c>
      <c r="Y1578" s="58" t="str">
        <f>IF(W1578="","",IF(W1578&gt;=p_target,"Bon",IF(W1578&gt;=p_alert,"À surveiller","Faible")))</f>
        <v/>
      </c>
      <c r="Z1578" s="58" t="str">
        <f>IF(W1578="","",IF(MIN(IF(T1578="",1,T1578),IF(U1578="",1,U1578),IF(V1578="",1,V1578))&gt;=1,"Aucune",IF(IF(T1578="",1,T1578)&lt;=MIN(IF(U1578="",1,U1578),IF(V1578="",1,V1578)),"Disponibilité",IF(IF(U1578="",1,U1578)&lt;=IF(V1578="",1,V1578),"Performance","Qualité"))))</f>
        <v/>
      </c>
      <c r="AA1578" s="59" t="str">
        <f>IF(AC1578=1,N(H1578)*N(IFERROR(INDEX(art_cost,MATCH(E1578,art_ref,0)),0)),"")</f>
        <v/>
      </c>
      <c r="AB1578" s="58" t="str">
        <f>IF(COUNTA(A1578:I1578)=0,"",IF(N(A1578)&lt;=0,"Date manquante ou invalide",IF(B1578="","Équipe manquante",IF(ISNA(MATCH(B1578,eq_code,0)),"Équipe inconnue",IF(INDEX(eq_check,MATCH(B1578,eq_code,0))&lt;&gt;"OK","Équipe à corriger dans Paramètres",IF(C1578="","Poste manquant",IF(ISNA(MATCH(C1578,po_code,0)),"Poste inconnu",IF(AND(E1578&lt;&gt;"",ISNA(MATCH(E1578,art_ref,0))),"Article inconnu",IF(IF(E1578="",FALSE,INDEX(art_check,MATCH(E1578,art_ref,0))&lt;&gt;"OK"),"Article à corriger (feuille Articles)",IF(COUNTIFS(sj_date,A1578,sj_eq,B1578,sj_po,C1578)&gt;1,"Ligne en double (même jour, équipe et poste)",IF(OR(NOT(ISNUMBER(K1578)),N(K1578)&lt;=0,N(K1578)&gt;1440),"Temps d'ouverture invalide",IF(OR(AND(G1578&lt;&gt;"",NOT(ISNUMBER(G1578))),N(G1578)&lt;0,N(G1578)&lt;&gt;INT(N(G1578)),AND(H1578&lt;&gt;"",NOT(ISNUMBER(H1578))),N(H1578)&lt;0,N(H1578)&lt;&gt;INT(N(H1578)),AND(I1578&lt;&gt;"",NOT(ISNUMBER(I1578))),N(I1578)&lt;0,N(I1578)&lt;&gt;INT(N(I1578))),"Quantité invalide",IF(Q1578&lt;=0,"Cadence manquante (poste ou article)",IF(M1578&lt;=0,"Arrêts planifiés supérieurs au temps d'ouverture",IF(O1578&lt;0,"Arrêts supérieurs au temps requis",IF(AND(P1578&gt;0,O1578=0),"Pièces déclarées sans temps de marche",IF(AND(P1578=0,O1578&gt;0),"Aucune pièce déclarée",IF(P1578*60/Q1578&gt;O1578+0.001,"Cadence dépassée : vérifiez la cadence","OK"))))))))))))))))))</f>
        <v/>
      </c>
      <c r="AC1578">
        <f>IF(OR(AB1578="OK",AB1578="Aucune pièce déclarée",AB1578="Cadence dépassée : vérifiez la cadence"),1,0)</f>
        <v>0.0</v>
      </c>
      <c r="AD1578">
        <f>IF(AND(AC1578=1,A1578&gt;=p_from,A1578&lt;=p_to),1,0)</f>
        <v>0.0</v>
      </c>
      <c r="AE1578">
        <f>IF(AD1578=1,IF(COUNTIFS($A$6:A1578,A1578,$AD$6:AD1578,1)=1,1,0),0)</f>
        <v>0.0</v>
      </c>
      <c r="AF1578" t="str">
        <f>IF(AE1578=1,COUNTIFS(sj_first,1,sj_date,"&lt;"&amp;A1578)+1,"")</f>
        <v/>
      </c>
      <c r="AG1578" t="str">
        <f>IF(AND(AD1578=1,N(W1578)&lt;p_alert),ROUND(W1578,4),"")</f>
        <v/>
      </c>
      <c r="AH1578" t="str">
        <f>IF(AG1578="","",COUNTIF(sj_akey,"&lt;"&amp;AG1578)+COUNTIF($AG$6:AG1578,AG1578))</f>
        <v/>
      </c>
    </row>
    <row r="1579">
      <c r="A1579" s="51" t="n"/>
      <c r="B1579" s="52" t="n"/>
      <c r="C1579" s="52" t="n"/>
      <c r="D1579" s="53" t="n"/>
      <c r="E1579" s="53" t="n"/>
      <c r="F1579" s="54" t="n"/>
      <c r="G1579" s="54" t="n"/>
      <c r="H1579" s="54" t="n"/>
      <c r="I1579" s="54" t="n"/>
      <c r="J1579" s="53" t="n"/>
      <c r="K1579" s="55" t="str">
        <f>IF(COUNTA(A1579:I1579)=0,"",IF(F1579="",IFERROR(INDEX(eq_dur,MATCH(B1579,eq_code,0)),""),F1579))</f>
        <v/>
      </c>
      <c r="L1579" s="55" t="str">
        <f>IF(ISNUMBER(K1579),N(IFERROR(INDEX(eq_pause,MATCH(B1579,eq_code,0)),0))+SUMIFS(st_min,st_date,A1579,st_eq,B1579,st_po,C1579,st_type,"Planifié"),"")</f>
        <v/>
      </c>
      <c r="M1579" s="55" t="str">
        <f>IF(ISNUMBER(K1579),K1579-L1579,"")</f>
        <v/>
      </c>
      <c r="N1579" s="55" t="str">
        <f>IF(ISNUMBER(K1579),SUMIFS(st_min,st_date,A1579,st_eq,B1579,st_po,C1579,st_type,"Non planifié"),"")</f>
        <v/>
      </c>
      <c r="O1579" s="55" t="str">
        <f>IF(ISNUMBER(K1579),M1579-N1579,"")</f>
        <v/>
      </c>
      <c r="P1579" s="55" t="str">
        <f>IF(COUNTA(A1579:I1579)=0,"",N(G1579)+N(H1579)+N(I1579))</f>
        <v/>
      </c>
      <c r="Q1579" s="56" t="str">
        <f>IF(COUNTA(A1579:I1579)=0,"",IF(N(IFERROR(INDEX(art_rate,MATCH(E1579,art_ref,0)),0))&gt;0,N(IFERROR(INDEX(art_rate,MATCH(E1579,art_ref,0)),0)),N(IFERROR(INDEX(po_rate,MATCH(C1579,po_code,0)),0))))</f>
        <v/>
      </c>
      <c r="R1579" s="55" t="str">
        <f>IF(AC1579=1,P1579*60/Q1579,"")</f>
        <v/>
      </c>
      <c r="S1579" s="55" t="str">
        <f>IF(AC1579=1,N(G1579)*60/Q1579,"")</f>
        <v/>
      </c>
      <c r="T1579" s="57" t="str">
        <f>IF(AC1579=1,O1579/M1579,"")</f>
        <v/>
      </c>
      <c r="U1579" s="57" t="str">
        <f>IF(AC1579=1,IF(O1579&gt;0,R1579/O1579,""),"")</f>
        <v/>
      </c>
      <c r="V1579" s="57" t="str">
        <f>IF(AC1579=1,IF(P1579&gt;0,N(G1579)/P1579,""),"")</f>
        <v/>
      </c>
      <c r="W1579" s="57" t="str">
        <f>IF(AC1579=1,S1579/M1579,"")</f>
        <v/>
      </c>
      <c r="X1579" s="57" t="str">
        <f>IF(AC1579=1,S1579/K1579,"")</f>
        <v/>
      </c>
      <c r="Y1579" s="58" t="str">
        <f>IF(W1579="","",IF(W1579&gt;=p_target,"Bon",IF(W1579&gt;=p_alert,"À surveiller","Faible")))</f>
        <v/>
      </c>
      <c r="Z1579" s="58" t="str">
        <f>IF(W1579="","",IF(MIN(IF(T1579="",1,T1579),IF(U1579="",1,U1579),IF(V1579="",1,V1579))&gt;=1,"Aucune",IF(IF(T1579="",1,T1579)&lt;=MIN(IF(U1579="",1,U1579),IF(V1579="",1,V1579)),"Disponibilité",IF(IF(U1579="",1,U1579)&lt;=IF(V1579="",1,V1579),"Performance","Qualité"))))</f>
        <v/>
      </c>
      <c r="AA1579" s="59" t="str">
        <f>IF(AC1579=1,N(H1579)*N(IFERROR(INDEX(art_cost,MATCH(E1579,art_ref,0)),0)),"")</f>
        <v/>
      </c>
      <c r="AB1579" s="58" t="str">
        <f>IF(COUNTA(A1579:I1579)=0,"",IF(N(A1579)&lt;=0,"Date manquante ou invalide",IF(B1579="","Équipe manquante",IF(ISNA(MATCH(B1579,eq_code,0)),"Équipe inconnue",IF(INDEX(eq_check,MATCH(B1579,eq_code,0))&lt;&gt;"OK","Équipe à corriger dans Paramètres",IF(C1579="","Poste manquant",IF(ISNA(MATCH(C1579,po_code,0)),"Poste inconnu",IF(AND(E1579&lt;&gt;"",ISNA(MATCH(E1579,art_ref,0))),"Article inconnu",IF(IF(E1579="",FALSE,INDEX(art_check,MATCH(E1579,art_ref,0))&lt;&gt;"OK"),"Article à corriger (feuille Articles)",IF(COUNTIFS(sj_date,A1579,sj_eq,B1579,sj_po,C1579)&gt;1,"Ligne en double (même jour, équipe et poste)",IF(OR(NOT(ISNUMBER(K1579)),N(K1579)&lt;=0,N(K1579)&gt;1440),"Temps d'ouverture invalide",IF(OR(AND(G1579&lt;&gt;"",NOT(ISNUMBER(G1579))),N(G1579)&lt;0,N(G1579)&lt;&gt;INT(N(G1579)),AND(H1579&lt;&gt;"",NOT(ISNUMBER(H1579))),N(H1579)&lt;0,N(H1579)&lt;&gt;INT(N(H1579)),AND(I1579&lt;&gt;"",NOT(ISNUMBER(I1579))),N(I1579)&lt;0,N(I1579)&lt;&gt;INT(N(I1579))),"Quantité invalide",IF(Q1579&lt;=0,"Cadence manquante (poste ou article)",IF(M1579&lt;=0,"Arrêts planifiés supérieurs au temps d'ouverture",IF(O1579&lt;0,"Arrêts supérieurs au temps requis",IF(AND(P1579&gt;0,O1579=0),"Pièces déclarées sans temps de marche",IF(AND(P1579=0,O1579&gt;0),"Aucune pièce déclarée",IF(P1579*60/Q1579&gt;O1579+0.001,"Cadence dépassée : vérifiez la cadence","OK"))))))))))))))))))</f>
        <v/>
      </c>
      <c r="AC1579">
        <f>IF(OR(AB1579="OK",AB1579="Aucune pièce déclarée",AB1579="Cadence dépassée : vérifiez la cadence"),1,0)</f>
        <v>0.0</v>
      </c>
      <c r="AD1579">
        <f>IF(AND(AC1579=1,A1579&gt;=p_from,A1579&lt;=p_to),1,0)</f>
        <v>0.0</v>
      </c>
      <c r="AE1579">
        <f>IF(AD1579=1,IF(COUNTIFS($A$6:A1579,A1579,$AD$6:AD1579,1)=1,1,0),0)</f>
        <v>0.0</v>
      </c>
      <c r="AF1579" t="str">
        <f>IF(AE1579=1,COUNTIFS(sj_first,1,sj_date,"&lt;"&amp;A1579)+1,"")</f>
        <v/>
      </c>
      <c r="AG1579" t="str">
        <f>IF(AND(AD1579=1,N(W1579)&lt;p_alert),ROUND(W1579,4),"")</f>
        <v/>
      </c>
      <c r="AH1579" t="str">
        <f>IF(AG1579="","",COUNTIF(sj_akey,"&lt;"&amp;AG1579)+COUNTIF($AG$6:AG1579,AG1579))</f>
        <v/>
      </c>
    </row>
    <row r="1580">
      <c r="A1580" s="51" t="n"/>
      <c r="B1580" s="52" t="n"/>
      <c r="C1580" s="52" t="n"/>
      <c r="D1580" s="53" t="n"/>
      <c r="E1580" s="53" t="n"/>
      <c r="F1580" s="54" t="n"/>
      <c r="G1580" s="54" t="n"/>
      <c r="H1580" s="54" t="n"/>
      <c r="I1580" s="54" t="n"/>
      <c r="J1580" s="53" t="n"/>
      <c r="K1580" s="55" t="str">
        <f>IF(COUNTA(A1580:I1580)=0,"",IF(F1580="",IFERROR(INDEX(eq_dur,MATCH(B1580,eq_code,0)),""),F1580))</f>
        <v/>
      </c>
      <c r="L1580" s="55" t="str">
        <f>IF(ISNUMBER(K1580),N(IFERROR(INDEX(eq_pause,MATCH(B1580,eq_code,0)),0))+SUMIFS(st_min,st_date,A1580,st_eq,B1580,st_po,C1580,st_type,"Planifié"),"")</f>
        <v/>
      </c>
      <c r="M1580" s="55" t="str">
        <f>IF(ISNUMBER(K1580),K1580-L1580,"")</f>
        <v/>
      </c>
      <c r="N1580" s="55" t="str">
        <f>IF(ISNUMBER(K1580),SUMIFS(st_min,st_date,A1580,st_eq,B1580,st_po,C1580,st_type,"Non planifié"),"")</f>
        <v/>
      </c>
      <c r="O1580" s="55" t="str">
        <f>IF(ISNUMBER(K1580),M1580-N1580,"")</f>
        <v/>
      </c>
      <c r="P1580" s="55" t="str">
        <f>IF(COUNTA(A1580:I1580)=0,"",N(G1580)+N(H1580)+N(I1580))</f>
        <v/>
      </c>
      <c r="Q1580" s="56" t="str">
        <f>IF(COUNTA(A1580:I1580)=0,"",IF(N(IFERROR(INDEX(art_rate,MATCH(E1580,art_ref,0)),0))&gt;0,N(IFERROR(INDEX(art_rate,MATCH(E1580,art_ref,0)),0)),N(IFERROR(INDEX(po_rate,MATCH(C1580,po_code,0)),0))))</f>
        <v/>
      </c>
      <c r="R1580" s="55" t="str">
        <f>IF(AC1580=1,P1580*60/Q1580,"")</f>
        <v/>
      </c>
      <c r="S1580" s="55" t="str">
        <f>IF(AC1580=1,N(G1580)*60/Q1580,"")</f>
        <v/>
      </c>
      <c r="T1580" s="57" t="str">
        <f>IF(AC1580=1,O1580/M1580,"")</f>
        <v/>
      </c>
      <c r="U1580" s="57" t="str">
        <f>IF(AC1580=1,IF(O1580&gt;0,R1580/O1580,""),"")</f>
        <v/>
      </c>
      <c r="V1580" s="57" t="str">
        <f>IF(AC1580=1,IF(P1580&gt;0,N(G1580)/P1580,""),"")</f>
        <v/>
      </c>
      <c r="W1580" s="57" t="str">
        <f>IF(AC1580=1,S1580/M1580,"")</f>
        <v/>
      </c>
      <c r="X1580" s="57" t="str">
        <f>IF(AC1580=1,S1580/K1580,"")</f>
        <v/>
      </c>
      <c r="Y1580" s="58" t="str">
        <f>IF(W1580="","",IF(W1580&gt;=p_target,"Bon",IF(W1580&gt;=p_alert,"À surveiller","Faible")))</f>
        <v/>
      </c>
      <c r="Z1580" s="58" t="str">
        <f>IF(W1580="","",IF(MIN(IF(T1580="",1,T1580),IF(U1580="",1,U1580),IF(V1580="",1,V1580))&gt;=1,"Aucune",IF(IF(T1580="",1,T1580)&lt;=MIN(IF(U1580="",1,U1580),IF(V1580="",1,V1580)),"Disponibilité",IF(IF(U1580="",1,U1580)&lt;=IF(V1580="",1,V1580),"Performance","Qualité"))))</f>
        <v/>
      </c>
      <c r="AA1580" s="59" t="str">
        <f>IF(AC1580=1,N(H1580)*N(IFERROR(INDEX(art_cost,MATCH(E1580,art_ref,0)),0)),"")</f>
        <v/>
      </c>
      <c r="AB1580" s="58" t="str">
        <f>IF(COUNTA(A1580:I1580)=0,"",IF(N(A1580)&lt;=0,"Date manquante ou invalide",IF(B1580="","Équipe manquante",IF(ISNA(MATCH(B1580,eq_code,0)),"Équipe inconnue",IF(INDEX(eq_check,MATCH(B1580,eq_code,0))&lt;&gt;"OK","Équipe à corriger dans Paramètres",IF(C1580="","Poste manquant",IF(ISNA(MATCH(C1580,po_code,0)),"Poste inconnu",IF(AND(E1580&lt;&gt;"",ISNA(MATCH(E1580,art_ref,0))),"Article inconnu",IF(IF(E1580="",FALSE,INDEX(art_check,MATCH(E1580,art_ref,0))&lt;&gt;"OK"),"Article à corriger (feuille Articles)",IF(COUNTIFS(sj_date,A1580,sj_eq,B1580,sj_po,C1580)&gt;1,"Ligne en double (même jour, équipe et poste)",IF(OR(NOT(ISNUMBER(K1580)),N(K1580)&lt;=0,N(K1580)&gt;1440),"Temps d'ouverture invalide",IF(OR(AND(G1580&lt;&gt;"",NOT(ISNUMBER(G1580))),N(G1580)&lt;0,N(G1580)&lt;&gt;INT(N(G1580)),AND(H1580&lt;&gt;"",NOT(ISNUMBER(H1580))),N(H1580)&lt;0,N(H1580)&lt;&gt;INT(N(H1580)),AND(I1580&lt;&gt;"",NOT(ISNUMBER(I1580))),N(I1580)&lt;0,N(I1580)&lt;&gt;INT(N(I1580))),"Quantité invalide",IF(Q1580&lt;=0,"Cadence manquante (poste ou article)",IF(M1580&lt;=0,"Arrêts planifiés supérieurs au temps d'ouverture",IF(O1580&lt;0,"Arrêts supérieurs au temps requis",IF(AND(P1580&gt;0,O1580=0),"Pièces déclarées sans temps de marche",IF(AND(P1580=0,O1580&gt;0),"Aucune pièce déclarée",IF(P1580*60/Q1580&gt;O1580+0.001,"Cadence dépassée : vérifiez la cadence","OK"))))))))))))))))))</f>
        <v/>
      </c>
      <c r="AC1580">
        <f>IF(OR(AB1580="OK",AB1580="Aucune pièce déclarée",AB1580="Cadence dépassée : vérifiez la cadence"),1,0)</f>
        <v>0.0</v>
      </c>
      <c r="AD1580">
        <f>IF(AND(AC1580=1,A1580&gt;=p_from,A1580&lt;=p_to),1,0)</f>
        <v>0.0</v>
      </c>
      <c r="AE1580">
        <f>IF(AD1580=1,IF(COUNTIFS($A$6:A1580,A1580,$AD$6:AD1580,1)=1,1,0),0)</f>
        <v>0.0</v>
      </c>
      <c r="AF1580" t="str">
        <f>IF(AE1580=1,COUNTIFS(sj_first,1,sj_date,"&lt;"&amp;A1580)+1,"")</f>
        <v/>
      </c>
      <c r="AG1580" t="str">
        <f>IF(AND(AD1580=1,N(W1580)&lt;p_alert),ROUND(W1580,4),"")</f>
        <v/>
      </c>
      <c r="AH1580" t="str">
        <f>IF(AG1580="","",COUNTIF(sj_akey,"&lt;"&amp;AG1580)+COUNTIF($AG$6:AG1580,AG1580))</f>
        <v/>
      </c>
    </row>
    <row r="1581">
      <c r="A1581" s="51" t="n"/>
      <c r="B1581" s="52" t="n"/>
      <c r="C1581" s="52" t="n"/>
      <c r="D1581" s="53" t="n"/>
      <c r="E1581" s="53" t="n"/>
      <c r="F1581" s="54" t="n"/>
      <c r="G1581" s="54" t="n"/>
      <c r="H1581" s="54" t="n"/>
      <c r="I1581" s="54" t="n"/>
      <c r="J1581" s="53" t="n"/>
      <c r="K1581" s="55" t="str">
        <f>IF(COUNTA(A1581:I1581)=0,"",IF(F1581="",IFERROR(INDEX(eq_dur,MATCH(B1581,eq_code,0)),""),F1581))</f>
        <v/>
      </c>
      <c r="L1581" s="55" t="str">
        <f>IF(ISNUMBER(K1581),N(IFERROR(INDEX(eq_pause,MATCH(B1581,eq_code,0)),0))+SUMIFS(st_min,st_date,A1581,st_eq,B1581,st_po,C1581,st_type,"Planifié"),"")</f>
        <v/>
      </c>
      <c r="M1581" s="55" t="str">
        <f>IF(ISNUMBER(K1581),K1581-L1581,"")</f>
        <v/>
      </c>
      <c r="N1581" s="55" t="str">
        <f>IF(ISNUMBER(K1581),SUMIFS(st_min,st_date,A1581,st_eq,B1581,st_po,C1581,st_type,"Non planifié"),"")</f>
        <v/>
      </c>
      <c r="O1581" s="55" t="str">
        <f>IF(ISNUMBER(K1581),M1581-N1581,"")</f>
        <v/>
      </c>
      <c r="P1581" s="55" t="str">
        <f>IF(COUNTA(A1581:I1581)=0,"",N(G1581)+N(H1581)+N(I1581))</f>
        <v/>
      </c>
      <c r="Q1581" s="56" t="str">
        <f>IF(COUNTA(A1581:I1581)=0,"",IF(N(IFERROR(INDEX(art_rate,MATCH(E1581,art_ref,0)),0))&gt;0,N(IFERROR(INDEX(art_rate,MATCH(E1581,art_ref,0)),0)),N(IFERROR(INDEX(po_rate,MATCH(C1581,po_code,0)),0))))</f>
        <v/>
      </c>
      <c r="R1581" s="55" t="str">
        <f>IF(AC1581=1,P1581*60/Q1581,"")</f>
        <v/>
      </c>
      <c r="S1581" s="55" t="str">
        <f>IF(AC1581=1,N(G1581)*60/Q1581,"")</f>
        <v/>
      </c>
      <c r="T1581" s="57" t="str">
        <f>IF(AC1581=1,O1581/M1581,"")</f>
        <v/>
      </c>
      <c r="U1581" s="57" t="str">
        <f>IF(AC1581=1,IF(O1581&gt;0,R1581/O1581,""),"")</f>
        <v/>
      </c>
      <c r="V1581" s="57" t="str">
        <f>IF(AC1581=1,IF(P1581&gt;0,N(G1581)/P1581,""),"")</f>
        <v/>
      </c>
      <c r="W1581" s="57" t="str">
        <f>IF(AC1581=1,S1581/M1581,"")</f>
        <v/>
      </c>
      <c r="X1581" s="57" t="str">
        <f>IF(AC1581=1,S1581/K1581,"")</f>
        <v/>
      </c>
      <c r="Y1581" s="58" t="str">
        <f>IF(W1581="","",IF(W1581&gt;=p_target,"Bon",IF(W1581&gt;=p_alert,"À surveiller","Faible")))</f>
        <v/>
      </c>
      <c r="Z1581" s="58" t="str">
        <f>IF(W1581="","",IF(MIN(IF(T1581="",1,T1581),IF(U1581="",1,U1581),IF(V1581="",1,V1581))&gt;=1,"Aucune",IF(IF(T1581="",1,T1581)&lt;=MIN(IF(U1581="",1,U1581),IF(V1581="",1,V1581)),"Disponibilité",IF(IF(U1581="",1,U1581)&lt;=IF(V1581="",1,V1581),"Performance","Qualité"))))</f>
        <v/>
      </c>
      <c r="AA1581" s="59" t="str">
        <f>IF(AC1581=1,N(H1581)*N(IFERROR(INDEX(art_cost,MATCH(E1581,art_ref,0)),0)),"")</f>
        <v/>
      </c>
      <c r="AB1581" s="58" t="str">
        <f>IF(COUNTA(A1581:I1581)=0,"",IF(N(A1581)&lt;=0,"Date manquante ou invalide",IF(B1581="","Équipe manquante",IF(ISNA(MATCH(B1581,eq_code,0)),"Équipe inconnue",IF(INDEX(eq_check,MATCH(B1581,eq_code,0))&lt;&gt;"OK","Équipe à corriger dans Paramètres",IF(C1581="","Poste manquant",IF(ISNA(MATCH(C1581,po_code,0)),"Poste inconnu",IF(AND(E1581&lt;&gt;"",ISNA(MATCH(E1581,art_ref,0))),"Article inconnu",IF(IF(E1581="",FALSE,INDEX(art_check,MATCH(E1581,art_ref,0))&lt;&gt;"OK"),"Article à corriger (feuille Articles)",IF(COUNTIFS(sj_date,A1581,sj_eq,B1581,sj_po,C1581)&gt;1,"Ligne en double (même jour, équipe et poste)",IF(OR(NOT(ISNUMBER(K1581)),N(K1581)&lt;=0,N(K1581)&gt;1440),"Temps d'ouverture invalide",IF(OR(AND(G1581&lt;&gt;"",NOT(ISNUMBER(G1581))),N(G1581)&lt;0,N(G1581)&lt;&gt;INT(N(G1581)),AND(H1581&lt;&gt;"",NOT(ISNUMBER(H1581))),N(H1581)&lt;0,N(H1581)&lt;&gt;INT(N(H1581)),AND(I1581&lt;&gt;"",NOT(ISNUMBER(I1581))),N(I1581)&lt;0,N(I1581)&lt;&gt;INT(N(I1581))),"Quantité invalide",IF(Q1581&lt;=0,"Cadence manquante (poste ou article)",IF(M1581&lt;=0,"Arrêts planifiés supérieurs au temps d'ouverture",IF(O1581&lt;0,"Arrêts supérieurs au temps requis",IF(AND(P1581&gt;0,O1581=0),"Pièces déclarées sans temps de marche",IF(AND(P1581=0,O1581&gt;0),"Aucune pièce déclarée",IF(P1581*60/Q1581&gt;O1581+0.001,"Cadence dépassée : vérifiez la cadence","OK"))))))))))))))))))</f>
        <v/>
      </c>
      <c r="AC1581">
        <f>IF(OR(AB1581="OK",AB1581="Aucune pièce déclarée",AB1581="Cadence dépassée : vérifiez la cadence"),1,0)</f>
        <v>0.0</v>
      </c>
      <c r="AD1581">
        <f>IF(AND(AC1581=1,A1581&gt;=p_from,A1581&lt;=p_to),1,0)</f>
        <v>0.0</v>
      </c>
      <c r="AE1581">
        <f>IF(AD1581=1,IF(COUNTIFS($A$6:A1581,A1581,$AD$6:AD1581,1)=1,1,0),0)</f>
        <v>0.0</v>
      </c>
      <c r="AF1581" t="str">
        <f>IF(AE1581=1,COUNTIFS(sj_first,1,sj_date,"&lt;"&amp;A1581)+1,"")</f>
        <v/>
      </c>
      <c r="AG1581" t="str">
        <f>IF(AND(AD1581=1,N(W1581)&lt;p_alert),ROUND(W1581,4),"")</f>
        <v/>
      </c>
      <c r="AH1581" t="str">
        <f>IF(AG1581="","",COUNTIF(sj_akey,"&lt;"&amp;AG1581)+COUNTIF($AG$6:AG1581,AG1581))</f>
        <v/>
      </c>
    </row>
    <row r="1582">
      <c r="A1582" s="51" t="n"/>
      <c r="B1582" s="52" t="n"/>
      <c r="C1582" s="52" t="n"/>
      <c r="D1582" s="53" t="n"/>
      <c r="E1582" s="53" t="n"/>
      <c r="F1582" s="54" t="n"/>
      <c r="G1582" s="54" t="n"/>
      <c r="H1582" s="54" t="n"/>
      <c r="I1582" s="54" t="n"/>
      <c r="J1582" s="53" t="n"/>
      <c r="K1582" s="55" t="str">
        <f>IF(COUNTA(A1582:I1582)=0,"",IF(F1582="",IFERROR(INDEX(eq_dur,MATCH(B1582,eq_code,0)),""),F1582))</f>
        <v/>
      </c>
      <c r="L1582" s="55" t="str">
        <f>IF(ISNUMBER(K1582),N(IFERROR(INDEX(eq_pause,MATCH(B1582,eq_code,0)),0))+SUMIFS(st_min,st_date,A1582,st_eq,B1582,st_po,C1582,st_type,"Planifié"),"")</f>
        <v/>
      </c>
      <c r="M1582" s="55" t="str">
        <f>IF(ISNUMBER(K1582),K1582-L1582,"")</f>
        <v/>
      </c>
      <c r="N1582" s="55" t="str">
        <f>IF(ISNUMBER(K1582),SUMIFS(st_min,st_date,A1582,st_eq,B1582,st_po,C1582,st_type,"Non planifié"),"")</f>
        <v/>
      </c>
      <c r="O1582" s="55" t="str">
        <f>IF(ISNUMBER(K1582),M1582-N1582,"")</f>
        <v/>
      </c>
      <c r="P1582" s="55" t="str">
        <f>IF(COUNTA(A1582:I1582)=0,"",N(G1582)+N(H1582)+N(I1582))</f>
        <v/>
      </c>
      <c r="Q1582" s="56" t="str">
        <f>IF(COUNTA(A1582:I1582)=0,"",IF(N(IFERROR(INDEX(art_rate,MATCH(E1582,art_ref,0)),0))&gt;0,N(IFERROR(INDEX(art_rate,MATCH(E1582,art_ref,0)),0)),N(IFERROR(INDEX(po_rate,MATCH(C1582,po_code,0)),0))))</f>
        <v/>
      </c>
      <c r="R1582" s="55" t="str">
        <f>IF(AC1582=1,P1582*60/Q1582,"")</f>
        <v/>
      </c>
      <c r="S1582" s="55" t="str">
        <f>IF(AC1582=1,N(G1582)*60/Q1582,"")</f>
        <v/>
      </c>
      <c r="T1582" s="57" t="str">
        <f>IF(AC1582=1,O1582/M1582,"")</f>
        <v/>
      </c>
      <c r="U1582" s="57" t="str">
        <f>IF(AC1582=1,IF(O1582&gt;0,R1582/O1582,""),"")</f>
        <v/>
      </c>
      <c r="V1582" s="57" t="str">
        <f>IF(AC1582=1,IF(P1582&gt;0,N(G1582)/P1582,""),"")</f>
        <v/>
      </c>
      <c r="W1582" s="57" t="str">
        <f>IF(AC1582=1,S1582/M1582,"")</f>
        <v/>
      </c>
      <c r="X1582" s="57" t="str">
        <f>IF(AC1582=1,S1582/K1582,"")</f>
        <v/>
      </c>
      <c r="Y1582" s="58" t="str">
        <f>IF(W1582="","",IF(W1582&gt;=p_target,"Bon",IF(W1582&gt;=p_alert,"À surveiller","Faible")))</f>
        <v/>
      </c>
      <c r="Z1582" s="58" t="str">
        <f>IF(W1582="","",IF(MIN(IF(T1582="",1,T1582),IF(U1582="",1,U1582),IF(V1582="",1,V1582))&gt;=1,"Aucune",IF(IF(T1582="",1,T1582)&lt;=MIN(IF(U1582="",1,U1582),IF(V1582="",1,V1582)),"Disponibilité",IF(IF(U1582="",1,U1582)&lt;=IF(V1582="",1,V1582),"Performance","Qualité"))))</f>
        <v/>
      </c>
      <c r="AA1582" s="59" t="str">
        <f>IF(AC1582=1,N(H1582)*N(IFERROR(INDEX(art_cost,MATCH(E1582,art_ref,0)),0)),"")</f>
        <v/>
      </c>
      <c r="AB1582" s="58" t="str">
        <f>IF(COUNTA(A1582:I1582)=0,"",IF(N(A1582)&lt;=0,"Date manquante ou invalide",IF(B1582="","Équipe manquante",IF(ISNA(MATCH(B1582,eq_code,0)),"Équipe inconnue",IF(INDEX(eq_check,MATCH(B1582,eq_code,0))&lt;&gt;"OK","Équipe à corriger dans Paramètres",IF(C1582="","Poste manquant",IF(ISNA(MATCH(C1582,po_code,0)),"Poste inconnu",IF(AND(E1582&lt;&gt;"",ISNA(MATCH(E1582,art_ref,0))),"Article inconnu",IF(IF(E1582="",FALSE,INDEX(art_check,MATCH(E1582,art_ref,0))&lt;&gt;"OK"),"Article à corriger (feuille Articles)",IF(COUNTIFS(sj_date,A1582,sj_eq,B1582,sj_po,C1582)&gt;1,"Ligne en double (même jour, équipe et poste)",IF(OR(NOT(ISNUMBER(K1582)),N(K1582)&lt;=0,N(K1582)&gt;1440),"Temps d'ouverture invalide",IF(OR(AND(G1582&lt;&gt;"",NOT(ISNUMBER(G1582))),N(G1582)&lt;0,N(G1582)&lt;&gt;INT(N(G1582)),AND(H1582&lt;&gt;"",NOT(ISNUMBER(H1582))),N(H1582)&lt;0,N(H1582)&lt;&gt;INT(N(H1582)),AND(I1582&lt;&gt;"",NOT(ISNUMBER(I1582))),N(I1582)&lt;0,N(I1582)&lt;&gt;INT(N(I1582))),"Quantité invalide",IF(Q1582&lt;=0,"Cadence manquante (poste ou article)",IF(M1582&lt;=0,"Arrêts planifiés supérieurs au temps d'ouverture",IF(O1582&lt;0,"Arrêts supérieurs au temps requis",IF(AND(P1582&gt;0,O1582=0),"Pièces déclarées sans temps de marche",IF(AND(P1582=0,O1582&gt;0),"Aucune pièce déclarée",IF(P1582*60/Q1582&gt;O1582+0.001,"Cadence dépassée : vérifiez la cadence","OK"))))))))))))))))))</f>
        <v/>
      </c>
      <c r="AC1582">
        <f>IF(OR(AB1582="OK",AB1582="Aucune pièce déclarée",AB1582="Cadence dépassée : vérifiez la cadence"),1,0)</f>
        <v>0.0</v>
      </c>
      <c r="AD1582">
        <f>IF(AND(AC1582=1,A1582&gt;=p_from,A1582&lt;=p_to),1,0)</f>
        <v>0.0</v>
      </c>
      <c r="AE1582">
        <f>IF(AD1582=1,IF(COUNTIFS($A$6:A1582,A1582,$AD$6:AD1582,1)=1,1,0),0)</f>
        <v>0.0</v>
      </c>
      <c r="AF1582" t="str">
        <f>IF(AE1582=1,COUNTIFS(sj_first,1,sj_date,"&lt;"&amp;A1582)+1,"")</f>
        <v/>
      </c>
      <c r="AG1582" t="str">
        <f>IF(AND(AD1582=1,N(W1582)&lt;p_alert),ROUND(W1582,4),"")</f>
        <v/>
      </c>
      <c r="AH1582" t="str">
        <f>IF(AG1582="","",COUNTIF(sj_akey,"&lt;"&amp;AG1582)+COUNTIF($AG$6:AG1582,AG1582))</f>
        <v/>
      </c>
    </row>
    <row r="1583">
      <c r="A1583" s="51" t="n"/>
      <c r="B1583" s="52" t="n"/>
      <c r="C1583" s="52" t="n"/>
      <c r="D1583" s="53" t="n"/>
      <c r="E1583" s="53" t="n"/>
      <c r="F1583" s="54" t="n"/>
      <c r="G1583" s="54" t="n"/>
      <c r="H1583" s="54" t="n"/>
      <c r="I1583" s="54" t="n"/>
      <c r="J1583" s="53" t="n"/>
      <c r="K1583" s="55" t="str">
        <f>IF(COUNTA(A1583:I1583)=0,"",IF(F1583="",IFERROR(INDEX(eq_dur,MATCH(B1583,eq_code,0)),""),F1583))</f>
        <v/>
      </c>
      <c r="L1583" s="55" t="str">
        <f>IF(ISNUMBER(K1583),N(IFERROR(INDEX(eq_pause,MATCH(B1583,eq_code,0)),0))+SUMIFS(st_min,st_date,A1583,st_eq,B1583,st_po,C1583,st_type,"Planifié"),"")</f>
        <v/>
      </c>
      <c r="M1583" s="55" t="str">
        <f>IF(ISNUMBER(K1583),K1583-L1583,"")</f>
        <v/>
      </c>
      <c r="N1583" s="55" t="str">
        <f>IF(ISNUMBER(K1583),SUMIFS(st_min,st_date,A1583,st_eq,B1583,st_po,C1583,st_type,"Non planifié"),"")</f>
        <v/>
      </c>
      <c r="O1583" s="55" t="str">
        <f>IF(ISNUMBER(K1583),M1583-N1583,"")</f>
        <v/>
      </c>
      <c r="P1583" s="55" t="str">
        <f>IF(COUNTA(A1583:I1583)=0,"",N(G1583)+N(H1583)+N(I1583))</f>
        <v/>
      </c>
      <c r="Q1583" s="56" t="str">
        <f>IF(COUNTA(A1583:I1583)=0,"",IF(N(IFERROR(INDEX(art_rate,MATCH(E1583,art_ref,0)),0))&gt;0,N(IFERROR(INDEX(art_rate,MATCH(E1583,art_ref,0)),0)),N(IFERROR(INDEX(po_rate,MATCH(C1583,po_code,0)),0))))</f>
        <v/>
      </c>
      <c r="R1583" s="55" t="str">
        <f>IF(AC1583=1,P1583*60/Q1583,"")</f>
        <v/>
      </c>
      <c r="S1583" s="55" t="str">
        <f>IF(AC1583=1,N(G1583)*60/Q1583,"")</f>
        <v/>
      </c>
      <c r="T1583" s="57" t="str">
        <f>IF(AC1583=1,O1583/M1583,"")</f>
        <v/>
      </c>
      <c r="U1583" s="57" t="str">
        <f>IF(AC1583=1,IF(O1583&gt;0,R1583/O1583,""),"")</f>
        <v/>
      </c>
      <c r="V1583" s="57" t="str">
        <f>IF(AC1583=1,IF(P1583&gt;0,N(G1583)/P1583,""),"")</f>
        <v/>
      </c>
      <c r="W1583" s="57" t="str">
        <f>IF(AC1583=1,S1583/M1583,"")</f>
        <v/>
      </c>
      <c r="X1583" s="57" t="str">
        <f>IF(AC1583=1,S1583/K1583,"")</f>
        <v/>
      </c>
      <c r="Y1583" s="58" t="str">
        <f>IF(W1583="","",IF(W1583&gt;=p_target,"Bon",IF(W1583&gt;=p_alert,"À surveiller","Faible")))</f>
        <v/>
      </c>
      <c r="Z1583" s="58" t="str">
        <f>IF(W1583="","",IF(MIN(IF(T1583="",1,T1583),IF(U1583="",1,U1583),IF(V1583="",1,V1583))&gt;=1,"Aucune",IF(IF(T1583="",1,T1583)&lt;=MIN(IF(U1583="",1,U1583),IF(V1583="",1,V1583)),"Disponibilité",IF(IF(U1583="",1,U1583)&lt;=IF(V1583="",1,V1583),"Performance","Qualité"))))</f>
        <v/>
      </c>
      <c r="AA1583" s="59" t="str">
        <f>IF(AC1583=1,N(H1583)*N(IFERROR(INDEX(art_cost,MATCH(E1583,art_ref,0)),0)),"")</f>
        <v/>
      </c>
      <c r="AB1583" s="58" t="str">
        <f>IF(COUNTA(A1583:I1583)=0,"",IF(N(A1583)&lt;=0,"Date manquante ou invalide",IF(B1583="","Équipe manquante",IF(ISNA(MATCH(B1583,eq_code,0)),"Équipe inconnue",IF(INDEX(eq_check,MATCH(B1583,eq_code,0))&lt;&gt;"OK","Équipe à corriger dans Paramètres",IF(C1583="","Poste manquant",IF(ISNA(MATCH(C1583,po_code,0)),"Poste inconnu",IF(AND(E1583&lt;&gt;"",ISNA(MATCH(E1583,art_ref,0))),"Article inconnu",IF(IF(E1583="",FALSE,INDEX(art_check,MATCH(E1583,art_ref,0))&lt;&gt;"OK"),"Article à corriger (feuille Articles)",IF(COUNTIFS(sj_date,A1583,sj_eq,B1583,sj_po,C1583)&gt;1,"Ligne en double (même jour, équipe et poste)",IF(OR(NOT(ISNUMBER(K1583)),N(K1583)&lt;=0,N(K1583)&gt;1440),"Temps d'ouverture invalide",IF(OR(AND(G1583&lt;&gt;"",NOT(ISNUMBER(G1583))),N(G1583)&lt;0,N(G1583)&lt;&gt;INT(N(G1583)),AND(H1583&lt;&gt;"",NOT(ISNUMBER(H1583))),N(H1583)&lt;0,N(H1583)&lt;&gt;INT(N(H1583)),AND(I1583&lt;&gt;"",NOT(ISNUMBER(I1583))),N(I1583)&lt;0,N(I1583)&lt;&gt;INT(N(I1583))),"Quantité invalide",IF(Q1583&lt;=0,"Cadence manquante (poste ou article)",IF(M1583&lt;=0,"Arrêts planifiés supérieurs au temps d'ouverture",IF(O1583&lt;0,"Arrêts supérieurs au temps requis",IF(AND(P1583&gt;0,O1583=0),"Pièces déclarées sans temps de marche",IF(AND(P1583=0,O1583&gt;0),"Aucune pièce déclarée",IF(P1583*60/Q1583&gt;O1583+0.001,"Cadence dépassée : vérifiez la cadence","OK"))))))))))))))))))</f>
        <v/>
      </c>
      <c r="AC1583">
        <f>IF(OR(AB1583="OK",AB1583="Aucune pièce déclarée",AB1583="Cadence dépassée : vérifiez la cadence"),1,0)</f>
        <v>0.0</v>
      </c>
      <c r="AD1583">
        <f>IF(AND(AC1583=1,A1583&gt;=p_from,A1583&lt;=p_to),1,0)</f>
        <v>0.0</v>
      </c>
      <c r="AE1583">
        <f>IF(AD1583=1,IF(COUNTIFS($A$6:A1583,A1583,$AD$6:AD1583,1)=1,1,0),0)</f>
        <v>0.0</v>
      </c>
      <c r="AF1583" t="str">
        <f>IF(AE1583=1,COUNTIFS(sj_first,1,sj_date,"&lt;"&amp;A1583)+1,"")</f>
        <v/>
      </c>
      <c r="AG1583" t="str">
        <f>IF(AND(AD1583=1,N(W1583)&lt;p_alert),ROUND(W1583,4),"")</f>
        <v/>
      </c>
      <c r="AH1583" t="str">
        <f>IF(AG1583="","",COUNTIF(sj_akey,"&lt;"&amp;AG1583)+COUNTIF($AG$6:AG1583,AG1583))</f>
        <v/>
      </c>
    </row>
    <row r="1584">
      <c r="A1584" s="51" t="n"/>
      <c r="B1584" s="52" t="n"/>
      <c r="C1584" s="52" t="n"/>
      <c r="D1584" s="53" t="n"/>
      <c r="E1584" s="53" t="n"/>
      <c r="F1584" s="54" t="n"/>
      <c r="G1584" s="54" t="n"/>
      <c r="H1584" s="54" t="n"/>
      <c r="I1584" s="54" t="n"/>
      <c r="J1584" s="53" t="n"/>
      <c r="K1584" s="55" t="str">
        <f>IF(COUNTA(A1584:I1584)=0,"",IF(F1584="",IFERROR(INDEX(eq_dur,MATCH(B1584,eq_code,0)),""),F1584))</f>
        <v/>
      </c>
      <c r="L1584" s="55" t="str">
        <f>IF(ISNUMBER(K1584),N(IFERROR(INDEX(eq_pause,MATCH(B1584,eq_code,0)),0))+SUMIFS(st_min,st_date,A1584,st_eq,B1584,st_po,C1584,st_type,"Planifié"),"")</f>
        <v/>
      </c>
      <c r="M1584" s="55" t="str">
        <f>IF(ISNUMBER(K1584),K1584-L1584,"")</f>
        <v/>
      </c>
      <c r="N1584" s="55" t="str">
        <f>IF(ISNUMBER(K1584),SUMIFS(st_min,st_date,A1584,st_eq,B1584,st_po,C1584,st_type,"Non planifié"),"")</f>
        <v/>
      </c>
      <c r="O1584" s="55" t="str">
        <f>IF(ISNUMBER(K1584),M1584-N1584,"")</f>
        <v/>
      </c>
      <c r="P1584" s="55" t="str">
        <f>IF(COUNTA(A1584:I1584)=0,"",N(G1584)+N(H1584)+N(I1584))</f>
        <v/>
      </c>
      <c r="Q1584" s="56" t="str">
        <f>IF(COUNTA(A1584:I1584)=0,"",IF(N(IFERROR(INDEX(art_rate,MATCH(E1584,art_ref,0)),0))&gt;0,N(IFERROR(INDEX(art_rate,MATCH(E1584,art_ref,0)),0)),N(IFERROR(INDEX(po_rate,MATCH(C1584,po_code,0)),0))))</f>
        <v/>
      </c>
      <c r="R1584" s="55" t="str">
        <f>IF(AC1584=1,P1584*60/Q1584,"")</f>
        <v/>
      </c>
      <c r="S1584" s="55" t="str">
        <f>IF(AC1584=1,N(G1584)*60/Q1584,"")</f>
        <v/>
      </c>
      <c r="T1584" s="57" t="str">
        <f>IF(AC1584=1,O1584/M1584,"")</f>
        <v/>
      </c>
      <c r="U1584" s="57" t="str">
        <f>IF(AC1584=1,IF(O1584&gt;0,R1584/O1584,""),"")</f>
        <v/>
      </c>
      <c r="V1584" s="57" t="str">
        <f>IF(AC1584=1,IF(P1584&gt;0,N(G1584)/P1584,""),"")</f>
        <v/>
      </c>
      <c r="W1584" s="57" t="str">
        <f>IF(AC1584=1,S1584/M1584,"")</f>
        <v/>
      </c>
      <c r="X1584" s="57" t="str">
        <f>IF(AC1584=1,S1584/K1584,"")</f>
        <v/>
      </c>
      <c r="Y1584" s="58" t="str">
        <f>IF(W1584="","",IF(W1584&gt;=p_target,"Bon",IF(W1584&gt;=p_alert,"À surveiller","Faible")))</f>
        <v/>
      </c>
      <c r="Z1584" s="58" t="str">
        <f>IF(W1584="","",IF(MIN(IF(T1584="",1,T1584),IF(U1584="",1,U1584),IF(V1584="",1,V1584))&gt;=1,"Aucune",IF(IF(T1584="",1,T1584)&lt;=MIN(IF(U1584="",1,U1584),IF(V1584="",1,V1584)),"Disponibilité",IF(IF(U1584="",1,U1584)&lt;=IF(V1584="",1,V1584),"Performance","Qualité"))))</f>
        <v/>
      </c>
      <c r="AA1584" s="59" t="str">
        <f>IF(AC1584=1,N(H1584)*N(IFERROR(INDEX(art_cost,MATCH(E1584,art_ref,0)),0)),"")</f>
        <v/>
      </c>
      <c r="AB1584" s="58" t="str">
        <f>IF(COUNTA(A1584:I1584)=0,"",IF(N(A1584)&lt;=0,"Date manquante ou invalide",IF(B1584="","Équipe manquante",IF(ISNA(MATCH(B1584,eq_code,0)),"Équipe inconnue",IF(INDEX(eq_check,MATCH(B1584,eq_code,0))&lt;&gt;"OK","Équipe à corriger dans Paramètres",IF(C1584="","Poste manquant",IF(ISNA(MATCH(C1584,po_code,0)),"Poste inconnu",IF(AND(E1584&lt;&gt;"",ISNA(MATCH(E1584,art_ref,0))),"Article inconnu",IF(IF(E1584="",FALSE,INDEX(art_check,MATCH(E1584,art_ref,0))&lt;&gt;"OK"),"Article à corriger (feuille Articles)",IF(COUNTIFS(sj_date,A1584,sj_eq,B1584,sj_po,C1584)&gt;1,"Ligne en double (même jour, équipe et poste)",IF(OR(NOT(ISNUMBER(K1584)),N(K1584)&lt;=0,N(K1584)&gt;1440),"Temps d'ouverture invalide",IF(OR(AND(G1584&lt;&gt;"",NOT(ISNUMBER(G1584))),N(G1584)&lt;0,N(G1584)&lt;&gt;INT(N(G1584)),AND(H1584&lt;&gt;"",NOT(ISNUMBER(H1584))),N(H1584)&lt;0,N(H1584)&lt;&gt;INT(N(H1584)),AND(I1584&lt;&gt;"",NOT(ISNUMBER(I1584))),N(I1584)&lt;0,N(I1584)&lt;&gt;INT(N(I1584))),"Quantité invalide",IF(Q1584&lt;=0,"Cadence manquante (poste ou article)",IF(M1584&lt;=0,"Arrêts planifiés supérieurs au temps d'ouverture",IF(O1584&lt;0,"Arrêts supérieurs au temps requis",IF(AND(P1584&gt;0,O1584=0),"Pièces déclarées sans temps de marche",IF(AND(P1584=0,O1584&gt;0),"Aucune pièce déclarée",IF(P1584*60/Q1584&gt;O1584+0.001,"Cadence dépassée : vérifiez la cadence","OK"))))))))))))))))))</f>
        <v/>
      </c>
      <c r="AC1584">
        <f>IF(OR(AB1584="OK",AB1584="Aucune pièce déclarée",AB1584="Cadence dépassée : vérifiez la cadence"),1,0)</f>
        <v>0.0</v>
      </c>
      <c r="AD1584">
        <f>IF(AND(AC1584=1,A1584&gt;=p_from,A1584&lt;=p_to),1,0)</f>
        <v>0.0</v>
      </c>
      <c r="AE1584">
        <f>IF(AD1584=1,IF(COUNTIFS($A$6:A1584,A1584,$AD$6:AD1584,1)=1,1,0),0)</f>
        <v>0.0</v>
      </c>
      <c r="AF1584" t="str">
        <f>IF(AE1584=1,COUNTIFS(sj_first,1,sj_date,"&lt;"&amp;A1584)+1,"")</f>
        <v/>
      </c>
      <c r="AG1584" t="str">
        <f>IF(AND(AD1584=1,N(W1584)&lt;p_alert),ROUND(W1584,4),"")</f>
        <v/>
      </c>
      <c r="AH1584" t="str">
        <f>IF(AG1584="","",COUNTIF(sj_akey,"&lt;"&amp;AG1584)+COUNTIF($AG$6:AG1584,AG1584))</f>
        <v/>
      </c>
    </row>
    <row r="1585">
      <c r="A1585" s="51" t="n"/>
      <c r="B1585" s="52" t="n"/>
      <c r="C1585" s="52" t="n"/>
      <c r="D1585" s="53" t="n"/>
      <c r="E1585" s="53" t="n"/>
      <c r="F1585" s="54" t="n"/>
      <c r="G1585" s="54" t="n"/>
      <c r="H1585" s="54" t="n"/>
      <c r="I1585" s="54" t="n"/>
      <c r="J1585" s="53" t="n"/>
      <c r="K1585" s="55" t="str">
        <f>IF(COUNTA(A1585:I1585)=0,"",IF(F1585="",IFERROR(INDEX(eq_dur,MATCH(B1585,eq_code,0)),""),F1585))</f>
        <v/>
      </c>
      <c r="L1585" s="55" t="str">
        <f>IF(ISNUMBER(K1585),N(IFERROR(INDEX(eq_pause,MATCH(B1585,eq_code,0)),0))+SUMIFS(st_min,st_date,A1585,st_eq,B1585,st_po,C1585,st_type,"Planifié"),"")</f>
        <v/>
      </c>
      <c r="M1585" s="55" t="str">
        <f>IF(ISNUMBER(K1585),K1585-L1585,"")</f>
        <v/>
      </c>
      <c r="N1585" s="55" t="str">
        <f>IF(ISNUMBER(K1585),SUMIFS(st_min,st_date,A1585,st_eq,B1585,st_po,C1585,st_type,"Non planifié"),"")</f>
        <v/>
      </c>
      <c r="O1585" s="55" t="str">
        <f>IF(ISNUMBER(K1585),M1585-N1585,"")</f>
        <v/>
      </c>
      <c r="P1585" s="55" t="str">
        <f>IF(COUNTA(A1585:I1585)=0,"",N(G1585)+N(H1585)+N(I1585))</f>
        <v/>
      </c>
      <c r="Q1585" s="56" t="str">
        <f>IF(COUNTA(A1585:I1585)=0,"",IF(N(IFERROR(INDEX(art_rate,MATCH(E1585,art_ref,0)),0))&gt;0,N(IFERROR(INDEX(art_rate,MATCH(E1585,art_ref,0)),0)),N(IFERROR(INDEX(po_rate,MATCH(C1585,po_code,0)),0))))</f>
        <v/>
      </c>
      <c r="R1585" s="55" t="str">
        <f>IF(AC1585=1,P1585*60/Q1585,"")</f>
        <v/>
      </c>
      <c r="S1585" s="55" t="str">
        <f>IF(AC1585=1,N(G1585)*60/Q1585,"")</f>
        <v/>
      </c>
      <c r="T1585" s="57" t="str">
        <f>IF(AC1585=1,O1585/M1585,"")</f>
        <v/>
      </c>
      <c r="U1585" s="57" t="str">
        <f>IF(AC1585=1,IF(O1585&gt;0,R1585/O1585,""),"")</f>
        <v/>
      </c>
      <c r="V1585" s="57" t="str">
        <f>IF(AC1585=1,IF(P1585&gt;0,N(G1585)/P1585,""),"")</f>
        <v/>
      </c>
      <c r="W1585" s="57" t="str">
        <f>IF(AC1585=1,S1585/M1585,"")</f>
        <v/>
      </c>
      <c r="X1585" s="57" t="str">
        <f>IF(AC1585=1,S1585/K1585,"")</f>
        <v/>
      </c>
      <c r="Y1585" s="58" t="str">
        <f>IF(W1585="","",IF(W1585&gt;=p_target,"Bon",IF(W1585&gt;=p_alert,"À surveiller","Faible")))</f>
        <v/>
      </c>
      <c r="Z1585" s="58" t="str">
        <f>IF(W1585="","",IF(MIN(IF(T1585="",1,T1585),IF(U1585="",1,U1585),IF(V1585="",1,V1585))&gt;=1,"Aucune",IF(IF(T1585="",1,T1585)&lt;=MIN(IF(U1585="",1,U1585),IF(V1585="",1,V1585)),"Disponibilité",IF(IF(U1585="",1,U1585)&lt;=IF(V1585="",1,V1585),"Performance","Qualité"))))</f>
        <v/>
      </c>
      <c r="AA1585" s="59" t="str">
        <f>IF(AC1585=1,N(H1585)*N(IFERROR(INDEX(art_cost,MATCH(E1585,art_ref,0)),0)),"")</f>
        <v/>
      </c>
      <c r="AB1585" s="58" t="str">
        <f>IF(COUNTA(A1585:I1585)=0,"",IF(N(A1585)&lt;=0,"Date manquante ou invalide",IF(B1585="","Équipe manquante",IF(ISNA(MATCH(B1585,eq_code,0)),"Équipe inconnue",IF(INDEX(eq_check,MATCH(B1585,eq_code,0))&lt;&gt;"OK","Équipe à corriger dans Paramètres",IF(C1585="","Poste manquant",IF(ISNA(MATCH(C1585,po_code,0)),"Poste inconnu",IF(AND(E1585&lt;&gt;"",ISNA(MATCH(E1585,art_ref,0))),"Article inconnu",IF(IF(E1585="",FALSE,INDEX(art_check,MATCH(E1585,art_ref,0))&lt;&gt;"OK"),"Article à corriger (feuille Articles)",IF(COUNTIFS(sj_date,A1585,sj_eq,B1585,sj_po,C1585)&gt;1,"Ligne en double (même jour, équipe et poste)",IF(OR(NOT(ISNUMBER(K1585)),N(K1585)&lt;=0,N(K1585)&gt;1440),"Temps d'ouverture invalide",IF(OR(AND(G1585&lt;&gt;"",NOT(ISNUMBER(G1585))),N(G1585)&lt;0,N(G1585)&lt;&gt;INT(N(G1585)),AND(H1585&lt;&gt;"",NOT(ISNUMBER(H1585))),N(H1585)&lt;0,N(H1585)&lt;&gt;INT(N(H1585)),AND(I1585&lt;&gt;"",NOT(ISNUMBER(I1585))),N(I1585)&lt;0,N(I1585)&lt;&gt;INT(N(I1585))),"Quantité invalide",IF(Q1585&lt;=0,"Cadence manquante (poste ou article)",IF(M1585&lt;=0,"Arrêts planifiés supérieurs au temps d'ouverture",IF(O1585&lt;0,"Arrêts supérieurs au temps requis",IF(AND(P1585&gt;0,O1585=0),"Pièces déclarées sans temps de marche",IF(AND(P1585=0,O1585&gt;0),"Aucune pièce déclarée",IF(P1585*60/Q1585&gt;O1585+0.001,"Cadence dépassée : vérifiez la cadence","OK"))))))))))))))))))</f>
        <v/>
      </c>
      <c r="AC1585">
        <f>IF(OR(AB1585="OK",AB1585="Aucune pièce déclarée",AB1585="Cadence dépassée : vérifiez la cadence"),1,0)</f>
        <v>0.0</v>
      </c>
      <c r="AD1585">
        <f>IF(AND(AC1585=1,A1585&gt;=p_from,A1585&lt;=p_to),1,0)</f>
        <v>0.0</v>
      </c>
      <c r="AE1585">
        <f>IF(AD1585=1,IF(COUNTIFS($A$6:A1585,A1585,$AD$6:AD1585,1)=1,1,0),0)</f>
        <v>0.0</v>
      </c>
      <c r="AF1585" t="str">
        <f>IF(AE1585=1,COUNTIFS(sj_first,1,sj_date,"&lt;"&amp;A1585)+1,"")</f>
        <v/>
      </c>
      <c r="AG1585" t="str">
        <f>IF(AND(AD1585=1,N(W1585)&lt;p_alert),ROUND(W1585,4),"")</f>
        <v/>
      </c>
      <c r="AH1585" t="str">
        <f>IF(AG1585="","",COUNTIF(sj_akey,"&lt;"&amp;AG1585)+COUNTIF($AG$6:AG1585,AG1585))</f>
        <v/>
      </c>
    </row>
    <row r="1586">
      <c r="A1586" s="51" t="n"/>
      <c r="B1586" s="52" t="n"/>
      <c r="C1586" s="52" t="n"/>
      <c r="D1586" s="53" t="n"/>
      <c r="E1586" s="53" t="n"/>
      <c r="F1586" s="54" t="n"/>
      <c r="G1586" s="54" t="n"/>
      <c r="H1586" s="54" t="n"/>
      <c r="I1586" s="54" t="n"/>
      <c r="J1586" s="53" t="n"/>
      <c r="K1586" s="55" t="str">
        <f>IF(COUNTA(A1586:I1586)=0,"",IF(F1586="",IFERROR(INDEX(eq_dur,MATCH(B1586,eq_code,0)),""),F1586))</f>
        <v/>
      </c>
      <c r="L1586" s="55" t="str">
        <f>IF(ISNUMBER(K1586),N(IFERROR(INDEX(eq_pause,MATCH(B1586,eq_code,0)),0))+SUMIFS(st_min,st_date,A1586,st_eq,B1586,st_po,C1586,st_type,"Planifié"),"")</f>
        <v/>
      </c>
      <c r="M1586" s="55" t="str">
        <f>IF(ISNUMBER(K1586),K1586-L1586,"")</f>
        <v/>
      </c>
      <c r="N1586" s="55" t="str">
        <f>IF(ISNUMBER(K1586),SUMIFS(st_min,st_date,A1586,st_eq,B1586,st_po,C1586,st_type,"Non planifié"),"")</f>
        <v/>
      </c>
      <c r="O1586" s="55" t="str">
        <f>IF(ISNUMBER(K1586),M1586-N1586,"")</f>
        <v/>
      </c>
      <c r="P1586" s="55" t="str">
        <f>IF(COUNTA(A1586:I1586)=0,"",N(G1586)+N(H1586)+N(I1586))</f>
        <v/>
      </c>
      <c r="Q1586" s="56" t="str">
        <f>IF(COUNTA(A1586:I1586)=0,"",IF(N(IFERROR(INDEX(art_rate,MATCH(E1586,art_ref,0)),0))&gt;0,N(IFERROR(INDEX(art_rate,MATCH(E1586,art_ref,0)),0)),N(IFERROR(INDEX(po_rate,MATCH(C1586,po_code,0)),0))))</f>
        <v/>
      </c>
      <c r="R1586" s="55" t="str">
        <f>IF(AC1586=1,P1586*60/Q1586,"")</f>
        <v/>
      </c>
      <c r="S1586" s="55" t="str">
        <f>IF(AC1586=1,N(G1586)*60/Q1586,"")</f>
        <v/>
      </c>
      <c r="T1586" s="57" t="str">
        <f>IF(AC1586=1,O1586/M1586,"")</f>
        <v/>
      </c>
      <c r="U1586" s="57" t="str">
        <f>IF(AC1586=1,IF(O1586&gt;0,R1586/O1586,""),"")</f>
        <v/>
      </c>
      <c r="V1586" s="57" t="str">
        <f>IF(AC1586=1,IF(P1586&gt;0,N(G1586)/P1586,""),"")</f>
        <v/>
      </c>
      <c r="W1586" s="57" t="str">
        <f>IF(AC1586=1,S1586/M1586,"")</f>
        <v/>
      </c>
      <c r="X1586" s="57" t="str">
        <f>IF(AC1586=1,S1586/K1586,"")</f>
        <v/>
      </c>
      <c r="Y1586" s="58" t="str">
        <f>IF(W1586="","",IF(W1586&gt;=p_target,"Bon",IF(W1586&gt;=p_alert,"À surveiller","Faible")))</f>
        <v/>
      </c>
      <c r="Z1586" s="58" t="str">
        <f>IF(W1586="","",IF(MIN(IF(T1586="",1,T1586),IF(U1586="",1,U1586),IF(V1586="",1,V1586))&gt;=1,"Aucune",IF(IF(T1586="",1,T1586)&lt;=MIN(IF(U1586="",1,U1586),IF(V1586="",1,V1586)),"Disponibilité",IF(IF(U1586="",1,U1586)&lt;=IF(V1586="",1,V1586),"Performance","Qualité"))))</f>
        <v/>
      </c>
      <c r="AA1586" s="59" t="str">
        <f>IF(AC1586=1,N(H1586)*N(IFERROR(INDEX(art_cost,MATCH(E1586,art_ref,0)),0)),"")</f>
        <v/>
      </c>
      <c r="AB1586" s="58" t="str">
        <f>IF(COUNTA(A1586:I1586)=0,"",IF(N(A1586)&lt;=0,"Date manquante ou invalide",IF(B1586="","Équipe manquante",IF(ISNA(MATCH(B1586,eq_code,0)),"Équipe inconnue",IF(INDEX(eq_check,MATCH(B1586,eq_code,0))&lt;&gt;"OK","Équipe à corriger dans Paramètres",IF(C1586="","Poste manquant",IF(ISNA(MATCH(C1586,po_code,0)),"Poste inconnu",IF(AND(E1586&lt;&gt;"",ISNA(MATCH(E1586,art_ref,0))),"Article inconnu",IF(IF(E1586="",FALSE,INDEX(art_check,MATCH(E1586,art_ref,0))&lt;&gt;"OK"),"Article à corriger (feuille Articles)",IF(COUNTIFS(sj_date,A1586,sj_eq,B1586,sj_po,C1586)&gt;1,"Ligne en double (même jour, équipe et poste)",IF(OR(NOT(ISNUMBER(K1586)),N(K1586)&lt;=0,N(K1586)&gt;1440),"Temps d'ouverture invalide",IF(OR(AND(G1586&lt;&gt;"",NOT(ISNUMBER(G1586))),N(G1586)&lt;0,N(G1586)&lt;&gt;INT(N(G1586)),AND(H1586&lt;&gt;"",NOT(ISNUMBER(H1586))),N(H1586)&lt;0,N(H1586)&lt;&gt;INT(N(H1586)),AND(I1586&lt;&gt;"",NOT(ISNUMBER(I1586))),N(I1586)&lt;0,N(I1586)&lt;&gt;INT(N(I1586))),"Quantité invalide",IF(Q1586&lt;=0,"Cadence manquante (poste ou article)",IF(M1586&lt;=0,"Arrêts planifiés supérieurs au temps d'ouverture",IF(O1586&lt;0,"Arrêts supérieurs au temps requis",IF(AND(P1586&gt;0,O1586=0),"Pièces déclarées sans temps de marche",IF(AND(P1586=0,O1586&gt;0),"Aucune pièce déclarée",IF(P1586*60/Q1586&gt;O1586+0.001,"Cadence dépassée : vérifiez la cadence","OK"))))))))))))))))))</f>
        <v/>
      </c>
      <c r="AC1586">
        <f>IF(OR(AB1586="OK",AB1586="Aucune pièce déclarée",AB1586="Cadence dépassée : vérifiez la cadence"),1,0)</f>
        <v>0.0</v>
      </c>
      <c r="AD1586">
        <f>IF(AND(AC1586=1,A1586&gt;=p_from,A1586&lt;=p_to),1,0)</f>
        <v>0.0</v>
      </c>
      <c r="AE1586">
        <f>IF(AD1586=1,IF(COUNTIFS($A$6:A1586,A1586,$AD$6:AD1586,1)=1,1,0),0)</f>
        <v>0.0</v>
      </c>
      <c r="AF1586" t="str">
        <f>IF(AE1586=1,COUNTIFS(sj_first,1,sj_date,"&lt;"&amp;A1586)+1,"")</f>
        <v/>
      </c>
      <c r="AG1586" t="str">
        <f>IF(AND(AD1586=1,N(W1586)&lt;p_alert),ROUND(W1586,4),"")</f>
        <v/>
      </c>
      <c r="AH1586" t="str">
        <f>IF(AG1586="","",COUNTIF(sj_akey,"&lt;"&amp;AG1586)+COUNTIF($AG$6:AG1586,AG1586))</f>
        <v/>
      </c>
    </row>
    <row r="1587">
      <c r="A1587" s="51" t="n"/>
      <c r="B1587" s="52" t="n"/>
      <c r="C1587" s="52" t="n"/>
      <c r="D1587" s="53" t="n"/>
      <c r="E1587" s="53" t="n"/>
      <c r="F1587" s="54" t="n"/>
      <c r="G1587" s="54" t="n"/>
      <c r="H1587" s="54" t="n"/>
      <c r="I1587" s="54" t="n"/>
      <c r="J1587" s="53" t="n"/>
      <c r="K1587" s="55" t="str">
        <f>IF(COUNTA(A1587:I1587)=0,"",IF(F1587="",IFERROR(INDEX(eq_dur,MATCH(B1587,eq_code,0)),""),F1587))</f>
        <v/>
      </c>
      <c r="L1587" s="55" t="str">
        <f>IF(ISNUMBER(K1587),N(IFERROR(INDEX(eq_pause,MATCH(B1587,eq_code,0)),0))+SUMIFS(st_min,st_date,A1587,st_eq,B1587,st_po,C1587,st_type,"Planifié"),"")</f>
        <v/>
      </c>
      <c r="M1587" s="55" t="str">
        <f>IF(ISNUMBER(K1587),K1587-L1587,"")</f>
        <v/>
      </c>
      <c r="N1587" s="55" t="str">
        <f>IF(ISNUMBER(K1587),SUMIFS(st_min,st_date,A1587,st_eq,B1587,st_po,C1587,st_type,"Non planifié"),"")</f>
        <v/>
      </c>
      <c r="O1587" s="55" t="str">
        <f>IF(ISNUMBER(K1587),M1587-N1587,"")</f>
        <v/>
      </c>
      <c r="P1587" s="55" t="str">
        <f>IF(COUNTA(A1587:I1587)=0,"",N(G1587)+N(H1587)+N(I1587))</f>
        <v/>
      </c>
      <c r="Q1587" s="56" t="str">
        <f>IF(COUNTA(A1587:I1587)=0,"",IF(N(IFERROR(INDEX(art_rate,MATCH(E1587,art_ref,0)),0))&gt;0,N(IFERROR(INDEX(art_rate,MATCH(E1587,art_ref,0)),0)),N(IFERROR(INDEX(po_rate,MATCH(C1587,po_code,0)),0))))</f>
        <v/>
      </c>
      <c r="R1587" s="55" t="str">
        <f>IF(AC1587=1,P1587*60/Q1587,"")</f>
        <v/>
      </c>
      <c r="S1587" s="55" t="str">
        <f>IF(AC1587=1,N(G1587)*60/Q1587,"")</f>
        <v/>
      </c>
      <c r="T1587" s="57" t="str">
        <f>IF(AC1587=1,O1587/M1587,"")</f>
        <v/>
      </c>
      <c r="U1587" s="57" t="str">
        <f>IF(AC1587=1,IF(O1587&gt;0,R1587/O1587,""),"")</f>
        <v/>
      </c>
      <c r="V1587" s="57" t="str">
        <f>IF(AC1587=1,IF(P1587&gt;0,N(G1587)/P1587,""),"")</f>
        <v/>
      </c>
      <c r="W1587" s="57" t="str">
        <f>IF(AC1587=1,S1587/M1587,"")</f>
        <v/>
      </c>
      <c r="X1587" s="57" t="str">
        <f>IF(AC1587=1,S1587/K1587,"")</f>
        <v/>
      </c>
      <c r="Y1587" s="58" t="str">
        <f>IF(W1587="","",IF(W1587&gt;=p_target,"Bon",IF(W1587&gt;=p_alert,"À surveiller","Faible")))</f>
        <v/>
      </c>
      <c r="Z1587" s="58" t="str">
        <f>IF(W1587="","",IF(MIN(IF(T1587="",1,T1587),IF(U1587="",1,U1587),IF(V1587="",1,V1587))&gt;=1,"Aucune",IF(IF(T1587="",1,T1587)&lt;=MIN(IF(U1587="",1,U1587),IF(V1587="",1,V1587)),"Disponibilité",IF(IF(U1587="",1,U1587)&lt;=IF(V1587="",1,V1587),"Performance","Qualité"))))</f>
        <v/>
      </c>
      <c r="AA1587" s="59" t="str">
        <f>IF(AC1587=1,N(H1587)*N(IFERROR(INDEX(art_cost,MATCH(E1587,art_ref,0)),0)),"")</f>
        <v/>
      </c>
      <c r="AB1587" s="58" t="str">
        <f>IF(COUNTA(A1587:I1587)=0,"",IF(N(A1587)&lt;=0,"Date manquante ou invalide",IF(B1587="","Équipe manquante",IF(ISNA(MATCH(B1587,eq_code,0)),"Équipe inconnue",IF(INDEX(eq_check,MATCH(B1587,eq_code,0))&lt;&gt;"OK","Équipe à corriger dans Paramètres",IF(C1587="","Poste manquant",IF(ISNA(MATCH(C1587,po_code,0)),"Poste inconnu",IF(AND(E1587&lt;&gt;"",ISNA(MATCH(E1587,art_ref,0))),"Article inconnu",IF(IF(E1587="",FALSE,INDEX(art_check,MATCH(E1587,art_ref,0))&lt;&gt;"OK"),"Article à corriger (feuille Articles)",IF(COUNTIFS(sj_date,A1587,sj_eq,B1587,sj_po,C1587)&gt;1,"Ligne en double (même jour, équipe et poste)",IF(OR(NOT(ISNUMBER(K1587)),N(K1587)&lt;=0,N(K1587)&gt;1440),"Temps d'ouverture invalide",IF(OR(AND(G1587&lt;&gt;"",NOT(ISNUMBER(G1587))),N(G1587)&lt;0,N(G1587)&lt;&gt;INT(N(G1587)),AND(H1587&lt;&gt;"",NOT(ISNUMBER(H1587))),N(H1587)&lt;0,N(H1587)&lt;&gt;INT(N(H1587)),AND(I1587&lt;&gt;"",NOT(ISNUMBER(I1587))),N(I1587)&lt;0,N(I1587)&lt;&gt;INT(N(I1587))),"Quantité invalide",IF(Q1587&lt;=0,"Cadence manquante (poste ou article)",IF(M1587&lt;=0,"Arrêts planifiés supérieurs au temps d'ouverture",IF(O1587&lt;0,"Arrêts supérieurs au temps requis",IF(AND(P1587&gt;0,O1587=0),"Pièces déclarées sans temps de marche",IF(AND(P1587=0,O1587&gt;0),"Aucune pièce déclarée",IF(P1587*60/Q1587&gt;O1587+0.001,"Cadence dépassée : vérifiez la cadence","OK"))))))))))))))))))</f>
        <v/>
      </c>
      <c r="AC1587">
        <f>IF(OR(AB1587="OK",AB1587="Aucune pièce déclarée",AB1587="Cadence dépassée : vérifiez la cadence"),1,0)</f>
        <v>0.0</v>
      </c>
      <c r="AD1587">
        <f>IF(AND(AC1587=1,A1587&gt;=p_from,A1587&lt;=p_to),1,0)</f>
        <v>0.0</v>
      </c>
      <c r="AE1587">
        <f>IF(AD1587=1,IF(COUNTIFS($A$6:A1587,A1587,$AD$6:AD1587,1)=1,1,0),0)</f>
        <v>0.0</v>
      </c>
      <c r="AF1587" t="str">
        <f>IF(AE1587=1,COUNTIFS(sj_first,1,sj_date,"&lt;"&amp;A1587)+1,"")</f>
        <v/>
      </c>
      <c r="AG1587" t="str">
        <f>IF(AND(AD1587=1,N(W1587)&lt;p_alert),ROUND(W1587,4),"")</f>
        <v/>
      </c>
      <c r="AH1587" t="str">
        <f>IF(AG1587="","",COUNTIF(sj_akey,"&lt;"&amp;AG1587)+COUNTIF($AG$6:AG1587,AG1587))</f>
        <v/>
      </c>
    </row>
    <row r="1588">
      <c r="A1588" s="51" t="n"/>
      <c r="B1588" s="52" t="n"/>
      <c r="C1588" s="52" t="n"/>
      <c r="D1588" s="53" t="n"/>
      <c r="E1588" s="53" t="n"/>
      <c r="F1588" s="54" t="n"/>
      <c r="G1588" s="54" t="n"/>
      <c r="H1588" s="54" t="n"/>
      <c r="I1588" s="54" t="n"/>
      <c r="J1588" s="53" t="n"/>
      <c r="K1588" s="55" t="str">
        <f>IF(COUNTA(A1588:I1588)=0,"",IF(F1588="",IFERROR(INDEX(eq_dur,MATCH(B1588,eq_code,0)),""),F1588))</f>
        <v/>
      </c>
      <c r="L1588" s="55" t="str">
        <f>IF(ISNUMBER(K1588),N(IFERROR(INDEX(eq_pause,MATCH(B1588,eq_code,0)),0))+SUMIFS(st_min,st_date,A1588,st_eq,B1588,st_po,C1588,st_type,"Planifié"),"")</f>
        <v/>
      </c>
      <c r="M1588" s="55" t="str">
        <f>IF(ISNUMBER(K1588),K1588-L1588,"")</f>
        <v/>
      </c>
      <c r="N1588" s="55" t="str">
        <f>IF(ISNUMBER(K1588),SUMIFS(st_min,st_date,A1588,st_eq,B1588,st_po,C1588,st_type,"Non planifié"),"")</f>
        <v/>
      </c>
      <c r="O1588" s="55" t="str">
        <f>IF(ISNUMBER(K1588),M1588-N1588,"")</f>
        <v/>
      </c>
      <c r="P1588" s="55" t="str">
        <f>IF(COUNTA(A1588:I1588)=0,"",N(G1588)+N(H1588)+N(I1588))</f>
        <v/>
      </c>
      <c r="Q1588" s="56" t="str">
        <f>IF(COUNTA(A1588:I1588)=0,"",IF(N(IFERROR(INDEX(art_rate,MATCH(E1588,art_ref,0)),0))&gt;0,N(IFERROR(INDEX(art_rate,MATCH(E1588,art_ref,0)),0)),N(IFERROR(INDEX(po_rate,MATCH(C1588,po_code,0)),0))))</f>
        <v/>
      </c>
      <c r="R1588" s="55" t="str">
        <f>IF(AC1588=1,P1588*60/Q1588,"")</f>
        <v/>
      </c>
      <c r="S1588" s="55" t="str">
        <f>IF(AC1588=1,N(G1588)*60/Q1588,"")</f>
        <v/>
      </c>
      <c r="T1588" s="57" t="str">
        <f>IF(AC1588=1,O1588/M1588,"")</f>
        <v/>
      </c>
      <c r="U1588" s="57" t="str">
        <f>IF(AC1588=1,IF(O1588&gt;0,R1588/O1588,""),"")</f>
        <v/>
      </c>
      <c r="V1588" s="57" t="str">
        <f>IF(AC1588=1,IF(P1588&gt;0,N(G1588)/P1588,""),"")</f>
        <v/>
      </c>
      <c r="W1588" s="57" t="str">
        <f>IF(AC1588=1,S1588/M1588,"")</f>
        <v/>
      </c>
      <c r="X1588" s="57" t="str">
        <f>IF(AC1588=1,S1588/K1588,"")</f>
        <v/>
      </c>
      <c r="Y1588" s="58" t="str">
        <f>IF(W1588="","",IF(W1588&gt;=p_target,"Bon",IF(W1588&gt;=p_alert,"À surveiller","Faible")))</f>
        <v/>
      </c>
      <c r="Z1588" s="58" t="str">
        <f>IF(W1588="","",IF(MIN(IF(T1588="",1,T1588),IF(U1588="",1,U1588),IF(V1588="",1,V1588))&gt;=1,"Aucune",IF(IF(T1588="",1,T1588)&lt;=MIN(IF(U1588="",1,U1588),IF(V1588="",1,V1588)),"Disponibilité",IF(IF(U1588="",1,U1588)&lt;=IF(V1588="",1,V1588),"Performance","Qualité"))))</f>
        <v/>
      </c>
      <c r="AA1588" s="59" t="str">
        <f>IF(AC1588=1,N(H1588)*N(IFERROR(INDEX(art_cost,MATCH(E1588,art_ref,0)),0)),"")</f>
        <v/>
      </c>
      <c r="AB1588" s="58" t="str">
        <f>IF(COUNTA(A1588:I1588)=0,"",IF(N(A1588)&lt;=0,"Date manquante ou invalide",IF(B1588="","Équipe manquante",IF(ISNA(MATCH(B1588,eq_code,0)),"Équipe inconnue",IF(INDEX(eq_check,MATCH(B1588,eq_code,0))&lt;&gt;"OK","Équipe à corriger dans Paramètres",IF(C1588="","Poste manquant",IF(ISNA(MATCH(C1588,po_code,0)),"Poste inconnu",IF(AND(E1588&lt;&gt;"",ISNA(MATCH(E1588,art_ref,0))),"Article inconnu",IF(IF(E1588="",FALSE,INDEX(art_check,MATCH(E1588,art_ref,0))&lt;&gt;"OK"),"Article à corriger (feuille Articles)",IF(COUNTIFS(sj_date,A1588,sj_eq,B1588,sj_po,C1588)&gt;1,"Ligne en double (même jour, équipe et poste)",IF(OR(NOT(ISNUMBER(K1588)),N(K1588)&lt;=0,N(K1588)&gt;1440),"Temps d'ouverture invalide",IF(OR(AND(G1588&lt;&gt;"",NOT(ISNUMBER(G1588))),N(G1588)&lt;0,N(G1588)&lt;&gt;INT(N(G1588)),AND(H1588&lt;&gt;"",NOT(ISNUMBER(H1588))),N(H1588)&lt;0,N(H1588)&lt;&gt;INT(N(H1588)),AND(I1588&lt;&gt;"",NOT(ISNUMBER(I1588))),N(I1588)&lt;0,N(I1588)&lt;&gt;INT(N(I1588))),"Quantité invalide",IF(Q1588&lt;=0,"Cadence manquante (poste ou article)",IF(M1588&lt;=0,"Arrêts planifiés supérieurs au temps d'ouverture",IF(O1588&lt;0,"Arrêts supérieurs au temps requis",IF(AND(P1588&gt;0,O1588=0),"Pièces déclarées sans temps de marche",IF(AND(P1588=0,O1588&gt;0),"Aucune pièce déclarée",IF(P1588*60/Q1588&gt;O1588+0.001,"Cadence dépassée : vérifiez la cadence","OK"))))))))))))))))))</f>
        <v/>
      </c>
      <c r="AC1588">
        <f>IF(OR(AB1588="OK",AB1588="Aucune pièce déclarée",AB1588="Cadence dépassée : vérifiez la cadence"),1,0)</f>
        <v>0.0</v>
      </c>
      <c r="AD1588">
        <f>IF(AND(AC1588=1,A1588&gt;=p_from,A1588&lt;=p_to),1,0)</f>
        <v>0.0</v>
      </c>
      <c r="AE1588">
        <f>IF(AD1588=1,IF(COUNTIFS($A$6:A1588,A1588,$AD$6:AD1588,1)=1,1,0),0)</f>
        <v>0.0</v>
      </c>
      <c r="AF1588" t="str">
        <f>IF(AE1588=1,COUNTIFS(sj_first,1,sj_date,"&lt;"&amp;A1588)+1,"")</f>
        <v/>
      </c>
      <c r="AG1588" t="str">
        <f>IF(AND(AD1588=1,N(W1588)&lt;p_alert),ROUND(W1588,4),"")</f>
        <v/>
      </c>
      <c r="AH1588" t="str">
        <f>IF(AG1588="","",COUNTIF(sj_akey,"&lt;"&amp;AG1588)+COUNTIF($AG$6:AG1588,AG1588))</f>
        <v/>
      </c>
    </row>
    <row r="1589">
      <c r="A1589" s="51" t="n"/>
      <c r="B1589" s="52" t="n"/>
      <c r="C1589" s="52" t="n"/>
      <c r="D1589" s="53" t="n"/>
      <c r="E1589" s="53" t="n"/>
      <c r="F1589" s="54" t="n"/>
      <c r="G1589" s="54" t="n"/>
      <c r="H1589" s="54" t="n"/>
      <c r="I1589" s="54" t="n"/>
      <c r="J1589" s="53" t="n"/>
      <c r="K1589" s="55" t="str">
        <f>IF(COUNTA(A1589:I1589)=0,"",IF(F1589="",IFERROR(INDEX(eq_dur,MATCH(B1589,eq_code,0)),""),F1589))</f>
        <v/>
      </c>
      <c r="L1589" s="55" t="str">
        <f>IF(ISNUMBER(K1589),N(IFERROR(INDEX(eq_pause,MATCH(B1589,eq_code,0)),0))+SUMIFS(st_min,st_date,A1589,st_eq,B1589,st_po,C1589,st_type,"Planifié"),"")</f>
        <v/>
      </c>
      <c r="M1589" s="55" t="str">
        <f>IF(ISNUMBER(K1589),K1589-L1589,"")</f>
        <v/>
      </c>
      <c r="N1589" s="55" t="str">
        <f>IF(ISNUMBER(K1589),SUMIFS(st_min,st_date,A1589,st_eq,B1589,st_po,C1589,st_type,"Non planifié"),"")</f>
        <v/>
      </c>
      <c r="O1589" s="55" t="str">
        <f>IF(ISNUMBER(K1589),M1589-N1589,"")</f>
        <v/>
      </c>
      <c r="P1589" s="55" t="str">
        <f>IF(COUNTA(A1589:I1589)=0,"",N(G1589)+N(H1589)+N(I1589))</f>
        <v/>
      </c>
      <c r="Q1589" s="56" t="str">
        <f>IF(COUNTA(A1589:I1589)=0,"",IF(N(IFERROR(INDEX(art_rate,MATCH(E1589,art_ref,0)),0))&gt;0,N(IFERROR(INDEX(art_rate,MATCH(E1589,art_ref,0)),0)),N(IFERROR(INDEX(po_rate,MATCH(C1589,po_code,0)),0))))</f>
        <v/>
      </c>
      <c r="R1589" s="55" t="str">
        <f>IF(AC1589=1,P1589*60/Q1589,"")</f>
        <v/>
      </c>
      <c r="S1589" s="55" t="str">
        <f>IF(AC1589=1,N(G1589)*60/Q1589,"")</f>
        <v/>
      </c>
      <c r="T1589" s="57" t="str">
        <f>IF(AC1589=1,O1589/M1589,"")</f>
        <v/>
      </c>
      <c r="U1589" s="57" t="str">
        <f>IF(AC1589=1,IF(O1589&gt;0,R1589/O1589,""),"")</f>
        <v/>
      </c>
      <c r="V1589" s="57" t="str">
        <f>IF(AC1589=1,IF(P1589&gt;0,N(G1589)/P1589,""),"")</f>
        <v/>
      </c>
      <c r="W1589" s="57" t="str">
        <f>IF(AC1589=1,S1589/M1589,"")</f>
        <v/>
      </c>
      <c r="X1589" s="57" t="str">
        <f>IF(AC1589=1,S1589/K1589,"")</f>
        <v/>
      </c>
      <c r="Y1589" s="58" t="str">
        <f>IF(W1589="","",IF(W1589&gt;=p_target,"Bon",IF(W1589&gt;=p_alert,"À surveiller","Faible")))</f>
        <v/>
      </c>
      <c r="Z1589" s="58" t="str">
        <f>IF(W1589="","",IF(MIN(IF(T1589="",1,T1589),IF(U1589="",1,U1589),IF(V1589="",1,V1589))&gt;=1,"Aucune",IF(IF(T1589="",1,T1589)&lt;=MIN(IF(U1589="",1,U1589),IF(V1589="",1,V1589)),"Disponibilité",IF(IF(U1589="",1,U1589)&lt;=IF(V1589="",1,V1589),"Performance","Qualité"))))</f>
        <v/>
      </c>
      <c r="AA1589" s="59" t="str">
        <f>IF(AC1589=1,N(H1589)*N(IFERROR(INDEX(art_cost,MATCH(E1589,art_ref,0)),0)),"")</f>
        <v/>
      </c>
      <c r="AB1589" s="58" t="str">
        <f>IF(COUNTA(A1589:I1589)=0,"",IF(N(A1589)&lt;=0,"Date manquante ou invalide",IF(B1589="","Équipe manquante",IF(ISNA(MATCH(B1589,eq_code,0)),"Équipe inconnue",IF(INDEX(eq_check,MATCH(B1589,eq_code,0))&lt;&gt;"OK","Équipe à corriger dans Paramètres",IF(C1589="","Poste manquant",IF(ISNA(MATCH(C1589,po_code,0)),"Poste inconnu",IF(AND(E1589&lt;&gt;"",ISNA(MATCH(E1589,art_ref,0))),"Article inconnu",IF(IF(E1589="",FALSE,INDEX(art_check,MATCH(E1589,art_ref,0))&lt;&gt;"OK"),"Article à corriger (feuille Articles)",IF(COUNTIFS(sj_date,A1589,sj_eq,B1589,sj_po,C1589)&gt;1,"Ligne en double (même jour, équipe et poste)",IF(OR(NOT(ISNUMBER(K1589)),N(K1589)&lt;=0,N(K1589)&gt;1440),"Temps d'ouverture invalide",IF(OR(AND(G1589&lt;&gt;"",NOT(ISNUMBER(G1589))),N(G1589)&lt;0,N(G1589)&lt;&gt;INT(N(G1589)),AND(H1589&lt;&gt;"",NOT(ISNUMBER(H1589))),N(H1589)&lt;0,N(H1589)&lt;&gt;INT(N(H1589)),AND(I1589&lt;&gt;"",NOT(ISNUMBER(I1589))),N(I1589)&lt;0,N(I1589)&lt;&gt;INT(N(I1589))),"Quantité invalide",IF(Q1589&lt;=0,"Cadence manquante (poste ou article)",IF(M1589&lt;=0,"Arrêts planifiés supérieurs au temps d'ouverture",IF(O1589&lt;0,"Arrêts supérieurs au temps requis",IF(AND(P1589&gt;0,O1589=0),"Pièces déclarées sans temps de marche",IF(AND(P1589=0,O1589&gt;0),"Aucune pièce déclarée",IF(P1589*60/Q1589&gt;O1589+0.001,"Cadence dépassée : vérifiez la cadence","OK"))))))))))))))))))</f>
        <v/>
      </c>
      <c r="AC1589">
        <f>IF(OR(AB1589="OK",AB1589="Aucune pièce déclarée",AB1589="Cadence dépassée : vérifiez la cadence"),1,0)</f>
        <v>0.0</v>
      </c>
      <c r="AD1589">
        <f>IF(AND(AC1589=1,A1589&gt;=p_from,A1589&lt;=p_to),1,0)</f>
        <v>0.0</v>
      </c>
      <c r="AE1589">
        <f>IF(AD1589=1,IF(COUNTIFS($A$6:A1589,A1589,$AD$6:AD1589,1)=1,1,0),0)</f>
        <v>0.0</v>
      </c>
      <c r="AF1589" t="str">
        <f>IF(AE1589=1,COUNTIFS(sj_first,1,sj_date,"&lt;"&amp;A1589)+1,"")</f>
        <v/>
      </c>
      <c r="AG1589" t="str">
        <f>IF(AND(AD1589=1,N(W1589)&lt;p_alert),ROUND(W1589,4),"")</f>
        <v/>
      </c>
      <c r="AH1589" t="str">
        <f>IF(AG1589="","",COUNTIF(sj_akey,"&lt;"&amp;AG1589)+COUNTIF($AG$6:AG1589,AG1589))</f>
        <v/>
      </c>
    </row>
    <row r="1590">
      <c r="A1590" s="51" t="n"/>
      <c r="B1590" s="52" t="n"/>
      <c r="C1590" s="52" t="n"/>
      <c r="D1590" s="53" t="n"/>
      <c r="E1590" s="53" t="n"/>
      <c r="F1590" s="54" t="n"/>
      <c r="G1590" s="54" t="n"/>
      <c r="H1590" s="54" t="n"/>
      <c r="I1590" s="54" t="n"/>
      <c r="J1590" s="53" t="n"/>
      <c r="K1590" s="55" t="str">
        <f>IF(COUNTA(A1590:I1590)=0,"",IF(F1590="",IFERROR(INDEX(eq_dur,MATCH(B1590,eq_code,0)),""),F1590))</f>
        <v/>
      </c>
      <c r="L1590" s="55" t="str">
        <f>IF(ISNUMBER(K1590),N(IFERROR(INDEX(eq_pause,MATCH(B1590,eq_code,0)),0))+SUMIFS(st_min,st_date,A1590,st_eq,B1590,st_po,C1590,st_type,"Planifié"),"")</f>
        <v/>
      </c>
      <c r="M1590" s="55" t="str">
        <f>IF(ISNUMBER(K1590),K1590-L1590,"")</f>
        <v/>
      </c>
      <c r="N1590" s="55" t="str">
        <f>IF(ISNUMBER(K1590),SUMIFS(st_min,st_date,A1590,st_eq,B1590,st_po,C1590,st_type,"Non planifié"),"")</f>
        <v/>
      </c>
      <c r="O1590" s="55" t="str">
        <f>IF(ISNUMBER(K1590),M1590-N1590,"")</f>
        <v/>
      </c>
      <c r="P1590" s="55" t="str">
        <f>IF(COUNTA(A1590:I1590)=0,"",N(G1590)+N(H1590)+N(I1590))</f>
        <v/>
      </c>
      <c r="Q1590" s="56" t="str">
        <f>IF(COUNTA(A1590:I1590)=0,"",IF(N(IFERROR(INDEX(art_rate,MATCH(E1590,art_ref,0)),0))&gt;0,N(IFERROR(INDEX(art_rate,MATCH(E1590,art_ref,0)),0)),N(IFERROR(INDEX(po_rate,MATCH(C1590,po_code,0)),0))))</f>
        <v/>
      </c>
      <c r="R1590" s="55" t="str">
        <f>IF(AC1590=1,P1590*60/Q1590,"")</f>
        <v/>
      </c>
      <c r="S1590" s="55" t="str">
        <f>IF(AC1590=1,N(G1590)*60/Q1590,"")</f>
        <v/>
      </c>
      <c r="T1590" s="57" t="str">
        <f>IF(AC1590=1,O1590/M1590,"")</f>
        <v/>
      </c>
      <c r="U1590" s="57" t="str">
        <f>IF(AC1590=1,IF(O1590&gt;0,R1590/O1590,""),"")</f>
        <v/>
      </c>
      <c r="V1590" s="57" t="str">
        <f>IF(AC1590=1,IF(P1590&gt;0,N(G1590)/P1590,""),"")</f>
        <v/>
      </c>
      <c r="W1590" s="57" t="str">
        <f>IF(AC1590=1,S1590/M1590,"")</f>
        <v/>
      </c>
      <c r="X1590" s="57" t="str">
        <f>IF(AC1590=1,S1590/K1590,"")</f>
        <v/>
      </c>
      <c r="Y1590" s="58" t="str">
        <f>IF(W1590="","",IF(W1590&gt;=p_target,"Bon",IF(W1590&gt;=p_alert,"À surveiller","Faible")))</f>
        <v/>
      </c>
      <c r="Z1590" s="58" t="str">
        <f>IF(W1590="","",IF(MIN(IF(T1590="",1,T1590),IF(U1590="",1,U1590),IF(V1590="",1,V1590))&gt;=1,"Aucune",IF(IF(T1590="",1,T1590)&lt;=MIN(IF(U1590="",1,U1590),IF(V1590="",1,V1590)),"Disponibilité",IF(IF(U1590="",1,U1590)&lt;=IF(V1590="",1,V1590),"Performance","Qualité"))))</f>
        <v/>
      </c>
      <c r="AA1590" s="59" t="str">
        <f>IF(AC1590=1,N(H1590)*N(IFERROR(INDEX(art_cost,MATCH(E1590,art_ref,0)),0)),"")</f>
        <v/>
      </c>
      <c r="AB1590" s="58" t="str">
        <f>IF(COUNTA(A1590:I1590)=0,"",IF(N(A1590)&lt;=0,"Date manquante ou invalide",IF(B1590="","Équipe manquante",IF(ISNA(MATCH(B1590,eq_code,0)),"Équipe inconnue",IF(INDEX(eq_check,MATCH(B1590,eq_code,0))&lt;&gt;"OK","Équipe à corriger dans Paramètres",IF(C1590="","Poste manquant",IF(ISNA(MATCH(C1590,po_code,0)),"Poste inconnu",IF(AND(E1590&lt;&gt;"",ISNA(MATCH(E1590,art_ref,0))),"Article inconnu",IF(IF(E1590="",FALSE,INDEX(art_check,MATCH(E1590,art_ref,0))&lt;&gt;"OK"),"Article à corriger (feuille Articles)",IF(COUNTIFS(sj_date,A1590,sj_eq,B1590,sj_po,C1590)&gt;1,"Ligne en double (même jour, équipe et poste)",IF(OR(NOT(ISNUMBER(K1590)),N(K1590)&lt;=0,N(K1590)&gt;1440),"Temps d'ouverture invalide",IF(OR(AND(G1590&lt;&gt;"",NOT(ISNUMBER(G1590))),N(G1590)&lt;0,N(G1590)&lt;&gt;INT(N(G1590)),AND(H1590&lt;&gt;"",NOT(ISNUMBER(H1590))),N(H1590)&lt;0,N(H1590)&lt;&gt;INT(N(H1590)),AND(I1590&lt;&gt;"",NOT(ISNUMBER(I1590))),N(I1590)&lt;0,N(I1590)&lt;&gt;INT(N(I1590))),"Quantité invalide",IF(Q1590&lt;=0,"Cadence manquante (poste ou article)",IF(M1590&lt;=0,"Arrêts planifiés supérieurs au temps d'ouverture",IF(O1590&lt;0,"Arrêts supérieurs au temps requis",IF(AND(P1590&gt;0,O1590=0),"Pièces déclarées sans temps de marche",IF(AND(P1590=0,O1590&gt;0),"Aucune pièce déclarée",IF(P1590*60/Q1590&gt;O1590+0.001,"Cadence dépassée : vérifiez la cadence","OK"))))))))))))))))))</f>
        <v/>
      </c>
      <c r="AC1590">
        <f>IF(OR(AB1590="OK",AB1590="Aucune pièce déclarée",AB1590="Cadence dépassée : vérifiez la cadence"),1,0)</f>
        <v>0.0</v>
      </c>
      <c r="AD1590">
        <f>IF(AND(AC1590=1,A1590&gt;=p_from,A1590&lt;=p_to),1,0)</f>
        <v>0.0</v>
      </c>
      <c r="AE1590">
        <f>IF(AD1590=1,IF(COUNTIFS($A$6:A1590,A1590,$AD$6:AD1590,1)=1,1,0),0)</f>
        <v>0.0</v>
      </c>
      <c r="AF1590" t="str">
        <f>IF(AE1590=1,COUNTIFS(sj_first,1,sj_date,"&lt;"&amp;A1590)+1,"")</f>
        <v/>
      </c>
      <c r="AG1590" t="str">
        <f>IF(AND(AD1590=1,N(W1590)&lt;p_alert),ROUND(W1590,4),"")</f>
        <v/>
      </c>
      <c r="AH1590" t="str">
        <f>IF(AG1590="","",COUNTIF(sj_akey,"&lt;"&amp;AG1590)+COUNTIF($AG$6:AG1590,AG1590))</f>
        <v/>
      </c>
    </row>
    <row r="1591">
      <c r="A1591" s="51" t="n"/>
      <c r="B1591" s="52" t="n"/>
      <c r="C1591" s="52" t="n"/>
      <c r="D1591" s="53" t="n"/>
      <c r="E1591" s="53" t="n"/>
      <c r="F1591" s="54" t="n"/>
      <c r="G1591" s="54" t="n"/>
      <c r="H1591" s="54" t="n"/>
      <c r="I1591" s="54" t="n"/>
      <c r="J1591" s="53" t="n"/>
      <c r="K1591" s="55" t="str">
        <f>IF(COUNTA(A1591:I1591)=0,"",IF(F1591="",IFERROR(INDEX(eq_dur,MATCH(B1591,eq_code,0)),""),F1591))</f>
        <v/>
      </c>
      <c r="L1591" s="55" t="str">
        <f>IF(ISNUMBER(K1591),N(IFERROR(INDEX(eq_pause,MATCH(B1591,eq_code,0)),0))+SUMIFS(st_min,st_date,A1591,st_eq,B1591,st_po,C1591,st_type,"Planifié"),"")</f>
        <v/>
      </c>
      <c r="M1591" s="55" t="str">
        <f>IF(ISNUMBER(K1591),K1591-L1591,"")</f>
        <v/>
      </c>
      <c r="N1591" s="55" t="str">
        <f>IF(ISNUMBER(K1591),SUMIFS(st_min,st_date,A1591,st_eq,B1591,st_po,C1591,st_type,"Non planifié"),"")</f>
        <v/>
      </c>
      <c r="O1591" s="55" t="str">
        <f>IF(ISNUMBER(K1591),M1591-N1591,"")</f>
        <v/>
      </c>
      <c r="P1591" s="55" t="str">
        <f>IF(COUNTA(A1591:I1591)=0,"",N(G1591)+N(H1591)+N(I1591))</f>
        <v/>
      </c>
      <c r="Q1591" s="56" t="str">
        <f>IF(COUNTA(A1591:I1591)=0,"",IF(N(IFERROR(INDEX(art_rate,MATCH(E1591,art_ref,0)),0))&gt;0,N(IFERROR(INDEX(art_rate,MATCH(E1591,art_ref,0)),0)),N(IFERROR(INDEX(po_rate,MATCH(C1591,po_code,0)),0))))</f>
        <v/>
      </c>
      <c r="R1591" s="55" t="str">
        <f>IF(AC1591=1,P1591*60/Q1591,"")</f>
        <v/>
      </c>
      <c r="S1591" s="55" t="str">
        <f>IF(AC1591=1,N(G1591)*60/Q1591,"")</f>
        <v/>
      </c>
      <c r="T1591" s="57" t="str">
        <f>IF(AC1591=1,O1591/M1591,"")</f>
        <v/>
      </c>
      <c r="U1591" s="57" t="str">
        <f>IF(AC1591=1,IF(O1591&gt;0,R1591/O1591,""),"")</f>
        <v/>
      </c>
      <c r="V1591" s="57" t="str">
        <f>IF(AC1591=1,IF(P1591&gt;0,N(G1591)/P1591,""),"")</f>
        <v/>
      </c>
      <c r="W1591" s="57" t="str">
        <f>IF(AC1591=1,S1591/M1591,"")</f>
        <v/>
      </c>
      <c r="X1591" s="57" t="str">
        <f>IF(AC1591=1,S1591/K1591,"")</f>
        <v/>
      </c>
      <c r="Y1591" s="58" t="str">
        <f>IF(W1591="","",IF(W1591&gt;=p_target,"Bon",IF(W1591&gt;=p_alert,"À surveiller","Faible")))</f>
        <v/>
      </c>
      <c r="Z1591" s="58" t="str">
        <f>IF(W1591="","",IF(MIN(IF(T1591="",1,T1591),IF(U1591="",1,U1591),IF(V1591="",1,V1591))&gt;=1,"Aucune",IF(IF(T1591="",1,T1591)&lt;=MIN(IF(U1591="",1,U1591),IF(V1591="",1,V1591)),"Disponibilité",IF(IF(U1591="",1,U1591)&lt;=IF(V1591="",1,V1591),"Performance","Qualité"))))</f>
        <v/>
      </c>
      <c r="AA1591" s="59" t="str">
        <f>IF(AC1591=1,N(H1591)*N(IFERROR(INDEX(art_cost,MATCH(E1591,art_ref,0)),0)),"")</f>
        <v/>
      </c>
      <c r="AB1591" s="58" t="str">
        <f>IF(COUNTA(A1591:I1591)=0,"",IF(N(A1591)&lt;=0,"Date manquante ou invalide",IF(B1591="","Équipe manquante",IF(ISNA(MATCH(B1591,eq_code,0)),"Équipe inconnue",IF(INDEX(eq_check,MATCH(B1591,eq_code,0))&lt;&gt;"OK","Équipe à corriger dans Paramètres",IF(C1591="","Poste manquant",IF(ISNA(MATCH(C1591,po_code,0)),"Poste inconnu",IF(AND(E1591&lt;&gt;"",ISNA(MATCH(E1591,art_ref,0))),"Article inconnu",IF(IF(E1591="",FALSE,INDEX(art_check,MATCH(E1591,art_ref,0))&lt;&gt;"OK"),"Article à corriger (feuille Articles)",IF(COUNTIFS(sj_date,A1591,sj_eq,B1591,sj_po,C1591)&gt;1,"Ligne en double (même jour, équipe et poste)",IF(OR(NOT(ISNUMBER(K1591)),N(K1591)&lt;=0,N(K1591)&gt;1440),"Temps d'ouverture invalide",IF(OR(AND(G1591&lt;&gt;"",NOT(ISNUMBER(G1591))),N(G1591)&lt;0,N(G1591)&lt;&gt;INT(N(G1591)),AND(H1591&lt;&gt;"",NOT(ISNUMBER(H1591))),N(H1591)&lt;0,N(H1591)&lt;&gt;INT(N(H1591)),AND(I1591&lt;&gt;"",NOT(ISNUMBER(I1591))),N(I1591)&lt;0,N(I1591)&lt;&gt;INT(N(I1591))),"Quantité invalide",IF(Q1591&lt;=0,"Cadence manquante (poste ou article)",IF(M1591&lt;=0,"Arrêts planifiés supérieurs au temps d'ouverture",IF(O1591&lt;0,"Arrêts supérieurs au temps requis",IF(AND(P1591&gt;0,O1591=0),"Pièces déclarées sans temps de marche",IF(AND(P1591=0,O1591&gt;0),"Aucune pièce déclarée",IF(P1591*60/Q1591&gt;O1591+0.001,"Cadence dépassée : vérifiez la cadence","OK"))))))))))))))))))</f>
        <v/>
      </c>
      <c r="AC1591">
        <f>IF(OR(AB1591="OK",AB1591="Aucune pièce déclarée",AB1591="Cadence dépassée : vérifiez la cadence"),1,0)</f>
        <v>0.0</v>
      </c>
      <c r="AD1591">
        <f>IF(AND(AC1591=1,A1591&gt;=p_from,A1591&lt;=p_to),1,0)</f>
        <v>0.0</v>
      </c>
      <c r="AE1591">
        <f>IF(AD1591=1,IF(COUNTIFS($A$6:A1591,A1591,$AD$6:AD1591,1)=1,1,0),0)</f>
        <v>0.0</v>
      </c>
      <c r="AF1591" t="str">
        <f>IF(AE1591=1,COUNTIFS(sj_first,1,sj_date,"&lt;"&amp;A1591)+1,"")</f>
        <v/>
      </c>
      <c r="AG1591" t="str">
        <f>IF(AND(AD1591=1,N(W1591)&lt;p_alert),ROUND(W1591,4),"")</f>
        <v/>
      </c>
      <c r="AH1591" t="str">
        <f>IF(AG1591="","",COUNTIF(sj_akey,"&lt;"&amp;AG1591)+COUNTIF($AG$6:AG1591,AG1591))</f>
        <v/>
      </c>
    </row>
    <row r="1592">
      <c r="A1592" s="51" t="n"/>
      <c r="B1592" s="52" t="n"/>
      <c r="C1592" s="52" t="n"/>
      <c r="D1592" s="53" t="n"/>
      <c r="E1592" s="53" t="n"/>
      <c r="F1592" s="54" t="n"/>
      <c r="G1592" s="54" t="n"/>
      <c r="H1592" s="54" t="n"/>
      <c r="I1592" s="54" t="n"/>
      <c r="J1592" s="53" t="n"/>
      <c r="K1592" s="55" t="str">
        <f>IF(COUNTA(A1592:I1592)=0,"",IF(F1592="",IFERROR(INDEX(eq_dur,MATCH(B1592,eq_code,0)),""),F1592))</f>
        <v/>
      </c>
      <c r="L1592" s="55" t="str">
        <f>IF(ISNUMBER(K1592),N(IFERROR(INDEX(eq_pause,MATCH(B1592,eq_code,0)),0))+SUMIFS(st_min,st_date,A1592,st_eq,B1592,st_po,C1592,st_type,"Planifié"),"")</f>
        <v/>
      </c>
      <c r="M1592" s="55" t="str">
        <f>IF(ISNUMBER(K1592),K1592-L1592,"")</f>
        <v/>
      </c>
      <c r="N1592" s="55" t="str">
        <f>IF(ISNUMBER(K1592),SUMIFS(st_min,st_date,A1592,st_eq,B1592,st_po,C1592,st_type,"Non planifié"),"")</f>
        <v/>
      </c>
      <c r="O1592" s="55" t="str">
        <f>IF(ISNUMBER(K1592),M1592-N1592,"")</f>
        <v/>
      </c>
      <c r="P1592" s="55" t="str">
        <f>IF(COUNTA(A1592:I1592)=0,"",N(G1592)+N(H1592)+N(I1592))</f>
        <v/>
      </c>
      <c r="Q1592" s="56" t="str">
        <f>IF(COUNTA(A1592:I1592)=0,"",IF(N(IFERROR(INDEX(art_rate,MATCH(E1592,art_ref,0)),0))&gt;0,N(IFERROR(INDEX(art_rate,MATCH(E1592,art_ref,0)),0)),N(IFERROR(INDEX(po_rate,MATCH(C1592,po_code,0)),0))))</f>
        <v/>
      </c>
      <c r="R1592" s="55" t="str">
        <f>IF(AC1592=1,P1592*60/Q1592,"")</f>
        <v/>
      </c>
      <c r="S1592" s="55" t="str">
        <f>IF(AC1592=1,N(G1592)*60/Q1592,"")</f>
        <v/>
      </c>
      <c r="T1592" s="57" t="str">
        <f>IF(AC1592=1,O1592/M1592,"")</f>
        <v/>
      </c>
      <c r="U1592" s="57" t="str">
        <f>IF(AC1592=1,IF(O1592&gt;0,R1592/O1592,""),"")</f>
        <v/>
      </c>
      <c r="V1592" s="57" t="str">
        <f>IF(AC1592=1,IF(P1592&gt;0,N(G1592)/P1592,""),"")</f>
        <v/>
      </c>
      <c r="W1592" s="57" t="str">
        <f>IF(AC1592=1,S1592/M1592,"")</f>
        <v/>
      </c>
      <c r="X1592" s="57" t="str">
        <f>IF(AC1592=1,S1592/K1592,"")</f>
        <v/>
      </c>
      <c r="Y1592" s="58" t="str">
        <f>IF(W1592="","",IF(W1592&gt;=p_target,"Bon",IF(W1592&gt;=p_alert,"À surveiller","Faible")))</f>
        <v/>
      </c>
      <c r="Z1592" s="58" t="str">
        <f>IF(W1592="","",IF(MIN(IF(T1592="",1,T1592),IF(U1592="",1,U1592),IF(V1592="",1,V1592))&gt;=1,"Aucune",IF(IF(T1592="",1,T1592)&lt;=MIN(IF(U1592="",1,U1592),IF(V1592="",1,V1592)),"Disponibilité",IF(IF(U1592="",1,U1592)&lt;=IF(V1592="",1,V1592),"Performance","Qualité"))))</f>
        <v/>
      </c>
      <c r="AA1592" s="59" t="str">
        <f>IF(AC1592=1,N(H1592)*N(IFERROR(INDEX(art_cost,MATCH(E1592,art_ref,0)),0)),"")</f>
        <v/>
      </c>
      <c r="AB1592" s="58" t="str">
        <f>IF(COUNTA(A1592:I1592)=0,"",IF(N(A1592)&lt;=0,"Date manquante ou invalide",IF(B1592="","Équipe manquante",IF(ISNA(MATCH(B1592,eq_code,0)),"Équipe inconnue",IF(INDEX(eq_check,MATCH(B1592,eq_code,0))&lt;&gt;"OK","Équipe à corriger dans Paramètres",IF(C1592="","Poste manquant",IF(ISNA(MATCH(C1592,po_code,0)),"Poste inconnu",IF(AND(E1592&lt;&gt;"",ISNA(MATCH(E1592,art_ref,0))),"Article inconnu",IF(IF(E1592="",FALSE,INDEX(art_check,MATCH(E1592,art_ref,0))&lt;&gt;"OK"),"Article à corriger (feuille Articles)",IF(COUNTIFS(sj_date,A1592,sj_eq,B1592,sj_po,C1592)&gt;1,"Ligne en double (même jour, équipe et poste)",IF(OR(NOT(ISNUMBER(K1592)),N(K1592)&lt;=0,N(K1592)&gt;1440),"Temps d'ouverture invalide",IF(OR(AND(G1592&lt;&gt;"",NOT(ISNUMBER(G1592))),N(G1592)&lt;0,N(G1592)&lt;&gt;INT(N(G1592)),AND(H1592&lt;&gt;"",NOT(ISNUMBER(H1592))),N(H1592)&lt;0,N(H1592)&lt;&gt;INT(N(H1592)),AND(I1592&lt;&gt;"",NOT(ISNUMBER(I1592))),N(I1592)&lt;0,N(I1592)&lt;&gt;INT(N(I1592))),"Quantité invalide",IF(Q1592&lt;=0,"Cadence manquante (poste ou article)",IF(M1592&lt;=0,"Arrêts planifiés supérieurs au temps d'ouverture",IF(O1592&lt;0,"Arrêts supérieurs au temps requis",IF(AND(P1592&gt;0,O1592=0),"Pièces déclarées sans temps de marche",IF(AND(P1592=0,O1592&gt;0),"Aucune pièce déclarée",IF(P1592*60/Q1592&gt;O1592+0.001,"Cadence dépassée : vérifiez la cadence","OK"))))))))))))))))))</f>
        <v/>
      </c>
      <c r="AC1592">
        <f>IF(OR(AB1592="OK",AB1592="Aucune pièce déclarée",AB1592="Cadence dépassée : vérifiez la cadence"),1,0)</f>
        <v>0.0</v>
      </c>
      <c r="AD1592">
        <f>IF(AND(AC1592=1,A1592&gt;=p_from,A1592&lt;=p_to),1,0)</f>
        <v>0.0</v>
      </c>
      <c r="AE1592">
        <f>IF(AD1592=1,IF(COUNTIFS($A$6:A1592,A1592,$AD$6:AD1592,1)=1,1,0),0)</f>
        <v>0.0</v>
      </c>
      <c r="AF1592" t="str">
        <f>IF(AE1592=1,COUNTIFS(sj_first,1,sj_date,"&lt;"&amp;A1592)+1,"")</f>
        <v/>
      </c>
      <c r="AG1592" t="str">
        <f>IF(AND(AD1592=1,N(W1592)&lt;p_alert),ROUND(W1592,4),"")</f>
        <v/>
      </c>
      <c r="AH1592" t="str">
        <f>IF(AG1592="","",COUNTIF(sj_akey,"&lt;"&amp;AG1592)+COUNTIF($AG$6:AG1592,AG1592))</f>
        <v/>
      </c>
    </row>
    <row r="1593">
      <c r="A1593" s="51" t="n"/>
      <c r="B1593" s="52" t="n"/>
      <c r="C1593" s="52" t="n"/>
      <c r="D1593" s="53" t="n"/>
      <c r="E1593" s="53" t="n"/>
      <c r="F1593" s="54" t="n"/>
      <c r="G1593" s="54" t="n"/>
      <c r="H1593" s="54" t="n"/>
      <c r="I1593" s="54" t="n"/>
      <c r="J1593" s="53" t="n"/>
      <c r="K1593" s="55" t="str">
        <f>IF(COUNTA(A1593:I1593)=0,"",IF(F1593="",IFERROR(INDEX(eq_dur,MATCH(B1593,eq_code,0)),""),F1593))</f>
        <v/>
      </c>
      <c r="L1593" s="55" t="str">
        <f>IF(ISNUMBER(K1593),N(IFERROR(INDEX(eq_pause,MATCH(B1593,eq_code,0)),0))+SUMIFS(st_min,st_date,A1593,st_eq,B1593,st_po,C1593,st_type,"Planifié"),"")</f>
        <v/>
      </c>
      <c r="M1593" s="55" t="str">
        <f>IF(ISNUMBER(K1593),K1593-L1593,"")</f>
        <v/>
      </c>
      <c r="N1593" s="55" t="str">
        <f>IF(ISNUMBER(K1593),SUMIFS(st_min,st_date,A1593,st_eq,B1593,st_po,C1593,st_type,"Non planifié"),"")</f>
        <v/>
      </c>
      <c r="O1593" s="55" t="str">
        <f>IF(ISNUMBER(K1593),M1593-N1593,"")</f>
        <v/>
      </c>
      <c r="P1593" s="55" t="str">
        <f>IF(COUNTA(A1593:I1593)=0,"",N(G1593)+N(H1593)+N(I1593))</f>
        <v/>
      </c>
      <c r="Q1593" s="56" t="str">
        <f>IF(COUNTA(A1593:I1593)=0,"",IF(N(IFERROR(INDEX(art_rate,MATCH(E1593,art_ref,0)),0))&gt;0,N(IFERROR(INDEX(art_rate,MATCH(E1593,art_ref,0)),0)),N(IFERROR(INDEX(po_rate,MATCH(C1593,po_code,0)),0))))</f>
        <v/>
      </c>
      <c r="R1593" s="55" t="str">
        <f>IF(AC1593=1,P1593*60/Q1593,"")</f>
        <v/>
      </c>
      <c r="S1593" s="55" t="str">
        <f>IF(AC1593=1,N(G1593)*60/Q1593,"")</f>
        <v/>
      </c>
      <c r="T1593" s="57" t="str">
        <f>IF(AC1593=1,O1593/M1593,"")</f>
        <v/>
      </c>
      <c r="U1593" s="57" t="str">
        <f>IF(AC1593=1,IF(O1593&gt;0,R1593/O1593,""),"")</f>
        <v/>
      </c>
      <c r="V1593" s="57" t="str">
        <f>IF(AC1593=1,IF(P1593&gt;0,N(G1593)/P1593,""),"")</f>
        <v/>
      </c>
      <c r="W1593" s="57" t="str">
        <f>IF(AC1593=1,S1593/M1593,"")</f>
        <v/>
      </c>
      <c r="X1593" s="57" t="str">
        <f>IF(AC1593=1,S1593/K1593,"")</f>
        <v/>
      </c>
      <c r="Y1593" s="58" t="str">
        <f>IF(W1593="","",IF(W1593&gt;=p_target,"Bon",IF(W1593&gt;=p_alert,"À surveiller","Faible")))</f>
        <v/>
      </c>
      <c r="Z1593" s="58" t="str">
        <f>IF(W1593="","",IF(MIN(IF(T1593="",1,T1593),IF(U1593="",1,U1593),IF(V1593="",1,V1593))&gt;=1,"Aucune",IF(IF(T1593="",1,T1593)&lt;=MIN(IF(U1593="",1,U1593),IF(V1593="",1,V1593)),"Disponibilité",IF(IF(U1593="",1,U1593)&lt;=IF(V1593="",1,V1593),"Performance","Qualité"))))</f>
        <v/>
      </c>
      <c r="AA1593" s="59" t="str">
        <f>IF(AC1593=1,N(H1593)*N(IFERROR(INDEX(art_cost,MATCH(E1593,art_ref,0)),0)),"")</f>
        <v/>
      </c>
      <c r="AB1593" s="58" t="str">
        <f>IF(COUNTA(A1593:I1593)=0,"",IF(N(A1593)&lt;=0,"Date manquante ou invalide",IF(B1593="","Équipe manquante",IF(ISNA(MATCH(B1593,eq_code,0)),"Équipe inconnue",IF(INDEX(eq_check,MATCH(B1593,eq_code,0))&lt;&gt;"OK","Équipe à corriger dans Paramètres",IF(C1593="","Poste manquant",IF(ISNA(MATCH(C1593,po_code,0)),"Poste inconnu",IF(AND(E1593&lt;&gt;"",ISNA(MATCH(E1593,art_ref,0))),"Article inconnu",IF(IF(E1593="",FALSE,INDEX(art_check,MATCH(E1593,art_ref,0))&lt;&gt;"OK"),"Article à corriger (feuille Articles)",IF(COUNTIFS(sj_date,A1593,sj_eq,B1593,sj_po,C1593)&gt;1,"Ligne en double (même jour, équipe et poste)",IF(OR(NOT(ISNUMBER(K1593)),N(K1593)&lt;=0,N(K1593)&gt;1440),"Temps d'ouverture invalide",IF(OR(AND(G1593&lt;&gt;"",NOT(ISNUMBER(G1593))),N(G1593)&lt;0,N(G1593)&lt;&gt;INT(N(G1593)),AND(H1593&lt;&gt;"",NOT(ISNUMBER(H1593))),N(H1593)&lt;0,N(H1593)&lt;&gt;INT(N(H1593)),AND(I1593&lt;&gt;"",NOT(ISNUMBER(I1593))),N(I1593)&lt;0,N(I1593)&lt;&gt;INT(N(I1593))),"Quantité invalide",IF(Q1593&lt;=0,"Cadence manquante (poste ou article)",IF(M1593&lt;=0,"Arrêts planifiés supérieurs au temps d'ouverture",IF(O1593&lt;0,"Arrêts supérieurs au temps requis",IF(AND(P1593&gt;0,O1593=0),"Pièces déclarées sans temps de marche",IF(AND(P1593=0,O1593&gt;0),"Aucune pièce déclarée",IF(P1593*60/Q1593&gt;O1593+0.001,"Cadence dépassée : vérifiez la cadence","OK"))))))))))))))))))</f>
        <v/>
      </c>
      <c r="AC1593">
        <f>IF(OR(AB1593="OK",AB1593="Aucune pièce déclarée",AB1593="Cadence dépassée : vérifiez la cadence"),1,0)</f>
        <v>0.0</v>
      </c>
      <c r="AD1593">
        <f>IF(AND(AC1593=1,A1593&gt;=p_from,A1593&lt;=p_to),1,0)</f>
        <v>0.0</v>
      </c>
      <c r="AE1593">
        <f>IF(AD1593=1,IF(COUNTIFS($A$6:A1593,A1593,$AD$6:AD1593,1)=1,1,0),0)</f>
        <v>0.0</v>
      </c>
      <c r="AF1593" t="str">
        <f>IF(AE1593=1,COUNTIFS(sj_first,1,sj_date,"&lt;"&amp;A1593)+1,"")</f>
        <v/>
      </c>
      <c r="AG1593" t="str">
        <f>IF(AND(AD1593=1,N(W1593)&lt;p_alert),ROUND(W1593,4),"")</f>
        <v/>
      </c>
      <c r="AH1593" t="str">
        <f>IF(AG1593="","",COUNTIF(sj_akey,"&lt;"&amp;AG1593)+COUNTIF($AG$6:AG1593,AG1593))</f>
        <v/>
      </c>
    </row>
    <row r="1594">
      <c r="A1594" s="51" t="n"/>
      <c r="B1594" s="52" t="n"/>
      <c r="C1594" s="52" t="n"/>
      <c r="D1594" s="53" t="n"/>
      <c r="E1594" s="53" t="n"/>
      <c r="F1594" s="54" t="n"/>
      <c r="G1594" s="54" t="n"/>
      <c r="H1594" s="54" t="n"/>
      <c r="I1594" s="54" t="n"/>
      <c r="J1594" s="53" t="n"/>
      <c r="K1594" s="55" t="str">
        <f>IF(COUNTA(A1594:I1594)=0,"",IF(F1594="",IFERROR(INDEX(eq_dur,MATCH(B1594,eq_code,0)),""),F1594))</f>
        <v/>
      </c>
      <c r="L1594" s="55" t="str">
        <f>IF(ISNUMBER(K1594),N(IFERROR(INDEX(eq_pause,MATCH(B1594,eq_code,0)),0))+SUMIFS(st_min,st_date,A1594,st_eq,B1594,st_po,C1594,st_type,"Planifié"),"")</f>
        <v/>
      </c>
      <c r="M1594" s="55" t="str">
        <f>IF(ISNUMBER(K1594),K1594-L1594,"")</f>
        <v/>
      </c>
      <c r="N1594" s="55" t="str">
        <f>IF(ISNUMBER(K1594),SUMIFS(st_min,st_date,A1594,st_eq,B1594,st_po,C1594,st_type,"Non planifié"),"")</f>
        <v/>
      </c>
      <c r="O1594" s="55" t="str">
        <f>IF(ISNUMBER(K1594),M1594-N1594,"")</f>
        <v/>
      </c>
      <c r="P1594" s="55" t="str">
        <f>IF(COUNTA(A1594:I1594)=0,"",N(G1594)+N(H1594)+N(I1594))</f>
        <v/>
      </c>
      <c r="Q1594" s="56" t="str">
        <f>IF(COUNTA(A1594:I1594)=0,"",IF(N(IFERROR(INDEX(art_rate,MATCH(E1594,art_ref,0)),0))&gt;0,N(IFERROR(INDEX(art_rate,MATCH(E1594,art_ref,0)),0)),N(IFERROR(INDEX(po_rate,MATCH(C1594,po_code,0)),0))))</f>
        <v/>
      </c>
      <c r="R1594" s="55" t="str">
        <f>IF(AC1594=1,P1594*60/Q1594,"")</f>
        <v/>
      </c>
      <c r="S1594" s="55" t="str">
        <f>IF(AC1594=1,N(G1594)*60/Q1594,"")</f>
        <v/>
      </c>
      <c r="T1594" s="57" t="str">
        <f>IF(AC1594=1,O1594/M1594,"")</f>
        <v/>
      </c>
      <c r="U1594" s="57" t="str">
        <f>IF(AC1594=1,IF(O1594&gt;0,R1594/O1594,""),"")</f>
        <v/>
      </c>
      <c r="V1594" s="57" t="str">
        <f>IF(AC1594=1,IF(P1594&gt;0,N(G1594)/P1594,""),"")</f>
        <v/>
      </c>
      <c r="W1594" s="57" t="str">
        <f>IF(AC1594=1,S1594/M1594,"")</f>
        <v/>
      </c>
      <c r="X1594" s="57" t="str">
        <f>IF(AC1594=1,S1594/K1594,"")</f>
        <v/>
      </c>
      <c r="Y1594" s="58" t="str">
        <f>IF(W1594="","",IF(W1594&gt;=p_target,"Bon",IF(W1594&gt;=p_alert,"À surveiller","Faible")))</f>
        <v/>
      </c>
      <c r="Z1594" s="58" t="str">
        <f>IF(W1594="","",IF(MIN(IF(T1594="",1,T1594),IF(U1594="",1,U1594),IF(V1594="",1,V1594))&gt;=1,"Aucune",IF(IF(T1594="",1,T1594)&lt;=MIN(IF(U1594="",1,U1594),IF(V1594="",1,V1594)),"Disponibilité",IF(IF(U1594="",1,U1594)&lt;=IF(V1594="",1,V1594),"Performance","Qualité"))))</f>
        <v/>
      </c>
      <c r="AA1594" s="59" t="str">
        <f>IF(AC1594=1,N(H1594)*N(IFERROR(INDEX(art_cost,MATCH(E1594,art_ref,0)),0)),"")</f>
        <v/>
      </c>
      <c r="AB1594" s="58" t="str">
        <f>IF(COUNTA(A1594:I1594)=0,"",IF(N(A1594)&lt;=0,"Date manquante ou invalide",IF(B1594="","Équipe manquante",IF(ISNA(MATCH(B1594,eq_code,0)),"Équipe inconnue",IF(INDEX(eq_check,MATCH(B1594,eq_code,0))&lt;&gt;"OK","Équipe à corriger dans Paramètres",IF(C1594="","Poste manquant",IF(ISNA(MATCH(C1594,po_code,0)),"Poste inconnu",IF(AND(E1594&lt;&gt;"",ISNA(MATCH(E1594,art_ref,0))),"Article inconnu",IF(IF(E1594="",FALSE,INDEX(art_check,MATCH(E1594,art_ref,0))&lt;&gt;"OK"),"Article à corriger (feuille Articles)",IF(COUNTIFS(sj_date,A1594,sj_eq,B1594,sj_po,C1594)&gt;1,"Ligne en double (même jour, équipe et poste)",IF(OR(NOT(ISNUMBER(K1594)),N(K1594)&lt;=0,N(K1594)&gt;1440),"Temps d'ouverture invalide",IF(OR(AND(G1594&lt;&gt;"",NOT(ISNUMBER(G1594))),N(G1594)&lt;0,N(G1594)&lt;&gt;INT(N(G1594)),AND(H1594&lt;&gt;"",NOT(ISNUMBER(H1594))),N(H1594)&lt;0,N(H1594)&lt;&gt;INT(N(H1594)),AND(I1594&lt;&gt;"",NOT(ISNUMBER(I1594))),N(I1594)&lt;0,N(I1594)&lt;&gt;INT(N(I1594))),"Quantité invalide",IF(Q1594&lt;=0,"Cadence manquante (poste ou article)",IF(M1594&lt;=0,"Arrêts planifiés supérieurs au temps d'ouverture",IF(O1594&lt;0,"Arrêts supérieurs au temps requis",IF(AND(P1594&gt;0,O1594=0),"Pièces déclarées sans temps de marche",IF(AND(P1594=0,O1594&gt;0),"Aucune pièce déclarée",IF(P1594*60/Q1594&gt;O1594+0.001,"Cadence dépassée : vérifiez la cadence","OK"))))))))))))))))))</f>
        <v/>
      </c>
      <c r="AC1594">
        <f>IF(OR(AB1594="OK",AB1594="Aucune pièce déclarée",AB1594="Cadence dépassée : vérifiez la cadence"),1,0)</f>
        <v>0.0</v>
      </c>
      <c r="AD1594">
        <f>IF(AND(AC1594=1,A1594&gt;=p_from,A1594&lt;=p_to),1,0)</f>
        <v>0.0</v>
      </c>
      <c r="AE1594">
        <f>IF(AD1594=1,IF(COUNTIFS($A$6:A1594,A1594,$AD$6:AD1594,1)=1,1,0),0)</f>
        <v>0.0</v>
      </c>
      <c r="AF1594" t="str">
        <f>IF(AE1594=1,COUNTIFS(sj_first,1,sj_date,"&lt;"&amp;A1594)+1,"")</f>
        <v/>
      </c>
      <c r="AG1594" t="str">
        <f>IF(AND(AD1594=1,N(W1594)&lt;p_alert),ROUND(W1594,4),"")</f>
        <v/>
      </c>
      <c r="AH1594" t="str">
        <f>IF(AG1594="","",COUNTIF(sj_akey,"&lt;"&amp;AG1594)+COUNTIF($AG$6:AG1594,AG1594))</f>
        <v/>
      </c>
    </row>
    <row r="1595">
      <c r="A1595" s="51" t="n"/>
      <c r="B1595" s="52" t="n"/>
      <c r="C1595" s="52" t="n"/>
      <c r="D1595" s="53" t="n"/>
      <c r="E1595" s="53" t="n"/>
      <c r="F1595" s="54" t="n"/>
      <c r="G1595" s="54" t="n"/>
      <c r="H1595" s="54" t="n"/>
      <c r="I1595" s="54" t="n"/>
      <c r="J1595" s="53" t="n"/>
      <c r="K1595" s="55" t="str">
        <f>IF(COUNTA(A1595:I1595)=0,"",IF(F1595="",IFERROR(INDEX(eq_dur,MATCH(B1595,eq_code,0)),""),F1595))</f>
        <v/>
      </c>
      <c r="L1595" s="55" t="str">
        <f>IF(ISNUMBER(K1595),N(IFERROR(INDEX(eq_pause,MATCH(B1595,eq_code,0)),0))+SUMIFS(st_min,st_date,A1595,st_eq,B1595,st_po,C1595,st_type,"Planifié"),"")</f>
        <v/>
      </c>
      <c r="M1595" s="55" t="str">
        <f>IF(ISNUMBER(K1595),K1595-L1595,"")</f>
        <v/>
      </c>
      <c r="N1595" s="55" t="str">
        <f>IF(ISNUMBER(K1595),SUMIFS(st_min,st_date,A1595,st_eq,B1595,st_po,C1595,st_type,"Non planifié"),"")</f>
        <v/>
      </c>
      <c r="O1595" s="55" t="str">
        <f>IF(ISNUMBER(K1595),M1595-N1595,"")</f>
        <v/>
      </c>
      <c r="P1595" s="55" t="str">
        <f>IF(COUNTA(A1595:I1595)=0,"",N(G1595)+N(H1595)+N(I1595))</f>
        <v/>
      </c>
      <c r="Q1595" s="56" t="str">
        <f>IF(COUNTA(A1595:I1595)=0,"",IF(N(IFERROR(INDEX(art_rate,MATCH(E1595,art_ref,0)),0))&gt;0,N(IFERROR(INDEX(art_rate,MATCH(E1595,art_ref,0)),0)),N(IFERROR(INDEX(po_rate,MATCH(C1595,po_code,0)),0))))</f>
        <v/>
      </c>
      <c r="R1595" s="55" t="str">
        <f>IF(AC1595=1,P1595*60/Q1595,"")</f>
        <v/>
      </c>
      <c r="S1595" s="55" t="str">
        <f>IF(AC1595=1,N(G1595)*60/Q1595,"")</f>
        <v/>
      </c>
      <c r="T1595" s="57" t="str">
        <f>IF(AC1595=1,O1595/M1595,"")</f>
        <v/>
      </c>
      <c r="U1595" s="57" t="str">
        <f>IF(AC1595=1,IF(O1595&gt;0,R1595/O1595,""),"")</f>
        <v/>
      </c>
      <c r="V1595" s="57" t="str">
        <f>IF(AC1595=1,IF(P1595&gt;0,N(G1595)/P1595,""),"")</f>
        <v/>
      </c>
      <c r="W1595" s="57" t="str">
        <f>IF(AC1595=1,S1595/M1595,"")</f>
        <v/>
      </c>
      <c r="X1595" s="57" t="str">
        <f>IF(AC1595=1,S1595/K1595,"")</f>
        <v/>
      </c>
      <c r="Y1595" s="58" t="str">
        <f>IF(W1595="","",IF(W1595&gt;=p_target,"Bon",IF(W1595&gt;=p_alert,"À surveiller","Faible")))</f>
        <v/>
      </c>
      <c r="Z1595" s="58" t="str">
        <f>IF(W1595="","",IF(MIN(IF(T1595="",1,T1595),IF(U1595="",1,U1595),IF(V1595="",1,V1595))&gt;=1,"Aucune",IF(IF(T1595="",1,T1595)&lt;=MIN(IF(U1595="",1,U1595),IF(V1595="",1,V1595)),"Disponibilité",IF(IF(U1595="",1,U1595)&lt;=IF(V1595="",1,V1595),"Performance","Qualité"))))</f>
        <v/>
      </c>
      <c r="AA1595" s="59" t="str">
        <f>IF(AC1595=1,N(H1595)*N(IFERROR(INDEX(art_cost,MATCH(E1595,art_ref,0)),0)),"")</f>
        <v/>
      </c>
      <c r="AB1595" s="58" t="str">
        <f>IF(COUNTA(A1595:I1595)=0,"",IF(N(A1595)&lt;=0,"Date manquante ou invalide",IF(B1595="","Équipe manquante",IF(ISNA(MATCH(B1595,eq_code,0)),"Équipe inconnue",IF(INDEX(eq_check,MATCH(B1595,eq_code,0))&lt;&gt;"OK","Équipe à corriger dans Paramètres",IF(C1595="","Poste manquant",IF(ISNA(MATCH(C1595,po_code,0)),"Poste inconnu",IF(AND(E1595&lt;&gt;"",ISNA(MATCH(E1595,art_ref,0))),"Article inconnu",IF(IF(E1595="",FALSE,INDEX(art_check,MATCH(E1595,art_ref,0))&lt;&gt;"OK"),"Article à corriger (feuille Articles)",IF(COUNTIFS(sj_date,A1595,sj_eq,B1595,sj_po,C1595)&gt;1,"Ligne en double (même jour, équipe et poste)",IF(OR(NOT(ISNUMBER(K1595)),N(K1595)&lt;=0,N(K1595)&gt;1440),"Temps d'ouverture invalide",IF(OR(AND(G1595&lt;&gt;"",NOT(ISNUMBER(G1595))),N(G1595)&lt;0,N(G1595)&lt;&gt;INT(N(G1595)),AND(H1595&lt;&gt;"",NOT(ISNUMBER(H1595))),N(H1595)&lt;0,N(H1595)&lt;&gt;INT(N(H1595)),AND(I1595&lt;&gt;"",NOT(ISNUMBER(I1595))),N(I1595)&lt;0,N(I1595)&lt;&gt;INT(N(I1595))),"Quantité invalide",IF(Q1595&lt;=0,"Cadence manquante (poste ou article)",IF(M1595&lt;=0,"Arrêts planifiés supérieurs au temps d'ouverture",IF(O1595&lt;0,"Arrêts supérieurs au temps requis",IF(AND(P1595&gt;0,O1595=0),"Pièces déclarées sans temps de marche",IF(AND(P1595=0,O1595&gt;0),"Aucune pièce déclarée",IF(P1595*60/Q1595&gt;O1595+0.001,"Cadence dépassée : vérifiez la cadence","OK"))))))))))))))))))</f>
        <v/>
      </c>
      <c r="AC1595">
        <f>IF(OR(AB1595="OK",AB1595="Aucune pièce déclarée",AB1595="Cadence dépassée : vérifiez la cadence"),1,0)</f>
        <v>0.0</v>
      </c>
      <c r="AD1595">
        <f>IF(AND(AC1595=1,A1595&gt;=p_from,A1595&lt;=p_to),1,0)</f>
        <v>0.0</v>
      </c>
      <c r="AE1595">
        <f>IF(AD1595=1,IF(COUNTIFS($A$6:A1595,A1595,$AD$6:AD1595,1)=1,1,0),0)</f>
        <v>0.0</v>
      </c>
      <c r="AF1595" t="str">
        <f>IF(AE1595=1,COUNTIFS(sj_first,1,sj_date,"&lt;"&amp;A1595)+1,"")</f>
        <v/>
      </c>
      <c r="AG1595" t="str">
        <f>IF(AND(AD1595=1,N(W1595)&lt;p_alert),ROUND(W1595,4),"")</f>
        <v/>
      </c>
      <c r="AH1595" t="str">
        <f>IF(AG1595="","",COUNTIF(sj_akey,"&lt;"&amp;AG1595)+COUNTIF($AG$6:AG1595,AG1595))</f>
        <v/>
      </c>
    </row>
    <row r="1596">
      <c r="A1596" s="51" t="n"/>
      <c r="B1596" s="52" t="n"/>
      <c r="C1596" s="52" t="n"/>
      <c r="D1596" s="53" t="n"/>
      <c r="E1596" s="53" t="n"/>
      <c r="F1596" s="54" t="n"/>
      <c r="G1596" s="54" t="n"/>
      <c r="H1596" s="54" t="n"/>
      <c r="I1596" s="54" t="n"/>
      <c r="J1596" s="53" t="n"/>
      <c r="K1596" s="55" t="str">
        <f>IF(COUNTA(A1596:I1596)=0,"",IF(F1596="",IFERROR(INDEX(eq_dur,MATCH(B1596,eq_code,0)),""),F1596))</f>
        <v/>
      </c>
      <c r="L1596" s="55" t="str">
        <f>IF(ISNUMBER(K1596),N(IFERROR(INDEX(eq_pause,MATCH(B1596,eq_code,0)),0))+SUMIFS(st_min,st_date,A1596,st_eq,B1596,st_po,C1596,st_type,"Planifié"),"")</f>
        <v/>
      </c>
      <c r="M1596" s="55" t="str">
        <f>IF(ISNUMBER(K1596),K1596-L1596,"")</f>
        <v/>
      </c>
      <c r="N1596" s="55" t="str">
        <f>IF(ISNUMBER(K1596),SUMIFS(st_min,st_date,A1596,st_eq,B1596,st_po,C1596,st_type,"Non planifié"),"")</f>
        <v/>
      </c>
      <c r="O1596" s="55" t="str">
        <f>IF(ISNUMBER(K1596),M1596-N1596,"")</f>
        <v/>
      </c>
      <c r="P1596" s="55" t="str">
        <f>IF(COUNTA(A1596:I1596)=0,"",N(G1596)+N(H1596)+N(I1596))</f>
        <v/>
      </c>
      <c r="Q1596" s="56" t="str">
        <f>IF(COUNTA(A1596:I1596)=0,"",IF(N(IFERROR(INDEX(art_rate,MATCH(E1596,art_ref,0)),0))&gt;0,N(IFERROR(INDEX(art_rate,MATCH(E1596,art_ref,0)),0)),N(IFERROR(INDEX(po_rate,MATCH(C1596,po_code,0)),0))))</f>
        <v/>
      </c>
      <c r="R1596" s="55" t="str">
        <f>IF(AC1596=1,P1596*60/Q1596,"")</f>
        <v/>
      </c>
      <c r="S1596" s="55" t="str">
        <f>IF(AC1596=1,N(G1596)*60/Q1596,"")</f>
        <v/>
      </c>
      <c r="T1596" s="57" t="str">
        <f>IF(AC1596=1,O1596/M1596,"")</f>
        <v/>
      </c>
      <c r="U1596" s="57" t="str">
        <f>IF(AC1596=1,IF(O1596&gt;0,R1596/O1596,""),"")</f>
        <v/>
      </c>
      <c r="V1596" s="57" t="str">
        <f>IF(AC1596=1,IF(P1596&gt;0,N(G1596)/P1596,""),"")</f>
        <v/>
      </c>
      <c r="W1596" s="57" t="str">
        <f>IF(AC1596=1,S1596/M1596,"")</f>
        <v/>
      </c>
      <c r="X1596" s="57" t="str">
        <f>IF(AC1596=1,S1596/K1596,"")</f>
        <v/>
      </c>
      <c r="Y1596" s="58" t="str">
        <f>IF(W1596="","",IF(W1596&gt;=p_target,"Bon",IF(W1596&gt;=p_alert,"À surveiller","Faible")))</f>
        <v/>
      </c>
      <c r="Z1596" s="58" t="str">
        <f>IF(W1596="","",IF(MIN(IF(T1596="",1,T1596),IF(U1596="",1,U1596),IF(V1596="",1,V1596))&gt;=1,"Aucune",IF(IF(T1596="",1,T1596)&lt;=MIN(IF(U1596="",1,U1596),IF(V1596="",1,V1596)),"Disponibilité",IF(IF(U1596="",1,U1596)&lt;=IF(V1596="",1,V1596),"Performance","Qualité"))))</f>
        <v/>
      </c>
      <c r="AA1596" s="59" t="str">
        <f>IF(AC1596=1,N(H1596)*N(IFERROR(INDEX(art_cost,MATCH(E1596,art_ref,0)),0)),"")</f>
        <v/>
      </c>
      <c r="AB1596" s="58" t="str">
        <f>IF(COUNTA(A1596:I1596)=0,"",IF(N(A1596)&lt;=0,"Date manquante ou invalide",IF(B1596="","Équipe manquante",IF(ISNA(MATCH(B1596,eq_code,0)),"Équipe inconnue",IF(INDEX(eq_check,MATCH(B1596,eq_code,0))&lt;&gt;"OK","Équipe à corriger dans Paramètres",IF(C1596="","Poste manquant",IF(ISNA(MATCH(C1596,po_code,0)),"Poste inconnu",IF(AND(E1596&lt;&gt;"",ISNA(MATCH(E1596,art_ref,0))),"Article inconnu",IF(IF(E1596="",FALSE,INDEX(art_check,MATCH(E1596,art_ref,0))&lt;&gt;"OK"),"Article à corriger (feuille Articles)",IF(COUNTIFS(sj_date,A1596,sj_eq,B1596,sj_po,C1596)&gt;1,"Ligne en double (même jour, équipe et poste)",IF(OR(NOT(ISNUMBER(K1596)),N(K1596)&lt;=0,N(K1596)&gt;1440),"Temps d'ouverture invalide",IF(OR(AND(G1596&lt;&gt;"",NOT(ISNUMBER(G1596))),N(G1596)&lt;0,N(G1596)&lt;&gt;INT(N(G1596)),AND(H1596&lt;&gt;"",NOT(ISNUMBER(H1596))),N(H1596)&lt;0,N(H1596)&lt;&gt;INT(N(H1596)),AND(I1596&lt;&gt;"",NOT(ISNUMBER(I1596))),N(I1596)&lt;0,N(I1596)&lt;&gt;INT(N(I1596))),"Quantité invalide",IF(Q1596&lt;=0,"Cadence manquante (poste ou article)",IF(M1596&lt;=0,"Arrêts planifiés supérieurs au temps d'ouverture",IF(O1596&lt;0,"Arrêts supérieurs au temps requis",IF(AND(P1596&gt;0,O1596=0),"Pièces déclarées sans temps de marche",IF(AND(P1596=0,O1596&gt;0),"Aucune pièce déclarée",IF(P1596*60/Q1596&gt;O1596+0.001,"Cadence dépassée : vérifiez la cadence","OK"))))))))))))))))))</f>
        <v/>
      </c>
      <c r="AC1596">
        <f>IF(OR(AB1596="OK",AB1596="Aucune pièce déclarée",AB1596="Cadence dépassée : vérifiez la cadence"),1,0)</f>
        <v>0.0</v>
      </c>
      <c r="AD1596">
        <f>IF(AND(AC1596=1,A1596&gt;=p_from,A1596&lt;=p_to),1,0)</f>
        <v>0.0</v>
      </c>
      <c r="AE1596">
        <f>IF(AD1596=1,IF(COUNTIFS($A$6:A1596,A1596,$AD$6:AD1596,1)=1,1,0),0)</f>
        <v>0.0</v>
      </c>
      <c r="AF1596" t="str">
        <f>IF(AE1596=1,COUNTIFS(sj_first,1,sj_date,"&lt;"&amp;A1596)+1,"")</f>
        <v/>
      </c>
      <c r="AG1596" t="str">
        <f>IF(AND(AD1596=1,N(W1596)&lt;p_alert),ROUND(W1596,4),"")</f>
        <v/>
      </c>
      <c r="AH1596" t="str">
        <f>IF(AG1596="","",COUNTIF(sj_akey,"&lt;"&amp;AG1596)+COUNTIF($AG$6:AG1596,AG1596))</f>
        <v/>
      </c>
    </row>
    <row r="1597">
      <c r="A1597" s="51" t="n"/>
      <c r="B1597" s="52" t="n"/>
      <c r="C1597" s="52" t="n"/>
      <c r="D1597" s="53" t="n"/>
      <c r="E1597" s="53" t="n"/>
      <c r="F1597" s="54" t="n"/>
      <c r="G1597" s="54" t="n"/>
      <c r="H1597" s="54" t="n"/>
      <c r="I1597" s="54" t="n"/>
      <c r="J1597" s="53" t="n"/>
      <c r="K1597" s="55" t="str">
        <f>IF(COUNTA(A1597:I1597)=0,"",IF(F1597="",IFERROR(INDEX(eq_dur,MATCH(B1597,eq_code,0)),""),F1597))</f>
        <v/>
      </c>
      <c r="L1597" s="55" t="str">
        <f>IF(ISNUMBER(K1597),N(IFERROR(INDEX(eq_pause,MATCH(B1597,eq_code,0)),0))+SUMIFS(st_min,st_date,A1597,st_eq,B1597,st_po,C1597,st_type,"Planifié"),"")</f>
        <v/>
      </c>
      <c r="M1597" s="55" t="str">
        <f>IF(ISNUMBER(K1597),K1597-L1597,"")</f>
        <v/>
      </c>
      <c r="N1597" s="55" t="str">
        <f>IF(ISNUMBER(K1597),SUMIFS(st_min,st_date,A1597,st_eq,B1597,st_po,C1597,st_type,"Non planifié"),"")</f>
        <v/>
      </c>
      <c r="O1597" s="55" t="str">
        <f>IF(ISNUMBER(K1597),M1597-N1597,"")</f>
        <v/>
      </c>
      <c r="P1597" s="55" t="str">
        <f>IF(COUNTA(A1597:I1597)=0,"",N(G1597)+N(H1597)+N(I1597))</f>
        <v/>
      </c>
      <c r="Q1597" s="56" t="str">
        <f>IF(COUNTA(A1597:I1597)=0,"",IF(N(IFERROR(INDEX(art_rate,MATCH(E1597,art_ref,0)),0))&gt;0,N(IFERROR(INDEX(art_rate,MATCH(E1597,art_ref,0)),0)),N(IFERROR(INDEX(po_rate,MATCH(C1597,po_code,0)),0))))</f>
        <v/>
      </c>
      <c r="R1597" s="55" t="str">
        <f>IF(AC1597=1,P1597*60/Q1597,"")</f>
        <v/>
      </c>
      <c r="S1597" s="55" t="str">
        <f>IF(AC1597=1,N(G1597)*60/Q1597,"")</f>
        <v/>
      </c>
      <c r="T1597" s="57" t="str">
        <f>IF(AC1597=1,O1597/M1597,"")</f>
        <v/>
      </c>
      <c r="U1597" s="57" t="str">
        <f>IF(AC1597=1,IF(O1597&gt;0,R1597/O1597,""),"")</f>
        <v/>
      </c>
      <c r="V1597" s="57" t="str">
        <f>IF(AC1597=1,IF(P1597&gt;0,N(G1597)/P1597,""),"")</f>
        <v/>
      </c>
      <c r="W1597" s="57" t="str">
        <f>IF(AC1597=1,S1597/M1597,"")</f>
        <v/>
      </c>
      <c r="X1597" s="57" t="str">
        <f>IF(AC1597=1,S1597/K1597,"")</f>
        <v/>
      </c>
      <c r="Y1597" s="58" t="str">
        <f>IF(W1597="","",IF(W1597&gt;=p_target,"Bon",IF(W1597&gt;=p_alert,"À surveiller","Faible")))</f>
        <v/>
      </c>
      <c r="Z1597" s="58" t="str">
        <f>IF(W1597="","",IF(MIN(IF(T1597="",1,T1597),IF(U1597="",1,U1597),IF(V1597="",1,V1597))&gt;=1,"Aucune",IF(IF(T1597="",1,T1597)&lt;=MIN(IF(U1597="",1,U1597),IF(V1597="",1,V1597)),"Disponibilité",IF(IF(U1597="",1,U1597)&lt;=IF(V1597="",1,V1597),"Performance","Qualité"))))</f>
        <v/>
      </c>
      <c r="AA1597" s="59" t="str">
        <f>IF(AC1597=1,N(H1597)*N(IFERROR(INDEX(art_cost,MATCH(E1597,art_ref,0)),0)),"")</f>
        <v/>
      </c>
      <c r="AB1597" s="58" t="str">
        <f>IF(COUNTA(A1597:I1597)=0,"",IF(N(A1597)&lt;=0,"Date manquante ou invalide",IF(B1597="","Équipe manquante",IF(ISNA(MATCH(B1597,eq_code,0)),"Équipe inconnue",IF(INDEX(eq_check,MATCH(B1597,eq_code,0))&lt;&gt;"OK","Équipe à corriger dans Paramètres",IF(C1597="","Poste manquant",IF(ISNA(MATCH(C1597,po_code,0)),"Poste inconnu",IF(AND(E1597&lt;&gt;"",ISNA(MATCH(E1597,art_ref,0))),"Article inconnu",IF(IF(E1597="",FALSE,INDEX(art_check,MATCH(E1597,art_ref,0))&lt;&gt;"OK"),"Article à corriger (feuille Articles)",IF(COUNTIFS(sj_date,A1597,sj_eq,B1597,sj_po,C1597)&gt;1,"Ligne en double (même jour, équipe et poste)",IF(OR(NOT(ISNUMBER(K1597)),N(K1597)&lt;=0,N(K1597)&gt;1440),"Temps d'ouverture invalide",IF(OR(AND(G1597&lt;&gt;"",NOT(ISNUMBER(G1597))),N(G1597)&lt;0,N(G1597)&lt;&gt;INT(N(G1597)),AND(H1597&lt;&gt;"",NOT(ISNUMBER(H1597))),N(H1597)&lt;0,N(H1597)&lt;&gt;INT(N(H1597)),AND(I1597&lt;&gt;"",NOT(ISNUMBER(I1597))),N(I1597)&lt;0,N(I1597)&lt;&gt;INT(N(I1597))),"Quantité invalide",IF(Q1597&lt;=0,"Cadence manquante (poste ou article)",IF(M1597&lt;=0,"Arrêts planifiés supérieurs au temps d'ouverture",IF(O1597&lt;0,"Arrêts supérieurs au temps requis",IF(AND(P1597&gt;0,O1597=0),"Pièces déclarées sans temps de marche",IF(AND(P1597=0,O1597&gt;0),"Aucune pièce déclarée",IF(P1597*60/Q1597&gt;O1597+0.001,"Cadence dépassée : vérifiez la cadence","OK"))))))))))))))))))</f>
        <v/>
      </c>
      <c r="AC1597">
        <f>IF(OR(AB1597="OK",AB1597="Aucune pièce déclarée",AB1597="Cadence dépassée : vérifiez la cadence"),1,0)</f>
        <v>0.0</v>
      </c>
      <c r="AD1597">
        <f>IF(AND(AC1597=1,A1597&gt;=p_from,A1597&lt;=p_to),1,0)</f>
        <v>0.0</v>
      </c>
      <c r="AE1597">
        <f>IF(AD1597=1,IF(COUNTIFS($A$6:A1597,A1597,$AD$6:AD1597,1)=1,1,0),0)</f>
        <v>0.0</v>
      </c>
      <c r="AF1597" t="str">
        <f>IF(AE1597=1,COUNTIFS(sj_first,1,sj_date,"&lt;"&amp;A1597)+1,"")</f>
        <v/>
      </c>
      <c r="AG1597" t="str">
        <f>IF(AND(AD1597=1,N(W1597)&lt;p_alert),ROUND(W1597,4),"")</f>
        <v/>
      </c>
      <c r="AH1597" t="str">
        <f>IF(AG1597="","",COUNTIF(sj_akey,"&lt;"&amp;AG1597)+COUNTIF($AG$6:AG1597,AG1597))</f>
        <v/>
      </c>
    </row>
    <row r="1598">
      <c r="A1598" s="51" t="n"/>
      <c r="B1598" s="52" t="n"/>
      <c r="C1598" s="52" t="n"/>
      <c r="D1598" s="53" t="n"/>
      <c r="E1598" s="53" t="n"/>
      <c r="F1598" s="54" t="n"/>
      <c r="G1598" s="54" t="n"/>
      <c r="H1598" s="54" t="n"/>
      <c r="I1598" s="54" t="n"/>
      <c r="J1598" s="53" t="n"/>
      <c r="K1598" s="55" t="str">
        <f>IF(COUNTA(A1598:I1598)=0,"",IF(F1598="",IFERROR(INDEX(eq_dur,MATCH(B1598,eq_code,0)),""),F1598))</f>
        <v/>
      </c>
      <c r="L1598" s="55" t="str">
        <f>IF(ISNUMBER(K1598),N(IFERROR(INDEX(eq_pause,MATCH(B1598,eq_code,0)),0))+SUMIFS(st_min,st_date,A1598,st_eq,B1598,st_po,C1598,st_type,"Planifié"),"")</f>
        <v/>
      </c>
      <c r="M1598" s="55" t="str">
        <f>IF(ISNUMBER(K1598),K1598-L1598,"")</f>
        <v/>
      </c>
      <c r="N1598" s="55" t="str">
        <f>IF(ISNUMBER(K1598),SUMIFS(st_min,st_date,A1598,st_eq,B1598,st_po,C1598,st_type,"Non planifié"),"")</f>
        <v/>
      </c>
      <c r="O1598" s="55" t="str">
        <f>IF(ISNUMBER(K1598),M1598-N1598,"")</f>
        <v/>
      </c>
      <c r="P1598" s="55" t="str">
        <f>IF(COUNTA(A1598:I1598)=0,"",N(G1598)+N(H1598)+N(I1598))</f>
        <v/>
      </c>
      <c r="Q1598" s="56" t="str">
        <f>IF(COUNTA(A1598:I1598)=0,"",IF(N(IFERROR(INDEX(art_rate,MATCH(E1598,art_ref,0)),0))&gt;0,N(IFERROR(INDEX(art_rate,MATCH(E1598,art_ref,0)),0)),N(IFERROR(INDEX(po_rate,MATCH(C1598,po_code,0)),0))))</f>
        <v/>
      </c>
      <c r="R1598" s="55" t="str">
        <f>IF(AC1598=1,P1598*60/Q1598,"")</f>
        <v/>
      </c>
      <c r="S1598" s="55" t="str">
        <f>IF(AC1598=1,N(G1598)*60/Q1598,"")</f>
        <v/>
      </c>
      <c r="T1598" s="57" t="str">
        <f>IF(AC1598=1,O1598/M1598,"")</f>
        <v/>
      </c>
      <c r="U1598" s="57" t="str">
        <f>IF(AC1598=1,IF(O1598&gt;0,R1598/O1598,""),"")</f>
        <v/>
      </c>
      <c r="V1598" s="57" t="str">
        <f>IF(AC1598=1,IF(P1598&gt;0,N(G1598)/P1598,""),"")</f>
        <v/>
      </c>
      <c r="W1598" s="57" t="str">
        <f>IF(AC1598=1,S1598/M1598,"")</f>
        <v/>
      </c>
      <c r="X1598" s="57" t="str">
        <f>IF(AC1598=1,S1598/K1598,"")</f>
        <v/>
      </c>
      <c r="Y1598" s="58" t="str">
        <f>IF(W1598="","",IF(W1598&gt;=p_target,"Bon",IF(W1598&gt;=p_alert,"À surveiller","Faible")))</f>
        <v/>
      </c>
      <c r="Z1598" s="58" t="str">
        <f>IF(W1598="","",IF(MIN(IF(T1598="",1,T1598),IF(U1598="",1,U1598),IF(V1598="",1,V1598))&gt;=1,"Aucune",IF(IF(T1598="",1,T1598)&lt;=MIN(IF(U1598="",1,U1598),IF(V1598="",1,V1598)),"Disponibilité",IF(IF(U1598="",1,U1598)&lt;=IF(V1598="",1,V1598),"Performance","Qualité"))))</f>
        <v/>
      </c>
      <c r="AA1598" s="59" t="str">
        <f>IF(AC1598=1,N(H1598)*N(IFERROR(INDEX(art_cost,MATCH(E1598,art_ref,0)),0)),"")</f>
        <v/>
      </c>
      <c r="AB1598" s="58" t="str">
        <f>IF(COUNTA(A1598:I1598)=0,"",IF(N(A1598)&lt;=0,"Date manquante ou invalide",IF(B1598="","Équipe manquante",IF(ISNA(MATCH(B1598,eq_code,0)),"Équipe inconnue",IF(INDEX(eq_check,MATCH(B1598,eq_code,0))&lt;&gt;"OK","Équipe à corriger dans Paramètres",IF(C1598="","Poste manquant",IF(ISNA(MATCH(C1598,po_code,0)),"Poste inconnu",IF(AND(E1598&lt;&gt;"",ISNA(MATCH(E1598,art_ref,0))),"Article inconnu",IF(IF(E1598="",FALSE,INDEX(art_check,MATCH(E1598,art_ref,0))&lt;&gt;"OK"),"Article à corriger (feuille Articles)",IF(COUNTIFS(sj_date,A1598,sj_eq,B1598,sj_po,C1598)&gt;1,"Ligne en double (même jour, équipe et poste)",IF(OR(NOT(ISNUMBER(K1598)),N(K1598)&lt;=0,N(K1598)&gt;1440),"Temps d'ouverture invalide",IF(OR(AND(G1598&lt;&gt;"",NOT(ISNUMBER(G1598))),N(G1598)&lt;0,N(G1598)&lt;&gt;INT(N(G1598)),AND(H1598&lt;&gt;"",NOT(ISNUMBER(H1598))),N(H1598)&lt;0,N(H1598)&lt;&gt;INT(N(H1598)),AND(I1598&lt;&gt;"",NOT(ISNUMBER(I1598))),N(I1598)&lt;0,N(I1598)&lt;&gt;INT(N(I1598))),"Quantité invalide",IF(Q1598&lt;=0,"Cadence manquante (poste ou article)",IF(M1598&lt;=0,"Arrêts planifiés supérieurs au temps d'ouverture",IF(O1598&lt;0,"Arrêts supérieurs au temps requis",IF(AND(P1598&gt;0,O1598=0),"Pièces déclarées sans temps de marche",IF(AND(P1598=0,O1598&gt;0),"Aucune pièce déclarée",IF(P1598*60/Q1598&gt;O1598+0.001,"Cadence dépassée : vérifiez la cadence","OK"))))))))))))))))))</f>
        <v/>
      </c>
      <c r="AC1598">
        <f>IF(OR(AB1598="OK",AB1598="Aucune pièce déclarée",AB1598="Cadence dépassée : vérifiez la cadence"),1,0)</f>
        <v>0.0</v>
      </c>
      <c r="AD1598">
        <f>IF(AND(AC1598=1,A1598&gt;=p_from,A1598&lt;=p_to),1,0)</f>
        <v>0.0</v>
      </c>
      <c r="AE1598">
        <f>IF(AD1598=1,IF(COUNTIFS($A$6:A1598,A1598,$AD$6:AD1598,1)=1,1,0),0)</f>
        <v>0.0</v>
      </c>
      <c r="AF1598" t="str">
        <f>IF(AE1598=1,COUNTIFS(sj_first,1,sj_date,"&lt;"&amp;A1598)+1,"")</f>
        <v/>
      </c>
      <c r="AG1598" t="str">
        <f>IF(AND(AD1598=1,N(W1598)&lt;p_alert),ROUND(W1598,4),"")</f>
        <v/>
      </c>
      <c r="AH1598" t="str">
        <f>IF(AG1598="","",COUNTIF(sj_akey,"&lt;"&amp;AG1598)+COUNTIF($AG$6:AG1598,AG1598))</f>
        <v/>
      </c>
    </row>
    <row r="1599">
      <c r="A1599" s="51" t="n"/>
      <c r="B1599" s="52" t="n"/>
      <c r="C1599" s="52" t="n"/>
      <c r="D1599" s="53" t="n"/>
      <c r="E1599" s="53" t="n"/>
      <c r="F1599" s="54" t="n"/>
      <c r="G1599" s="54" t="n"/>
      <c r="H1599" s="54" t="n"/>
      <c r="I1599" s="54" t="n"/>
      <c r="J1599" s="53" t="n"/>
      <c r="K1599" s="55" t="str">
        <f>IF(COUNTA(A1599:I1599)=0,"",IF(F1599="",IFERROR(INDEX(eq_dur,MATCH(B1599,eq_code,0)),""),F1599))</f>
        <v/>
      </c>
      <c r="L1599" s="55" t="str">
        <f>IF(ISNUMBER(K1599),N(IFERROR(INDEX(eq_pause,MATCH(B1599,eq_code,0)),0))+SUMIFS(st_min,st_date,A1599,st_eq,B1599,st_po,C1599,st_type,"Planifié"),"")</f>
        <v/>
      </c>
      <c r="M1599" s="55" t="str">
        <f>IF(ISNUMBER(K1599),K1599-L1599,"")</f>
        <v/>
      </c>
      <c r="N1599" s="55" t="str">
        <f>IF(ISNUMBER(K1599),SUMIFS(st_min,st_date,A1599,st_eq,B1599,st_po,C1599,st_type,"Non planifié"),"")</f>
        <v/>
      </c>
      <c r="O1599" s="55" t="str">
        <f>IF(ISNUMBER(K1599),M1599-N1599,"")</f>
        <v/>
      </c>
      <c r="P1599" s="55" t="str">
        <f>IF(COUNTA(A1599:I1599)=0,"",N(G1599)+N(H1599)+N(I1599))</f>
        <v/>
      </c>
      <c r="Q1599" s="56" t="str">
        <f>IF(COUNTA(A1599:I1599)=0,"",IF(N(IFERROR(INDEX(art_rate,MATCH(E1599,art_ref,0)),0))&gt;0,N(IFERROR(INDEX(art_rate,MATCH(E1599,art_ref,0)),0)),N(IFERROR(INDEX(po_rate,MATCH(C1599,po_code,0)),0))))</f>
        <v/>
      </c>
      <c r="R1599" s="55" t="str">
        <f>IF(AC1599=1,P1599*60/Q1599,"")</f>
        <v/>
      </c>
      <c r="S1599" s="55" t="str">
        <f>IF(AC1599=1,N(G1599)*60/Q1599,"")</f>
        <v/>
      </c>
      <c r="T1599" s="57" t="str">
        <f>IF(AC1599=1,O1599/M1599,"")</f>
        <v/>
      </c>
      <c r="U1599" s="57" t="str">
        <f>IF(AC1599=1,IF(O1599&gt;0,R1599/O1599,""),"")</f>
        <v/>
      </c>
      <c r="V1599" s="57" t="str">
        <f>IF(AC1599=1,IF(P1599&gt;0,N(G1599)/P1599,""),"")</f>
        <v/>
      </c>
      <c r="W1599" s="57" t="str">
        <f>IF(AC1599=1,S1599/M1599,"")</f>
        <v/>
      </c>
      <c r="X1599" s="57" t="str">
        <f>IF(AC1599=1,S1599/K1599,"")</f>
        <v/>
      </c>
      <c r="Y1599" s="58" t="str">
        <f>IF(W1599="","",IF(W1599&gt;=p_target,"Bon",IF(W1599&gt;=p_alert,"À surveiller","Faible")))</f>
        <v/>
      </c>
      <c r="Z1599" s="58" t="str">
        <f>IF(W1599="","",IF(MIN(IF(T1599="",1,T1599),IF(U1599="",1,U1599),IF(V1599="",1,V1599))&gt;=1,"Aucune",IF(IF(T1599="",1,T1599)&lt;=MIN(IF(U1599="",1,U1599),IF(V1599="",1,V1599)),"Disponibilité",IF(IF(U1599="",1,U1599)&lt;=IF(V1599="",1,V1599),"Performance","Qualité"))))</f>
        <v/>
      </c>
      <c r="AA1599" s="59" t="str">
        <f>IF(AC1599=1,N(H1599)*N(IFERROR(INDEX(art_cost,MATCH(E1599,art_ref,0)),0)),"")</f>
        <v/>
      </c>
      <c r="AB1599" s="58" t="str">
        <f>IF(COUNTA(A1599:I1599)=0,"",IF(N(A1599)&lt;=0,"Date manquante ou invalide",IF(B1599="","Équipe manquante",IF(ISNA(MATCH(B1599,eq_code,0)),"Équipe inconnue",IF(INDEX(eq_check,MATCH(B1599,eq_code,0))&lt;&gt;"OK","Équipe à corriger dans Paramètres",IF(C1599="","Poste manquant",IF(ISNA(MATCH(C1599,po_code,0)),"Poste inconnu",IF(AND(E1599&lt;&gt;"",ISNA(MATCH(E1599,art_ref,0))),"Article inconnu",IF(IF(E1599="",FALSE,INDEX(art_check,MATCH(E1599,art_ref,0))&lt;&gt;"OK"),"Article à corriger (feuille Articles)",IF(COUNTIFS(sj_date,A1599,sj_eq,B1599,sj_po,C1599)&gt;1,"Ligne en double (même jour, équipe et poste)",IF(OR(NOT(ISNUMBER(K1599)),N(K1599)&lt;=0,N(K1599)&gt;1440),"Temps d'ouverture invalide",IF(OR(AND(G1599&lt;&gt;"",NOT(ISNUMBER(G1599))),N(G1599)&lt;0,N(G1599)&lt;&gt;INT(N(G1599)),AND(H1599&lt;&gt;"",NOT(ISNUMBER(H1599))),N(H1599)&lt;0,N(H1599)&lt;&gt;INT(N(H1599)),AND(I1599&lt;&gt;"",NOT(ISNUMBER(I1599))),N(I1599)&lt;0,N(I1599)&lt;&gt;INT(N(I1599))),"Quantité invalide",IF(Q1599&lt;=0,"Cadence manquante (poste ou article)",IF(M1599&lt;=0,"Arrêts planifiés supérieurs au temps d'ouverture",IF(O1599&lt;0,"Arrêts supérieurs au temps requis",IF(AND(P1599&gt;0,O1599=0),"Pièces déclarées sans temps de marche",IF(AND(P1599=0,O1599&gt;0),"Aucune pièce déclarée",IF(P1599*60/Q1599&gt;O1599+0.001,"Cadence dépassée : vérifiez la cadence","OK"))))))))))))))))))</f>
        <v/>
      </c>
      <c r="AC1599">
        <f>IF(OR(AB1599="OK",AB1599="Aucune pièce déclarée",AB1599="Cadence dépassée : vérifiez la cadence"),1,0)</f>
        <v>0.0</v>
      </c>
      <c r="AD1599">
        <f>IF(AND(AC1599=1,A1599&gt;=p_from,A1599&lt;=p_to),1,0)</f>
        <v>0.0</v>
      </c>
      <c r="AE1599">
        <f>IF(AD1599=1,IF(COUNTIFS($A$6:A1599,A1599,$AD$6:AD1599,1)=1,1,0),0)</f>
        <v>0.0</v>
      </c>
      <c r="AF1599" t="str">
        <f>IF(AE1599=1,COUNTIFS(sj_first,1,sj_date,"&lt;"&amp;A1599)+1,"")</f>
        <v/>
      </c>
      <c r="AG1599" t="str">
        <f>IF(AND(AD1599=1,N(W1599)&lt;p_alert),ROUND(W1599,4),"")</f>
        <v/>
      </c>
      <c r="AH1599" t="str">
        <f>IF(AG1599="","",COUNTIF(sj_akey,"&lt;"&amp;AG1599)+COUNTIF($AG$6:AG1599,AG1599))</f>
        <v/>
      </c>
    </row>
    <row r="1600">
      <c r="A1600" s="51" t="n"/>
      <c r="B1600" s="52" t="n"/>
      <c r="C1600" s="52" t="n"/>
      <c r="D1600" s="53" t="n"/>
      <c r="E1600" s="53" t="n"/>
      <c r="F1600" s="54" t="n"/>
      <c r="G1600" s="54" t="n"/>
      <c r="H1600" s="54" t="n"/>
      <c r="I1600" s="54" t="n"/>
      <c r="J1600" s="53" t="n"/>
      <c r="K1600" s="55" t="str">
        <f>IF(COUNTA(A1600:I1600)=0,"",IF(F1600="",IFERROR(INDEX(eq_dur,MATCH(B1600,eq_code,0)),""),F1600))</f>
        <v/>
      </c>
      <c r="L1600" s="55" t="str">
        <f>IF(ISNUMBER(K1600),N(IFERROR(INDEX(eq_pause,MATCH(B1600,eq_code,0)),0))+SUMIFS(st_min,st_date,A1600,st_eq,B1600,st_po,C1600,st_type,"Planifié"),"")</f>
        <v/>
      </c>
      <c r="M1600" s="55" t="str">
        <f>IF(ISNUMBER(K1600),K1600-L1600,"")</f>
        <v/>
      </c>
      <c r="N1600" s="55" t="str">
        <f>IF(ISNUMBER(K1600),SUMIFS(st_min,st_date,A1600,st_eq,B1600,st_po,C1600,st_type,"Non planifié"),"")</f>
        <v/>
      </c>
      <c r="O1600" s="55" t="str">
        <f>IF(ISNUMBER(K1600),M1600-N1600,"")</f>
        <v/>
      </c>
      <c r="P1600" s="55" t="str">
        <f>IF(COUNTA(A1600:I1600)=0,"",N(G1600)+N(H1600)+N(I1600))</f>
        <v/>
      </c>
      <c r="Q1600" s="56" t="str">
        <f>IF(COUNTA(A1600:I1600)=0,"",IF(N(IFERROR(INDEX(art_rate,MATCH(E1600,art_ref,0)),0))&gt;0,N(IFERROR(INDEX(art_rate,MATCH(E1600,art_ref,0)),0)),N(IFERROR(INDEX(po_rate,MATCH(C1600,po_code,0)),0))))</f>
        <v/>
      </c>
      <c r="R1600" s="55" t="str">
        <f>IF(AC1600=1,P1600*60/Q1600,"")</f>
        <v/>
      </c>
      <c r="S1600" s="55" t="str">
        <f>IF(AC1600=1,N(G1600)*60/Q1600,"")</f>
        <v/>
      </c>
      <c r="T1600" s="57" t="str">
        <f>IF(AC1600=1,O1600/M1600,"")</f>
        <v/>
      </c>
      <c r="U1600" s="57" t="str">
        <f>IF(AC1600=1,IF(O1600&gt;0,R1600/O1600,""),"")</f>
        <v/>
      </c>
      <c r="V1600" s="57" t="str">
        <f>IF(AC1600=1,IF(P1600&gt;0,N(G1600)/P1600,""),"")</f>
        <v/>
      </c>
      <c r="W1600" s="57" t="str">
        <f>IF(AC1600=1,S1600/M1600,"")</f>
        <v/>
      </c>
      <c r="X1600" s="57" t="str">
        <f>IF(AC1600=1,S1600/K1600,"")</f>
        <v/>
      </c>
      <c r="Y1600" s="58" t="str">
        <f>IF(W1600="","",IF(W1600&gt;=p_target,"Bon",IF(W1600&gt;=p_alert,"À surveiller","Faible")))</f>
        <v/>
      </c>
      <c r="Z1600" s="58" t="str">
        <f>IF(W1600="","",IF(MIN(IF(T1600="",1,T1600),IF(U1600="",1,U1600),IF(V1600="",1,V1600))&gt;=1,"Aucune",IF(IF(T1600="",1,T1600)&lt;=MIN(IF(U1600="",1,U1600),IF(V1600="",1,V1600)),"Disponibilité",IF(IF(U1600="",1,U1600)&lt;=IF(V1600="",1,V1600),"Performance","Qualité"))))</f>
        <v/>
      </c>
      <c r="AA1600" s="59" t="str">
        <f>IF(AC1600=1,N(H1600)*N(IFERROR(INDEX(art_cost,MATCH(E1600,art_ref,0)),0)),"")</f>
        <v/>
      </c>
      <c r="AB1600" s="58" t="str">
        <f>IF(COUNTA(A1600:I1600)=0,"",IF(N(A1600)&lt;=0,"Date manquante ou invalide",IF(B1600="","Équipe manquante",IF(ISNA(MATCH(B1600,eq_code,0)),"Équipe inconnue",IF(INDEX(eq_check,MATCH(B1600,eq_code,0))&lt;&gt;"OK","Équipe à corriger dans Paramètres",IF(C1600="","Poste manquant",IF(ISNA(MATCH(C1600,po_code,0)),"Poste inconnu",IF(AND(E1600&lt;&gt;"",ISNA(MATCH(E1600,art_ref,0))),"Article inconnu",IF(IF(E1600="",FALSE,INDEX(art_check,MATCH(E1600,art_ref,0))&lt;&gt;"OK"),"Article à corriger (feuille Articles)",IF(COUNTIFS(sj_date,A1600,sj_eq,B1600,sj_po,C1600)&gt;1,"Ligne en double (même jour, équipe et poste)",IF(OR(NOT(ISNUMBER(K1600)),N(K1600)&lt;=0,N(K1600)&gt;1440),"Temps d'ouverture invalide",IF(OR(AND(G1600&lt;&gt;"",NOT(ISNUMBER(G1600))),N(G1600)&lt;0,N(G1600)&lt;&gt;INT(N(G1600)),AND(H1600&lt;&gt;"",NOT(ISNUMBER(H1600))),N(H1600)&lt;0,N(H1600)&lt;&gt;INT(N(H1600)),AND(I1600&lt;&gt;"",NOT(ISNUMBER(I1600))),N(I1600)&lt;0,N(I1600)&lt;&gt;INT(N(I1600))),"Quantité invalide",IF(Q1600&lt;=0,"Cadence manquante (poste ou article)",IF(M1600&lt;=0,"Arrêts planifiés supérieurs au temps d'ouverture",IF(O1600&lt;0,"Arrêts supérieurs au temps requis",IF(AND(P1600&gt;0,O1600=0),"Pièces déclarées sans temps de marche",IF(AND(P1600=0,O1600&gt;0),"Aucune pièce déclarée",IF(P1600*60/Q1600&gt;O1600+0.001,"Cadence dépassée : vérifiez la cadence","OK"))))))))))))))))))</f>
        <v/>
      </c>
      <c r="AC1600">
        <f>IF(OR(AB1600="OK",AB1600="Aucune pièce déclarée",AB1600="Cadence dépassée : vérifiez la cadence"),1,0)</f>
        <v>0.0</v>
      </c>
      <c r="AD1600">
        <f>IF(AND(AC1600=1,A1600&gt;=p_from,A1600&lt;=p_to),1,0)</f>
        <v>0.0</v>
      </c>
      <c r="AE1600">
        <f>IF(AD1600=1,IF(COUNTIFS($A$6:A1600,A1600,$AD$6:AD1600,1)=1,1,0),0)</f>
        <v>0.0</v>
      </c>
      <c r="AF1600" t="str">
        <f>IF(AE1600=1,COUNTIFS(sj_first,1,sj_date,"&lt;"&amp;A1600)+1,"")</f>
        <v/>
      </c>
      <c r="AG1600" t="str">
        <f>IF(AND(AD1600=1,N(W1600)&lt;p_alert),ROUND(W1600,4),"")</f>
        <v/>
      </c>
      <c r="AH1600" t="str">
        <f>IF(AG1600="","",COUNTIF(sj_akey,"&lt;"&amp;AG1600)+COUNTIF($AG$6:AG1600,AG1600))</f>
        <v/>
      </c>
    </row>
    <row r="1601">
      <c r="A1601" s="51" t="n"/>
      <c r="B1601" s="52" t="n"/>
      <c r="C1601" s="52" t="n"/>
      <c r="D1601" s="53" t="n"/>
      <c r="E1601" s="53" t="n"/>
      <c r="F1601" s="54" t="n"/>
      <c r="G1601" s="54" t="n"/>
      <c r="H1601" s="54" t="n"/>
      <c r="I1601" s="54" t="n"/>
      <c r="J1601" s="53" t="n"/>
      <c r="K1601" s="55" t="str">
        <f>IF(COUNTA(A1601:I1601)=0,"",IF(F1601="",IFERROR(INDEX(eq_dur,MATCH(B1601,eq_code,0)),""),F1601))</f>
        <v/>
      </c>
      <c r="L1601" s="55" t="str">
        <f>IF(ISNUMBER(K1601),N(IFERROR(INDEX(eq_pause,MATCH(B1601,eq_code,0)),0))+SUMIFS(st_min,st_date,A1601,st_eq,B1601,st_po,C1601,st_type,"Planifié"),"")</f>
        <v/>
      </c>
      <c r="M1601" s="55" t="str">
        <f>IF(ISNUMBER(K1601),K1601-L1601,"")</f>
        <v/>
      </c>
      <c r="N1601" s="55" t="str">
        <f>IF(ISNUMBER(K1601),SUMIFS(st_min,st_date,A1601,st_eq,B1601,st_po,C1601,st_type,"Non planifié"),"")</f>
        <v/>
      </c>
      <c r="O1601" s="55" t="str">
        <f>IF(ISNUMBER(K1601),M1601-N1601,"")</f>
        <v/>
      </c>
      <c r="P1601" s="55" t="str">
        <f>IF(COUNTA(A1601:I1601)=0,"",N(G1601)+N(H1601)+N(I1601))</f>
        <v/>
      </c>
      <c r="Q1601" s="56" t="str">
        <f>IF(COUNTA(A1601:I1601)=0,"",IF(N(IFERROR(INDEX(art_rate,MATCH(E1601,art_ref,0)),0))&gt;0,N(IFERROR(INDEX(art_rate,MATCH(E1601,art_ref,0)),0)),N(IFERROR(INDEX(po_rate,MATCH(C1601,po_code,0)),0))))</f>
        <v/>
      </c>
      <c r="R1601" s="55" t="str">
        <f>IF(AC1601=1,P1601*60/Q1601,"")</f>
        <v/>
      </c>
      <c r="S1601" s="55" t="str">
        <f>IF(AC1601=1,N(G1601)*60/Q1601,"")</f>
        <v/>
      </c>
      <c r="T1601" s="57" t="str">
        <f>IF(AC1601=1,O1601/M1601,"")</f>
        <v/>
      </c>
      <c r="U1601" s="57" t="str">
        <f>IF(AC1601=1,IF(O1601&gt;0,R1601/O1601,""),"")</f>
        <v/>
      </c>
      <c r="V1601" s="57" t="str">
        <f>IF(AC1601=1,IF(P1601&gt;0,N(G1601)/P1601,""),"")</f>
        <v/>
      </c>
      <c r="W1601" s="57" t="str">
        <f>IF(AC1601=1,S1601/M1601,"")</f>
        <v/>
      </c>
      <c r="X1601" s="57" t="str">
        <f>IF(AC1601=1,S1601/K1601,"")</f>
        <v/>
      </c>
      <c r="Y1601" s="58" t="str">
        <f>IF(W1601="","",IF(W1601&gt;=p_target,"Bon",IF(W1601&gt;=p_alert,"À surveiller","Faible")))</f>
        <v/>
      </c>
      <c r="Z1601" s="58" t="str">
        <f>IF(W1601="","",IF(MIN(IF(T1601="",1,T1601),IF(U1601="",1,U1601),IF(V1601="",1,V1601))&gt;=1,"Aucune",IF(IF(T1601="",1,T1601)&lt;=MIN(IF(U1601="",1,U1601),IF(V1601="",1,V1601)),"Disponibilité",IF(IF(U1601="",1,U1601)&lt;=IF(V1601="",1,V1601),"Performance","Qualité"))))</f>
        <v/>
      </c>
      <c r="AA1601" s="59" t="str">
        <f>IF(AC1601=1,N(H1601)*N(IFERROR(INDEX(art_cost,MATCH(E1601,art_ref,0)),0)),"")</f>
        <v/>
      </c>
      <c r="AB1601" s="58" t="str">
        <f>IF(COUNTA(A1601:I1601)=0,"",IF(N(A1601)&lt;=0,"Date manquante ou invalide",IF(B1601="","Équipe manquante",IF(ISNA(MATCH(B1601,eq_code,0)),"Équipe inconnue",IF(INDEX(eq_check,MATCH(B1601,eq_code,0))&lt;&gt;"OK","Équipe à corriger dans Paramètres",IF(C1601="","Poste manquant",IF(ISNA(MATCH(C1601,po_code,0)),"Poste inconnu",IF(AND(E1601&lt;&gt;"",ISNA(MATCH(E1601,art_ref,0))),"Article inconnu",IF(IF(E1601="",FALSE,INDEX(art_check,MATCH(E1601,art_ref,0))&lt;&gt;"OK"),"Article à corriger (feuille Articles)",IF(COUNTIFS(sj_date,A1601,sj_eq,B1601,sj_po,C1601)&gt;1,"Ligne en double (même jour, équipe et poste)",IF(OR(NOT(ISNUMBER(K1601)),N(K1601)&lt;=0,N(K1601)&gt;1440),"Temps d'ouverture invalide",IF(OR(AND(G1601&lt;&gt;"",NOT(ISNUMBER(G1601))),N(G1601)&lt;0,N(G1601)&lt;&gt;INT(N(G1601)),AND(H1601&lt;&gt;"",NOT(ISNUMBER(H1601))),N(H1601)&lt;0,N(H1601)&lt;&gt;INT(N(H1601)),AND(I1601&lt;&gt;"",NOT(ISNUMBER(I1601))),N(I1601)&lt;0,N(I1601)&lt;&gt;INT(N(I1601))),"Quantité invalide",IF(Q1601&lt;=0,"Cadence manquante (poste ou article)",IF(M1601&lt;=0,"Arrêts planifiés supérieurs au temps d'ouverture",IF(O1601&lt;0,"Arrêts supérieurs au temps requis",IF(AND(P1601&gt;0,O1601=0),"Pièces déclarées sans temps de marche",IF(AND(P1601=0,O1601&gt;0),"Aucune pièce déclarée",IF(P1601*60/Q1601&gt;O1601+0.001,"Cadence dépassée : vérifiez la cadence","OK"))))))))))))))))))</f>
        <v/>
      </c>
      <c r="AC1601">
        <f>IF(OR(AB1601="OK",AB1601="Aucune pièce déclarée",AB1601="Cadence dépassée : vérifiez la cadence"),1,0)</f>
        <v>0.0</v>
      </c>
      <c r="AD1601">
        <f>IF(AND(AC1601=1,A1601&gt;=p_from,A1601&lt;=p_to),1,0)</f>
        <v>0.0</v>
      </c>
      <c r="AE1601">
        <f>IF(AD1601=1,IF(COUNTIFS($A$6:A1601,A1601,$AD$6:AD1601,1)=1,1,0),0)</f>
        <v>0.0</v>
      </c>
      <c r="AF1601" t="str">
        <f>IF(AE1601=1,COUNTIFS(sj_first,1,sj_date,"&lt;"&amp;A1601)+1,"")</f>
        <v/>
      </c>
      <c r="AG1601" t="str">
        <f>IF(AND(AD1601=1,N(W1601)&lt;p_alert),ROUND(W1601,4),"")</f>
        <v/>
      </c>
      <c r="AH1601" t="str">
        <f>IF(AG1601="","",COUNTIF(sj_akey,"&lt;"&amp;AG1601)+COUNTIF($AG$6:AG1601,AG1601))</f>
        <v/>
      </c>
    </row>
    <row r="1602">
      <c r="A1602" s="51" t="n"/>
      <c r="B1602" s="52" t="n"/>
      <c r="C1602" s="52" t="n"/>
      <c r="D1602" s="53" t="n"/>
      <c r="E1602" s="53" t="n"/>
      <c r="F1602" s="54" t="n"/>
      <c r="G1602" s="54" t="n"/>
      <c r="H1602" s="54" t="n"/>
      <c r="I1602" s="54" t="n"/>
      <c r="J1602" s="53" t="n"/>
      <c r="K1602" s="55" t="str">
        <f>IF(COUNTA(A1602:I1602)=0,"",IF(F1602="",IFERROR(INDEX(eq_dur,MATCH(B1602,eq_code,0)),""),F1602))</f>
        <v/>
      </c>
      <c r="L1602" s="55" t="str">
        <f>IF(ISNUMBER(K1602),N(IFERROR(INDEX(eq_pause,MATCH(B1602,eq_code,0)),0))+SUMIFS(st_min,st_date,A1602,st_eq,B1602,st_po,C1602,st_type,"Planifié"),"")</f>
        <v/>
      </c>
      <c r="M1602" s="55" t="str">
        <f>IF(ISNUMBER(K1602),K1602-L1602,"")</f>
        <v/>
      </c>
      <c r="N1602" s="55" t="str">
        <f>IF(ISNUMBER(K1602),SUMIFS(st_min,st_date,A1602,st_eq,B1602,st_po,C1602,st_type,"Non planifié"),"")</f>
        <v/>
      </c>
      <c r="O1602" s="55" t="str">
        <f>IF(ISNUMBER(K1602),M1602-N1602,"")</f>
        <v/>
      </c>
      <c r="P1602" s="55" t="str">
        <f>IF(COUNTA(A1602:I1602)=0,"",N(G1602)+N(H1602)+N(I1602))</f>
        <v/>
      </c>
      <c r="Q1602" s="56" t="str">
        <f>IF(COUNTA(A1602:I1602)=0,"",IF(N(IFERROR(INDEX(art_rate,MATCH(E1602,art_ref,0)),0))&gt;0,N(IFERROR(INDEX(art_rate,MATCH(E1602,art_ref,0)),0)),N(IFERROR(INDEX(po_rate,MATCH(C1602,po_code,0)),0))))</f>
        <v/>
      </c>
      <c r="R1602" s="55" t="str">
        <f>IF(AC1602=1,P1602*60/Q1602,"")</f>
        <v/>
      </c>
      <c r="S1602" s="55" t="str">
        <f>IF(AC1602=1,N(G1602)*60/Q1602,"")</f>
        <v/>
      </c>
      <c r="T1602" s="57" t="str">
        <f>IF(AC1602=1,O1602/M1602,"")</f>
        <v/>
      </c>
      <c r="U1602" s="57" t="str">
        <f>IF(AC1602=1,IF(O1602&gt;0,R1602/O1602,""),"")</f>
        <v/>
      </c>
      <c r="V1602" s="57" t="str">
        <f>IF(AC1602=1,IF(P1602&gt;0,N(G1602)/P1602,""),"")</f>
        <v/>
      </c>
      <c r="W1602" s="57" t="str">
        <f>IF(AC1602=1,S1602/M1602,"")</f>
        <v/>
      </c>
      <c r="X1602" s="57" t="str">
        <f>IF(AC1602=1,S1602/K1602,"")</f>
        <v/>
      </c>
      <c r="Y1602" s="58" t="str">
        <f>IF(W1602="","",IF(W1602&gt;=p_target,"Bon",IF(W1602&gt;=p_alert,"À surveiller","Faible")))</f>
        <v/>
      </c>
      <c r="Z1602" s="58" t="str">
        <f>IF(W1602="","",IF(MIN(IF(T1602="",1,T1602),IF(U1602="",1,U1602),IF(V1602="",1,V1602))&gt;=1,"Aucune",IF(IF(T1602="",1,T1602)&lt;=MIN(IF(U1602="",1,U1602),IF(V1602="",1,V1602)),"Disponibilité",IF(IF(U1602="",1,U1602)&lt;=IF(V1602="",1,V1602),"Performance","Qualité"))))</f>
        <v/>
      </c>
      <c r="AA1602" s="59" t="str">
        <f>IF(AC1602=1,N(H1602)*N(IFERROR(INDEX(art_cost,MATCH(E1602,art_ref,0)),0)),"")</f>
        <v/>
      </c>
      <c r="AB1602" s="58" t="str">
        <f>IF(COUNTA(A1602:I1602)=0,"",IF(N(A1602)&lt;=0,"Date manquante ou invalide",IF(B1602="","Équipe manquante",IF(ISNA(MATCH(B1602,eq_code,0)),"Équipe inconnue",IF(INDEX(eq_check,MATCH(B1602,eq_code,0))&lt;&gt;"OK","Équipe à corriger dans Paramètres",IF(C1602="","Poste manquant",IF(ISNA(MATCH(C1602,po_code,0)),"Poste inconnu",IF(AND(E1602&lt;&gt;"",ISNA(MATCH(E1602,art_ref,0))),"Article inconnu",IF(IF(E1602="",FALSE,INDEX(art_check,MATCH(E1602,art_ref,0))&lt;&gt;"OK"),"Article à corriger (feuille Articles)",IF(COUNTIFS(sj_date,A1602,sj_eq,B1602,sj_po,C1602)&gt;1,"Ligne en double (même jour, équipe et poste)",IF(OR(NOT(ISNUMBER(K1602)),N(K1602)&lt;=0,N(K1602)&gt;1440),"Temps d'ouverture invalide",IF(OR(AND(G1602&lt;&gt;"",NOT(ISNUMBER(G1602))),N(G1602)&lt;0,N(G1602)&lt;&gt;INT(N(G1602)),AND(H1602&lt;&gt;"",NOT(ISNUMBER(H1602))),N(H1602)&lt;0,N(H1602)&lt;&gt;INT(N(H1602)),AND(I1602&lt;&gt;"",NOT(ISNUMBER(I1602))),N(I1602)&lt;0,N(I1602)&lt;&gt;INT(N(I1602))),"Quantité invalide",IF(Q1602&lt;=0,"Cadence manquante (poste ou article)",IF(M1602&lt;=0,"Arrêts planifiés supérieurs au temps d'ouverture",IF(O1602&lt;0,"Arrêts supérieurs au temps requis",IF(AND(P1602&gt;0,O1602=0),"Pièces déclarées sans temps de marche",IF(AND(P1602=0,O1602&gt;0),"Aucune pièce déclarée",IF(P1602*60/Q1602&gt;O1602+0.001,"Cadence dépassée : vérifiez la cadence","OK"))))))))))))))))))</f>
        <v/>
      </c>
      <c r="AC1602">
        <f>IF(OR(AB1602="OK",AB1602="Aucune pièce déclarée",AB1602="Cadence dépassée : vérifiez la cadence"),1,0)</f>
        <v>0.0</v>
      </c>
      <c r="AD1602">
        <f>IF(AND(AC1602=1,A1602&gt;=p_from,A1602&lt;=p_to),1,0)</f>
        <v>0.0</v>
      </c>
      <c r="AE1602">
        <f>IF(AD1602=1,IF(COUNTIFS($A$6:A1602,A1602,$AD$6:AD1602,1)=1,1,0),0)</f>
        <v>0.0</v>
      </c>
      <c r="AF1602" t="str">
        <f>IF(AE1602=1,COUNTIFS(sj_first,1,sj_date,"&lt;"&amp;A1602)+1,"")</f>
        <v/>
      </c>
      <c r="AG1602" t="str">
        <f>IF(AND(AD1602=1,N(W1602)&lt;p_alert),ROUND(W1602,4),"")</f>
        <v/>
      </c>
      <c r="AH1602" t="str">
        <f>IF(AG1602="","",COUNTIF(sj_akey,"&lt;"&amp;AG1602)+COUNTIF($AG$6:AG1602,AG1602))</f>
        <v/>
      </c>
    </row>
    <row r="1603">
      <c r="A1603" s="51" t="n"/>
      <c r="B1603" s="52" t="n"/>
      <c r="C1603" s="52" t="n"/>
      <c r="D1603" s="53" t="n"/>
      <c r="E1603" s="53" t="n"/>
      <c r="F1603" s="54" t="n"/>
      <c r="G1603" s="54" t="n"/>
      <c r="H1603" s="54" t="n"/>
      <c r="I1603" s="54" t="n"/>
      <c r="J1603" s="53" t="n"/>
      <c r="K1603" s="55" t="str">
        <f>IF(COUNTA(A1603:I1603)=0,"",IF(F1603="",IFERROR(INDEX(eq_dur,MATCH(B1603,eq_code,0)),""),F1603))</f>
        <v/>
      </c>
      <c r="L1603" s="55" t="str">
        <f>IF(ISNUMBER(K1603),N(IFERROR(INDEX(eq_pause,MATCH(B1603,eq_code,0)),0))+SUMIFS(st_min,st_date,A1603,st_eq,B1603,st_po,C1603,st_type,"Planifié"),"")</f>
        <v/>
      </c>
      <c r="M1603" s="55" t="str">
        <f>IF(ISNUMBER(K1603),K1603-L1603,"")</f>
        <v/>
      </c>
      <c r="N1603" s="55" t="str">
        <f>IF(ISNUMBER(K1603),SUMIFS(st_min,st_date,A1603,st_eq,B1603,st_po,C1603,st_type,"Non planifié"),"")</f>
        <v/>
      </c>
      <c r="O1603" s="55" t="str">
        <f>IF(ISNUMBER(K1603),M1603-N1603,"")</f>
        <v/>
      </c>
      <c r="P1603" s="55" t="str">
        <f>IF(COUNTA(A1603:I1603)=0,"",N(G1603)+N(H1603)+N(I1603))</f>
        <v/>
      </c>
      <c r="Q1603" s="56" t="str">
        <f>IF(COUNTA(A1603:I1603)=0,"",IF(N(IFERROR(INDEX(art_rate,MATCH(E1603,art_ref,0)),0))&gt;0,N(IFERROR(INDEX(art_rate,MATCH(E1603,art_ref,0)),0)),N(IFERROR(INDEX(po_rate,MATCH(C1603,po_code,0)),0))))</f>
        <v/>
      </c>
      <c r="R1603" s="55" t="str">
        <f>IF(AC1603=1,P1603*60/Q1603,"")</f>
        <v/>
      </c>
      <c r="S1603" s="55" t="str">
        <f>IF(AC1603=1,N(G1603)*60/Q1603,"")</f>
        <v/>
      </c>
      <c r="T1603" s="57" t="str">
        <f>IF(AC1603=1,O1603/M1603,"")</f>
        <v/>
      </c>
      <c r="U1603" s="57" t="str">
        <f>IF(AC1603=1,IF(O1603&gt;0,R1603/O1603,""),"")</f>
        <v/>
      </c>
      <c r="V1603" s="57" t="str">
        <f>IF(AC1603=1,IF(P1603&gt;0,N(G1603)/P1603,""),"")</f>
        <v/>
      </c>
      <c r="W1603" s="57" t="str">
        <f>IF(AC1603=1,S1603/M1603,"")</f>
        <v/>
      </c>
      <c r="X1603" s="57" t="str">
        <f>IF(AC1603=1,S1603/K1603,"")</f>
        <v/>
      </c>
      <c r="Y1603" s="58" t="str">
        <f>IF(W1603="","",IF(W1603&gt;=p_target,"Bon",IF(W1603&gt;=p_alert,"À surveiller","Faible")))</f>
        <v/>
      </c>
      <c r="Z1603" s="58" t="str">
        <f>IF(W1603="","",IF(MIN(IF(T1603="",1,T1603),IF(U1603="",1,U1603),IF(V1603="",1,V1603))&gt;=1,"Aucune",IF(IF(T1603="",1,T1603)&lt;=MIN(IF(U1603="",1,U1603),IF(V1603="",1,V1603)),"Disponibilité",IF(IF(U1603="",1,U1603)&lt;=IF(V1603="",1,V1603),"Performance","Qualité"))))</f>
        <v/>
      </c>
      <c r="AA1603" s="59" t="str">
        <f>IF(AC1603=1,N(H1603)*N(IFERROR(INDEX(art_cost,MATCH(E1603,art_ref,0)),0)),"")</f>
        <v/>
      </c>
      <c r="AB1603" s="58" t="str">
        <f>IF(COUNTA(A1603:I1603)=0,"",IF(N(A1603)&lt;=0,"Date manquante ou invalide",IF(B1603="","Équipe manquante",IF(ISNA(MATCH(B1603,eq_code,0)),"Équipe inconnue",IF(INDEX(eq_check,MATCH(B1603,eq_code,0))&lt;&gt;"OK","Équipe à corriger dans Paramètres",IF(C1603="","Poste manquant",IF(ISNA(MATCH(C1603,po_code,0)),"Poste inconnu",IF(AND(E1603&lt;&gt;"",ISNA(MATCH(E1603,art_ref,0))),"Article inconnu",IF(IF(E1603="",FALSE,INDEX(art_check,MATCH(E1603,art_ref,0))&lt;&gt;"OK"),"Article à corriger (feuille Articles)",IF(COUNTIFS(sj_date,A1603,sj_eq,B1603,sj_po,C1603)&gt;1,"Ligne en double (même jour, équipe et poste)",IF(OR(NOT(ISNUMBER(K1603)),N(K1603)&lt;=0,N(K1603)&gt;1440),"Temps d'ouverture invalide",IF(OR(AND(G1603&lt;&gt;"",NOT(ISNUMBER(G1603))),N(G1603)&lt;0,N(G1603)&lt;&gt;INT(N(G1603)),AND(H1603&lt;&gt;"",NOT(ISNUMBER(H1603))),N(H1603)&lt;0,N(H1603)&lt;&gt;INT(N(H1603)),AND(I1603&lt;&gt;"",NOT(ISNUMBER(I1603))),N(I1603)&lt;0,N(I1603)&lt;&gt;INT(N(I1603))),"Quantité invalide",IF(Q1603&lt;=0,"Cadence manquante (poste ou article)",IF(M1603&lt;=0,"Arrêts planifiés supérieurs au temps d'ouverture",IF(O1603&lt;0,"Arrêts supérieurs au temps requis",IF(AND(P1603&gt;0,O1603=0),"Pièces déclarées sans temps de marche",IF(AND(P1603=0,O1603&gt;0),"Aucune pièce déclarée",IF(P1603*60/Q1603&gt;O1603+0.001,"Cadence dépassée : vérifiez la cadence","OK"))))))))))))))))))</f>
        <v/>
      </c>
      <c r="AC1603">
        <f>IF(OR(AB1603="OK",AB1603="Aucune pièce déclarée",AB1603="Cadence dépassée : vérifiez la cadence"),1,0)</f>
        <v>0.0</v>
      </c>
      <c r="AD1603">
        <f>IF(AND(AC1603=1,A1603&gt;=p_from,A1603&lt;=p_to),1,0)</f>
        <v>0.0</v>
      </c>
      <c r="AE1603">
        <f>IF(AD1603=1,IF(COUNTIFS($A$6:A1603,A1603,$AD$6:AD1603,1)=1,1,0),0)</f>
        <v>0.0</v>
      </c>
      <c r="AF1603" t="str">
        <f>IF(AE1603=1,COUNTIFS(sj_first,1,sj_date,"&lt;"&amp;A1603)+1,"")</f>
        <v/>
      </c>
      <c r="AG1603" t="str">
        <f>IF(AND(AD1603=1,N(W1603)&lt;p_alert),ROUND(W1603,4),"")</f>
        <v/>
      </c>
      <c r="AH1603" t="str">
        <f>IF(AG1603="","",COUNTIF(sj_akey,"&lt;"&amp;AG1603)+COUNTIF($AG$6:AG1603,AG1603))</f>
        <v/>
      </c>
    </row>
    <row r="1604">
      <c r="A1604" s="51" t="n"/>
      <c r="B1604" s="52" t="n"/>
      <c r="C1604" s="52" t="n"/>
      <c r="D1604" s="53" t="n"/>
      <c r="E1604" s="53" t="n"/>
      <c r="F1604" s="54" t="n"/>
      <c r="G1604" s="54" t="n"/>
      <c r="H1604" s="54" t="n"/>
      <c r="I1604" s="54" t="n"/>
      <c r="J1604" s="53" t="n"/>
      <c r="K1604" s="55" t="str">
        <f>IF(COUNTA(A1604:I1604)=0,"",IF(F1604="",IFERROR(INDEX(eq_dur,MATCH(B1604,eq_code,0)),""),F1604))</f>
        <v/>
      </c>
      <c r="L1604" s="55" t="str">
        <f>IF(ISNUMBER(K1604),N(IFERROR(INDEX(eq_pause,MATCH(B1604,eq_code,0)),0))+SUMIFS(st_min,st_date,A1604,st_eq,B1604,st_po,C1604,st_type,"Planifié"),"")</f>
        <v/>
      </c>
      <c r="M1604" s="55" t="str">
        <f>IF(ISNUMBER(K1604),K1604-L1604,"")</f>
        <v/>
      </c>
      <c r="N1604" s="55" t="str">
        <f>IF(ISNUMBER(K1604),SUMIFS(st_min,st_date,A1604,st_eq,B1604,st_po,C1604,st_type,"Non planifié"),"")</f>
        <v/>
      </c>
      <c r="O1604" s="55" t="str">
        <f>IF(ISNUMBER(K1604),M1604-N1604,"")</f>
        <v/>
      </c>
      <c r="P1604" s="55" t="str">
        <f>IF(COUNTA(A1604:I1604)=0,"",N(G1604)+N(H1604)+N(I1604))</f>
        <v/>
      </c>
      <c r="Q1604" s="56" t="str">
        <f>IF(COUNTA(A1604:I1604)=0,"",IF(N(IFERROR(INDEX(art_rate,MATCH(E1604,art_ref,0)),0))&gt;0,N(IFERROR(INDEX(art_rate,MATCH(E1604,art_ref,0)),0)),N(IFERROR(INDEX(po_rate,MATCH(C1604,po_code,0)),0))))</f>
        <v/>
      </c>
      <c r="R1604" s="55" t="str">
        <f>IF(AC1604=1,P1604*60/Q1604,"")</f>
        <v/>
      </c>
      <c r="S1604" s="55" t="str">
        <f>IF(AC1604=1,N(G1604)*60/Q1604,"")</f>
        <v/>
      </c>
      <c r="T1604" s="57" t="str">
        <f>IF(AC1604=1,O1604/M1604,"")</f>
        <v/>
      </c>
      <c r="U1604" s="57" t="str">
        <f>IF(AC1604=1,IF(O1604&gt;0,R1604/O1604,""),"")</f>
        <v/>
      </c>
      <c r="V1604" s="57" t="str">
        <f>IF(AC1604=1,IF(P1604&gt;0,N(G1604)/P1604,""),"")</f>
        <v/>
      </c>
      <c r="W1604" s="57" t="str">
        <f>IF(AC1604=1,S1604/M1604,"")</f>
        <v/>
      </c>
      <c r="X1604" s="57" t="str">
        <f>IF(AC1604=1,S1604/K1604,"")</f>
        <v/>
      </c>
      <c r="Y1604" s="58" t="str">
        <f>IF(W1604="","",IF(W1604&gt;=p_target,"Bon",IF(W1604&gt;=p_alert,"À surveiller","Faible")))</f>
        <v/>
      </c>
      <c r="Z1604" s="58" t="str">
        <f>IF(W1604="","",IF(MIN(IF(T1604="",1,T1604),IF(U1604="",1,U1604),IF(V1604="",1,V1604))&gt;=1,"Aucune",IF(IF(T1604="",1,T1604)&lt;=MIN(IF(U1604="",1,U1604),IF(V1604="",1,V1604)),"Disponibilité",IF(IF(U1604="",1,U1604)&lt;=IF(V1604="",1,V1604),"Performance","Qualité"))))</f>
        <v/>
      </c>
      <c r="AA1604" s="59" t="str">
        <f>IF(AC1604=1,N(H1604)*N(IFERROR(INDEX(art_cost,MATCH(E1604,art_ref,0)),0)),"")</f>
        <v/>
      </c>
      <c r="AB1604" s="58" t="str">
        <f>IF(COUNTA(A1604:I1604)=0,"",IF(N(A1604)&lt;=0,"Date manquante ou invalide",IF(B1604="","Équipe manquante",IF(ISNA(MATCH(B1604,eq_code,0)),"Équipe inconnue",IF(INDEX(eq_check,MATCH(B1604,eq_code,0))&lt;&gt;"OK","Équipe à corriger dans Paramètres",IF(C1604="","Poste manquant",IF(ISNA(MATCH(C1604,po_code,0)),"Poste inconnu",IF(AND(E1604&lt;&gt;"",ISNA(MATCH(E1604,art_ref,0))),"Article inconnu",IF(IF(E1604="",FALSE,INDEX(art_check,MATCH(E1604,art_ref,0))&lt;&gt;"OK"),"Article à corriger (feuille Articles)",IF(COUNTIFS(sj_date,A1604,sj_eq,B1604,sj_po,C1604)&gt;1,"Ligne en double (même jour, équipe et poste)",IF(OR(NOT(ISNUMBER(K1604)),N(K1604)&lt;=0,N(K1604)&gt;1440),"Temps d'ouverture invalide",IF(OR(AND(G1604&lt;&gt;"",NOT(ISNUMBER(G1604))),N(G1604)&lt;0,N(G1604)&lt;&gt;INT(N(G1604)),AND(H1604&lt;&gt;"",NOT(ISNUMBER(H1604))),N(H1604)&lt;0,N(H1604)&lt;&gt;INT(N(H1604)),AND(I1604&lt;&gt;"",NOT(ISNUMBER(I1604))),N(I1604)&lt;0,N(I1604)&lt;&gt;INT(N(I1604))),"Quantité invalide",IF(Q1604&lt;=0,"Cadence manquante (poste ou article)",IF(M1604&lt;=0,"Arrêts planifiés supérieurs au temps d'ouverture",IF(O1604&lt;0,"Arrêts supérieurs au temps requis",IF(AND(P1604&gt;0,O1604=0),"Pièces déclarées sans temps de marche",IF(AND(P1604=0,O1604&gt;0),"Aucune pièce déclarée",IF(P1604*60/Q1604&gt;O1604+0.001,"Cadence dépassée : vérifiez la cadence","OK"))))))))))))))))))</f>
        <v/>
      </c>
      <c r="AC1604">
        <f>IF(OR(AB1604="OK",AB1604="Aucune pièce déclarée",AB1604="Cadence dépassée : vérifiez la cadence"),1,0)</f>
        <v>0.0</v>
      </c>
      <c r="AD1604">
        <f>IF(AND(AC1604=1,A1604&gt;=p_from,A1604&lt;=p_to),1,0)</f>
        <v>0.0</v>
      </c>
      <c r="AE1604">
        <f>IF(AD1604=1,IF(COUNTIFS($A$6:A1604,A1604,$AD$6:AD1604,1)=1,1,0),0)</f>
        <v>0.0</v>
      </c>
      <c r="AF1604" t="str">
        <f>IF(AE1604=1,COUNTIFS(sj_first,1,sj_date,"&lt;"&amp;A1604)+1,"")</f>
        <v/>
      </c>
      <c r="AG1604" t="str">
        <f>IF(AND(AD1604=1,N(W1604)&lt;p_alert),ROUND(W1604,4),"")</f>
        <v/>
      </c>
      <c r="AH1604" t="str">
        <f>IF(AG1604="","",COUNTIF(sj_akey,"&lt;"&amp;AG1604)+COUNTIF($AG$6:AG1604,AG1604))</f>
        <v/>
      </c>
    </row>
    <row r="1605">
      <c r="A1605" s="51" t="n"/>
      <c r="B1605" s="52" t="n"/>
      <c r="C1605" s="52" t="n"/>
      <c r="D1605" s="53" t="n"/>
      <c r="E1605" s="53" t="n"/>
      <c r="F1605" s="54" t="n"/>
      <c r="G1605" s="54" t="n"/>
      <c r="H1605" s="54" t="n"/>
      <c r="I1605" s="54" t="n"/>
      <c r="J1605" s="53" t="n"/>
      <c r="K1605" s="55" t="str">
        <f>IF(COUNTA(A1605:I1605)=0,"",IF(F1605="",IFERROR(INDEX(eq_dur,MATCH(B1605,eq_code,0)),""),F1605))</f>
        <v/>
      </c>
      <c r="L1605" s="55" t="str">
        <f>IF(ISNUMBER(K1605),N(IFERROR(INDEX(eq_pause,MATCH(B1605,eq_code,0)),0))+SUMIFS(st_min,st_date,A1605,st_eq,B1605,st_po,C1605,st_type,"Planifié"),"")</f>
        <v/>
      </c>
      <c r="M1605" s="55" t="str">
        <f>IF(ISNUMBER(K1605),K1605-L1605,"")</f>
        <v/>
      </c>
      <c r="N1605" s="55" t="str">
        <f>IF(ISNUMBER(K1605),SUMIFS(st_min,st_date,A1605,st_eq,B1605,st_po,C1605,st_type,"Non planifié"),"")</f>
        <v/>
      </c>
      <c r="O1605" s="55" t="str">
        <f>IF(ISNUMBER(K1605),M1605-N1605,"")</f>
        <v/>
      </c>
      <c r="P1605" s="55" t="str">
        <f>IF(COUNTA(A1605:I1605)=0,"",N(G1605)+N(H1605)+N(I1605))</f>
        <v/>
      </c>
      <c r="Q1605" s="56" t="str">
        <f>IF(COUNTA(A1605:I1605)=0,"",IF(N(IFERROR(INDEX(art_rate,MATCH(E1605,art_ref,0)),0))&gt;0,N(IFERROR(INDEX(art_rate,MATCH(E1605,art_ref,0)),0)),N(IFERROR(INDEX(po_rate,MATCH(C1605,po_code,0)),0))))</f>
        <v/>
      </c>
      <c r="R1605" s="55" t="str">
        <f>IF(AC1605=1,P1605*60/Q1605,"")</f>
        <v/>
      </c>
      <c r="S1605" s="55" t="str">
        <f>IF(AC1605=1,N(G1605)*60/Q1605,"")</f>
        <v/>
      </c>
      <c r="T1605" s="57" t="str">
        <f>IF(AC1605=1,O1605/M1605,"")</f>
        <v/>
      </c>
      <c r="U1605" s="57" t="str">
        <f>IF(AC1605=1,IF(O1605&gt;0,R1605/O1605,""),"")</f>
        <v/>
      </c>
      <c r="V1605" s="57" t="str">
        <f>IF(AC1605=1,IF(P1605&gt;0,N(G1605)/P1605,""),"")</f>
        <v/>
      </c>
      <c r="W1605" s="57" t="str">
        <f>IF(AC1605=1,S1605/M1605,"")</f>
        <v/>
      </c>
      <c r="X1605" s="57" t="str">
        <f>IF(AC1605=1,S1605/K1605,"")</f>
        <v/>
      </c>
      <c r="Y1605" s="58" t="str">
        <f>IF(W1605="","",IF(W1605&gt;=p_target,"Bon",IF(W1605&gt;=p_alert,"À surveiller","Faible")))</f>
        <v/>
      </c>
      <c r="Z1605" s="58" t="str">
        <f>IF(W1605="","",IF(MIN(IF(T1605="",1,T1605),IF(U1605="",1,U1605),IF(V1605="",1,V1605))&gt;=1,"Aucune",IF(IF(T1605="",1,T1605)&lt;=MIN(IF(U1605="",1,U1605),IF(V1605="",1,V1605)),"Disponibilité",IF(IF(U1605="",1,U1605)&lt;=IF(V1605="",1,V1605),"Performance","Qualité"))))</f>
        <v/>
      </c>
      <c r="AA1605" s="59" t="str">
        <f>IF(AC1605=1,N(H1605)*N(IFERROR(INDEX(art_cost,MATCH(E1605,art_ref,0)),0)),"")</f>
        <v/>
      </c>
      <c r="AB1605" s="58" t="str">
        <f>IF(COUNTA(A1605:I1605)=0,"",IF(N(A1605)&lt;=0,"Date manquante ou invalide",IF(B1605="","Équipe manquante",IF(ISNA(MATCH(B1605,eq_code,0)),"Équipe inconnue",IF(INDEX(eq_check,MATCH(B1605,eq_code,0))&lt;&gt;"OK","Équipe à corriger dans Paramètres",IF(C1605="","Poste manquant",IF(ISNA(MATCH(C1605,po_code,0)),"Poste inconnu",IF(AND(E1605&lt;&gt;"",ISNA(MATCH(E1605,art_ref,0))),"Article inconnu",IF(IF(E1605="",FALSE,INDEX(art_check,MATCH(E1605,art_ref,0))&lt;&gt;"OK"),"Article à corriger (feuille Articles)",IF(COUNTIFS(sj_date,A1605,sj_eq,B1605,sj_po,C1605)&gt;1,"Ligne en double (même jour, équipe et poste)",IF(OR(NOT(ISNUMBER(K1605)),N(K1605)&lt;=0,N(K1605)&gt;1440),"Temps d'ouverture invalide",IF(OR(AND(G1605&lt;&gt;"",NOT(ISNUMBER(G1605))),N(G1605)&lt;0,N(G1605)&lt;&gt;INT(N(G1605)),AND(H1605&lt;&gt;"",NOT(ISNUMBER(H1605))),N(H1605)&lt;0,N(H1605)&lt;&gt;INT(N(H1605)),AND(I1605&lt;&gt;"",NOT(ISNUMBER(I1605))),N(I1605)&lt;0,N(I1605)&lt;&gt;INT(N(I1605))),"Quantité invalide",IF(Q1605&lt;=0,"Cadence manquante (poste ou article)",IF(M1605&lt;=0,"Arrêts planifiés supérieurs au temps d'ouverture",IF(O1605&lt;0,"Arrêts supérieurs au temps requis",IF(AND(P1605&gt;0,O1605=0),"Pièces déclarées sans temps de marche",IF(AND(P1605=0,O1605&gt;0),"Aucune pièce déclarée",IF(P1605*60/Q1605&gt;O1605+0.001,"Cadence dépassée : vérifiez la cadence","OK"))))))))))))))))))</f>
        <v/>
      </c>
      <c r="AC1605">
        <f>IF(OR(AB1605="OK",AB1605="Aucune pièce déclarée",AB1605="Cadence dépassée : vérifiez la cadence"),1,0)</f>
        <v>0.0</v>
      </c>
      <c r="AD1605">
        <f>IF(AND(AC1605=1,A1605&gt;=p_from,A1605&lt;=p_to),1,0)</f>
        <v>0.0</v>
      </c>
      <c r="AE1605">
        <f>IF(AD1605=1,IF(COUNTIFS($A$6:A1605,A1605,$AD$6:AD1605,1)=1,1,0),0)</f>
        <v>0.0</v>
      </c>
      <c r="AF1605" t="str">
        <f>IF(AE1605=1,COUNTIFS(sj_first,1,sj_date,"&lt;"&amp;A1605)+1,"")</f>
        <v/>
      </c>
      <c r="AG1605" t="str">
        <f>IF(AND(AD1605=1,N(W1605)&lt;p_alert),ROUND(W1605,4),"")</f>
        <v/>
      </c>
      <c r="AH1605" t="str">
        <f>IF(AG1605="","",COUNTIF(sj_akey,"&lt;"&amp;AG1605)+COUNTIF($AG$6:AG1605,AG1605))</f>
        <v/>
      </c>
    </row>
    <row r="1606">
      <c r="A1606" s="51" t="n"/>
      <c r="B1606" s="52" t="n"/>
      <c r="C1606" s="52" t="n"/>
      <c r="D1606" s="53" t="n"/>
      <c r="E1606" s="53" t="n"/>
      <c r="F1606" s="54" t="n"/>
      <c r="G1606" s="54" t="n"/>
      <c r="H1606" s="54" t="n"/>
      <c r="I1606" s="54" t="n"/>
      <c r="J1606" s="53" t="n"/>
      <c r="K1606" s="55" t="str">
        <f>IF(COUNTA(A1606:I1606)=0,"",IF(F1606="",IFERROR(INDEX(eq_dur,MATCH(B1606,eq_code,0)),""),F1606))</f>
        <v/>
      </c>
      <c r="L1606" s="55" t="str">
        <f>IF(ISNUMBER(K1606),N(IFERROR(INDEX(eq_pause,MATCH(B1606,eq_code,0)),0))+SUMIFS(st_min,st_date,A1606,st_eq,B1606,st_po,C1606,st_type,"Planifié"),"")</f>
        <v/>
      </c>
      <c r="M1606" s="55" t="str">
        <f>IF(ISNUMBER(K1606),K1606-L1606,"")</f>
        <v/>
      </c>
      <c r="N1606" s="55" t="str">
        <f>IF(ISNUMBER(K1606),SUMIFS(st_min,st_date,A1606,st_eq,B1606,st_po,C1606,st_type,"Non planifié"),"")</f>
        <v/>
      </c>
      <c r="O1606" s="55" t="str">
        <f>IF(ISNUMBER(K1606),M1606-N1606,"")</f>
        <v/>
      </c>
      <c r="P1606" s="55" t="str">
        <f>IF(COUNTA(A1606:I1606)=0,"",N(G1606)+N(H1606)+N(I1606))</f>
        <v/>
      </c>
      <c r="Q1606" s="56" t="str">
        <f>IF(COUNTA(A1606:I1606)=0,"",IF(N(IFERROR(INDEX(art_rate,MATCH(E1606,art_ref,0)),0))&gt;0,N(IFERROR(INDEX(art_rate,MATCH(E1606,art_ref,0)),0)),N(IFERROR(INDEX(po_rate,MATCH(C1606,po_code,0)),0))))</f>
        <v/>
      </c>
      <c r="R1606" s="55" t="str">
        <f>IF(AC1606=1,P1606*60/Q1606,"")</f>
        <v/>
      </c>
      <c r="S1606" s="55" t="str">
        <f>IF(AC1606=1,N(G1606)*60/Q1606,"")</f>
        <v/>
      </c>
      <c r="T1606" s="57" t="str">
        <f>IF(AC1606=1,O1606/M1606,"")</f>
        <v/>
      </c>
      <c r="U1606" s="57" t="str">
        <f>IF(AC1606=1,IF(O1606&gt;0,R1606/O1606,""),"")</f>
        <v/>
      </c>
      <c r="V1606" s="57" t="str">
        <f>IF(AC1606=1,IF(P1606&gt;0,N(G1606)/P1606,""),"")</f>
        <v/>
      </c>
      <c r="W1606" s="57" t="str">
        <f>IF(AC1606=1,S1606/M1606,"")</f>
        <v/>
      </c>
      <c r="X1606" s="57" t="str">
        <f>IF(AC1606=1,S1606/K1606,"")</f>
        <v/>
      </c>
      <c r="Y1606" s="58" t="str">
        <f>IF(W1606="","",IF(W1606&gt;=p_target,"Bon",IF(W1606&gt;=p_alert,"À surveiller","Faible")))</f>
        <v/>
      </c>
      <c r="Z1606" s="58" t="str">
        <f>IF(W1606="","",IF(MIN(IF(T1606="",1,T1606),IF(U1606="",1,U1606),IF(V1606="",1,V1606))&gt;=1,"Aucune",IF(IF(T1606="",1,T1606)&lt;=MIN(IF(U1606="",1,U1606),IF(V1606="",1,V1606)),"Disponibilité",IF(IF(U1606="",1,U1606)&lt;=IF(V1606="",1,V1606),"Performance","Qualité"))))</f>
        <v/>
      </c>
      <c r="AA1606" s="59" t="str">
        <f>IF(AC1606=1,N(H1606)*N(IFERROR(INDEX(art_cost,MATCH(E1606,art_ref,0)),0)),"")</f>
        <v/>
      </c>
      <c r="AB1606" s="58" t="str">
        <f>IF(COUNTA(A1606:I1606)=0,"",IF(N(A1606)&lt;=0,"Date manquante ou invalide",IF(B1606="","Équipe manquante",IF(ISNA(MATCH(B1606,eq_code,0)),"Équipe inconnue",IF(INDEX(eq_check,MATCH(B1606,eq_code,0))&lt;&gt;"OK","Équipe à corriger dans Paramètres",IF(C1606="","Poste manquant",IF(ISNA(MATCH(C1606,po_code,0)),"Poste inconnu",IF(AND(E1606&lt;&gt;"",ISNA(MATCH(E1606,art_ref,0))),"Article inconnu",IF(IF(E1606="",FALSE,INDEX(art_check,MATCH(E1606,art_ref,0))&lt;&gt;"OK"),"Article à corriger (feuille Articles)",IF(COUNTIFS(sj_date,A1606,sj_eq,B1606,sj_po,C1606)&gt;1,"Ligne en double (même jour, équipe et poste)",IF(OR(NOT(ISNUMBER(K1606)),N(K1606)&lt;=0,N(K1606)&gt;1440),"Temps d'ouverture invalide",IF(OR(AND(G1606&lt;&gt;"",NOT(ISNUMBER(G1606))),N(G1606)&lt;0,N(G1606)&lt;&gt;INT(N(G1606)),AND(H1606&lt;&gt;"",NOT(ISNUMBER(H1606))),N(H1606)&lt;0,N(H1606)&lt;&gt;INT(N(H1606)),AND(I1606&lt;&gt;"",NOT(ISNUMBER(I1606))),N(I1606)&lt;0,N(I1606)&lt;&gt;INT(N(I1606))),"Quantité invalide",IF(Q1606&lt;=0,"Cadence manquante (poste ou article)",IF(M1606&lt;=0,"Arrêts planifiés supérieurs au temps d'ouverture",IF(O1606&lt;0,"Arrêts supérieurs au temps requis",IF(AND(P1606&gt;0,O1606=0),"Pièces déclarées sans temps de marche",IF(AND(P1606=0,O1606&gt;0),"Aucune pièce déclarée",IF(P1606*60/Q1606&gt;O1606+0.001,"Cadence dépassée : vérifiez la cadence","OK"))))))))))))))))))</f>
        <v/>
      </c>
      <c r="AC1606">
        <f>IF(OR(AB1606="OK",AB1606="Aucune pièce déclarée",AB1606="Cadence dépassée : vérifiez la cadence"),1,0)</f>
        <v>0.0</v>
      </c>
      <c r="AD1606">
        <f>IF(AND(AC1606=1,A1606&gt;=p_from,A1606&lt;=p_to),1,0)</f>
        <v>0.0</v>
      </c>
      <c r="AE1606">
        <f>IF(AD1606=1,IF(COUNTIFS($A$6:A1606,A1606,$AD$6:AD1606,1)=1,1,0),0)</f>
        <v>0.0</v>
      </c>
      <c r="AF1606" t="str">
        <f>IF(AE1606=1,COUNTIFS(sj_first,1,sj_date,"&lt;"&amp;A1606)+1,"")</f>
        <v/>
      </c>
      <c r="AG1606" t="str">
        <f>IF(AND(AD1606=1,N(W1606)&lt;p_alert),ROUND(W1606,4),"")</f>
        <v/>
      </c>
      <c r="AH1606" t="str">
        <f>IF(AG1606="","",COUNTIF(sj_akey,"&lt;"&amp;AG1606)+COUNTIF($AG$6:AG1606,AG1606))</f>
        <v/>
      </c>
    </row>
    <row r="1607">
      <c r="A1607" s="51" t="n"/>
      <c r="B1607" s="52" t="n"/>
      <c r="C1607" s="52" t="n"/>
      <c r="D1607" s="53" t="n"/>
      <c r="E1607" s="53" t="n"/>
      <c r="F1607" s="54" t="n"/>
      <c r="G1607" s="54" t="n"/>
      <c r="H1607" s="54" t="n"/>
      <c r="I1607" s="54" t="n"/>
      <c r="J1607" s="53" t="n"/>
      <c r="K1607" s="55" t="str">
        <f>IF(COUNTA(A1607:I1607)=0,"",IF(F1607="",IFERROR(INDEX(eq_dur,MATCH(B1607,eq_code,0)),""),F1607))</f>
        <v/>
      </c>
      <c r="L1607" s="55" t="str">
        <f>IF(ISNUMBER(K1607),N(IFERROR(INDEX(eq_pause,MATCH(B1607,eq_code,0)),0))+SUMIFS(st_min,st_date,A1607,st_eq,B1607,st_po,C1607,st_type,"Planifié"),"")</f>
        <v/>
      </c>
      <c r="M1607" s="55" t="str">
        <f>IF(ISNUMBER(K1607),K1607-L1607,"")</f>
        <v/>
      </c>
      <c r="N1607" s="55" t="str">
        <f>IF(ISNUMBER(K1607),SUMIFS(st_min,st_date,A1607,st_eq,B1607,st_po,C1607,st_type,"Non planifié"),"")</f>
        <v/>
      </c>
      <c r="O1607" s="55" t="str">
        <f>IF(ISNUMBER(K1607),M1607-N1607,"")</f>
        <v/>
      </c>
      <c r="P1607" s="55" t="str">
        <f>IF(COUNTA(A1607:I1607)=0,"",N(G1607)+N(H1607)+N(I1607))</f>
        <v/>
      </c>
      <c r="Q1607" s="56" t="str">
        <f>IF(COUNTA(A1607:I1607)=0,"",IF(N(IFERROR(INDEX(art_rate,MATCH(E1607,art_ref,0)),0))&gt;0,N(IFERROR(INDEX(art_rate,MATCH(E1607,art_ref,0)),0)),N(IFERROR(INDEX(po_rate,MATCH(C1607,po_code,0)),0))))</f>
        <v/>
      </c>
      <c r="R1607" s="55" t="str">
        <f>IF(AC1607=1,P1607*60/Q1607,"")</f>
        <v/>
      </c>
      <c r="S1607" s="55" t="str">
        <f>IF(AC1607=1,N(G1607)*60/Q1607,"")</f>
        <v/>
      </c>
      <c r="T1607" s="57" t="str">
        <f>IF(AC1607=1,O1607/M1607,"")</f>
        <v/>
      </c>
      <c r="U1607" s="57" t="str">
        <f>IF(AC1607=1,IF(O1607&gt;0,R1607/O1607,""),"")</f>
        <v/>
      </c>
      <c r="V1607" s="57" t="str">
        <f>IF(AC1607=1,IF(P1607&gt;0,N(G1607)/P1607,""),"")</f>
        <v/>
      </c>
      <c r="W1607" s="57" t="str">
        <f>IF(AC1607=1,S1607/M1607,"")</f>
        <v/>
      </c>
      <c r="X1607" s="57" t="str">
        <f>IF(AC1607=1,S1607/K1607,"")</f>
        <v/>
      </c>
      <c r="Y1607" s="58" t="str">
        <f>IF(W1607="","",IF(W1607&gt;=p_target,"Bon",IF(W1607&gt;=p_alert,"À surveiller","Faible")))</f>
        <v/>
      </c>
      <c r="Z1607" s="58" t="str">
        <f>IF(W1607="","",IF(MIN(IF(T1607="",1,T1607),IF(U1607="",1,U1607),IF(V1607="",1,V1607))&gt;=1,"Aucune",IF(IF(T1607="",1,T1607)&lt;=MIN(IF(U1607="",1,U1607),IF(V1607="",1,V1607)),"Disponibilité",IF(IF(U1607="",1,U1607)&lt;=IF(V1607="",1,V1607),"Performance","Qualité"))))</f>
        <v/>
      </c>
      <c r="AA1607" s="59" t="str">
        <f>IF(AC1607=1,N(H1607)*N(IFERROR(INDEX(art_cost,MATCH(E1607,art_ref,0)),0)),"")</f>
        <v/>
      </c>
      <c r="AB1607" s="58" t="str">
        <f>IF(COUNTA(A1607:I1607)=0,"",IF(N(A1607)&lt;=0,"Date manquante ou invalide",IF(B1607="","Équipe manquante",IF(ISNA(MATCH(B1607,eq_code,0)),"Équipe inconnue",IF(INDEX(eq_check,MATCH(B1607,eq_code,0))&lt;&gt;"OK","Équipe à corriger dans Paramètres",IF(C1607="","Poste manquant",IF(ISNA(MATCH(C1607,po_code,0)),"Poste inconnu",IF(AND(E1607&lt;&gt;"",ISNA(MATCH(E1607,art_ref,0))),"Article inconnu",IF(IF(E1607="",FALSE,INDEX(art_check,MATCH(E1607,art_ref,0))&lt;&gt;"OK"),"Article à corriger (feuille Articles)",IF(COUNTIFS(sj_date,A1607,sj_eq,B1607,sj_po,C1607)&gt;1,"Ligne en double (même jour, équipe et poste)",IF(OR(NOT(ISNUMBER(K1607)),N(K1607)&lt;=0,N(K1607)&gt;1440),"Temps d'ouverture invalide",IF(OR(AND(G1607&lt;&gt;"",NOT(ISNUMBER(G1607))),N(G1607)&lt;0,N(G1607)&lt;&gt;INT(N(G1607)),AND(H1607&lt;&gt;"",NOT(ISNUMBER(H1607))),N(H1607)&lt;0,N(H1607)&lt;&gt;INT(N(H1607)),AND(I1607&lt;&gt;"",NOT(ISNUMBER(I1607))),N(I1607)&lt;0,N(I1607)&lt;&gt;INT(N(I1607))),"Quantité invalide",IF(Q1607&lt;=0,"Cadence manquante (poste ou article)",IF(M1607&lt;=0,"Arrêts planifiés supérieurs au temps d'ouverture",IF(O1607&lt;0,"Arrêts supérieurs au temps requis",IF(AND(P1607&gt;0,O1607=0),"Pièces déclarées sans temps de marche",IF(AND(P1607=0,O1607&gt;0),"Aucune pièce déclarée",IF(P1607*60/Q1607&gt;O1607+0.001,"Cadence dépassée : vérifiez la cadence","OK"))))))))))))))))))</f>
        <v/>
      </c>
      <c r="AC1607">
        <f>IF(OR(AB1607="OK",AB1607="Aucune pièce déclarée",AB1607="Cadence dépassée : vérifiez la cadence"),1,0)</f>
        <v>0.0</v>
      </c>
      <c r="AD1607">
        <f>IF(AND(AC1607=1,A1607&gt;=p_from,A1607&lt;=p_to),1,0)</f>
        <v>0.0</v>
      </c>
      <c r="AE1607">
        <f>IF(AD1607=1,IF(COUNTIFS($A$6:A1607,A1607,$AD$6:AD1607,1)=1,1,0),0)</f>
        <v>0.0</v>
      </c>
      <c r="AF1607" t="str">
        <f>IF(AE1607=1,COUNTIFS(sj_first,1,sj_date,"&lt;"&amp;A1607)+1,"")</f>
        <v/>
      </c>
      <c r="AG1607" t="str">
        <f>IF(AND(AD1607=1,N(W1607)&lt;p_alert),ROUND(W1607,4),"")</f>
        <v/>
      </c>
      <c r="AH1607" t="str">
        <f>IF(AG1607="","",COUNTIF(sj_akey,"&lt;"&amp;AG1607)+COUNTIF($AG$6:AG1607,AG1607))</f>
        <v/>
      </c>
    </row>
    <row r="1608">
      <c r="A1608" s="51" t="n"/>
      <c r="B1608" s="52" t="n"/>
      <c r="C1608" s="52" t="n"/>
      <c r="D1608" s="53" t="n"/>
      <c r="E1608" s="53" t="n"/>
      <c r="F1608" s="54" t="n"/>
      <c r="G1608" s="54" t="n"/>
      <c r="H1608" s="54" t="n"/>
      <c r="I1608" s="54" t="n"/>
      <c r="J1608" s="53" t="n"/>
      <c r="K1608" s="55" t="str">
        <f>IF(COUNTA(A1608:I1608)=0,"",IF(F1608="",IFERROR(INDEX(eq_dur,MATCH(B1608,eq_code,0)),""),F1608))</f>
        <v/>
      </c>
      <c r="L1608" s="55" t="str">
        <f>IF(ISNUMBER(K1608),N(IFERROR(INDEX(eq_pause,MATCH(B1608,eq_code,0)),0))+SUMIFS(st_min,st_date,A1608,st_eq,B1608,st_po,C1608,st_type,"Planifié"),"")</f>
        <v/>
      </c>
      <c r="M1608" s="55" t="str">
        <f>IF(ISNUMBER(K1608),K1608-L1608,"")</f>
        <v/>
      </c>
      <c r="N1608" s="55" t="str">
        <f>IF(ISNUMBER(K1608),SUMIFS(st_min,st_date,A1608,st_eq,B1608,st_po,C1608,st_type,"Non planifié"),"")</f>
        <v/>
      </c>
      <c r="O1608" s="55" t="str">
        <f>IF(ISNUMBER(K1608),M1608-N1608,"")</f>
        <v/>
      </c>
      <c r="P1608" s="55" t="str">
        <f>IF(COUNTA(A1608:I1608)=0,"",N(G1608)+N(H1608)+N(I1608))</f>
        <v/>
      </c>
      <c r="Q1608" s="56" t="str">
        <f>IF(COUNTA(A1608:I1608)=0,"",IF(N(IFERROR(INDEX(art_rate,MATCH(E1608,art_ref,0)),0))&gt;0,N(IFERROR(INDEX(art_rate,MATCH(E1608,art_ref,0)),0)),N(IFERROR(INDEX(po_rate,MATCH(C1608,po_code,0)),0))))</f>
        <v/>
      </c>
      <c r="R1608" s="55" t="str">
        <f>IF(AC1608=1,P1608*60/Q1608,"")</f>
        <v/>
      </c>
      <c r="S1608" s="55" t="str">
        <f>IF(AC1608=1,N(G1608)*60/Q1608,"")</f>
        <v/>
      </c>
      <c r="T1608" s="57" t="str">
        <f>IF(AC1608=1,O1608/M1608,"")</f>
        <v/>
      </c>
      <c r="U1608" s="57" t="str">
        <f>IF(AC1608=1,IF(O1608&gt;0,R1608/O1608,""),"")</f>
        <v/>
      </c>
      <c r="V1608" s="57" t="str">
        <f>IF(AC1608=1,IF(P1608&gt;0,N(G1608)/P1608,""),"")</f>
        <v/>
      </c>
      <c r="W1608" s="57" t="str">
        <f>IF(AC1608=1,S1608/M1608,"")</f>
        <v/>
      </c>
      <c r="X1608" s="57" t="str">
        <f>IF(AC1608=1,S1608/K1608,"")</f>
        <v/>
      </c>
      <c r="Y1608" s="58" t="str">
        <f>IF(W1608="","",IF(W1608&gt;=p_target,"Bon",IF(W1608&gt;=p_alert,"À surveiller","Faible")))</f>
        <v/>
      </c>
      <c r="Z1608" s="58" t="str">
        <f>IF(W1608="","",IF(MIN(IF(T1608="",1,T1608),IF(U1608="",1,U1608),IF(V1608="",1,V1608))&gt;=1,"Aucune",IF(IF(T1608="",1,T1608)&lt;=MIN(IF(U1608="",1,U1608),IF(V1608="",1,V1608)),"Disponibilité",IF(IF(U1608="",1,U1608)&lt;=IF(V1608="",1,V1608),"Performance","Qualité"))))</f>
        <v/>
      </c>
      <c r="AA1608" s="59" t="str">
        <f>IF(AC1608=1,N(H1608)*N(IFERROR(INDEX(art_cost,MATCH(E1608,art_ref,0)),0)),"")</f>
        <v/>
      </c>
      <c r="AB1608" s="58" t="str">
        <f>IF(COUNTA(A1608:I1608)=0,"",IF(N(A1608)&lt;=0,"Date manquante ou invalide",IF(B1608="","Équipe manquante",IF(ISNA(MATCH(B1608,eq_code,0)),"Équipe inconnue",IF(INDEX(eq_check,MATCH(B1608,eq_code,0))&lt;&gt;"OK","Équipe à corriger dans Paramètres",IF(C1608="","Poste manquant",IF(ISNA(MATCH(C1608,po_code,0)),"Poste inconnu",IF(AND(E1608&lt;&gt;"",ISNA(MATCH(E1608,art_ref,0))),"Article inconnu",IF(IF(E1608="",FALSE,INDEX(art_check,MATCH(E1608,art_ref,0))&lt;&gt;"OK"),"Article à corriger (feuille Articles)",IF(COUNTIFS(sj_date,A1608,sj_eq,B1608,sj_po,C1608)&gt;1,"Ligne en double (même jour, équipe et poste)",IF(OR(NOT(ISNUMBER(K1608)),N(K1608)&lt;=0,N(K1608)&gt;1440),"Temps d'ouverture invalide",IF(OR(AND(G1608&lt;&gt;"",NOT(ISNUMBER(G1608))),N(G1608)&lt;0,N(G1608)&lt;&gt;INT(N(G1608)),AND(H1608&lt;&gt;"",NOT(ISNUMBER(H1608))),N(H1608)&lt;0,N(H1608)&lt;&gt;INT(N(H1608)),AND(I1608&lt;&gt;"",NOT(ISNUMBER(I1608))),N(I1608)&lt;0,N(I1608)&lt;&gt;INT(N(I1608))),"Quantité invalide",IF(Q1608&lt;=0,"Cadence manquante (poste ou article)",IF(M1608&lt;=0,"Arrêts planifiés supérieurs au temps d'ouverture",IF(O1608&lt;0,"Arrêts supérieurs au temps requis",IF(AND(P1608&gt;0,O1608=0),"Pièces déclarées sans temps de marche",IF(AND(P1608=0,O1608&gt;0),"Aucune pièce déclarée",IF(P1608*60/Q1608&gt;O1608+0.001,"Cadence dépassée : vérifiez la cadence","OK"))))))))))))))))))</f>
        <v/>
      </c>
      <c r="AC1608">
        <f>IF(OR(AB1608="OK",AB1608="Aucune pièce déclarée",AB1608="Cadence dépassée : vérifiez la cadence"),1,0)</f>
        <v>0.0</v>
      </c>
      <c r="AD1608">
        <f>IF(AND(AC1608=1,A1608&gt;=p_from,A1608&lt;=p_to),1,0)</f>
        <v>0.0</v>
      </c>
      <c r="AE1608">
        <f>IF(AD1608=1,IF(COUNTIFS($A$6:A1608,A1608,$AD$6:AD1608,1)=1,1,0),0)</f>
        <v>0.0</v>
      </c>
      <c r="AF1608" t="str">
        <f>IF(AE1608=1,COUNTIFS(sj_first,1,sj_date,"&lt;"&amp;A1608)+1,"")</f>
        <v/>
      </c>
      <c r="AG1608" t="str">
        <f>IF(AND(AD1608=1,N(W1608)&lt;p_alert),ROUND(W1608,4),"")</f>
        <v/>
      </c>
      <c r="AH1608" t="str">
        <f>IF(AG1608="","",COUNTIF(sj_akey,"&lt;"&amp;AG1608)+COUNTIF($AG$6:AG1608,AG1608))</f>
        <v/>
      </c>
    </row>
    <row r="1609">
      <c r="A1609" s="51" t="n"/>
      <c r="B1609" s="52" t="n"/>
      <c r="C1609" s="52" t="n"/>
      <c r="D1609" s="53" t="n"/>
      <c r="E1609" s="53" t="n"/>
      <c r="F1609" s="54" t="n"/>
      <c r="G1609" s="54" t="n"/>
      <c r="H1609" s="54" t="n"/>
      <c r="I1609" s="54" t="n"/>
      <c r="J1609" s="53" t="n"/>
      <c r="K1609" s="55" t="str">
        <f>IF(COUNTA(A1609:I1609)=0,"",IF(F1609="",IFERROR(INDEX(eq_dur,MATCH(B1609,eq_code,0)),""),F1609))</f>
        <v/>
      </c>
      <c r="L1609" s="55" t="str">
        <f>IF(ISNUMBER(K1609),N(IFERROR(INDEX(eq_pause,MATCH(B1609,eq_code,0)),0))+SUMIFS(st_min,st_date,A1609,st_eq,B1609,st_po,C1609,st_type,"Planifié"),"")</f>
        <v/>
      </c>
      <c r="M1609" s="55" t="str">
        <f>IF(ISNUMBER(K1609),K1609-L1609,"")</f>
        <v/>
      </c>
      <c r="N1609" s="55" t="str">
        <f>IF(ISNUMBER(K1609),SUMIFS(st_min,st_date,A1609,st_eq,B1609,st_po,C1609,st_type,"Non planifié"),"")</f>
        <v/>
      </c>
      <c r="O1609" s="55" t="str">
        <f>IF(ISNUMBER(K1609),M1609-N1609,"")</f>
        <v/>
      </c>
      <c r="P1609" s="55" t="str">
        <f>IF(COUNTA(A1609:I1609)=0,"",N(G1609)+N(H1609)+N(I1609))</f>
        <v/>
      </c>
      <c r="Q1609" s="56" t="str">
        <f>IF(COUNTA(A1609:I1609)=0,"",IF(N(IFERROR(INDEX(art_rate,MATCH(E1609,art_ref,0)),0))&gt;0,N(IFERROR(INDEX(art_rate,MATCH(E1609,art_ref,0)),0)),N(IFERROR(INDEX(po_rate,MATCH(C1609,po_code,0)),0))))</f>
        <v/>
      </c>
      <c r="R1609" s="55" t="str">
        <f>IF(AC1609=1,P1609*60/Q1609,"")</f>
        <v/>
      </c>
      <c r="S1609" s="55" t="str">
        <f>IF(AC1609=1,N(G1609)*60/Q1609,"")</f>
        <v/>
      </c>
      <c r="T1609" s="57" t="str">
        <f>IF(AC1609=1,O1609/M1609,"")</f>
        <v/>
      </c>
      <c r="U1609" s="57" t="str">
        <f>IF(AC1609=1,IF(O1609&gt;0,R1609/O1609,""),"")</f>
        <v/>
      </c>
      <c r="V1609" s="57" t="str">
        <f>IF(AC1609=1,IF(P1609&gt;0,N(G1609)/P1609,""),"")</f>
        <v/>
      </c>
      <c r="W1609" s="57" t="str">
        <f>IF(AC1609=1,S1609/M1609,"")</f>
        <v/>
      </c>
      <c r="X1609" s="57" t="str">
        <f>IF(AC1609=1,S1609/K1609,"")</f>
        <v/>
      </c>
      <c r="Y1609" s="58" t="str">
        <f>IF(W1609="","",IF(W1609&gt;=p_target,"Bon",IF(W1609&gt;=p_alert,"À surveiller","Faible")))</f>
        <v/>
      </c>
      <c r="Z1609" s="58" t="str">
        <f>IF(W1609="","",IF(MIN(IF(T1609="",1,T1609),IF(U1609="",1,U1609),IF(V1609="",1,V1609))&gt;=1,"Aucune",IF(IF(T1609="",1,T1609)&lt;=MIN(IF(U1609="",1,U1609),IF(V1609="",1,V1609)),"Disponibilité",IF(IF(U1609="",1,U1609)&lt;=IF(V1609="",1,V1609),"Performance","Qualité"))))</f>
        <v/>
      </c>
      <c r="AA1609" s="59" t="str">
        <f>IF(AC1609=1,N(H1609)*N(IFERROR(INDEX(art_cost,MATCH(E1609,art_ref,0)),0)),"")</f>
        <v/>
      </c>
      <c r="AB1609" s="58" t="str">
        <f>IF(COUNTA(A1609:I1609)=0,"",IF(N(A1609)&lt;=0,"Date manquante ou invalide",IF(B1609="","Équipe manquante",IF(ISNA(MATCH(B1609,eq_code,0)),"Équipe inconnue",IF(INDEX(eq_check,MATCH(B1609,eq_code,0))&lt;&gt;"OK","Équipe à corriger dans Paramètres",IF(C1609="","Poste manquant",IF(ISNA(MATCH(C1609,po_code,0)),"Poste inconnu",IF(AND(E1609&lt;&gt;"",ISNA(MATCH(E1609,art_ref,0))),"Article inconnu",IF(IF(E1609="",FALSE,INDEX(art_check,MATCH(E1609,art_ref,0))&lt;&gt;"OK"),"Article à corriger (feuille Articles)",IF(COUNTIFS(sj_date,A1609,sj_eq,B1609,sj_po,C1609)&gt;1,"Ligne en double (même jour, équipe et poste)",IF(OR(NOT(ISNUMBER(K1609)),N(K1609)&lt;=0,N(K1609)&gt;1440),"Temps d'ouverture invalide",IF(OR(AND(G1609&lt;&gt;"",NOT(ISNUMBER(G1609))),N(G1609)&lt;0,N(G1609)&lt;&gt;INT(N(G1609)),AND(H1609&lt;&gt;"",NOT(ISNUMBER(H1609))),N(H1609)&lt;0,N(H1609)&lt;&gt;INT(N(H1609)),AND(I1609&lt;&gt;"",NOT(ISNUMBER(I1609))),N(I1609)&lt;0,N(I1609)&lt;&gt;INT(N(I1609))),"Quantité invalide",IF(Q1609&lt;=0,"Cadence manquante (poste ou article)",IF(M1609&lt;=0,"Arrêts planifiés supérieurs au temps d'ouverture",IF(O1609&lt;0,"Arrêts supérieurs au temps requis",IF(AND(P1609&gt;0,O1609=0),"Pièces déclarées sans temps de marche",IF(AND(P1609=0,O1609&gt;0),"Aucune pièce déclarée",IF(P1609*60/Q1609&gt;O1609+0.001,"Cadence dépassée : vérifiez la cadence","OK"))))))))))))))))))</f>
        <v/>
      </c>
      <c r="AC1609">
        <f>IF(OR(AB1609="OK",AB1609="Aucune pièce déclarée",AB1609="Cadence dépassée : vérifiez la cadence"),1,0)</f>
        <v>0.0</v>
      </c>
      <c r="AD1609">
        <f>IF(AND(AC1609=1,A1609&gt;=p_from,A1609&lt;=p_to),1,0)</f>
        <v>0.0</v>
      </c>
      <c r="AE1609">
        <f>IF(AD1609=1,IF(COUNTIFS($A$6:A1609,A1609,$AD$6:AD1609,1)=1,1,0),0)</f>
        <v>0.0</v>
      </c>
      <c r="AF1609" t="str">
        <f>IF(AE1609=1,COUNTIFS(sj_first,1,sj_date,"&lt;"&amp;A1609)+1,"")</f>
        <v/>
      </c>
      <c r="AG1609" t="str">
        <f>IF(AND(AD1609=1,N(W1609)&lt;p_alert),ROUND(W1609,4),"")</f>
        <v/>
      </c>
      <c r="AH1609" t="str">
        <f>IF(AG1609="","",COUNTIF(sj_akey,"&lt;"&amp;AG1609)+COUNTIF($AG$6:AG1609,AG1609))</f>
        <v/>
      </c>
    </row>
    <row r="1610">
      <c r="A1610" s="51" t="n"/>
      <c r="B1610" s="52" t="n"/>
      <c r="C1610" s="52" t="n"/>
      <c r="D1610" s="53" t="n"/>
      <c r="E1610" s="53" t="n"/>
      <c r="F1610" s="54" t="n"/>
      <c r="G1610" s="54" t="n"/>
      <c r="H1610" s="54" t="n"/>
      <c r="I1610" s="54" t="n"/>
      <c r="J1610" s="53" t="n"/>
      <c r="K1610" s="55" t="str">
        <f>IF(COUNTA(A1610:I1610)=0,"",IF(F1610="",IFERROR(INDEX(eq_dur,MATCH(B1610,eq_code,0)),""),F1610))</f>
        <v/>
      </c>
      <c r="L1610" s="55" t="str">
        <f>IF(ISNUMBER(K1610),N(IFERROR(INDEX(eq_pause,MATCH(B1610,eq_code,0)),0))+SUMIFS(st_min,st_date,A1610,st_eq,B1610,st_po,C1610,st_type,"Planifié"),"")</f>
        <v/>
      </c>
      <c r="M1610" s="55" t="str">
        <f>IF(ISNUMBER(K1610),K1610-L1610,"")</f>
        <v/>
      </c>
      <c r="N1610" s="55" t="str">
        <f>IF(ISNUMBER(K1610),SUMIFS(st_min,st_date,A1610,st_eq,B1610,st_po,C1610,st_type,"Non planifié"),"")</f>
        <v/>
      </c>
      <c r="O1610" s="55" t="str">
        <f>IF(ISNUMBER(K1610),M1610-N1610,"")</f>
        <v/>
      </c>
      <c r="P1610" s="55" t="str">
        <f>IF(COUNTA(A1610:I1610)=0,"",N(G1610)+N(H1610)+N(I1610))</f>
        <v/>
      </c>
      <c r="Q1610" s="56" t="str">
        <f>IF(COUNTA(A1610:I1610)=0,"",IF(N(IFERROR(INDEX(art_rate,MATCH(E1610,art_ref,0)),0))&gt;0,N(IFERROR(INDEX(art_rate,MATCH(E1610,art_ref,0)),0)),N(IFERROR(INDEX(po_rate,MATCH(C1610,po_code,0)),0))))</f>
        <v/>
      </c>
      <c r="R1610" s="55" t="str">
        <f>IF(AC1610=1,P1610*60/Q1610,"")</f>
        <v/>
      </c>
      <c r="S1610" s="55" t="str">
        <f>IF(AC1610=1,N(G1610)*60/Q1610,"")</f>
        <v/>
      </c>
      <c r="T1610" s="57" t="str">
        <f>IF(AC1610=1,O1610/M1610,"")</f>
        <v/>
      </c>
      <c r="U1610" s="57" t="str">
        <f>IF(AC1610=1,IF(O1610&gt;0,R1610/O1610,""),"")</f>
        <v/>
      </c>
      <c r="V1610" s="57" t="str">
        <f>IF(AC1610=1,IF(P1610&gt;0,N(G1610)/P1610,""),"")</f>
        <v/>
      </c>
      <c r="W1610" s="57" t="str">
        <f>IF(AC1610=1,S1610/M1610,"")</f>
        <v/>
      </c>
      <c r="X1610" s="57" t="str">
        <f>IF(AC1610=1,S1610/K1610,"")</f>
        <v/>
      </c>
      <c r="Y1610" s="58" t="str">
        <f>IF(W1610="","",IF(W1610&gt;=p_target,"Bon",IF(W1610&gt;=p_alert,"À surveiller","Faible")))</f>
        <v/>
      </c>
      <c r="Z1610" s="58" t="str">
        <f>IF(W1610="","",IF(MIN(IF(T1610="",1,T1610),IF(U1610="",1,U1610),IF(V1610="",1,V1610))&gt;=1,"Aucune",IF(IF(T1610="",1,T1610)&lt;=MIN(IF(U1610="",1,U1610),IF(V1610="",1,V1610)),"Disponibilité",IF(IF(U1610="",1,U1610)&lt;=IF(V1610="",1,V1610),"Performance","Qualité"))))</f>
        <v/>
      </c>
      <c r="AA1610" s="59" t="str">
        <f>IF(AC1610=1,N(H1610)*N(IFERROR(INDEX(art_cost,MATCH(E1610,art_ref,0)),0)),"")</f>
        <v/>
      </c>
      <c r="AB1610" s="58" t="str">
        <f>IF(COUNTA(A1610:I1610)=0,"",IF(N(A1610)&lt;=0,"Date manquante ou invalide",IF(B1610="","Équipe manquante",IF(ISNA(MATCH(B1610,eq_code,0)),"Équipe inconnue",IF(INDEX(eq_check,MATCH(B1610,eq_code,0))&lt;&gt;"OK","Équipe à corriger dans Paramètres",IF(C1610="","Poste manquant",IF(ISNA(MATCH(C1610,po_code,0)),"Poste inconnu",IF(AND(E1610&lt;&gt;"",ISNA(MATCH(E1610,art_ref,0))),"Article inconnu",IF(IF(E1610="",FALSE,INDEX(art_check,MATCH(E1610,art_ref,0))&lt;&gt;"OK"),"Article à corriger (feuille Articles)",IF(COUNTIFS(sj_date,A1610,sj_eq,B1610,sj_po,C1610)&gt;1,"Ligne en double (même jour, équipe et poste)",IF(OR(NOT(ISNUMBER(K1610)),N(K1610)&lt;=0,N(K1610)&gt;1440),"Temps d'ouverture invalide",IF(OR(AND(G1610&lt;&gt;"",NOT(ISNUMBER(G1610))),N(G1610)&lt;0,N(G1610)&lt;&gt;INT(N(G1610)),AND(H1610&lt;&gt;"",NOT(ISNUMBER(H1610))),N(H1610)&lt;0,N(H1610)&lt;&gt;INT(N(H1610)),AND(I1610&lt;&gt;"",NOT(ISNUMBER(I1610))),N(I1610)&lt;0,N(I1610)&lt;&gt;INT(N(I1610))),"Quantité invalide",IF(Q1610&lt;=0,"Cadence manquante (poste ou article)",IF(M1610&lt;=0,"Arrêts planifiés supérieurs au temps d'ouverture",IF(O1610&lt;0,"Arrêts supérieurs au temps requis",IF(AND(P1610&gt;0,O1610=0),"Pièces déclarées sans temps de marche",IF(AND(P1610=0,O1610&gt;0),"Aucune pièce déclarée",IF(P1610*60/Q1610&gt;O1610+0.001,"Cadence dépassée : vérifiez la cadence","OK"))))))))))))))))))</f>
        <v/>
      </c>
      <c r="AC1610">
        <f>IF(OR(AB1610="OK",AB1610="Aucune pièce déclarée",AB1610="Cadence dépassée : vérifiez la cadence"),1,0)</f>
        <v>0.0</v>
      </c>
      <c r="AD1610">
        <f>IF(AND(AC1610=1,A1610&gt;=p_from,A1610&lt;=p_to),1,0)</f>
        <v>0.0</v>
      </c>
      <c r="AE1610">
        <f>IF(AD1610=1,IF(COUNTIFS($A$6:A1610,A1610,$AD$6:AD1610,1)=1,1,0),0)</f>
        <v>0.0</v>
      </c>
      <c r="AF1610" t="str">
        <f>IF(AE1610=1,COUNTIFS(sj_first,1,sj_date,"&lt;"&amp;A1610)+1,"")</f>
        <v/>
      </c>
      <c r="AG1610" t="str">
        <f>IF(AND(AD1610=1,N(W1610)&lt;p_alert),ROUND(W1610,4),"")</f>
        <v/>
      </c>
      <c r="AH1610" t="str">
        <f>IF(AG1610="","",COUNTIF(sj_akey,"&lt;"&amp;AG1610)+COUNTIF($AG$6:AG1610,AG1610))</f>
        <v/>
      </c>
    </row>
    <row r="1611">
      <c r="A1611" s="51" t="n"/>
      <c r="B1611" s="52" t="n"/>
      <c r="C1611" s="52" t="n"/>
      <c r="D1611" s="53" t="n"/>
      <c r="E1611" s="53" t="n"/>
      <c r="F1611" s="54" t="n"/>
      <c r="G1611" s="54" t="n"/>
      <c r="H1611" s="54" t="n"/>
      <c r="I1611" s="54" t="n"/>
      <c r="J1611" s="53" t="n"/>
      <c r="K1611" s="55" t="str">
        <f>IF(COUNTA(A1611:I1611)=0,"",IF(F1611="",IFERROR(INDEX(eq_dur,MATCH(B1611,eq_code,0)),""),F1611))</f>
        <v/>
      </c>
      <c r="L1611" s="55" t="str">
        <f>IF(ISNUMBER(K1611),N(IFERROR(INDEX(eq_pause,MATCH(B1611,eq_code,0)),0))+SUMIFS(st_min,st_date,A1611,st_eq,B1611,st_po,C1611,st_type,"Planifié"),"")</f>
        <v/>
      </c>
      <c r="M1611" s="55" t="str">
        <f>IF(ISNUMBER(K1611),K1611-L1611,"")</f>
        <v/>
      </c>
      <c r="N1611" s="55" t="str">
        <f>IF(ISNUMBER(K1611),SUMIFS(st_min,st_date,A1611,st_eq,B1611,st_po,C1611,st_type,"Non planifié"),"")</f>
        <v/>
      </c>
      <c r="O1611" s="55" t="str">
        <f>IF(ISNUMBER(K1611),M1611-N1611,"")</f>
        <v/>
      </c>
      <c r="P1611" s="55" t="str">
        <f>IF(COUNTA(A1611:I1611)=0,"",N(G1611)+N(H1611)+N(I1611))</f>
        <v/>
      </c>
      <c r="Q1611" s="56" t="str">
        <f>IF(COUNTA(A1611:I1611)=0,"",IF(N(IFERROR(INDEX(art_rate,MATCH(E1611,art_ref,0)),0))&gt;0,N(IFERROR(INDEX(art_rate,MATCH(E1611,art_ref,0)),0)),N(IFERROR(INDEX(po_rate,MATCH(C1611,po_code,0)),0))))</f>
        <v/>
      </c>
      <c r="R1611" s="55" t="str">
        <f>IF(AC1611=1,P1611*60/Q1611,"")</f>
        <v/>
      </c>
      <c r="S1611" s="55" t="str">
        <f>IF(AC1611=1,N(G1611)*60/Q1611,"")</f>
        <v/>
      </c>
      <c r="T1611" s="57" t="str">
        <f>IF(AC1611=1,O1611/M1611,"")</f>
        <v/>
      </c>
      <c r="U1611" s="57" t="str">
        <f>IF(AC1611=1,IF(O1611&gt;0,R1611/O1611,""),"")</f>
        <v/>
      </c>
      <c r="V1611" s="57" t="str">
        <f>IF(AC1611=1,IF(P1611&gt;0,N(G1611)/P1611,""),"")</f>
        <v/>
      </c>
      <c r="W1611" s="57" t="str">
        <f>IF(AC1611=1,S1611/M1611,"")</f>
        <v/>
      </c>
      <c r="X1611" s="57" t="str">
        <f>IF(AC1611=1,S1611/K1611,"")</f>
        <v/>
      </c>
      <c r="Y1611" s="58" t="str">
        <f>IF(W1611="","",IF(W1611&gt;=p_target,"Bon",IF(W1611&gt;=p_alert,"À surveiller","Faible")))</f>
        <v/>
      </c>
      <c r="Z1611" s="58" t="str">
        <f>IF(W1611="","",IF(MIN(IF(T1611="",1,T1611),IF(U1611="",1,U1611),IF(V1611="",1,V1611))&gt;=1,"Aucune",IF(IF(T1611="",1,T1611)&lt;=MIN(IF(U1611="",1,U1611),IF(V1611="",1,V1611)),"Disponibilité",IF(IF(U1611="",1,U1611)&lt;=IF(V1611="",1,V1611),"Performance","Qualité"))))</f>
        <v/>
      </c>
      <c r="AA1611" s="59" t="str">
        <f>IF(AC1611=1,N(H1611)*N(IFERROR(INDEX(art_cost,MATCH(E1611,art_ref,0)),0)),"")</f>
        <v/>
      </c>
      <c r="AB1611" s="58" t="str">
        <f>IF(COUNTA(A1611:I1611)=0,"",IF(N(A1611)&lt;=0,"Date manquante ou invalide",IF(B1611="","Équipe manquante",IF(ISNA(MATCH(B1611,eq_code,0)),"Équipe inconnue",IF(INDEX(eq_check,MATCH(B1611,eq_code,0))&lt;&gt;"OK","Équipe à corriger dans Paramètres",IF(C1611="","Poste manquant",IF(ISNA(MATCH(C1611,po_code,0)),"Poste inconnu",IF(AND(E1611&lt;&gt;"",ISNA(MATCH(E1611,art_ref,0))),"Article inconnu",IF(IF(E1611="",FALSE,INDEX(art_check,MATCH(E1611,art_ref,0))&lt;&gt;"OK"),"Article à corriger (feuille Articles)",IF(COUNTIFS(sj_date,A1611,sj_eq,B1611,sj_po,C1611)&gt;1,"Ligne en double (même jour, équipe et poste)",IF(OR(NOT(ISNUMBER(K1611)),N(K1611)&lt;=0,N(K1611)&gt;1440),"Temps d'ouverture invalide",IF(OR(AND(G1611&lt;&gt;"",NOT(ISNUMBER(G1611))),N(G1611)&lt;0,N(G1611)&lt;&gt;INT(N(G1611)),AND(H1611&lt;&gt;"",NOT(ISNUMBER(H1611))),N(H1611)&lt;0,N(H1611)&lt;&gt;INT(N(H1611)),AND(I1611&lt;&gt;"",NOT(ISNUMBER(I1611))),N(I1611)&lt;0,N(I1611)&lt;&gt;INT(N(I1611))),"Quantité invalide",IF(Q1611&lt;=0,"Cadence manquante (poste ou article)",IF(M1611&lt;=0,"Arrêts planifiés supérieurs au temps d'ouverture",IF(O1611&lt;0,"Arrêts supérieurs au temps requis",IF(AND(P1611&gt;0,O1611=0),"Pièces déclarées sans temps de marche",IF(AND(P1611=0,O1611&gt;0),"Aucune pièce déclarée",IF(P1611*60/Q1611&gt;O1611+0.001,"Cadence dépassée : vérifiez la cadence","OK"))))))))))))))))))</f>
        <v/>
      </c>
      <c r="AC1611">
        <f>IF(OR(AB1611="OK",AB1611="Aucune pièce déclarée",AB1611="Cadence dépassée : vérifiez la cadence"),1,0)</f>
        <v>0.0</v>
      </c>
      <c r="AD1611">
        <f>IF(AND(AC1611=1,A1611&gt;=p_from,A1611&lt;=p_to),1,0)</f>
        <v>0.0</v>
      </c>
      <c r="AE1611">
        <f>IF(AD1611=1,IF(COUNTIFS($A$6:A1611,A1611,$AD$6:AD1611,1)=1,1,0),0)</f>
        <v>0.0</v>
      </c>
      <c r="AF1611" t="str">
        <f>IF(AE1611=1,COUNTIFS(sj_first,1,sj_date,"&lt;"&amp;A1611)+1,"")</f>
        <v/>
      </c>
      <c r="AG1611" t="str">
        <f>IF(AND(AD1611=1,N(W1611)&lt;p_alert),ROUND(W1611,4),"")</f>
        <v/>
      </c>
      <c r="AH1611" t="str">
        <f>IF(AG1611="","",COUNTIF(sj_akey,"&lt;"&amp;AG1611)+COUNTIF($AG$6:AG1611,AG1611))</f>
        <v/>
      </c>
    </row>
    <row r="1612">
      <c r="A1612" s="51" t="n"/>
      <c r="B1612" s="52" t="n"/>
      <c r="C1612" s="52" t="n"/>
      <c r="D1612" s="53" t="n"/>
      <c r="E1612" s="53" t="n"/>
      <c r="F1612" s="54" t="n"/>
      <c r="G1612" s="54" t="n"/>
      <c r="H1612" s="54" t="n"/>
      <c r="I1612" s="54" t="n"/>
      <c r="J1612" s="53" t="n"/>
      <c r="K1612" s="55" t="str">
        <f>IF(COUNTA(A1612:I1612)=0,"",IF(F1612="",IFERROR(INDEX(eq_dur,MATCH(B1612,eq_code,0)),""),F1612))</f>
        <v/>
      </c>
      <c r="L1612" s="55" t="str">
        <f>IF(ISNUMBER(K1612),N(IFERROR(INDEX(eq_pause,MATCH(B1612,eq_code,0)),0))+SUMIFS(st_min,st_date,A1612,st_eq,B1612,st_po,C1612,st_type,"Planifié"),"")</f>
        <v/>
      </c>
      <c r="M1612" s="55" t="str">
        <f>IF(ISNUMBER(K1612),K1612-L1612,"")</f>
        <v/>
      </c>
      <c r="N1612" s="55" t="str">
        <f>IF(ISNUMBER(K1612),SUMIFS(st_min,st_date,A1612,st_eq,B1612,st_po,C1612,st_type,"Non planifié"),"")</f>
        <v/>
      </c>
      <c r="O1612" s="55" t="str">
        <f>IF(ISNUMBER(K1612),M1612-N1612,"")</f>
        <v/>
      </c>
      <c r="P1612" s="55" t="str">
        <f>IF(COUNTA(A1612:I1612)=0,"",N(G1612)+N(H1612)+N(I1612))</f>
        <v/>
      </c>
      <c r="Q1612" s="56" t="str">
        <f>IF(COUNTA(A1612:I1612)=0,"",IF(N(IFERROR(INDEX(art_rate,MATCH(E1612,art_ref,0)),0))&gt;0,N(IFERROR(INDEX(art_rate,MATCH(E1612,art_ref,0)),0)),N(IFERROR(INDEX(po_rate,MATCH(C1612,po_code,0)),0))))</f>
        <v/>
      </c>
      <c r="R1612" s="55" t="str">
        <f>IF(AC1612=1,P1612*60/Q1612,"")</f>
        <v/>
      </c>
      <c r="S1612" s="55" t="str">
        <f>IF(AC1612=1,N(G1612)*60/Q1612,"")</f>
        <v/>
      </c>
      <c r="T1612" s="57" t="str">
        <f>IF(AC1612=1,O1612/M1612,"")</f>
        <v/>
      </c>
      <c r="U1612" s="57" t="str">
        <f>IF(AC1612=1,IF(O1612&gt;0,R1612/O1612,""),"")</f>
        <v/>
      </c>
      <c r="V1612" s="57" t="str">
        <f>IF(AC1612=1,IF(P1612&gt;0,N(G1612)/P1612,""),"")</f>
        <v/>
      </c>
      <c r="W1612" s="57" t="str">
        <f>IF(AC1612=1,S1612/M1612,"")</f>
        <v/>
      </c>
      <c r="X1612" s="57" t="str">
        <f>IF(AC1612=1,S1612/K1612,"")</f>
        <v/>
      </c>
      <c r="Y1612" s="58" t="str">
        <f>IF(W1612="","",IF(W1612&gt;=p_target,"Bon",IF(W1612&gt;=p_alert,"À surveiller","Faible")))</f>
        <v/>
      </c>
      <c r="Z1612" s="58" t="str">
        <f>IF(W1612="","",IF(MIN(IF(T1612="",1,T1612),IF(U1612="",1,U1612),IF(V1612="",1,V1612))&gt;=1,"Aucune",IF(IF(T1612="",1,T1612)&lt;=MIN(IF(U1612="",1,U1612),IF(V1612="",1,V1612)),"Disponibilité",IF(IF(U1612="",1,U1612)&lt;=IF(V1612="",1,V1612),"Performance","Qualité"))))</f>
        <v/>
      </c>
      <c r="AA1612" s="59" t="str">
        <f>IF(AC1612=1,N(H1612)*N(IFERROR(INDEX(art_cost,MATCH(E1612,art_ref,0)),0)),"")</f>
        <v/>
      </c>
      <c r="AB1612" s="58" t="str">
        <f>IF(COUNTA(A1612:I1612)=0,"",IF(N(A1612)&lt;=0,"Date manquante ou invalide",IF(B1612="","Équipe manquante",IF(ISNA(MATCH(B1612,eq_code,0)),"Équipe inconnue",IF(INDEX(eq_check,MATCH(B1612,eq_code,0))&lt;&gt;"OK","Équipe à corriger dans Paramètres",IF(C1612="","Poste manquant",IF(ISNA(MATCH(C1612,po_code,0)),"Poste inconnu",IF(AND(E1612&lt;&gt;"",ISNA(MATCH(E1612,art_ref,0))),"Article inconnu",IF(IF(E1612="",FALSE,INDEX(art_check,MATCH(E1612,art_ref,0))&lt;&gt;"OK"),"Article à corriger (feuille Articles)",IF(COUNTIFS(sj_date,A1612,sj_eq,B1612,sj_po,C1612)&gt;1,"Ligne en double (même jour, équipe et poste)",IF(OR(NOT(ISNUMBER(K1612)),N(K1612)&lt;=0,N(K1612)&gt;1440),"Temps d'ouverture invalide",IF(OR(AND(G1612&lt;&gt;"",NOT(ISNUMBER(G1612))),N(G1612)&lt;0,N(G1612)&lt;&gt;INT(N(G1612)),AND(H1612&lt;&gt;"",NOT(ISNUMBER(H1612))),N(H1612)&lt;0,N(H1612)&lt;&gt;INT(N(H1612)),AND(I1612&lt;&gt;"",NOT(ISNUMBER(I1612))),N(I1612)&lt;0,N(I1612)&lt;&gt;INT(N(I1612))),"Quantité invalide",IF(Q1612&lt;=0,"Cadence manquante (poste ou article)",IF(M1612&lt;=0,"Arrêts planifiés supérieurs au temps d'ouverture",IF(O1612&lt;0,"Arrêts supérieurs au temps requis",IF(AND(P1612&gt;0,O1612=0),"Pièces déclarées sans temps de marche",IF(AND(P1612=0,O1612&gt;0),"Aucune pièce déclarée",IF(P1612*60/Q1612&gt;O1612+0.001,"Cadence dépassée : vérifiez la cadence","OK"))))))))))))))))))</f>
        <v/>
      </c>
      <c r="AC1612">
        <f>IF(OR(AB1612="OK",AB1612="Aucune pièce déclarée",AB1612="Cadence dépassée : vérifiez la cadence"),1,0)</f>
        <v>0.0</v>
      </c>
      <c r="AD1612">
        <f>IF(AND(AC1612=1,A1612&gt;=p_from,A1612&lt;=p_to),1,0)</f>
        <v>0.0</v>
      </c>
      <c r="AE1612">
        <f>IF(AD1612=1,IF(COUNTIFS($A$6:A1612,A1612,$AD$6:AD1612,1)=1,1,0),0)</f>
        <v>0.0</v>
      </c>
      <c r="AF1612" t="str">
        <f>IF(AE1612=1,COUNTIFS(sj_first,1,sj_date,"&lt;"&amp;A1612)+1,"")</f>
        <v/>
      </c>
      <c r="AG1612" t="str">
        <f>IF(AND(AD1612=1,N(W1612)&lt;p_alert),ROUND(W1612,4),"")</f>
        <v/>
      </c>
      <c r="AH1612" t="str">
        <f>IF(AG1612="","",COUNTIF(sj_akey,"&lt;"&amp;AG1612)+COUNTIF($AG$6:AG1612,AG1612))</f>
        <v/>
      </c>
    </row>
    <row r="1613">
      <c r="A1613" s="51" t="n"/>
      <c r="B1613" s="52" t="n"/>
      <c r="C1613" s="52" t="n"/>
      <c r="D1613" s="53" t="n"/>
      <c r="E1613" s="53" t="n"/>
      <c r="F1613" s="54" t="n"/>
      <c r="G1613" s="54" t="n"/>
      <c r="H1613" s="54" t="n"/>
      <c r="I1613" s="54" t="n"/>
      <c r="J1613" s="53" t="n"/>
      <c r="K1613" s="55" t="str">
        <f>IF(COUNTA(A1613:I1613)=0,"",IF(F1613="",IFERROR(INDEX(eq_dur,MATCH(B1613,eq_code,0)),""),F1613))</f>
        <v/>
      </c>
      <c r="L1613" s="55" t="str">
        <f>IF(ISNUMBER(K1613),N(IFERROR(INDEX(eq_pause,MATCH(B1613,eq_code,0)),0))+SUMIFS(st_min,st_date,A1613,st_eq,B1613,st_po,C1613,st_type,"Planifié"),"")</f>
        <v/>
      </c>
      <c r="M1613" s="55" t="str">
        <f>IF(ISNUMBER(K1613),K1613-L1613,"")</f>
        <v/>
      </c>
      <c r="N1613" s="55" t="str">
        <f>IF(ISNUMBER(K1613),SUMIFS(st_min,st_date,A1613,st_eq,B1613,st_po,C1613,st_type,"Non planifié"),"")</f>
        <v/>
      </c>
      <c r="O1613" s="55" t="str">
        <f>IF(ISNUMBER(K1613),M1613-N1613,"")</f>
        <v/>
      </c>
      <c r="P1613" s="55" t="str">
        <f>IF(COUNTA(A1613:I1613)=0,"",N(G1613)+N(H1613)+N(I1613))</f>
        <v/>
      </c>
      <c r="Q1613" s="56" t="str">
        <f>IF(COUNTA(A1613:I1613)=0,"",IF(N(IFERROR(INDEX(art_rate,MATCH(E1613,art_ref,0)),0))&gt;0,N(IFERROR(INDEX(art_rate,MATCH(E1613,art_ref,0)),0)),N(IFERROR(INDEX(po_rate,MATCH(C1613,po_code,0)),0))))</f>
        <v/>
      </c>
      <c r="R1613" s="55" t="str">
        <f>IF(AC1613=1,P1613*60/Q1613,"")</f>
        <v/>
      </c>
      <c r="S1613" s="55" t="str">
        <f>IF(AC1613=1,N(G1613)*60/Q1613,"")</f>
        <v/>
      </c>
      <c r="T1613" s="57" t="str">
        <f>IF(AC1613=1,O1613/M1613,"")</f>
        <v/>
      </c>
      <c r="U1613" s="57" t="str">
        <f>IF(AC1613=1,IF(O1613&gt;0,R1613/O1613,""),"")</f>
        <v/>
      </c>
      <c r="V1613" s="57" t="str">
        <f>IF(AC1613=1,IF(P1613&gt;0,N(G1613)/P1613,""),"")</f>
        <v/>
      </c>
      <c r="W1613" s="57" t="str">
        <f>IF(AC1613=1,S1613/M1613,"")</f>
        <v/>
      </c>
      <c r="X1613" s="57" t="str">
        <f>IF(AC1613=1,S1613/K1613,"")</f>
        <v/>
      </c>
      <c r="Y1613" s="58" t="str">
        <f>IF(W1613="","",IF(W1613&gt;=p_target,"Bon",IF(W1613&gt;=p_alert,"À surveiller","Faible")))</f>
        <v/>
      </c>
      <c r="Z1613" s="58" t="str">
        <f>IF(W1613="","",IF(MIN(IF(T1613="",1,T1613),IF(U1613="",1,U1613),IF(V1613="",1,V1613))&gt;=1,"Aucune",IF(IF(T1613="",1,T1613)&lt;=MIN(IF(U1613="",1,U1613),IF(V1613="",1,V1613)),"Disponibilité",IF(IF(U1613="",1,U1613)&lt;=IF(V1613="",1,V1613),"Performance","Qualité"))))</f>
        <v/>
      </c>
      <c r="AA1613" s="59" t="str">
        <f>IF(AC1613=1,N(H1613)*N(IFERROR(INDEX(art_cost,MATCH(E1613,art_ref,0)),0)),"")</f>
        <v/>
      </c>
      <c r="AB1613" s="58" t="str">
        <f>IF(COUNTA(A1613:I1613)=0,"",IF(N(A1613)&lt;=0,"Date manquante ou invalide",IF(B1613="","Équipe manquante",IF(ISNA(MATCH(B1613,eq_code,0)),"Équipe inconnue",IF(INDEX(eq_check,MATCH(B1613,eq_code,0))&lt;&gt;"OK","Équipe à corriger dans Paramètres",IF(C1613="","Poste manquant",IF(ISNA(MATCH(C1613,po_code,0)),"Poste inconnu",IF(AND(E1613&lt;&gt;"",ISNA(MATCH(E1613,art_ref,0))),"Article inconnu",IF(IF(E1613="",FALSE,INDEX(art_check,MATCH(E1613,art_ref,0))&lt;&gt;"OK"),"Article à corriger (feuille Articles)",IF(COUNTIFS(sj_date,A1613,sj_eq,B1613,sj_po,C1613)&gt;1,"Ligne en double (même jour, équipe et poste)",IF(OR(NOT(ISNUMBER(K1613)),N(K1613)&lt;=0,N(K1613)&gt;1440),"Temps d'ouverture invalide",IF(OR(AND(G1613&lt;&gt;"",NOT(ISNUMBER(G1613))),N(G1613)&lt;0,N(G1613)&lt;&gt;INT(N(G1613)),AND(H1613&lt;&gt;"",NOT(ISNUMBER(H1613))),N(H1613)&lt;0,N(H1613)&lt;&gt;INT(N(H1613)),AND(I1613&lt;&gt;"",NOT(ISNUMBER(I1613))),N(I1613)&lt;0,N(I1613)&lt;&gt;INT(N(I1613))),"Quantité invalide",IF(Q1613&lt;=0,"Cadence manquante (poste ou article)",IF(M1613&lt;=0,"Arrêts planifiés supérieurs au temps d'ouverture",IF(O1613&lt;0,"Arrêts supérieurs au temps requis",IF(AND(P1613&gt;0,O1613=0),"Pièces déclarées sans temps de marche",IF(AND(P1613=0,O1613&gt;0),"Aucune pièce déclarée",IF(P1613*60/Q1613&gt;O1613+0.001,"Cadence dépassée : vérifiez la cadence","OK"))))))))))))))))))</f>
        <v/>
      </c>
      <c r="AC1613">
        <f>IF(OR(AB1613="OK",AB1613="Aucune pièce déclarée",AB1613="Cadence dépassée : vérifiez la cadence"),1,0)</f>
        <v>0.0</v>
      </c>
      <c r="AD1613">
        <f>IF(AND(AC1613=1,A1613&gt;=p_from,A1613&lt;=p_to),1,0)</f>
        <v>0.0</v>
      </c>
      <c r="AE1613">
        <f>IF(AD1613=1,IF(COUNTIFS($A$6:A1613,A1613,$AD$6:AD1613,1)=1,1,0),0)</f>
        <v>0.0</v>
      </c>
      <c r="AF1613" t="str">
        <f>IF(AE1613=1,COUNTIFS(sj_first,1,sj_date,"&lt;"&amp;A1613)+1,"")</f>
        <v/>
      </c>
      <c r="AG1613" t="str">
        <f>IF(AND(AD1613=1,N(W1613)&lt;p_alert),ROUND(W1613,4),"")</f>
        <v/>
      </c>
      <c r="AH1613" t="str">
        <f>IF(AG1613="","",COUNTIF(sj_akey,"&lt;"&amp;AG1613)+COUNTIF($AG$6:AG1613,AG1613))</f>
        <v/>
      </c>
    </row>
    <row r="1614">
      <c r="A1614" s="51" t="n"/>
      <c r="B1614" s="52" t="n"/>
      <c r="C1614" s="52" t="n"/>
      <c r="D1614" s="53" t="n"/>
      <c r="E1614" s="53" t="n"/>
      <c r="F1614" s="54" t="n"/>
      <c r="G1614" s="54" t="n"/>
      <c r="H1614" s="54" t="n"/>
      <c r="I1614" s="54" t="n"/>
      <c r="J1614" s="53" t="n"/>
      <c r="K1614" s="55" t="str">
        <f>IF(COUNTA(A1614:I1614)=0,"",IF(F1614="",IFERROR(INDEX(eq_dur,MATCH(B1614,eq_code,0)),""),F1614))</f>
        <v/>
      </c>
      <c r="L1614" s="55" t="str">
        <f>IF(ISNUMBER(K1614),N(IFERROR(INDEX(eq_pause,MATCH(B1614,eq_code,0)),0))+SUMIFS(st_min,st_date,A1614,st_eq,B1614,st_po,C1614,st_type,"Planifié"),"")</f>
        <v/>
      </c>
      <c r="M1614" s="55" t="str">
        <f>IF(ISNUMBER(K1614),K1614-L1614,"")</f>
        <v/>
      </c>
      <c r="N1614" s="55" t="str">
        <f>IF(ISNUMBER(K1614),SUMIFS(st_min,st_date,A1614,st_eq,B1614,st_po,C1614,st_type,"Non planifié"),"")</f>
        <v/>
      </c>
      <c r="O1614" s="55" t="str">
        <f>IF(ISNUMBER(K1614),M1614-N1614,"")</f>
        <v/>
      </c>
      <c r="P1614" s="55" t="str">
        <f>IF(COUNTA(A1614:I1614)=0,"",N(G1614)+N(H1614)+N(I1614))</f>
        <v/>
      </c>
      <c r="Q1614" s="56" t="str">
        <f>IF(COUNTA(A1614:I1614)=0,"",IF(N(IFERROR(INDEX(art_rate,MATCH(E1614,art_ref,0)),0))&gt;0,N(IFERROR(INDEX(art_rate,MATCH(E1614,art_ref,0)),0)),N(IFERROR(INDEX(po_rate,MATCH(C1614,po_code,0)),0))))</f>
        <v/>
      </c>
      <c r="R1614" s="55" t="str">
        <f>IF(AC1614=1,P1614*60/Q1614,"")</f>
        <v/>
      </c>
      <c r="S1614" s="55" t="str">
        <f>IF(AC1614=1,N(G1614)*60/Q1614,"")</f>
        <v/>
      </c>
      <c r="T1614" s="57" t="str">
        <f>IF(AC1614=1,O1614/M1614,"")</f>
        <v/>
      </c>
      <c r="U1614" s="57" t="str">
        <f>IF(AC1614=1,IF(O1614&gt;0,R1614/O1614,""),"")</f>
        <v/>
      </c>
      <c r="V1614" s="57" t="str">
        <f>IF(AC1614=1,IF(P1614&gt;0,N(G1614)/P1614,""),"")</f>
        <v/>
      </c>
      <c r="W1614" s="57" t="str">
        <f>IF(AC1614=1,S1614/M1614,"")</f>
        <v/>
      </c>
      <c r="X1614" s="57" t="str">
        <f>IF(AC1614=1,S1614/K1614,"")</f>
        <v/>
      </c>
      <c r="Y1614" s="58" t="str">
        <f>IF(W1614="","",IF(W1614&gt;=p_target,"Bon",IF(W1614&gt;=p_alert,"À surveiller","Faible")))</f>
        <v/>
      </c>
      <c r="Z1614" s="58" t="str">
        <f>IF(W1614="","",IF(MIN(IF(T1614="",1,T1614),IF(U1614="",1,U1614),IF(V1614="",1,V1614))&gt;=1,"Aucune",IF(IF(T1614="",1,T1614)&lt;=MIN(IF(U1614="",1,U1614),IF(V1614="",1,V1614)),"Disponibilité",IF(IF(U1614="",1,U1614)&lt;=IF(V1614="",1,V1614),"Performance","Qualité"))))</f>
        <v/>
      </c>
      <c r="AA1614" s="59" t="str">
        <f>IF(AC1614=1,N(H1614)*N(IFERROR(INDEX(art_cost,MATCH(E1614,art_ref,0)),0)),"")</f>
        <v/>
      </c>
      <c r="AB1614" s="58" t="str">
        <f>IF(COUNTA(A1614:I1614)=0,"",IF(N(A1614)&lt;=0,"Date manquante ou invalide",IF(B1614="","Équipe manquante",IF(ISNA(MATCH(B1614,eq_code,0)),"Équipe inconnue",IF(INDEX(eq_check,MATCH(B1614,eq_code,0))&lt;&gt;"OK","Équipe à corriger dans Paramètres",IF(C1614="","Poste manquant",IF(ISNA(MATCH(C1614,po_code,0)),"Poste inconnu",IF(AND(E1614&lt;&gt;"",ISNA(MATCH(E1614,art_ref,0))),"Article inconnu",IF(IF(E1614="",FALSE,INDEX(art_check,MATCH(E1614,art_ref,0))&lt;&gt;"OK"),"Article à corriger (feuille Articles)",IF(COUNTIFS(sj_date,A1614,sj_eq,B1614,sj_po,C1614)&gt;1,"Ligne en double (même jour, équipe et poste)",IF(OR(NOT(ISNUMBER(K1614)),N(K1614)&lt;=0,N(K1614)&gt;1440),"Temps d'ouverture invalide",IF(OR(AND(G1614&lt;&gt;"",NOT(ISNUMBER(G1614))),N(G1614)&lt;0,N(G1614)&lt;&gt;INT(N(G1614)),AND(H1614&lt;&gt;"",NOT(ISNUMBER(H1614))),N(H1614)&lt;0,N(H1614)&lt;&gt;INT(N(H1614)),AND(I1614&lt;&gt;"",NOT(ISNUMBER(I1614))),N(I1614)&lt;0,N(I1614)&lt;&gt;INT(N(I1614))),"Quantité invalide",IF(Q1614&lt;=0,"Cadence manquante (poste ou article)",IF(M1614&lt;=0,"Arrêts planifiés supérieurs au temps d'ouverture",IF(O1614&lt;0,"Arrêts supérieurs au temps requis",IF(AND(P1614&gt;0,O1614=0),"Pièces déclarées sans temps de marche",IF(AND(P1614=0,O1614&gt;0),"Aucune pièce déclarée",IF(P1614*60/Q1614&gt;O1614+0.001,"Cadence dépassée : vérifiez la cadence","OK"))))))))))))))))))</f>
        <v/>
      </c>
      <c r="AC1614">
        <f>IF(OR(AB1614="OK",AB1614="Aucune pièce déclarée",AB1614="Cadence dépassée : vérifiez la cadence"),1,0)</f>
        <v>0.0</v>
      </c>
      <c r="AD1614">
        <f>IF(AND(AC1614=1,A1614&gt;=p_from,A1614&lt;=p_to),1,0)</f>
        <v>0.0</v>
      </c>
      <c r="AE1614">
        <f>IF(AD1614=1,IF(COUNTIFS($A$6:A1614,A1614,$AD$6:AD1614,1)=1,1,0),0)</f>
        <v>0.0</v>
      </c>
      <c r="AF1614" t="str">
        <f>IF(AE1614=1,COUNTIFS(sj_first,1,sj_date,"&lt;"&amp;A1614)+1,"")</f>
        <v/>
      </c>
      <c r="AG1614" t="str">
        <f>IF(AND(AD1614=1,N(W1614)&lt;p_alert),ROUND(W1614,4),"")</f>
        <v/>
      </c>
      <c r="AH1614" t="str">
        <f>IF(AG1614="","",COUNTIF(sj_akey,"&lt;"&amp;AG1614)+COUNTIF($AG$6:AG1614,AG1614))</f>
        <v/>
      </c>
    </row>
    <row r="1615">
      <c r="A1615" s="51" t="n"/>
      <c r="B1615" s="52" t="n"/>
      <c r="C1615" s="52" t="n"/>
      <c r="D1615" s="53" t="n"/>
      <c r="E1615" s="53" t="n"/>
      <c r="F1615" s="54" t="n"/>
      <c r="G1615" s="54" t="n"/>
      <c r="H1615" s="54" t="n"/>
      <c r="I1615" s="54" t="n"/>
      <c r="J1615" s="53" t="n"/>
      <c r="K1615" s="55" t="str">
        <f>IF(COUNTA(A1615:I1615)=0,"",IF(F1615="",IFERROR(INDEX(eq_dur,MATCH(B1615,eq_code,0)),""),F1615))</f>
        <v/>
      </c>
      <c r="L1615" s="55" t="str">
        <f>IF(ISNUMBER(K1615),N(IFERROR(INDEX(eq_pause,MATCH(B1615,eq_code,0)),0))+SUMIFS(st_min,st_date,A1615,st_eq,B1615,st_po,C1615,st_type,"Planifié"),"")</f>
        <v/>
      </c>
      <c r="M1615" s="55" t="str">
        <f>IF(ISNUMBER(K1615),K1615-L1615,"")</f>
        <v/>
      </c>
      <c r="N1615" s="55" t="str">
        <f>IF(ISNUMBER(K1615),SUMIFS(st_min,st_date,A1615,st_eq,B1615,st_po,C1615,st_type,"Non planifié"),"")</f>
        <v/>
      </c>
      <c r="O1615" s="55" t="str">
        <f>IF(ISNUMBER(K1615),M1615-N1615,"")</f>
        <v/>
      </c>
      <c r="P1615" s="55" t="str">
        <f>IF(COUNTA(A1615:I1615)=0,"",N(G1615)+N(H1615)+N(I1615))</f>
        <v/>
      </c>
      <c r="Q1615" s="56" t="str">
        <f>IF(COUNTA(A1615:I1615)=0,"",IF(N(IFERROR(INDEX(art_rate,MATCH(E1615,art_ref,0)),0))&gt;0,N(IFERROR(INDEX(art_rate,MATCH(E1615,art_ref,0)),0)),N(IFERROR(INDEX(po_rate,MATCH(C1615,po_code,0)),0))))</f>
        <v/>
      </c>
      <c r="R1615" s="55" t="str">
        <f>IF(AC1615=1,P1615*60/Q1615,"")</f>
        <v/>
      </c>
      <c r="S1615" s="55" t="str">
        <f>IF(AC1615=1,N(G1615)*60/Q1615,"")</f>
        <v/>
      </c>
      <c r="T1615" s="57" t="str">
        <f>IF(AC1615=1,O1615/M1615,"")</f>
        <v/>
      </c>
      <c r="U1615" s="57" t="str">
        <f>IF(AC1615=1,IF(O1615&gt;0,R1615/O1615,""),"")</f>
        <v/>
      </c>
      <c r="V1615" s="57" t="str">
        <f>IF(AC1615=1,IF(P1615&gt;0,N(G1615)/P1615,""),"")</f>
        <v/>
      </c>
      <c r="W1615" s="57" t="str">
        <f>IF(AC1615=1,S1615/M1615,"")</f>
        <v/>
      </c>
      <c r="X1615" s="57" t="str">
        <f>IF(AC1615=1,S1615/K1615,"")</f>
        <v/>
      </c>
      <c r="Y1615" s="58" t="str">
        <f>IF(W1615="","",IF(W1615&gt;=p_target,"Bon",IF(W1615&gt;=p_alert,"À surveiller","Faible")))</f>
        <v/>
      </c>
      <c r="Z1615" s="58" t="str">
        <f>IF(W1615="","",IF(MIN(IF(T1615="",1,T1615),IF(U1615="",1,U1615),IF(V1615="",1,V1615))&gt;=1,"Aucune",IF(IF(T1615="",1,T1615)&lt;=MIN(IF(U1615="",1,U1615),IF(V1615="",1,V1615)),"Disponibilité",IF(IF(U1615="",1,U1615)&lt;=IF(V1615="",1,V1615),"Performance","Qualité"))))</f>
        <v/>
      </c>
      <c r="AA1615" s="59" t="str">
        <f>IF(AC1615=1,N(H1615)*N(IFERROR(INDEX(art_cost,MATCH(E1615,art_ref,0)),0)),"")</f>
        <v/>
      </c>
      <c r="AB1615" s="58" t="str">
        <f>IF(COUNTA(A1615:I1615)=0,"",IF(N(A1615)&lt;=0,"Date manquante ou invalide",IF(B1615="","Équipe manquante",IF(ISNA(MATCH(B1615,eq_code,0)),"Équipe inconnue",IF(INDEX(eq_check,MATCH(B1615,eq_code,0))&lt;&gt;"OK","Équipe à corriger dans Paramètres",IF(C1615="","Poste manquant",IF(ISNA(MATCH(C1615,po_code,0)),"Poste inconnu",IF(AND(E1615&lt;&gt;"",ISNA(MATCH(E1615,art_ref,0))),"Article inconnu",IF(IF(E1615="",FALSE,INDEX(art_check,MATCH(E1615,art_ref,0))&lt;&gt;"OK"),"Article à corriger (feuille Articles)",IF(COUNTIFS(sj_date,A1615,sj_eq,B1615,sj_po,C1615)&gt;1,"Ligne en double (même jour, équipe et poste)",IF(OR(NOT(ISNUMBER(K1615)),N(K1615)&lt;=0,N(K1615)&gt;1440),"Temps d'ouverture invalide",IF(OR(AND(G1615&lt;&gt;"",NOT(ISNUMBER(G1615))),N(G1615)&lt;0,N(G1615)&lt;&gt;INT(N(G1615)),AND(H1615&lt;&gt;"",NOT(ISNUMBER(H1615))),N(H1615)&lt;0,N(H1615)&lt;&gt;INT(N(H1615)),AND(I1615&lt;&gt;"",NOT(ISNUMBER(I1615))),N(I1615)&lt;0,N(I1615)&lt;&gt;INT(N(I1615))),"Quantité invalide",IF(Q1615&lt;=0,"Cadence manquante (poste ou article)",IF(M1615&lt;=0,"Arrêts planifiés supérieurs au temps d'ouverture",IF(O1615&lt;0,"Arrêts supérieurs au temps requis",IF(AND(P1615&gt;0,O1615=0),"Pièces déclarées sans temps de marche",IF(AND(P1615=0,O1615&gt;0),"Aucune pièce déclarée",IF(P1615*60/Q1615&gt;O1615+0.001,"Cadence dépassée : vérifiez la cadence","OK"))))))))))))))))))</f>
        <v/>
      </c>
      <c r="AC1615">
        <f>IF(OR(AB1615="OK",AB1615="Aucune pièce déclarée",AB1615="Cadence dépassée : vérifiez la cadence"),1,0)</f>
        <v>0.0</v>
      </c>
      <c r="AD1615">
        <f>IF(AND(AC1615=1,A1615&gt;=p_from,A1615&lt;=p_to),1,0)</f>
        <v>0.0</v>
      </c>
      <c r="AE1615">
        <f>IF(AD1615=1,IF(COUNTIFS($A$6:A1615,A1615,$AD$6:AD1615,1)=1,1,0),0)</f>
        <v>0.0</v>
      </c>
      <c r="AF1615" t="str">
        <f>IF(AE1615=1,COUNTIFS(sj_first,1,sj_date,"&lt;"&amp;A1615)+1,"")</f>
        <v/>
      </c>
      <c r="AG1615" t="str">
        <f>IF(AND(AD1615=1,N(W1615)&lt;p_alert),ROUND(W1615,4),"")</f>
        <v/>
      </c>
      <c r="AH1615" t="str">
        <f>IF(AG1615="","",COUNTIF(sj_akey,"&lt;"&amp;AG1615)+COUNTIF($AG$6:AG1615,AG1615))</f>
        <v/>
      </c>
    </row>
    <row r="1616">
      <c r="A1616" s="51" t="n"/>
      <c r="B1616" s="52" t="n"/>
      <c r="C1616" s="52" t="n"/>
      <c r="D1616" s="53" t="n"/>
      <c r="E1616" s="53" t="n"/>
      <c r="F1616" s="54" t="n"/>
      <c r="G1616" s="54" t="n"/>
      <c r="H1616" s="54" t="n"/>
      <c r="I1616" s="54" t="n"/>
      <c r="J1616" s="53" t="n"/>
      <c r="K1616" s="55" t="str">
        <f>IF(COUNTA(A1616:I1616)=0,"",IF(F1616="",IFERROR(INDEX(eq_dur,MATCH(B1616,eq_code,0)),""),F1616))</f>
        <v/>
      </c>
      <c r="L1616" s="55" t="str">
        <f>IF(ISNUMBER(K1616),N(IFERROR(INDEX(eq_pause,MATCH(B1616,eq_code,0)),0))+SUMIFS(st_min,st_date,A1616,st_eq,B1616,st_po,C1616,st_type,"Planifié"),"")</f>
        <v/>
      </c>
      <c r="M1616" s="55" t="str">
        <f>IF(ISNUMBER(K1616),K1616-L1616,"")</f>
        <v/>
      </c>
      <c r="N1616" s="55" t="str">
        <f>IF(ISNUMBER(K1616),SUMIFS(st_min,st_date,A1616,st_eq,B1616,st_po,C1616,st_type,"Non planifié"),"")</f>
        <v/>
      </c>
      <c r="O1616" s="55" t="str">
        <f>IF(ISNUMBER(K1616),M1616-N1616,"")</f>
        <v/>
      </c>
      <c r="P1616" s="55" t="str">
        <f>IF(COUNTA(A1616:I1616)=0,"",N(G1616)+N(H1616)+N(I1616))</f>
        <v/>
      </c>
      <c r="Q1616" s="56" t="str">
        <f>IF(COUNTA(A1616:I1616)=0,"",IF(N(IFERROR(INDEX(art_rate,MATCH(E1616,art_ref,0)),0))&gt;0,N(IFERROR(INDEX(art_rate,MATCH(E1616,art_ref,0)),0)),N(IFERROR(INDEX(po_rate,MATCH(C1616,po_code,0)),0))))</f>
        <v/>
      </c>
      <c r="R1616" s="55" t="str">
        <f>IF(AC1616=1,P1616*60/Q1616,"")</f>
        <v/>
      </c>
      <c r="S1616" s="55" t="str">
        <f>IF(AC1616=1,N(G1616)*60/Q1616,"")</f>
        <v/>
      </c>
      <c r="T1616" s="57" t="str">
        <f>IF(AC1616=1,O1616/M1616,"")</f>
        <v/>
      </c>
      <c r="U1616" s="57" t="str">
        <f>IF(AC1616=1,IF(O1616&gt;0,R1616/O1616,""),"")</f>
        <v/>
      </c>
      <c r="V1616" s="57" t="str">
        <f>IF(AC1616=1,IF(P1616&gt;0,N(G1616)/P1616,""),"")</f>
        <v/>
      </c>
      <c r="W1616" s="57" t="str">
        <f>IF(AC1616=1,S1616/M1616,"")</f>
        <v/>
      </c>
      <c r="X1616" s="57" t="str">
        <f>IF(AC1616=1,S1616/K1616,"")</f>
        <v/>
      </c>
      <c r="Y1616" s="58" t="str">
        <f>IF(W1616="","",IF(W1616&gt;=p_target,"Bon",IF(W1616&gt;=p_alert,"À surveiller","Faible")))</f>
        <v/>
      </c>
      <c r="Z1616" s="58" t="str">
        <f>IF(W1616="","",IF(MIN(IF(T1616="",1,T1616),IF(U1616="",1,U1616),IF(V1616="",1,V1616))&gt;=1,"Aucune",IF(IF(T1616="",1,T1616)&lt;=MIN(IF(U1616="",1,U1616),IF(V1616="",1,V1616)),"Disponibilité",IF(IF(U1616="",1,U1616)&lt;=IF(V1616="",1,V1616),"Performance","Qualité"))))</f>
        <v/>
      </c>
      <c r="AA1616" s="59" t="str">
        <f>IF(AC1616=1,N(H1616)*N(IFERROR(INDEX(art_cost,MATCH(E1616,art_ref,0)),0)),"")</f>
        <v/>
      </c>
      <c r="AB1616" s="58" t="str">
        <f>IF(COUNTA(A1616:I1616)=0,"",IF(N(A1616)&lt;=0,"Date manquante ou invalide",IF(B1616="","Équipe manquante",IF(ISNA(MATCH(B1616,eq_code,0)),"Équipe inconnue",IF(INDEX(eq_check,MATCH(B1616,eq_code,0))&lt;&gt;"OK","Équipe à corriger dans Paramètres",IF(C1616="","Poste manquant",IF(ISNA(MATCH(C1616,po_code,0)),"Poste inconnu",IF(AND(E1616&lt;&gt;"",ISNA(MATCH(E1616,art_ref,0))),"Article inconnu",IF(IF(E1616="",FALSE,INDEX(art_check,MATCH(E1616,art_ref,0))&lt;&gt;"OK"),"Article à corriger (feuille Articles)",IF(COUNTIFS(sj_date,A1616,sj_eq,B1616,sj_po,C1616)&gt;1,"Ligne en double (même jour, équipe et poste)",IF(OR(NOT(ISNUMBER(K1616)),N(K1616)&lt;=0,N(K1616)&gt;1440),"Temps d'ouverture invalide",IF(OR(AND(G1616&lt;&gt;"",NOT(ISNUMBER(G1616))),N(G1616)&lt;0,N(G1616)&lt;&gt;INT(N(G1616)),AND(H1616&lt;&gt;"",NOT(ISNUMBER(H1616))),N(H1616)&lt;0,N(H1616)&lt;&gt;INT(N(H1616)),AND(I1616&lt;&gt;"",NOT(ISNUMBER(I1616))),N(I1616)&lt;0,N(I1616)&lt;&gt;INT(N(I1616))),"Quantité invalide",IF(Q1616&lt;=0,"Cadence manquante (poste ou article)",IF(M1616&lt;=0,"Arrêts planifiés supérieurs au temps d'ouverture",IF(O1616&lt;0,"Arrêts supérieurs au temps requis",IF(AND(P1616&gt;0,O1616=0),"Pièces déclarées sans temps de marche",IF(AND(P1616=0,O1616&gt;0),"Aucune pièce déclarée",IF(P1616*60/Q1616&gt;O1616+0.001,"Cadence dépassée : vérifiez la cadence","OK"))))))))))))))))))</f>
        <v/>
      </c>
      <c r="AC1616">
        <f>IF(OR(AB1616="OK",AB1616="Aucune pièce déclarée",AB1616="Cadence dépassée : vérifiez la cadence"),1,0)</f>
        <v>0.0</v>
      </c>
      <c r="AD1616">
        <f>IF(AND(AC1616=1,A1616&gt;=p_from,A1616&lt;=p_to),1,0)</f>
        <v>0.0</v>
      </c>
      <c r="AE1616">
        <f>IF(AD1616=1,IF(COUNTIFS($A$6:A1616,A1616,$AD$6:AD1616,1)=1,1,0),0)</f>
        <v>0.0</v>
      </c>
      <c r="AF1616" t="str">
        <f>IF(AE1616=1,COUNTIFS(sj_first,1,sj_date,"&lt;"&amp;A1616)+1,"")</f>
        <v/>
      </c>
      <c r="AG1616" t="str">
        <f>IF(AND(AD1616=1,N(W1616)&lt;p_alert),ROUND(W1616,4),"")</f>
        <v/>
      </c>
      <c r="AH1616" t="str">
        <f>IF(AG1616="","",COUNTIF(sj_akey,"&lt;"&amp;AG1616)+COUNTIF($AG$6:AG1616,AG1616))</f>
        <v/>
      </c>
    </row>
    <row r="1617">
      <c r="A1617" s="51" t="n"/>
      <c r="B1617" s="52" t="n"/>
      <c r="C1617" s="52" t="n"/>
      <c r="D1617" s="53" t="n"/>
      <c r="E1617" s="53" t="n"/>
      <c r="F1617" s="54" t="n"/>
      <c r="G1617" s="54" t="n"/>
      <c r="H1617" s="54" t="n"/>
      <c r="I1617" s="54" t="n"/>
      <c r="J1617" s="53" t="n"/>
      <c r="K1617" s="55" t="str">
        <f>IF(COUNTA(A1617:I1617)=0,"",IF(F1617="",IFERROR(INDEX(eq_dur,MATCH(B1617,eq_code,0)),""),F1617))</f>
        <v/>
      </c>
      <c r="L1617" s="55" t="str">
        <f>IF(ISNUMBER(K1617),N(IFERROR(INDEX(eq_pause,MATCH(B1617,eq_code,0)),0))+SUMIFS(st_min,st_date,A1617,st_eq,B1617,st_po,C1617,st_type,"Planifié"),"")</f>
        <v/>
      </c>
      <c r="M1617" s="55" t="str">
        <f>IF(ISNUMBER(K1617),K1617-L1617,"")</f>
        <v/>
      </c>
      <c r="N1617" s="55" t="str">
        <f>IF(ISNUMBER(K1617),SUMIFS(st_min,st_date,A1617,st_eq,B1617,st_po,C1617,st_type,"Non planifié"),"")</f>
        <v/>
      </c>
      <c r="O1617" s="55" t="str">
        <f>IF(ISNUMBER(K1617),M1617-N1617,"")</f>
        <v/>
      </c>
      <c r="P1617" s="55" t="str">
        <f>IF(COUNTA(A1617:I1617)=0,"",N(G1617)+N(H1617)+N(I1617))</f>
        <v/>
      </c>
      <c r="Q1617" s="56" t="str">
        <f>IF(COUNTA(A1617:I1617)=0,"",IF(N(IFERROR(INDEX(art_rate,MATCH(E1617,art_ref,0)),0))&gt;0,N(IFERROR(INDEX(art_rate,MATCH(E1617,art_ref,0)),0)),N(IFERROR(INDEX(po_rate,MATCH(C1617,po_code,0)),0))))</f>
        <v/>
      </c>
      <c r="R1617" s="55" t="str">
        <f>IF(AC1617=1,P1617*60/Q1617,"")</f>
        <v/>
      </c>
      <c r="S1617" s="55" t="str">
        <f>IF(AC1617=1,N(G1617)*60/Q1617,"")</f>
        <v/>
      </c>
      <c r="T1617" s="57" t="str">
        <f>IF(AC1617=1,O1617/M1617,"")</f>
        <v/>
      </c>
      <c r="U1617" s="57" t="str">
        <f>IF(AC1617=1,IF(O1617&gt;0,R1617/O1617,""),"")</f>
        <v/>
      </c>
      <c r="V1617" s="57" t="str">
        <f>IF(AC1617=1,IF(P1617&gt;0,N(G1617)/P1617,""),"")</f>
        <v/>
      </c>
      <c r="W1617" s="57" t="str">
        <f>IF(AC1617=1,S1617/M1617,"")</f>
        <v/>
      </c>
      <c r="X1617" s="57" t="str">
        <f>IF(AC1617=1,S1617/K1617,"")</f>
        <v/>
      </c>
      <c r="Y1617" s="58" t="str">
        <f>IF(W1617="","",IF(W1617&gt;=p_target,"Bon",IF(W1617&gt;=p_alert,"À surveiller","Faible")))</f>
        <v/>
      </c>
      <c r="Z1617" s="58" t="str">
        <f>IF(W1617="","",IF(MIN(IF(T1617="",1,T1617),IF(U1617="",1,U1617),IF(V1617="",1,V1617))&gt;=1,"Aucune",IF(IF(T1617="",1,T1617)&lt;=MIN(IF(U1617="",1,U1617),IF(V1617="",1,V1617)),"Disponibilité",IF(IF(U1617="",1,U1617)&lt;=IF(V1617="",1,V1617),"Performance","Qualité"))))</f>
        <v/>
      </c>
      <c r="AA1617" s="59" t="str">
        <f>IF(AC1617=1,N(H1617)*N(IFERROR(INDEX(art_cost,MATCH(E1617,art_ref,0)),0)),"")</f>
        <v/>
      </c>
      <c r="AB1617" s="58" t="str">
        <f>IF(COUNTA(A1617:I1617)=0,"",IF(N(A1617)&lt;=0,"Date manquante ou invalide",IF(B1617="","Équipe manquante",IF(ISNA(MATCH(B1617,eq_code,0)),"Équipe inconnue",IF(INDEX(eq_check,MATCH(B1617,eq_code,0))&lt;&gt;"OK","Équipe à corriger dans Paramètres",IF(C1617="","Poste manquant",IF(ISNA(MATCH(C1617,po_code,0)),"Poste inconnu",IF(AND(E1617&lt;&gt;"",ISNA(MATCH(E1617,art_ref,0))),"Article inconnu",IF(IF(E1617="",FALSE,INDEX(art_check,MATCH(E1617,art_ref,0))&lt;&gt;"OK"),"Article à corriger (feuille Articles)",IF(COUNTIFS(sj_date,A1617,sj_eq,B1617,sj_po,C1617)&gt;1,"Ligne en double (même jour, équipe et poste)",IF(OR(NOT(ISNUMBER(K1617)),N(K1617)&lt;=0,N(K1617)&gt;1440),"Temps d'ouverture invalide",IF(OR(AND(G1617&lt;&gt;"",NOT(ISNUMBER(G1617))),N(G1617)&lt;0,N(G1617)&lt;&gt;INT(N(G1617)),AND(H1617&lt;&gt;"",NOT(ISNUMBER(H1617))),N(H1617)&lt;0,N(H1617)&lt;&gt;INT(N(H1617)),AND(I1617&lt;&gt;"",NOT(ISNUMBER(I1617))),N(I1617)&lt;0,N(I1617)&lt;&gt;INT(N(I1617))),"Quantité invalide",IF(Q1617&lt;=0,"Cadence manquante (poste ou article)",IF(M1617&lt;=0,"Arrêts planifiés supérieurs au temps d'ouverture",IF(O1617&lt;0,"Arrêts supérieurs au temps requis",IF(AND(P1617&gt;0,O1617=0),"Pièces déclarées sans temps de marche",IF(AND(P1617=0,O1617&gt;0),"Aucune pièce déclarée",IF(P1617*60/Q1617&gt;O1617+0.001,"Cadence dépassée : vérifiez la cadence","OK"))))))))))))))))))</f>
        <v/>
      </c>
      <c r="AC1617">
        <f>IF(OR(AB1617="OK",AB1617="Aucune pièce déclarée",AB1617="Cadence dépassée : vérifiez la cadence"),1,0)</f>
        <v>0.0</v>
      </c>
      <c r="AD1617">
        <f>IF(AND(AC1617=1,A1617&gt;=p_from,A1617&lt;=p_to),1,0)</f>
        <v>0.0</v>
      </c>
      <c r="AE1617">
        <f>IF(AD1617=1,IF(COUNTIFS($A$6:A1617,A1617,$AD$6:AD1617,1)=1,1,0),0)</f>
        <v>0.0</v>
      </c>
      <c r="AF1617" t="str">
        <f>IF(AE1617=1,COUNTIFS(sj_first,1,sj_date,"&lt;"&amp;A1617)+1,"")</f>
        <v/>
      </c>
      <c r="AG1617" t="str">
        <f>IF(AND(AD1617=1,N(W1617)&lt;p_alert),ROUND(W1617,4),"")</f>
        <v/>
      </c>
      <c r="AH1617" t="str">
        <f>IF(AG1617="","",COUNTIF(sj_akey,"&lt;"&amp;AG1617)+COUNTIF($AG$6:AG1617,AG1617))</f>
        <v/>
      </c>
    </row>
    <row r="1618">
      <c r="A1618" s="51" t="n"/>
      <c r="B1618" s="52" t="n"/>
      <c r="C1618" s="52" t="n"/>
      <c r="D1618" s="53" t="n"/>
      <c r="E1618" s="53" t="n"/>
      <c r="F1618" s="54" t="n"/>
      <c r="G1618" s="54" t="n"/>
      <c r="H1618" s="54" t="n"/>
      <c r="I1618" s="54" t="n"/>
      <c r="J1618" s="53" t="n"/>
      <c r="K1618" s="55" t="str">
        <f>IF(COUNTA(A1618:I1618)=0,"",IF(F1618="",IFERROR(INDEX(eq_dur,MATCH(B1618,eq_code,0)),""),F1618))</f>
        <v/>
      </c>
      <c r="L1618" s="55" t="str">
        <f>IF(ISNUMBER(K1618),N(IFERROR(INDEX(eq_pause,MATCH(B1618,eq_code,0)),0))+SUMIFS(st_min,st_date,A1618,st_eq,B1618,st_po,C1618,st_type,"Planifié"),"")</f>
        <v/>
      </c>
      <c r="M1618" s="55" t="str">
        <f>IF(ISNUMBER(K1618),K1618-L1618,"")</f>
        <v/>
      </c>
      <c r="N1618" s="55" t="str">
        <f>IF(ISNUMBER(K1618),SUMIFS(st_min,st_date,A1618,st_eq,B1618,st_po,C1618,st_type,"Non planifié"),"")</f>
        <v/>
      </c>
      <c r="O1618" s="55" t="str">
        <f>IF(ISNUMBER(K1618),M1618-N1618,"")</f>
        <v/>
      </c>
      <c r="P1618" s="55" t="str">
        <f>IF(COUNTA(A1618:I1618)=0,"",N(G1618)+N(H1618)+N(I1618))</f>
        <v/>
      </c>
      <c r="Q1618" s="56" t="str">
        <f>IF(COUNTA(A1618:I1618)=0,"",IF(N(IFERROR(INDEX(art_rate,MATCH(E1618,art_ref,0)),0))&gt;0,N(IFERROR(INDEX(art_rate,MATCH(E1618,art_ref,0)),0)),N(IFERROR(INDEX(po_rate,MATCH(C1618,po_code,0)),0))))</f>
        <v/>
      </c>
      <c r="R1618" s="55" t="str">
        <f>IF(AC1618=1,P1618*60/Q1618,"")</f>
        <v/>
      </c>
      <c r="S1618" s="55" t="str">
        <f>IF(AC1618=1,N(G1618)*60/Q1618,"")</f>
        <v/>
      </c>
      <c r="T1618" s="57" t="str">
        <f>IF(AC1618=1,O1618/M1618,"")</f>
        <v/>
      </c>
      <c r="U1618" s="57" t="str">
        <f>IF(AC1618=1,IF(O1618&gt;0,R1618/O1618,""),"")</f>
        <v/>
      </c>
      <c r="V1618" s="57" t="str">
        <f>IF(AC1618=1,IF(P1618&gt;0,N(G1618)/P1618,""),"")</f>
        <v/>
      </c>
      <c r="W1618" s="57" t="str">
        <f>IF(AC1618=1,S1618/M1618,"")</f>
        <v/>
      </c>
      <c r="X1618" s="57" t="str">
        <f>IF(AC1618=1,S1618/K1618,"")</f>
        <v/>
      </c>
      <c r="Y1618" s="58" t="str">
        <f>IF(W1618="","",IF(W1618&gt;=p_target,"Bon",IF(W1618&gt;=p_alert,"À surveiller","Faible")))</f>
        <v/>
      </c>
      <c r="Z1618" s="58" t="str">
        <f>IF(W1618="","",IF(MIN(IF(T1618="",1,T1618),IF(U1618="",1,U1618),IF(V1618="",1,V1618))&gt;=1,"Aucune",IF(IF(T1618="",1,T1618)&lt;=MIN(IF(U1618="",1,U1618),IF(V1618="",1,V1618)),"Disponibilité",IF(IF(U1618="",1,U1618)&lt;=IF(V1618="",1,V1618),"Performance","Qualité"))))</f>
        <v/>
      </c>
      <c r="AA1618" s="59" t="str">
        <f>IF(AC1618=1,N(H1618)*N(IFERROR(INDEX(art_cost,MATCH(E1618,art_ref,0)),0)),"")</f>
        <v/>
      </c>
      <c r="AB1618" s="58" t="str">
        <f>IF(COUNTA(A1618:I1618)=0,"",IF(N(A1618)&lt;=0,"Date manquante ou invalide",IF(B1618="","Équipe manquante",IF(ISNA(MATCH(B1618,eq_code,0)),"Équipe inconnue",IF(INDEX(eq_check,MATCH(B1618,eq_code,0))&lt;&gt;"OK","Équipe à corriger dans Paramètres",IF(C1618="","Poste manquant",IF(ISNA(MATCH(C1618,po_code,0)),"Poste inconnu",IF(AND(E1618&lt;&gt;"",ISNA(MATCH(E1618,art_ref,0))),"Article inconnu",IF(IF(E1618="",FALSE,INDEX(art_check,MATCH(E1618,art_ref,0))&lt;&gt;"OK"),"Article à corriger (feuille Articles)",IF(COUNTIFS(sj_date,A1618,sj_eq,B1618,sj_po,C1618)&gt;1,"Ligne en double (même jour, équipe et poste)",IF(OR(NOT(ISNUMBER(K1618)),N(K1618)&lt;=0,N(K1618)&gt;1440),"Temps d'ouverture invalide",IF(OR(AND(G1618&lt;&gt;"",NOT(ISNUMBER(G1618))),N(G1618)&lt;0,N(G1618)&lt;&gt;INT(N(G1618)),AND(H1618&lt;&gt;"",NOT(ISNUMBER(H1618))),N(H1618)&lt;0,N(H1618)&lt;&gt;INT(N(H1618)),AND(I1618&lt;&gt;"",NOT(ISNUMBER(I1618))),N(I1618)&lt;0,N(I1618)&lt;&gt;INT(N(I1618))),"Quantité invalide",IF(Q1618&lt;=0,"Cadence manquante (poste ou article)",IF(M1618&lt;=0,"Arrêts planifiés supérieurs au temps d'ouverture",IF(O1618&lt;0,"Arrêts supérieurs au temps requis",IF(AND(P1618&gt;0,O1618=0),"Pièces déclarées sans temps de marche",IF(AND(P1618=0,O1618&gt;0),"Aucune pièce déclarée",IF(P1618*60/Q1618&gt;O1618+0.001,"Cadence dépassée : vérifiez la cadence","OK"))))))))))))))))))</f>
        <v/>
      </c>
      <c r="AC1618">
        <f>IF(OR(AB1618="OK",AB1618="Aucune pièce déclarée",AB1618="Cadence dépassée : vérifiez la cadence"),1,0)</f>
        <v>0.0</v>
      </c>
      <c r="AD1618">
        <f>IF(AND(AC1618=1,A1618&gt;=p_from,A1618&lt;=p_to),1,0)</f>
        <v>0.0</v>
      </c>
      <c r="AE1618">
        <f>IF(AD1618=1,IF(COUNTIFS($A$6:A1618,A1618,$AD$6:AD1618,1)=1,1,0),0)</f>
        <v>0.0</v>
      </c>
      <c r="AF1618" t="str">
        <f>IF(AE1618=1,COUNTIFS(sj_first,1,sj_date,"&lt;"&amp;A1618)+1,"")</f>
        <v/>
      </c>
      <c r="AG1618" t="str">
        <f>IF(AND(AD1618=1,N(W1618)&lt;p_alert),ROUND(W1618,4),"")</f>
        <v/>
      </c>
      <c r="AH1618" t="str">
        <f>IF(AG1618="","",COUNTIF(sj_akey,"&lt;"&amp;AG1618)+COUNTIF($AG$6:AG1618,AG1618))</f>
        <v/>
      </c>
    </row>
    <row r="1619">
      <c r="A1619" s="51" t="n"/>
      <c r="B1619" s="52" t="n"/>
      <c r="C1619" s="52" t="n"/>
      <c r="D1619" s="53" t="n"/>
      <c r="E1619" s="53" t="n"/>
      <c r="F1619" s="54" t="n"/>
      <c r="G1619" s="54" t="n"/>
      <c r="H1619" s="54" t="n"/>
      <c r="I1619" s="54" t="n"/>
      <c r="J1619" s="53" t="n"/>
      <c r="K1619" s="55" t="str">
        <f>IF(COUNTA(A1619:I1619)=0,"",IF(F1619="",IFERROR(INDEX(eq_dur,MATCH(B1619,eq_code,0)),""),F1619))</f>
        <v/>
      </c>
      <c r="L1619" s="55" t="str">
        <f>IF(ISNUMBER(K1619),N(IFERROR(INDEX(eq_pause,MATCH(B1619,eq_code,0)),0))+SUMIFS(st_min,st_date,A1619,st_eq,B1619,st_po,C1619,st_type,"Planifié"),"")</f>
        <v/>
      </c>
      <c r="M1619" s="55" t="str">
        <f>IF(ISNUMBER(K1619),K1619-L1619,"")</f>
        <v/>
      </c>
      <c r="N1619" s="55" t="str">
        <f>IF(ISNUMBER(K1619),SUMIFS(st_min,st_date,A1619,st_eq,B1619,st_po,C1619,st_type,"Non planifié"),"")</f>
        <v/>
      </c>
      <c r="O1619" s="55" t="str">
        <f>IF(ISNUMBER(K1619),M1619-N1619,"")</f>
        <v/>
      </c>
      <c r="P1619" s="55" t="str">
        <f>IF(COUNTA(A1619:I1619)=0,"",N(G1619)+N(H1619)+N(I1619))</f>
        <v/>
      </c>
      <c r="Q1619" s="56" t="str">
        <f>IF(COUNTA(A1619:I1619)=0,"",IF(N(IFERROR(INDEX(art_rate,MATCH(E1619,art_ref,0)),0))&gt;0,N(IFERROR(INDEX(art_rate,MATCH(E1619,art_ref,0)),0)),N(IFERROR(INDEX(po_rate,MATCH(C1619,po_code,0)),0))))</f>
        <v/>
      </c>
      <c r="R1619" s="55" t="str">
        <f>IF(AC1619=1,P1619*60/Q1619,"")</f>
        <v/>
      </c>
      <c r="S1619" s="55" t="str">
        <f>IF(AC1619=1,N(G1619)*60/Q1619,"")</f>
        <v/>
      </c>
      <c r="T1619" s="57" t="str">
        <f>IF(AC1619=1,O1619/M1619,"")</f>
        <v/>
      </c>
      <c r="U1619" s="57" t="str">
        <f>IF(AC1619=1,IF(O1619&gt;0,R1619/O1619,""),"")</f>
        <v/>
      </c>
      <c r="V1619" s="57" t="str">
        <f>IF(AC1619=1,IF(P1619&gt;0,N(G1619)/P1619,""),"")</f>
        <v/>
      </c>
      <c r="W1619" s="57" t="str">
        <f>IF(AC1619=1,S1619/M1619,"")</f>
        <v/>
      </c>
      <c r="X1619" s="57" t="str">
        <f>IF(AC1619=1,S1619/K1619,"")</f>
        <v/>
      </c>
      <c r="Y1619" s="58" t="str">
        <f>IF(W1619="","",IF(W1619&gt;=p_target,"Bon",IF(W1619&gt;=p_alert,"À surveiller","Faible")))</f>
        <v/>
      </c>
      <c r="Z1619" s="58" t="str">
        <f>IF(W1619="","",IF(MIN(IF(T1619="",1,T1619),IF(U1619="",1,U1619),IF(V1619="",1,V1619))&gt;=1,"Aucune",IF(IF(T1619="",1,T1619)&lt;=MIN(IF(U1619="",1,U1619),IF(V1619="",1,V1619)),"Disponibilité",IF(IF(U1619="",1,U1619)&lt;=IF(V1619="",1,V1619),"Performance","Qualité"))))</f>
        <v/>
      </c>
      <c r="AA1619" s="59" t="str">
        <f>IF(AC1619=1,N(H1619)*N(IFERROR(INDEX(art_cost,MATCH(E1619,art_ref,0)),0)),"")</f>
        <v/>
      </c>
      <c r="AB1619" s="58" t="str">
        <f>IF(COUNTA(A1619:I1619)=0,"",IF(N(A1619)&lt;=0,"Date manquante ou invalide",IF(B1619="","Équipe manquante",IF(ISNA(MATCH(B1619,eq_code,0)),"Équipe inconnue",IF(INDEX(eq_check,MATCH(B1619,eq_code,0))&lt;&gt;"OK","Équipe à corriger dans Paramètres",IF(C1619="","Poste manquant",IF(ISNA(MATCH(C1619,po_code,0)),"Poste inconnu",IF(AND(E1619&lt;&gt;"",ISNA(MATCH(E1619,art_ref,0))),"Article inconnu",IF(IF(E1619="",FALSE,INDEX(art_check,MATCH(E1619,art_ref,0))&lt;&gt;"OK"),"Article à corriger (feuille Articles)",IF(COUNTIFS(sj_date,A1619,sj_eq,B1619,sj_po,C1619)&gt;1,"Ligne en double (même jour, équipe et poste)",IF(OR(NOT(ISNUMBER(K1619)),N(K1619)&lt;=0,N(K1619)&gt;1440),"Temps d'ouverture invalide",IF(OR(AND(G1619&lt;&gt;"",NOT(ISNUMBER(G1619))),N(G1619)&lt;0,N(G1619)&lt;&gt;INT(N(G1619)),AND(H1619&lt;&gt;"",NOT(ISNUMBER(H1619))),N(H1619)&lt;0,N(H1619)&lt;&gt;INT(N(H1619)),AND(I1619&lt;&gt;"",NOT(ISNUMBER(I1619))),N(I1619)&lt;0,N(I1619)&lt;&gt;INT(N(I1619))),"Quantité invalide",IF(Q1619&lt;=0,"Cadence manquante (poste ou article)",IF(M1619&lt;=0,"Arrêts planifiés supérieurs au temps d'ouverture",IF(O1619&lt;0,"Arrêts supérieurs au temps requis",IF(AND(P1619&gt;0,O1619=0),"Pièces déclarées sans temps de marche",IF(AND(P1619=0,O1619&gt;0),"Aucune pièce déclarée",IF(P1619*60/Q1619&gt;O1619+0.001,"Cadence dépassée : vérifiez la cadence","OK"))))))))))))))))))</f>
        <v/>
      </c>
      <c r="AC1619">
        <f>IF(OR(AB1619="OK",AB1619="Aucune pièce déclarée",AB1619="Cadence dépassée : vérifiez la cadence"),1,0)</f>
        <v>0.0</v>
      </c>
      <c r="AD1619">
        <f>IF(AND(AC1619=1,A1619&gt;=p_from,A1619&lt;=p_to),1,0)</f>
        <v>0.0</v>
      </c>
      <c r="AE1619">
        <f>IF(AD1619=1,IF(COUNTIFS($A$6:A1619,A1619,$AD$6:AD1619,1)=1,1,0),0)</f>
        <v>0.0</v>
      </c>
      <c r="AF1619" t="str">
        <f>IF(AE1619=1,COUNTIFS(sj_first,1,sj_date,"&lt;"&amp;A1619)+1,"")</f>
        <v/>
      </c>
      <c r="AG1619" t="str">
        <f>IF(AND(AD1619=1,N(W1619)&lt;p_alert),ROUND(W1619,4),"")</f>
        <v/>
      </c>
      <c r="AH1619" t="str">
        <f>IF(AG1619="","",COUNTIF(sj_akey,"&lt;"&amp;AG1619)+COUNTIF($AG$6:AG1619,AG1619))</f>
        <v/>
      </c>
    </row>
    <row r="1620">
      <c r="A1620" s="51" t="n"/>
      <c r="B1620" s="52" t="n"/>
      <c r="C1620" s="52" t="n"/>
      <c r="D1620" s="53" t="n"/>
      <c r="E1620" s="53" t="n"/>
      <c r="F1620" s="54" t="n"/>
      <c r="G1620" s="54" t="n"/>
      <c r="H1620" s="54" t="n"/>
      <c r="I1620" s="54" t="n"/>
      <c r="J1620" s="53" t="n"/>
      <c r="K1620" s="55" t="str">
        <f>IF(COUNTA(A1620:I1620)=0,"",IF(F1620="",IFERROR(INDEX(eq_dur,MATCH(B1620,eq_code,0)),""),F1620))</f>
        <v/>
      </c>
      <c r="L1620" s="55" t="str">
        <f>IF(ISNUMBER(K1620),N(IFERROR(INDEX(eq_pause,MATCH(B1620,eq_code,0)),0))+SUMIFS(st_min,st_date,A1620,st_eq,B1620,st_po,C1620,st_type,"Planifié"),"")</f>
        <v/>
      </c>
      <c r="M1620" s="55" t="str">
        <f>IF(ISNUMBER(K1620),K1620-L1620,"")</f>
        <v/>
      </c>
      <c r="N1620" s="55" t="str">
        <f>IF(ISNUMBER(K1620),SUMIFS(st_min,st_date,A1620,st_eq,B1620,st_po,C1620,st_type,"Non planifié"),"")</f>
        <v/>
      </c>
      <c r="O1620" s="55" t="str">
        <f>IF(ISNUMBER(K1620),M1620-N1620,"")</f>
        <v/>
      </c>
      <c r="P1620" s="55" t="str">
        <f>IF(COUNTA(A1620:I1620)=0,"",N(G1620)+N(H1620)+N(I1620))</f>
        <v/>
      </c>
      <c r="Q1620" s="56" t="str">
        <f>IF(COUNTA(A1620:I1620)=0,"",IF(N(IFERROR(INDEX(art_rate,MATCH(E1620,art_ref,0)),0))&gt;0,N(IFERROR(INDEX(art_rate,MATCH(E1620,art_ref,0)),0)),N(IFERROR(INDEX(po_rate,MATCH(C1620,po_code,0)),0))))</f>
        <v/>
      </c>
      <c r="R1620" s="55" t="str">
        <f>IF(AC1620=1,P1620*60/Q1620,"")</f>
        <v/>
      </c>
      <c r="S1620" s="55" t="str">
        <f>IF(AC1620=1,N(G1620)*60/Q1620,"")</f>
        <v/>
      </c>
      <c r="T1620" s="57" t="str">
        <f>IF(AC1620=1,O1620/M1620,"")</f>
        <v/>
      </c>
      <c r="U1620" s="57" t="str">
        <f>IF(AC1620=1,IF(O1620&gt;0,R1620/O1620,""),"")</f>
        <v/>
      </c>
      <c r="V1620" s="57" t="str">
        <f>IF(AC1620=1,IF(P1620&gt;0,N(G1620)/P1620,""),"")</f>
        <v/>
      </c>
      <c r="W1620" s="57" t="str">
        <f>IF(AC1620=1,S1620/M1620,"")</f>
        <v/>
      </c>
      <c r="X1620" s="57" t="str">
        <f>IF(AC1620=1,S1620/K1620,"")</f>
        <v/>
      </c>
      <c r="Y1620" s="58" t="str">
        <f>IF(W1620="","",IF(W1620&gt;=p_target,"Bon",IF(W1620&gt;=p_alert,"À surveiller","Faible")))</f>
        <v/>
      </c>
      <c r="Z1620" s="58" t="str">
        <f>IF(W1620="","",IF(MIN(IF(T1620="",1,T1620),IF(U1620="",1,U1620),IF(V1620="",1,V1620))&gt;=1,"Aucune",IF(IF(T1620="",1,T1620)&lt;=MIN(IF(U1620="",1,U1620),IF(V1620="",1,V1620)),"Disponibilité",IF(IF(U1620="",1,U1620)&lt;=IF(V1620="",1,V1620),"Performance","Qualité"))))</f>
        <v/>
      </c>
      <c r="AA1620" s="59" t="str">
        <f>IF(AC1620=1,N(H1620)*N(IFERROR(INDEX(art_cost,MATCH(E1620,art_ref,0)),0)),"")</f>
        <v/>
      </c>
      <c r="AB1620" s="58" t="str">
        <f>IF(COUNTA(A1620:I1620)=0,"",IF(N(A1620)&lt;=0,"Date manquante ou invalide",IF(B1620="","Équipe manquante",IF(ISNA(MATCH(B1620,eq_code,0)),"Équipe inconnue",IF(INDEX(eq_check,MATCH(B1620,eq_code,0))&lt;&gt;"OK","Équipe à corriger dans Paramètres",IF(C1620="","Poste manquant",IF(ISNA(MATCH(C1620,po_code,0)),"Poste inconnu",IF(AND(E1620&lt;&gt;"",ISNA(MATCH(E1620,art_ref,0))),"Article inconnu",IF(IF(E1620="",FALSE,INDEX(art_check,MATCH(E1620,art_ref,0))&lt;&gt;"OK"),"Article à corriger (feuille Articles)",IF(COUNTIFS(sj_date,A1620,sj_eq,B1620,sj_po,C1620)&gt;1,"Ligne en double (même jour, équipe et poste)",IF(OR(NOT(ISNUMBER(K1620)),N(K1620)&lt;=0,N(K1620)&gt;1440),"Temps d'ouverture invalide",IF(OR(AND(G1620&lt;&gt;"",NOT(ISNUMBER(G1620))),N(G1620)&lt;0,N(G1620)&lt;&gt;INT(N(G1620)),AND(H1620&lt;&gt;"",NOT(ISNUMBER(H1620))),N(H1620)&lt;0,N(H1620)&lt;&gt;INT(N(H1620)),AND(I1620&lt;&gt;"",NOT(ISNUMBER(I1620))),N(I1620)&lt;0,N(I1620)&lt;&gt;INT(N(I1620))),"Quantité invalide",IF(Q1620&lt;=0,"Cadence manquante (poste ou article)",IF(M1620&lt;=0,"Arrêts planifiés supérieurs au temps d'ouverture",IF(O1620&lt;0,"Arrêts supérieurs au temps requis",IF(AND(P1620&gt;0,O1620=0),"Pièces déclarées sans temps de marche",IF(AND(P1620=0,O1620&gt;0),"Aucune pièce déclarée",IF(P1620*60/Q1620&gt;O1620+0.001,"Cadence dépassée : vérifiez la cadence","OK"))))))))))))))))))</f>
        <v/>
      </c>
      <c r="AC1620">
        <f>IF(OR(AB1620="OK",AB1620="Aucune pièce déclarée",AB1620="Cadence dépassée : vérifiez la cadence"),1,0)</f>
        <v>0.0</v>
      </c>
      <c r="AD1620">
        <f>IF(AND(AC1620=1,A1620&gt;=p_from,A1620&lt;=p_to),1,0)</f>
        <v>0.0</v>
      </c>
      <c r="AE1620">
        <f>IF(AD1620=1,IF(COUNTIFS($A$6:A1620,A1620,$AD$6:AD1620,1)=1,1,0),0)</f>
        <v>0.0</v>
      </c>
      <c r="AF1620" t="str">
        <f>IF(AE1620=1,COUNTIFS(sj_first,1,sj_date,"&lt;"&amp;A1620)+1,"")</f>
        <v/>
      </c>
      <c r="AG1620" t="str">
        <f>IF(AND(AD1620=1,N(W1620)&lt;p_alert),ROUND(W1620,4),"")</f>
        <v/>
      </c>
      <c r="AH1620" t="str">
        <f>IF(AG1620="","",COUNTIF(sj_akey,"&lt;"&amp;AG1620)+COUNTIF($AG$6:AG1620,AG1620))</f>
        <v/>
      </c>
    </row>
    <row r="1621">
      <c r="A1621" s="51" t="n"/>
      <c r="B1621" s="52" t="n"/>
      <c r="C1621" s="52" t="n"/>
      <c r="D1621" s="53" t="n"/>
      <c r="E1621" s="53" t="n"/>
      <c r="F1621" s="54" t="n"/>
      <c r="G1621" s="54" t="n"/>
      <c r="H1621" s="54" t="n"/>
      <c r="I1621" s="54" t="n"/>
      <c r="J1621" s="53" t="n"/>
      <c r="K1621" s="55" t="str">
        <f>IF(COUNTA(A1621:I1621)=0,"",IF(F1621="",IFERROR(INDEX(eq_dur,MATCH(B1621,eq_code,0)),""),F1621))</f>
        <v/>
      </c>
      <c r="L1621" s="55" t="str">
        <f>IF(ISNUMBER(K1621),N(IFERROR(INDEX(eq_pause,MATCH(B1621,eq_code,0)),0))+SUMIFS(st_min,st_date,A1621,st_eq,B1621,st_po,C1621,st_type,"Planifié"),"")</f>
        <v/>
      </c>
      <c r="M1621" s="55" t="str">
        <f>IF(ISNUMBER(K1621),K1621-L1621,"")</f>
        <v/>
      </c>
      <c r="N1621" s="55" t="str">
        <f>IF(ISNUMBER(K1621),SUMIFS(st_min,st_date,A1621,st_eq,B1621,st_po,C1621,st_type,"Non planifié"),"")</f>
        <v/>
      </c>
      <c r="O1621" s="55" t="str">
        <f>IF(ISNUMBER(K1621),M1621-N1621,"")</f>
        <v/>
      </c>
      <c r="P1621" s="55" t="str">
        <f>IF(COUNTA(A1621:I1621)=0,"",N(G1621)+N(H1621)+N(I1621))</f>
        <v/>
      </c>
      <c r="Q1621" s="56" t="str">
        <f>IF(COUNTA(A1621:I1621)=0,"",IF(N(IFERROR(INDEX(art_rate,MATCH(E1621,art_ref,0)),0))&gt;0,N(IFERROR(INDEX(art_rate,MATCH(E1621,art_ref,0)),0)),N(IFERROR(INDEX(po_rate,MATCH(C1621,po_code,0)),0))))</f>
        <v/>
      </c>
      <c r="R1621" s="55" t="str">
        <f>IF(AC1621=1,P1621*60/Q1621,"")</f>
        <v/>
      </c>
      <c r="S1621" s="55" t="str">
        <f>IF(AC1621=1,N(G1621)*60/Q1621,"")</f>
        <v/>
      </c>
      <c r="T1621" s="57" t="str">
        <f>IF(AC1621=1,O1621/M1621,"")</f>
        <v/>
      </c>
      <c r="U1621" s="57" t="str">
        <f>IF(AC1621=1,IF(O1621&gt;0,R1621/O1621,""),"")</f>
        <v/>
      </c>
      <c r="V1621" s="57" t="str">
        <f>IF(AC1621=1,IF(P1621&gt;0,N(G1621)/P1621,""),"")</f>
        <v/>
      </c>
      <c r="W1621" s="57" t="str">
        <f>IF(AC1621=1,S1621/M1621,"")</f>
        <v/>
      </c>
      <c r="X1621" s="57" t="str">
        <f>IF(AC1621=1,S1621/K1621,"")</f>
        <v/>
      </c>
      <c r="Y1621" s="58" t="str">
        <f>IF(W1621="","",IF(W1621&gt;=p_target,"Bon",IF(W1621&gt;=p_alert,"À surveiller","Faible")))</f>
        <v/>
      </c>
      <c r="Z1621" s="58" t="str">
        <f>IF(W1621="","",IF(MIN(IF(T1621="",1,T1621),IF(U1621="",1,U1621),IF(V1621="",1,V1621))&gt;=1,"Aucune",IF(IF(T1621="",1,T1621)&lt;=MIN(IF(U1621="",1,U1621),IF(V1621="",1,V1621)),"Disponibilité",IF(IF(U1621="",1,U1621)&lt;=IF(V1621="",1,V1621),"Performance","Qualité"))))</f>
        <v/>
      </c>
      <c r="AA1621" s="59" t="str">
        <f>IF(AC1621=1,N(H1621)*N(IFERROR(INDEX(art_cost,MATCH(E1621,art_ref,0)),0)),"")</f>
        <v/>
      </c>
      <c r="AB1621" s="58" t="str">
        <f>IF(COUNTA(A1621:I1621)=0,"",IF(N(A1621)&lt;=0,"Date manquante ou invalide",IF(B1621="","Équipe manquante",IF(ISNA(MATCH(B1621,eq_code,0)),"Équipe inconnue",IF(INDEX(eq_check,MATCH(B1621,eq_code,0))&lt;&gt;"OK","Équipe à corriger dans Paramètres",IF(C1621="","Poste manquant",IF(ISNA(MATCH(C1621,po_code,0)),"Poste inconnu",IF(AND(E1621&lt;&gt;"",ISNA(MATCH(E1621,art_ref,0))),"Article inconnu",IF(IF(E1621="",FALSE,INDEX(art_check,MATCH(E1621,art_ref,0))&lt;&gt;"OK"),"Article à corriger (feuille Articles)",IF(COUNTIFS(sj_date,A1621,sj_eq,B1621,sj_po,C1621)&gt;1,"Ligne en double (même jour, équipe et poste)",IF(OR(NOT(ISNUMBER(K1621)),N(K1621)&lt;=0,N(K1621)&gt;1440),"Temps d'ouverture invalide",IF(OR(AND(G1621&lt;&gt;"",NOT(ISNUMBER(G1621))),N(G1621)&lt;0,N(G1621)&lt;&gt;INT(N(G1621)),AND(H1621&lt;&gt;"",NOT(ISNUMBER(H1621))),N(H1621)&lt;0,N(H1621)&lt;&gt;INT(N(H1621)),AND(I1621&lt;&gt;"",NOT(ISNUMBER(I1621))),N(I1621)&lt;0,N(I1621)&lt;&gt;INT(N(I1621))),"Quantité invalide",IF(Q1621&lt;=0,"Cadence manquante (poste ou article)",IF(M1621&lt;=0,"Arrêts planifiés supérieurs au temps d'ouverture",IF(O1621&lt;0,"Arrêts supérieurs au temps requis",IF(AND(P1621&gt;0,O1621=0),"Pièces déclarées sans temps de marche",IF(AND(P1621=0,O1621&gt;0),"Aucune pièce déclarée",IF(P1621*60/Q1621&gt;O1621+0.001,"Cadence dépassée : vérifiez la cadence","OK"))))))))))))))))))</f>
        <v/>
      </c>
      <c r="AC1621">
        <f>IF(OR(AB1621="OK",AB1621="Aucune pièce déclarée",AB1621="Cadence dépassée : vérifiez la cadence"),1,0)</f>
        <v>0.0</v>
      </c>
      <c r="AD1621">
        <f>IF(AND(AC1621=1,A1621&gt;=p_from,A1621&lt;=p_to),1,0)</f>
        <v>0.0</v>
      </c>
      <c r="AE1621">
        <f>IF(AD1621=1,IF(COUNTIFS($A$6:A1621,A1621,$AD$6:AD1621,1)=1,1,0),0)</f>
        <v>0.0</v>
      </c>
      <c r="AF1621" t="str">
        <f>IF(AE1621=1,COUNTIFS(sj_first,1,sj_date,"&lt;"&amp;A1621)+1,"")</f>
        <v/>
      </c>
      <c r="AG1621" t="str">
        <f>IF(AND(AD1621=1,N(W1621)&lt;p_alert),ROUND(W1621,4),"")</f>
        <v/>
      </c>
      <c r="AH1621" t="str">
        <f>IF(AG1621="","",COUNTIF(sj_akey,"&lt;"&amp;AG1621)+COUNTIF($AG$6:AG1621,AG1621))</f>
        <v/>
      </c>
    </row>
    <row r="1622">
      <c r="A1622" s="51" t="n"/>
      <c r="B1622" s="52" t="n"/>
      <c r="C1622" s="52" t="n"/>
      <c r="D1622" s="53" t="n"/>
      <c r="E1622" s="53" t="n"/>
      <c r="F1622" s="54" t="n"/>
      <c r="G1622" s="54" t="n"/>
      <c r="H1622" s="54" t="n"/>
      <c r="I1622" s="54" t="n"/>
      <c r="J1622" s="53" t="n"/>
      <c r="K1622" s="55" t="str">
        <f>IF(COUNTA(A1622:I1622)=0,"",IF(F1622="",IFERROR(INDEX(eq_dur,MATCH(B1622,eq_code,0)),""),F1622))</f>
        <v/>
      </c>
      <c r="L1622" s="55" t="str">
        <f>IF(ISNUMBER(K1622),N(IFERROR(INDEX(eq_pause,MATCH(B1622,eq_code,0)),0))+SUMIFS(st_min,st_date,A1622,st_eq,B1622,st_po,C1622,st_type,"Planifié"),"")</f>
        <v/>
      </c>
      <c r="M1622" s="55" t="str">
        <f>IF(ISNUMBER(K1622),K1622-L1622,"")</f>
        <v/>
      </c>
      <c r="N1622" s="55" t="str">
        <f>IF(ISNUMBER(K1622),SUMIFS(st_min,st_date,A1622,st_eq,B1622,st_po,C1622,st_type,"Non planifié"),"")</f>
        <v/>
      </c>
      <c r="O1622" s="55" t="str">
        <f>IF(ISNUMBER(K1622),M1622-N1622,"")</f>
        <v/>
      </c>
      <c r="P1622" s="55" t="str">
        <f>IF(COUNTA(A1622:I1622)=0,"",N(G1622)+N(H1622)+N(I1622))</f>
        <v/>
      </c>
      <c r="Q1622" s="56" t="str">
        <f>IF(COUNTA(A1622:I1622)=0,"",IF(N(IFERROR(INDEX(art_rate,MATCH(E1622,art_ref,0)),0))&gt;0,N(IFERROR(INDEX(art_rate,MATCH(E1622,art_ref,0)),0)),N(IFERROR(INDEX(po_rate,MATCH(C1622,po_code,0)),0))))</f>
        <v/>
      </c>
      <c r="R1622" s="55" t="str">
        <f>IF(AC1622=1,P1622*60/Q1622,"")</f>
        <v/>
      </c>
      <c r="S1622" s="55" t="str">
        <f>IF(AC1622=1,N(G1622)*60/Q1622,"")</f>
        <v/>
      </c>
      <c r="T1622" s="57" t="str">
        <f>IF(AC1622=1,O1622/M1622,"")</f>
        <v/>
      </c>
      <c r="U1622" s="57" t="str">
        <f>IF(AC1622=1,IF(O1622&gt;0,R1622/O1622,""),"")</f>
        <v/>
      </c>
      <c r="V1622" s="57" t="str">
        <f>IF(AC1622=1,IF(P1622&gt;0,N(G1622)/P1622,""),"")</f>
        <v/>
      </c>
      <c r="W1622" s="57" t="str">
        <f>IF(AC1622=1,S1622/M1622,"")</f>
        <v/>
      </c>
      <c r="X1622" s="57" t="str">
        <f>IF(AC1622=1,S1622/K1622,"")</f>
        <v/>
      </c>
      <c r="Y1622" s="58" t="str">
        <f>IF(W1622="","",IF(W1622&gt;=p_target,"Bon",IF(W1622&gt;=p_alert,"À surveiller","Faible")))</f>
        <v/>
      </c>
      <c r="Z1622" s="58" t="str">
        <f>IF(W1622="","",IF(MIN(IF(T1622="",1,T1622),IF(U1622="",1,U1622),IF(V1622="",1,V1622))&gt;=1,"Aucune",IF(IF(T1622="",1,T1622)&lt;=MIN(IF(U1622="",1,U1622),IF(V1622="",1,V1622)),"Disponibilité",IF(IF(U1622="",1,U1622)&lt;=IF(V1622="",1,V1622),"Performance","Qualité"))))</f>
        <v/>
      </c>
      <c r="AA1622" s="59" t="str">
        <f>IF(AC1622=1,N(H1622)*N(IFERROR(INDEX(art_cost,MATCH(E1622,art_ref,0)),0)),"")</f>
        <v/>
      </c>
      <c r="AB1622" s="58" t="str">
        <f>IF(COUNTA(A1622:I1622)=0,"",IF(N(A1622)&lt;=0,"Date manquante ou invalide",IF(B1622="","Équipe manquante",IF(ISNA(MATCH(B1622,eq_code,0)),"Équipe inconnue",IF(INDEX(eq_check,MATCH(B1622,eq_code,0))&lt;&gt;"OK","Équipe à corriger dans Paramètres",IF(C1622="","Poste manquant",IF(ISNA(MATCH(C1622,po_code,0)),"Poste inconnu",IF(AND(E1622&lt;&gt;"",ISNA(MATCH(E1622,art_ref,0))),"Article inconnu",IF(IF(E1622="",FALSE,INDEX(art_check,MATCH(E1622,art_ref,0))&lt;&gt;"OK"),"Article à corriger (feuille Articles)",IF(COUNTIFS(sj_date,A1622,sj_eq,B1622,sj_po,C1622)&gt;1,"Ligne en double (même jour, équipe et poste)",IF(OR(NOT(ISNUMBER(K1622)),N(K1622)&lt;=0,N(K1622)&gt;1440),"Temps d'ouverture invalide",IF(OR(AND(G1622&lt;&gt;"",NOT(ISNUMBER(G1622))),N(G1622)&lt;0,N(G1622)&lt;&gt;INT(N(G1622)),AND(H1622&lt;&gt;"",NOT(ISNUMBER(H1622))),N(H1622)&lt;0,N(H1622)&lt;&gt;INT(N(H1622)),AND(I1622&lt;&gt;"",NOT(ISNUMBER(I1622))),N(I1622)&lt;0,N(I1622)&lt;&gt;INT(N(I1622))),"Quantité invalide",IF(Q1622&lt;=0,"Cadence manquante (poste ou article)",IF(M1622&lt;=0,"Arrêts planifiés supérieurs au temps d'ouverture",IF(O1622&lt;0,"Arrêts supérieurs au temps requis",IF(AND(P1622&gt;0,O1622=0),"Pièces déclarées sans temps de marche",IF(AND(P1622=0,O1622&gt;0),"Aucune pièce déclarée",IF(P1622*60/Q1622&gt;O1622+0.001,"Cadence dépassée : vérifiez la cadence","OK"))))))))))))))))))</f>
        <v/>
      </c>
      <c r="AC1622">
        <f>IF(OR(AB1622="OK",AB1622="Aucune pièce déclarée",AB1622="Cadence dépassée : vérifiez la cadence"),1,0)</f>
        <v>0.0</v>
      </c>
      <c r="AD1622">
        <f>IF(AND(AC1622=1,A1622&gt;=p_from,A1622&lt;=p_to),1,0)</f>
        <v>0.0</v>
      </c>
      <c r="AE1622">
        <f>IF(AD1622=1,IF(COUNTIFS($A$6:A1622,A1622,$AD$6:AD1622,1)=1,1,0),0)</f>
        <v>0.0</v>
      </c>
      <c r="AF1622" t="str">
        <f>IF(AE1622=1,COUNTIFS(sj_first,1,sj_date,"&lt;"&amp;A1622)+1,"")</f>
        <v/>
      </c>
      <c r="AG1622" t="str">
        <f>IF(AND(AD1622=1,N(W1622)&lt;p_alert),ROUND(W1622,4),"")</f>
        <v/>
      </c>
      <c r="AH1622" t="str">
        <f>IF(AG1622="","",COUNTIF(sj_akey,"&lt;"&amp;AG1622)+COUNTIF($AG$6:AG1622,AG1622))</f>
        <v/>
      </c>
    </row>
    <row r="1623">
      <c r="A1623" s="51" t="n"/>
      <c r="B1623" s="52" t="n"/>
      <c r="C1623" s="52" t="n"/>
      <c r="D1623" s="53" t="n"/>
      <c r="E1623" s="53" t="n"/>
      <c r="F1623" s="54" t="n"/>
      <c r="G1623" s="54" t="n"/>
      <c r="H1623" s="54" t="n"/>
      <c r="I1623" s="54" t="n"/>
      <c r="J1623" s="53" t="n"/>
      <c r="K1623" s="55" t="str">
        <f>IF(COUNTA(A1623:I1623)=0,"",IF(F1623="",IFERROR(INDEX(eq_dur,MATCH(B1623,eq_code,0)),""),F1623))</f>
        <v/>
      </c>
      <c r="L1623" s="55" t="str">
        <f>IF(ISNUMBER(K1623),N(IFERROR(INDEX(eq_pause,MATCH(B1623,eq_code,0)),0))+SUMIFS(st_min,st_date,A1623,st_eq,B1623,st_po,C1623,st_type,"Planifié"),"")</f>
        <v/>
      </c>
      <c r="M1623" s="55" t="str">
        <f>IF(ISNUMBER(K1623),K1623-L1623,"")</f>
        <v/>
      </c>
      <c r="N1623" s="55" t="str">
        <f>IF(ISNUMBER(K1623),SUMIFS(st_min,st_date,A1623,st_eq,B1623,st_po,C1623,st_type,"Non planifié"),"")</f>
        <v/>
      </c>
      <c r="O1623" s="55" t="str">
        <f>IF(ISNUMBER(K1623),M1623-N1623,"")</f>
        <v/>
      </c>
      <c r="P1623" s="55" t="str">
        <f>IF(COUNTA(A1623:I1623)=0,"",N(G1623)+N(H1623)+N(I1623))</f>
        <v/>
      </c>
      <c r="Q1623" s="56" t="str">
        <f>IF(COUNTA(A1623:I1623)=0,"",IF(N(IFERROR(INDEX(art_rate,MATCH(E1623,art_ref,0)),0))&gt;0,N(IFERROR(INDEX(art_rate,MATCH(E1623,art_ref,0)),0)),N(IFERROR(INDEX(po_rate,MATCH(C1623,po_code,0)),0))))</f>
        <v/>
      </c>
      <c r="R1623" s="55" t="str">
        <f>IF(AC1623=1,P1623*60/Q1623,"")</f>
        <v/>
      </c>
      <c r="S1623" s="55" t="str">
        <f>IF(AC1623=1,N(G1623)*60/Q1623,"")</f>
        <v/>
      </c>
      <c r="T1623" s="57" t="str">
        <f>IF(AC1623=1,O1623/M1623,"")</f>
        <v/>
      </c>
      <c r="U1623" s="57" t="str">
        <f>IF(AC1623=1,IF(O1623&gt;0,R1623/O1623,""),"")</f>
        <v/>
      </c>
      <c r="V1623" s="57" t="str">
        <f>IF(AC1623=1,IF(P1623&gt;0,N(G1623)/P1623,""),"")</f>
        <v/>
      </c>
      <c r="W1623" s="57" t="str">
        <f>IF(AC1623=1,S1623/M1623,"")</f>
        <v/>
      </c>
      <c r="X1623" s="57" t="str">
        <f>IF(AC1623=1,S1623/K1623,"")</f>
        <v/>
      </c>
      <c r="Y1623" s="58" t="str">
        <f>IF(W1623="","",IF(W1623&gt;=p_target,"Bon",IF(W1623&gt;=p_alert,"À surveiller","Faible")))</f>
        <v/>
      </c>
      <c r="Z1623" s="58" t="str">
        <f>IF(W1623="","",IF(MIN(IF(T1623="",1,T1623),IF(U1623="",1,U1623),IF(V1623="",1,V1623))&gt;=1,"Aucune",IF(IF(T1623="",1,T1623)&lt;=MIN(IF(U1623="",1,U1623),IF(V1623="",1,V1623)),"Disponibilité",IF(IF(U1623="",1,U1623)&lt;=IF(V1623="",1,V1623),"Performance","Qualité"))))</f>
        <v/>
      </c>
      <c r="AA1623" s="59" t="str">
        <f>IF(AC1623=1,N(H1623)*N(IFERROR(INDEX(art_cost,MATCH(E1623,art_ref,0)),0)),"")</f>
        <v/>
      </c>
      <c r="AB1623" s="58" t="str">
        <f>IF(COUNTA(A1623:I1623)=0,"",IF(N(A1623)&lt;=0,"Date manquante ou invalide",IF(B1623="","Équipe manquante",IF(ISNA(MATCH(B1623,eq_code,0)),"Équipe inconnue",IF(INDEX(eq_check,MATCH(B1623,eq_code,0))&lt;&gt;"OK","Équipe à corriger dans Paramètres",IF(C1623="","Poste manquant",IF(ISNA(MATCH(C1623,po_code,0)),"Poste inconnu",IF(AND(E1623&lt;&gt;"",ISNA(MATCH(E1623,art_ref,0))),"Article inconnu",IF(IF(E1623="",FALSE,INDEX(art_check,MATCH(E1623,art_ref,0))&lt;&gt;"OK"),"Article à corriger (feuille Articles)",IF(COUNTIFS(sj_date,A1623,sj_eq,B1623,sj_po,C1623)&gt;1,"Ligne en double (même jour, équipe et poste)",IF(OR(NOT(ISNUMBER(K1623)),N(K1623)&lt;=0,N(K1623)&gt;1440),"Temps d'ouverture invalide",IF(OR(AND(G1623&lt;&gt;"",NOT(ISNUMBER(G1623))),N(G1623)&lt;0,N(G1623)&lt;&gt;INT(N(G1623)),AND(H1623&lt;&gt;"",NOT(ISNUMBER(H1623))),N(H1623)&lt;0,N(H1623)&lt;&gt;INT(N(H1623)),AND(I1623&lt;&gt;"",NOT(ISNUMBER(I1623))),N(I1623)&lt;0,N(I1623)&lt;&gt;INT(N(I1623))),"Quantité invalide",IF(Q1623&lt;=0,"Cadence manquante (poste ou article)",IF(M1623&lt;=0,"Arrêts planifiés supérieurs au temps d'ouverture",IF(O1623&lt;0,"Arrêts supérieurs au temps requis",IF(AND(P1623&gt;0,O1623=0),"Pièces déclarées sans temps de marche",IF(AND(P1623=0,O1623&gt;0),"Aucune pièce déclarée",IF(P1623*60/Q1623&gt;O1623+0.001,"Cadence dépassée : vérifiez la cadence","OK"))))))))))))))))))</f>
        <v/>
      </c>
      <c r="AC1623">
        <f>IF(OR(AB1623="OK",AB1623="Aucune pièce déclarée",AB1623="Cadence dépassée : vérifiez la cadence"),1,0)</f>
        <v>0.0</v>
      </c>
      <c r="AD1623">
        <f>IF(AND(AC1623=1,A1623&gt;=p_from,A1623&lt;=p_to),1,0)</f>
        <v>0.0</v>
      </c>
      <c r="AE1623">
        <f>IF(AD1623=1,IF(COUNTIFS($A$6:A1623,A1623,$AD$6:AD1623,1)=1,1,0),0)</f>
        <v>0.0</v>
      </c>
      <c r="AF1623" t="str">
        <f>IF(AE1623=1,COUNTIFS(sj_first,1,sj_date,"&lt;"&amp;A1623)+1,"")</f>
        <v/>
      </c>
      <c r="AG1623" t="str">
        <f>IF(AND(AD1623=1,N(W1623)&lt;p_alert),ROUND(W1623,4),"")</f>
        <v/>
      </c>
      <c r="AH1623" t="str">
        <f>IF(AG1623="","",COUNTIF(sj_akey,"&lt;"&amp;AG1623)+COUNTIF($AG$6:AG1623,AG1623))</f>
        <v/>
      </c>
    </row>
    <row r="1624">
      <c r="A1624" s="51" t="n"/>
      <c r="B1624" s="52" t="n"/>
      <c r="C1624" s="52" t="n"/>
      <c r="D1624" s="53" t="n"/>
      <c r="E1624" s="53" t="n"/>
      <c r="F1624" s="54" t="n"/>
      <c r="G1624" s="54" t="n"/>
      <c r="H1624" s="54" t="n"/>
      <c r="I1624" s="54" t="n"/>
      <c r="J1624" s="53" t="n"/>
      <c r="K1624" s="55" t="str">
        <f>IF(COUNTA(A1624:I1624)=0,"",IF(F1624="",IFERROR(INDEX(eq_dur,MATCH(B1624,eq_code,0)),""),F1624))</f>
        <v/>
      </c>
      <c r="L1624" s="55" t="str">
        <f>IF(ISNUMBER(K1624),N(IFERROR(INDEX(eq_pause,MATCH(B1624,eq_code,0)),0))+SUMIFS(st_min,st_date,A1624,st_eq,B1624,st_po,C1624,st_type,"Planifié"),"")</f>
        <v/>
      </c>
      <c r="M1624" s="55" t="str">
        <f>IF(ISNUMBER(K1624),K1624-L1624,"")</f>
        <v/>
      </c>
      <c r="N1624" s="55" t="str">
        <f>IF(ISNUMBER(K1624),SUMIFS(st_min,st_date,A1624,st_eq,B1624,st_po,C1624,st_type,"Non planifié"),"")</f>
        <v/>
      </c>
      <c r="O1624" s="55" t="str">
        <f>IF(ISNUMBER(K1624),M1624-N1624,"")</f>
        <v/>
      </c>
      <c r="P1624" s="55" t="str">
        <f>IF(COUNTA(A1624:I1624)=0,"",N(G1624)+N(H1624)+N(I1624))</f>
        <v/>
      </c>
      <c r="Q1624" s="56" t="str">
        <f>IF(COUNTA(A1624:I1624)=0,"",IF(N(IFERROR(INDEX(art_rate,MATCH(E1624,art_ref,0)),0))&gt;0,N(IFERROR(INDEX(art_rate,MATCH(E1624,art_ref,0)),0)),N(IFERROR(INDEX(po_rate,MATCH(C1624,po_code,0)),0))))</f>
        <v/>
      </c>
      <c r="R1624" s="55" t="str">
        <f>IF(AC1624=1,P1624*60/Q1624,"")</f>
        <v/>
      </c>
      <c r="S1624" s="55" t="str">
        <f>IF(AC1624=1,N(G1624)*60/Q1624,"")</f>
        <v/>
      </c>
      <c r="T1624" s="57" t="str">
        <f>IF(AC1624=1,O1624/M1624,"")</f>
        <v/>
      </c>
      <c r="U1624" s="57" t="str">
        <f>IF(AC1624=1,IF(O1624&gt;0,R1624/O1624,""),"")</f>
        <v/>
      </c>
      <c r="V1624" s="57" t="str">
        <f>IF(AC1624=1,IF(P1624&gt;0,N(G1624)/P1624,""),"")</f>
        <v/>
      </c>
      <c r="W1624" s="57" t="str">
        <f>IF(AC1624=1,S1624/M1624,"")</f>
        <v/>
      </c>
      <c r="X1624" s="57" t="str">
        <f>IF(AC1624=1,S1624/K1624,"")</f>
        <v/>
      </c>
      <c r="Y1624" s="58" t="str">
        <f>IF(W1624="","",IF(W1624&gt;=p_target,"Bon",IF(W1624&gt;=p_alert,"À surveiller","Faible")))</f>
        <v/>
      </c>
      <c r="Z1624" s="58" t="str">
        <f>IF(W1624="","",IF(MIN(IF(T1624="",1,T1624),IF(U1624="",1,U1624),IF(V1624="",1,V1624))&gt;=1,"Aucune",IF(IF(T1624="",1,T1624)&lt;=MIN(IF(U1624="",1,U1624),IF(V1624="",1,V1624)),"Disponibilité",IF(IF(U1624="",1,U1624)&lt;=IF(V1624="",1,V1624),"Performance","Qualité"))))</f>
        <v/>
      </c>
      <c r="AA1624" s="59" t="str">
        <f>IF(AC1624=1,N(H1624)*N(IFERROR(INDEX(art_cost,MATCH(E1624,art_ref,0)),0)),"")</f>
        <v/>
      </c>
      <c r="AB1624" s="58" t="str">
        <f>IF(COUNTA(A1624:I1624)=0,"",IF(N(A1624)&lt;=0,"Date manquante ou invalide",IF(B1624="","Équipe manquante",IF(ISNA(MATCH(B1624,eq_code,0)),"Équipe inconnue",IF(INDEX(eq_check,MATCH(B1624,eq_code,0))&lt;&gt;"OK","Équipe à corriger dans Paramètres",IF(C1624="","Poste manquant",IF(ISNA(MATCH(C1624,po_code,0)),"Poste inconnu",IF(AND(E1624&lt;&gt;"",ISNA(MATCH(E1624,art_ref,0))),"Article inconnu",IF(IF(E1624="",FALSE,INDEX(art_check,MATCH(E1624,art_ref,0))&lt;&gt;"OK"),"Article à corriger (feuille Articles)",IF(COUNTIFS(sj_date,A1624,sj_eq,B1624,sj_po,C1624)&gt;1,"Ligne en double (même jour, équipe et poste)",IF(OR(NOT(ISNUMBER(K1624)),N(K1624)&lt;=0,N(K1624)&gt;1440),"Temps d'ouverture invalide",IF(OR(AND(G1624&lt;&gt;"",NOT(ISNUMBER(G1624))),N(G1624)&lt;0,N(G1624)&lt;&gt;INT(N(G1624)),AND(H1624&lt;&gt;"",NOT(ISNUMBER(H1624))),N(H1624)&lt;0,N(H1624)&lt;&gt;INT(N(H1624)),AND(I1624&lt;&gt;"",NOT(ISNUMBER(I1624))),N(I1624)&lt;0,N(I1624)&lt;&gt;INT(N(I1624))),"Quantité invalide",IF(Q1624&lt;=0,"Cadence manquante (poste ou article)",IF(M1624&lt;=0,"Arrêts planifiés supérieurs au temps d'ouverture",IF(O1624&lt;0,"Arrêts supérieurs au temps requis",IF(AND(P1624&gt;0,O1624=0),"Pièces déclarées sans temps de marche",IF(AND(P1624=0,O1624&gt;0),"Aucune pièce déclarée",IF(P1624*60/Q1624&gt;O1624+0.001,"Cadence dépassée : vérifiez la cadence","OK"))))))))))))))))))</f>
        <v/>
      </c>
      <c r="AC1624">
        <f>IF(OR(AB1624="OK",AB1624="Aucune pièce déclarée",AB1624="Cadence dépassée : vérifiez la cadence"),1,0)</f>
        <v>0.0</v>
      </c>
      <c r="AD1624">
        <f>IF(AND(AC1624=1,A1624&gt;=p_from,A1624&lt;=p_to),1,0)</f>
        <v>0.0</v>
      </c>
      <c r="AE1624">
        <f>IF(AD1624=1,IF(COUNTIFS($A$6:A1624,A1624,$AD$6:AD1624,1)=1,1,0),0)</f>
        <v>0.0</v>
      </c>
      <c r="AF1624" t="str">
        <f>IF(AE1624=1,COUNTIFS(sj_first,1,sj_date,"&lt;"&amp;A1624)+1,"")</f>
        <v/>
      </c>
      <c r="AG1624" t="str">
        <f>IF(AND(AD1624=1,N(W1624)&lt;p_alert),ROUND(W1624,4),"")</f>
        <v/>
      </c>
      <c r="AH1624" t="str">
        <f>IF(AG1624="","",COUNTIF(sj_akey,"&lt;"&amp;AG1624)+COUNTIF($AG$6:AG1624,AG1624))</f>
        <v/>
      </c>
    </row>
    <row r="1625">
      <c r="A1625" s="51" t="n"/>
      <c r="B1625" s="52" t="n"/>
      <c r="C1625" s="52" t="n"/>
      <c r="D1625" s="53" t="n"/>
      <c r="E1625" s="53" t="n"/>
      <c r="F1625" s="54" t="n"/>
      <c r="G1625" s="54" t="n"/>
      <c r="H1625" s="54" t="n"/>
      <c r="I1625" s="54" t="n"/>
      <c r="J1625" s="53" t="n"/>
      <c r="K1625" s="55" t="str">
        <f>IF(COUNTA(A1625:I1625)=0,"",IF(F1625="",IFERROR(INDEX(eq_dur,MATCH(B1625,eq_code,0)),""),F1625))</f>
        <v/>
      </c>
      <c r="L1625" s="55" t="str">
        <f>IF(ISNUMBER(K1625),N(IFERROR(INDEX(eq_pause,MATCH(B1625,eq_code,0)),0))+SUMIFS(st_min,st_date,A1625,st_eq,B1625,st_po,C1625,st_type,"Planifié"),"")</f>
        <v/>
      </c>
      <c r="M1625" s="55" t="str">
        <f>IF(ISNUMBER(K1625),K1625-L1625,"")</f>
        <v/>
      </c>
      <c r="N1625" s="55" t="str">
        <f>IF(ISNUMBER(K1625),SUMIFS(st_min,st_date,A1625,st_eq,B1625,st_po,C1625,st_type,"Non planifié"),"")</f>
        <v/>
      </c>
      <c r="O1625" s="55" t="str">
        <f>IF(ISNUMBER(K1625),M1625-N1625,"")</f>
        <v/>
      </c>
      <c r="P1625" s="55" t="str">
        <f>IF(COUNTA(A1625:I1625)=0,"",N(G1625)+N(H1625)+N(I1625))</f>
        <v/>
      </c>
      <c r="Q1625" s="56" t="str">
        <f>IF(COUNTA(A1625:I1625)=0,"",IF(N(IFERROR(INDEX(art_rate,MATCH(E1625,art_ref,0)),0))&gt;0,N(IFERROR(INDEX(art_rate,MATCH(E1625,art_ref,0)),0)),N(IFERROR(INDEX(po_rate,MATCH(C1625,po_code,0)),0))))</f>
        <v/>
      </c>
      <c r="R1625" s="55" t="str">
        <f>IF(AC1625=1,P1625*60/Q1625,"")</f>
        <v/>
      </c>
      <c r="S1625" s="55" t="str">
        <f>IF(AC1625=1,N(G1625)*60/Q1625,"")</f>
        <v/>
      </c>
      <c r="T1625" s="57" t="str">
        <f>IF(AC1625=1,O1625/M1625,"")</f>
        <v/>
      </c>
      <c r="U1625" s="57" t="str">
        <f>IF(AC1625=1,IF(O1625&gt;0,R1625/O1625,""),"")</f>
        <v/>
      </c>
      <c r="V1625" s="57" t="str">
        <f>IF(AC1625=1,IF(P1625&gt;0,N(G1625)/P1625,""),"")</f>
        <v/>
      </c>
      <c r="W1625" s="57" t="str">
        <f>IF(AC1625=1,S1625/M1625,"")</f>
        <v/>
      </c>
      <c r="X1625" s="57" t="str">
        <f>IF(AC1625=1,S1625/K1625,"")</f>
        <v/>
      </c>
      <c r="Y1625" s="58" t="str">
        <f>IF(W1625="","",IF(W1625&gt;=p_target,"Bon",IF(W1625&gt;=p_alert,"À surveiller","Faible")))</f>
        <v/>
      </c>
      <c r="Z1625" s="58" t="str">
        <f>IF(W1625="","",IF(MIN(IF(T1625="",1,T1625),IF(U1625="",1,U1625),IF(V1625="",1,V1625))&gt;=1,"Aucune",IF(IF(T1625="",1,T1625)&lt;=MIN(IF(U1625="",1,U1625),IF(V1625="",1,V1625)),"Disponibilité",IF(IF(U1625="",1,U1625)&lt;=IF(V1625="",1,V1625),"Performance","Qualité"))))</f>
        <v/>
      </c>
      <c r="AA1625" s="59" t="str">
        <f>IF(AC1625=1,N(H1625)*N(IFERROR(INDEX(art_cost,MATCH(E1625,art_ref,0)),0)),"")</f>
        <v/>
      </c>
      <c r="AB1625" s="58" t="str">
        <f>IF(COUNTA(A1625:I1625)=0,"",IF(N(A1625)&lt;=0,"Date manquante ou invalide",IF(B1625="","Équipe manquante",IF(ISNA(MATCH(B1625,eq_code,0)),"Équipe inconnue",IF(INDEX(eq_check,MATCH(B1625,eq_code,0))&lt;&gt;"OK","Équipe à corriger dans Paramètres",IF(C1625="","Poste manquant",IF(ISNA(MATCH(C1625,po_code,0)),"Poste inconnu",IF(AND(E1625&lt;&gt;"",ISNA(MATCH(E1625,art_ref,0))),"Article inconnu",IF(IF(E1625="",FALSE,INDEX(art_check,MATCH(E1625,art_ref,0))&lt;&gt;"OK"),"Article à corriger (feuille Articles)",IF(COUNTIFS(sj_date,A1625,sj_eq,B1625,sj_po,C1625)&gt;1,"Ligne en double (même jour, équipe et poste)",IF(OR(NOT(ISNUMBER(K1625)),N(K1625)&lt;=0,N(K1625)&gt;1440),"Temps d'ouverture invalide",IF(OR(AND(G1625&lt;&gt;"",NOT(ISNUMBER(G1625))),N(G1625)&lt;0,N(G1625)&lt;&gt;INT(N(G1625)),AND(H1625&lt;&gt;"",NOT(ISNUMBER(H1625))),N(H1625)&lt;0,N(H1625)&lt;&gt;INT(N(H1625)),AND(I1625&lt;&gt;"",NOT(ISNUMBER(I1625))),N(I1625)&lt;0,N(I1625)&lt;&gt;INT(N(I1625))),"Quantité invalide",IF(Q1625&lt;=0,"Cadence manquante (poste ou article)",IF(M1625&lt;=0,"Arrêts planifiés supérieurs au temps d'ouverture",IF(O1625&lt;0,"Arrêts supérieurs au temps requis",IF(AND(P1625&gt;0,O1625=0),"Pièces déclarées sans temps de marche",IF(AND(P1625=0,O1625&gt;0),"Aucune pièce déclarée",IF(P1625*60/Q1625&gt;O1625+0.001,"Cadence dépassée : vérifiez la cadence","OK"))))))))))))))))))</f>
        <v/>
      </c>
      <c r="AC1625">
        <f>IF(OR(AB1625="OK",AB1625="Aucune pièce déclarée",AB1625="Cadence dépassée : vérifiez la cadence"),1,0)</f>
        <v>0.0</v>
      </c>
      <c r="AD1625">
        <f>IF(AND(AC1625=1,A1625&gt;=p_from,A1625&lt;=p_to),1,0)</f>
        <v>0.0</v>
      </c>
      <c r="AE1625">
        <f>IF(AD1625=1,IF(COUNTIFS($A$6:A1625,A1625,$AD$6:AD1625,1)=1,1,0),0)</f>
        <v>0.0</v>
      </c>
      <c r="AF1625" t="str">
        <f>IF(AE1625=1,COUNTIFS(sj_first,1,sj_date,"&lt;"&amp;A1625)+1,"")</f>
        <v/>
      </c>
      <c r="AG1625" t="str">
        <f>IF(AND(AD1625=1,N(W1625)&lt;p_alert),ROUND(W1625,4),"")</f>
        <v/>
      </c>
      <c r="AH1625" t="str">
        <f>IF(AG1625="","",COUNTIF(sj_akey,"&lt;"&amp;AG1625)+COUNTIF($AG$6:AG1625,AG1625))</f>
        <v/>
      </c>
    </row>
    <row r="1626">
      <c r="A1626" s="51" t="n"/>
      <c r="B1626" s="52" t="n"/>
      <c r="C1626" s="52" t="n"/>
      <c r="D1626" s="53" t="n"/>
      <c r="E1626" s="53" t="n"/>
      <c r="F1626" s="54" t="n"/>
      <c r="G1626" s="54" t="n"/>
      <c r="H1626" s="54" t="n"/>
      <c r="I1626" s="54" t="n"/>
      <c r="J1626" s="53" t="n"/>
      <c r="K1626" s="55" t="str">
        <f>IF(COUNTA(A1626:I1626)=0,"",IF(F1626="",IFERROR(INDEX(eq_dur,MATCH(B1626,eq_code,0)),""),F1626))</f>
        <v/>
      </c>
      <c r="L1626" s="55" t="str">
        <f>IF(ISNUMBER(K1626),N(IFERROR(INDEX(eq_pause,MATCH(B1626,eq_code,0)),0))+SUMIFS(st_min,st_date,A1626,st_eq,B1626,st_po,C1626,st_type,"Planifié"),"")</f>
        <v/>
      </c>
      <c r="M1626" s="55" t="str">
        <f>IF(ISNUMBER(K1626),K1626-L1626,"")</f>
        <v/>
      </c>
      <c r="N1626" s="55" t="str">
        <f>IF(ISNUMBER(K1626),SUMIFS(st_min,st_date,A1626,st_eq,B1626,st_po,C1626,st_type,"Non planifié"),"")</f>
        <v/>
      </c>
      <c r="O1626" s="55" t="str">
        <f>IF(ISNUMBER(K1626),M1626-N1626,"")</f>
        <v/>
      </c>
      <c r="P1626" s="55" t="str">
        <f>IF(COUNTA(A1626:I1626)=0,"",N(G1626)+N(H1626)+N(I1626))</f>
        <v/>
      </c>
      <c r="Q1626" s="56" t="str">
        <f>IF(COUNTA(A1626:I1626)=0,"",IF(N(IFERROR(INDEX(art_rate,MATCH(E1626,art_ref,0)),0))&gt;0,N(IFERROR(INDEX(art_rate,MATCH(E1626,art_ref,0)),0)),N(IFERROR(INDEX(po_rate,MATCH(C1626,po_code,0)),0))))</f>
        <v/>
      </c>
      <c r="R1626" s="55" t="str">
        <f>IF(AC1626=1,P1626*60/Q1626,"")</f>
        <v/>
      </c>
      <c r="S1626" s="55" t="str">
        <f>IF(AC1626=1,N(G1626)*60/Q1626,"")</f>
        <v/>
      </c>
      <c r="T1626" s="57" t="str">
        <f>IF(AC1626=1,O1626/M1626,"")</f>
        <v/>
      </c>
      <c r="U1626" s="57" t="str">
        <f>IF(AC1626=1,IF(O1626&gt;0,R1626/O1626,""),"")</f>
        <v/>
      </c>
      <c r="V1626" s="57" t="str">
        <f>IF(AC1626=1,IF(P1626&gt;0,N(G1626)/P1626,""),"")</f>
        <v/>
      </c>
      <c r="W1626" s="57" t="str">
        <f>IF(AC1626=1,S1626/M1626,"")</f>
        <v/>
      </c>
      <c r="X1626" s="57" t="str">
        <f>IF(AC1626=1,S1626/K1626,"")</f>
        <v/>
      </c>
      <c r="Y1626" s="58" t="str">
        <f>IF(W1626="","",IF(W1626&gt;=p_target,"Bon",IF(W1626&gt;=p_alert,"À surveiller","Faible")))</f>
        <v/>
      </c>
      <c r="Z1626" s="58" t="str">
        <f>IF(W1626="","",IF(MIN(IF(T1626="",1,T1626),IF(U1626="",1,U1626),IF(V1626="",1,V1626))&gt;=1,"Aucune",IF(IF(T1626="",1,T1626)&lt;=MIN(IF(U1626="",1,U1626),IF(V1626="",1,V1626)),"Disponibilité",IF(IF(U1626="",1,U1626)&lt;=IF(V1626="",1,V1626),"Performance","Qualité"))))</f>
        <v/>
      </c>
      <c r="AA1626" s="59" t="str">
        <f>IF(AC1626=1,N(H1626)*N(IFERROR(INDEX(art_cost,MATCH(E1626,art_ref,0)),0)),"")</f>
        <v/>
      </c>
      <c r="AB1626" s="58" t="str">
        <f>IF(COUNTA(A1626:I1626)=0,"",IF(N(A1626)&lt;=0,"Date manquante ou invalide",IF(B1626="","Équipe manquante",IF(ISNA(MATCH(B1626,eq_code,0)),"Équipe inconnue",IF(INDEX(eq_check,MATCH(B1626,eq_code,0))&lt;&gt;"OK","Équipe à corriger dans Paramètres",IF(C1626="","Poste manquant",IF(ISNA(MATCH(C1626,po_code,0)),"Poste inconnu",IF(AND(E1626&lt;&gt;"",ISNA(MATCH(E1626,art_ref,0))),"Article inconnu",IF(IF(E1626="",FALSE,INDEX(art_check,MATCH(E1626,art_ref,0))&lt;&gt;"OK"),"Article à corriger (feuille Articles)",IF(COUNTIFS(sj_date,A1626,sj_eq,B1626,sj_po,C1626)&gt;1,"Ligne en double (même jour, équipe et poste)",IF(OR(NOT(ISNUMBER(K1626)),N(K1626)&lt;=0,N(K1626)&gt;1440),"Temps d'ouverture invalide",IF(OR(AND(G1626&lt;&gt;"",NOT(ISNUMBER(G1626))),N(G1626)&lt;0,N(G1626)&lt;&gt;INT(N(G1626)),AND(H1626&lt;&gt;"",NOT(ISNUMBER(H1626))),N(H1626)&lt;0,N(H1626)&lt;&gt;INT(N(H1626)),AND(I1626&lt;&gt;"",NOT(ISNUMBER(I1626))),N(I1626)&lt;0,N(I1626)&lt;&gt;INT(N(I1626))),"Quantité invalide",IF(Q1626&lt;=0,"Cadence manquante (poste ou article)",IF(M1626&lt;=0,"Arrêts planifiés supérieurs au temps d'ouverture",IF(O1626&lt;0,"Arrêts supérieurs au temps requis",IF(AND(P1626&gt;0,O1626=0),"Pièces déclarées sans temps de marche",IF(AND(P1626=0,O1626&gt;0),"Aucune pièce déclarée",IF(P1626*60/Q1626&gt;O1626+0.001,"Cadence dépassée : vérifiez la cadence","OK"))))))))))))))))))</f>
        <v/>
      </c>
      <c r="AC1626">
        <f>IF(OR(AB1626="OK",AB1626="Aucune pièce déclarée",AB1626="Cadence dépassée : vérifiez la cadence"),1,0)</f>
        <v>0.0</v>
      </c>
      <c r="AD1626">
        <f>IF(AND(AC1626=1,A1626&gt;=p_from,A1626&lt;=p_to),1,0)</f>
        <v>0.0</v>
      </c>
      <c r="AE1626">
        <f>IF(AD1626=1,IF(COUNTIFS($A$6:A1626,A1626,$AD$6:AD1626,1)=1,1,0),0)</f>
        <v>0.0</v>
      </c>
      <c r="AF1626" t="str">
        <f>IF(AE1626=1,COUNTIFS(sj_first,1,sj_date,"&lt;"&amp;A1626)+1,"")</f>
        <v/>
      </c>
      <c r="AG1626" t="str">
        <f>IF(AND(AD1626=1,N(W1626)&lt;p_alert),ROUND(W1626,4),"")</f>
        <v/>
      </c>
      <c r="AH1626" t="str">
        <f>IF(AG1626="","",COUNTIF(sj_akey,"&lt;"&amp;AG1626)+COUNTIF($AG$6:AG1626,AG1626))</f>
        <v/>
      </c>
    </row>
    <row r="1627">
      <c r="A1627" s="51" t="n"/>
      <c r="B1627" s="52" t="n"/>
      <c r="C1627" s="52" t="n"/>
      <c r="D1627" s="53" t="n"/>
      <c r="E1627" s="53" t="n"/>
      <c r="F1627" s="54" t="n"/>
      <c r="G1627" s="54" t="n"/>
      <c r="H1627" s="54" t="n"/>
      <c r="I1627" s="54" t="n"/>
      <c r="J1627" s="53" t="n"/>
      <c r="K1627" s="55" t="str">
        <f>IF(COUNTA(A1627:I1627)=0,"",IF(F1627="",IFERROR(INDEX(eq_dur,MATCH(B1627,eq_code,0)),""),F1627))</f>
        <v/>
      </c>
      <c r="L1627" s="55" t="str">
        <f>IF(ISNUMBER(K1627),N(IFERROR(INDEX(eq_pause,MATCH(B1627,eq_code,0)),0))+SUMIFS(st_min,st_date,A1627,st_eq,B1627,st_po,C1627,st_type,"Planifié"),"")</f>
        <v/>
      </c>
      <c r="M1627" s="55" t="str">
        <f>IF(ISNUMBER(K1627),K1627-L1627,"")</f>
        <v/>
      </c>
      <c r="N1627" s="55" t="str">
        <f>IF(ISNUMBER(K1627),SUMIFS(st_min,st_date,A1627,st_eq,B1627,st_po,C1627,st_type,"Non planifié"),"")</f>
        <v/>
      </c>
      <c r="O1627" s="55" t="str">
        <f>IF(ISNUMBER(K1627),M1627-N1627,"")</f>
        <v/>
      </c>
      <c r="P1627" s="55" t="str">
        <f>IF(COUNTA(A1627:I1627)=0,"",N(G1627)+N(H1627)+N(I1627))</f>
        <v/>
      </c>
      <c r="Q1627" s="56" t="str">
        <f>IF(COUNTA(A1627:I1627)=0,"",IF(N(IFERROR(INDEX(art_rate,MATCH(E1627,art_ref,0)),0))&gt;0,N(IFERROR(INDEX(art_rate,MATCH(E1627,art_ref,0)),0)),N(IFERROR(INDEX(po_rate,MATCH(C1627,po_code,0)),0))))</f>
        <v/>
      </c>
      <c r="R1627" s="55" t="str">
        <f>IF(AC1627=1,P1627*60/Q1627,"")</f>
        <v/>
      </c>
      <c r="S1627" s="55" t="str">
        <f>IF(AC1627=1,N(G1627)*60/Q1627,"")</f>
        <v/>
      </c>
      <c r="T1627" s="57" t="str">
        <f>IF(AC1627=1,O1627/M1627,"")</f>
        <v/>
      </c>
      <c r="U1627" s="57" t="str">
        <f>IF(AC1627=1,IF(O1627&gt;0,R1627/O1627,""),"")</f>
        <v/>
      </c>
      <c r="V1627" s="57" t="str">
        <f>IF(AC1627=1,IF(P1627&gt;0,N(G1627)/P1627,""),"")</f>
        <v/>
      </c>
      <c r="W1627" s="57" t="str">
        <f>IF(AC1627=1,S1627/M1627,"")</f>
        <v/>
      </c>
      <c r="X1627" s="57" t="str">
        <f>IF(AC1627=1,S1627/K1627,"")</f>
        <v/>
      </c>
      <c r="Y1627" s="58" t="str">
        <f>IF(W1627="","",IF(W1627&gt;=p_target,"Bon",IF(W1627&gt;=p_alert,"À surveiller","Faible")))</f>
        <v/>
      </c>
      <c r="Z1627" s="58" t="str">
        <f>IF(W1627="","",IF(MIN(IF(T1627="",1,T1627),IF(U1627="",1,U1627),IF(V1627="",1,V1627))&gt;=1,"Aucune",IF(IF(T1627="",1,T1627)&lt;=MIN(IF(U1627="",1,U1627),IF(V1627="",1,V1627)),"Disponibilité",IF(IF(U1627="",1,U1627)&lt;=IF(V1627="",1,V1627),"Performance","Qualité"))))</f>
        <v/>
      </c>
      <c r="AA1627" s="59" t="str">
        <f>IF(AC1627=1,N(H1627)*N(IFERROR(INDEX(art_cost,MATCH(E1627,art_ref,0)),0)),"")</f>
        <v/>
      </c>
      <c r="AB1627" s="58" t="str">
        <f>IF(COUNTA(A1627:I1627)=0,"",IF(N(A1627)&lt;=0,"Date manquante ou invalide",IF(B1627="","Équipe manquante",IF(ISNA(MATCH(B1627,eq_code,0)),"Équipe inconnue",IF(INDEX(eq_check,MATCH(B1627,eq_code,0))&lt;&gt;"OK","Équipe à corriger dans Paramètres",IF(C1627="","Poste manquant",IF(ISNA(MATCH(C1627,po_code,0)),"Poste inconnu",IF(AND(E1627&lt;&gt;"",ISNA(MATCH(E1627,art_ref,0))),"Article inconnu",IF(IF(E1627="",FALSE,INDEX(art_check,MATCH(E1627,art_ref,0))&lt;&gt;"OK"),"Article à corriger (feuille Articles)",IF(COUNTIFS(sj_date,A1627,sj_eq,B1627,sj_po,C1627)&gt;1,"Ligne en double (même jour, équipe et poste)",IF(OR(NOT(ISNUMBER(K1627)),N(K1627)&lt;=0,N(K1627)&gt;1440),"Temps d'ouverture invalide",IF(OR(AND(G1627&lt;&gt;"",NOT(ISNUMBER(G1627))),N(G1627)&lt;0,N(G1627)&lt;&gt;INT(N(G1627)),AND(H1627&lt;&gt;"",NOT(ISNUMBER(H1627))),N(H1627)&lt;0,N(H1627)&lt;&gt;INT(N(H1627)),AND(I1627&lt;&gt;"",NOT(ISNUMBER(I1627))),N(I1627)&lt;0,N(I1627)&lt;&gt;INT(N(I1627))),"Quantité invalide",IF(Q1627&lt;=0,"Cadence manquante (poste ou article)",IF(M1627&lt;=0,"Arrêts planifiés supérieurs au temps d'ouverture",IF(O1627&lt;0,"Arrêts supérieurs au temps requis",IF(AND(P1627&gt;0,O1627=0),"Pièces déclarées sans temps de marche",IF(AND(P1627=0,O1627&gt;0),"Aucune pièce déclarée",IF(P1627*60/Q1627&gt;O1627+0.001,"Cadence dépassée : vérifiez la cadence","OK"))))))))))))))))))</f>
        <v/>
      </c>
      <c r="AC1627">
        <f>IF(OR(AB1627="OK",AB1627="Aucune pièce déclarée",AB1627="Cadence dépassée : vérifiez la cadence"),1,0)</f>
        <v>0.0</v>
      </c>
      <c r="AD1627">
        <f>IF(AND(AC1627=1,A1627&gt;=p_from,A1627&lt;=p_to),1,0)</f>
        <v>0.0</v>
      </c>
      <c r="AE1627">
        <f>IF(AD1627=1,IF(COUNTIFS($A$6:A1627,A1627,$AD$6:AD1627,1)=1,1,0),0)</f>
        <v>0.0</v>
      </c>
      <c r="AF1627" t="str">
        <f>IF(AE1627=1,COUNTIFS(sj_first,1,sj_date,"&lt;"&amp;A1627)+1,"")</f>
        <v/>
      </c>
      <c r="AG1627" t="str">
        <f>IF(AND(AD1627=1,N(W1627)&lt;p_alert),ROUND(W1627,4),"")</f>
        <v/>
      </c>
      <c r="AH1627" t="str">
        <f>IF(AG1627="","",COUNTIF(sj_akey,"&lt;"&amp;AG1627)+COUNTIF($AG$6:AG1627,AG1627))</f>
        <v/>
      </c>
    </row>
    <row r="1628">
      <c r="A1628" s="51" t="n"/>
      <c r="B1628" s="52" t="n"/>
      <c r="C1628" s="52" t="n"/>
      <c r="D1628" s="53" t="n"/>
      <c r="E1628" s="53" t="n"/>
      <c r="F1628" s="54" t="n"/>
      <c r="G1628" s="54" t="n"/>
      <c r="H1628" s="54" t="n"/>
      <c r="I1628" s="54" t="n"/>
      <c r="J1628" s="53" t="n"/>
      <c r="K1628" s="55" t="str">
        <f>IF(COUNTA(A1628:I1628)=0,"",IF(F1628="",IFERROR(INDEX(eq_dur,MATCH(B1628,eq_code,0)),""),F1628))</f>
        <v/>
      </c>
      <c r="L1628" s="55" t="str">
        <f>IF(ISNUMBER(K1628),N(IFERROR(INDEX(eq_pause,MATCH(B1628,eq_code,0)),0))+SUMIFS(st_min,st_date,A1628,st_eq,B1628,st_po,C1628,st_type,"Planifié"),"")</f>
        <v/>
      </c>
      <c r="M1628" s="55" t="str">
        <f>IF(ISNUMBER(K1628),K1628-L1628,"")</f>
        <v/>
      </c>
      <c r="N1628" s="55" t="str">
        <f>IF(ISNUMBER(K1628),SUMIFS(st_min,st_date,A1628,st_eq,B1628,st_po,C1628,st_type,"Non planifié"),"")</f>
        <v/>
      </c>
      <c r="O1628" s="55" t="str">
        <f>IF(ISNUMBER(K1628),M1628-N1628,"")</f>
        <v/>
      </c>
      <c r="P1628" s="55" t="str">
        <f>IF(COUNTA(A1628:I1628)=0,"",N(G1628)+N(H1628)+N(I1628))</f>
        <v/>
      </c>
      <c r="Q1628" s="56" t="str">
        <f>IF(COUNTA(A1628:I1628)=0,"",IF(N(IFERROR(INDEX(art_rate,MATCH(E1628,art_ref,0)),0))&gt;0,N(IFERROR(INDEX(art_rate,MATCH(E1628,art_ref,0)),0)),N(IFERROR(INDEX(po_rate,MATCH(C1628,po_code,0)),0))))</f>
        <v/>
      </c>
      <c r="R1628" s="55" t="str">
        <f>IF(AC1628=1,P1628*60/Q1628,"")</f>
        <v/>
      </c>
      <c r="S1628" s="55" t="str">
        <f>IF(AC1628=1,N(G1628)*60/Q1628,"")</f>
        <v/>
      </c>
      <c r="T1628" s="57" t="str">
        <f>IF(AC1628=1,O1628/M1628,"")</f>
        <v/>
      </c>
      <c r="U1628" s="57" t="str">
        <f>IF(AC1628=1,IF(O1628&gt;0,R1628/O1628,""),"")</f>
        <v/>
      </c>
      <c r="V1628" s="57" t="str">
        <f>IF(AC1628=1,IF(P1628&gt;0,N(G1628)/P1628,""),"")</f>
        <v/>
      </c>
      <c r="W1628" s="57" t="str">
        <f>IF(AC1628=1,S1628/M1628,"")</f>
        <v/>
      </c>
      <c r="X1628" s="57" t="str">
        <f>IF(AC1628=1,S1628/K1628,"")</f>
        <v/>
      </c>
      <c r="Y1628" s="58" t="str">
        <f>IF(W1628="","",IF(W1628&gt;=p_target,"Bon",IF(W1628&gt;=p_alert,"À surveiller","Faible")))</f>
        <v/>
      </c>
      <c r="Z1628" s="58" t="str">
        <f>IF(W1628="","",IF(MIN(IF(T1628="",1,T1628),IF(U1628="",1,U1628),IF(V1628="",1,V1628))&gt;=1,"Aucune",IF(IF(T1628="",1,T1628)&lt;=MIN(IF(U1628="",1,U1628),IF(V1628="",1,V1628)),"Disponibilité",IF(IF(U1628="",1,U1628)&lt;=IF(V1628="",1,V1628),"Performance","Qualité"))))</f>
        <v/>
      </c>
      <c r="AA1628" s="59" t="str">
        <f>IF(AC1628=1,N(H1628)*N(IFERROR(INDEX(art_cost,MATCH(E1628,art_ref,0)),0)),"")</f>
        <v/>
      </c>
      <c r="AB1628" s="58" t="str">
        <f>IF(COUNTA(A1628:I1628)=0,"",IF(N(A1628)&lt;=0,"Date manquante ou invalide",IF(B1628="","Équipe manquante",IF(ISNA(MATCH(B1628,eq_code,0)),"Équipe inconnue",IF(INDEX(eq_check,MATCH(B1628,eq_code,0))&lt;&gt;"OK","Équipe à corriger dans Paramètres",IF(C1628="","Poste manquant",IF(ISNA(MATCH(C1628,po_code,0)),"Poste inconnu",IF(AND(E1628&lt;&gt;"",ISNA(MATCH(E1628,art_ref,0))),"Article inconnu",IF(IF(E1628="",FALSE,INDEX(art_check,MATCH(E1628,art_ref,0))&lt;&gt;"OK"),"Article à corriger (feuille Articles)",IF(COUNTIFS(sj_date,A1628,sj_eq,B1628,sj_po,C1628)&gt;1,"Ligne en double (même jour, équipe et poste)",IF(OR(NOT(ISNUMBER(K1628)),N(K1628)&lt;=0,N(K1628)&gt;1440),"Temps d'ouverture invalide",IF(OR(AND(G1628&lt;&gt;"",NOT(ISNUMBER(G1628))),N(G1628)&lt;0,N(G1628)&lt;&gt;INT(N(G1628)),AND(H1628&lt;&gt;"",NOT(ISNUMBER(H1628))),N(H1628)&lt;0,N(H1628)&lt;&gt;INT(N(H1628)),AND(I1628&lt;&gt;"",NOT(ISNUMBER(I1628))),N(I1628)&lt;0,N(I1628)&lt;&gt;INT(N(I1628))),"Quantité invalide",IF(Q1628&lt;=0,"Cadence manquante (poste ou article)",IF(M1628&lt;=0,"Arrêts planifiés supérieurs au temps d'ouverture",IF(O1628&lt;0,"Arrêts supérieurs au temps requis",IF(AND(P1628&gt;0,O1628=0),"Pièces déclarées sans temps de marche",IF(AND(P1628=0,O1628&gt;0),"Aucune pièce déclarée",IF(P1628*60/Q1628&gt;O1628+0.001,"Cadence dépassée : vérifiez la cadence","OK"))))))))))))))))))</f>
        <v/>
      </c>
      <c r="AC1628">
        <f>IF(OR(AB1628="OK",AB1628="Aucune pièce déclarée",AB1628="Cadence dépassée : vérifiez la cadence"),1,0)</f>
        <v>0.0</v>
      </c>
      <c r="AD1628">
        <f>IF(AND(AC1628=1,A1628&gt;=p_from,A1628&lt;=p_to),1,0)</f>
        <v>0.0</v>
      </c>
      <c r="AE1628">
        <f>IF(AD1628=1,IF(COUNTIFS($A$6:A1628,A1628,$AD$6:AD1628,1)=1,1,0),0)</f>
        <v>0.0</v>
      </c>
      <c r="AF1628" t="str">
        <f>IF(AE1628=1,COUNTIFS(sj_first,1,sj_date,"&lt;"&amp;A1628)+1,"")</f>
        <v/>
      </c>
      <c r="AG1628" t="str">
        <f>IF(AND(AD1628=1,N(W1628)&lt;p_alert),ROUND(W1628,4),"")</f>
        <v/>
      </c>
      <c r="AH1628" t="str">
        <f>IF(AG1628="","",COUNTIF(sj_akey,"&lt;"&amp;AG1628)+COUNTIF($AG$6:AG1628,AG1628))</f>
        <v/>
      </c>
    </row>
    <row r="1629">
      <c r="A1629" s="51" t="n"/>
      <c r="B1629" s="52" t="n"/>
      <c r="C1629" s="52" t="n"/>
      <c r="D1629" s="53" t="n"/>
      <c r="E1629" s="53" t="n"/>
      <c r="F1629" s="54" t="n"/>
      <c r="G1629" s="54" t="n"/>
      <c r="H1629" s="54" t="n"/>
      <c r="I1629" s="54" t="n"/>
      <c r="J1629" s="53" t="n"/>
      <c r="K1629" s="55" t="str">
        <f>IF(COUNTA(A1629:I1629)=0,"",IF(F1629="",IFERROR(INDEX(eq_dur,MATCH(B1629,eq_code,0)),""),F1629))</f>
        <v/>
      </c>
      <c r="L1629" s="55" t="str">
        <f>IF(ISNUMBER(K1629),N(IFERROR(INDEX(eq_pause,MATCH(B1629,eq_code,0)),0))+SUMIFS(st_min,st_date,A1629,st_eq,B1629,st_po,C1629,st_type,"Planifié"),"")</f>
        <v/>
      </c>
      <c r="M1629" s="55" t="str">
        <f>IF(ISNUMBER(K1629),K1629-L1629,"")</f>
        <v/>
      </c>
      <c r="N1629" s="55" t="str">
        <f>IF(ISNUMBER(K1629),SUMIFS(st_min,st_date,A1629,st_eq,B1629,st_po,C1629,st_type,"Non planifié"),"")</f>
        <v/>
      </c>
      <c r="O1629" s="55" t="str">
        <f>IF(ISNUMBER(K1629),M1629-N1629,"")</f>
        <v/>
      </c>
      <c r="P1629" s="55" t="str">
        <f>IF(COUNTA(A1629:I1629)=0,"",N(G1629)+N(H1629)+N(I1629))</f>
        <v/>
      </c>
      <c r="Q1629" s="56" t="str">
        <f>IF(COUNTA(A1629:I1629)=0,"",IF(N(IFERROR(INDEX(art_rate,MATCH(E1629,art_ref,0)),0))&gt;0,N(IFERROR(INDEX(art_rate,MATCH(E1629,art_ref,0)),0)),N(IFERROR(INDEX(po_rate,MATCH(C1629,po_code,0)),0))))</f>
        <v/>
      </c>
      <c r="R1629" s="55" t="str">
        <f>IF(AC1629=1,P1629*60/Q1629,"")</f>
        <v/>
      </c>
      <c r="S1629" s="55" t="str">
        <f>IF(AC1629=1,N(G1629)*60/Q1629,"")</f>
        <v/>
      </c>
      <c r="T1629" s="57" t="str">
        <f>IF(AC1629=1,O1629/M1629,"")</f>
        <v/>
      </c>
      <c r="U1629" s="57" t="str">
        <f>IF(AC1629=1,IF(O1629&gt;0,R1629/O1629,""),"")</f>
        <v/>
      </c>
      <c r="V1629" s="57" t="str">
        <f>IF(AC1629=1,IF(P1629&gt;0,N(G1629)/P1629,""),"")</f>
        <v/>
      </c>
      <c r="W1629" s="57" t="str">
        <f>IF(AC1629=1,S1629/M1629,"")</f>
        <v/>
      </c>
      <c r="X1629" s="57" t="str">
        <f>IF(AC1629=1,S1629/K1629,"")</f>
        <v/>
      </c>
      <c r="Y1629" s="58" t="str">
        <f>IF(W1629="","",IF(W1629&gt;=p_target,"Bon",IF(W1629&gt;=p_alert,"À surveiller","Faible")))</f>
        <v/>
      </c>
      <c r="Z1629" s="58" t="str">
        <f>IF(W1629="","",IF(MIN(IF(T1629="",1,T1629),IF(U1629="",1,U1629),IF(V1629="",1,V1629))&gt;=1,"Aucune",IF(IF(T1629="",1,T1629)&lt;=MIN(IF(U1629="",1,U1629),IF(V1629="",1,V1629)),"Disponibilité",IF(IF(U1629="",1,U1629)&lt;=IF(V1629="",1,V1629),"Performance","Qualité"))))</f>
        <v/>
      </c>
      <c r="AA1629" s="59" t="str">
        <f>IF(AC1629=1,N(H1629)*N(IFERROR(INDEX(art_cost,MATCH(E1629,art_ref,0)),0)),"")</f>
        <v/>
      </c>
      <c r="AB1629" s="58" t="str">
        <f>IF(COUNTA(A1629:I1629)=0,"",IF(N(A1629)&lt;=0,"Date manquante ou invalide",IF(B1629="","Équipe manquante",IF(ISNA(MATCH(B1629,eq_code,0)),"Équipe inconnue",IF(INDEX(eq_check,MATCH(B1629,eq_code,0))&lt;&gt;"OK","Équipe à corriger dans Paramètres",IF(C1629="","Poste manquant",IF(ISNA(MATCH(C1629,po_code,0)),"Poste inconnu",IF(AND(E1629&lt;&gt;"",ISNA(MATCH(E1629,art_ref,0))),"Article inconnu",IF(IF(E1629="",FALSE,INDEX(art_check,MATCH(E1629,art_ref,0))&lt;&gt;"OK"),"Article à corriger (feuille Articles)",IF(COUNTIFS(sj_date,A1629,sj_eq,B1629,sj_po,C1629)&gt;1,"Ligne en double (même jour, équipe et poste)",IF(OR(NOT(ISNUMBER(K1629)),N(K1629)&lt;=0,N(K1629)&gt;1440),"Temps d'ouverture invalide",IF(OR(AND(G1629&lt;&gt;"",NOT(ISNUMBER(G1629))),N(G1629)&lt;0,N(G1629)&lt;&gt;INT(N(G1629)),AND(H1629&lt;&gt;"",NOT(ISNUMBER(H1629))),N(H1629)&lt;0,N(H1629)&lt;&gt;INT(N(H1629)),AND(I1629&lt;&gt;"",NOT(ISNUMBER(I1629))),N(I1629)&lt;0,N(I1629)&lt;&gt;INT(N(I1629))),"Quantité invalide",IF(Q1629&lt;=0,"Cadence manquante (poste ou article)",IF(M1629&lt;=0,"Arrêts planifiés supérieurs au temps d'ouverture",IF(O1629&lt;0,"Arrêts supérieurs au temps requis",IF(AND(P1629&gt;0,O1629=0),"Pièces déclarées sans temps de marche",IF(AND(P1629=0,O1629&gt;0),"Aucune pièce déclarée",IF(P1629*60/Q1629&gt;O1629+0.001,"Cadence dépassée : vérifiez la cadence","OK"))))))))))))))))))</f>
        <v/>
      </c>
      <c r="AC1629">
        <f>IF(OR(AB1629="OK",AB1629="Aucune pièce déclarée",AB1629="Cadence dépassée : vérifiez la cadence"),1,0)</f>
        <v>0.0</v>
      </c>
      <c r="AD1629">
        <f>IF(AND(AC1629=1,A1629&gt;=p_from,A1629&lt;=p_to),1,0)</f>
        <v>0.0</v>
      </c>
      <c r="AE1629">
        <f>IF(AD1629=1,IF(COUNTIFS($A$6:A1629,A1629,$AD$6:AD1629,1)=1,1,0),0)</f>
        <v>0.0</v>
      </c>
      <c r="AF1629" t="str">
        <f>IF(AE1629=1,COUNTIFS(sj_first,1,sj_date,"&lt;"&amp;A1629)+1,"")</f>
        <v/>
      </c>
      <c r="AG1629" t="str">
        <f>IF(AND(AD1629=1,N(W1629)&lt;p_alert),ROUND(W1629,4),"")</f>
        <v/>
      </c>
      <c r="AH1629" t="str">
        <f>IF(AG1629="","",COUNTIF(sj_akey,"&lt;"&amp;AG1629)+COUNTIF($AG$6:AG1629,AG1629))</f>
        <v/>
      </c>
    </row>
    <row r="1630">
      <c r="A1630" s="51" t="n"/>
      <c r="B1630" s="52" t="n"/>
      <c r="C1630" s="52" t="n"/>
      <c r="D1630" s="53" t="n"/>
      <c r="E1630" s="53" t="n"/>
      <c r="F1630" s="54" t="n"/>
      <c r="G1630" s="54" t="n"/>
      <c r="H1630" s="54" t="n"/>
      <c r="I1630" s="54" t="n"/>
      <c r="J1630" s="53" t="n"/>
      <c r="K1630" s="55" t="str">
        <f>IF(COUNTA(A1630:I1630)=0,"",IF(F1630="",IFERROR(INDEX(eq_dur,MATCH(B1630,eq_code,0)),""),F1630))</f>
        <v/>
      </c>
      <c r="L1630" s="55" t="str">
        <f>IF(ISNUMBER(K1630),N(IFERROR(INDEX(eq_pause,MATCH(B1630,eq_code,0)),0))+SUMIFS(st_min,st_date,A1630,st_eq,B1630,st_po,C1630,st_type,"Planifié"),"")</f>
        <v/>
      </c>
      <c r="M1630" s="55" t="str">
        <f>IF(ISNUMBER(K1630),K1630-L1630,"")</f>
        <v/>
      </c>
      <c r="N1630" s="55" t="str">
        <f>IF(ISNUMBER(K1630),SUMIFS(st_min,st_date,A1630,st_eq,B1630,st_po,C1630,st_type,"Non planifié"),"")</f>
        <v/>
      </c>
      <c r="O1630" s="55" t="str">
        <f>IF(ISNUMBER(K1630),M1630-N1630,"")</f>
        <v/>
      </c>
      <c r="P1630" s="55" t="str">
        <f>IF(COUNTA(A1630:I1630)=0,"",N(G1630)+N(H1630)+N(I1630))</f>
        <v/>
      </c>
      <c r="Q1630" s="56" t="str">
        <f>IF(COUNTA(A1630:I1630)=0,"",IF(N(IFERROR(INDEX(art_rate,MATCH(E1630,art_ref,0)),0))&gt;0,N(IFERROR(INDEX(art_rate,MATCH(E1630,art_ref,0)),0)),N(IFERROR(INDEX(po_rate,MATCH(C1630,po_code,0)),0))))</f>
        <v/>
      </c>
      <c r="R1630" s="55" t="str">
        <f>IF(AC1630=1,P1630*60/Q1630,"")</f>
        <v/>
      </c>
      <c r="S1630" s="55" t="str">
        <f>IF(AC1630=1,N(G1630)*60/Q1630,"")</f>
        <v/>
      </c>
      <c r="T1630" s="57" t="str">
        <f>IF(AC1630=1,O1630/M1630,"")</f>
        <v/>
      </c>
      <c r="U1630" s="57" t="str">
        <f>IF(AC1630=1,IF(O1630&gt;0,R1630/O1630,""),"")</f>
        <v/>
      </c>
      <c r="V1630" s="57" t="str">
        <f>IF(AC1630=1,IF(P1630&gt;0,N(G1630)/P1630,""),"")</f>
        <v/>
      </c>
      <c r="W1630" s="57" t="str">
        <f>IF(AC1630=1,S1630/M1630,"")</f>
        <v/>
      </c>
      <c r="X1630" s="57" t="str">
        <f>IF(AC1630=1,S1630/K1630,"")</f>
        <v/>
      </c>
      <c r="Y1630" s="58" t="str">
        <f>IF(W1630="","",IF(W1630&gt;=p_target,"Bon",IF(W1630&gt;=p_alert,"À surveiller","Faible")))</f>
        <v/>
      </c>
      <c r="Z1630" s="58" t="str">
        <f>IF(W1630="","",IF(MIN(IF(T1630="",1,T1630),IF(U1630="",1,U1630),IF(V1630="",1,V1630))&gt;=1,"Aucune",IF(IF(T1630="",1,T1630)&lt;=MIN(IF(U1630="",1,U1630),IF(V1630="",1,V1630)),"Disponibilité",IF(IF(U1630="",1,U1630)&lt;=IF(V1630="",1,V1630),"Performance","Qualité"))))</f>
        <v/>
      </c>
      <c r="AA1630" s="59" t="str">
        <f>IF(AC1630=1,N(H1630)*N(IFERROR(INDEX(art_cost,MATCH(E1630,art_ref,0)),0)),"")</f>
        <v/>
      </c>
      <c r="AB1630" s="58" t="str">
        <f>IF(COUNTA(A1630:I1630)=0,"",IF(N(A1630)&lt;=0,"Date manquante ou invalide",IF(B1630="","Équipe manquante",IF(ISNA(MATCH(B1630,eq_code,0)),"Équipe inconnue",IF(INDEX(eq_check,MATCH(B1630,eq_code,0))&lt;&gt;"OK","Équipe à corriger dans Paramètres",IF(C1630="","Poste manquant",IF(ISNA(MATCH(C1630,po_code,0)),"Poste inconnu",IF(AND(E1630&lt;&gt;"",ISNA(MATCH(E1630,art_ref,0))),"Article inconnu",IF(IF(E1630="",FALSE,INDEX(art_check,MATCH(E1630,art_ref,0))&lt;&gt;"OK"),"Article à corriger (feuille Articles)",IF(COUNTIFS(sj_date,A1630,sj_eq,B1630,sj_po,C1630)&gt;1,"Ligne en double (même jour, équipe et poste)",IF(OR(NOT(ISNUMBER(K1630)),N(K1630)&lt;=0,N(K1630)&gt;1440),"Temps d'ouverture invalide",IF(OR(AND(G1630&lt;&gt;"",NOT(ISNUMBER(G1630))),N(G1630)&lt;0,N(G1630)&lt;&gt;INT(N(G1630)),AND(H1630&lt;&gt;"",NOT(ISNUMBER(H1630))),N(H1630)&lt;0,N(H1630)&lt;&gt;INT(N(H1630)),AND(I1630&lt;&gt;"",NOT(ISNUMBER(I1630))),N(I1630)&lt;0,N(I1630)&lt;&gt;INT(N(I1630))),"Quantité invalide",IF(Q1630&lt;=0,"Cadence manquante (poste ou article)",IF(M1630&lt;=0,"Arrêts planifiés supérieurs au temps d'ouverture",IF(O1630&lt;0,"Arrêts supérieurs au temps requis",IF(AND(P1630&gt;0,O1630=0),"Pièces déclarées sans temps de marche",IF(AND(P1630=0,O1630&gt;0),"Aucune pièce déclarée",IF(P1630*60/Q1630&gt;O1630+0.001,"Cadence dépassée : vérifiez la cadence","OK"))))))))))))))))))</f>
        <v/>
      </c>
      <c r="AC1630">
        <f>IF(OR(AB1630="OK",AB1630="Aucune pièce déclarée",AB1630="Cadence dépassée : vérifiez la cadence"),1,0)</f>
        <v>0.0</v>
      </c>
      <c r="AD1630">
        <f>IF(AND(AC1630=1,A1630&gt;=p_from,A1630&lt;=p_to),1,0)</f>
        <v>0.0</v>
      </c>
      <c r="AE1630">
        <f>IF(AD1630=1,IF(COUNTIFS($A$6:A1630,A1630,$AD$6:AD1630,1)=1,1,0),0)</f>
        <v>0.0</v>
      </c>
      <c r="AF1630" t="str">
        <f>IF(AE1630=1,COUNTIFS(sj_first,1,sj_date,"&lt;"&amp;A1630)+1,"")</f>
        <v/>
      </c>
      <c r="AG1630" t="str">
        <f>IF(AND(AD1630=1,N(W1630)&lt;p_alert),ROUND(W1630,4),"")</f>
        <v/>
      </c>
      <c r="AH1630" t="str">
        <f>IF(AG1630="","",COUNTIF(sj_akey,"&lt;"&amp;AG1630)+COUNTIF($AG$6:AG1630,AG1630))</f>
        <v/>
      </c>
    </row>
    <row r="1631">
      <c r="A1631" s="51" t="n"/>
      <c r="B1631" s="52" t="n"/>
      <c r="C1631" s="52" t="n"/>
      <c r="D1631" s="53" t="n"/>
      <c r="E1631" s="53" t="n"/>
      <c r="F1631" s="54" t="n"/>
      <c r="G1631" s="54" t="n"/>
      <c r="H1631" s="54" t="n"/>
      <c r="I1631" s="54" t="n"/>
      <c r="J1631" s="53" t="n"/>
      <c r="K1631" s="55" t="str">
        <f>IF(COUNTA(A1631:I1631)=0,"",IF(F1631="",IFERROR(INDEX(eq_dur,MATCH(B1631,eq_code,0)),""),F1631))</f>
        <v/>
      </c>
      <c r="L1631" s="55" t="str">
        <f>IF(ISNUMBER(K1631),N(IFERROR(INDEX(eq_pause,MATCH(B1631,eq_code,0)),0))+SUMIFS(st_min,st_date,A1631,st_eq,B1631,st_po,C1631,st_type,"Planifié"),"")</f>
        <v/>
      </c>
      <c r="M1631" s="55" t="str">
        <f>IF(ISNUMBER(K1631),K1631-L1631,"")</f>
        <v/>
      </c>
      <c r="N1631" s="55" t="str">
        <f>IF(ISNUMBER(K1631),SUMIFS(st_min,st_date,A1631,st_eq,B1631,st_po,C1631,st_type,"Non planifié"),"")</f>
        <v/>
      </c>
      <c r="O1631" s="55" t="str">
        <f>IF(ISNUMBER(K1631),M1631-N1631,"")</f>
        <v/>
      </c>
      <c r="P1631" s="55" t="str">
        <f>IF(COUNTA(A1631:I1631)=0,"",N(G1631)+N(H1631)+N(I1631))</f>
        <v/>
      </c>
      <c r="Q1631" s="56" t="str">
        <f>IF(COUNTA(A1631:I1631)=0,"",IF(N(IFERROR(INDEX(art_rate,MATCH(E1631,art_ref,0)),0))&gt;0,N(IFERROR(INDEX(art_rate,MATCH(E1631,art_ref,0)),0)),N(IFERROR(INDEX(po_rate,MATCH(C1631,po_code,0)),0))))</f>
        <v/>
      </c>
      <c r="R1631" s="55" t="str">
        <f>IF(AC1631=1,P1631*60/Q1631,"")</f>
        <v/>
      </c>
      <c r="S1631" s="55" t="str">
        <f>IF(AC1631=1,N(G1631)*60/Q1631,"")</f>
        <v/>
      </c>
      <c r="T1631" s="57" t="str">
        <f>IF(AC1631=1,O1631/M1631,"")</f>
        <v/>
      </c>
      <c r="U1631" s="57" t="str">
        <f>IF(AC1631=1,IF(O1631&gt;0,R1631/O1631,""),"")</f>
        <v/>
      </c>
      <c r="V1631" s="57" t="str">
        <f>IF(AC1631=1,IF(P1631&gt;0,N(G1631)/P1631,""),"")</f>
        <v/>
      </c>
      <c r="W1631" s="57" t="str">
        <f>IF(AC1631=1,S1631/M1631,"")</f>
        <v/>
      </c>
      <c r="X1631" s="57" t="str">
        <f>IF(AC1631=1,S1631/K1631,"")</f>
        <v/>
      </c>
      <c r="Y1631" s="58" t="str">
        <f>IF(W1631="","",IF(W1631&gt;=p_target,"Bon",IF(W1631&gt;=p_alert,"À surveiller","Faible")))</f>
        <v/>
      </c>
      <c r="Z1631" s="58" t="str">
        <f>IF(W1631="","",IF(MIN(IF(T1631="",1,T1631),IF(U1631="",1,U1631),IF(V1631="",1,V1631))&gt;=1,"Aucune",IF(IF(T1631="",1,T1631)&lt;=MIN(IF(U1631="",1,U1631),IF(V1631="",1,V1631)),"Disponibilité",IF(IF(U1631="",1,U1631)&lt;=IF(V1631="",1,V1631),"Performance","Qualité"))))</f>
        <v/>
      </c>
      <c r="AA1631" s="59" t="str">
        <f>IF(AC1631=1,N(H1631)*N(IFERROR(INDEX(art_cost,MATCH(E1631,art_ref,0)),0)),"")</f>
        <v/>
      </c>
      <c r="AB1631" s="58" t="str">
        <f>IF(COUNTA(A1631:I1631)=0,"",IF(N(A1631)&lt;=0,"Date manquante ou invalide",IF(B1631="","Équipe manquante",IF(ISNA(MATCH(B1631,eq_code,0)),"Équipe inconnue",IF(INDEX(eq_check,MATCH(B1631,eq_code,0))&lt;&gt;"OK","Équipe à corriger dans Paramètres",IF(C1631="","Poste manquant",IF(ISNA(MATCH(C1631,po_code,0)),"Poste inconnu",IF(AND(E1631&lt;&gt;"",ISNA(MATCH(E1631,art_ref,0))),"Article inconnu",IF(IF(E1631="",FALSE,INDEX(art_check,MATCH(E1631,art_ref,0))&lt;&gt;"OK"),"Article à corriger (feuille Articles)",IF(COUNTIFS(sj_date,A1631,sj_eq,B1631,sj_po,C1631)&gt;1,"Ligne en double (même jour, équipe et poste)",IF(OR(NOT(ISNUMBER(K1631)),N(K1631)&lt;=0,N(K1631)&gt;1440),"Temps d'ouverture invalide",IF(OR(AND(G1631&lt;&gt;"",NOT(ISNUMBER(G1631))),N(G1631)&lt;0,N(G1631)&lt;&gt;INT(N(G1631)),AND(H1631&lt;&gt;"",NOT(ISNUMBER(H1631))),N(H1631)&lt;0,N(H1631)&lt;&gt;INT(N(H1631)),AND(I1631&lt;&gt;"",NOT(ISNUMBER(I1631))),N(I1631)&lt;0,N(I1631)&lt;&gt;INT(N(I1631))),"Quantité invalide",IF(Q1631&lt;=0,"Cadence manquante (poste ou article)",IF(M1631&lt;=0,"Arrêts planifiés supérieurs au temps d'ouverture",IF(O1631&lt;0,"Arrêts supérieurs au temps requis",IF(AND(P1631&gt;0,O1631=0),"Pièces déclarées sans temps de marche",IF(AND(P1631=0,O1631&gt;0),"Aucune pièce déclarée",IF(P1631*60/Q1631&gt;O1631+0.001,"Cadence dépassée : vérifiez la cadence","OK"))))))))))))))))))</f>
        <v/>
      </c>
      <c r="AC1631">
        <f>IF(OR(AB1631="OK",AB1631="Aucune pièce déclarée",AB1631="Cadence dépassée : vérifiez la cadence"),1,0)</f>
        <v>0.0</v>
      </c>
      <c r="AD1631">
        <f>IF(AND(AC1631=1,A1631&gt;=p_from,A1631&lt;=p_to),1,0)</f>
        <v>0.0</v>
      </c>
      <c r="AE1631">
        <f>IF(AD1631=1,IF(COUNTIFS($A$6:A1631,A1631,$AD$6:AD1631,1)=1,1,0),0)</f>
        <v>0.0</v>
      </c>
      <c r="AF1631" t="str">
        <f>IF(AE1631=1,COUNTIFS(sj_first,1,sj_date,"&lt;"&amp;A1631)+1,"")</f>
        <v/>
      </c>
      <c r="AG1631" t="str">
        <f>IF(AND(AD1631=1,N(W1631)&lt;p_alert),ROUND(W1631,4),"")</f>
        <v/>
      </c>
      <c r="AH1631" t="str">
        <f>IF(AG1631="","",COUNTIF(sj_akey,"&lt;"&amp;AG1631)+COUNTIF($AG$6:AG1631,AG1631))</f>
        <v/>
      </c>
    </row>
    <row r="1632">
      <c r="A1632" s="51" t="n"/>
      <c r="B1632" s="52" t="n"/>
      <c r="C1632" s="52" t="n"/>
      <c r="D1632" s="53" t="n"/>
      <c r="E1632" s="53" t="n"/>
      <c r="F1632" s="54" t="n"/>
      <c r="G1632" s="54" t="n"/>
      <c r="H1632" s="54" t="n"/>
      <c r="I1632" s="54" t="n"/>
      <c r="J1632" s="53" t="n"/>
      <c r="K1632" s="55" t="str">
        <f>IF(COUNTA(A1632:I1632)=0,"",IF(F1632="",IFERROR(INDEX(eq_dur,MATCH(B1632,eq_code,0)),""),F1632))</f>
        <v/>
      </c>
      <c r="L1632" s="55" t="str">
        <f>IF(ISNUMBER(K1632),N(IFERROR(INDEX(eq_pause,MATCH(B1632,eq_code,0)),0))+SUMIFS(st_min,st_date,A1632,st_eq,B1632,st_po,C1632,st_type,"Planifié"),"")</f>
        <v/>
      </c>
      <c r="M1632" s="55" t="str">
        <f>IF(ISNUMBER(K1632),K1632-L1632,"")</f>
        <v/>
      </c>
      <c r="N1632" s="55" t="str">
        <f>IF(ISNUMBER(K1632),SUMIFS(st_min,st_date,A1632,st_eq,B1632,st_po,C1632,st_type,"Non planifié"),"")</f>
        <v/>
      </c>
      <c r="O1632" s="55" t="str">
        <f>IF(ISNUMBER(K1632),M1632-N1632,"")</f>
        <v/>
      </c>
      <c r="P1632" s="55" t="str">
        <f>IF(COUNTA(A1632:I1632)=0,"",N(G1632)+N(H1632)+N(I1632))</f>
        <v/>
      </c>
      <c r="Q1632" s="56" t="str">
        <f>IF(COUNTA(A1632:I1632)=0,"",IF(N(IFERROR(INDEX(art_rate,MATCH(E1632,art_ref,0)),0))&gt;0,N(IFERROR(INDEX(art_rate,MATCH(E1632,art_ref,0)),0)),N(IFERROR(INDEX(po_rate,MATCH(C1632,po_code,0)),0))))</f>
        <v/>
      </c>
      <c r="R1632" s="55" t="str">
        <f>IF(AC1632=1,P1632*60/Q1632,"")</f>
        <v/>
      </c>
      <c r="S1632" s="55" t="str">
        <f>IF(AC1632=1,N(G1632)*60/Q1632,"")</f>
        <v/>
      </c>
      <c r="T1632" s="57" t="str">
        <f>IF(AC1632=1,O1632/M1632,"")</f>
        <v/>
      </c>
      <c r="U1632" s="57" t="str">
        <f>IF(AC1632=1,IF(O1632&gt;0,R1632/O1632,""),"")</f>
        <v/>
      </c>
      <c r="V1632" s="57" t="str">
        <f>IF(AC1632=1,IF(P1632&gt;0,N(G1632)/P1632,""),"")</f>
        <v/>
      </c>
      <c r="W1632" s="57" t="str">
        <f>IF(AC1632=1,S1632/M1632,"")</f>
        <v/>
      </c>
      <c r="X1632" s="57" t="str">
        <f>IF(AC1632=1,S1632/K1632,"")</f>
        <v/>
      </c>
      <c r="Y1632" s="58" t="str">
        <f>IF(W1632="","",IF(W1632&gt;=p_target,"Bon",IF(W1632&gt;=p_alert,"À surveiller","Faible")))</f>
        <v/>
      </c>
      <c r="Z1632" s="58" t="str">
        <f>IF(W1632="","",IF(MIN(IF(T1632="",1,T1632),IF(U1632="",1,U1632),IF(V1632="",1,V1632))&gt;=1,"Aucune",IF(IF(T1632="",1,T1632)&lt;=MIN(IF(U1632="",1,U1632),IF(V1632="",1,V1632)),"Disponibilité",IF(IF(U1632="",1,U1632)&lt;=IF(V1632="",1,V1632),"Performance","Qualité"))))</f>
        <v/>
      </c>
      <c r="AA1632" s="59" t="str">
        <f>IF(AC1632=1,N(H1632)*N(IFERROR(INDEX(art_cost,MATCH(E1632,art_ref,0)),0)),"")</f>
        <v/>
      </c>
      <c r="AB1632" s="58" t="str">
        <f>IF(COUNTA(A1632:I1632)=0,"",IF(N(A1632)&lt;=0,"Date manquante ou invalide",IF(B1632="","Équipe manquante",IF(ISNA(MATCH(B1632,eq_code,0)),"Équipe inconnue",IF(INDEX(eq_check,MATCH(B1632,eq_code,0))&lt;&gt;"OK","Équipe à corriger dans Paramètres",IF(C1632="","Poste manquant",IF(ISNA(MATCH(C1632,po_code,0)),"Poste inconnu",IF(AND(E1632&lt;&gt;"",ISNA(MATCH(E1632,art_ref,0))),"Article inconnu",IF(IF(E1632="",FALSE,INDEX(art_check,MATCH(E1632,art_ref,0))&lt;&gt;"OK"),"Article à corriger (feuille Articles)",IF(COUNTIFS(sj_date,A1632,sj_eq,B1632,sj_po,C1632)&gt;1,"Ligne en double (même jour, équipe et poste)",IF(OR(NOT(ISNUMBER(K1632)),N(K1632)&lt;=0,N(K1632)&gt;1440),"Temps d'ouverture invalide",IF(OR(AND(G1632&lt;&gt;"",NOT(ISNUMBER(G1632))),N(G1632)&lt;0,N(G1632)&lt;&gt;INT(N(G1632)),AND(H1632&lt;&gt;"",NOT(ISNUMBER(H1632))),N(H1632)&lt;0,N(H1632)&lt;&gt;INT(N(H1632)),AND(I1632&lt;&gt;"",NOT(ISNUMBER(I1632))),N(I1632)&lt;0,N(I1632)&lt;&gt;INT(N(I1632))),"Quantité invalide",IF(Q1632&lt;=0,"Cadence manquante (poste ou article)",IF(M1632&lt;=0,"Arrêts planifiés supérieurs au temps d'ouverture",IF(O1632&lt;0,"Arrêts supérieurs au temps requis",IF(AND(P1632&gt;0,O1632=0),"Pièces déclarées sans temps de marche",IF(AND(P1632=0,O1632&gt;0),"Aucune pièce déclarée",IF(P1632*60/Q1632&gt;O1632+0.001,"Cadence dépassée : vérifiez la cadence","OK"))))))))))))))))))</f>
        <v/>
      </c>
      <c r="AC1632">
        <f>IF(OR(AB1632="OK",AB1632="Aucune pièce déclarée",AB1632="Cadence dépassée : vérifiez la cadence"),1,0)</f>
        <v>0.0</v>
      </c>
      <c r="AD1632">
        <f>IF(AND(AC1632=1,A1632&gt;=p_from,A1632&lt;=p_to),1,0)</f>
        <v>0.0</v>
      </c>
      <c r="AE1632">
        <f>IF(AD1632=1,IF(COUNTIFS($A$6:A1632,A1632,$AD$6:AD1632,1)=1,1,0),0)</f>
        <v>0.0</v>
      </c>
      <c r="AF1632" t="str">
        <f>IF(AE1632=1,COUNTIFS(sj_first,1,sj_date,"&lt;"&amp;A1632)+1,"")</f>
        <v/>
      </c>
      <c r="AG1632" t="str">
        <f>IF(AND(AD1632=1,N(W1632)&lt;p_alert),ROUND(W1632,4),"")</f>
        <v/>
      </c>
      <c r="AH1632" t="str">
        <f>IF(AG1632="","",COUNTIF(sj_akey,"&lt;"&amp;AG1632)+COUNTIF($AG$6:AG1632,AG1632))</f>
        <v/>
      </c>
    </row>
    <row r="1633">
      <c r="A1633" s="51" t="n"/>
      <c r="B1633" s="52" t="n"/>
      <c r="C1633" s="52" t="n"/>
      <c r="D1633" s="53" t="n"/>
      <c r="E1633" s="53" t="n"/>
      <c r="F1633" s="54" t="n"/>
      <c r="G1633" s="54" t="n"/>
      <c r="H1633" s="54" t="n"/>
      <c r="I1633" s="54" t="n"/>
      <c r="J1633" s="53" t="n"/>
      <c r="K1633" s="55" t="str">
        <f>IF(COUNTA(A1633:I1633)=0,"",IF(F1633="",IFERROR(INDEX(eq_dur,MATCH(B1633,eq_code,0)),""),F1633))</f>
        <v/>
      </c>
      <c r="L1633" s="55" t="str">
        <f>IF(ISNUMBER(K1633),N(IFERROR(INDEX(eq_pause,MATCH(B1633,eq_code,0)),0))+SUMIFS(st_min,st_date,A1633,st_eq,B1633,st_po,C1633,st_type,"Planifié"),"")</f>
        <v/>
      </c>
      <c r="M1633" s="55" t="str">
        <f>IF(ISNUMBER(K1633),K1633-L1633,"")</f>
        <v/>
      </c>
      <c r="N1633" s="55" t="str">
        <f>IF(ISNUMBER(K1633),SUMIFS(st_min,st_date,A1633,st_eq,B1633,st_po,C1633,st_type,"Non planifié"),"")</f>
        <v/>
      </c>
      <c r="O1633" s="55" t="str">
        <f>IF(ISNUMBER(K1633),M1633-N1633,"")</f>
        <v/>
      </c>
      <c r="P1633" s="55" t="str">
        <f>IF(COUNTA(A1633:I1633)=0,"",N(G1633)+N(H1633)+N(I1633))</f>
        <v/>
      </c>
      <c r="Q1633" s="56" t="str">
        <f>IF(COUNTA(A1633:I1633)=0,"",IF(N(IFERROR(INDEX(art_rate,MATCH(E1633,art_ref,0)),0))&gt;0,N(IFERROR(INDEX(art_rate,MATCH(E1633,art_ref,0)),0)),N(IFERROR(INDEX(po_rate,MATCH(C1633,po_code,0)),0))))</f>
        <v/>
      </c>
      <c r="R1633" s="55" t="str">
        <f>IF(AC1633=1,P1633*60/Q1633,"")</f>
        <v/>
      </c>
      <c r="S1633" s="55" t="str">
        <f>IF(AC1633=1,N(G1633)*60/Q1633,"")</f>
        <v/>
      </c>
      <c r="T1633" s="57" t="str">
        <f>IF(AC1633=1,O1633/M1633,"")</f>
        <v/>
      </c>
      <c r="U1633" s="57" t="str">
        <f>IF(AC1633=1,IF(O1633&gt;0,R1633/O1633,""),"")</f>
        <v/>
      </c>
      <c r="V1633" s="57" t="str">
        <f>IF(AC1633=1,IF(P1633&gt;0,N(G1633)/P1633,""),"")</f>
        <v/>
      </c>
      <c r="W1633" s="57" t="str">
        <f>IF(AC1633=1,S1633/M1633,"")</f>
        <v/>
      </c>
      <c r="X1633" s="57" t="str">
        <f>IF(AC1633=1,S1633/K1633,"")</f>
        <v/>
      </c>
      <c r="Y1633" s="58" t="str">
        <f>IF(W1633="","",IF(W1633&gt;=p_target,"Bon",IF(W1633&gt;=p_alert,"À surveiller","Faible")))</f>
        <v/>
      </c>
      <c r="Z1633" s="58" t="str">
        <f>IF(W1633="","",IF(MIN(IF(T1633="",1,T1633),IF(U1633="",1,U1633),IF(V1633="",1,V1633))&gt;=1,"Aucune",IF(IF(T1633="",1,T1633)&lt;=MIN(IF(U1633="",1,U1633),IF(V1633="",1,V1633)),"Disponibilité",IF(IF(U1633="",1,U1633)&lt;=IF(V1633="",1,V1633),"Performance","Qualité"))))</f>
        <v/>
      </c>
      <c r="AA1633" s="59" t="str">
        <f>IF(AC1633=1,N(H1633)*N(IFERROR(INDEX(art_cost,MATCH(E1633,art_ref,0)),0)),"")</f>
        <v/>
      </c>
      <c r="AB1633" s="58" t="str">
        <f>IF(COUNTA(A1633:I1633)=0,"",IF(N(A1633)&lt;=0,"Date manquante ou invalide",IF(B1633="","Équipe manquante",IF(ISNA(MATCH(B1633,eq_code,0)),"Équipe inconnue",IF(INDEX(eq_check,MATCH(B1633,eq_code,0))&lt;&gt;"OK","Équipe à corriger dans Paramètres",IF(C1633="","Poste manquant",IF(ISNA(MATCH(C1633,po_code,0)),"Poste inconnu",IF(AND(E1633&lt;&gt;"",ISNA(MATCH(E1633,art_ref,0))),"Article inconnu",IF(IF(E1633="",FALSE,INDEX(art_check,MATCH(E1633,art_ref,0))&lt;&gt;"OK"),"Article à corriger (feuille Articles)",IF(COUNTIFS(sj_date,A1633,sj_eq,B1633,sj_po,C1633)&gt;1,"Ligne en double (même jour, équipe et poste)",IF(OR(NOT(ISNUMBER(K1633)),N(K1633)&lt;=0,N(K1633)&gt;1440),"Temps d'ouverture invalide",IF(OR(AND(G1633&lt;&gt;"",NOT(ISNUMBER(G1633))),N(G1633)&lt;0,N(G1633)&lt;&gt;INT(N(G1633)),AND(H1633&lt;&gt;"",NOT(ISNUMBER(H1633))),N(H1633)&lt;0,N(H1633)&lt;&gt;INT(N(H1633)),AND(I1633&lt;&gt;"",NOT(ISNUMBER(I1633))),N(I1633)&lt;0,N(I1633)&lt;&gt;INT(N(I1633))),"Quantité invalide",IF(Q1633&lt;=0,"Cadence manquante (poste ou article)",IF(M1633&lt;=0,"Arrêts planifiés supérieurs au temps d'ouverture",IF(O1633&lt;0,"Arrêts supérieurs au temps requis",IF(AND(P1633&gt;0,O1633=0),"Pièces déclarées sans temps de marche",IF(AND(P1633=0,O1633&gt;0),"Aucune pièce déclarée",IF(P1633*60/Q1633&gt;O1633+0.001,"Cadence dépassée : vérifiez la cadence","OK"))))))))))))))))))</f>
        <v/>
      </c>
      <c r="AC1633">
        <f>IF(OR(AB1633="OK",AB1633="Aucune pièce déclarée",AB1633="Cadence dépassée : vérifiez la cadence"),1,0)</f>
        <v>0.0</v>
      </c>
      <c r="AD1633">
        <f>IF(AND(AC1633=1,A1633&gt;=p_from,A1633&lt;=p_to),1,0)</f>
        <v>0.0</v>
      </c>
      <c r="AE1633">
        <f>IF(AD1633=1,IF(COUNTIFS($A$6:A1633,A1633,$AD$6:AD1633,1)=1,1,0),0)</f>
        <v>0.0</v>
      </c>
      <c r="AF1633" t="str">
        <f>IF(AE1633=1,COUNTIFS(sj_first,1,sj_date,"&lt;"&amp;A1633)+1,"")</f>
        <v/>
      </c>
      <c r="AG1633" t="str">
        <f>IF(AND(AD1633=1,N(W1633)&lt;p_alert),ROUND(W1633,4),"")</f>
        <v/>
      </c>
      <c r="AH1633" t="str">
        <f>IF(AG1633="","",COUNTIF(sj_akey,"&lt;"&amp;AG1633)+COUNTIF($AG$6:AG1633,AG1633))</f>
        <v/>
      </c>
    </row>
    <row r="1634">
      <c r="A1634" s="51" t="n"/>
      <c r="B1634" s="52" t="n"/>
      <c r="C1634" s="52" t="n"/>
      <c r="D1634" s="53" t="n"/>
      <c r="E1634" s="53" t="n"/>
      <c r="F1634" s="54" t="n"/>
      <c r="G1634" s="54" t="n"/>
      <c r="H1634" s="54" t="n"/>
      <c r="I1634" s="54" t="n"/>
      <c r="J1634" s="53" t="n"/>
      <c r="K1634" s="55" t="str">
        <f>IF(COUNTA(A1634:I1634)=0,"",IF(F1634="",IFERROR(INDEX(eq_dur,MATCH(B1634,eq_code,0)),""),F1634))</f>
        <v/>
      </c>
      <c r="L1634" s="55" t="str">
        <f>IF(ISNUMBER(K1634),N(IFERROR(INDEX(eq_pause,MATCH(B1634,eq_code,0)),0))+SUMIFS(st_min,st_date,A1634,st_eq,B1634,st_po,C1634,st_type,"Planifié"),"")</f>
        <v/>
      </c>
      <c r="M1634" s="55" t="str">
        <f>IF(ISNUMBER(K1634),K1634-L1634,"")</f>
        <v/>
      </c>
      <c r="N1634" s="55" t="str">
        <f>IF(ISNUMBER(K1634),SUMIFS(st_min,st_date,A1634,st_eq,B1634,st_po,C1634,st_type,"Non planifié"),"")</f>
        <v/>
      </c>
      <c r="O1634" s="55" t="str">
        <f>IF(ISNUMBER(K1634),M1634-N1634,"")</f>
        <v/>
      </c>
      <c r="P1634" s="55" t="str">
        <f>IF(COUNTA(A1634:I1634)=0,"",N(G1634)+N(H1634)+N(I1634))</f>
        <v/>
      </c>
      <c r="Q1634" s="56" t="str">
        <f>IF(COUNTA(A1634:I1634)=0,"",IF(N(IFERROR(INDEX(art_rate,MATCH(E1634,art_ref,0)),0))&gt;0,N(IFERROR(INDEX(art_rate,MATCH(E1634,art_ref,0)),0)),N(IFERROR(INDEX(po_rate,MATCH(C1634,po_code,0)),0))))</f>
        <v/>
      </c>
      <c r="R1634" s="55" t="str">
        <f>IF(AC1634=1,P1634*60/Q1634,"")</f>
        <v/>
      </c>
      <c r="S1634" s="55" t="str">
        <f>IF(AC1634=1,N(G1634)*60/Q1634,"")</f>
        <v/>
      </c>
      <c r="T1634" s="57" t="str">
        <f>IF(AC1634=1,O1634/M1634,"")</f>
        <v/>
      </c>
      <c r="U1634" s="57" t="str">
        <f>IF(AC1634=1,IF(O1634&gt;0,R1634/O1634,""),"")</f>
        <v/>
      </c>
      <c r="V1634" s="57" t="str">
        <f>IF(AC1634=1,IF(P1634&gt;0,N(G1634)/P1634,""),"")</f>
        <v/>
      </c>
      <c r="W1634" s="57" t="str">
        <f>IF(AC1634=1,S1634/M1634,"")</f>
        <v/>
      </c>
      <c r="X1634" s="57" t="str">
        <f>IF(AC1634=1,S1634/K1634,"")</f>
        <v/>
      </c>
      <c r="Y1634" s="58" t="str">
        <f>IF(W1634="","",IF(W1634&gt;=p_target,"Bon",IF(W1634&gt;=p_alert,"À surveiller","Faible")))</f>
        <v/>
      </c>
      <c r="Z1634" s="58" t="str">
        <f>IF(W1634="","",IF(MIN(IF(T1634="",1,T1634),IF(U1634="",1,U1634),IF(V1634="",1,V1634))&gt;=1,"Aucune",IF(IF(T1634="",1,T1634)&lt;=MIN(IF(U1634="",1,U1634),IF(V1634="",1,V1634)),"Disponibilité",IF(IF(U1634="",1,U1634)&lt;=IF(V1634="",1,V1634),"Performance","Qualité"))))</f>
        <v/>
      </c>
      <c r="AA1634" s="59" t="str">
        <f>IF(AC1634=1,N(H1634)*N(IFERROR(INDEX(art_cost,MATCH(E1634,art_ref,0)),0)),"")</f>
        <v/>
      </c>
      <c r="AB1634" s="58" t="str">
        <f>IF(COUNTA(A1634:I1634)=0,"",IF(N(A1634)&lt;=0,"Date manquante ou invalide",IF(B1634="","Équipe manquante",IF(ISNA(MATCH(B1634,eq_code,0)),"Équipe inconnue",IF(INDEX(eq_check,MATCH(B1634,eq_code,0))&lt;&gt;"OK","Équipe à corriger dans Paramètres",IF(C1634="","Poste manquant",IF(ISNA(MATCH(C1634,po_code,0)),"Poste inconnu",IF(AND(E1634&lt;&gt;"",ISNA(MATCH(E1634,art_ref,0))),"Article inconnu",IF(IF(E1634="",FALSE,INDEX(art_check,MATCH(E1634,art_ref,0))&lt;&gt;"OK"),"Article à corriger (feuille Articles)",IF(COUNTIFS(sj_date,A1634,sj_eq,B1634,sj_po,C1634)&gt;1,"Ligne en double (même jour, équipe et poste)",IF(OR(NOT(ISNUMBER(K1634)),N(K1634)&lt;=0,N(K1634)&gt;1440),"Temps d'ouverture invalide",IF(OR(AND(G1634&lt;&gt;"",NOT(ISNUMBER(G1634))),N(G1634)&lt;0,N(G1634)&lt;&gt;INT(N(G1634)),AND(H1634&lt;&gt;"",NOT(ISNUMBER(H1634))),N(H1634)&lt;0,N(H1634)&lt;&gt;INT(N(H1634)),AND(I1634&lt;&gt;"",NOT(ISNUMBER(I1634))),N(I1634)&lt;0,N(I1634)&lt;&gt;INT(N(I1634))),"Quantité invalide",IF(Q1634&lt;=0,"Cadence manquante (poste ou article)",IF(M1634&lt;=0,"Arrêts planifiés supérieurs au temps d'ouverture",IF(O1634&lt;0,"Arrêts supérieurs au temps requis",IF(AND(P1634&gt;0,O1634=0),"Pièces déclarées sans temps de marche",IF(AND(P1634=0,O1634&gt;0),"Aucune pièce déclarée",IF(P1634*60/Q1634&gt;O1634+0.001,"Cadence dépassée : vérifiez la cadence","OK"))))))))))))))))))</f>
        <v/>
      </c>
      <c r="AC1634">
        <f>IF(OR(AB1634="OK",AB1634="Aucune pièce déclarée",AB1634="Cadence dépassée : vérifiez la cadence"),1,0)</f>
        <v>0.0</v>
      </c>
      <c r="AD1634">
        <f>IF(AND(AC1634=1,A1634&gt;=p_from,A1634&lt;=p_to),1,0)</f>
        <v>0.0</v>
      </c>
      <c r="AE1634">
        <f>IF(AD1634=1,IF(COUNTIFS($A$6:A1634,A1634,$AD$6:AD1634,1)=1,1,0),0)</f>
        <v>0.0</v>
      </c>
      <c r="AF1634" t="str">
        <f>IF(AE1634=1,COUNTIFS(sj_first,1,sj_date,"&lt;"&amp;A1634)+1,"")</f>
        <v/>
      </c>
      <c r="AG1634" t="str">
        <f>IF(AND(AD1634=1,N(W1634)&lt;p_alert),ROUND(W1634,4),"")</f>
        <v/>
      </c>
      <c r="AH1634" t="str">
        <f>IF(AG1634="","",COUNTIF(sj_akey,"&lt;"&amp;AG1634)+COUNTIF($AG$6:AG1634,AG1634))</f>
        <v/>
      </c>
    </row>
    <row r="1635">
      <c r="A1635" s="51" t="n"/>
      <c r="B1635" s="52" t="n"/>
      <c r="C1635" s="52" t="n"/>
      <c r="D1635" s="53" t="n"/>
      <c r="E1635" s="53" t="n"/>
      <c r="F1635" s="54" t="n"/>
      <c r="G1635" s="54" t="n"/>
      <c r="H1635" s="54" t="n"/>
      <c r="I1635" s="54" t="n"/>
      <c r="J1635" s="53" t="n"/>
      <c r="K1635" s="55" t="str">
        <f>IF(COUNTA(A1635:I1635)=0,"",IF(F1635="",IFERROR(INDEX(eq_dur,MATCH(B1635,eq_code,0)),""),F1635))</f>
        <v/>
      </c>
      <c r="L1635" s="55" t="str">
        <f>IF(ISNUMBER(K1635),N(IFERROR(INDEX(eq_pause,MATCH(B1635,eq_code,0)),0))+SUMIFS(st_min,st_date,A1635,st_eq,B1635,st_po,C1635,st_type,"Planifié"),"")</f>
        <v/>
      </c>
      <c r="M1635" s="55" t="str">
        <f>IF(ISNUMBER(K1635),K1635-L1635,"")</f>
        <v/>
      </c>
      <c r="N1635" s="55" t="str">
        <f>IF(ISNUMBER(K1635),SUMIFS(st_min,st_date,A1635,st_eq,B1635,st_po,C1635,st_type,"Non planifié"),"")</f>
        <v/>
      </c>
      <c r="O1635" s="55" t="str">
        <f>IF(ISNUMBER(K1635),M1635-N1635,"")</f>
        <v/>
      </c>
      <c r="P1635" s="55" t="str">
        <f>IF(COUNTA(A1635:I1635)=0,"",N(G1635)+N(H1635)+N(I1635))</f>
        <v/>
      </c>
      <c r="Q1635" s="56" t="str">
        <f>IF(COUNTA(A1635:I1635)=0,"",IF(N(IFERROR(INDEX(art_rate,MATCH(E1635,art_ref,0)),0))&gt;0,N(IFERROR(INDEX(art_rate,MATCH(E1635,art_ref,0)),0)),N(IFERROR(INDEX(po_rate,MATCH(C1635,po_code,0)),0))))</f>
        <v/>
      </c>
      <c r="R1635" s="55" t="str">
        <f>IF(AC1635=1,P1635*60/Q1635,"")</f>
        <v/>
      </c>
      <c r="S1635" s="55" t="str">
        <f>IF(AC1635=1,N(G1635)*60/Q1635,"")</f>
        <v/>
      </c>
      <c r="T1635" s="57" t="str">
        <f>IF(AC1635=1,O1635/M1635,"")</f>
        <v/>
      </c>
      <c r="U1635" s="57" t="str">
        <f>IF(AC1635=1,IF(O1635&gt;0,R1635/O1635,""),"")</f>
        <v/>
      </c>
      <c r="V1635" s="57" t="str">
        <f>IF(AC1635=1,IF(P1635&gt;0,N(G1635)/P1635,""),"")</f>
        <v/>
      </c>
      <c r="W1635" s="57" t="str">
        <f>IF(AC1635=1,S1635/M1635,"")</f>
        <v/>
      </c>
      <c r="X1635" s="57" t="str">
        <f>IF(AC1635=1,S1635/K1635,"")</f>
        <v/>
      </c>
      <c r="Y1635" s="58" t="str">
        <f>IF(W1635="","",IF(W1635&gt;=p_target,"Bon",IF(W1635&gt;=p_alert,"À surveiller","Faible")))</f>
        <v/>
      </c>
      <c r="Z1635" s="58" t="str">
        <f>IF(W1635="","",IF(MIN(IF(T1635="",1,T1635),IF(U1635="",1,U1635),IF(V1635="",1,V1635))&gt;=1,"Aucune",IF(IF(T1635="",1,T1635)&lt;=MIN(IF(U1635="",1,U1635),IF(V1635="",1,V1635)),"Disponibilité",IF(IF(U1635="",1,U1635)&lt;=IF(V1635="",1,V1635),"Performance","Qualité"))))</f>
        <v/>
      </c>
      <c r="AA1635" s="59" t="str">
        <f>IF(AC1635=1,N(H1635)*N(IFERROR(INDEX(art_cost,MATCH(E1635,art_ref,0)),0)),"")</f>
        <v/>
      </c>
      <c r="AB1635" s="58" t="str">
        <f>IF(COUNTA(A1635:I1635)=0,"",IF(N(A1635)&lt;=0,"Date manquante ou invalide",IF(B1635="","Équipe manquante",IF(ISNA(MATCH(B1635,eq_code,0)),"Équipe inconnue",IF(INDEX(eq_check,MATCH(B1635,eq_code,0))&lt;&gt;"OK","Équipe à corriger dans Paramètres",IF(C1635="","Poste manquant",IF(ISNA(MATCH(C1635,po_code,0)),"Poste inconnu",IF(AND(E1635&lt;&gt;"",ISNA(MATCH(E1635,art_ref,0))),"Article inconnu",IF(IF(E1635="",FALSE,INDEX(art_check,MATCH(E1635,art_ref,0))&lt;&gt;"OK"),"Article à corriger (feuille Articles)",IF(COUNTIFS(sj_date,A1635,sj_eq,B1635,sj_po,C1635)&gt;1,"Ligne en double (même jour, équipe et poste)",IF(OR(NOT(ISNUMBER(K1635)),N(K1635)&lt;=0,N(K1635)&gt;1440),"Temps d'ouverture invalide",IF(OR(AND(G1635&lt;&gt;"",NOT(ISNUMBER(G1635))),N(G1635)&lt;0,N(G1635)&lt;&gt;INT(N(G1635)),AND(H1635&lt;&gt;"",NOT(ISNUMBER(H1635))),N(H1635)&lt;0,N(H1635)&lt;&gt;INT(N(H1635)),AND(I1635&lt;&gt;"",NOT(ISNUMBER(I1635))),N(I1635)&lt;0,N(I1635)&lt;&gt;INT(N(I1635))),"Quantité invalide",IF(Q1635&lt;=0,"Cadence manquante (poste ou article)",IF(M1635&lt;=0,"Arrêts planifiés supérieurs au temps d'ouverture",IF(O1635&lt;0,"Arrêts supérieurs au temps requis",IF(AND(P1635&gt;0,O1635=0),"Pièces déclarées sans temps de marche",IF(AND(P1635=0,O1635&gt;0),"Aucune pièce déclarée",IF(P1635*60/Q1635&gt;O1635+0.001,"Cadence dépassée : vérifiez la cadence","OK"))))))))))))))))))</f>
        <v/>
      </c>
      <c r="AC1635">
        <f>IF(OR(AB1635="OK",AB1635="Aucune pièce déclarée",AB1635="Cadence dépassée : vérifiez la cadence"),1,0)</f>
        <v>0.0</v>
      </c>
      <c r="AD1635">
        <f>IF(AND(AC1635=1,A1635&gt;=p_from,A1635&lt;=p_to),1,0)</f>
        <v>0.0</v>
      </c>
      <c r="AE1635">
        <f>IF(AD1635=1,IF(COUNTIFS($A$6:A1635,A1635,$AD$6:AD1635,1)=1,1,0),0)</f>
        <v>0.0</v>
      </c>
      <c r="AF1635" t="str">
        <f>IF(AE1635=1,COUNTIFS(sj_first,1,sj_date,"&lt;"&amp;A1635)+1,"")</f>
        <v/>
      </c>
      <c r="AG1635" t="str">
        <f>IF(AND(AD1635=1,N(W1635)&lt;p_alert),ROUND(W1635,4),"")</f>
        <v/>
      </c>
      <c r="AH1635" t="str">
        <f>IF(AG1635="","",COUNTIF(sj_akey,"&lt;"&amp;AG1635)+COUNTIF($AG$6:AG1635,AG1635))</f>
        <v/>
      </c>
    </row>
    <row r="1636">
      <c r="A1636" s="51" t="n"/>
      <c r="B1636" s="52" t="n"/>
      <c r="C1636" s="52" t="n"/>
      <c r="D1636" s="53" t="n"/>
      <c r="E1636" s="53" t="n"/>
      <c r="F1636" s="54" t="n"/>
      <c r="G1636" s="54" t="n"/>
      <c r="H1636" s="54" t="n"/>
      <c r="I1636" s="54" t="n"/>
      <c r="J1636" s="53" t="n"/>
      <c r="K1636" s="55" t="str">
        <f>IF(COUNTA(A1636:I1636)=0,"",IF(F1636="",IFERROR(INDEX(eq_dur,MATCH(B1636,eq_code,0)),""),F1636))</f>
        <v/>
      </c>
      <c r="L1636" s="55" t="str">
        <f>IF(ISNUMBER(K1636),N(IFERROR(INDEX(eq_pause,MATCH(B1636,eq_code,0)),0))+SUMIFS(st_min,st_date,A1636,st_eq,B1636,st_po,C1636,st_type,"Planifié"),"")</f>
        <v/>
      </c>
      <c r="M1636" s="55" t="str">
        <f>IF(ISNUMBER(K1636),K1636-L1636,"")</f>
        <v/>
      </c>
      <c r="N1636" s="55" t="str">
        <f>IF(ISNUMBER(K1636),SUMIFS(st_min,st_date,A1636,st_eq,B1636,st_po,C1636,st_type,"Non planifié"),"")</f>
        <v/>
      </c>
      <c r="O1636" s="55" t="str">
        <f>IF(ISNUMBER(K1636),M1636-N1636,"")</f>
        <v/>
      </c>
      <c r="P1636" s="55" t="str">
        <f>IF(COUNTA(A1636:I1636)=0,"",N(G1636)+N(H1636)+N(I1636))</f>
        <v/>
      </c>
      <c r="Q1636" s="56" t="str">
        <f>IF(COUNTA(A1636:I1636)=0,"",IF(N(IFERROR(INDEX(art_rate,MATCH(E1636,art_ref,0)),0))&gt;0,N(IFERROR(INDEX(art_rate,MATCH(E1636,art_ref,0)),0)),N(IFERROR(INDEX(po_rate,MATCH(C1636,po_code,0)),0))))</f>
        <v/>
      </c>
      <c r="R1636" s="55" t="str">
        <f>IF(AC1636=1,P1636*60/Q1636,"")</f>
        <v/>
      </c>
      <c r="S1636" s="55" t="str">
        <f>IF(AC1636=1,N(G1636)*60/Q1636,"")</f>
        <v/>
      </c>
      <c r="T1636" s="57" t="str">
        <f>IF(AC1636=1,O1636/M1636,"")</f>
        <v/>
      </c>
      <c r="U1636" s="57" t="str">
        <f>IF(AC1636=1,IF(O1636&gt;0,R1636/O1636,""),"")</f>
        <v/>
      </c>
      <c r="V1636" s="57" t="str">
        <f>IF(AC1636=1,IF(P1636&gt;0,N(G1636)/P1636,""),"")</f>
        <v/>
      </c>
      <c r="W1636" s="57" t="str">
        <f>IF(AC1636=1,S1636/M1636,"")</f>
        <v/>
      </c>
      <c r="X1636" s="57" t="str">
        <f>IF(AC1636=1,S1636/K1636,"")</f>
        <v/>
      </c>
      <c r="Y1636" s="58" t="str">
        <f>IF(W1636="","",IF(W1636&gt;=p_target,"Bon",IF(W1636&gt;=p_alert,"À surveiller","Faible")))</f>
        <v/>
      </c>
      <c r="Z1636" s="58" t="str">
        <f>IF(W1636="","",IF(MIN(IF(T1636="",1,T1636),IF(U1636="",1,U1636),IF(V1636="",1,V1636))&gt;=1,"Aucune",IF(IF(T1636="",1,T1636)&lt;=MIN(IF(U1636="",1,U1636),IF(V1636="",1,V1636)),"Disponibilité",IF(IF(U1636="",1,U1636)&lt;=IF(V1636="",1,V1636),"Performance","Qualité"))))</f>
        <v/>
      </c>
      <c r="AA1636" s="59" t="str">
        <f>IF(AC1636=1,N(H1636)*N(IFERROR(INDEX(art_cost,MATCH(E1636,art_ref,0)),0)),"")</f>
        <v/>
      </c>
      <c r="AB1636" s="58" t="str">
        <f>IF(COUNTA(A1636:I1636)=0,"",IF(N(A1636)&lt;=0,"Date manquante ou invalide",IF(B1636="","Équipe manquante",IF(ISNA(MATCH(B1636,eq_code,0)),"Équipe inconnue",IF(INDEX(eq_check,MATCH(B1636,eq_code,0))&lt;&gt;"OK","Équipe à corriger dans Paramètres",IF(C1636="","Poste manquant",IF(ISNA(MATCH(C1636,po_code,0)),"Poste inconnu",IF(AND(E1636&lt;&gt;"",ISNA(MATCH(E1636,art_ref,0))),"Article inconnu",IF(IF(E1636="",FALSE,INDEX(art_check,MATCH(E1636,art_ref,0))&lt;&gt;"OK"),"Article à corriger (feuille Articles)",IF(COUNTIFS(sj_date,A1636,sj_eq,B1636,sj_po,C1636)&gt;1,"Ligne en double (même jour, équipe et poste)",IF(OR(NOT(ISNUMBER(K1636)),N(K1636)&lt;=0,N(K1636)&gt;1440),"Temps d'ouverture invalide",IF(OR(AND(G1636&lt;&gt;"",NOT(ISNUMBER(G1636))),N(G1636)&lt;0,N(G1636)&lt;&gt;INT(N(G1636)),AND(H1636&lt;&gt;"",NOT(ISNUMBER(H1636))),N(H1636)&lt;0,N(H1636)&lt;&gt;INT(N(H1636)),AND(I1636&lt;&gt;"",NOT(ISNUMBER(I1636))),N(I1636)&lt;0,N(I1636)&lt;&gt;INT(N(I1636))),"Quantité invalide",IF(Q1636&lt;=0,"Cadence manquante (poste ou article)",IF(M1636&lt;=0,"Arrêts planifiés supérieurs au temps d'ouverture",IF(O1636&lt;0,"Arrêts supérieurs au temps requis",IF(AND(P1636&gt;0,O1636=0),"Pièces déclarées sans temps de marche",IF(AND(P1636=0,O1636&gt;0),"Aucune pièce déclarée",IF(P1636*60/Q1636&gt;O1636+0.001,"Cadence dépassée : vérifiez la cadence","OK"))))))))))))))))))</f>
        <v/>
      </c>
      <c r="AC1636">
        <f>IF(OR(AB1636="OK",AB1636="Aucune pièce déclarée",AB1636="Cadence dépassée : vérifiez la cadence"),1,0)</f>
        <v>0.0</v>
      </c>
      <c r="AD1636">
        <f>IF(AND(AC1636=1,A1636&gt;=p_from,A1636&lt;=p_to),1,0)</f>
        <v>0.0</v>
      </c>
      <c r="AE1636">
        <f>IF(AD1636=1,IF(COUNTIFS($A$6:A1636,A1636,$AD$6:AD1636,1)=1,1,0),0)</f>
        <v>0.0</v>
      </c>
      <c r="AF1636" t="str">
        <f>IF(AE1636=1,COUNTIFS(sj_first,1,sj_date,"&lt;"&amp;A1636)+1,"")</f>
        <v/>
      </c>
      <c r="AG1636" t="str">
        <f>IF(AND(AD1636=1,N(W1636)&lt;p_alert),ROUND(W1636,4),"")</f>
        <v/>
      </c>
      <c r="AH1636" t="str">
        <f>IF(AG1636="","",COUNTIF(sj_akey,"&lt;"&amp;AG1636)+COUNTIF($AG$6:AG1636,AG1636))</f>
        <v/>
      </c>
    </row>
    <row r="1637">
      <c r="A1637" s="51" t="n"/>
      <c r="B1637" s="52" t="n"/>
      <c r="C1637" s="52" t="n"/>
      <c r="D1637" s="53" t="n"/>
      <c r="E1637" s="53" t="n"/>
      <c r="F1637" s="54" t="n"/>
      <c r="G1637" s="54" t="n"/>
      <c r="H1637" s="54" t="n"/>
      <c r="I1637" s="54" t="n"/>
      <c r="J1637" s="53" t="n"/>
      <c r="K1637" s="55" t="str">
        <f>IF(COUNTA(A1637:I1637)=0,"",IF(F1637="",IFERROR(INDEX(eq_dur,MATCH(B1637,eq_code,0)),""),F1637))</f>
        <v/>
      </c>
      <c r="L1637" s="55" t="str">
        <f>IF(ISNUMBER(K1637),N(IFERROR(INDEX(eq_pause,MATCH(B1637,eq_code,0)),0))+SUMIFS(st_min,st_date,A1637,st_eq,B1637,st_po,C1637,st_type,"Planifié"),"")</f>
        <v/>
      </c>
      <c r="M1637" s="55" t="str">
        <f>IF(ISNUMBER(K1637),K1637-L1637,"")</f>
        <v/>
      </c>
      <c r="N1637" s="55" t="str">
        <f>IF(ISNUMBER(K1637),SUMIFS(st_min,st_date,A1637,st_eq,B1637,st_po,C1637,st_type,"Non planifié"),"")</f>
        <v/>
      </c>
      <c r="O1637" s="55" t="str">
        <f>IF(ISNUMBER(K1637),M1637-N1637,"")</f>
        <v/>
      </c>
      <c r="P1637" s="55" t="str">
        <f>IF(COUNTA(A1637:I1637)=0,"",N(G1637)+N(H1637)+N(I1637))</f>
        <v/>
      </c>
      <c r="Q1637" s="56" t="str">
        <f>IF(COUNTA(A1637:I1637)=0,"",IF(N(IFERROR(INDEX(art_rate,MATCH(E1637,art_ref,0)),0))&gt;0,N(IFERROR(INDEX(art_rate,MATCH(E1637,art_ref,0)),0)),N(IFERROR(INDEX(po_rate,MATCH(C1637,po_code,0)),0))))</f>
        <v/>
      </c>
      <c r="R1637" s="55" t="str">
        <f>IF(AC1637=1,P1637*60/Q1637,"")</f>
        <v/>
      </c>
      <c r="S1637" s="55" t="str">
        <f>IF(AC1637=1,N(G1637)*60/Q1637,"")</f>
        <v/>
      </c>
      <c r="T1637" s="57" t="str">
        <f>IF(AC1637=1,O1637/M1637,"")</f>
        <v/>
      </c>
      <c r="U1637" s="57" t="str">
        <f>IF(AC1637=1,IF(O1637&gt;0,R1637/O1637,""),"")</f>
        <v/>
      </c>
      <c r="V1637" s="57" t="str">
        <f>IF(AC1637=1,IF(P1637&gt;0,N(G1637)/P1637,""),"")</f>
        <v/>
      </c>
      <c r="W1637" s="57" t="str">
        <f>IF(AC1637=1,S1637/M1637,"")</f>
        <v/>
      </c>
      <c r="X1637" s="57" t="str">
        <f>IF(AC1637=1,S1637/K1637,"")</f>
        <v/>
      </c>
      <c r="Y1637" s="58" t="str">
        <f>IF(W1637="","",IF(W1637&gt;=p_target,"Bon",IF(W1637&gt;=p_alert,"À surveiller","Faible")))</f>
        <v/>
      </c>
      <c r="Z1637" s="58" t="str">
        <f>IF(W1637="","",IF(MIN(IF(T1637="",1,T1637),IF(U1637="",1,U1637),IF(V1637="",1,V1637))&gt;=1,"Aucune",IF(IF(T1637="",1,T1637)&lt;=MIN(IF(U1637="",1,U1637),IF(V1637="",1,V1637)),"Disponibilité",IF(IF(U1637="",1,U1637)&lt;=IF(V1637="",1,V1637),"Performance","Qualité"))))</f>
        <v/>
      </c>
      <c r="AA1637" s="59" t="str">
        <f>IF(AC1637=1,N(H1637)*N(IFERROR(INDEX(art_cost,MATCH(E1637,art_ref,0)),0)),"")</f>
        <v/>
      </c>
      <c r="AB1637" s="58" t="str">
        <f>IF(COUNTA(A1637:I1637)=0,"",IF(N(A1637)&lt;=0,"Date manquante ou invalide",IF(B1637="","Équipe manquante",IF(ISNA(MATCH(B1637,eq_code,0)),"Équipe inconnue",IF(INDEX(eq_check,MATCH(B1637,eq_code,0))&lt;&gt;"OK","Équipe à corriger dans Paramètres",IF(C1637="","Poste manquant",IF(ISNA(MATCH(C1637,po_code,0)),"Poste inconnu",IF(AND(E1637&lt;&gt;"",ISNA(MATCH(E1637,art_ref,0))),"Article inconnu",IF(IF(E1637="",FALSE,INDEX(art_check,MATCH(E1637,art_ref,0))&lt;&gt;"OK"),"Article à corriger (feuille Articles)",IF(COUNTIFS(sj_date,A1637,sj_eq,B1637,sj_po,C1637)&gt;1,"Ligne en double (même jour, équipe et poste)",IF(OR(NOT(ISNUMBER(K1637)),N(K1637)&lt;=0,N(K1637)&gt;1440),"Temps d'ouverture invalide",IF(OR(AND(G1637&lt;&gt;"",NOT(ISNUMBER(G1637))),N(G1637)&lt;0,N(G1637)&lt;&gt;INT(N(G1637)),AND(H1637&lt;&gt;"",NOT(ISNUMBER(H1637))),N(H1637)&lt;0,N(H1637)&lt;&gt;INT(N(H1637)),AND(I1637&lt;&gt;"",NOT(ISNUMBER(I1637))),N(I1637)&lt;0,N(I1637)&lt;&gt;INT(N(I1637))),"Quantité invalide",IF(Q1637&lt;=0,"Cadence manquante (poste ou article)",IF(M1637&lt;=0,"Arrêts planifiés supérieurs au temps d'ouverture",IF(O1637&lt;0,"Arrêts supérieurs au temps requis",IF(AND(P1637&gt;0,O1637=0),"Pièces déclarées sans temps de marche",IF(AND(P1637=0,O1637&gt;0),"Aucune pièce déclarée",IF(P1637*60/Q1637&gt;O1637+0.001,"Cadence dépassée : vérifiez la cadence","OK"))))))))))))))))))</f>
        <v/>
      </c>
      <c r="AC1637">
        <f>IF(OR(AB1637="OK",AB1637="Aucune pièce déclarée",AB1637="Cadence dépassée : vérifiez la cadence"),1,0)</f>
        <v>0.0</v>
      </c>
      <c r="AD1637">
        <f>IF(AND(AC1637=1,A1637&gt;=p_from,A1637&lt;=p_to),1,0)</f>
        <v>0.0</v>
      </c>
      <c r="AE1637">
        <f>IF(AD1637=1,IF(COUNTIFS($A$6:A1637,A1637,$AD$6:AD1637,1)=1,1,0),0)</f>
        <v>0.0</v>
      </c>
      <c r="AF1637" t="str">
        <f>IF(AE1637=1,COUNTIFS(sj_first,1,sj_date,"&lt;"&amp;A1637)+1,"")</f>
        <v/>
      </c>
      <c r="AG1637" t="str">
        <f>IF(AND(AD1637=1,N(W1637)&lt;p_alert),ROUND(W1637,4),"")</f>
        <v/>
      </c>
      <c r="AH1637" t="str">
        <f>IF(AG1637="","",COUNTIF(sj_akey,"&lt;"&amp;AG1637)+COUNTIF($AG$6:AG1637,AG1637))</f>
        <v/>
      </c>
    </row>
    <row r="1638">
      <c r="A1638" s="51" t="n"/>
      <c r="B1638" s="52" t="n"/>
      <c r="C1638" s="52" t="n"/>
      <c r="D1638" s="53" t="n"/>
      <c r="E1638" s="53" t="n"/>
      <c r="F1638" s="54" t="n"/>
      <c r="G1638" s="54" t="n"/>
      <c r="H1638" s="54" t="n"/>
      <c r="I1638" s="54" t="n"/>
      <c r="J1638" s="53" t="n"/>
      <c r="K1638" s="55" t="str">
        <f>IF(COUNTA(A1638:I1638)=0,"",IF(F1638="",IFERROR(INDEX(eq_dur,MATCH(B1638,eq_code,0)),""),F1638))</f>
        <v/>
      </c>
      <c r="L1638" s="55" t="str">
        <f>IF(ISNUMBER(K1638),N(IFERROR(INDEX(eq_pause,MATCH(B1638,eq_code,0)),0))+SUMIFS(st_min,st_date,A1638,st_eq,B1638,st_po,C1638,st_type,"Planifié"),"")</f>
        <v/>
      </c>
      <c r="M1638" s="55" t="str">
        <f>IF(ISNUMBER(K1638),K1638-L1638,"")</f>
        <v/>
      </c>
      <c r="N1638" s="55" t="str">
        <f>IF(ISNUMBER(K1638),SUMIFS(st_min,st_date,A1638,st_eq,B1638,st_po,C1638,st_type,"Non planifié"),"")</f>
        <v/>
      </c>
      <c r="O1638" s="55" t="str">
        <f>IF(ISNUMBER(K1638),M1638-N1638,"")</f>
        <v/>
      </c>
      <c r="P1638" s="55" t="str">
        <f>IF(COUNTA(A1638:I1638)=0,"",N(G1638)+N(H1638)+N(I1638))</f>
        <v/>
      </c>
      <c r="Q1638" s="56" t="str">
        <f>IF(COUNTA(A1638:I1638)=0,"",IF(N(IFERROR(INDEX(art_rate,MATCH(E1638,art_ref,0)),0))&gt;0,N(IFERROR(INDEX(art_rate,MATCH(E1638,art_ref,0)),0)),N(IFERROR(INDEX(po_rate,MATCH(C1638,po_code,0)),0))))</f>
        <v/>
      </c>
      <c r="R1638" s="55" t="str">
        <f>IF(AC1638=1,P1638*60/Q1638,"")</f>
        <v/>
      </c>
      <c r="S1638" s="55" t="str">
        <f>IF(AC1638=1,N(G1638)*60/Q1638,"")</f>
        <v/>
      </c>
      <c r="T1638" s="57" t="str">
        <f>IF(AC1638=1,O1638/M1638,"")</f>
        <v/>
      </c>
      <c r="U1638" s="57" t="str">
        <f>IF(AC1638=1,IF(O1638&gt;0,R1638/O1638,""),"")</f>
        <v/>
      </c>
      <c r="V1638" s="57" t="str">
        <f>IF(AC1638=1,IF(P1638&gt;0,N(G1638)/P1638,""),"")</f>
        <v/>
      </c>
      <c r="W1638" s="57" t="str">
        <f>IF(AC1638=1,S1638/M1638,"")</f>
        <v/>
      </c>
      <c r="X1638" s="57" t="str">
        <f>IF(AC1638=1,S1638/K1638,"")</f>
        <v/>
      </c>
      <c r="Y1638" s="58" t="str">
        <f>IF(W1638="","",IF(W1638&gt;=p_target,"Bon",IF(W1638&gt;=p_alert,"À surveiller","Faible")))</f>
        <v/>
      </c>
      <c r="Z1638" s="58" t="str">
        <f>IF(W1638="","",IF(MIN(IF(T1638="",1,T1638),IF(U1638="",1,U1638),IF(V1638="",1,V1638))&gt;=1,"Aucune",IF(IF(T1638="",1,T1638)&lt;=MIN(IF(U1638="",1,U1638),IF(V1638="",1,V1638)),"Disponibilité",IF(IF(U1638="",1,U1638)&lt;=IF(V1638="",1,V1638),"Performance","Qualité"))))</f>
        <v/>
      </c>
      <c r="AA1638" s="59" t="str">
        <f>IF(AC1638=1,N(H1638)*N(IFERROR(INDEX(art_cost,MATCH(E1638,art_ref,0)),0)),"")</f>
        <v/>
      </c>
      <c r="AB1638" s="58" t="str">
        <f>IF(COUNTA(A1638:I1638)=0,"",IF(N(A1638)&lt;=0,"Date manquante ou invalide",IF(B1638="","Équipe manquante",IF(ISNA(MATCH(B1638,eq_code,0)),"Équipe inconnue",IF(INDEX(eq_check,MATCH(B1638,eq_code,0))&lt;&gt;"OK","Équipe à corriger dans Paramètres",IF(C1638="","Poste manquant",IF(ISNA(MATCH(C1638,po_code,0)),"Poste inconnu",IF(AND(E1638&lt;&gt;"",ISNA(MATCH(E1638,art_ref,0))),"Article inconnu",IF(IF(E1638="",FALSE,INDEX(art_check,MATCH(E1638,art_ref,0))&lt;&gt;"OK"),"Article à corriger (feuille Articles)",IF(COUNTIFS(sj_date,A1638,sj_eq,B1638,sj_po,C1638)&gt;1,"Ligne en double (même jour, équipe et poste)",IF(OR(NOT(ISNUMBER(K1638)),N(K1638)&lt;=0,N(K1638)&gt;1440),"Temps d'ouverture invalide",IF(OR(AND(G1638&lt;&gt;"",NOT(ISNUMBER(G1638))),N(G1638)&lt;0,N(G1638)&lt;&gt;INT(N(G1638)),AND(H1638&lt;&gt;"",NOT(ISNUMBER(H1638))),N(H1638)&lt;0,N(H1638)&lt;&gt;INT(N(H1638)),AND(I1638&lt;&gt;"",NOT(ISNUMBER(I1638))),N(I1638)&lt;0,N(I1638)&lt;&gt;INT(N(I1638))),"Quantité invalide",IF(Q1638&lt;=0,"Cadence manquante (poste ou article)",IF(M1638&lt;=0,"Arrêts planifiés supérieurs au temps d'ouverture",IF(O1638&lt;0,"Arrêts supérieurs au temps requis",IF(AND(P1638&gt;0,O1638=0),"Pièces déclarées sans temps de marche",IF(AND(P1638=0,O1638&gt;0),"Aucune pièce déclarée",IF(P1638*60/Q1638&gt;O1638+0.001,"Cadence dépassée : vérifiez la cadence","OK"))))))))))))))))))</f>
        <v/>
      </c>
      <c r="AC1638">
        <f>IF(OR(AB1638="OK",AB1638="Aucune pièce déclarée",AB1638="Cadence dépassée : vérifiez la cadence"),1,0)</f>
        <v>0.0</v>
      </c>
      <c r="AD1638">
        <f>IF(AND(AC1638=1,A1638&gt;=p_from,A1638&lt;=p_to),1,0)</f>
        <v>0.0</v>
      </c>
      <c r="AE1638">
        <f>IF(AD1638=1,IF(COUNTIFS($A$6:A1638,A1638,$AD$6:AD1638,1)=1,1,0),0)</f>
        <v>0.0</v>
      </c>
      <c r="AF1638" t="str">
        <f>IF(AE1638=1,COUNTIFS(sj_first,1,sj_date,"&lt;"&amp;A1638)+1,"")</f>
        <v/>
      </c>
      <c r="AG1638" t="str">
        <f>IF(AND(AD1638=1,N(W1638)&lt;p_alert),ROUND(W1638,4),"")</f>
        <v/>
      </c>
      <c r="AH1638" t="str">
        <f>IF(AG1638="","",COUNTIF(sj_akey,"&lt;"&amp;AG1638)+COUNTIF($AG$6:AG1638,AG1638))</f>
        <v/>
      </c>
    </row>
    <row r="1639">
      <c r="A1639" s="51" t="n"/>
      <c r="B1639" s="52" t="n"/>
      <c r="C1639" s="52" t="n"/>
      <c r="D1639" s="53" t="n"/>
      <c r="E1639" s="53" t="n"/>
      <c r="F1639" s="54" t="n"/>
      <c r="G1639" s="54" t="n"/>
      <c r="H1639" s="54" t="n"/>
      <c r="I1639" s="54" t="n"/>
      <c r="J1639" s="53" t="n"/>
      <c r="K1639" s="55" t="str">
        <f>IF(COUNTA(A1639:I1639)=0,"",IF(F1639="",IFERROR(INDEX(eq_dur,MATCH(B1639,eq_code,0)),""),F1639))</f>
        <v/>
      </c>
      <c r="L1639" s="55" t="str">
        <f>IF(ISNUMBER(K1639),N(IFERROR(INDEX(eq_pause,MATCH(B1639,eq_code,0)),0))+SUMIFS(st_min,st_date,A1639,st_eq,B1639,st_po,C1639,st_type,"Planifié"),"")</f>
        <v/>
      </c>
      <c r="M1639" s="55" t="str">
        <f>IF(ISNUMBER(K1639),K1639-L1639,"")</f>
        <v/>
      </c>
      <c r="N1639" s="55" t="str">
        <f>IF(ISNUMBER(K1639),SUMIFS(st_min,st_date,A1639,st_eq,B1639,st_po,C1639,st_type,"Non planifié"),"")</f>
        <v/>
      </c>
      <c r="O1639" s="55" t="str">
        <f>IF(ISNUMBER(K1639),M1639-N1639,"")</f>
        <v/>
      </c>
      <c r="P1639" s="55" t="str">
        <f>IF(COUNTA(A1639:I1639)=0,"",N(G1639)+N(H1639)+N(I1639))</f>
        <v/>
      </c>
      <c r="Q1639" s="56" t="str">
        <f>IF(COUNTA(A1639:I1639)=0,"",IF(N(IFERROR(INDEX(art_rate,MATCH(E1639,art_ref,0)),0))&gt;0,N(IFERROR(INDEX(art_rate,MATCH(E1639,art_ref,0)),0)),N(IFERROR(INDEX(po_rate,MATCH(C1639,po_code,0)),0))))</f>
        <v/>
      </c>
      <c r="R1639" s="55" t="str">
        <f>IF(AC1639=1,P1639*60/Q1639,"")</f>
        <v/>
      </c>
      <c r="S1639" s="55" t="str">
        <f>IF(AC1639=1,N(G1639)*60/Q1639,"")</f>
        <v/>
      </c>
      <c r="T1639" s="57" t="str">
        <f>IF(AC1639=1,O1639/M1639,"")</f>
        <v/>
      </c>
      <c r="U1639" s="57" t="str">
        <f>IF(AC1639=1,IF(O1639&gt;0,R1639/O1639,""),"")</f>
        <v/>
      </c>
      <c r="V1639" s="57" t="str">
        <f>IF(AC1639=1,IF(P1639&gt;0,N(G1639)/P1639,""),"")</f>
        <v/>
      </c>
      <c r="W1639" s="57" t="str">
        <f>IF(AC1639=1,S1639/M1639,"")</f>
        <v/>
      </c>
      <c r="X1639" s="57" t="str">
        <f>IF(AC1639=1,S1639/K1639,"")</f>
        <v/>
      </c>
      <c r="Y1639" s="58" t="str">
        <f>IF(W1639="","",IF(W1639&gt;=p_target,"Bon",IF(W1639&gt;=p_alert,"À surveiller","Faible")))</f>
        <v/>
      </c>
      <c r="Z1639" s="58" t="str">
        <f>IF(W1639="","",IF(MIN(IF(T1639="",1,T1639),IF(U1639="",1,U1639),IF(V1639="",1,V1639))&gt;=1,"Aucune",IF(IF(T1639="",1,T1639)&lt;=MIN(IF(U1639="",1,U1639),IF(V1639="",1,V1639)),"Disponibilité",IF(IF(U1639="",1,U1639)&lt;=IF(V1639="",1,V1639),"Performance","Qualité"))))</f>
        <v/>
      </c>
      <c r="AA1639" s="59" t="str">
        <f>IF(AC1639=1,N(H1639)*N(IFERROR(INDEX(art_cost,MATCH(E1639,art_ref,0)),0)),"")</f>
        <v/>
      </c>
      <c r="AB1639" s="58" t="str">
        <f>IF(COUNTA(A1639:I1639)=0,"",IF(N(A1639)&lt;=0,"Date manquante ou invalide",IF(B1639="","Équipe manquante",IF(ISNA(MATCH(B1639,eq_code,0)),"Équipe inconnue",IF(INDEX(eq_check,MATCH(B1639,eq_code,0))&lt;&gt;"OK","Équipe à corriger dans Paramètres",IF(C1639="","Poste manquant",IF(ISNA(MATCH(C1639,po_code,0)),"Poste inconnu",IF(AND(E1639&lt;&gt;"",ISNA(MATCH(E1639,art_ref,0))),"Article inconnu",IF(IF(E1639="",FALSE,INDEX(art_check,MATCH(E1639,art_ref,0))&lt;&gt;"OK"),"Article à corriger (feuille Articles)",IF(COUNTIFS(sj_date,A1639,sj_eq,B1639,sj_po,C1639)&gt;1,"Ligne en double (même jour, équipe et poste)",IF(OR(NOT(ISNUMBER(K1639)),N(K1639)&lt;=0,N(K1639)&gt;1440),"Temps d'ouverture invalide",IF(OR(AND(G1639&lt;&gt;"",NOT(ISNUMBER(G1639))),N(G1639)&lt;0,N(G1639)&lt;&gt;INT(N(G1639)),AND(H1639&lt;&gt;"",NOT(ISNUMBER(H1639))),N(H1639)&lt;0,N(H1639)&lt;&gt;INT(N(H1639)),AND(I1639&lt;&gt;"",NOT(ISNUMBER(I1639))),N(I1639)&lt;0,N(I1639)&lt;&gt;INT(N(I1639))),"Quantité invalide",IF(Q1639&lt;=0,"Cadence manquante (poste ou article)",IF(M1639&lt;=0,"Arrêts planifiés supérieurs au temps d'ouverture",IF(O1639&lt;0,"Arrêts supérieurs au temps requis",IF(AND(P1639&gt;0,O1639=0),"Pièces déclarées sans temps de marche",IF(AND(P1639=0,O1639&gt;0),"Aucune pièce déclarée",IF(P1639*60/Q1639&gt;O1639+0.001,"Cadence dépassée : vérifiez la cadence","OK"))))))))))))))))))</f>
        <v/>
      </c>
      <c r="AC1639">
        <f>IF(OR(AB1639="OK",AB1639="Aucune pièce déclarée",AB1639="Cadence dépassée : vérifiez la cadence"),1,0)</f>
        <v>0.0</v>
      </c>
      <c r="AD1639">
        <f>IF(AND(AC1639=1,A1639&gt;=p_from,A1639&lt;=p_to),1,0)</f>
        <v>0.0</v>
      </c>
      <c r="AE1639">
        <f>IF(AD1639=1,IF(COUNTIFS($A$6:A1639,A1639,$AD$6:AD1639,1)=1,1,0),0)</f>
        <v>0.0</v>
      </c>
      <c r="AF1639" t="str">
        <f>IF(AE1639=1,COUNTIFS(sj_first,1,sj_date,"&lt;"&amp;A1639)+1,"")</f>
        <v/>
      </c>
      <c r="AG1639" t="str">
        <f>IF(AND(AD1639=1,N(W1639)&lt;p_alert),ROUND(W1639,4),"")</f>
        <v/>
      </c>
      <c r="AH1639" t="str">
        <f>IF(AG1639="","",COUNTIF(sj_akey,"&lt;"&amp;AG1639)+COUNTIF($AG$6:AG1639,AG1639))</f>
        <v/>
      </c>
    </row>
    <row r="1640">
      <c r="A1640" s="51" t="n"/>
      <c r="B1640" s="52" t="n"/>
      <c r="C1640" s="52" t="n"/>
      <c r="D1640" s="53" t="n"/>
      <c r="E1640" s="53" t="n"/>
      <c r="F1640" s="54" t="n"/>
      <c r="G1640" s="54" t="n"/>
      <c r="H1640" s="54" t="n"/>
      <c r="I1640" s="54" t="n"/>
      <c r="J1640" s="53" t="n"/>
      <c r="K1640" s="55" t="str">
        <f>IF(COUNTA(A1640:I1640)=0,"",IF(F1640="",IFERROR(INDEX(eq_dur,MATCH(B1640,eq_code,0)),""),F1640))</f>
        <v/>
      </c>
      <c r="L1640" s="55" t="str">
        <f>IF(ISNUMBER(K1640),N(IFERROR(INDEX(eq_pause,MATCH(B1640,eq_code,0)),0))+SUMIFS(st_min,st_date,A1640,st_eq,B1640,st_po,C1640,st_type,"Planifié"),"")</f>
        <v/>
      </c>
      <c r="M1640" s="55" t="str">
        <f>IF(ISNUMBER(K1640),K1640-L1640,"")</f>
        <v/>
      </c>
      <c r="N1640" s="55" t="str">
        <f>IF(ISNUMBER(K1640),SUMIFS(st_min,st_date,A1640,st_eq,B1640,st_po,C1640,st_type,"Non planifié"),"")</f>
        <v/>
      </c>
      <c r="O1640" s="55" t="str">
        <f>IF(ISNUMBER(K1640),M1640-N1640,"")</f>
        <v/>
      </c>
      <c r="P1640" s="55" t="str">
        <f>IF(COUNTA(A1640:I1640)=0,"",N(G1640)+N(H1640)+N(I1640))</f>
        <v/>
      </c>
      <c r="Q1640" s="56" t="str">
        <f>IF(COUNTA(A1640:I1640)=0,"",IF(N(IFERROR(INDEX(art_rate,MATCH(E1640,art_ref,0)),0))&gt;0,N(IFERROR(INDEX(art_rate,MATCH(E1640,art_ref,0)),0)),N(IFERROR(INDEX(po_rate,MATCH(C1640,po_code,0)),0))))</f>
        <v/>
      </c>
      <c r="R1640" s="55" t="str">
        <f>IF(AC1640=1,P1640*60/Q1640,"")</f>
        <v/>
      </c>
      <c r="S1640" s="55" t="str">
        <f>IF(AC1640=1,N(G1640)*60/Q1640,"")</f>
        <v/>
      </c>
      <c r="T1640" s="57" t="str">
        <f>IF(AC1640=1,O1640/M1640,"")</f>
        <v/>
      </c>
      <c r="U1640" s="57" t="str">
        <f>IF(AC1640=1,IF(O1640&gt;0,R1640/O1640,""),"")</f>
        <v/>
      </c>
      <c r="V1640" s="57" t="str">
        <f>IF(AC1640=1,IF(P1640&gt;0,N(G1640)/P1640,""),"")</f>
        <v/>
      </c>
      <c r="W1640" s="57" t="str">
        <f>IF(AC1640=1,S1640/M1640,"")</f>
        <v/>
      </c>
      <c r="X1640" s="57" t="str">
        <f>IF(AC1640=1,S1640/K1640,"")</f>
        <v/>
      </c>
      <c r="Y1640" s="58" t="str">
        <f>IF(W1640="","",IF(W1640&gt;=p_target,"Bon",IF(W1640&gt;=p_alert,"À surveiller","Faible")))</f>
        <v/>
      </c>
      <c r="Z1640" s="58" t="str">
        <f>IF(W1640="","",IF(MIN(IF(T1640="",1,T1640),IF(U1640="",1,U1640),IF(V1640="",1,V1640))&gt;=1,"Aucune",IF(IF(T1640="",1,T1640)&lt;=MIN(IF(U1640="",1,U1640),IF(V1640="",1,V1640)),"Disponibilité",IF(IF(U1640="",1,U1640)&lt;=IF(V1640="",1,V1640),"Performance","Qualité"))))</f>
        <v/>
      </c>
      <c r="AA1640" s="59" t="str">
        <f>IF(AC1640=1,N(H1640)*N(IFERROR(INDEX(art_cost,MATCH(E1640,art_ref,0)),0)),"")</f>
        <v/>
      </c>
      <c r="AB1640" s="58" t="str">
        <f>IF(COUNTA(A1640:I1640)=0,"",IF(N(A1640)&lt;=0,"Date manquante ou invalide",IF(B1640="","Équipe manquante",IF(ISNA(MATCH(B1640,eq_code,0)),"Équipe inconnue",IF(INDEX(eq_check,MATCH(B1640,eq_code,0))&lt;&gt;"OK","Équipe à corriger dans Paramètres",IF(C1640="","Poste manquant",IF(ISNA(MATCH(C1640,po_code,0)),"Poste inconnu",IF(AND(E1640&lt;&gt;"",ISNA(MATCH(E1640,art_ref,0))),"Article inconnu",IF(IF(E1640="",FALSE,INDEX(art_check,MATCH(E1640,art_ref,0))&lt;&gt;"OK"),"Article à corriger (feuille Articles)",IF(COUNTIFS(sj_date,A1640,sj_eq,B1640,sj_po,C1640)&gt;1,"Ligne en double (même jour, équipe et poste)",IF(OR(NOT(ISNUMBER(K1640)),N(K1640)&lt;=0,N(K1640)&gt;1440),"Temps d'ouverture invalide",IF(OR(AND(G1640&lt;&gt;"",NOT(ISNUMBER(G1640))),N(G1640)&lt;0,N(G1640)&lt;&gt;INT(N(G1640)),AND(H1640&lt;&gt;"",NOT(ISNUMBER(H1640))),N(H1640)&lt;0,N(H1640)&lt;&gt;INT(N(H1640)),AND(I1640&lt;&gt;"",NOT(ISNUMBER(I1640))),N(I1640)&lt;0,N(I1640)&lt;&gt;INT(N(I1640))),"Quantité invalide",IF(Q1640&lt;=0,"Cadence manquante (poste ou article)",IF(M1640&lt;=0,"Arrêts planifiés supérieurs au temps d'ouverture",IF(O1640&lt;0,"Arrêts supérieurs au temps requis",IF(AND(P1640&gt;0,O1640=0),"Pièces déclarées sans temps de marche",IF(AND(P1640=0,O1640&gt;0),"Aucune pièce déclarée",IF(P1640*60/Q1640&gt;O1640+0.001,"Cadence dépassée : vérifiez la cadence","OK"))))))))))))))))))</f>
        <v/>
      </c>
      <c r="AC1640">
        <f>IF(OR(AB1640="OK",AB1640="Aucune pièce déclarée",AB1640="Cadence dépassée : vérifiez la cadence"),1,0)</f>
        <v>0.0</v>
      </c>
      <c r="AD1640">
        <f>IF(AND(AC1640=1,A1640&gt;=p_from,A1640&lt;=p_to),1,0)</f>
        <v>0.0</v>
      </c>
      <c r="AE1640">
        <f>IF(AD1640=1,IF(COUNTIFS($A$6:A1640,A1640,$AD$6:AD1640,1)=1,1,0),0)</f>
        <v>0.0</v>
      </c>
      <c r="AF1640" t="str">
        <f>IF(AE1640=1,COUNTIFS(sj_first,1,sj_date,"&lt;"&amp;A1640)+1,"")</f>
        <v/>
      </c>
      <c r="AG1640" t="str">
        <f>IF(AND(AD1640=1,N(W1640)&lt;p_alert),ROUND(W1640,4),"")</f>
        <v/>
      </c>
      <c r="AH1640" t="str">
        <f>IF(AG1640="","",COUNTIF(sj_akey,"&lt;"&amp;AG1640)+COUNTIF($AG$6:AG1640,AG1640))</f>
        <v/>
      </c>
    </row>
    <row r="1641">
      <c r="A1641" s="51" t="n"/>
      <c r="B1641" s="52" t="n"/>
      <c r="C1641" s="52" t="n"/>
      <c r="D1641" s="53" t="n"/>
      <c r="E1641" s="53" t="n"/>
      <c r="F1641" s="54" t="n"/>
      <c r="G1641" s="54" t="n"/>
      <c r="H1641" s="54" t="n"/>
      <c r="I1641" s="54" t="n"/>
      <c r="J1641" s="53" t="n"/>
      <c r="K1641" s="55" t="str">
        <f>IF(COUNTA(A1641:I1641)=0,"",IF(F1641="",IFERROR(INDEX(eq_dur,MATCH(B1641,eq_code,0)),""),F1641))</f>
        <v/>
      </c>
      <c r="L1641" s="55" t="str">
        <f>IF(ISNUMBER(K1641),N(IFERROR(INDEX(eq_pause,MATCH(B1641,eq_code,0)),0))+SUMIFS(st_min,st_date,A1641,st_eq,B1641,st_po,C1641,st_type,"Planifié"),"")</f>
        <v/>
      </c>
      <c r="M1641" s="55" t="str">
        <f>IF(ISNUMBER(K1641),K1641-L1641,"")</f>
        <v/>
      </c>
      <c r="N1641" s="55" t="str">
        <f>IF(ISNUMBER(K1641),SUMIFS(st_min,st_date,A1641,st_eq,B1641,st_po,C1641,st_type,"Non planifié"),"")</f>
        <v/>
      </c>
      <c r="O1641" s="55" t="str">
        <f>IF(ISNUMBER(K1641),M1641-N1641,"")</f>
        <v/>
      </c>
      <c r="P1641" s="55" t="str">
        <f>IF(COUNTA(A1641:I1641)=0,"",N(G1641)+N(H1641)+N(I1641))</f>
        <v/>
      </c>
      <c r="Q1641" s="56" t="str">
        <f>IF(COUNTA(A1641:I1641)=0,"",IF(N(IFERROR(INDEX(art_rate,MATCH(E1641,art_ref,0)),0))&gt;0,N(IFERROR(INDEX(art_rate,MATCH(E1641,art_ref,0)),0)),N(IFERROR(INDEX(po_rate,MATCH(C1641,po_code,0)),0))))</f>
        <v/>
      </c>
      <c r="R1641" s="55" t="str">
        <f>IF(AC1641=1,P1641*60/Q1641,"")</f>
        <v/>
      </c>
      <c r="S1641" s="55" t="str">
        <f>IF(AC1641=1,N(G1641)*60/Q1641,"")</f>
        <v/>
      </c>
      <c r="T1641" s="57" t="str">
        <f>IF(AC1641=1,O1641/M1641,"")</f>
        <v/>
      </c>
      <c r="U1641" s="57" t="str">
        <f>IF(AC1641=1,IF(O1641&gt;0,R1641/O1641,""),"")</f>
        <v/>
      </c>
      <c r="V1641" s="57" t="str">
        <f>IF(AC1641=1,IF(P1641&gt;0,N(G1641)/P1641,""),"")</f>
        <v/>
      </c>
      <c r="W1641" s="57" t="str">
        <f>IF(AC1641=1,S1641/M1641,"")</f>
        <v/>
      </c>
      <c r="X1641" s="57" t="str">
        <f>IF(AC1641=1,S1641/K1641,"")</f>
        <v/>
      </c>
      <c r="Y1641" s="58" t="str">
        <f>IF(W1641="","",IF(W1641&gt;=p_target,"Bon",IF(W1641&gt;=p_alert,"À surveiller","Faible")))</f>
        <v/>
      </c>
      <c r="Z1641" s="58" t="str">
        <f>IF(W1641="","",IF(MIN(IF(T1641="",1,T1641),IF(U1641="",1,U1641),IF(V1641="",1,V1641))&gt;=1,"Aucune",IF(IF(T1641="",1,T1641)&lt;=MIN(IF(U1641="",1,U1641),IF(V1641="",1,V1641)),"Disponibilité",IF(IF(U1641="",1,U1641)&lt;=IF(V1641="",1,V1641),"Performance","Qualité"))))</f>
        <v/>
      </c>
      <c r="AA1641" s="59" t="str">
        <f>IF(AC1641=1,N(H1641)*N(IFERROR(INDEX(art_cost,MATCH(E1641,art_ref,0)),0)),"")</f>
        <v/>
      </c>
      <c r="AB1641" s="58" t="str">
        <f>IF(COUNTA(A1641:I1641)=0,"",IF(N(A1641)&lt;=0,"Date manquante ou invalide",IF(B1641="","Équipe manquante",IF(ISNA(MATCH(B1641,eq_code,0)),"Équipe inconnue",IF(INDEX(eq_check,MATCH(B1641,eq_code,0))&lt;&gt;"OK","Équipe à corriger dans Paramètres",IF(C1641="","Poste manquant",IF(ISNA(MATCH(C1641,po_code,0)),"Poste inconnu",IF(AND(E1641&lt;&gt;"",ISNA(MATCH(E1641,art_ref,0))),"Article inconnu",IF(IF(E1641="",FALSE,INDEX(art_check,MATCH(E1641,art_ref,0))&lt;&gt;"OK"),"Article à corriger (feuille Articles)",IF(COUNTIFS(sj_date,A1641,sj_eq,B1641,sj_po,C1641)&gt;1,"Ligne en double (même jour, équipe et poste)",IF(OR(NOT(ISNUMBER(K1641)),N(K1641)&lt;=0,N(K1641)&gt;1440),"Temps d'ouverture invalide",IF(OR(AND(G1641&lt;&gt;"",NOT(ISNUMBER(G1641))),N(G1641)&lt;0,N(G1641)&lt;&gt;INT(N(G1641)),AND(H1641&lt;&gt;"",NOT(ISNUMBER(H1641))),N(H1641)&lt;0,N(H1641)&lt;&gt;INT(N(H1641)),AND(I1641&lt;&gt;"",NOT(ISNUMBER(I1641))),N(I1641)&lt;0,N(I1641)&lt;&gt;INT(N(I1641))),"Quantité invalide",IF(Q1641&lt;=0,"Cadence manquante (poste ou article)",IF(M1641&lt;=0,"Arrêts planifiés supérieurs au temps d'ouverture",IF(O1641&lt;0,"Arrêts supérieurs au temps requis",IF(AND(P1641&gt;0,O1641=0),"Pièces déclarées sans temps de marche",IF(AND(P1641=0,O1641&gt;0),"Aucune pièce déclarée",IF(P1641*60/Q1641&gt;O1641+0.001,"Cadence dépassée : vérifiez la cadence","OK"))))))))))))))))))</f>
        <v/>
      </c>
      <c r="AC1641">
        <f>IF(OR(AB1641="OK",AB1641="Aucune pièce déclarée",AB1641="Cadence dépassée : vérifiez la cadence"),1,0)</f>
        <v>0.0</v>
      </c>
      <c r="AD1641">
        <f>IF(AND(AC1641=1,A1641&gt;=p_from,A1641&lt;=p_to),1,0)</f>
        <v>0.0</v>
      </c>
      <c r="AE1641">
        <f>IF(AD1641=1,IF(COUNTIFS($A$6:A1641,A1641,$AD$6:AD1641,1)=1,1,0),0)</f>
        <v>0.0</v>
      </c>
      <c r="AF1641" t="str">
        <f>IF(AE1641=1,COUNTIFS(sj_first,1,sj_date,"&lt;"&amp;A1641)+1,"")</f>
        <v/>
      </c>
      <c r="AG1641" t="str">
        <f>IF(AND(AD1641=1,N(W1641)&lt;p_alert),ROUND(W1641,4),"")</f>
        <v/>
      </c>
      <c r="AH1641" t="str">
        <f>IF(AG1641="","",COUNTIF(sj_akey,"&lt;"&amp;AG1641)+COUNTIF($AG$6:AG1641,AG1641))</f>
        <v/>
      </c>
    </row>
    <row r="1642">
      <c r="A1642" s="51" t="n"/>
      <c r="B1642" s="52" t="n"/>
      <c r="C1642" s="52" t="n"/>
      <c r="D1642" s="53" t="n"/>
      <c r="E1642" s="53" t="n"/>
      <c r="F1642" s="54" t="n"/>
      <c r="G1642" s="54" t="n"/>
      <c r="H1642" s="54" t="n"/>
      <c r="I1642" s="54" t="n"/>
      <c r="J1642" s="53" t="n"/>
      <c r="K1642" s="55" t="str">
        <f>IF(COUNTA(A1642:I1642)=0,"",IF(F1642="",IFERROR(INDEX(eq_dur,MATCH(B1642,eq_code,0)),""),F1642))</f>
        <v/>
      </c>
      <c r="L1642" s="55" t="str">
        <f>IF(ISNUMBER(K1642),N(IFERROR(INDEX(eq_pause,MATCH(B1642,eq_code,0)),0))+SUMIFS(st_min,st_date,A1642,st_eq,B1642,st_po,C1642,st_type,"Planifié"),"")</f>
        <v/>
      </c>
      <c r="M1642" s="55" t="str">
        <f>IF(ISNUMBER(K1642),K1642-L1642,"")</f>
        <v/>
      </c>
      <c r="N1642" s="55" t="str">
        <f>IF(ISNUMBER(K1642),SUMIFS(st_min,st_date,A1642,st_eq,B1642,st_po,C1642,st_type,"Non planifié"),"")</f>
        <v/>
      </c>
      <c r="O1642" s="55" t="str">
        <f>IF(ISNUMBER(K1642),M1642-N1642,"")</f>
        <v/>
      </c>
      <c r="P1642" s="55" t="str">
        <f>IF(COUNTA(A1642:I1642)=0,"",N(G1642)+N(H1642)+N(I1642))</f>
        <v/>
      </c>
      <c r="Q1642" s="56" t="str">
        <f>IF(COUNTA(A1642:I1642)=0,"",IF(N(IFERROR(INDEX(art_rate,MATCH(E1642,art_ref,0)),0))&gt;0,N(IFERROR(INDEX(art_rate,MATCH(E1642,art_ref,0)),0)),N(IFERROR(INDEX(po_rate,MATCH(C1642,po_code,0)),0))))</f>
        <v/>
      </c>
      <c r="R1642" s="55" t="str">
        <f>IF(AC1642=1,P1642*60/Q1642,"")</f>
        <v/>
      </c>
      <c r="S1642" s="55" t="str">
        <f>IF(AC1642=1,N(G1642)*60/Q1642,"")</f>
        <v/>
      </c>
      <c r="T1642" s="57" t="str">
        <f>IF(AC1642=1,O1642/M1642,"")</f>
        <v/>
      </c>
      <c r="U1642" s="57" t="str">
        <f>IF(AC1642=1,IF(O1642&gt;0,R1642/O1642,""),"")</f>
        <v/>
      </c>
      <c r="V1642" s="57" t="str">
        <f>IF(AC1642=1,IF(P1642&gt;0,N(G1642)/P1642,""),"")</f>
        <v/>
      </c>
      <c r="W1642" s="57" t="str">
        <f>IF(AC1642=1,S1642/M1642,"")</f>
        <v/>
      </c>
      <c r="X1642" s="57" t="str">
        <f>IF(AC1642=1,S1642/K1642,"")</f>
        <v/>
      </c>
      <c r="Y1642" s="58" t="str">
        <f>IF(W1642="","",IF(W1642&gt;=p_target,"Bon",IF(W1642&gt;=p_alert,"À surveiller","Faible")))</f>
        <v/>
      </c>
      <c r="Z1642" s="58" t="str">
        <f>IF(W1642="","",IF(MIN(IF(T1642="",1,T1642),IF(U1642="",1,U1642),IF(V1642="",1,V1642))&gt;=1,"Aucune",IF(IF(T1642="",1,T1642)&lt;=MIN(IF(U1642="",1,U1642),IF(V1642="",1,V1642)),"Disponibilité",IF(IF(U1642="",1,U1642)&lt;=IF(V1642="",1,V1642),"Performance","Qualité"))))</f>
        <v/>
      </c>
      <c r="AA1642" s="59" t="str">
        <f>IF(AC1642=1,N(H1642)*N(IFERROR(INDEX(art_cost,MATCH(E1642,art_ref,0)),0)),"")</f>
        <v/>
      </c>
      <c r="AB1642" s="58" t="str">
        <f>IF(COUNTA(A1642:I1642)=0,"",IF(N(A1642)&lt;=0,"Date manquante ou invalide",IF(B1642="","Équipe manquante",IF(ISNA(MATCH(B1642,eq_code,0)),"Équipe inconnue",IF(INDEX(eq_check,MATCH(B1642,eq_code,0))&lt;&gt;"OK","Équipe à corriger dans Paramètres",IF(C1642="","Poste manquant",IF(ISNA(MATCH(C1642,po_code,0)),"Poste inconnu",IF(AND(E1642&lt;&gt;"",ISNA(MATCH(E1642,art_ref,0))),"Article inconnu",IF(IF(E1642="",FALSE,INDEX(art_check,MATCH(E1642,art_ref,0))&lt;&gt;"OK"),"Article à corriger (feuille Articles)",IF(COUNTIFS(sj_date,A1642,sj_eq,B1642,sj_po,C1642)&gt;1,"Ligne en double (même jour, équipe et poste)",IF(OR(NOT(ISNUMBER(K1642)),N(K1642)&lt;=0,N(K1642)&gt;1440),"Temps d'ouverture invalide",IF(OR(AND(G1642&lt;&gt;"",NOT(ISNUMBER(G1642))),N(G1642)&lt;0,N(G1642)&lt;&gt;INT(N(G1642)),AND(H1642&lt;&gt;"",NOT(ISNUMBER(H1642))),N(H1642)&lt;0,N(H1642)&lt;&gt;INT(N(H1642)),AND(I1642&lt;&gt;"",NOT(ISNUMBER(I1642))),N(I1642)&lt;0,N(I1642)&lt;&gt;INT(N(I1642))),"Quantité invalide",IF(Q1642&lt;=0,"Cadence manquante (poste ou article)",IF(M1642&lt;=0,"Arrêts planifiés supérieurs au temps d'ouverture",IF(O1642&lt;0,"Arrêts supérieurs au temps requis",IF(AND(P1642&gt;0,O1642=0),"Pièces déclarées sans temps de marche",IF(AND(P1642=0,O1642&gt;0),"Aucune pièce déclarée",IF(P1642*60/Q1642&gt;O1642+0.001,"Cadence dépassée : vérifiez la cadence","OK"))))))))))))))))))</f>
        <v/>
      </c>
      <c r="AC1642">
        <f>IF(OR(AB1642="OK",AB1642="Aucune pièce déclarée",AB1642="Cadence dépassée : vérifiez la cadence"),1,0)</f>
        <v>0.0</v>
      </c>
      <c r="AD1642">
        <f>IF(AND(AC1642=1,A1642&gt;=p_from,A1642&lt;=p_to),1,0)</f>
        <v>0.0</v>
      </c>
      <c r="AE1642">
        <f>IF(AD1642=1,IF(COUNTIFS($A$6:A1642,A1642,$AD$6:AD1642,1)=1,1,0),0)</f>
        <v>0.0</v>
      </c>
      <c r="AF1642" t="str">
        <f>IF(AE1642=1,COUNTIFS(sj_first,1,sj_date,"&lt;"&amp;A1642)+1,"")</f>
        <v/>
      </c>
      <c r="AG1642" t="str">
        <f>IF(AND(AD1642=1,N(W1642)&lt;p_alert),ROUND(W1642,4),"")</f>
        <v/>
      </c>
      <c r="AH1642" t="str">
        <f>IF(AG1642="","",COUNTIF(sj_akey,"&lt;"&amp;AG1642)+COUNTIF($AG$6:AG1642,AG1642))</f>
        <v/>
      </c>
    </row>
    <row r="1643">
      <c r="A1643" s="51" t="n"/>
      <c r="B1643" s="52" t="n"/>
      <c r="C1643" s="52" t="n"/>
      <c r="D1643" s="53" t="n"/>
      <c r="E1643" s="53" t="n"/>
      <c r="F1643" s="54" t="n"/>
      <c r="G1643" s="54" t="n"/>
      <c r="H1643" s="54" t="n"/>
      <c r="I1643" s="54" t="n"/>
      <c r="J1643" s="53" t="n"/>
      <c r="K1643" s="55" t="str">
        <f>IF(COUNTA(A1643:I1643)=0,"",IF(F1643="",IFERROR(INDEX(eq_dur,MATCH(B1643,eq_code,0)),""),F1643))</f>
        <v/>
      </c>
      <c r="L1643" s="55" t="str">
        <f>IF(ISNUMBER(K1643),N(IFERROR(INDEX(eq_pause,MATCH(B1643,eq_code,0)),0))+SUMIFS(st_min,st_date,A1643,st_eq,B1643,st_po,C1643,st_type,"Planifié"),"")</f>
        <v/>
      </c>
      <c r="M1643" s="55" t="str">
        <f>IF(ISNUMBER(K1643),K1643-L1643,"")</f>
        <v/>
      </c>
      <c r="N1643" s="55" t="str">
        <f>IF(ISNUMBER(K1643),SUMIFS(st_min,st_date,A1643,st_eq,B1643,st_po,C1643,st_type,"Non planifié"),"")</f>
        <v/>
      </c>
      <c r="O1643" s="55" t="str">
        <f>IF(ISNUMBER(K1643),M1643-N1643,"")</f>
        <v/>
      </c>
      <c r="P1643" s="55" t="str">
        <f>IF(COUNTA(A1643:I1643)=0,"",N(G1643)+N(H1643)+N(I1643))</f>
        <v/>
      </c>
      <c r="Q1643" s="56" t="str">
        <f>IF(COUNTA(A1643:I1643)=0,"",IF(N(IFERROR(INDEX(art_rate,MATCH(E1643,art_ref,0)),0))&gt;0,N(IFERROR(INDEX(art_rate,MATCH(E1643,art_ref,0)),0)),N(IFERROR(INDEX(po_rate,MATCH(C1643,po_code,0)),0))))</f>
        <v/>
      </c>
      <c r="R1643" s="55" t="str">
        <f>IF(AC1643=1,P1643*60/Q1643,"")</f>
        <v/>
      </c>
      <c r="S1643" s="55" t="str">
        <f>IF(AC1643=1,N(G1643)*60/Q1643,"")</f>
        <v/>
      </c>
      <c r="T1643" s="57" t="str">
        <f>IF(AC1643=1,O1643/M1643,"")</f>
        <v/>
      </c>
      <c r="U1643" s="57" t="str">
        <f>IF(AC1643=1,IF(O1643&gt;0,R1643/O1643,""),"")</f>
        <v/>
      </c>
      <c r="V1643" s="57" t="str">
        <f>IF(AC1643=1,IF(P1643&gt;0,N(G1643)/P1643,""),"")</f>
        <v/>
      </c>
      <c r="W1643" s="57" t="str">
        <f>IF(AC1643=1,S1643/M1643,"")</f>
        <v/>
      </c>
      <c r="X1643" s="57" t="str">
        <f>IF(AC1643=1,S1643/K1643,"")</f>
        <v/>
      </c>
      <c r="Y1643" s="58" t="str">
        <f>IF(W1643="","",IF(W1643&gt;=p_target,"Bon",IF(W1643&gt;=p_alert,"À surveiller","Faible")))</f>
        <v/>
      </c>
      <c r="Z1643" s="58" t="str">
        <f>IF(W1643="","",IF(MIN(IF(T1643="",1,T1643),IF(U1643="",1,U1643),IF(V1643="",1,V1643))&gt;=1,"Aucune",IF(IF(T1643="",1,T1643)&lt;=MIN(IF(U1643="",1,U1643),IF(V1643="",1,V1643)),"Disponibilité",IF(IF(U1643="",1,U1643)&lt;=IF(V1643="",1,V1643),"Performance","Qualité"))))</f>
        <v/>
      </c>
      <c r="AA1643" s="59" t="str">
        <f>IF(AC1643=1,N(H1643)*N(IFERROR(INDEX(art_cost,MATCH(E1643,art_ref,0)),0)),"")</f>
        <v/>
      </c>
      <c r="AB1643" s="58" t="str">
        <f>IF(COUNTA(A1643:I1643)=0,"",IF(N(A1643)&lt;=0,"Date manquante ou invalide",IF(B1643="","Équipe manquante",IF(ISNA(MATCH(B1643,eq_code,0)),"Équipe inconnue",IF(INDEX(eq_check,MATCH(B1643,eq_code,0))&lt;&gt;"OK","Équipe à corriger dans Paramètres",IF(C1643="","Poste manquant",IF(ISNA(MATCH(C1643,po_code,0)),"Poste inconnu",IF(AND(E1643&lt;&gt;"",ISNA(MATCH(E1643,art_ref,0))),"Article inconnu",IF(IF(E1643="",FALSE,INDEX(art_check,MATCH(E1643,art_ref,0))&lt;&gt;"OK"),"Article à corriger (feuille Articles)",IF(COUNTIFS(sj_date,A1643,sj_eq,B1643,sj_po,C1643)&gt;1,"Ligne en double (même jour, équipe et poste)",IF(OR(NOT(ISNUMBER(K1643)),N(K1643)&lt;=0,N(K1643)&gt;1440),"Temps d'ouverture invalide",IF(OR(AND(G1643&lt;&gt;"",NOT(ISNUMBER(G1643))),N(G1643)&lt;0,N(G1643)&lt;&gt;INT(N(G1643)),AND(H1643&lt;&gt;"",NOT(ISNUMBER(H1643))),N(H1643)&lt;0,N(H1643)&lt;&gt;INT(N(H1643)),AND(I1643&lt;&gt;"",NOT(ISNUMBER(I1643))),N(I1643)&lt;0,N(I1643)&lt;&gt;INT(N(I1643))),"Quantité invalide",IF(Q1643&lt;=0,"Cadence manquante (poste ou article)",IF(M1643&lt;=0,"Arrêts planifiés supérieurs au temps d'ouverture",IF(O1643&lt;0,"Arrêts supérieurs au temps requis",IF(AND(P1643&gt;0,O1643=0),"Pièces déclarées sans temps de marche",IF(AND(P1643=0,O1643&gt;0),"Aucune pièce déclarée",IF(P1643*60/Q1643&gt;O1643+0.001,"Cadence dépassée : vérifiez la cadence","OK"))))))))))))))))))</f>
        <v/>
      </c>
      <c r="AC1643">
        <f>IF(OR(AB1643="OK",AB1643="Aucune pièce déclarée",AB1643="Cadence dépassée : vérifiez la cadence"),1,0)</f>
        <v>0.0</v>
      </c>
      <c r="AD1643">
        <f>IF(AND(AC1643=1,A1643&gt;=p_from,A1643&lt;=p_to),1,0)</f>
        <v>0.0</v>
      </c>
      <c r="AE1643">
        <f>IF(AD1643=1,IF(COUNTIFS($A$6:A1643,A1643,$AD$6:AD1643,1)=1,1,0),0)</f>
        <v>0.0</v>
      </c>
      <c r="AF1643" t="str">
        <f>IF(AE1643=1,COUNTIFS(sj_first,1,sj_date,"&lt;"&amp;A1643)+1,"")</f>
        <v/>
      </c>
      <c r="AG1643" t="str">
        <f>IF(AND(AD1643=1,N(W1643)&lt;p_alert),ROUND(W1643,4),"")</f>
        <v/>
      </c>
      <c r="AH1643" t="str">
        <f>IF(AG1643="","",COUNTIF(sj_akey,"&lt;"&amp;AG1643)+COUNTIF($AG$6:AG1643,AG1643))</f>
        <v/>
      </c>
    </row>
    <row r="1644">
      <c r="A1644" s="51" t="n"/>
      <c r="B1644" s="52" t="n"/>
      <c r="C1644" s="52" t="n"/>
      <c r="D1644" s="53" t="n"/>
      <c r="E1644" s="53" t="n"/>
      <c r="F1644" s="54" t="n"/>
      <c r="G1644" s="54" t="n"/>
      <c r="H1644" s="54" t="n"/>
      <c r="I1644" s="54" t="n"/>
      <c r="J1644" s="53" t="n"/>
      <c r="K1644" s="55" t="str">
        <f>IF(COUNTA(A1644:I1644)=0,"",IF(F1644="",IFERROR(INDEX(eq_dur,MATCH(B1644,eq_code,0)),""),F1644))</f>
        <v/>
      </c>
      <c r="L1644" s="55" t="str">
        <f>IF(ISNUMBER(K1644),N(IFERROR(INDEX(eq_pause,MATCH(B1644,eq_code,0)),0))+SUMIFS(st_min,st_date,A1644,st_eq,B1644,st_po,C1644,st_type,"Planifié"),"")</f>
        <v/>
      </c>
      <c r="M1644" s="55" t="str">
        <f>IF(ISNUMBER(K1644),K1644-L1644,"")</f>
        <v/>
      </c>
      <c r="N1644" s="55" t="str">
        <f>IF(ISNUMBER(K1644),SUMIFS(st_min,st_date,A1644,st_eq,B1644,st_po,C1644,st_type,"Non planifié"),"")</f>
        <v/>
      </c>
      <c r="O1644" s="55" t="str">
        <f>IF(ISNUMBER(K1644),M1644-N1644,"")</f>
        <v/>
      </c>
      <c r="P1644" s="55" t="str">
        <f>IF(COUNTA(A1644:I1644)=0,"",N(G1644)+N(H1644)+N(I1644))</f>
        <v/>
      </c>
      <c r="Q1644" s="56" t="str">
        <f>IF(COUNTA(A1644:I1644)=0,"",IF(N(IFERROR(INDEX(art_rate,MATCH(E1644,art_ref,0)),0))&gt;0,N(IFERROR(INDEX(art_rate,MATCH(E1644,art_ref,0)),0)),N(IFERROR(INDEX(po_rate,MATCH(C1644,po_code,0)),0))))</f>
        <v/>
      </c>
      <c r="R1644" s="55" t="str">
        <f>IF(AC1644=1,P1644*60/Q1644,"")</f>
        <v/>
      </c>
      <c r="S1644" s="55" t="str">
        <f>IF(AC1644=1,N(G1644)*60/Q1644,"")</f>
        <v/>
      </c>
      <c r="T1644" s="57" t="str">
        <f>IF(AC1644=1,O1644/M1644,"")</f>
        <v/>
      </c>
      <c r="U1644" s="57" t="str">
        <f>IF(AC1644=1,IF(O1644&gt;0,R1644/O1644,""),"")</f>
        <v/>
      </c>
      <c r="V1644" s="57" t="str">
        <f>IF(AC1644=1,IF(P1644&gt;0,N(G1644)/P1644,""),"")</f>
        <v/>
      </c>
      <c r="W1644" s="57" t="str">
        <f>IF(AC1644=1,S1644/M1644,"")</f>
        <v/>
      </c>
      <c r="X1644" s="57" t="str">
        <f>IF(AC1644=1,S1644/K1644,"")</f>
        <v/>
      </c>
      <c r="Y1644" s="58" t="str">
        <f>IF(W1644="","",IF(W1644&gt;=p_target,"Bon",IF(W1644&gt;=p_alert,"À surveiller","Faible")))</f>
        <v/>
      </c>
      <c r="Z1644" s="58" t="str">
        <f>IF(W1644="","",IF(MIN(IF(T1644="",1,T1644),IF(U1644="",1,U1644),IF(V1644="",1,V1644))&gt;=1,"Aucune",IF(IF(T1644="",1,T1644)&lt;=MIN(IF(U1644="",1,U1644),IF(V1644="",1,V1644)),"Disponibilité",IF(IF(U1644="",1,U1644)&lt;=IF(V1644="",1,V1644),"Performance","Qualité"))))</f>
        <v/>
      </c>
      <c r="AA1644" s="59" t="str">
        <f>IF(AC1644=1,N(H1644)*N(IFERROR(INDEX(art_cost,MATCH(E1644,art_ref,0)),0)),"")</f>
        <v/>
      </c>
      <c r="AB1644" s="58" t="str">
        <f>IF(COUNTA(A1644:I1644)=0,"",IF(N(A1644)&lt;=0,"Date manquante ou invalide",IF(B1644="","Équipe manquante",IF(ISNA(MATCH(B1644,eq_code,0)),"Équipe inconnue",IF(INDEX(eq_check,MATCH(B1644,eq_code,0))&lt;&gt;"OK","Équipe à corriger dans Paramètres",IF(C1644="","Poste manquant",IF(ISNA(MATCH(C1644,po_code,0)),"Poste inconnu",IF(AND(E1644&lt;&gt;"",ISNA(MATCH(E1644,art_ref,0))),"Article inconnu",IF(IF(E1644="",FALSE,INDEX(art_check,MATCH(E1644,art_ref,0))&lt;&gt;"OK"),"Article à corriger (feuille Articles)",IF(COUNTIFS(sj_date,A1644,sj_eq,B1644,sj_po,C1644)&gt;1,"Ligne en double (même jour, équipe et poste)",IF(OR(NOT(ISNUMBER(K1644)),N(K1644)&lt;=0,N(K1644)&gt;1440),"Temps d'ouverture invalide",IF(OR(AND(G1644&lt;&gt;"",NOT(ISNUMBER(G1644))),N(G1644)&lt;0,N(G1644)&lt;&gt;INT(N(G1644)),AND(H1644&lt;&gt;"",NOT(ISNUMBER(H1644))),N(H1644)&lt;0,N(H1644)&lt;&gt;INT(N(H1644)),AND(I1644&lt;&gt;"",NOT(ISNUMBER(I1644))),N(I1644)&lt;0,N(I1644)&lt;&gt;INT(N(I1644))),"Quantité invalide",IF(Q1644&lt;=0,"Cadence manquante (poste ou article)",IF(M1644&lt;=0,"Arrêts planifiés supérieurs au temps d'ouverture",IF(O1644&lt;0,"Arrêts supérieurs au temps requis",IF(AND(P1644&gt;0,O1644=0),"Pièces déclarées sans temps de marche",IF(AND(P1644=0,O1644&gt;0),"Aucune pièce déclarée",IF(P1644*60/Q1644&gt;O1644+0.001,"Cadence dépassée : vérifiez la cadence","OK"))))))))))))))))))</f>
        <v/>
      </c>
      <c r="AC1644">
        <f>IF(OR(AB1644="OK",AB1644="Aucune pièce déclarée",AB1644="Cadence dépassée : vérifiez la cadence"),1,0)</f>
        <v>0.0</v>
      </c>
      <c r="AD1644">
        <f>IF(AND(AC1644=1,A1644&gt;=p_from,A1644&lt;=p_to),1,0)</f>
        <v>0.0</v>
      </c>
      <c r="AE1644">
        <f>IF(AD1644=1,IF(COUNTIFS($A$6:A1644,A1644,$AD$6:AD1644,1)=1,1,0),0)</f>
        <v>0.0</v>
      </c>
      <c r="AF1644" t="str">
        <f>IF(AE1644=1,COUNTIFS(sj_first,1,sj_date,"&lt;"&amp;A1644)+1,"")</f>
        <v/>
      </c>
      <c r="AG1644" t="str">
        <f>IF(AND(AD1644=1,N(W1644)&lt;p_alert),ROUND(W1644,4),"")</f>
        <v/>
      </c>
      <c r="AH1644" t="str">
        <f>IF(AG1644="","",COUNTIF(sj_akey,"&lt;"&amp;AG1644)+COUNTIF($AG$6:AG1644,AG1644))</f>
        <v/>
      </c>
    </row>
    <row r="1645">
      <c r="A1645" s="51" t="n"/>
      <c r="B1645" s="52" t="n"/>
      <c r="C1645" s="52" t="n"/>
      <c r="D1645" s="53" t="n"/>
      <c r="E1645" s="53" t="n"/>
      <c r="F1645" s="54" t="n"/>
      <c r="G1645" s="54" t="n"/>
      <c r="H1645" s="54" t="n"/>
      <c r="I1645" s="54" t="n"/>
      <c r="J1645" s="53" t="n"/>
      <c r="K1645" s="55" t="str">
        <f>IF(COUNTA(A1645:I1645)=0,"",IF(F1645="",IFERROR(INDEX(eq_dur,MATCH(B1645,eq_code,0)),""),F1645))</f>
        <v/>
      </c>
      <c r="L1645" s="55" t="str">
        <f>IF(ISNUMBER(K1645),N(IFERROR(INDEX(eq_pause,MATCH(B1645,eq_code,0)),0))+SUMIFS(st_min,st_date,A1645,st_eq,B1645,st_po,C1645,st_type,"Planifié"),"")</f>
        <v/>
      </c>
      <c r="M1645" s="55" t="str">
        <f>IF(ISNUMBER(K1645),K1645-L1645,"")</f>
        <v/>
      </c>
      <c r="N1645" s="55" t="str">
        <f>IF(ISNUMBER(K1645),SUMIFS(st_min,st_date,A1645,st_eq,B1645,st_po,C1645,st_type,"Non planifié"),"")</f>
        <v/>
      </c>
      <c r="O1645" s="55" t="str">
        <f>IF(ISNUMBER(K1645),M1645-N1645,"")</f>
        <v/>
      </c>
      <c r="P1645" s="55" t="str">
        <f>IF(COUNTA(A1645:I1645)=0,"",N(G1645)+N(H1645)+N(I1645))</f>
        <v/>
      </c>
      <c r="Q1645" s="56" t="str">
        <f>IF(COUNTA(A1645:I1645)=0,"",IF(N(IFERROR(INDEX(art_rate,MATCH(E1645,art_ref,0)),0))&gt;0,N(IFERROR(INDEX(art_rate,MATCH(E1645,art_ref,0)),0)),N(IFERROR(INDEX(po_rate,MATCH(C1645,po_code,0)),0))))</f>
        <v/>
      </c>
      <c r="R1645" s="55" t="str">
        <f>IF(AC1645=1,P1645*60/Q1645,"")</f>
        <v/>
      </c>
      <c r="S1645" s="55" t="str">
        <f>IF(AC1645=1,N(G1645)*60/Q1645,"")</f>
        <v/>
      </c>
      <c r="T1645" s="57" t="str">
        <f>IF(AC1645=1,O1645/M1645,"")</f>
        <v/>
      </c>
      <c r="U1645" s="57" t="str">
        <f>IF(AC1645=1,IF(O1645&gt;0,R1645/O1645,""),"")</f>
        <v/>
      </c>
      <c r="V1645" s="57" t="str">
        <f>IF(AC1645=1,IF(P1645&gt;0,N(G1645)/P1645,""),"")</f>
        <v/>
      </c>
      <c r="W1645" s="57" t="str">
        <f>IF(AC1645=1,S1645/M1645,"")</f>
        <v/>
      </c>
      <c r="X1645" s="57" t="str">
        <f>IF(AC1645=1,S1645/K1645,"")</f>
        <v/>
      </c>
      <c r="Y1645" s="58" t="str">
        <f>IF(W1645="","",IF(W1645&gt;=p_target,"Bon",IF(W1645&gt;=p_alert,"À surveiller","Faible")))</f>
        <v/>
      </c>
      <c r="Z1645" s="58" t="str">
        <f>IF(W1645="","",IF(MIN(IF(T1645="",1,T1645),IF(U1645="",1,U1645),IF(V1645="",1,V1645))&gt;=1,"Aucune",IF(IF(T1645="",1,T1645)&lt;=MIN(IF(U1645="",1,U1645),IF(V1645="",1,V1645)),"Disponibilité",IF(IF(U1645="",1,U1645)&lt;=IF(V1645="",1,V1645),"Performance","Qualité"))))</f>
        <v/>
      </c>
      <c r="AA1645" s="59" t="str">
        <f>IF(AC1645=1,N(H1645)*N(IFERROR(INDEX(art_cost,MATCH(E1645,art_ref,0)),0)),"")</f>
        <v/>
      </c>
      <c r="AB1645" s="58" t="str">
        <f>IF(COUNTA(A1645:I1645)=0,"",IF(N(A1645)&lt;=0,"Date manquante ou invalide",IF(B1645="","Équipe manquante",IF(ISNA(MATCH(B1645,eq_code,0)),"Équipe inconnue",IF(INDEX(eq_check,MATCH(B1645,eq_code,0))&lt;&gt;"OK","Équipe à corriger dans Paramètres",IF(C1645="","Poste manquant",IF(ISNA(MATCH(C1645,po_code,0)),"Poste inconnu",IF(AND(E1645&lt;&gt;"",ISNA(MATCH(E1645,art_ref,0))),"Article inconnu",IF(IF(E1645="",FALSE,INDEX(art_check,MATCH(E1645,art_ref,0))&lt;&gt;"OK"),"Article à corriger (feuille Articles)",IF(COUNTIFS(sj_date,A1645,sj_eq,B1645,sj_po,C1645)&gt;1,"Ligne en double (même jour, équipe et poste)",IF(OR(NOT(ISNUMBER(K1645)),N(K1645)&lt;=0,N(K1645)&gt;1440),"Temps d'ouverture invalide",IF(OR(AND(G1645&lt;&gt;"",NOT(ISNUMBER(G1645))),N(G1645)&lt;0,N(G1645)&lt;&gt;INT(N(G1645)),AND(H1645&lt;&gt;"",NOT(ISNUMBER(H1645))),N(H1645)&lt;0,N(H1645)&lt;&gt;INT(N(H1645)),AND(I1645&lt;&gt;"",NOT(ISNUMBER(I1645))),N(I1645)&lt;0,N(I1645)&lt;&gt;INT(N(I1645))),"Quantité invalide",IF(Q1645&lt;=0,"Cadence manquante (poste ou article)",IF(M1645&lt;=0,"Arrêts planifiés supérieurs au temps d'ouverture",IF(O1645&lt;0,"Arrêts supérieurs au temps requis",IF(AND(P1645&gt;0,O1645=0),"Pièces déclarées sans temps de marche",IF(AND(P1645=0,O1645&gt;0),"Aucune pièce déclarée",IF(P1645*60/Q1645&gt;O1645+0.001,"Cadence dépassée : vérifiez la cadence","OK"))))))))))))))))))</f>
        <v/>
      </c>
      <c r="AC1645">
        <f>IF(OR(AB1645="OK",AB1645="Aucune pièce déclarée",AB1645="Cadence dépassée : vérifiez la cadence"),1,0)</f>
        <v>0.0</v>
      </c>
      <c r="AD1645">
        <f>IF(AND(AC1645=1,A1645&gt;=p_from,A1645&lt;=p_to),1,0)</f>
        <v>0.0</v>
      </c>
      <c r="AE1645">
        <f>IF(AD1645=1,IF(COUNTIFS($A$6:A1645,A1645,$AD$6:AD1645,1)=1,1,0),0)</f>
        <v>0.0</v>
      </c>
      <c r="AF1645" t="str">
        <f>IF(AE1645=1,COUNTIFS(sj_first,1,sj_date,"&lt;"&amp;A1645)+1,"")</f>
        <v/>
      </c>
      <c r="AG1645" t="str">
        <f>IF(AND(AD1645=1,N(W1645)&lt;p_alert),ROUND(W1645,4),"")</f>
        <v/>
      </c>
      <c r="AH1645" t="str">
        <f>IF(AG1645="","",COUNTIF(sj_akey,"&lt;"&amp;AG1645)+COUNTIF($AG$6:AG1645,AG1645))</f>
        <v/>
      </c>
    </row>
    <row r="1646">
      <c r="A1646" s="51" t="n"/>
      <c r="B1646" s="52" t="n"/>
      <c r="C1646" s="52" t="n"/>
      <c r="D1646" s="53" t="n"/>
      <c r="E1646" s="53" t="n"/>
      <c r="F1646" s="54" t="n"/>
      <c r="G1646" s="54" t="n"/>
      <c r="H1646" s="54" t="n"/>
      <c r="I1646" s="54" t="n"/>
      <c r="J1646" s="53" t="n"/>
      <c r="K1646" s="55" t="str">
        <f>IF(COUNTA(A1646:I1646)=0,"",IF(F1646="",IFERROR(INDEX(eq_dur,MATCH(B1646,eq_code,0)),""),F1646))</f>
        <v/>
      </c>
      <c r="L1646" s="55" t="str">
        <f>IF(ISNUMBER(K1646),N(IFERROR(INDEX(eq_pause,MATCH(B1646,eq_code,0)),0))+SUMIFS(st_min,st_date,A1646,st_eq,B1646,st_po,C1646,st_type,"Planifié"),"")</f>
        <v/>
      </c>
      <c r="M1646" s="55" t="str">
        <f>IF(ISNUMBER(K1646),K1646-L1646,"")</f>
        <v/>
      </c>
      <c r="N1646" s="55" t="str">
        <f>IF(ISNUMBER(K1646),SUMIFS(st_min,st_date,A1646,st_eq,B1646,st_po,C1646,st_type,"Non planifié"),"")</f>
        <v/>
      </c>
      <c r="O1646" s="55" t="str">
        <f>IF(ISNUMBER(K1646),M1646-N1646,"")</f>
        <v/>
      </c>
      <c r="P1646" s="55" t="str">
        <f>IF(COUNTA(A1646:I1646)=0,"",N(G1646)+N(H1646)+N(I1646))</f>
        <v/>
      </c>
      <c r="Q1646" s="56" t="str">
        <f>IF(COUNTA(A1646:I1646)=0,"",IF(N(IFERROR(INDEX(art_rate,MATCH(E1646,art_ref,0)),0))&gt;0,N(IFERROR(INDEX(art_rate,MATCH(E1646,art_ref,0)),0)),N(IFERROR(INDEX(po_rate,MATCH(C1646,po_code,0)),0))))</f>
        <v/>
      </c>
      <c r="R1646" s="55" t="str">
        <f>IF(AC1646=1,P1646*60/Q1646,"")</f>
        <v/>
      </c>
      <c r="S1646" s="55" t="str">
        <f>IF(AC1646=1,N(G1646)*60/Q1646,"")</f>
        <v/>
      </c>
      <c r="T1646" s="57" t="str">
        <f>IF(AC1646=1,O1646/M1646,"")</f>
        <v/>
      </c>
      <c r="U1646" s="57" t="str">
        <f>IF(AC1646=1,IF(O1646&gt;0,R1646/O1646,""),"")</f>
        <v/>
      </c>
      <c r="V1646" s="57" t="str">
        <f>IF(AC1646=1,IF(P1646&gt;0,N(G1646)/P1646,""),"")</f>
        <v/>
      </c>
      <c r="W1646" s="57" t="str">
        <f>IF(AC1646=1,S1646/M1646,"")</f>
        <v/>
      </c>
      <c r="X1646" s="57" t="str">
        <f>IF(AC1646=1,S1646/K1646,"")</f>
        <v/>
      </c>
      <c r="Y1646" s="58" t="str">
        <f>IF(W1646="","",IF(W1646&gt;=p_target,"Bon",IF(W1646&gt;=p_alert,"À surveiller","Faible")))</f>
        <v/>
      </c>
      <c r="Z1646" s="58" t="str">
        <f>IF(W1646="","",IF(MIN(IF(T1646="",1,T1646),IF(U1646="",1,U1646),IF(V1646="",1,V1646))&gt;=1,"Aucune",IF(IF(T1646="",1,T1646)&lt;=MIN(IF(U1646="",1,U1646),IF(V1646="",1,V1646)),"Disponibilité",IF(IF(U1646="",1,U1646)&lt;=IF(V1646="",1,V1646),"Performance","Qualité"))))</f>
        <v/>
      </c>
      <c r="AA1646" s="59" t="str">
        <f>IF(AC1646=1,N(H1646)*N(IFERROR(INDEX(art_cost,MATCH(E1646,art_ref,0)),0)),"")</f>
        <v/>
      </c>
      <c r="AB1646" s="58" t="str">
        <f>IF(COUNTA(A1646:I1646)=0,"",IF(N(A1646)&lt;=0,"Date manquante ou invalide",IF(B1646="","Équipe manquante",IF(ISNA(MATCH(B1646,eq_code,0)),"Équipe inconnue",IF(INDEX(eq_check,MATCH(B1646,eq_code,0))&lt;&gt;"OK","Équipe à corriger dans Paramètres",IF(C1646="","Poste manquant",IF(ISNA(MATCH(C1646,po_code,0)),"Poste inconnu",IF(AND(E1646&lt;&gt;"",ISNA(MATCH(E1646,art_ref,0))),"Article inconnu",IF(IF(E1646="",FALSE,INDEX(art_check,MATCH(E1646,art_ref,0))&lt;&gt;"OK"),"Article à corriger (feuille Articles)",IF(COUNTIFS(sj_date,A1646,sj_eq,B1646,sj_po,C1646)&gt;1,"Ligne en double (même jour, équipe et poste)",IF(OR(NOT(ISNUMBER(K1646)),N(K1646)&lt;=0,N(K1646)&gt;1440),"Temps d'ouverture invalide",IF(OR(AND(G1646&lt;&gt;"",NOT(ISNUMBER(G1646))),N(G1646)&lt;0,N(G1646)&lt;&gt;INT(N(G1646)),AND(H1646&lt;&gt;"",NOT(ISNUMBER(H1646))),N(H1646)&lt;0,N(H1646)&lt;&gt;INT(N(H1646)),AND(I1646&lt;&gt;"",NOT(ISNUMBER(I1646))),N(I1646)&lt;0,N(I1646)&lt;&gt;INT(N(I1646))),"Quantité invalide",IF(Q1646&lt;=0,"Cadence manquante (poste ou article)",IF(M1646&lt;=0,"Arrêts planifiés supérieurs au temps d'ouverture",IF(O1646&lt;0,"Arrêts supérieurs au temps requis",IF(AND(P1646&gt;0,O1646=0),"Pièces déclarées sans temps de marche",IF(AND(P1646=0,O1646&gt;0),"Aucune pièce déclarée",IF(P1646*60/Q1646&gt;O1646+0.001,"Cadence dépassée : vérifiez la cadence","OK"))))))))))))))))))</f>
        <v/>
      </c>
      <c r="AC1646">
        <f>IF(OR(AB1646="OK",AB1646="Aucune pièce déclarée",AB1646="Cadence dépassée : vérifiez la cadence"),1,0)</f>
        <v>0.0</v>
      </c>
      <c r="AD1646">
        <f>IF(AND(AC1646=1,A1646&gt;=p_from,A1646&lt;=p_to),1,0)</f>
        <v>0.0</v>
      </c>
      <c r="AE1646">
        <f>IF(AD1646=1,IF(COUNTIFS($A$6:A1646,A1646,$AD$6:AD1646,1)=1,1,0),0)</f>
        <v>0.0</v>
      </c>
      <c r="AF1646" t="str">
        <f>IF(AE1646=1,COUNTIFS(sj_first,1,sj_date,"&lt;"&amp;A1646)+1,"")</f>
        <v/>
      </c>
      <c r="AG1646" t="str">
        <f>IF(AND(AD1646=1,N(W1646)&lt;p_alert),ROUND(W1646,4),"")</f>
        <v/>
      </c>
      <c r="AH1646" t="str">
        <f>IF(AG1646="","",COUNTIF(sj_akey,"&lt;"&amp;AG1646)+COUNTIF($AG$6:AG1646,AG1646))</f>
        <v/>
      </c>
    </row>
    <row r="1647">
      <c r="A1647" s="51" t="n"/>
      <c r="B1647" s="52" t="n"/>
      <c r="C1647" s="52" t="n"/>
      <c r="D1647" s="53" t="n"/>
      <c r="E1647" s="53" t="n"/>
      <c r="F1647" s="54" t="n"/>
      <c r="G1647" s="54" t="n"/>
      <c r="H1647" s="54" t="n"/>
      <c r="I1647" s="54" t="n"/>
      <c r="J1647" s="53" t="n"/>
      <c r="K1647" s="55" t="str">
        <f>IF(COUNTA(A1647:I1647)=0,"",IF(F1647="",IFERROR(INDEX(eq_dur,MATCH(B1647,eq_code,0)),""),F1647))</f>
        <v/>
      </c>
      <c r="L1647" s="55" t="str">
        <f>IF(ISNUMBER(K1647),N(IFERROR(INDEX(eq_pause,MATCH(B1647,eq_code,0)),0))+SUMIFS(st_min,st_date,A1647,st_eq,B1647,st_po,C1647,st_type,"Planifié"),"")</f>
        <v/>
      </c>
      <c r="M1647" s="55" t="str">
        <f>IF(ISNUMBER(K1647),K1647-L1647,"")</f>
        <v/>
      </c>
      <c r="N1647" s="55" t="str">
        <f>IF(ISNUMBER(K1647),SUMIFS(st_min,st_date,A1647,st_eq,B1647,st_po,C1647,st_type,"Non planifié"),"")</f>
        <v/>
      </c>
      <c r="O1647" s="55" t="str">
        <f>IF(ISNUMBER(K1647),M1647-N1647,"")</f>
        <v/>
      </c>
      <c r="P1647" s="55" t="str">
        <f>IF(COUNTA(A1647:I1647)=0,"",N(G1647)+N(H1647)+N(I1647))</f>
        <v/>
      </c>
      <c r="Q1647" s="56" t="str">
        <f>IF(COUNTA(A1647:I1647)=0,"",IF(N(IFERROR(INDEX(art_rate,MATCH(E1647,art_ref,0)),0))&gt;0,N(IFERROR(INDEX(art_rate,MATCH(E1647,art_ref,0)),0)),N(IFERROR(INDEX(po_rate,MATCH(C1647,po_code,0)),0))))</f>
        <v/>
      </c>
      <c r="R1647" s="55" t="str">
        <f>IF(AC1647=1,P1647*60/Q1647,"")</f>
        <v/>
      </c>
      <c r="S1647" s="55" t="str">
        <f>IF(AC1647=1,N(G1647)*60/Q1647,"")</f>
        <v/>
      </c>
      <c r="T1647" s="57" t="str">
        <f>IF(AC1647=1,O1647/M1647,"")</f>
        <v/>
      </c>
      <c r="U1647" s="57" t="str">
        <f>IF(AC1647=1,IF(O1647&gt;0,R1647/O1647,""),"")</f>
        <v/>
      </c>
      <c r="V1647" s="57" t="str">
        <f>IF(AC1647=1,IF(P1647&gt;0,N(G1647)/P1647,""),"")</f>
        <v/>
      </c>
      <c r="W1647" s="57" t="str">
        <f>IF(AC1647=1,S1647/M1647,"")</f>
        <v/>
      </c>
      <c r="X1647" s="57" t="str">
        <f>IF(AC1647=1,S1647/K1647,"")</f>
        <v/>
      </c>
      <c r="Y1647" s="58" t="str">
        <f>IF(W1647="","",IF(W1647&gt;=p_target,"Bon",IF(W1647&gt;=p_alert,"À surveiller","Faible")))</f>
        <v/>
      </c>
      <c r="Z1647" s="58" t="str">
        <f>IF(W1647="","",IF(MIN(IF(T1647="",1,T1647),IF(U1647="",1,U1647),IF(V1647="",1,V1647))&gt;=1,"Aucune",IF(IF(T1647="",1,T1647)&lt;=MIN(IF(U1647="",1,U1647),IF(V1647="",1,V1647)),"Disponibilité",IF(IF(U1647="",1,U1647)&lt;=IF(V1647="",1,V1647),"Performance","Qualité"))))</f>
        <v/>
      </c>
      <c r="AA1647" s="59" t="str">
        <f>IF(AC1647=1,N(H1647)*N(IFERROR(INDEX(art_cost,MATCH(E1647,art_ref,0)),0)),"")</f>
        <v/>
      </c>
      <c r="AB1647" s="58" t="str">
        <f>IF(COUNTA(A1647:I1647)=0,"",IF(N(A1647)&lt;=0,"Date manquante ou invalide",IF(B1647="","Équipe manquante",IF(ISNA(MATCH(B1647,eq_code,0)),"Équipe inconnue",IF(INDEX(eq_check,MATCH(B1647,eq_code,0))&lt;&gt;"OK","Équipe à corriger dans Paramètres",IF(C1647="","Poste manquant",IF(ISNA(MATCH(C1647,po_code,0)),"Poste inconnu",IF(AND(E1647&lt;&gt;"",ISNA(MATCH(E1647,art_ref,0))),"Article inconnu",IF(IF(E1647="",FALSE,INDEX(art_check,MATCH(E1647,art_ref,0))&lt;&gt;"OK"),"Article à corriger (feuille Articles)",IF(COUNTIFS(sj_date,A1647,sj_eq,B1647,sj_po,C1647)&gt;1,"Ligne en double (même jour, équipe et poste)",IF(OR(NOT(ISNUMBER(K1647)),N(K1647)&lt;=0,N(K1647)&gt;1440),"Temps d'ouverture invalide",IF(OR(AND(G1647&lt;&gt;"",NOT(ISNUMBER(G1647))),N(G1647)&lt;0,N(G1647)&lt;&gt;INT(N(G1647)),AND(H1647&lt;&gt;"",NOT(ISNUMBER(H1647))),N(H1647)&lt;0,N(H1647)&lt;&gt;INT(N(H1647)),AND(I1647&lt;&gt;"",NOT(ISNUMBER(I1647))),N(I1647)&lt;0,N(I1647)&lt;&gt;INT(N(I1647))),"Quantité invalide",IF(Q1647&lt;=0,"Cadence manquante (poste ou article)",IF(M1647&lt;=0,"Arrêts planifiés supérieurs au temps d'ouverture",IF(O1647&lt;0,"Arrêts supérieurs au temps requis",IF(AND(P1647&gt;0,O1647=0),"Pièces déclarées sans temps de marche",IF(AND(P1647=0,O1647&gt;0),"Aucune pièce déclarée",IF(P1647*60/Q1647&gt;O1647+0.001,"Cadence dépassée : vérifiez la cadence","OK"))))))))))))))))))</f>
        <v/>
      </c>
      <c r="AC1647">
        <f>IF(OR(AB1647="OK",AB1647="Aucune pièce déclarée",AB1647="Cadence dépassée : vérifiez la cadence"),1,0)</f>
        <v>0.0</v>
      </c>
      <c r="AD1647">
        <f>IF(AND(AC1647=1,A1647&gt;=p_from,A1647&lt;=p_to),1,0)</f>
        <v>0.0</v>
      </c>
      <c r="AE1647">
        <f>IF(AD1647=1,IF(COUNTIFS($A$6:A1647,A1647,$AD$6:AD1647,1)=1,1,0),0)</f>
        <v>0.0</v>
      </c>
      <c r="AF1647" t="str">
        <f>IF(AE1647=1,COUNTIFS(sj_first,1,sj_date,"&lt;"&amp;A1647)+1,"")</f>
        <v/>
      </c>
      <c r="AG1647" t="str">
        <f>IF(AND(AD1647=1,N(W1647)&lt;p_alert),ROUND(W1647,4),"")</f>
        <v/>
      </c>
      <c r="AH1647" t="str">
        <f>IF(AG1647="","",COUNTIF(sj_akey,"&lt;"&amp;AG1647)+COUNTIF($AG$6:AG1647,AG1647))</f>
        <v/>
      </c>
    </row>
    <row r="1648">
      <c r="A1648" s="51" t="n"/>
      <c r="B1648" s="52" t="n"/>
      <c r="C1648" s="52" t="n"/>
      <c r="D1648" s="53" t="n"/>
      <c r="E1648" s="53" t="n"/>
      <c r="F1648" s="54" t="n"/>
      <c r="G1648" s="54" t="n"/>
      <c r="H1648" s="54" t="n"/>
      <c r="I1648" s="54" t="n"/>
      <c r="J1648" s="53" t="n"/>
      <c r="K1648" s="55" t="str">
        <f>IF(COUNTA(A1648:I1648)=0,"",IF(F1648="",IFERROR(INDEX(eq_dur,MATCH(B1648,eq_code,0)),""),F1648))</f>
        <v/>
      </c>
      <c r="L1648" s="55" t="str">
        <f>IF(ISNUMBER(K1648),N(IFERROR(INDEX(eq_pause,MATCH(B1648,eq_code,0)),0))+SUMIFS(st_min,st_date,A1648,st_eq,B1648,st_po,C1648,st_type,"Planifié"),"")</f>
        <v/>
      </c>
      <c r="M1648" s="55" t="str">
        <f>IF(ISNUMBER(K1648),K1648-L1648,"")</f>
        <v/>
      </c>
      <c r="N1648" s="55" t="str">
        <f>IF(ISNUMBER(K1648),SUMIFS(st_min,st_date,A1648,st_eq,B1648,st_po,C1648,st_type,"Non planifié"),"")</f>
        <v/>
      </c>
      <c r="O1648" s="55" t="str">
        <f>IF(ISNUMBER(K1648),M1648-N1648,"")</f>
        <v/>
      </c>
      <c r="P1648" s="55" t="str">
        <f>IF(COUNTA(A1648:I1648)=0,"",N(G1648)+N(H1648)+N(I1648))</f>
        <v/>
      </c>
      <c r="Q1648" s="56" t="str">
        <f>IF(COUNTA(A1648:I1648)=0,"",IF(N(IFERROR(INDEX(art_rate,MATCH(E1648,art_ref,0)),0))&gt;0,N(IFERROR(INDEX(art_rate,MATCH(E1648,art_ref,0)),0)),N(IFERROR(INDEX(po_rate,MATCH(C1648,po_code,0)),0))))</f>
        <v/>
      </c>
      <c r="R1648" s="55" t="str">
        <f>IF(AC1648=1,P1648*60/Q1648,"")</f>
        <v/>
      </c>
      <c r="S1648" s="55" t="str">
        <f>IF(AC1648=1,N(G1648)*60/Q1648,"")</f>
        <v/>
      </c>
      <c r="T1648" s="57" t="str">
        <f>IF(AC1648=1,O1648/M1648,"")</f>
        <v/>
      </c>
      <c r="U1648" s="57" t="str">
        <f>IF(AC1648=1,IF(O1648&gt;0,R1648/O1648,""),"")</f>
        <v/>
      </c>
      <c r="V1648" s="57" t="str">
        <f>IF(AC1648=1,IF(P1648&gt;0,N(G1648)/P1648,""),"")</f>
        <v/>
      </c>
      <c r="W1648" s="57" t="str">
        <f>IF(AC1648=1,S1648/M1648,"")</f>
        <v/>
      </c>
      <c r="X1648" s="57" t="str">
        <f>IF(AC1648=1,S1648/K1648,"")</f>
        <v/>
      </c>
      <c r="Y1648" s="58" t="str">
        <f>IF(W1648="","",IF(W1648&gt;=p_target,"Bon",IF(W1648&gt;=p_alert,"À surveiller","Faible")))</f>
        <v/>
      </c>
      <c r="Z1648" s="58" t="str">
        <f>IF(W1648="","",IF(MIN(IF(T1648="",1,T1648),IF(U1648="",1,U1648),IF(V1648="",1,V1648))&gt;=1,"Aucune",IF(IF(T1648="",1,T1648)&lt;=MIN(IF(U1648="",1,U1648),IF(V1648="",1,V1648)),"Disponibilité",IF(IF(U1648="",1,U1648)&lt;=IF(V1648="",1,V1648),"Performance","Qualité"))))</f>
        <v/>
      </c>
      <c r="AA1648" s="59" t="str">
        <f>IF(AC1648=1,N(H1648)*N(IFERROR(INDEX(art_cost,MATCH(E1648,art_ref,0)),0)),"")</f>
        <v/>
      </c>
      <c r="AB1648" s="58" t="str">
        <f>IF(COUNTA(A1648:I1648)=0,"",IF(N(A1648)&lt;=0,"Date manquante ou invalide",IF(B1648="","Équipe manquante",IF(ISNA(MATCH(B1648,eq_code,0)),"Équipe inconnue",IF(INDEX(eq_check,MATCH(B1648,eq_code,0))&lt;&gt;"OK","Équipe à corriger dans Paramètres",IF(C1648="","Poste manquant",IF(ISNA(MATCH(C1648,po_code,0)),"Poste inconnu",IF(AND(E1648&lt;&gt;"",ISNA(MATCH(E1648,art_ref,0))),"Article inconnu",IF(IF(E1648="",FALSE,INDEX(art_check,MATCH(E1648,art_ref,0))&lt;&gt;"OK"),"Article à corriger (feuille Articles)",IF(COUNTIFS(sj_date,A1648,sj_eq,B1648,sj_po,C1648)&gt;1,"Ligne en double (même jour, équipe et poste)",IF(OR(NOT(ISNUMBER(K1648)),N(K1648)&lt;=0,N(K1648)&gt;1440),"Temps d'ouverture invalide",IF(OR(AND(G1648&lt;&gt;"",NOT(ISNUMBER(G1648))),N(G1648)&lt;0,N(G1648)&lt;&gt;INT(N(G1648)),AND(H1648&lt;&gt;"",NOT(ISNUMBER(H1648))),N(H1648)&lt;0,N(H1648)&lt;&gt;INT(N(H1648)),AND(I1648&lt;&gt;"",NOT(ISNUMBER(I1648))),N(I1648)&lt;0,N(I1648)&lt;&gt;INT(N(I1648))),"Quantité invalide",IF(Q1648&lt;=0,"Cadence manquante (poste ou article)",IF(M1648&lt;=0,"Arrêts planifiés supérieurs au temps d'ouverture",IF(O1648&lt;0,"Arrêts supérieurs au temps requis",IF(AND(P1648&gt;0,O1648=0),"Pièces déclarées sans temps de marche",IF(AND(P1648=0,O1648&gt;0),"Aucune pièce déclarée",IF(P1648*60/Q1648&gt;O1648+0.001,"Cadence dépassée : vérifiez la cadence","OK"))))))))))))))))))</f>
        <v/>
      </c>
      <c r="AC1648">
        <f>IF(OR(AB1648="OK",AB1648="Aucune pièce déclarée",AB1648="Cadence dépassée : vérifiez la cadence"),1,0)</f>
        <v>0.0</v>
      </c>
      <c r="AD1648">
        <f>IF(AND(AC1648=1,A1648&gt;=p_from,A1648&lt;=p_to),1,0)</f>
        <v>0.0</v>
      </c>
      <c r="AE1648">
        <f>IF(AD1648=1,IF(COUNTIFS($A$6:A1648,A1648,$AD$6:AD1648,1)=1,1,0),0)</f>
        <v>0.0</v>
      </c>
      <c r="AF1648" t="str">
        <f>IF(AE1648=1,COUNTIFS(sj_first,1,sj_date,"&lt;"&amp;A1648)+1,"")</f>
        <v/>
      </c>
      <c r="AG1648" t="str">
        <f>IF(AND(AD1648=1,N(W1648)&lt;p_alert),ROUND(W1648,4),"")</f>
        <v/>
      </c>
      <c r="AH1648" t="str">
        <f>IF(AG1648="","",COUNTIF(sj_akey,"&lt;"&amp;AG1648)+COUNTIF($AG$6:AG1648,AG1648))</f>
        <v/>
      </c>
    </row>
    <row r="1649">
      <c r="A1649" s="51" t="n"/>
      <c r="B1649" s="52" t="n"/>
      <c r="C1649" s="52" t="n"/>
      <c r="D1649" s="53" t="n"/>
      <c r="E1649" s="53" t="n"/>
      <c r="F1649" s="54" t="n"/>
      <c r="G1649" s="54" t="n"/>
      <c r="H1649" s="54" t="n"/>
      <c r="I1649" s="54" t="n"/>
      <c r="J1649" s="53" t="n"/>
      <c r="K1649" s="55" t="str">
        <f>IF(COUNTA(A1649:I1649)=0,"",IF(F1649="",IFERROR(INDEX(eq_dur,MATCH(B1649,eq_code,0)),""),F1649))</f>
        <v/>
      </c>
      <c r="L1649" s="55" t="str">
        <f>IF(ISNUMBER(K1649),N(IFERROR(INDEX(eq_pause,MATCH(B1649,eq_code,0)),0))+SUMIFS(st_min,st_date,A1649,st_eq,B1649,st_po,C1649,st_type,"Planifié"),"")</f>
        <v/>
      </c>
      <c r="M1649" s="55" t="str">
        <f>IF(ISNUMBER(K1649),K1649-L1649,"")</f>
        <v/>
      </c>
      <c r="N1649" s="55" t="str">
        <f>IF(ISNUMBER(K1649),SUMIFS(st_min,st_date,A1649,st_eq,B1649,st_po,C1649,st_type,"Non planifié"),"")</f>
        <v/>
      </c>
      <c r="O1649" s="55" t="str">
        <f>IF(ISNUMBER(K1649),M1649-N1649,"")</f>
        <v/>
      </c>
      <c r="P1649" s="55" t="str">
        <f>IF(COUNTA(A1649:I1649)=0,"",N(G1649)+N(H1649)+N(I1649))</f>
        <v/>
      </c>
      <c r="Q1649" s="56" t="str">
        <f>IF(COUNTA(A1649:I1649)=0,"",IF(N(IFERROR(INDEX(art_rate,MATCH(E1649,art_ref,0)),0))&gt;0,N(IFERROR(INDEX(art_rate,MATCH(E1649,art_ref,0)),0)),N(IFERROR(INDEX(po_rate,MATCH(C1649,po_code,0)),0))))</f>
        <v/>
      </c>
      <c r="R1649" s="55" t="str">
        <f>IF(AC1649=1,P1649*60/Q1649,"")</f>
        <v/>
      </c>
      <c r="S1649" s="55" t="str">
        <f>IF(AC1649=1,N(G1649)*60/Q1649,"")</f>
        <v/>
      </c>
      <c r="T1649" s="57" t="str">
        <f>IF(AC1649=1,O1649/M1649,"")</f>
        <v/>
      </c>
      <c r="U1649" s="57" t="str">
        <f>IF(AC1649=1,IF(O1649&gt;0,R1649/O1649,""),"")</f>
        <v/>
      </c>
      <c r="V1649" s="57" t="str">
        <f>IF(AC1649=1,IF(P1649&gt;0,N(G1649)/P1649,""),"")</f>
        <v/>
      </c>
      <c r="W1649" s="57" t="str">
        <f>IF(AC1649=1,S1649/M1649,"")</f>
        <v/>
      </c>
      <c r="X1649" s="57" t="str">
        <f>IF(AC1649=1,S1649/K1649,"")</f>
        <v/>
      </c>
      <c r="Y1649" s="58" t="str">
        <f>IF(W1649="","",IF(W1649&gt;=p_target,"Bon",IF(W1649&gt;=p_alert,"À surveiller","Faible")))</f>
        <v/>
      </c>
      <c r="Z1649" s="58" t="str">
        <f>IF(W1649="","",IF(MIN(IF(T1649="",1,T1649),IF(U1649="",1,U1649),IF(V1649="",1,V1649))&gt;=1,"Aucune",IF(IF(T1649="",1,T1649)&lt;=MIN(IF(U1649="",1,U1649),IF(V1649="",1,V1649)),"Disponibilité",IF(IF(U1649="",1,U1649)&lt;=IF(V1649="",1,V1649),"Performance","Qualité"))))</f>
        <v/>
      </c>
      <c r="AA1649" s="59" t="str">
        <f>IF(AC1649=1,N(H1649)*N(IFERROR(INDEX(art_cost,MATCH(E1649,art_ref,0)),0)),"")</f>
        <v/>
      </c>
      <c r="AB1649" s="58" t="str">
        <f>IF(COUNTA(A1649:I1649)=0,"",IF(N(A1649)&lt;=0,"Date manquante ou invalide",IF(B1649="","Équipe manquante",IF(ISNA(MATCH(B1649,eq_code,0)),"Équipe inconnue",IF(INDEX(eq_check,MATCH(B1649,eq_code,0))&lt;&gt;"OK","Équipe à corriger dans Paramètres",IF(C1649="","Poste manquant",IF(ISNA(MATCH(C1649,po_code,0)),"Poste inconnu",IF(AND(E1649&lt;&gt;"",ISNA(MATCH(E1649,art_ref,0))),"Article inconnu",IF(IF(E1649="",FALSE,INDEX(art_check,MATCH(E1649,art_ref,0))&lt;&gt;"OK"),"Article à corriger (feuille Articles)",IF(COUNTIFS(sj_date,A1649,sj_eq,B1649,sj_po,C1649)&gt;1,"Ligne en double (même jour, équipe et poste)",IF(OR(NOT(ISNUMBER(K1649)),N(K1649)&lt;=0,N(K1649)&gt;1440),"Temps d'ouverture invalide",IF(OR(AND(G1649&lt;&gt;"",NOT(ISNUMBER(G1649))),N(G1649)&lt;0,N(G1649)&lt;&gt;INT(N(G1649)),AND(H1649&lt;&gt;"",NOT(ISNUMBER(H1649))),N(H1649)&lt;0,N(H1649)&lt;&gt;INT(N(H1649)),AND(I1649&lt;&gt;"",NOT(ISNUMBER(I1649))),N(I1649)&lt;0,N(I1649)&lt;&gt;INT(N(I1649))),"Quantité invalide",IF(Q1649&lt;=0,"Cadence manquante (poste ou article)",IF(M1649&lt;=0,"Arrêts planifiés supérieurs au temps d'ouverture",IF(O1649&lt;0,"Arrêts supérieurs au temps requis",IF(AND(P1649&gt;0,O1649=0),"Pièces déclarées sans temps de marche",IF(AND(P1649=0,O1649&gt;0),"Aucune pièce déclarée",IF(P1649*60/Q1649&gt;O1649+0.001,"Cadence dépassée : vérifiez la cadence","OK"))))))))))))))))))</f>
        <v/>
      </c>
      <c r="AC1649">
        <f>IF(OR(AB1649="OK",AB1649="Aucune pièce déclarée",AB1649="Cadence dépassée : vérifiez la cadence"),1,0)</f>
        <v>0.0</v>
      </c>
      <c r="AD1649">
        <f>IF(AND(AC1649=1,A1649&gt;=p_from,A1649&lt;=p_to),1,0)</f>
        <v>0.0</v>
      </c>
      <c r="AE1649">
        <f>IF(AD1649=1,IF(COUNTIFS($A$6:A1649,A1649,$AD$6:AD1649,1)=1,1,0),0)</f>
        <v>0.0</v>
      </c>
      <c r="AF1649" t="str">
        <f>IF(AE1649=1,COUNTIFS(sj_first,1,sj_date,"&lt;"&amp;A1649)+1,"")</f>
        <v/>
      </c>
      <c r="AG1649" t="str">
        <f>IF(AND(AD1649=1,N(W1649)&lt;p_alert),ROUND(W1649,4),"")</f>
        <v/>
      </c>
      <c r="AH1649" t="str">
        <f>IF(AG1649="","",COUNTIF(sj_akey,"&lt;"&amp;AG1649)+COUNTIF($AG$6:AG1649,AG1649))</f>
        <v/>
      </c>
    </row>
    <row r="1650">
      <c r="A1650" s="51" t="n"/>
      <c r="B1650" s="52" t="n"/>
      <c r="C1650" s="52" t="n"/>
      <c r="D1650" s="53" t="n"/>
      <c r="E1650" s="53" t="n"/>
      <c r="F1650" s="54" t="n"/>
      <c r="G1650" s="54" t="n"/>
      <c r="H1650" s="54" t="n"/>
      <c r="I1650" s="54" t="n"/>
      <c r="J1650" s="53" t="n"/>
      <c r="K1650" s="55" t="str">
        <f>IF(COUNTA(A1650:I1650)=0,"",IF(F1650="",IFERROR(INDEX(eq_dur,MATCH(B1650,eq_code,0)),""),F1650))</f>
        <v/>
      </c>
      <c r="L1650" s="55" t="str">
        <f>IF(ISNUMBER(K1650),N(IFERROR(INDEX(eq_pause,MATCH(B1650,eq_code,0)),0))+SUMIFS(st_min,st_date,A1650,st_eq,B1650,st_po,C1650,st_type,"Planifié"),"")</f>
        <v/>
      </c>
      <c r="M1650" s="55" t="str">
        <f>IF(ISNUMBER(K1650),K1650-L1650,"")</f>
        <v/>
      </c>
      <c r="N1650" s="55" t="str">
        <f>IF(ISNUMBER(K1650),SUMIFS(st_min,st_date,A1650,st_eq,B1650,st_po,C1650,st_type,"Non planifié"),"")</f>
        <v/>
      </c>
      <c r="O1650" s="55" t="str">
        <f>IF(ISNUMBER(K1650),M1650-N1650,"")</f>
        <v/>
      </c>
      <c r="P1650" s="55" t="str">
        <f>IF(COUNTA(A1650:I1650)=0,"",N(G1650)+N(H1650)+N(I1650))</f>
        <v/>
      </c>
      <c r="Q1650" s="56" t="str">
        <f>IF(COUNTA(A1650:I1650)=0,"",IF(N(IFERROR(INDEX(art_rate,MATCH(E1650,art_ref,0)),0))&gt;0,N(IFERROR(INDEX(art_rate,MATCH(E1650,art_ref,0)),0)),N(IFERROR(INDEX(po_rate,MATCH(C1650,po_code,0)),0))))</f>
        <v/>
      </c>
      <c r="R1650" s="55" t="str">
        <f>IF(AC1650=1,P1650*60/Q1650,"")</f>
        <v/>
      </c>
      <c r="S1650" s="55" t="str">
        <f>IF(AC1650=1,N(G1650)*60/Q1650,"")</f>
        <v/>
      </c>
      <c r="T1650" s="57" t="str">
        <f>IF(AC1650=1,O1650/M1650,"")</f>
        <v/>
      </c>
      <c r="U1650" s="57" t="str">
        <f>IF(AC1650=1,IF(O1650&gt;0,R1650/O1650,""),"")</f>
        <v/>
      </c>
      <c r="V1650" s="57" t="str">
        <f>IF(AC1650=1,IF(P1650&gt;0,N(G1650)/P1650,""),"")</f>
        <v/>
      </c>
      <c r="W1650" s="57" t="str">
        <f>IF(AC1650=1,S1650/M1650,"")</f>
        <v/>
      </c>
      <c r="X1650" s="57" t="str">
        <f>IF(AC1650=1,S1650/K1650,"")</f>
        <v/>
      </c>
      <c r="Y1650" s="58" t="str">
        <f>IF(W1650="","",IF(W1650&gt;=p_target,"Bon",IF(W1650&gt;=p_alert,"À surveiller","Faible")))</f>
        <v/>
      </c>
      <c r="Z1650" s="58" t="str">
        <f>IF(W1650="","",IF(MIN(IF(T1650="",1,T1650),IF(U1650="",1,U1650),IF(V1650="",1,V1650))&gt;=1,"Aucune",IF(IF(T1650="",1,T1650)&lt;=MIN(IF(U1650="",1,U1650),IF(V1650="",1,V1650)),"Disponibilité",IF(IF(U1650="",1,U1650)&lt;=IF(V1650="",1,V1650),"Performance","Qualité"))))</f>
        <v/>
      </c>
      <c r="AA1650" s="59" t="str">
        <f>IF(AC1650=1,N(H1650)*N(IFERROR(INDEX(art_cost,MATCH(E1650,art_ref,0)),0)),"")</f>
        <v/>
      </c>
      <c r="AB1650" s="58" t="str">
        <f>IF(COUNTA(A1650:I1650)=0,"",IF(N(A1650)&lt;=0,"Date manquante ou invalide",IF(B1650="","Équipe manquante",IF(ISNA(MATCH(B1650,eq_code,0)),"Équipe inconnue",IF(INDEX(eq_check,MATCH(B1650,eq_code,0))&lt;&gt;"OK","Équipe à corriger dans Paramètres",IF(C1650="","Poste manquant",IF(ISNA(MATCH(C1650,po_code,0)),"Poste inconnu",IF(AND(E1650&lt;&gt;"",ISNA(MATCH(E1650,art_ref,0))),"Article inconnu",IF(IF(E1650="",FALSE,INDEX(art_check,MATCH(E1650,art_ref,0))&lt;&gt;"OK"),"Article à corriger (feuille Articles)",IF(COUNTIFS(sj_date,A1650,sj_eq,B1650,sj_po,C1650)&gt;1,"Ligne en double (même jour, équipe et poste)",IF(OR(NOT(ISNUMBER(K1650)),N(K1650)&lt;=0,N(K1650)&gt;1440),"Temps d'ouverture invalide",IF(OR(AND(G1650&lt;&gt;"",NOT(ISNUMBER(G1650))),N(G1650)&lt;0,N(G1650)&lt;&gt;INT(N(G1650)),AND(H1650&lt;&gt;"",NOT(ISNUMBER(H1650))),N(H1650)&lt;0,N(H1650)&lt;&gt;INT(N(H1650)),AND(I1650&lt;&gt;"",NOT(ISNUMBER(I1650))),N(I1650)&lt;0,N(I1650)&lt;&gt;INT(N(I1650))),"Quantité invalide",IF(Q1650&lt;=0,"Cadence manquante (poste ou article)",IF(M1650&lt;=0,"Arrêts planifiés supérieurs au temps d'ouverture",IF(O1650&lt;0,"Arrêts supérieurs au temps requis",IF(AND(P1650&gt;0,O1650=0),"Pièces déclarées sans temps de marche",IF(AND(P1650=0,O1650&gt;0),"Aucune pièce déclarée",IF(P1650*60/Q1650&gt;O1650+0.001,"Cadence dépassée : vérifiez la cadence","OK"))))))))))))))))))</f>
        <v/>
      </c>
      <c r="AC1650">
        <f>IF(OR(AB1650="OK",AB1650="Aucune pièce déclarée",AB1650="Cadence dépassée : vérifiez la cadence"),1,0)</f>
        <v>0.0</v>
      </c>
      <c r="AD1650">
        <f>IF(AND(AC1650=1,A1650&gt;=p_from,A1650&lt;=p_to),1,0)</f>
        <v>0.0</v>
      </c>
      <c r="AE1650">
        <f>IF(AD1650=1,IF(COUNTIFS($A$6:A1650,A1650,$AD$6:AD1650,1)=1,1,0),0)</f>
        <v>0.0</v>
      </c>
      <c r="AF1650" t="str">
        <f>IF(AE1650=1,COUNTIFS(sj_first,1,sj_date,"&lt;"&amp;A1650)+1,"")</f>
        <v/>
      </c>
      <c r="AG1650" t="str">
        <f>IF(AND(AD1650=1,N(W1650)&lt;p_alert),ROUND(W1650,4),"")</f>
        <v/>
      </c>
      <c r="AH1650" t="str">
        <f>IF(AG1650="","",COUNTIF(sj_akey,"&lt;"&amp;AG1650)+COUNTIF($AG$6:AG1650,AG1650))</f>
        <v/>
      </c>
    </row>
    <row r="1651">
      <c r="A1651" s="51" t="n"/>
      <c r="B1651" s="52" t="n"/>
      <c r="C1651" s="52" t="n"/>
      <c r="D1651" s="53" t="n"/>
      <c r="E1651" s="53" t="n"/>
      <c r="F1651" s="54" t="n"/>
      <c r="G1651" s="54" t="n"/>
      <c r="H1651" s="54" t="n"/>
      <c r="I1651" s="54" t="n"/>
      <c r="J1651" s="53" t="n"/>
      <c r="K1651" s="55" t="str">
        <f>IF(COUNTA(A1651:I1651)=0,"",IF(F1651="",IFERROR(INDEX(eq_dur,MATCH(B1651,eq_code,0)),""),F1651))</f>
        <v/>
      </c>
      <c r="L1651" s="55" t="str">
        <f>IF(ISNUMBER(K1651),N(IFERROR(INDEX(eq_pause,MATCH(B1651,eq_code,0)),0))+SUMIFS(st_min,st_date,A1651,st_eq,B1651,st_po,C1651,st_type,"Planifié"),"")</f>
        <v/>
      </c>
      <c r="M1651" s="55" t="str">
        <f>IF(ISNUMBER(K1651),K1651-L1651,"")</f>
        <v/>
      </c>
      <c r="N1651" s="55" t="str">
        <f>IF(ISNUMBER(K1651),SUMIFS(st_min,st_date,A1651,st_eq,B1651,st_po,C1651,st_type,"Non planifié"),"")</f>
        <v/>
      </c>
      <c r="O1651" s="55" t="str">
        <f>IF(ISNUMBER(K1651),M1651-N1651,"")</f>
        <v/>
      </c>
      <c r="P1651" s="55" t="str">
        <f>IF(COUNTA(A1651:I1651)=0,"",N(G1651)+N(H1651)+N(I1651))</f>
        <v/>
      </c>
      <c r="Q1651" s="56" t="str">
        <f>IF(COUNTA(A1651:I1651)=0,"",IF(N(IFERROR(INDEX(art_rate,MATCH(E1651,art_ref,0)),0))&gt;0,N(IFERROR(INDEX(art_rate,MATCH(E1651,art_ref,0)),0)),N(IFERROR(INDEX(po_rate,MATCH(C1651,po_code,0)),0))))</f>
        <v/>
      </c>
      <c r="R1651" s="55" t="str">
        <f>IF(AC1651=1,P1651*60/Q1651,"")</f>
        <v/>
      </c>
      <c r="S1651" s="55" t="str">
        <f>IF(AC1651=1,N(G1651)*60/Q1651,"")</f>
        <v/>
      </c>
      <c r="T1651" s="57" t="str">
        <f>IF(AC1651=1,O1651/M1651,"")</f>
        <v/>
      </c>
      <c r="U1651" s="57" t="str">
        <f>IF(AC1651=1,IF(O1651&gt;0,R1651/O1651,""),"")</f>
        <v/>
      </c>
      <c r="V1651" s="57" t="str">
        <f>IF(AC1651=1,IF(P1651&gt;0,N(G1651)/P1651,""),"")</f>
        <v/>
      </c>
      <c r="W1651" s="57" t="str">
        <f>IF(AC1651=1,S1651/M1651,"")</f>
        <v/>
      </c>
      <c r="X1651" s="57" t="str">
        <f>IF(AC1651=1,S1651/K1651,"")</f>
        <v/>
      </c>
      <c r="Y1651" s="58" t="str">
        <f>IF(W1651="","",IF(W1651&gt;=p_target,"Bon",IF(W1651&gt;=p_alert,"À surveiller","Faible")))</f>
        <v/>
      </c>
      <c r="Z1651" s="58" t="str">
        <f>IF(W1651="","",IF(MIN(IF(T1651="",1,T1651),IF(U1651="",1,U1651),IF(V1651="",1,V1651))&gt;=1,"Aucune",IF(IF(T1651="",1,T1651)&lt;=MIN(IF(U1651="",1,U1651),IF(V1651="",1,V1651)),"Disponibilité",IF(IF(U1651="",1,U1651)&lt;=IF(V1651="",1,V1651),"Performance","Qualité"))))</f>
        <v/>
      </c>
      <c r="AA1651" s="59" t="str">
        <f>IF(AC1651=1,N(H1651)*N(IFERROR(INDEX(art_cost,MATCH(E1651,art_ref,0)),0)),"")</f>
        <v/>
      </c>
      <c r="AB1651" s="58" t="str">
        <f>IF(COUNTA(A1651:I1651)=0,"",IF(N(A1651)&lt;=0,"Date manquante ou invalide",IF(B1651="","Équipe manquante",IF(ISNA(MATCH(B1651,eq_code,0)),"Équipe inconnue",IF(INDEX(eq_check,MATCH(B1651,eq_code,0))&lt;&gt;"OK","Équipe à corriger dans Paramètres",IF(C1651="","Poste manquant",IF(ISNA(MATCH(C1651,po_code,0)),"Poste inconnu",IF(AND(E1651&lt;&gt;"",ISNA(MATCH(E1651,art_ref,0))),"Article inconnu",IF(IF(E1651="",FALSE,INDEX(art_check,MATCH(E1651,art_ref,0))&lt;&gt;"OK"),"Article à corriger (feuille Articles)",IF(COUNTIFS(sj_date,A1651,sj_eq,B1651,sj_po,C1651)&gt;1,"Ligne en double (même jour, équipe et poste)",IF(OR(NOT(ISNUMBER(K1651)),N(K1651)&lt;=0,N(K1651)&gt;1440),"Temps d'ouverture invalide",IF(OR(AND(G1651&lt;&gt;"",NOT(ISNUMBER(G1651))),N(G1651)&lt;0,N(G1651)&lt;&gt;INT(N(G1651)),AND(H1651&lt;&gt;"",NOT(ISNUMBER(H1651))),N(H1651)&lt;0,N(H1651)&lt;&gt;INT(N(H1651)),AND(I1651&lt;&gt;"",NOT(ISNUMBER(I1651))),N(I1651)&lt;0,N(I1651)&lt;&gt;INT(N(I1651))),"Quantité invalide",IF(Q1651&lt;=0,"Cadence manquante (poste ou article)",IF(M1651&lt;=0,"Arrêts planifiés supérieurs au temps d'ouverture",IF(O1651&lt;0,"Arrêts supérieurs au temps requis",IF(AND(P1651&gt;0,O1651=0),"Pièces déclarées sans temps de marche",IF(AND(P1651=0,O1651&gt;0),"Aucune pièce déclarée",IF(P1651*60/Q1651&gt;O1651+0.001,"Cadence dépassée : vérifiez la cadence","OK"))))))))))))))))))</f>
        <v/>
      </c>
      <c r="AC1651">
        <f>IF(OR(AB1651="OK",AB1651="Aucune pièce déclarée",AB1651="Cadence dépassée : vérifiez la cadence"),1,0)</f>
        <v>0.0</v>
      </c>
      <c r="AD1651">
        <f>IF(AND(AC1651=1,A1651&gt;=p_from,A1651&lt;=p_to),1,0)</f>
        <v>0.0</v>
      </c>
      <c r="AE1651">
        <f>IF(AD1651=1,IF(COUNTIFS($A$6:A1651,A1651,$AD$6:AD1651,1)=1,1,0),0)</f>
        <v>0.0</v>
      </c>
      <c r="AF1651" t="str">
        <f>IF(AE1651=1,COUNTIFS(sj_first,1,sj_date,"&lt;"&amp;A1651)+1,"")</f>
        <v/>
      </c>
      <c r="AG1651" t="str">
        <f>IF(AND(AD1651=1,N(W1651)&lt;p_alert),ROUND(W1651,4),"")</f>
        <v/>
      </c>
      <c r="AH1651" t="str">
        <f>IF(AG1651="","",COUNTIF(sj_akey,"&lt;"&amp;AG1651)+COUNTIF($AG$6:AG1651,AG1651))</f>
        <v/>
      </c>
    </row>
    <row r="1652">
      <c r="A1652" s="51" t="n"/>
      <c r="B1652" s="52" t="n"/>
      <c r="C1652" s="52" t="n"/>
      <c r="D1652" s="53" t="n"/>
      <c r="E1652" s="53" t="n"/>
      <c r="F1652" s="54" t="n"/>
      <c r="G1652" s="54" t="n"/>
      <c r="H1652" s="54" t="n"/>
      <c r="I1652" s="54" t="n"/>
      <c r="J1652" s="53" t="n"/>
      <c r="K1652" s="55" t="str">
        <f>IF(COUNTA(A1652:I1652)=0,"",IF(F1652="",IFERROR(INDEX(eq_dur,MATCH(B1652,eq_code,0)),""),F1652))</f>
        <v/>
      </c>
      <c r="L1652" s="55" t="str">
        <f>IF(ISNUMBER(K1652),N(IFERROR(INDEX(eq_pause,MATCH(B1652,eq_code,0)),0))+SUMIFS(st_min,st_date,A1652,st_eq,B1652,st_po,C1652,st_type,"Planifié"),"")</f>
        <v/>
      </c>
      <c r="M1652" s="55" t="str">
        <f>IF(ISNUMBER(K1652),K1652-L1652,"")</f>
        <v/>
      </c>
      <c r="N1652" s="55" t="str">
        <f>IF(ISNUMBER(K1652),SUMIFS(st_min,st_date,A1652,st_eq,B1652,st_po,C1652,st_type,"Non planifié"),"")</f>
        <v/>
      </c>
      <c r="O1652" s="55" t="str">
        <f>IF(ISNUMBER(K1652),M1652-N1652,"")</f>
        <v/>
      </c>
      <c r="P1652" s="55" t="str">
        <f>IF(COUNTA(A1652:I1652)=0,"",N(G1652)+N(H1652)+N(I1652))</f>
        <v/>
      </c>
      <c r="Q1652" s="56" t="str">
        <f>IF(COUNTA(A1652:I1652)=0,"",IF(N(IFERROR(INDEX(art_rate,MATCH(E1652,art_ref,0)),0))&gt;0,N(IFERROR(INDEX(art_rate,MATCH(E1652,art_ref,0)),0)),N(IFERROR(INDEX(po_rate,MATCH(C1652,po_code,0)),0))))</f>
        <v/>
      </c>
      <c r="R1652" s="55" t="str">
        <f>IF(AC1652=1,P1652*60/Q1652,"")</f>
        <v/>
      </c>
      <c r="S1652" s="55" t="str">
        <f>IF(AC1652=1,N(G1652)*60/Q1652,"")</f>
        <v/>
      </c>
      <c r="T1652" s="57" t="str">
        <f>IF(AC1652=1,O1652/M1652,"")</f>
        <v/>
      </c>
      <c r="U1652" s="57" t="str">
        <f>IF(AC1652=1,IF(O1652&gt;0,R1652/O1652,""),"")</f>
        <v/>
      </c>
      <c r="V1652" s="57" t="str">
        <f>IF(AC1652=1,IF(P1652&gt;0,N(G1652)/P1652,""),"")</f>
        <v/>
      </c>
      <c r="W1652" s="57" t="str">
        <f>IF(AC1652=1,S1652/M1652,"")</f>
        <v/>
      </c>
      <c r="X1652" s="57" t="str">
        <f>IF(AC1652=1,S1652/K1652,"")</f>
        <v/>
      </c>
      <c r="Y1652" s="58" t="str">
        <f>IF(W1652="","",IF(W1652&gt;=p_target,"Bon",IF(W1652&gt;=p_alert,"À surveiller","Faible")))</f>
        <v/>
      </c>
      <c r="Z1652" s="58" t="str">
        <f>IF(W1652="","",IF(MIN(IF(T1652="",1,T1652),IF(U1652="",1,U1652),IF(V1652="",1,V1652))&gt;=1,"Aucune",IF(IF(T1652="",1,T1652)&lt;=MIN(IF(U1652="",1,U1652),IF(V1652="",1,V1652)),"Disponibilité",IF(IF(U1652="",1,U1652)&lt;=IF(V1652="",1,V1652),"Performance","Qualité"))))</f>
        <v/>
      </c>
      <c r="AA1652" s="59" t="str">
        <f>IF(AC1652=1,N(H1652)*N(IFERROR(INDEX(art_cost,MATCH(E1652,art_ref,0)),0)),"")</f>
        <v/>
      </c>
      <c r="AB1652" s="58" t="str">
        <f>IF(COUNTA(A1652:I1652)=0,"",IF(N(A1652)&lt;=0,"Date manquante ou invalide",IF(B1652="","Équipe manquante",IF(ISNA(MATCH(B1652,eq_code,0)),"Équipe inconnue",IF(INDEX(eq_check,MATCH(B1652,eq_code,0))&lt;&gt;"OK","Équipe à corriger dans Paramètres",IF(C1652="","Poste manquant",IF(ISNA(MATCH(C1652,po_code,0)),"Poste inconnu",IF(AND(E1652&lt;&gt;"",ISNA(MATCH(E1652,art_ref,0))),"Article inconnu",IF(IF(E1652="",FALSE,INDEX(art_check,MATCH(E1652,art_ref,0))&lt;&gt;"OK"),"Article à corriger (feuille Articles)",IF(COUNTIFS(sj_date,A1652,sj_eq,B1652,sj_po,C1652)&gt;1,"Ligne en double (même jour, équipe et poste)",IF(OR(NOT(ISNUMBER(K1652)),N(K1652)&lt;=0,N(K1652)&gt;1440),"Temps d'ouverture invalide",IF(OR(AND(G1652&lt;&gt;"",NOT(ISNUMBER(G1652))),N(G1652)&lt;0,N(G1652)&lt;&gt;INT(N(G1652)),AND(H1652&lt;&gt;"",NOT(ISNUMBER(H1652))),N(H1652)&lt;0,N(H1652)&lt;&gt;INT(N(H1652)),AND(I1652&lt;&gt;"",NOT(ISNUMBER(I1652))),N(I1652)&lt;0,N(I1652)&lt;&gt;INT(N(I1652))),"Quantité invalide",IF(Q1652&lt;=0,"Cadence manquante (poste ou article)",IF(M1652&lt;=0,"Arrêts planifiés supérieurs au temps d'ouverture",IF(O1652&lt;0,"Arrêts supérieurs au temps requis",IF(AND(P1652&gt;0,O1652=0),"Pièces déclarées sans temps de marche",IF(AND(P1652=0,O1652&gt;0),"Aucune pièce déclarée",IF(P1652*60/Q1652&gt;O1652+0.001,"Cadence dépassée : vérifiez la cadence","OK"))))))))))))))))))</f>
        <v/>
      </c>
      <c r="AC1652">
        <f>IF(OR(AB1652="OK",AB1652="Aucune pièce déclarée",AB1652="Cadence dépassée : vérifiez la cadence"),1,0)</f>
        <v>0.0</v>
      </c>
      <c r="AD1652">
        <f>IF(AND(AC1652=1,A1652&gt;=p_from,A1652&lt;=p_to),1,0)</f>
        <v>0.0</v>
      </c>
      <c r="AE1652">
        <f>IF(AD1652=1,IF(COUNTIFS($A$6:A1652,A1652,$AD$6:AD1652,1)=1,1,0),0)</f>
        <v>0.0</v>
      </c>
      <c r="AF1652" t="str">
        <f>IF(AE1652=1,COUNTIFS(sj_first,1,sj_date,"&lt;"&amp;A1652)+1,"")</f>
        <v/>
      </c>
      <c r="AG1652" t="str">
        <f>IF(AND(AD1652=1,N(W1652)&lt;p_alert),ROUND(W1652,4),"")</f>
        <v/>
      </c>
      <c r="AH1652" t="str">
        <f>IF(AG1652="","",COUNTIF(sj_akey,"&lt;"&amp;AG1652)+COUNTIF($AG$6:AG1652,AG1652))</f>
        <v/>
      </c>
    </row>
    <row r="1653">
      <c r="A1653" s="51" t="n"/>
      <c r="B1653" s="52" t="n"/>
      <c r="C1653" s="52" t="n"/>
      <c r="D1653" s="53" t="n"/>
      <c r="E1653" s="53" t="n"/>
      <c r="F1653" s="54" t="n"/>
      <c r="G1653" s="54" t="n"/>
      <c r="H1653" s="54" t="n"/>
      <c r="I1653" s="54" t="n"/>
      <c r="J1653" s="53" t="n"/>
      <c r="K1653" s="55" t="str">
        <f>IF(COUNTA(A1653:I1653)=0,"",IF(F1653="",IFERROR(INDEX(eq_dur,MATCH(B1653,eq_code,0)),""),F1653))</f>
        <v/>
      </c>
      <c r="L1653" s="55" t="str">
        <f>IF(ISNUMBER(K1653),N(IFERROR(INDEX(eq_pause,MATCH(B1653,eq_code,0)),0))+SUMIFS(st_min,st_date,A1653,st_eq,B1653,st_po,C1653,st_type,"Planifié"),"")</f>
        <v/>
      </c>
      <c r="M1653" s="55" t="str">
        <f>IF(ISNUMBER(K1653),K1653-L1653,"")</f>
        <v/>
      </c>
      <c r="N1653" s="55" t="str">
        <f>IF(ISNUMBER(K1653),SUMIFS(st_min,st_date,A1653,st_eq,B1653,st_po,C1653,st_type,"Non planifié"),"")</f>
        <v/>
      </c>
      <c r="O1653" s="55" t="str">
        <f>IF(ISNUMBER(K1653),M1653-N1653,"")</f>
        <v/>
      </c>
      <c r="P1653" s="55" t="str">
        <f>IF(COUNTA(A1653:I1653)=0,"",N(G1653)+N(H1653)+N(I1653))</f>
        <v/>
      </c>
      <c r="Q1653" s="56" t="str">
        <f>IF(COUNTA(A1653:I1653)=0,"",IF(N(IFERROR(INDEX(art_rate,MATCH(E1653,art_ref,0)),0))&gt;0,N(IFERROR(INDEX(art_rate,MATCH(E1653,art_ref,0)),0)),N(IFERROR(INDEX(po_rate,MATCH(C1653,po_code,0)),0))))</f>
        <v/>
      </c>
      <c r="R1653" s="55" t="str">
        <f>IF(AC1653=1,P1653*60/Q1653,"")</f>
        <v/>
      </c>
      <c r="S1653" s="55" t="str">
        <f>IF(AC1653=1,N(G1653)*60/Q1653,"")</f>
        <v/>
      </c>
      <c r="T1653" s="57" t="str">
        <f>IF(AC1653=1,O1653/M1653,"")</f>
        <v/>
      </c>
      <c r="U1653" s="57" t="str">
        <f>IF(AC1653=1,IF(O1653&gt;0,R1653/O1653,""),"")</f>
        <v/>
      </c>
      <c r="V1653" s="57" t="str">
        <f>IF(AC1653=1,IF(P1653&gt;0,N(G1653)/P1653,""),"")</f>
        <v/>
      </c>
      <c r="W1653" s="57" t="str">
        <f>IF(AC1653=1,S1653/M1653,"")</f>
        <v/>
      </c>
      <c r="X1653" s="57" t="str">
        <f>IF(AC1653=1,S1653/K1653,"")</f>
        <v/>
      </c>
      <c r="Y1653" s="58" t="str">
        <f>IF(W1653="","",IF(W1653&gt;=p_target,"Bon",IF(W1653&gt;=p_alert,"À surveiller","Faible")))</f>
        <v/>
      </c>
      <c r="Z1653" s="58" t="str">
        <f>IF(W1653="","",IF(MIN(IF(T1653="",1,T1653),IF(U1653="",1,U1653),IF(V1653="",1,V1653))&gt;=1,"Aucune",IF(IF(T1653="",1,T1653)&lt;=MIN(IF(U1653="",1,U1653),IF(V1653="",1,V1653)),"Disponibilité",IF(IF(U1653="",1,U1653)&lt;=IF(V1653="",1,V1653),"Performance","Qualité"))))</f>
        <v/>
      </c>
      <c r="AA1653" s="59" t="str">
        <f>IF(AC1653=1,N(H1653)*N(IFERROR(INDEX(art_cost,MATCH(E1653,art_ref,0)),0)),"")</f>
        <v/>
      </c>
      <c r="AB1653" s="58" t="str">
        <f>IF(COUNTA(A1653:I1653)=0,"",IF(N(A1653)&lt;=0,"Date manquante ou invalide",IF(B1653="","Équipe manquante",IF(ISNA(MATCH(B1653,eq_code,0)),"Équipe inconnue",IF(INDEX(eq_check,MATCH(B1653,eq_code,0))&lt;&gt;"OK","Équipe à corriger dans Paramètres",IF(C1653="","Poste manquant",IF(ISNA(MATCH(C1653,po_code,0)),"Poste inconnu",IF(AND(E1653&lt;&gt;"",ISNA(MATCH(E1653,art_ref,0))),"Article inconnu",IF(IF(E1653="",FALSE,INDEX(art_check,MATCH(E1653,art_ref,0))&lt;&gt;"OK"),"Article à corriger (feuille Articles)",IF(COUNTIFS(sj_date,A1653,sj_eq,B1653,sj_po,C1653)&gt;1,"Ligne en double (même jour, équipe et poste)",IF(OR(NOT(ISNUMBER(K1653)),N(K1653)&lt;=0,N(K1653)&gt;1440),"Temps d'ouverture invalide",IF(OR(AND(G1653&lt;&gt;"",NOT(ISNUMBER(G1653))),N(G1653)&lt;0,N(G1653)&lt;&gt;INT(N(G1653)),AND(H1653&lt;&gt;"",NOT(ISNUMBER(H1653))),N(H1653)&lt;0,N(H1653)&lt;&gt;INT(N(H1653)),AND(I1653&lt;&gt;"",NOT(ISNUMBER(I1653))),N(I1653)&lt;0,N(I1653)&lt;&gt;INT(N(I1653))),"Quantité invalide",IF(Q1653&lt;=0,"Cadence manquante (poste ou article)",IF(M1653&lt;=0,"Arrêts planifiés supérieurs au temps d'ouverture",IF(O1653&lt;0,"Arrêts supérieurs au temps requis",IF(AND(P1653&gt;0,O1653=0),"Pièces déclarées sans temps de marche",IF(AND(P1653=0,O1653&gt;0),"Aucune pièce déclarée",IF(P1653*60/Q1653&gt;O1653+0.001,"Cadence dépassée : vérifiez la cadence","OK"))))))))))))))))))</f>
        <v/>
      </c>
      <c r="AC1653">
        <f>IF(OR(AB1653="OK",AB1653="Aucune pièce déclarée",AB1653="Cadence dépassée : vérifiez la cadence"),1,0)</f>
        <v>0.0</v>
      </c>
      <c r="AD1653">
        <f>IF(AND(AC1653=1,A1653&gt;=p_from,A1653&lt;=p_to),1,0)</f>
        <v>0.0</v>
      </c>
      <c r="AE1653">
        <f>IF(AD1653=1,IF(COUNTIFS($A$6:A1653,A1653,$AD$6:AD1653,1)=1,1,0),0)</f>
        <v>0.0</v>
      </c>
      <c r="AF1653" t="str">
        <f>IF(AE1653=1,COUNTIFS(sj_first,1,sj_date,"&lt;"&amp;A1653)+1,"")</f>
        <v/>
      </c>
      <c r="AG1653" t="str">
        <f>IF(AND(AD1653=1,N(W1653)&lt;p_alert),ROUND(W1653,4),"")</f>
        <v/>
      </c>
      <c r="AH1653" t="str">
        <f>IF(AG1653="","",COUNTIF(sj_akey,"&lt;"&amp;AG1653)+COUNTIF($AG$6:AG1653,AG1653))</f>
        <v/>
      </c>
    </row>
    <row r="1654">
      <c r="A1654" s="51" t="n"/>
      <c r="B1654" s="52" t="n"/>
      <c r="C1654" s="52" t="n"/>
      <c r="D1654" s="53" t="n"/>
      <c r="E1654" s="53" t="n"/>
      <c r="F1654" s="54" t="n"/>
      <c r="G1654" s="54" t="n"/>
      <c r="H1654" s="54" t="n"/>
      <c r="I1654" s="54" t="n"/>
      <c r="J1654" s="53" t="n"/>
      <c r="K1654" s="55" t="str">
        <f>IF(COUNTA(A1654:I1654)=0,"",IF(F1654="",IFERROR(INDEX(eq_dur,MATCH(B1654,eq_code,0)),""),F1654))</f>
        <v/>
      </c>
      <c r="L1654" s="55" t="str">
        <f>IF(ISNUMBER(K1654),N(IFERROR(INDEX(eq_pause,MATCH(B1654,eq_code,0)),0))+SUMIFS(st_min,st_date,A1654,st_eq,B1654,st_po,C1654,st_type,"Planifié"),"")</f>
        <v/>
      </c>
      <c r="M1654" s="55" t="str">
        <f>IF(ISNUMBER(K1654),K1654-L1654,"")</f>
        <v/>
      </c>
      <c r="N1654" s="55" t="str">
        <f>IF(ISNUMBER(K1654),SUMIFS(st_min,st_date,A1654,st_eq,B1654,st_po,C1654,st_type,"Non planifié"),"")</f>
        <v/>
      </c>
      <c r="O1654" s="55" t="str">
        <f>IF(ISNUMBER(K1654),M1654-N1654,"")</f>
        <v/>
      </c>
      <c r="P1654" s="55" t="str">
        <f>IF(COUNTA(A1654:I1654)=0,"",N(G1654)+N(H1654)+N(I1654))</f>
        <v/>
      </c>
      <c r="Q1654" s="56" t="str">
        <f>IF(COUNTA(A1654:I1654)=0,"",IF(N(IFERROR(INDEX(art_rate,MATCH(E1654,art_ref,0)),0))&gt;0,N(IFERROR(INDEX(art_rate,MATCH(E1654,art_ref,0)),0)),N(IFERROR(INDEX(po_rate,MATCH(C1654,po_code,0)),0))))</f>
        <v/>
      </c>
      <c r="R1654" s="55" t="str">
        <f>IF(AC1654=1,P1654*60/Q1654,"")</f>
        <v/>
      </c>
      <c r="S1654" s="55" t="str">
        <f>IF(AC1654=1,N(G1654)*60/Q1654,"")</f>
        <v/>
      </c>
      <c r="T1654" s="57" t="str">
        <f>IF(AC1654=1,O1654/M1654,"")</f>
        <v/>
      </c>
      <c r="U1654" s="57" t="str">
        <f>IF(AC1654=1,IF(O1654&gt;0,R1654/O1654,""),"")</f>
        <v/>
      </c>
      <c r="V1654" s="57" t="str">
        <f>IF(AC1654=1,IF(P1654&gt;0,N(G1654)/P1654,""),"")</f>
        <v/>
      </c>
      <c r="W1654" s="57" t="str">
        <f>IF(AC1654=1,S1654/M1654,"")</f>
        <v/>
      </c>
      <c r="X1654" s="57" t="str">
        <f>IF(AC1654=1,S1654/K1654,"")</f>
        <v/>
      </c>
      <c r="Y1654" s="58" t="str">
        <f>IF(W1654="","",IF(W1654&gt;=p_target,"Bon",IF(W1654&gt;=p_alert,"À surveiller","Faible")))</f>
        <v/>
      </c>
      <c r="Z1654" s="58" t="str">
        <f>IF(W1654="","",IF(MIN(IF(T1654="",1,T1654),IF(U1654="",1,U1654),IF(V1654="",1,V1654))&gt;=1,"Aucune",IF(IF(T1654="",1,T1654)&lt;=MIN(IF(U1654="",1,U1654),IF(V1654="",1,V1654)),"Disponibilité",IF(IF(U1654="",1,U1654)&lt;=IF(V1654="",1,V1654),"Performance","Qualité"))))</f>
        <v/>
      </c>
      <c r="AA1654" s="59" t="str">
        <f>IF(AC1654=1,N(H1654)*N(IFERROR(INDEX(art_cost,MATCH(E1654,art_ref,0)),0)),"")</f>
        <v/>
      </c>
      <c r="AB1654" s="58" t="str">
        <f>IF(COUNTA(A1654:I1654)=0,"",IF(N(A1654)&lt;=0,"Date manquante ou invalide",IF(B1654="","Équipe manquante",IF(ISNA(MATCH(B1654,eq_code,0)),"Équipe inconnue",IF(INDEX(eq_check,MATCH(B1654,eq_code,0))&lt;&gt;"OK","Équipe à corriger dans Paramètres",IF(C1654="","Poste manquant",IF(ISNA(MATCH(C1654,po_code,0)),"Poste inconnu",IF(AND(E1654&lt;&gt;"",ISNA(MATCH(E1654,art_ref,0))),"Article inconnu",IF(IF(E1654="",FALSE,INDEX(art_check,MATCH(E1654,art_ref,0))&lt;&gt;"OK"),"Article à corriger (feuille Articles)",IF(COUNTIFS(sj_date,A1654,sj_eq,B1654,sj_po,C1654)&gt;1,"Ligne en double (même jour, équipe et poste)",IF(OR(NOT(ISNUMBER(K1654)),N(K1654)&lt;=0,N(K1654)&gt;1440),"Temps d'ouverture invalide",IF(OR(AND(G1654&lt;&gt;"",NOT(ISNUMBER(G1654))),N(G1654)&lt;0,N(G1654)&lt;&gt;INT(N(G1654)),AND(H1654&lt;&gt;"",NOT(ISNUMBER(H1654))),N(H1654)&lt;0,N(H1654)&lt;&gt;INT(N(H1654)),AND(I1654&lt;&gt;"",NOT(ISNUMBER(I1654))),N(I1654)&lt;0,N(I1654)&lt;&gt;INT(N(I1654))),"Quantité invalide",IF(Q1654&lt;=0,"Cadence manquante (poste ou article)",IF(M1654&lt;=0,"Arrêts planifiés supérieurs au temps d'ouverture",IF(O1654&lt;0,"Arrêts supérieurs au temps requis",IF(AND(P1654&gt;0,O1654=0),"Pièces déclarées sans temps de marche",IF(AND(P1654=0,O1654&gt;0),"Aucune pièce déclarée",IF(P1654*60/Q1654&gt;O1654+0.001,"Cadence dépassée : vérifiez la cadence","OK"))))))))))))))))))</f>
        <v/>
      </c>
      <c r="AC1654">
        <f>IF(OR(AB1654="OK",AB1654="Aucune pièce déclarée",AB1654="Cadence dépassée : vérifiez la cadence"),1,0)</f>
        <v>0.0</v>
      </c>
      <c r="AD1654">
        <f>IF(AND(AC1654=1,A1654&gt;=p_from,A1654&lt;=p_to),1,0)</f>
        <v>0.0</v>
      </c>
      <c r="AE1654">
        <f>IF(AD1654=1,IF(COUNTIFS($A$6:A1654,A1654,$AD$6:AD1654,1)=1,1,0),0)</f>
        <v>0.0</v>
      </c>
      <c r="AF1654" t="str">
        <f>IF(AE1654=1,COUNTIFS(sj_first,1,sj_date,"&lt;"&amp;A1654)+1,"")</f>
        <v/>
      </c>
      <c r="AG1654" t="str">
        <f>IF(AND(AD1654=1,N(W1654)&lt;p_alert),ROUND(W1654,4),"")</f>
        <v/>
      </c>
      <c r="AH1654" t="str">
        <f>IF(AG1654="","",COUNTIF(sj_akey,"&lt;"&amp;AG1654)+COUNTIF($AG$6:AG1654,AG1654))</f>
        <v/>
      </c>
    </row>
    <row r="1655">
      <c r="A1655" s="51" t="n"/>
      <c r="B1655" s="52" t="n"/>
      <c r="C1655" s="52" t="n"/>
      <c r="D1655" s="53" t="n"/>
      <c r="E1655" s="53" t="n"/>
      <c r="F1655" s="54" t="n"/>
      <c r="G1655" s="54" t="n"/>
      <c r="H1655" s="54" t="n"/>
      <c r="I1655" s="54" t="n"/>
      <c r="J1655" s="53" t="n"/>
      <c r="K1655" s="55" t="str">
        <f>IF(COUNTA(A1655:I1655)=0,"",IF(F1655="",IFERROR(INDEX(eq_dur,MATCH(B1655,eq_code,0)),""),F1655))</f>
        <v/>
      </c>
      <c r="L1655" s="55" t="str">
        <f>IF(ISNUMBER(K1655),N(IFERROR(INDEX(eq_pause,MATCH(B1655,eq_code,0)),0))+SUMIFS(st_min,st_date,A1655,st_eq,B1655,st_po,C1655,st_type,"Planifié"),"")</f>
        <v/>
      </c>
      <c r="M1655" s="55" t="str">
        <f>IF(ISNUMBER(K1655),K1655-L1655,"")</f>
        <v/>
      </c>
      <c r="N1655" s="55" t="str">
        <f>IF(ISNUMBER(K1655),SUMIFS(st_min,st_date,A1655,st_eq,B1655,st_po,C1655,st_type,"Non planifié"),"")</f>
        <v/>
      </c>
      <c r="O1655" s="55" t="str">
        <f>IF(ISNUMBER(K1655),M1655-N1655,"")</f>
        <v/>
      </c>
      <c r="P1655" s="55" t="str">
        <f>IF(COUNTA(A1655:I1655)=0,"",N(G1655)+N(H1655)+N(I1655))</f>
        <v/>
      </c>
      <c r="Q1655" s="56" t="str">
        <f>IF(COUNTA(A1655:I1655)=0,"",IF(N(IFERROR(INDEX(art_rate,MATCH(E1655,art_ref,0)),0))&gt;0,N(IFERROR(INDEX(art_rate,MATCH(E1655,art_ref,0)),0)),N(IFERROR(INDEX(po_rate,MATCH(C1655,po_code,0)),0))))</f>
        <v/>
      </c>
      <c r="R1655" s="55" t="str">
        <f>IF(AC1655=1,P1655*60/Q1655,"")</f>
        <v/>
      </c>
      <c r="S1655" s="55" t="str">
        <f>IF(AC1655=1,N(G1655)*60/Q1655,"")</f>
        <v/>
      </c>
      <c r="T1655" s="57" t="str">
        <f>IF(AC1655=1,O1655/M1655,"")</f>
        <v/>
      </c>
      <c r="U1655" s="57" t="str">
        <f>IF(AC1655=1,IF(O1655&gt;0,R1655/O1655,""),"")</f>
        <v/>
      </c>
      <c r="V1655" s="57" t="str">
        <f>IF(AC1655=1,IF(P1655&gt;0,N(G1655)/P1655,""),"")</f>
        <v/>
      </c>
      <c r="W1655" s="57" t="str">
        <f>IF(AC1655=1,S1655/M1655,"")</f>
        <v/>
      </c>
      <c r="X1655" s="57" t="str">
        <f>IF(AC1655=1,S1655/K1655,"")</f>
        <v/>
      </c>
      <c r="Y1655" s="58" t="str">
        <f>IF(W1655="","",IF(W1655&gt;=p_target,"Bon",IF(W1655&gt;=p_alert,"À surveiller","Faible")))</f>
        <v/>
      </c>
      <c r="Z1655" s="58" t="str">
        <f>IF(W1655="","",IF(MIN(IF(T1655="",1,T1655),IF(U1655="",1,U1655),IF(V1655="",1,V1655))&gt;=1,"Aucune",IF(IF(T1655="",1,T1655)&lt;=MIN(IF(U1655="",1,U1655),IF(V1655="",1,V1655)),"Disponibilité",IF(IF(U1655="",1,U1655)&lt;=IF(V1655="",1,V1655),"Performance","Qualité"))))</f>
        <v/>
      </c>
      <c r="AA1655" s="59" t="str">
        <f>IF(AC1655=1,N(H1655)*N(IFERROR(INDEX(art_cost,MATCH(E1655,art_ref,0)),0)),"")</f>
        <v/>
      </c>
      <c r="AB1655" s="58" t="str">
        <f>IF(COUNTA(A1655:I1655)=0,"",IF(N(A1655)&lt;=0,"Date manquante ou invalide",IF(B1655="","Équipe manquante",IF(ISNA(MATCH(B1655,eq_code,0)),"Équipe inconnue",IF(INDEX(eq_check,MATCH(B1655,eq_code,0))&lt;&gt;"OK","Équipe à corriger dans Paramètres",IF(C1655="","Poste manquant",IF(ISNA(MATCH(C1655,po_code,0)),"Poste inconnu",IF(AND(E1655&lt;&gt;"",ISNA(MATCH(E1655,art_ref,0))),"Article inconnu",IF(IF(E1655="",FALSE,INDEX(art_check,MATCH(E1655,art_ref,0))&lt;&gt;"OK"),"Article à corriger (feuille Articles)",IF(COUNTIFS(sj_date,A1655,sj_eq,B1655,sj_po,C1655)&gt;1,"Ligne en double (même jour, équipe et poste)",IF(OR(NOT(ISNUMBER(K1655)),N(K1655)&lt;=0,N(K1655)&gt;1440),"Temps d'ouverture invalide",IF(OR(AND(G1655&lt;&gt;"",NOT(ISNUMBER(G1655))),N(G1655)&lt;0,N(G1655)&lt;&gt;INT(N(G1655)),AND(H1655&lt;&gt;"",NOT(ISNUMBER(H1655))),N(H1655)&lt;0,N(H1655)&lt;&gt;INT(N(H1655)),AND(I1655&lt;&gt;"",NOT(ISNUMBER(I1655))),N(I1655)&lt;0,N(I1655)&lt;&gt;INT(N(I1655))),"Quantité invalide",IF(Q1655&lt;=0,"Cadence manquante (poste ou article)",IF(M1655&lt;=0,"Arrêts planifiés supérieurs au temps d'ouverture",IF(O1655&lt;0,"Arrêts supérieurs au temps requis",IF(AND(P1655&gt;0,O1655=0),"Pièces déclarées sans temps de marche",IF(AND(P1655=0,O1655&gt;0),"Aucune pièce déclarée",IF(P1655*60/Q1655&gt;O1655+0.001,"Cadence dépassée : vérifiez la cadence","OK"))))))))))))))))))</f>
        <v/>
      </c>
      <c r="AC1655">
        <f>IF(OR(AB1655="OK",AB1655="Aucune pièce déclarée",AB1655="Cadence dépassée : vérifiez la cadence"),1,0)</f>
        <v>0.0</v>
      </c>
      <c r="AD1655">
        <f>IF(AND(AC1655=1,A1655&gt;=p_from,A1655&lt;=p_to),1,0)</f>
        <v>0.0</v>
      </c>
      <c r="AE1655">
        <f>IF(AD1655=1,IF(COUNTIFS($A$6:A1655,A1655,$AD$6:AD1655,1)=1,1,0),0)</f>
        <v>0.0</v>
      </c>
      <c r="AF1655" t="str">
        <f>IF(AE1655=1,COUNTIFS(sj_first,1,sj_date,"&lt;"&amp;A1655)+1,"")</f>
        <v/>
      </c>
      <c r="AG1655" t="str">
        <f>IF(AND(AD1655=1,N(W1655)&lt;p_alert),ROUND(W1655,4),"")</f>
        <v/>
      </c>
      <c r="AH1655" t="str">
        <f>IF(AG1655="","",COUNTIF(sj_akey,"&lt;"&amp;AG1655)+COUNTIF($AG$6:AG1655,AG1655))</f>
        <v/>
      </c>
    </row>
    <row r="1656">
      <c r="A1656" s="51" t="n"/>
      <c r="B1656" s="52" t="n"/>
      <c r="C1656" s="52" t="n"/>
      <c r="D1656" s="53" t="n"/>
      <c r="E1656" s="53" t="n"/>
      <c r="F1656" s="54" t="n"/>
      <c r="G1656" s="54" t="n"/>
      <c r="H1656" s="54" t="n"/>
      <c r="I1656" s="54" t="n"/>
      <c r="J1656" s="53" t="n"/>
      <c r="K1656" s="55" t="str">
        <f>IF(COUNTA(A1656:I1656)=0,"",IF(F1656="",IFERROR(INDEX(eq_dur,MATCH(B1656,eq_code,0)),""),F1656))</f>
        <v/>
      </c>
      <c r="L1656" s="55" t="str">
        <f>IF(ISNUMBER(K1656),N(IFERROR(INDEX(eq_pause,MATCH(B1656,eq_code,0)),0))+SUMIFS(st_min,st_date,A1656,st_eq,B1656,st_po,C1656,st_type,"Planifié"),"")</f>
        <v/>
      </c>
      <c r="M1656" s="55" t="str">
        <f>IF(ISNUMBER(K1656),K1656-L1656,"")</f>
        <v/>
      </c>
      <c r="N1656" s="55" t="str">
        <f>IF(ISNUMBER(K1656),SUMIFS(st_min,st_date,A1656,st_eq,B1656,st_po,C1656,st_type,"Non planifié"),"")</f>
        <v/>
      </c>
      <c r="O1656" s="55" t="str">
        <f>IF(ISNUMBER(K1656),M1656-N1656,"")</f>
        <v/>
      </c>
      <c r="P1656" s="55" t="str">
        <f>IF(COUNTA(A1656:I1656)=0,"",N(G1656)+N(H1656)+N(I1656))</f>
        <v/>
      </c>
      <c r="Q1656" s="56" t="str">
        <f>IF(COUNTA(A1656:I1656)=0,"",IF(N(IFERROR(INDEX(art_rate,MATCH(E1656,art_ref,0)),0))&gt;0,N(IFERROR(INDEX(art_rate,MATCH(E1656,art_ref,0)),0)),N(IFERROR(INDEX(po_rate,MATCH(C1656,po_code,0)),0))))</f>
        <v/>
      </c>
      <c r="R1656" s="55" t="str">
        <f>IF(AC1656=1,P1656*60/Q1656,"")</f>
        <v/>
      </c>
      <c r="S1656" s="55" t="str">
        <f>IF(AC1656=1,N(G1656)*60/Q1656,"")</f>
        <v/>
      </c>
      <c r="T1656" s="57" t="str">
        <f>IF(AC1656=1,O1656/M1656,"")</f>
        <v/>
      </c>
      <c r="U1656" s="57" t="str">
        <f>IF(AC1656=1,IF(O1656&gt;0,R1656/O1656,""),"")</f>
        <v/>
      </c>
      <c r="V1656" s="57" t="str">
        <f>IF(AC1656=1,IF(P1656&gt;0,N(G1656)/P1656,""),"")</f>
        <v/>
      </c>
      <c r="W1656" s="57" t="str">
        <f>IF(AC1656=1,S1656/M1656,"")</f>
        <v/>
      </c>
      <c r="X1656" s="57" t="str">
        <f>IF(AC1656=1,S1656/K1656,"")</f>
        <v/>
      </c>
      <c r="Y1656" s="58" t="str">
        <f>IF(W1656="","",IF(W1656&gt;=p_target,"Bon",IF(W1656&gt;=p_alert,"À surveiller","Faible")))</f>
        <v/>
      </c>
      <c r="Z1656" s="58" t="str">
        <f>IF(W1656="","",IF(MIN(IF(T1656="",1,T1656),IF(U1656="",1,U1656),IF(V1656="",1,V1656))&gt;=1,"Aucune",IF(IF(T1656="",1,T1656)&lt;=MIN(IF(U1656="",1,U1656),IF(V1656="",1,V1656)),"Disponibilité",IF(IF(U1656="",1,U1656)&lt;=IF(V1656="",1,V1656),"Performance","Qualité"))))</f>
        <v/>
      </c>
      <c r="AA1656" s="59" t="str">
        <f>IF(AC1656=1,N(H1656)*N(IFERROR(INDEX(art_cost,MATCH(E1656,art_ref,0)),0)),"")</f>
        <v/>
      </c>
      <c r="AB1656" s="58" t="str">
        <f>IF(COUNTA(A1656:I1656)=0,"",IF(N(A1656)&lt;=0,"Date manquante ou invalide",IF(B1656="","Équipe manquante",IF(ISNA(MATCH(B1656,eq_code,0)),"Équipe inconnue",IF(INDEX(eq_check,MATCH(B1656,eq_code,0))&lt;&gt;"OK","Équipe à corriger dans Paramètres",IF(C1656="","Poste manquant",IF(ISNA(MATCH(C1656,po_code,0)),"Poste inconnu",IF(AND(E1656&lt;&gt;"",ISNA(MATCH(E1656,art_ref,0))),"Article inconnu",IF(IF(E1656="",FALSE,INDEX(art_check,MATCH(E1656,art_ref,0))&lt;&gt;"OK"),"Article à corriger (feuille Articles)",IF(COUNTIFS(sj_date,A1656,sj_eq,B1656,sj_po,C1656)&gt;1,"Ligne en double (même jour, équipe et poste)",IF(OR(NOT(ISNUMBER(K1656)),N(K1656)&lt;=0,N(K1656)&gt;1440),"Temps d'ouverture invalide",IF(OR(AND(G1656&lt;&gt;"",NOT(ISNUMBER(G1656))),N(G1656)&lt;0,N(G1656)&lt;&gt;INT(N(G1656)),AND(H1656&lt;&gt;"",NOT(ISNUMBER(H1656))),N(H1656)&lt;0,N(H1656)&lt;&gt;INT(N(H1656)),AND(I1656&lt;&gt;"",NOT(ISNUMBER(I1656))),N(I1656)&lt;0,N(I1656)&lt;&gt;INT(N(I1656))),"Quantité invalide",IF(Q1656&lt;=0,"Cadence manquante (poste ou article)",IF(M1656&lt;=0,"Arrêts planifiés supérieurs au temps d'ouverture",IF(O1656&lt;0,"Arrêts supérieurs au temps requis",IF(AND(P1656&gt;0,O1656=0),"Pièces déclarées sans temps de marche",IF(AND(P1656=0,O1656&gt;0),"Aucune pièce déclarée",IF(P1656*60/Q1656&gt;O1656+0.001,"Cadence dépassée : vérifiez la cadence","OK"))))))))))))))))))</f>
        <v/>
      </c>
      <c r="AC1656">
        <f>IF(OR(AB1656="OK",AB1656="Aucune pièce déclarée",AB1656="Cadence dépassée : vérifiez la cadence"),1,0)</f>
        <v>0.0</v>
      </c>
      <c r="AD1656">
        <f>IF(AND(AC1656=1,A1656&gt;=p_from,A1656&lt;=p_to),1,0)</f>
        <v>0.0</v>
      </c>
      <c r="AE1656">
        <f>IF(AD1656=1,IF(COUNTIFS($A$6:A1656,A1656,$AD$6:AD1656,1)=1,1,0),0)</f>
        <v>0.0</v>
      </c>
      <c r="AF1656" t="str">
        <f>IF(AE1656=1,COUNTIFS(sj_first,1,sj_date,"&lt;"&amp;A1656)+1,"")</f>
        <v/>
      </c>
      <c r="AG1656" t="str">
        <f>IF(AND(AD1656=1,N(W1656)&lt;p_alert),ROUND(W1656,4),"")</f>
        <v/>
      </c>
      <c r="AH1656" t="str">
        <f>IF(AG1656="","",COUNTIF(sj_akey,"&lt;"&amp;AG1656)+COUNTIF($AG$6:AG1656,AG1656))</f>
        <v/>
      </c>
    </row>
    <row r="1657">
      <c r="A1657" s="51" t="n"/>
      <c r="B1657" s="52" t="n"/>
      <c r="C1657" s="52" t="n"/>
      <c r="D1657" s="53" t="n"/>
      <c r="E1657" s="53" t="n"/>
      <c r="F1657" s="54" t="n"/>
      <c r="G1657" s="54" t="n"/>
      <c r="H1657" s="54" t="n"/>
      <c r="I1657" s="54" t="n"/>
      <c r="J1657" s="53" t="n"/>
      <c r="K1657" s="55" t="str">
        <f>IF(COUNTA(A1657:I1657)=0,"",IF(F1657="",IFERROR(INDEX(eq_dur,MATCH(B1657,eq_code,0)),""),F1657))</f>
        <v/>
      </c>
      <c r="L1657" s="55" t="str">
        <f>IF(ISNUMBER(K1657),N(IFERROR(INDEX(eq_pause,MATCH(B1657,eq_code,0)),0))+SUMIFS(st_min,st_date,A1657,st_eq,B1657,st_po,C1657,st_type,"Planifié"),"")</f>
        <v/>
      </c>
      <c r="M1657" s="55" t="str">
        <f>IF(ISNUMBER(K1657),K1657-L1657,"")</f>
        <v/>
      </c>
      <c r="N1657" s="55" t="str">
        <f>IF(ISNUMBER(K1657),SUMIFS(st_min,st_date,A1657,st_eq,B1657,st_po,C1657,st_type,"Non planifié"),"")</f>
        <v/>
      </c>
      <c r="O1657" s="55" t="str">
        <f>IF(ISNUMBER(K1657),M1657-N1657,"")</f>
        <v/>
      </c>
      <c r="P1657" s="55" t="str">
        <f>IF(COUNTA(A1657:I1657)=0,"",N(G1657)+N(H1657)+N(I1657))</f>
        <v/>
      </c>
      <c r="Q1657" s="56" t="str">
        <f>IF(COUNTA(A1657:I1657)=0,"",IF(N(IFERROR(INDEX(art_rate,MATCH(E1657,art_ref,0)),0))&gt;0,N(IFERROR(INDEX(art_rate,MATCH(E1657,art_ref,0)),0)),N(IFERROR(INDEX(po_rate,MATCH(C1657,po_code,0)),0))))</f>
        <v/>
      </c>
      <c r="R1657" s="55" t="str">
        <f>IF(AC1657=1,P1657*60/Q1657,"")</f>
        <v/>
      </c>
      <c r="S1657" s="55" t="str">
        <f>IF(AC1657=1,N(G1657)*60/Q1657,"")</f>
        <v/>
      </c>
      <c r="T1657" s="57" t="str">
        <f>IF(AC1657=1,O1657/M1657,"")</f>
        <v/>
      </c>
      <c r="U1657" s="57" t="str">
        <f>IF(AC1657=1,IF(O1657&gt;0,R1657/O1657,""),"")</f>
        <v/>
      </c>
      <c r="V1657" s="57" t="str">
        <f>IF(AC1657=1,IF(P1657&gt;0,N(G1657)/P1657,""),"")</f>
        <v/>
      </c>
      <c r="W1657" s="57" t="str">
        <f>IF(AC1657=1,S1657/M1657,"")</f>
        <v/>
      </c>
      <c r="X1657" s="57" t="str">
        <f>IF(AC1657=1,S1657/K1657,"")</f>
        <v/>
      </c>
      <c r="Y1657" s="58" t="str">
        <f>IF(W1657="","",IF(W1657&gt;=p_target,"Bon",IF(W1657&gt;=p_alert,"À surveiller","Faible")))</f>
        <v/>
      </c>
      <c r="Z1657" s="58" t="str">
        <f>IF(W1657="","",IF(MIN(IF(T1657="",1,T1657),IF(U1657="",1,U1657),IF(V1657="",1,V1657))&gt;=1,"Aucune",IF(IF(T1657="",1,T1657)&lt;=MIN(IF(U1657="",1,U1657),IF(V1657="",1,V1657)),"Disponibilité",IF(IF(U1657="",1,U1657)&lt;=IF(V1657="",1,V1657),"Performance","Qualité"))))</f>
        <v/>
      </c>
      <c r="AA1657" s="59" t="str">
        <f>IF(AC1657=1,N(H1657)*N(IFERROR(INDEX(art_cost,MATCH(E1657,art_ref,0)),0)),"")</f>
        <v/>
      </c>
      <c r="AB1657" s="58" t="str">
        <f>IF(COUNTA(A1657:I1657)=0,"",IF(N(A1657)&lt;=0,"Date manquante ou invalide",IF(B1657="","Équipe manquante",IF(ISNA(MATCH(B1657,eq_code,0)),"Équipe inconnue",IF(INDEX(eq_check,MATCH(B1657,eq_code,0))&lt;&gt;"OK","Équipe à corriger dans Paramètres",IF(C1657="","Poste manquant",IF(ISNA(MATCH(C1657,po_code,0)),"Poste inconnu",IF(AND(E1657&lt;&gt;"",ISNA(MATCH(E1657,art_ref,0))),"Article inconnu",IF(IF(E1657="",FALSE,INDEX(art_check,MATCH(E1657,art_ref,0))&lt;&gt;"OK"),"Article à corriger (feuille Articles)",IF(COUNTIFS(sj_date,A1657,sj_eq,B1657,sj_po,C1657)&gt;1,"Ligne en double (même jour, équipe et poste)",IF(OR(NOT(ISNUMBER(K1657)),N(K1657)&lt;=0,N(K1657)&gt;1440),"Temps d'ouverture invalide",IF(OR(AND(G1657&lt;&gt;"",NOT(ISNUMBER(G1657))),N(G1657)&lt;0,N(G1657)&lt;&gt;INT(N(G1657)),AND(H1657&lt;&gt;"",NOT(ISNUMBER(H1657))),N(H1657)&lt;0,N(H1657)&lt;&gt;INT(N(H1657)),AND(I1657&lt;&gt;"",NOT(ISNUMBER(I1657))),N(I1657)&lt;0,N(I1657)&lt;&gt;INT(N(I1657))),"Quantité invalide",IF(Q1657&lt;=0,"Cadence manquante (poste ou article)",IF(M1657&lt;=0,"Arrêts planifiés supérieurs au temps d'ouverture",IF(O1657&lt;0,"Arrêts supérieurs au temps requis",IF(AND(P1657&gt;0,O1657=0),"Pièces déclarées sans temps de marche",IF(AND(P1657=0,O1657&gt;0),"Aucune pièce déclarée",IF(P1657*60/Q1657&gt;O1657+0.001,"Cadence dépassée : vérifiez la cadence","OK"))))))))))))))))))</f>
        <v/>
      </c>
      <c r="AC1657">
        <f>IF(OR(AB1657="OK",AB1657="Aucune pièce déclarée",AB1657="Cadence dépassée : vérifiez la cadence"),1,0)</f>
        <v>0.0</v>
      </c>
      <c r="AD1657">
        <f>IF(AND(AC1657=1,A1657&gt;=p_from,A1657&lt;=p_to),1,0)</f>
        <v>0.0</v>
      </c>
      <c r="AE1657">
        <f>IF(AD1657=1,IF(COUNTIFS($A$6:A1657,A1657,$AD$6:AD1657,1)=1,1,0),0)</f>
        <v>0.0</v>
      </c>
      <c r="AF1657" t="str">
        <f>IF(AE1657=1,COUNTIFS(sj_first,1,sj_date,"&lt;"&amp;A1657)+1,"")</f>
        <v/>
      </c>
      <c r="AG1657" t="str">
        <f>IF(AND(AD1657=1,N(W1657)&lt;p_alert),ROUND(W1657,4),"")</f>
        <v/>
      </c>
      <c r="AH1657" t="str">
        <f>IF(AG1657="","",COUNTIF(sj_akey,"&lt;"&amp;AG1657)+COUNTIF($AG$6:AG1657,AG1657))</f>
        <v/>
      </c>
    </row>
    <row r="1658">
      <c r="A1658" s="51" t="n"/>
      <c r="B1658" s="52" t="n"/>
      <c r="C1658" s="52" t="n"/>
      <c r="D1658" s="53" t="n"/>
      <c r="E1658" s="53" t="n"/>
      <c r="F1658" s="54" t="n"/>
      <c r="G1658" s="54" t="n"/>
      <c r="H1658" s="54" t="n"/>
      <c r="I1658" s="54" t="n"/>
      <c r="J1658" s="53" t="n"/>
      <c r="K1658" s="55" t="str">
        <f>IF(COUNTA(A1658:I1658)=0,"",IF(F1658="",IFERROR(INDEX(eq_dur,MATCH(B1658,eq_code,0)),""),F1658))</f>
        <v/>
      </c>
      <c r="L1658" s="55" t="str">
        <f>IF(ISNUMBER(K1658),N(IFERROR(INDEX(eq_pause,MATCH(B1658,eq_code,0)),0))+SUMIFS(st_min,st_date,A1658,st_eq,B1658,st_po,C1658,st_type,"Planifié"),"")</f>
        <v/>
      </c>
      <c r="M1658" s="55" t="str">
        <f>IF(ISNUMBER(K1658),K1658-L1658,"")</f>
        <v/>
      </c>
      <c r="N1658" s="55" t="str">
        <f>IF(ISNUMBER(K1658),SUMIFS(st_min,st_date,A1658,st_eq,B1658,st_po,C1658,st_type,"Non planifié"),"")</f>
        <v/>
      </c>
      <c r="O1658" s="55" t="str">
        <f>IF(ISNUMBER(K1658),M1658-N1658,"")</f>
        <v/>
      </c>
      <c r="P1658" s="55" t="str">
        <f>IF(COUNTA(A1658:I1658)=0,"",N(G1658)+N(H1658)+N(I1658))</f>
        <v/>
      </c>
      <c r="Q1658" s="56" t="str">
        <f>IF(COUNTA(A1658:I1658)=0,"",IF(N(IFERROR(INDEX(art_rate,MATCH(E1658,art_ref,0)),0))&gt;0,N(IFERROR(INDEX(art_rate,MATCH(E1658,art_ref,0)),0)),N(IFERROR(INDEX(po_rate,MATCH(C1658,po_code,0)),0))))</f>
        <v/>
      </c>
      <c r="R1658" s="55" t="str">
        <f>IF(AC1658=1,P1658*60/Q1658,"")</f>
        <v/>
      </c>
      <c r="S1658" s="55" t="str">
        <f>IF(AC1658=1,N(G1658)*60/Q1658,"")</f>
        <v/>
      </c>
      <c r="T1658" s="57" t="str">
        <f>IF(AC1658=1,O1658/M1658,"")</f>
        <v/>
      </c>
      <c r="U1658" s="57" t="str">
        <f>IF(AC1658=1,IF(O1658&gt;0,R1658/O1658,""),"")</f>
        <v/>
      </c>
      <c r="V1658" s="57" t="str">
        <f>IF(AC1658=1,IF(P1658&gt;0,N(G1658)/P1658,""),"")</f>
        <v/>
      </c>
      <c r="W1658" s="57" t="str">
        <f>IF(AC1658=1,S1658/M1658,"")</f>
        <v/>
      </c>
      <c r="X1658" s="57" t="str">
        <f>IF(AC1658=1,S1658/K1658,"")</f>
        <v/>
      </c>
      <c r="Y1658" s="58" t="str">
        <f>IF(W1658="","",IF(W1658&gt;=p_target,"Bon",IF(W1658&gt;=p_alert,"À surveiller","Faible")))</f>
        <v/>
      </c>
      <c r="Z1658" s="58" t="str">
        <f>IF(W1658="","",IF(MIN(IF(T1658="",1,T1658),IF(U1658="",1,U1658),IF(V1658="",1,V1658))&gt;=1,"Aucune",IF(IF(T1658="",1,T1658)&lt;=MIN(IF(U1658="",1,U1658),IF(V1658="",1,V1658)),"Disponibilité",IF(IF(U1658="",1,U1658)&lt;=IF(V1658="",1,V1658),"Performance","Qualité"))))</f>
        <v/>
      </c>
      <c r="AA1658" s="59" t="str">
        <f>IF(AC1658=1,N(H1658)*N(IFERROR(INDEX(art_cost,MATCH(E1658,art_ref,0)),0)),"")</f>
        <v/>
      </c>
      <c r="AB1658" s="58" t="str">
        <f>IF(COUNTA(A1658:I1658)=0,"",IF(N(A1658)&lt;=0,"Date manquante ou invalide",IF(B1658="","Équipe manquante",IF(ISNA(MATCH(B1658,eq_code,0)),"Équipe inconnue",IF(INDEX(eq_check,MATCH(B1658,eq_code,0))&lt;&gt;"OK","Équipe à corriger dans Paramètres",IF(C1658="","Poste manquant",IF(ISNA(MATCH(C1658,po_code,0)),"Poste inconnu",IF(AND(E1658&lt;&gt;"",ISNA(MATCH(E1658,art_ref,0))),"Article inconnu",IF(IF(E1658="",FALSE,INDEX(art_check,MATCH(E1658,art_ref,0))&lt;&gt;"OK"),"Article à corriger (feuille Articles)",IF(COUNTIFS(sj_date,A1658,sj_eq,B1658,sj_po,C1658)&gt;1,"Ligne en double (même jour, équipe et poste)",IF(OR(NOT(ISNUMBER(K1658)),N(K1658)&lt;=0,N(K1658)&gt;1440),"Temps d'ouverture invalide",IF(OR(AND(G1658&lt;&gt;"",NOT(ISNUMBER(G1658))),N(G1658)&lt;0,N(G1658)&lt;&gt;INT(N(G1658)),AND(H1658&lt;&gt;"",NOT(ISNUMBER(H1658))),N(H1658)&lt;0,N(H1658)&lt;&gt;INT(N(H1658)),AND(I1658&lt;&gt;"",NOT(ISNUMBER(I1658))),N(I1658)&lt;0,N(I1658)&lt;&gt;INT(N(I1658))),"Quantité invalide",IF(Q1658&lt;=0,"Cadence manquante (poste ou article)",IF(M1658&lt;=0,"Arrêts planifiés supérieurs au temps d'ouverture",IF(O1658&lt;0,"Arrêts supérieurs au temps requis",IF(AND(P1658&gt;0,O1658=0),"Pièces déclarées sans temps de marche",IF(AND(P1658=0,O1658&gt;0),"Aucune pièce déclarée",IF(P1658*60/Q1658&gt;O1658+0.001,"Cadence dépassée : vérifiez la cadence","OK"))))))))))))))))))</f>
        <v/>
      </c>
      <c r="AC1658">
        <f>IF(OR(AB1658="OK",AB1658="Aucune pièce déclarée",AB1658="Cadence dépassée : vérifiez la cadence"),1,0)</f>
        <v>0.0</v>
      </c>
      <c r="AD1658">
        <f>IF(AND(AC1658=1,A1658&gt;=p_from,A1658&lt;=p_to),1,0)</f>
        <v>0.0</v>
      </c>
      <c r="AE1658">
        <f>IF(AD1658=1,IF(COUNTIFS($A$6:A1658,A1658,$AD$6:AD1658,1)=1,1,0),0)</f>
        <v>0.0</v>
      </c>
      <c r="AF1658" t="str">
        <f>IF(AE1658=1,COUNTIFS(sj_first,1,sj_date,"&lt;"&amp;A1658)+1,"")</f>
        <v/>
      </c>
      <c r="AG1658" t="str">
        <f>IF(AND(AD1658=1,N(W1658)&lt;p_alert),ROUND(W1658,4),"")</f>
        <v/>
      </c>
      <c r="AH1658" t="str">
        <f>IF(AG1658="","",COUNTIF(sj_akey,"&lt;"&amp;AG1658)+COUNTIF($AG$6:AG1658,AG1658))</f>
        <v/>
      </c>
    </row>
    <row r="1659">
      <c r="A1659" s="51" t="n"/>
      <c r="B1659" s="52" t="n"/>
      <c r="C1659" s="52" t="n"/>
      <c r="D1659" s="53" t="n"/>
      <c r="E1659" s="53" t="n"/>
      <c r="F1659" s="54" t="n"/>
      <c r="G1659" s="54" t="n"/>
      <c r="H1659" s="54" t="n"/>
      <c r="I1659" s="54" t="n"/>
      <c r="J1659" s="53" t="n"/>
      <c r="K1659" s="55" t="str">
        <f>IF(COUNTA(A1659:I1659)=0,"",IF(F1659="",IFERROR(INDEX(eq_dur,MATCH(B1659,eq_code,0)),""),F1659))</f>
        <v/>
      </c>
      <c r="L1659" s="55" t="str">
        <f>IF(ISNUMBER(K1659),N(IFERROR(INDEX(eq_pause,MATCH(B1659,eq_code,0)),0))+SUMIFS(st_min,st_date,A1659,st_eq,B1659,st_po,C1659,st_type,"Planifié"),"")</f>
        <v/>
      </c>
      <c r="M1659" s="55" t="str">
        <f>IF(ISNUMBER(K1659),K1659-L1659,"")</f>
        <v/>
      </c>
      <c r="N1659" s="55" t="str">
        <f>IF(ISNUMBER(K1659),SUMIFS(st_min,st_date,A1659,st_eq,B1659,st_po,C1659,st_type,"Non planifié"),"")</f>
        <v/>
      </c>
      <c r="O1659" s="55" t="str">
        <f>IF(ISNUMBER(K1659),M1659-N1659,"")</f>
        <v/>
      </c>
      <c r="P1659" s="55" t="str">
        <f>IF(COUNTA(A1659:I1659)=0,"",N(G1659)+N(H1659)+N(I1659))</f>
        <v/>
      </c>
      <c r="Q1659" s="56" t="str">
        <f>IF(COUNTA(A1659:I1659)=0,"",IF(N(IFERROR(INDEX(art_rate,MATCH(E1659,art_ref,0)),0))&gt;0,N(IFERROR(INDEX(art_rate,MATCH(E1659,art_ref,0)),0)),N(IFERROR(INDEX(po_rate,MATCH(C1659,po_code,0)),0))))</f>
        <v/>
      </c>
      <c r="R1659" s="55" t="str">
        <f>IF(AC1659=1,P1659*60/Q1659,"")</f>
        <v/>
      </c>
      <c r="S1659" s="55" t="str">
        <f>IF(AC1659=1,N(G1659)*60/Q1659,"")</f>
        <v/>
      </c>
      <c r="T1659" s="57" t="str">
        <f>IF(AC1659=1,O1659/M1659,"")</f>
        <v/>
      </c>
      <c r="U1659" s="57" t="str">
        <f>IF(AC1659=1,IF(O1659&gt;0,R1659/O1659,""),"")</f>
        <v/>
      </c>
      <c r="V1659" s="57" t="str">
        <f>IF(AC1659=1,IF(P1659&gt;0,N(G1659)/P1659,""),"")</f>
        <v/>
      </c>
      <c r="W1659" s="57" t="str">
        <f>IF(AC1659=1,S1659/M1659,"")</f>
        <v/>
      </c>
      <c r="X1659" s="57" t="str">
        <f>IF(AC1659=1,S1659/K1659,"")</f>
        <v/>
      </c>
      <c r="Y1659" s="58" t="str">
        <f>IF(W1659="","",IF(W1659&gt;=p_target,"Bon",IF(W1659&gt;=p_alert,"À surveiller","Faible")))</f>
        <v/>
      </c>
      <c r="Z1659" s="58" t="str">
        <f>IF(W1659="","",IF(MIN(IF(T1659="",1,T1659),IF(U1659="",1,U1659),IF(V1659="",1,V1659))&gt;=1,"Aucune",IF(IF(T1659="",1,T1659)&lt;=MIN(IF(U1659="",1,U1659),IF(V1659="",1,V1659)),"Disponibilité",IF(IF(U1659="",1,U1659)&lt;=IF(V1659="",1,V1659),"Performance","Qualité"))))</f>
        <v/>
      </c>
      <c r="AA1659" s="59" t="str">
        <f>IF(AC1659=1,N(H1659)*N(IFERROR(INDEX(art_cost,MATCH(E1659,art_ref,0)),0)),"")</f>
        <v/>
      </c>
      <c r="AB1659" s="58" t="str">
        <f>IF(COUNTA(A1659:I1659)=0,"",IF(N(A1659)&lt;=0,"Date manquante ou invalide",IF(B1659="","Équipe manquante",IF(ISNA(MATCH(B1659,eq_code,0)),"Équipe inconnue",IF(INDEX(eq_check,MATCH(B1659,eq_code,0))&lt;&gt;"OK","Équipe à corriger dans Paramètres",IF(C1659="","Poste manquant",IF(ISNA(MATCH(C1659,po_code,0)),"Poste inconnu",IF(AND(E1659&lt;&gt;"",ISNA(MATCH(E1659,art_ref,0))),"Article inconnu",IF(IF(E1659="",FALSE,INDEX(art_check,MATCH(E1659,art_ref,0))&lt;&gt;"OK"),"Article à corriger (feuille Articles)",IF(COUNTIFS(sj_date,A1659,sj_eq,B1659,sj_po,C1659)&gt;1,"Ligne en double (même jour, équipe et poste)",IF(OR(NOT(ISNUMBER(K1659)),N(K1659)&lt;=0,N(K1659)&gt;1440),"Temps d'ouverture invalide",IF(OR(AND(G1659&lt;&gt;"",NOT(ISNUMBER(G1659))),N(G1659)&lt;0,N(G1659)&lt;&gt;INT(N(G1659)),AND(H1659&lt;&gt;"",NOT(ISNUMBER(H1659))),N(H1659)&lt;0,N(H1659)&lt;&gt;INT(N(H1659)),AND(I1659&lt;&gt;"",NOT(ISNUMBER(I1659))),N(I1659)&lt;0,N(I1659)&lt;&gt;INT(N(I1659))),"Quantité invalide",IF(Q1659&lt;=0,"Cadence manquante (poste ou article)",IF(M1659&lt;=0,"Arrêts planifiés supérieurs au temps d'ouverture",IF(O1659&lt;0,"Arrêts supérieurs au temps requis",IF(AND(P1659&gt;0,O1659=0),"Pièces déclarées sans temps de marche",IF(AND(P1659=0,O1659&gt;0),"Aucune pièce déclarée",IF(P1659*60/Q1659&gt;O1659+0.001,"Cadence dépassée : vérifiez la cadence","OK"))))))))))))))))))</f>
        <v/>
      </c>
      <c r="AC1659">
        <f>IF(OR(AB1659="OK",AB1659="Aucune pièce déclarée",AB1659="Cadence dépassée : vérifiez la cadence"),1,0)</f>
        <v>0.0</v>
      </c>
      <c r="AD1659">
        <f>IF(AND(AC1659=1,A1659&gt;=p_from,A1659&lt;=p_to),1,0)</f>
        <v>0.0</v>
      </c>
      <c r="AE1659">
        <f>IF(AD1659=1,IF(COUNTIFS($A$6:A1659,A1659,$AD$6:AD1659,1)=1,1,0),0)</f>
        <v>0.0</v>
      </c>
      <c r="AF1659" t="str">
        <f>IF(AE1659=1,COUNTIFS(sj_first,1,sj_date,"&lt;"&amp;A1659)+1,"")</f>
        <v/>
      </c>
      <c r="AG1659" t="str">
        <f>IF(AND(AD1659=1,N(W1659)&lt;p_alert),ROUND(W1659,4),"")</f>
        <v/>
      </c>
      <c r="AH1659" t="str">
        <f>IF(AG1659="","",COUNTIF(sj_akey,"&lt;"&amp;AG1659)+COUNTIF($AG$6:AG1659,AG1659))</f>
        <v/>
      </c>
    </row>
    <row r="1660">
      <c r="A1660" s="51" t="n"/>
      <c r="B1660" s="52" t="n"/>
      <c r="C1660" s="52" t="n"/>
      <c r="D1660" s="53" t="n"/>
      <c r="E1660" s="53" t="n"/>
      <c r="F1660" s="54" t="n"/>
      <c r="G1660" s="54" t="n"/>
      <c r="H1660" s="54" t="n"/>
      <c r="I1660" s="54" t="n"/>
      <c r="J1660" s="53" t="n"/>
      <c r="K1660" s="55" t="str">
        <f>IF(COUNTA(A1660:I1660)=0,"",IF(F1660="",IFERROR(INDEX(eq_dur,MATCH(B1660,eq_code,0)),""),F1660))</f>
        <v/>
      </c>
      <c r="L1660" s="55" t="str">
        <f>IF(ISNUMBER(K1660),N(IFERROR(INDEX(eq_pause,MATCH(B1660,eq_code,0)),0))+SUMIFS(st_min,st_date,A1660,st_eq,B1660,st_po,C1660,st_type,"Planifié"),"")</f>
        <v/>
      </c>
      <c r="M1660" s="55" t="str">
        <f>IF(ISNUMBER(K1660),K1660-L1660,"")</f>
        <v/>
      </c>
      <c r="N1660" s="55" t="str">
        <f>IF(ISNUMBER(K1660),SUMIFS(st_min,st_date,A1660,st_eq,B1660,st_po,C1660,st_type,"Non planifié"),"")</f>
        <v/>
      </c>
      <c r="O1660" s="55" t="str">
        <f>IF(ISNUMBER(K1660),M1660-N1660,"")</f>
        <v/>
      </c>
      <c r="P1660" s="55" t="str">
        <f>IF(COUNTA(A1660:I1660)=0,"",N(G1660)+N(H1660)+N(I1660))</f>
        <v/>
      </c>
      <c r="Q1660" s="56" t="str">
        <f>IF(COUNTA(A1660:I1660)=0,"",IF(N(IFERROR(INDEX(art_rate,MATCH(E1660,art_ref,0)),0))&gt;0,N(IFERROR(INDEX(art_rate,MATCH(E1660,art_ref,0)),0)),N(IFERROR(INDEX(po_rate,MATCH(C1660,po_code,0)),0))))</f>
        <v/>
      </c>
      <c r="R1660" s="55" t="str">
        <f>IF(AC1660=1,P1660*60/Q1660,"")</f>
        <v/>
      </c>
      <c r="S1660" s="55" t="str">
        <f>IF(AC1660=1,N(G1660)*60/Q1660,"")</f>
        <v/>
      </c>
      <c r="T1660" s="57" t="str">
        <f>IF(AC1660=1,O1660/M1660,"")</f>
        <v/>
      </c>
      <c r="U1660" s="57" t="str">
        <f>IF(AC1660=1,IF(O1660&gt;0,R1660/O1660,""),"")</f>
        <v/>
      </c>
      <c r="V1660" s="57" t="str">
        <f>IF(AC1660=1,IF(P1660&gt;0,N(G1660)/P1660,""),"")</f>
        <v/>
      </c>
      <c r="W1660" s="57" t="str">
        <f>IF(AC1660=1,S1660/M1660,"")</f>
        <v/>
      </c>
      <c r="X1660" s="57" t="str">
        <f>IF(AC1660=1,S1660/K1660,"")</f>
        <v/>
      </c>
      <c r="Y1660" s="58" t="str">
        <f>IF(W1660="","",IF(W1660&gt;=p_target,"Bon",IF(W1660&gt;=p_alert,"À surveiller","Faible")))</f>
        <v/>
      </c>
      <c r="Z1660" s="58" t="str">
        <f>IF(W1660="","",IF(MIN(IF(T1660="",1,T1660),IF(U1660="",1,U1660),IF(V1660="",1,V1660))&gt;=1,"Aucune",IF(IF(T1660="",1,T1660)&lt;=MIN(IF(U1660="",1,U1660),IF(V1660="",1,V1660)),"Disponibilité",IF(IF(U1660="",1,U1660)&lt;=IF(V1660="",1,V1660),"Performance","Qualité"))))</f>
        <v/>
      </c>
      <c r="AA1660" s="59" t="str">
        <f>IF(AC1660=1,N(H1660)*N(IFERROR(INDEX(art_cost,MATCH(E1660,art_ref,0)),0)),"")</f>
        <v/>
      </c>
      <c r="AB1660" s="58" t="str">
        <f>IF(COUNTA(A1660:I1660)=0,"",IF(N(A1660)&lt;=0,"Date manquante ou invalide",IF(B1660="","Équipe manquante",IF(ISNA(MATCH(B1660,eq_code,0)),"Équipe inconnue",IF(INDEX(eq_check,MATCH(B1660,eq_code,0))&lt;&gt;"OK","Équipe à corriger dans Paramètres",IF(C1660="","Poste manquant",IF(ISNA(MATCH(C1660,po_code,0)),"Poste inconnu",IF(AND(E1660&lt;&gt;"",ISNA(MATCH(E1660,art_ref,0))),"Article inconnu",IF(IF(E1660="",FALSE,INDEX(art_check,MATCH(E1660,art_ref,0))&lt;&gt;"OK"),"Article à corriger (feuille Articles)",IF(COUNTIFS(sj_date,A1660,sj_eq,B1660,sj_po,C1660)&gt;1,"Ligne en double (même jour, équipe et poste)",IF(OR(NOT(ISNUMBER(K1660)),N(K1660)&lt;=0,N(K1660)&gt;1440),"Temps d'ouverture invalide",IF(OR(AND(G1660&lt;&gt;"",NOT(ISNUMBER(G1660))),N(G1660)&lt;0,N(G1660)&lt;&gt;INT(N(G1660)),AND(H1660&lt;&gt;"",NOT(ISNUMBER(H1660))),N(H1660)&lt;0,N(H1660)&lt;&gt;INT(N(H1660)),AND(I1660&lt;&gt;"",NOT(ISNUMBER(I1660))),N(I1660)&lt;0,N(I1660)&lt;&gt;INT(N(I1660))),"Quantité invalide",IF(Q1660&lt;=0,"Cadence manquante (poste ou article)",IF(M1660&lt;=0,"Arrêts planifiés supérieurs au temps d'ouverture",IF(O1660&lt;0,"Arrêts supérieurs au temps requis",IF(AND(P1660&gt;0,O1660=0),"Pièces déclarées sans temps de marche",IF(AND(P1660=0,O1660&gt;0),"Aucune pièce déclarée",IF(P1660*60/Q1660&gt;O1660+0.001,"Cadence dépassée : vérifiez la cadence","OK"))))))))))))))))))</f>
        <v/>
      </c>
      <c r="AC1660">
        <f>IF(OR(AB1660="OK",AB1660="Aucune pièce déclarée",AB1660="Cadence dépassée : vérifiez la cadence"),1,0)</f>
        <v>0.0</v>
      </c>
      <c r="AD1660">
        <f>IF(AND(AC1660=1,A1660&gt;=p_from,A1660&lt;=p_to),1,0)</f>
        <v>0.0</v>
      </c>
      <c r="AE1660">
        <f>IF(AD1660=1,IF(COUNTIFS($A$6:A1660,A1660,$AD$6:AD1660,1)=1,1,0),0)</f>
        <v>0.0</v>
      </c>
      <c r="AF1660" t="str">
        <f>IF(AE1660=1,COUNTIFS(sj_first,1,sj_date,"&lt;"&amp;A1660)+1,"")</f>
        <v/>
      </c>
      <c r="AG1660" t="str">
        <f>IF(AND(AD1660=1,N(W1660)&lt;p_alert),ROUND(W1660,4),"")</f>
        <v/>
      </c>
      <c r="AH1660" t="str">
        <f>IF(AG1660="","",COUNTIF(sj_akey,"&lt;"&amp;AG1660)+COUNTIF($AG$6:AG1660,AG1660))</f>
        <v/>
      </c>
    </row>
    <row r="1661">
      <c r="A1661" s="51" t="n"/>
      <c r="B1661" s="52" t="n"/>
      <c r="C1661" s="52" t="n"/>
      <c r="D1661" s="53" t="n"/>
      <c r="E1661" s="53" t="n"/>
      <c r="F1661" s="54" t="n"/>
      <c r="G1661" s="54" t="n"/>
      <c r="H1661" s="54" t="n"/>
      <c r="I1661" s="54" t="n"/>
      <c r="J1661" s="53" t="n"/>
      <c r="K1661" s="55" t="str">
        <f>IF(COUNTA(A1661:I1661)=0,"",IF(F1661="",IFERROR(INDEX(eq_dur,MATCH(B1661,eq_code,0)),""),F1661))</f>
        <v/>
      </c>
      <c r="L1661" s="55" t="str">
        <f>IF(ISNUMBER(K1661),N(IFERROR(INDEX(eq_pause,MATCH(B1661,eq_code,0)),0))+SUMIFS(st_min,st_date,A1661,st_eq,B1661,st_po,C1661,st_type,"Planifié"),"")</f>
        <v/>
      </c>
      <c r="M1661" s="55" t="str">
        <f>IF(ISNUMBER(K1661),K1661-L1661,"")</f>
        <v/>
      </c>
      <c r="N1661" s="55" t="str">
        <f>IF(ISNUMBER(K1661),SUMIFS(st_min,st_date,A1661,st_eq,B1661,st_po,C1661,st_type,"Non planifié"),"")</f>
        <v/>
      </c>
      <c r="O1661" s="55" t="str">
        <f>IF(ISNUMBER(K1661),M1661-N1661,"")</f>
        <v/>
      </c>
      <c r="P1661" s="55" t="str">
        <f>IF(COUNTA(A1661:I1661)=0,"",N(G1661)+N(H1661)+N(I1661))</f>
        <v/>
      </c>
      <c r="Q1661" s="56" t="str">
        <f>IF(COUNTA(A1661:I1661)=0,"",IF(N(IFERROR(INDEX(art_rate,MATCH(E1661,art_ref,0)),0))&gt;0,N(IFERROR(INDEX(art_rate,MATCH(E1661,art_ref,0)),0)),N(IFERROR(INDEX(po_rate,MATCH(C1661,po_code,0)),0))))</f>
        <v/>
      </c>
      <c r="R1661" s="55" t="str">
        <f>IF(AC1661=1,P1661*60/Q1661,"")</f>
        <v/>
      </c>
      <c r="S1661" s="55" t="str">
        <f>IF(AC1661=1,N(G1661)*60/Q1661,"")</f>
        <v/>
      </c>
      <c r="T1661" s="57" t="str">
        <f>IF(AC1661=1,O1661/M1661,"")</f>
        <v/>
      </c>
      <c r="U1661" s="57" t="str">
        <f>IF(AC1661=1,IF(O1661&gt;0,R1661/O1661,""),"")</f>
        <v/>
      </c>
      <c r="V1661" s="57" t="str">
        <f>IF(AC1661=1,IF(P1661&gt;0,N(G1661)/P1661,""),"")</f>
        <v/>
      </c>
      <c r="W1661" s="57" t="str">
        <f>IF(AC1661=1,S1661/M1661,"")</f>
        <v/>
      </c>
      <c r="X1661" s="57" t="str">
        <f>IF(AC1661=1,S1661/K1661,"")</f>
        <v/>
      </c>
      <c r="Y1661" s="58" t="str">
        <f>IF(W1661="","",IF(W1661&gt;=p_target,"Bon",IF(W1661&gt;=p_alert,"À surveiller","Faible")))</f>
        <v/>
      </c>
      <c r="Z1661" s="58" t="str">
        <f>IF(W1661="","",IF(MIN(IF(T1661="",1,T1661),IF(U1661="",1,U1661),IF(V1661="",1,V1661))&gt;=1,"Aucune",IF(IF(T1661="",1,T1661)&lt;=MIN(IF(U1661="",1,U1661),IF(V1661="",1,V1661)),"Disponibilité",IF(IF(U1661="",1,U1661)&lt;=IF(V1661="",1,V1661),"Performance","Qualité"))))</f>
        <v/>
      </c>
      <c r="AA1661" s="59" t="str">
        <f>IF(AC1661=1,N(H1661)*N(IFERROR(INDEX(art_cost,MATCH(E1661,art_ref,0)),0)),"")</f>
        <v/>
      </c>
      <c r="AB1661" s="58" t="str">
        <f>IF(COUNTA(A1661:I1661)=0,"",IF(N(A1661)&lt;=0,"Date manquante ou invalide",IF(B1661="","Équipe manquante",IF(ISNA(MATCH(B1661,eq_code,0)),"Équipe inconnue",IF(INDEX(eq_check,MATCH(B1661,eq_code,0))&lt;&gt;"OK","Équipe à corriger dans Paramètres",IF(C1661="","Poste manquant",IF(ISNA(MATCH(C1661,po_code,0)),"Poste inconnu",IF(AND(E1661&lt;&gt;"",ISNA(MATCH(E1661,art_ref,0))),"Article inconnu",IF(IF(E1661="",FALSE,INDEX(art_check,MATCH(E1661,art_ref,0))&lt;&gt;"OK"),"Article à corriger (feuille Articles)",IF(COUNTIFS(sj_date,A1661,sj_eq,B1661,sj_po,C1661)&gt;1,"Ligne en double (même jour, équipe et poste)",IF(OR(NOT(ISNUMBER(K1661)),N(K1661)&lt;=0,N(K1661)&gt;1440),"Temps d'ouverture invalide",IF(OR(AND(G1661&lt;&gt;"",NOT(ISNUMBER(G1661))),N(G1661)&lt;0,N(G1661)&lt;&gt;INT(N(G1661)),AND(H1661&lt;&gt;"",NOT(ISNUMBER(H1661))),N(H1661)&lt;0,N(H1661)&lt;&gt;INT(N(H1661)),AND(I1661&lt;&gt;"",NOT(ISNUMBER(I1661))),N(I1661)&lt;0,N(I1661)&lt;&gt;INT(N(I1661))),"Quantité invalide",IF(Q1661&lt;=0,"Cadence manquante (poste ou article)",IF(M1661&lt;=0,"Arrêts planifiés supérieurs au temps d'ouverture",IF(O1661&lt;0,"Arrêts supérieurs au temps requis",IF(AND(P1661&gt;0,O1661=0),"Pièces déclarées sans temps de marche",IF(AND(P1661=0,O1661&gt;0),"Aucune pièce déclarée",IF(P1661*60/Q1661&gt;O1661+0.001,"Cadence dépassée : vérifiez la cadence","OK"))))))))))))))))))</f>
        <v/>
      </c>
      <c r="AC1661">
        <f>IF(OR(AB1661="OK",AB1661="Aucune pièce déclarée",AB1661="Cadence dépassée : vérifiez la cadence"),1,0)</f>
        <v>0.0</v>
      </c>
      <c r="AD1661">
        <f>IF(AND(AC1661=1,A1661&gt;=p_from,A1661&lt;=p_to),1,0)</f>
        <v>0.0</v>
      </c>
      <c r="AE1661">
        <f>IF(AD1661=1,IF(COUNTIFS($A$6:A1661,A1661,$AD$6:AD1661,1)=1,1,0),0)</f>
        <v>0.0</v>
      </c>
      <c r="AF1661" t="str">
        <f>IF(AE1661=1,COUNTIFS(sj_first,1,sj_date,"&lt;"&amp;A1661)+1,"")</f>
        <v/>
      </c>
      <c r="AG1661" t="str">
        <f>IF(AND(AD1661=1,N(W1661)&lt;p_alert),ROUND(W1661,4),"")</f>
        <v/>
      </c>
      <c r="AH1661" t="str">
        <f>IF(AG1661="","",COUNTIF(sj_akey,"&lt;"&amp;AG1661)+COUNTIF($AG$6:AG1661,AG1661))</f>
        <v/>
      </c>
    </row>
    <row r="1662">
      <c r="A1662" s="51" t="n"/>
      <c r="B1662" s="52" t="n"/>
      <c r="C1662" s="52" t="n"/>
      <c r="D1662" s="53" t="n"/>
      <c r="E1662" s="53" t="n"/>
      <c r="F1662" s="54" t="n"/>
      <c r="G1662" s="54" t="n"/>
      <c r="H1662" s="54" t="n"/>
      <c r="I1662" s="54" t="n"/>
      <c r="J1662" s="53" t="n"/>
      <c r="K1662" s="55" t="str">
        <f>IF(COUNTA(A1662:I1662)=0,"",IF(F1662="",IFERROR(INDEX(eq_dur,MATCH(B1662,eq_code,0)),""),F1662))</f>
        <v/>
      </c>
      <c r="L1662" s="55" t="str">
        <f>IF(ISNUMBER(K1662),N(IFERROR(INDEX(eq_pause,MATCH(B1662,eq_code,0)),0))+SUMIFS(st_min,st_date,A1662,st_eq,B1662,st_po,C1662,st_type,"Planifié"),"")</f>
        <v/>
      </c>
      <c r="M1662" s="55" t="str">
        <f>IF(ISNUMBER(K1662),K1662-L1662,"")</f>
        <v/>
      </c>
      <c r="N1662" s="55" t="str">
        <f>IF(ISNUMBER(K1662),SUMIFS(st_min,st_date,A1662,st_eq,B1662,st_po,C1662,st_type,"Non planifié"),"")</f>
        <v/>
      </c>
      <c r="O1662" s="55" t="str">
        <f>IF(ISNUMBER(K1662),M1662-N1662,"")</f>
        <v/>
      </c>
      <c r="P1662" s="55" t="str">
        <f>IF(COUNTA(A1662:I1662)=0,"",N(G1662)+N(H1662)+N(I1662))</f>
        <v/>
      </c>
      <c r="Q1662" s="56" t="str">
        <f>IF(COUNTA(A1662:I1662)=0,"",IF(N(IFERROR(INDEX(art_rate,MATCH(E1662,art_ref,0)),0))&gt;0,N(IFERROR(INDEX(art_rate,MATCH(E1662,art_ref,0)),0)),N(IFERROR(INDEX(po_rate,MATCH(C1662,po_code,0)),0))))</f>
        <v/>
      </c>
      <c r="R1662" s="55" t="str">
        <f>IF(AC1662=1,P1662*60/Q1662,"")</f>
        <v/>
      </c>
      <c r="S1662" s="55" t="str">
        <f>IF(AC1662=1,N(G1662)*60/Q1662,"")</f>
        <v/>
      </c>
      <c r="T1662" s="57" t="str">
        <f>IF(AC1662=1,O1662/M1662,"")</f>
        <v/>
      </c>
      <c r="U1662" s="57" t="str">
        <f>IF(AC1662=1,IF(O1662&gt;0,R1662/O1662,""),"")</f>
        <v/>
      </c>
      <c r="V1662" s="57" t="str">
        <f>IF(AC1662=1,IF(P1662&gt;0,N(G1662)/P1662,""),"")</f>
        <v/>
      </c>
      <c r="W1662" s="57" t="str">
        <f>IF(AC1662=1,S1662/M1662,"")</f>
        <v/>
      </c>
      <c r="X1662" s="57" t="str">
        <f>IF(AC1662=1,S1662/K1662,"")</f>
        <v/>
      </c>
      <c r="Y1662" s="58" t="str">
        <f>IF(W1662="","",IF(W1662&gt;=p_target,"Bon",IF(W1662&gt;=p_alert,"À surveiller","Faible")))</f>
        <v/>
      </c>
      <c r="Z1662" s="58" t="str">
        <f>IF(W1662="","",IF(MIN(IF(T1662="",1,T1662),IF(U1662="",1,U1662),IF(V1662="",1,V1662))&gt;=1,"Aucune",IF(IF(T1662="",1,T1662)&lt;=MIN(IF(U1662="",1,U1662),IF(V1662="",1,V1662)),"Disponibilité",IF(IF(U1662="",1,U1662)&lt;=IF(V1662="",1,V1662),"Performance","Qualité"))))</f>
        <v/>
      </c>
      <c r="AA1662" s="59" t="str">
        <f>IF(AC1662=1,N(H1662)*N(IFERROR(INDEX(art_cost,MATCH(E1662,art_ref,0)),0)),"")</f>
        <v/>
      </c>
      <c r="AB1662" s="58" t="str">
        <f>IF(COUNTA(A1662:I1662)=0,"",IF(N(A1662)&lt;=0,"Date manquante ou invalide",IF(B1662="","Équipe manquante",IF(ISNA(MATCH(B1662,eq_code,0)),"Équipe inconnue",IF(INDEX(eq_check,MATCH(B1662,eq_code,0))&lt;&gt;"OK","Équipe à corriger dans Paramètres",IF(C1662="","Poste manquant",IF(ISNA(MATCH(C1662,po_code,0)),"Poste inconnu",IF(AND(E1662&lt;&gt;"",ISNA(MATCH(E1662,art_ref,0))),"Article inconnu",IF(IF(E1662="",FALSE,INDEX(art_check,MATCH(E1662,art_ref,0))&lt;&gt;"OK"),"Article à corriger (feuille Articles)",IF(COUNTIFS(sj_date,A1662,sj_eq,B1662,sj_po,C1662)&gt;1,"Ligne en double (même jour, équipe et poste)",IF(OR(NOT(ISNUMBER(K1662)),N(K1662)&lt;=0,N(K1662)&gt;1440),"Temps d'ouverture invalide",IF(OR(AND(G1662&lt;&gt;"",NOT(ISNUMBER(G1662))),N(G1662)&lt;0,N(G1662)&lt;&gt;INT(N(G1662)),AND(H1662&lt;&gt;"",NOT(ISNUMBER(H1662))),N(H1662)&lt;0,N(H1662)&lt;&gt;INT(N(H1662)),AND(I1662&lt;&gt;"",NOT(ISNUMBER(I1662))),N(I1662)&lt;0,N(I1662)&lt;&gt;INT(N(I1662))),"Quantité invalide",IF(Q1662&lt;=0,"Cadence manquante (poste ou article)",IF(M1662&lt;=0,"Arrêts planifiés supérieurs au temps d'ouverture",IF(O1662&lt;0,"Arrêts supérieurs au temps requis",IF(AND(P1662&gt;0,O1662=0),"Pièces déclarées sans temps de marche",IF(AND(P1662=0,O1662&gt;0),"Aucune pièce déclarée",IF(P1662*60/Q1662&gt;O1662+0.001,"Cadence dépassée : vérifiez la cadence","OK"))))))))))))))))))</f>
        <v/>
      </c>
      <c r="AC1662">
        <f>IF(OR(AB1662="OK",AB1662="Aucune pièce déclarée",AB1662="Cadence dépassée : vérifiez la cadence"),1,0)</f>
        <v>0.0</v>
      </c>
      <c r="AD1662">
        <f>IF(AND(AC1662=1,A1662&gt;=p_from,A1662&lt;=p_to),1,0)</f>
        <v>0.0</v>
      </c>
      <c r="AE1662">
        <f>IF(AD1662=1,IF(COUNTIFS($A$6:A1662,A1662,$AD$6:AD1662,1)=1,1,0),0)</f>
        <v>0.0</v>
      </c>
      <c r="AF1662" t="str">
        <f>IF(AE1662=1,COUNTIFS(sj_first,1,sj_date,"&lt;"&amp;A1662)+1,"")</f>
        <v/>
      </c>
      <c r="AG1662" t="str">
        <f>IF(AND(AD1662=1,N(W1662)&lt;p_alert),ROUND(W1662,4),"")</f>
        <v/>
      </c>
      <c r="AH1662" t="str">
        <f>IF(AG1662="","",COUNTIF(sj_akey,"&lt;"&amp;AG1662)+COUNTIF($AG$6:AG1662,AG1662))</f>
        <v/>
      </c>
    </row>
    <row r="1663">
      <c r="A1663" s="51" t="n"/>
      <c r="B1663" s="52" t="n"/>
      <c r="C1663" s="52" t="n"/>
      <c r="D1663" s="53" t="n"/>
      <c r="E1663" s="53" t="n"/>
      <c r="F1663" s="54" t="n"/>
      <c r="G1663" s="54" t="n"/>
      <c r="H1663" s="54" t="n"/>
      <c r="I1663" s="54" t="n"/>
      <c r="J1663" s="53" t="n"/>
      <c r="K1663" s="55" t="str">
        <f>IF(COUNTA(A1663:I1663)=0,"",IF(F1663="",IFERROR(INDEX(eq_dur,MATCH(B1663,eq_code,0)),""),F1663))</f>
        <v/>
      </c>
      <c r="L1663" s="55" t="str">
        <f>IF(ISNUMBER(K1663),N(IFERROR(INDEX(eq_pause,MATCH(B1663,eq_code,0)),0))+SUMIFS(st_min,st_date,A1663,st_eq,B1663,st_po,C1663,st_type,"Planifié"),"")</f>
        <v/>
      </c>
      <c r="M1663" s="55" t="str">
        <f>IF(ISNUMBER(K1663),K1663-L1663,"")</f>
        <v/>
      </c>
      <c r="N1663" s="55" t="str">
        <f>IF(ISNUMBER(K1663),SUMIFS(st_min,st_date,A1663,st_eq,B1663,st_po,C1663,st_type,"Non planifié"),"")</f>
        <v/>
      </c>
      <c r="O1663" s="55" t="str">
        <f>IF(ISNUMBER(K1663),M1663-N1663,"")</f>
        <v/>
      </c>
      <c r="P1663" s="55" t="str">
        <f>IF(COUNTA(A1663:I1663)=0,"",N(G1663)+N(H1663)+N(I1663))</f>
        <v/>
      </c>
      <c r="Q1663" s="56" t="str">
        <f>IF(COUNTA(A1663:I1663)=0,"",IF(N(IFERROR(INDEX(art_rate,MATCH(E1663,art_ref,0)),0))&gt;0,N(IFERROR(INDEX(art_rate,MATCH(E1663,art_ref,0)),0)),N(IFERROR(INDEX(po_rate,MATCH(C1663,po_code,0)),0))))</f>
        <v/>
      </c>
      <c r="R1663" s="55" t="str">
        <f>IF(AC1663=1,P1663*60/Q1663,"")</f>
        <v/>
      </c>
      <c r="S1663" s="55" t="str">
        <f>IF(AC1663=1,N(G1663)*60/Q1663,"")</f>
        <v/>
      </c>
      <c r="T1663" s="57" t="str">
        <f>IF(AC1663=1,O1663/M1663,"")</f>
        <v/>
      </c>
      <c r="U1663" s="57" t="str">
        <f>IF(AC1663=1,IF(O1663&gt;0,R1663/O1663,""),"")</f>
        <v/>
      </c>
      <c r="V1663" s="57" t="str">
        <f>IF(AC1663=1,IF(P1663&gt;0,N(G1663)/P1663,""),"")</f>
        <v/>
      </c>
      <c r="W1663" s="57" t="str">
        <f>IF(AC1663=1,S1663/M1663,"")</f>
        <v/>
      </c>
      <c r="X1663" s="57" t="str">
        <f>IF(AC1663=1,S1663/K1663,"")</f>
        <v/>
      </c>
      <c r="Y1663" s="58" t="str">
        <f>IF(W1663="","",IF(W1663&gt;=p_target,"Bon",IF(W1663&gt;=p_alert,"À surveiller","Faible")))</f>
        <v/>
      </c>
      <c r="Z1663" s="58" t="str">
        <f>IF(W1663="","",IF(MIN(IF(T1663="",1,T1663),IF(U1663="",1,U1663),IF(V1663="",1,V1663))&gt;=1,"Aucune",IF(IF(T1663="",1,T1663)&lt;=MIN(IF(U1663="",1,U1663),IF(V1663="",1,V1663)),"Disponibilité",IF(IF(U1663="",1,U1663)&lt;=IF(V1663="",1,V1663),"Performance","Qualité"))))</f>
        <v/>
      </c>
      <c r="AA1663" s="59" t="str">
        <f>IF(AC1663=1,N(H1663)*N(IFERROR(INDEX(art_cost,MATCH(E1663,art_ref,0)),0)),"")</f>
        <v/>
      </c>
      <c r="AB1663" s="58" t="str">
        <f>IF(COUNTA(A1663:I1663)=0,"",IF(N(A1663)&lt;=0,"Date manquante ou invalide",IF(B1663="","Équipe manquante",IF(ISNA(MATCH(B1663,eq_code,0)),"Équipe inconnue",IF(INDEX(eq_check,MATCH(B1663,eq_code,0))&lt;&gt;"OK","Équipe à corriger dans Paramètres",IF(C1663="","Poste manquant",IF(ISNA(MATCH(C1663,po_code,0)),"Poste inconnu",IF(AND(E1663&lt;&gt;"",ISNA(MATCH(E1663,art_ref,0))),"Article inconnu",IF(IF(E1663="",FALSE,INDEX(art_check,MATCH(E1663,art_ref,0))&lt;&gt;"OK"),"Article à corriger (feuille Articles)",IF(COUNTIFS(sj_date,A1663,sj_eq,B1663,sj_po,C1663)&gt;1,"Ligne en double (même jour, équipe et poste)",IF(OR(NOT(ISNUMBER(K1663)),N(K1663)&lt;=0,N(K1663)&gt;1440),"Temps d'ouverture invalide",IF(OR(AND(G1663&lt;&gt;"",NOT(ISNUMBER(G1663))),N(G1663)&lt;0,N(G1663)&lt;&gt;INT(N(G1663)),AND(H1663&lt;&gt;"",NOT(ISNUMBER(H1663))),N(H1663)&lt;0,N(H1663)&lt;&gt;INT(N(H1663)),AND(I1663&lt;&gt;"",NOT(ISNUMBER(I1663))),N(I1663)&lt;0,N(I1663)&lt;&gt;INT(N(I1663))),"Quantité invalide",IF(Q1663&lt;=0,"Cadence manquante (poste ou article)",IF(M1663&lt;=0,"Arrêts planifiés supérieurs au temps d'ouverture",IF(O1663&lt;0,"Arrêts supérieurs au temps requis",IF(AND(P1663&gt;0,O1663=0),"Pièces déclarées sans temps de marche",IF(AND(P1663=0,O1663&gt;0),"Aucune pièce déclarée",IF(P1663*60/Q1663&gt;O1663+0.001,"Cadence dépassée : vérifiez la cadence","OK"))))))))))))))))))</f>
        <v/>
      </c>
      <c r="AC1663">
        <f>IF(OR(AB1663="OK",AB1663="Aucune pièce déclarée",AB1663="Cadence dépassée : vérifiez la cadence"),1,0)</f>
        <v>0.0</v>
      </c>
      <c r="AD1663">
        <f>IF(AND(AC1663=1,A1663&gt;=p_from,A1663&lt;=p_to),1,0)</f>
        <v>0.0</v>
      </c>
      <c r="AE1663">
        <f>IF(AD1663=1,IF(COUNTIFS($A$6:A1663,A1663,$AD$6:AD1663,1)=1,1,0),0)</f>
        <v>0.0</v>
      </c>
      <c r="AF1663" t="str">
        <f>IF(AE1663=1,COUNTIFS(sj_first,1,sj_date,"&lt;"&amp;A1663)+1,"")</f>
        <v/>
      </c>
      <c r="AG1663" t="str">
        <f>IF(AND(AD1663=1,N(W1663)&lt;p_alert),ROUND(W1663,4),"")</f>
        <v/>
      </c>
      <c r="AH1663" t="str">
        <f>IF(AG1663="","",COUNTIF(sj_akey,"&lt;"&amp;AG1663)+COUNTIF($AG$6:AG1663,AG1663))</f>
        <v/>
      </c>
    </row>
    <row r="1664">
      <c r="A1664" s="51" t="n"/>
      <c r="B1664" s="52" t="n"/>
      <c r="C1664" s="52" t="n"/>
      <c r="D1664" s="53" t="n"/>
      <c r="E1664" s="53" t="n"/>
      <c r="F1664" s="54" t="n"/>
      <c r="G1664" s="54" t="n"/>
      <c r="H1664" s="54" t="n"/>
      <c r="I1664" s="54" t="n"/>
      <c r="J1664" s="53" t="n"/>
      <c r="K1664" s="55" t="str">
        <f>IF(COUNTA(A1664:I1664)=0,"",IF(F1664="",IFERROR(INDEX(eq_dur,MATCH(B1664,eq_code,0)),""),F1664))</f>
        <v/>
      </c>
      <c r="L1664" s="55" t="str">
        <f>IF(ISNUMBER(K1664),N(IFERROR(INDEX(eq_pause,MATCH(B1664,eq_code,0)),0))+SUMIFS(st_min,st_date,A1664,st_eq,B1664,st_po,C1664,st_type,"Planifié"),"")</f>
        <v/>
      </c>
      <c r="M1664" s="55" t="str">
        <f>IF(ISNUMBER(K1664),K1664-L1664,"")</f>
        <v/>
      </c>
      <c r="N1664" s="55" t="str">
        <f>IF(ISNUMBER(K1664),SUMIFS(st_min,st_date,A1664,st_eq,B1664,st_po,C1664,st_type,"Non planifié"),"")</f>
        <v/>
      </c>
      <c r="O1664" s="55" t="str">
        <f>IF(ISNUMBER(K1664),M1664-N1664,"")</f>
        <v/>
      </c>
      <c r="P1664" s="55" t="str">
        <f>IF(COUNTA(A1664:I1664)=0,"",N(G1664)+N(H1664)+N(I1664))</f>
        <v/>
      </c>
      <c r="Q1664" s="56" t="str">
        <f>IF(COUNTA(A1664:I1664)=0,"",IF(N(IFERROR(INDEX(art_rate,MATCH(E1664,art_ref,0)),0))&gt;0,N(IFERROR(INDEX(art_rate,MATCH(E1664,art_ref,0)),0)),N(IFERROR(INDEX(po_rate,MATCH(C1664,po_code,0)),0))))</f>
        <v/>
      </c>
      <c r="R1664" s="55" t="str">
        <f>IF(AC1664=1,P1664*60/Q1664,"")</f>
        <v/>
      </c>
      <c r="S1664" s="55" t="str">
        <f>IF(AC1664=1,N(G1664)*60/Q1664,"")</f>
        <v/>
      </c>
      <c r="T1664" s="57" t="str">
        <f>IF(AC1664=1,O1664/M1664,"")</f>
        <v/>
      </c>
      <c r="U1664" s="57" t="str">
        <f>IF(AC1664=1,IF(O1664&gt;0,R1664/O1664,""),"")</f>
        <v/>
      </c>
      <c r="V1664" s="57" t="str">
        <f>IF(AC1664=1,IF(P1664&gt;0,N(G1664)/P1664,""),"")</f>
        <v/>
      </c>
      <c r="W1664" s="57" t="str">
        <f>IF(AC1664=1,S1664/M1664,"")</f>
        <v/>
      </c>
      <c r="X1664" s="57" t="str">
        <f>IF(AC1664=1,S1664/K1664,"")</f>
        <v/>
      </c>
      <c r="Y1664" s="58" t="str">
        <f>IF(W1664="","",IF(W1664&gt;=p_target,"Bon",IF(W1664&gt;=p_alert,"À surveiller","Faible")))</f>
        <v/>
      </c>
      <c r="Z1664" s="58" t="str">
        <f>IF(W1664="","",IF(MIN(IF(T1664="",1,T1664),IF(U1664="",1,U1664),IF(V1664="",1,V1664))&gt;=1,"Aucune",IF(IF(T1664="",1,T1664)&lt;=MIN(IF(U1664="",1,U1664),IF(V1664="",1,V1664)),"Disponibilité",IF(IF(U1664="",1,U1664)&lt;=IF(V1664="",1,V1664),"Performance","Qualité"))))</f>
        <v/>
      </c>
      <c r="AA1664" s="59" t="str">
        <f>IF(AC1664=1,N(H1664)*N(IFERROR(INDEX(art_cost,MATCH(E1664,art_ref,0)),0)),"")</f>
        <v/>
      </c>
      <c r="AB1664" s="58" t="str">
        <f>IF(COUNTA(A1664:I1664)=0,"",IF(N(A1664)&lt;=0,"Date manquante ou invalide",IF(B1664="","Équipe manquante",IF(ISNA(MATCH(B1664,eq_code,0)),"Équipe inconnue",IF(INDEX(eq_check,MATCH(B1664,eq_code,0))&lt;&gt;"OK","Équipe à corriger dans Paramètres",IF(C1664="","Poste manquant",IF(ISNA(MATCH(C1664,po_code,0)),"Poste inconnu",IF(AND(E1664&lt;&gt;"",ISNA(MATCH(E1664,art_ref,0))),"Article inconnu",IF(IF(E1664="",FALSE,INDEX(art_check,MATCH(E1664,art_ref,0))&lt;&gt;"OK"),"Article à corriger (feuille Articles)",IF(COUNTIFS(sj_date,A1664,sj_eq,B1664,sj_po,C1664)&gt;1,"Ligne en double (même jour, équipe et poste)",IF(OR(NOT(ISNUMBER(K1664)),N(K1664)&lt;=0,N(K1664)&gt;1440),"Temps d'ouverture invalide",IF(OR(AND(G1664&lt;&gt;"",NOT(ISNUMBER(G1664))),N(G1664)&lt;0,N(G1664)&lt;&gt;INT(N(G1664)),AND(H1664&lt;&gt;"",NOT(ISNUMBER(H1664))),N(H1664)&lt;0,N(H1664)&lt;&gt;INT(N(H1664)),AND(I1664&lt;&gt;"",NOT(ISNUMBER(I1664))),N(I1664)&lt;0,N(I1664)&lt;&gt;INT(N(I1664))),"Quantité invalide",IF(Q1664&lt;=0,"Cadence manquante (poste ou article)",IF(M1664&lt;=0,"Arrêts planifiés supérieurs au temps d'ouverture",IF(O1664&lt;0,"Arrêts supérieurs au temps requis",IF(AND(P1664&gt;0,O1664=0),"Pièces déclarées sans temps de marche",IF(AND(P1664=0,O1664&gt;0),"Aucune pièce déclarée",IF(P1664*60/Q1664&gt;O1664+0.001,"Cadence dépassée : vérifiez la cadence","OK"))))))))))))))))))</f>
        <v/>
      </c>
      <c r="AC1664">
        <f>IF(OR(AB1664="OK",AB1664="Aucune pièce déclarée",AB1664="Cadence dépassée : vérifiez la cadence"),1,0)</f>
        <v>0.0</v>
      </c>
      <c r="AD1664">
        <f>IF(AND(AC1664=1,A1664&gt;=p_from,A1664&lt;=p_to),1,0)</f>
        <v>0.0</v>
      </c>
      <c r="AE1664">
        <f>IF(AD1664=1,IF(COUNTIFS($A$6:A1664,A1664,$AD$6:AD1664,1)=1,1,0),0)</f>
        <v>0.0</v>
      </c>
      <c r="AF1664" t="str">
        <f>IF(AE1664=1,COUNTIFS(sj_first,1,sj_date,"&lt;"&amp;A1664)+1,"")</f>
        <v/>
      </c>
      <c r="AG1664" t="str">
        <f>IF(AND(AD1664=1,N(W1664)&lt;p_alert),ROUND(W1664,4),"")</f>
        <v/>
      </c>
      <c r="AH1664" t="str">
        <f>IF(AG1664="","",COUNTIF(sj_akey,"&lt;"&amp;AG1664)+COUNTIF($AG$6:AG1664,AG1664))</f>
        <v/>
      </c>
    </row>
    <row r="1665">
      <c r="A1665" s="51" t="n"/>
      <c r="B1665" s="52" t="n"/>
      <c r="C1665" s="52" t="n"/>
      <c r="D1665" s="53" t="n"/>
      <c r="E1665" s="53" t="n"/>
      <c r="F1665" s="54" t="n"/>
      <c r="G1665" s="54" t="n"/>
      <c r="H1665" s="54" t="n"/>
      <c r="I1665" s="54" t="n"/>
      <c r="J1665" s="53" t="n"/>
      <c r="K1665" s="55" t="str">
        <f>IF(COUNTA(A1665:I1665)=0,"",IF(F1665="",IFERROR(INDEX(eq_dur,MATCH(B1665,eq_code,0)),""),F1665))</f>
        <v/>
      </c>
      <c r="L1665" s="55" t="str">
        <f>IF(ISNUMBER(K1665),N(IFERROR(INDEX(eq_pause,MATCH(B1665,eq_code,0)),0))+SUMIFS(st_min,st_date,A1665,st_eq,B1665,st_po,C1665,st_type,"Planifié"),"")</f>
        <v/>
      </c>
      <c r="M1665" s="55" t="str">
        <f>IF(ISNUMBER(K1665),K1665-L1665,"")</f>
        <v/>
      </c>
      <c r="N1665" s="55" t="str">
        <f>IF(ISNUMBER(K1665),SUMIFS(st_min,st_date,A1665,st_eq,B1665,st_po,C1665,st_type,"Non planifié"),"")</f>
        <v/>
      </c>
      <c r="O1665" s="55" t="str">
        <f>IF(ISNUMBER(K1665),M1665-N1665,"")</f>
        <v/>
      </c>
      <c r="P1665" s="55" t="str">
        <f>IF(COUNTA(A1665:I1665)=0,"",N(G1665)+N(H1665)+N(I1665))</f>
        <v/>
      </c>
      <c r="Q1665" s="56" t="str">
        <f>IF(COUNTA(A1665:I1665)=0,"",IF(N(IFERROR(INDEX(art_rate,MATCH(E1665,art_ref,0)),0))&gt;0,N(IFERROR(INDEX(art_rate,MATCH(E1665,art_ref,0)),0)),N(IFERROR(INDEX(po_rate,MATCH(C1665,po_code,0)),0))))</f>
        <v/>
      </c>
      <c r="R1665" s="55" t="str">
        <f>IF(AC1665=1,P1665*60/Q1665,"")</f>
        <v/>
      </c>
      <c r="S1665" s="55" t="str">
        <f>IF(AC1665=1,N(G1665)*60/Q1665,"")</f>
        <v/>
      </c>
      <c r="T1665" s="57" t="str">
        <f>IF(AC1665=1,O1665/M1665,"")</f>
        <v/>
      </c>
      <c r="U1665" s="57" t="str">
        <f>IF(AC1665=1,IF(O1665&gt;0,R1665/O1665,""),"")</f>
        <v/>
      </c>
      <c r="V1665" s="57" t="str">
        <f>IF(AC1665=1,IF(P1665&gt;0,N(G1665)/P1665,""),"")</f>
        <v/>
      </c>
      <c r="W1665" s="57" t="str">
        <f>IF(AC1665=1,S1665/M1665,"")</f>
        <v/>
      </c>
      <c r="X1665" s="57" t="str">
        <f>IF(AC1665=1,S1665/K1665,"")</f>
        <v/>
      </c>
      <c r="Y1665" s="58" t="str">
        <f>IF(W1665="","",IF(W1665&gt;=p_target,"Bon",IF(W1665&gt;=p_alert,"À surveiller","Faible")))</f>
        <v/>
      </c>
      <c r="Z1665" s="58" t="str">
        <f>IF(W1665="","",IF(MIN(IF(T1665="",1,T1665),IF(U1665="",1,U1665),IF(V1665="",1,V1665))&gt;=1,"Aucune",IF(IF(T1665="",1,T1665)&lt;=MIN(IF(U1665="",1,U1665),IF(V1665="",1,V1665)),"Disponibilité",IF(IF(U1665="",1,U1665)&lt;=IF(V1665="",1,V1665),"Performance","Qualité"))))</f>
        <v/>
      </c>
      <c r="AA1665" s="59" t="str">
        <f>IF(AC1665=1,N(H1665)*N(IFERROR(INDEX(art_cost,MATCH(E1665,art_ref,0)),0)),"")</f>
        <v/>
      </c>
      <c r="AB1665" s="58" t="str">
        <f>IF(COUNTA(A1665:I1665)=0,"",IF(N(A1665)&lt;=0,"Date manquante ou invalide",IF(B1665="","Équipe manquante",IF(ISNA(MATCH(B1665,eq_code,0)),"Équipe inconnue",IF(INDEX(eq_check,MATCH(B1665,eq_code,0))&lt;&gt;"OK","Équipe à corriger dans Paramètres",IF(C1665="","Poste manquant",IF(ISNA(MATCH(C1665,po_code,0)),"Poste inconnu",IF(AND(E1665&lt;&gt;"",ISNA(MATCH(E1665,art_ref,0))),"Article inconnu",IF(IF(E1665="",FALSE,INDEX(art_check,MATCH(E1665,art_ref,0))&lt;&gt;"OK"),"Article à corriger (feuille Articles)",IF(COUNTIFS(sj_date,A1665,sj_eq,B1665,sj_po,C1665)&gt;1,"Ligne en double (même jour, équipe et poste)",IF(OR(NOT(ISNUMBER(K1665)),N(K1665)&lt;=0,N(K1665)&gt;1440),"Temps d'ouverture invalide",IF(OR(AND(G1665&lt;&gt;"",NOT(ISNUMBER(G1665))),N(G1665)&lt;0,N(G1665)&lt;&gt;INT(N(G1665)),AND(H1665&lt;&gt;"",NOT(ISNUMBER(H1665))),N(H1665)&lt;0,N(H1665)&lt;&gt;INT(N(H1665)),AND(I1665&lt;&gt;"",NOT(ISNUMBER(I1665))),N(I1665)&lt;0,N(I1665)&lt;&gt;INT(N(I1665))),"Quantité invalide",IF(Q1665&lt;=0,"Cadence manquante (poste ou article)",IF(M1665&lt;=0,"Arrêts planifiés supérieurs au temps d'ouverture",IF(O1665&lt;0,"Arrêts supérieurs au temps requis",IF(AND(P1665&gt;0,O1665=0),"Pièces déclarées sans temps de marche",IF(AND(P1665=0,O1665&gt;0),"Aucune pièce déclarée",IF(P1665*60/Q1665&gt;O1665+0.001,"Cadence dépassée : vérifiez la cadence","OK"))))))))))))))))))</f>
        <v/>
      </c>
      <c r="AC1665">
        <f>IF(OR(AB1665="OK",AB1665="Aucune pièce déclarée",AB1665="Cadence dépassée : vérifiez la cadence"),1,0)</f>
        <v>0.0</v>
      </c>
      <c r="AD1665">
        <f>IF(AND(AC1665=1,A1665&gt;=p_from,A1665&lt;=p_to),1,0)</f>
        <v>0.0</v>
      </c>
      <c r="AE1665">
        <f>IF(AD1665=1,IF(COUNTIFS($A$6:A1665,A1665,$AD$6:AD1665,1)=1,1,0),0)</f>
        <v>0.0</v>
      </c>
      <c r="AF1665" t="str">
        <f>IF(AE1665=1,COUNTIFS(sj_first,1,sj_date,"&lt;"&amp;A1665)+1,"")</f>
        <v/>
      </c>
      <c r="AG1665" t="str">
        <f>IF(AND(AD1665=1,N(W1665)&lt;p_alert),ROUND(W1665,4),"")</f>
        <v/>
      </c>
      <c r="AH1665" t="str">
        <f>IF(AG1665="","",COUNTIF(sj_akey,"&lt;"&amp;AG1665)+COUNTIF($AG$6:AG1665,AG1665))</f>
        <v/>
      </c>
    </row>
    <row r="1666">
      <c r="A1666" s="51" t="n"/>
      <c r="B1666" s="52" t="n"/>
      <c r="C1666" s="52" t="n"/>
      <c r="D1666" s="53" t="n"/>
      <c r="E1666" s="53" t="n"/>
      <c r="F1666" s="54" t="n"/>
      <c r="G1666" s="54" t="n"/>
      <c r="H1666" s="54" t="n"/>
      <c r="I1666" s="54" t="n"/>
      <c r="J1666" s="53" t="n"/>
      <c r="K1666" s="55" t="str">
        <f>IF(COUNTA(A1666:I1666)=0,"",IF(F1666="",IFERROR(INDEX(eq_dur,MATCH(B1666,eq_code,0)),""),F1666))</f>
        <v/>
      </c>
      <c r="L1666" s="55" t="str">
        <f>IF(ISNUMBER(K1666),N(IFERROR(INDEX(eq_pause,MATCH(B1666,eq_code,0)),0))+SUMIFS(st_min,st_date,A1666,st_eq,B1666,st_po,C1666,st_type,"Planifié"),"")</f>
        <v/>
      </c>
      <c r="M1666" s="55" t="str">
        <f>IF(ISNUMBER(K1666),K1666-L1666,"")</f>
        <v/>
      </c>
      <c r="N1666" s="55" t="str">
        <f>IF(ISNUMBER(K1666),SUMIFS(st_min,st_date,A1666,st_eq,B1666,st_po,C1666,st_type,"Non planifié"),"")</f>
        <v/>
      </c>
      <c r="O1666" s="55" t="str">
        <f>IF(ISNUMBER(K1666),M1666-N1666,"")</f>
        <v/>
      </c>
      <c r="P1666" s="55" t="str">
        <f>IF(COUNTA(A1666:I1666)=0,"",N(G1666)+N(H1666)+N(I1666))</f>
        <v/>
      </c>
      <c r="Q1666" s="56" t="str">
        <f>IF(COUNTA(A1666:I1666)=0,"",IF(N(IFERROR(INDEX(art_rate,MATCH(E1666,art_ref,0)),0))&gt;0,N(IFERROR(INDEX(art_rate,MATCH(E1666,art_ref,0)),0)),N(IFERROR(INDEX(po_rate,MATCH(C1666,po_code,0)),0))))</f>
        <v/>
      </c>
      <c r="R1666" s="55" t="str">
        <f>IF(AC1666=1,P1666*60/Q1666,"")</f>
        <v/>
      </c>
      <c r="S1666" s="55" t="str">
        <f>IF(AC1666=1,N(G1666)*60/Q1666,"")</f>
        <v/>
      </c>
      <c r="T1666" s="57" t="str">
        <f>IF(AC1666=1,O1666/M1666,"")</f>
        <v/>
      </c>
      <c r="U1666" s="57" t="str">
        <f>IF(AC1666=1,IF(O1666&gt;0,R1666/O1666,""),"")</f>
        <v/>
      </c>
      <c r="V1666" s="57" t="str">
        <f>IF(AC1666=1,IF(P1666&gt;0,N(G1666)/P1666,""),"")</f>
        <v/>
      </c>
      <c r="W1666" s="57" t="str">
        <f>IF(AC1666=1,S1666/M1666,"")</f>
        <v/>
      </c>
      <c r="X1666" s="57" t="str">
        <f>IF(AC1666=1,S1666/K1666,"")</f>
        <v/>
      </c>
      <c r="Y1666" s="58" t="str">
        <f>IF(W1666="","",IF(W1666&gt;=p_target,"Bon",IF(W1666&gt;=p_alert,"À surveiller","Faible")))</f>
        <v/>
      </c>
      <c r="Z1666" s="58" t="str">
        <f>IF(W1666="","",IF(MIN(IF(T1666="",1,T1666),IF(U1666="",1,U1666),IF(V1666="",1,V1666))&gt;=1,"Aucune",IF(IF(T1666="",1,T1666)&lt;=MIN(IF(U1666="",1,U1666),IF(V1666="",1,V1666)),"Disponibilité",IF(IF(U1666="",1,U1666)&lt;=IF(V1666="",1,V1666),"Performance","Qualité"))))</f>
        <v/>
      </c>
      <c r="AA1666" s="59" t="str">
        <f>IF(AC1666=1,N(H1666)*N(IFERROR(INDEX(art_cost,MATCH(E1666,art_ref,0)),0)),"")</f>
        <v/>
      </c>
      <c r="AB1666" s="58" t="str">
        <f>IF(COUNTA(A1666:I1666)=0,"",IF(N(A1666)&lt;=0,"Date manquante ou invalide",IF(B1666="","Équipe manquante",IF(ISNA(MATCH(B1666,eq_code,0)),"Équipe inconnue",IF(INDEX(eq_check,MATCH(B1666,eq_code,0))&lt;&gt;"OK","Équipe à corriger dans Paramètres",IF(C1666="","Poste manquant",IF(ISNA(MATCH(C1666,po_code,0)),"Poste inconnu",IF(AND(E1666&lt;&gt;"",ISNA(MATCH(E1666,art_ref,0))),"Article inconnu",IF(IF(E1666="",FALSE,INDEX(art_check,MATCH(E1666,art_ref,0))&lt;&gt;"OK"),"Article à corriger (feuille Articles)",IF(COUNTIFS(sj_date,A1666,sj_eq,B1666,sj_po,C1666)&gt;1,"Ligne en double (même jour, équipe et poste)",IF(OR(NOT(ISNUMBER(K1666)),N(K1666)&lt;=0,N(K1666)&gt;1440),"Temps d'ouverture invalide",IF(OR(AND(G1666&lt;&gt;"",NOT(ISNUMBER(G1666))),N(G1666)&lt;0,N(G1666)&lt;&gt;INT(N(G1666)),AND(H1666&lt;&gt;"",NOT(ISNUMBER(H1666))),N(H1666)&lt;0,N(H1666)&lt;&gt;INT(N(H1666)),AND(I1666&lt;&gt;"",NOT(ISNUMBER(I1666))),N(I1666)&lt;0,N(I1666)&lt;&gt;INT(N(I1666))),"Quantité invalide",IF(Q1666&lt;=0,"Cadence manquante (poste ou article)",IF(M1666&lt;=0,"Arrêts planifiés supérieurs au temps d'ouverture",IF(O1666&lt;0,"Arrêts supérieurs au temps requis",IF(AND(P1666&gt;0,O1666=0),"Pièces déclarées sans temps de marche",IF(AND(P1666=0,O1666&gt;0),"Aucune pièce déclarée",IF(P1666*60/Q1666&gt;O1666+0.001,"Cadence dépassée : vérifiez la cadence","OK"))))))))))))))))))</f>
        <v/>
      </c>
      <c r="AC1666">
        <f>IF(OR(AB1666="OK",AB1666="Aucune pièce déclarée",AB1666="Cadence dépassée : vérifiez la cadence"),1,0)</f>
        <v>0.0</v>
      </c>
      <c r="AD1666">
        <f>IF(AND(AC1666=1,A1666&gt;=p_from,A1666&lt;=p_to),1,0)</f>
        <v>0.0</v>
      </c>
      <c r="AE1666">
        <f>IF(AD1666=1,IF(COUNTIFS($A$6:A1666,A1666,$AD$6:AD1666,1)=1,1,0),0)</f>
        <v>0.0</v>
      </c>
      <c r="AF1666" t="str">
        <f>IF(AE1666=1,COUNTIFS(sj_first,1,sj_date,"&lt;"&amp;A1666)+1,"")</f>
        <v/>
      </c>
      <c r="AG1666" t="str">
        <f>IF(AND(AD1666=1,N(W1666)&lt;p_alert),ROUND(W1666,4),"")</f>
        <v/>
      </c>
      <c r="AH1666" t="str">
        <f>IF(AG1666="","",COUNTIF(sj_akey,"&lt;"&amp;AG1666)+COUNTIF($AG$6:AG1666,AG1666))</f>
        <v/>
      </c>
    </row>
    <row r="1667">
      <c r="A1667" s="51" t="n"/>
      <c r="B1667" s="52" t="n"/>
      <c r="C1667" s="52" t="n"/>
      <c r="D1667" s="53" t="n"/>
      <c r="E1667" s="53" t="n"/>
      <c r="F1667" s="54" t="n"/>
      <c r="G1667" s="54" t="n"/>
      <c r="H1667" s="54" t="n"/>
      <c r="I1667" s="54" t="n"/>
      <c r="J1667" s="53" t="n"/>
      <c r="K1667" s="55" t="str">
        <f>IF(COUNTA(A1667:I1667)=0,"",IF(F1667="",IFERROR(INDEX(eq_dur,MATCH(B1667,eq_code,0)),""),F1667))</f>
        <v/>
      </c>
      <c r="L1667" s="55" t="str">
        <f>IF(ISNUMBER(K1667),N(IFERROR(INDEX(eq_pause,MATCH(B1667,eq_code,0)),0))+SUMIFS(st_min,st_date,A1667,st_eq,B1667,st_po,C1667,st_type,"Planifié"),"")</f>
        <v/>
      </c>
      <c r="M1667" s="55" t="str">
        <f>IF(ISNUMBER(K1667),K1667-L1667,"")</f>
        <v/>
      </c>
      <c r="N1667" s="55" t="str">
        <f>IF(ISNUMBER(K1667),SUMIFS(st_min,st_date,A1667,st_eq,B1667,st_po,C1667,st_type,"Non planifié"),"")</f>
        <v/>
      </c>
      <c r="O1667" s="55" t="str">
        <f>IF(ISNUMBER(K1667),M1667-N1667,"")</f>
        <v/>
      </c>
      <c r="P1667" s="55" t="str">
        <f>IF(COUNTA(A1667:I1667)=0,"",N(G1667)+N(H1667)+N(I1667))</f>
        <v/>
      </c>
      <c r="Q1667" s="56" t="str">
        <f>IF(COUNTA(A1667:I1667)=0,"",IF(N(IFERROR(INDEX(art_rate,MATCH(E1667,art_ref,0)),0))&gt;0,N(IFERROR(INDEX(art_rate,MATCH(E1667,art_ref,0)),0)),N(IFERROR(INDEX(po_rate,MATCH(C1667,po_code,0)),0))))</f>
        <v/>
      </c>
      <c r="R1667" s="55" t="str">
        <f>IF(AC1667=1,P1667*60/Q1667,"")</f>
        <v/>
      </c>
      <c r="S1667" s="55" t="str">
        <f>IF(AC1667=1,N(G1667)*60/Q1667,"")</f>
        <v/>
      </c>
      <c r="T1667" s="57" t="str">
        <f>IF(AC1667=1,O1667/M1667,"")</f>
        <v/>
      </c>
      <c r="U1667" s="57" t="str">
        <f>IF(AC1667=1,IF(O1667&gt;0,R1667/O1667,""),"")</f>
        <v/>
      </c>
      <c r="V1667" s="57" t="str">
        <f>IF(AC1667=1,IF(P1667&gt;0,N(G1667)/P1667,""),"")</f>
        <v/>
      </c>
      <c r="W1667" s="57" t="str">
        <f>IF(AC1667=1,S1667/M1667,"")</f>
        <v/>
      </c>
      <c r="X1667" s="57" t="str">
        <f>IF(AC1667=1,S1667/K1667,"")</f>
        <v/>
      </c>
      <c r="Y1667" s="58" t="str">
        <f>IF(W1667="","",IF(W1667&gt;=p_target,"Bon",IF(W1667&gt;=p_alert,"À surveiller","Faible")))</f>
        <v/>
      </c>
      <c r="Z1667" s="58" t="str">
        <f>IF(W1667="","",IF(MIN(IF(T1667="",1,T1667),IF(U1667="",1,U1667),IF(V1667="",1,V1667))&gt;=1,"Aucune",IF(IF(T1667="",1,T1667)&lt;=MIN(IF(U1667="",1,U1667),IF(V1667="",1,V1667)),"Disponibilité",IF(IF(U1667="",1,U1667)&lt;=IF(V1667="",1,V1667),"Performance","Qualité"))))</f>
        <v/>
      </c>
      <c r="AA1667" s="59" t="str">
        <f>IF(AC1667=1,N(H1667)*N(IFERROR(INDEX(art_cost,MATCH(E1667,art_ref,0)),0)),"")</f>
        <v/>
      </c>
      <c r="AB1667" s="58" t="str">
        <f>IF(COUNTA(A1667:I1667)=0,"",IF(N(A1667)&lt;=0,"Date manquante ou invalide",IF(B1667="","Équipe manquante",IF(ISNA(MATCH(B1667,eq_code,0)),"Équipe inconnue",IF(INDEX(eq_check,MATCH(B1667,eq_code,0))&lt;&gt;"OK","Équipe à corriger dans Paramètres",IF(C1667="","Poste manquant",IF(ISNA(MATCH(C1667,po_code,0)),"Poste inconnu",IF(AND(E1667&lt;&gt;"",ISNA(MATCH(E1667,art_ref,0))),"Article inconnu",IF(IF(E1667="",FALSE,INDEX(art_check,MATCH(E1667,art_ref,0))&lt;&gt;"OK"),"Article à corriger (feuille Articles)",IF(COUNTIFS(sj_date,A1667,sj_eq,B1667,sj_po,C1667)&gt;1,"Ligne en double (même jour, équipe et poste)",IF(OR(NOT(ISNUMBER(K1667)),N(K1667)&lt;=0,N(K1667)&gt;1440),"Temps d'ouverture invalide",IF(OR(AND(G1667&lt;&gt;"",NOT(ISNUMBER(G1667))),N(G1667)&lt;0,N(G1667)&lt;&gt;INT(N(G1667)),AND(H1667&lt;&gt;"",NOT(ISNUMBER(H1667))),N(H1667)&lt;0,N(H1667)&lt;&gt;INT(N(H1667)),AND(I1667&lt;&gt;"",NOT(ISNUMBER(I1667))),N(I1667)&lt;0,N(I1667)&lt;&gt;INT(N(I1667))),"Quantité invalide",IF(Q1667&lt;=0,"Cadence manquante (poste ou article)",IF(M1667&lt;=0,"Arrêts planifiés supérieurs au temps d'ouverture",IF(O1667&lt;0,"Arrêts supérieurs au temps requis",IF(AND(P1667&gt;0,O1667=0),"Pièces déclarées sans temps de marche",IF(AND(P1667=0,O1667&gt;0),"Aucune pièce déclarée",IF(P1667*60/Q1667&gt;O1667+0.001,"Cadence dépassée : vérifiez la cadence","OK"))))))))))))))))))</f>
        <v/>
      </c>
      <c r="AC1667">
        <f>IF(OR(AB1667="OK",AB1667="Aucune pièce déclarée",AB1667="Cadence dépassée : vérifiez la cadence"),1,0)</f>
        <v>0.0</v>
      </c>
      <c r="AD1667">
        <f>IF(AND(AC1667=1,A1667&gt;=p_from,A1667&lt;=p_to),1,0)</f>
        <v>0.0</v>
      </c>
      <c r="AE1667">
        <f>IF(AD1667=1,IF(COUNTIFS($A$6:A1667,A1667,$AD$6:AD1667,1)=1,1,0),0)</f>
        <v>0.0</v>
      </c>
      <c r="AF1667" t="str">
        <f>IF(AE1667=1,COUNTIFS(sj_first,1,sj_date,"&lt;"&amp;A1667)+1,"")</f>
        <v/>
      </c>
      <c r="AG1667" t="str">
        <f>IF(AND(AD1667=1,N(W1667)&lt;p_alert),ROUND(W1667,4),"")</f>
        <v/>
      </c>
      <c r="AH1667" t="str">
        <f>IF(AG1667="","",COUNTIF(sj_akey,"&lt;"&amp;AG1667)+COUNTIF($AG$6:AG1667,AG1667))</f>
        <v/>
      </c>
    </row>
    <row r="1668">
      <c r="A1668" s="51" t="n"/>
      <c r="B1668" s="52" t="n"/>
      <c r="C1668" s="52" t="n"/>
      <c r="D1668" s="53" t="n"/>
      <c r="E1668" s="53" t="n"/>
      <c r="F1668" s="54" t="n"/>
      <c r="G1668" s="54" t="n"/>
      <c r="H1668" s="54" t="n"/>
      <c r="I1668" s="54" t="n"/>
      <c r="J1668" s="53" t="n"/>
      <c r="K1668" s="55" t="str">
        <f>IF(COUNTA(A1668:I1668)=0,"",IF(F1668="",IFERROR(INDEX(eq_dur,MATCH(B1668,eq_code,0)),""),F1668))</f>
        <v/>
      </c>
      <c r="L1668" s="55" t="str">
        <f>IF(ISNUMBER(K1668),N(IFERROR(INDEX(eq_pause,MATCH(B1668,eq_code,0)),0))+SUMIFS(st_min,st_date,A1668,st_eq,B1668,st_po,C1668,st_type,"Planifié"),"")</f>
        <v/>
      </c>
      <c r="M1668" s="55" t="str">
        <f>IF(ISNUMBER(K1668),K1668-L1668,"")</f>
        <v/>
      </c>
      <c r="N1668" s="55" t="str">
        <f>IF(ISNUMBER(K1668),SUMIFS(st_min,st_date,A1668,st_eq,B1668,st_po,C1668,st_type,"Non planifié"),"")</f>
        <v/>
      </c>
      <c r="O1668" s="55" t="str">
        <f>IF(ISNUMBER(K1668),M1668-N1668,"")</f>
        <v/>
      </c>
      <c r="P1668" s="55" t="str">
        <f>IF(COUNTA(A1668:I1668)=0,"",N(G1668)+N(H1668)+N(I1668))</f>
        <v/>
      </c>
      <c r="Q1668" s="56" t="str">
        <f>IF(COUNTA(A1668:I1668)=0,"",IF(N(IFERROR(INDEX(art_rate,MATCH(E1668,art_ref,0)),0))&gt;0,N(IFERROR(INDEX(art_rate,MATCH(E1668,art_ref,0)),0)),N(IFERROR(INDEX(po_rate,MATCH(C1668,po_code,0)),0))))</f>
        <v/>
      </c>
      <c r="R1668" s="55" t="str">
        <f>IF(AC1668=1,P1668*60/Q1668,"")</f>
        <v/>
      </c>
      <c r="S1668" s="55" t="str">
        <f>IF(AC1668=1,N(G1668)*60/Q1668,"")</f>
        <v/>
      </c>
      <c r="T1668" s="57" t="str">
        <f>IF(AC1668=1,O1668/M1668,"")</f>
        <v/>
      </c>
      <c r="U1668" s="57" t="str">
        <f>IF(AC1668=1,IF(O1668&gt;0,R1668/O1668,""),"")</f>
        <v/>
      </c>
      <c r="V1668" s="57" t="str">
        <f>IF(AC1668=1,IF(P1668&gt;0,N(G1668)/P1668,""),"")</f>
        <v/>
      </c>
      <c r="W1668" s="57" t="str">
        <f>IF(AC1668=1,S1668/M1668,"")</f>
        <v/>
      </c>
      <c r="X1668" s="57" t="str">
        <f>IF(AC1668=1,S1668/K1668,"")</f>
        <v/>
      </c>
      <c r="Y1668" s="58" t="str">
        <f>IF(W1668="","",IF(W1668&gt;=p_target,"Bon",IF(W1668&gt;=p_alert,"À surveiller","Faible")))</f>
        <v/>
      </c>
      <c r="Z1668" s="58" t="str">
        <f>IF(W1668="","",IF(MIN(IF(T1668="",1,T1668),IF(U1668="",1,U1668),IF(V1668="",1,V1668))&gt;=1,"Aucune",IF(IF(T1668="",1,T1668)&lt;=MIN(IF(U1668="",1,U1668),IF(V1668="",1,V1668)),"Disponibilité",IF(IF(U1668="",1,U1668)&lt;=IF(V1668="",1,V1668),"Performance","Qualité"))))</f>
        <v/>
      </c>
      <c r="AA1668" s="59" t="str">
        <f>IF(AC1668=1,N(H1668)*N(IFERROR(INDEX(art_cost,MATCH(E1668,art_ref,0)),0)),"")</f>
        <v/>
      </c>
      <c r="AB1668" s="58" t="str">
        <f>IF(COUNTA(A1668:I1668)=0,"",IF(N(A1668)&lt;=0,"Date manquante ou invalide",IF(B1668="","Équipe manquante",IF(ISNA(MATCH(B1668,eq_code,0)),"Équipe inconnue",IF(INDEX(eq_check,MATCH(B1668,eq_code,0))&lt;&gt;"OK","Équipe à corriger dans Paramètres",IF(C1668="","Poste manquant",IF(ISNA(MATCH(C1668,po_code,0)),"Poste inconnu",IF(AND(E1668&lt;&gt;"",ISNA(MATCH(E1668,art_ref,0))),"Article inconnu",IF(IF(E1668="",FALSE,INDEX(art_check,MATCH(E1668,art_ref,0))&lt;&gt;"OK"),"Article à corriger (feuille Articles)",IF(COUNTIFS(sj_date,A1668,sj_eq,B1668,sj_po,C1668)&gt;1,"Ligne en double (même jour, équipe et poste)",IF(OR(NOT(ISNUMBER(K1668)),N(K1668)&lt;=0,N(K1668)&gt;1440),"Temps d'ouverture invalide",IF(OR(AND(G1668&lt;&gt;"",NOT(ISNUMBER(G1668))),N(G1668)&lt;0,N(G1668)&lt;&gt;INT(N(G1668)),AND(H1668&lt;&gt;"",NOT(ISNUMBER(H1668))),N(H1668)&lt;0,N(H1668)&lt;&gt;INT(N(H1668)),AND(I1668&lt;&gt;"",NOT(ISNUMBER(I1668))),N(I1668)&lt;0,N(I1668)&lt;&gt;INT(N(I1668))),"Quantité invalide",IF(Q1668&lt;=0,"Cadence manquante (poste ou article)",IF(M1668&lt;=0,"Arrêts planifiés supérieurs au temps d'ouverture",IF(O1668&lt;0,"Arrêts supérieurs au temps requis",IF(AND(P1668&gt;0,O1668=0),"Pièces déclarées sans temps de marche",IF(AND(P1668=0,O1668&gt;0),"Aucune pièce déclarée",IF(P1668*60/Q1668&gt;O1668+0.001,"Cadence dépassée : vérifiez la cadence","OK"))))))))))))))))))</f>
        <v/>
      </c>
      <c r="AC1668">
        <f>IF(OR(AB1668="OK",AB1668="Aucune pièce déclarée",AB1668="Cadence dépassée : vérifiez la cadence"),1,0)</f>
        <v>0.0</v>
      </c>
      <c r="AD1668">
        <f>IF(AND(AC1668=1,A1668&gt;=p_from,A1668&lt;=p_to),1,0)</f>
        <v>0.0</v>
      </c>
      <c r="AE1668">
        <f>IF(AD1668=1,IF(COUNTIFS($A$6:A1668,A1668,$AD$6:AD1668,1)=1,1,0),0)</f>
        <v>0.0</v>
      </c>
      <c r="AF1668" t="str">
        <f>IF(AE1668=1,COUNTIFS(sj_first,1,sj_date,"&lt;"&amp;A1668)+1,"")</f>
        <v/>
      </c>
      <c r="AG1668" t="str">
        <f>IF(AND(AD1668=1,N(W1668)&lt;p_alert),ROUND(W1668,4),"")</f>
        <v/>
      </c>
      <c r="AH1668" t="str">
        <f>IF(AG1668="","",COUNTIF(sj_akey,"&lt;"&amp;AG1668)+COUNTIF($AG$6:AG1668,AG1668))</f>
        <v/>
      </c>
    </row>
    <row r="1669">
      <c r="A1669" s="51" t="n"/>
      <c r="B1669" s="52" t="n"/>
      <c r="C1669" s="52" t="n"/>
      <c r="D1669" s="53" t="n"/>
      <c r="E1669" s="53" t="n"/>
      <c r="F1669" s="54" t="n"/>
      <c r="G1669" s="54" t="n"/>
      <c r="H1669" s="54" t="n"/>
      <c r="I1669" s="54" t="n"/>
      <c r="J1669" s="53" t="n"/>
      <c r="K1669" s="55" t="str">
        <f>IF(COUNTA(A1669:I1669)=0,"",IF(F1669="",IFERROR(INDEX(eq_dur,MATCH(B1669,eq_code,0)),""),F1669))</f>
        <v/>
      </c>
      <c r="L1669" s="55" t="str">
        <f>IF(ISNUMBER(K1669),N(IFERROR(INDEX(eq_pause,MATCH(B1669,eq_code,0)),0))+SUMIFS(st_min,st_date,A1669,st_eq,B1669,st_po,C1669,st_type,"Planifié"),"")</f>
        <v/>
      </c>
      <c r="M1669" s="55" t="str">
        <f>IF(ISNUMBER(K1669),K1669-L1669,"")</f>
        <v/>
      </c>
      <c r="N1669" s="55" t="str">
        <f>IF(ISNUMBER(K1669),SUMIFS(st_min,st_date,A1669,st_eq,B1669,st_po,C1669,st_type,"Non planifié"),"")</f>
        <v/>
      </c>
      <c r="O1669" s="55" t="str">
        <f>IF(ISNUMBER(K1669),M1669-N1669,"")</f>
        <v/>
      </c>
      <c r="P1669" s="55" t="str">
        <f>IF(COUNTA(A1669:I1669)=0,"",N(G1669)+N(H1669)+N(I1669))</f>
        <v/>
      </c>
      <c r="Q1669" s="56" t="str">
        <f>IF(COUNTA(A1669:I1669)=0,"",IF(N(IFERROR(INDEX(art_rate,MATCH(E1669,art_ref,0)),0))&gt;0,N(IFERROR(INDEX(art_rate,MATCH(E1669,art_ref,0)),0)),N(IFERROR(INDEX(po_rate,MATCH(C1669,po_code,0)),0))))</f>
        <v/>
      </c>
      <c r="R1669" s="55" t="str">
        <f>IF(AC1669=1,P1669*60/Q1669,"")</f>
        <v/>
      </c>
      <c r="S1669" s="55" t="str">
        <f>IF(AC1669=1,N(G1669)*60/Q1669,"")</f>
        <v/>
      </c>
      <c r="T1669" s="57" t="str">
        <f>IF(AC1669=1,O1669/M1669,"")</f>
        <v/>
      </c>
      <c r="U1669" s="57" t="str">
        <f>IF(AC1669=1,IF(O1669&gt;0,R1669/O1669,""),"")</f>
        <v/>
      </c>
      <c r="V1669" s="57" t="str">
        <f>IF(AC1669=1,IF(P1669&gt;0,N(G1669)/P1669,""),"")</f>
        <v/>
      </c>
      <c r="W1669" s="57" t="str">
        <f>IF(AC1669=1,S1669/M1669,"")</f>
        <v/>
      </c>
      <c r="X1669" s="57" t="str">
        <f>IF(AC1669=1,S1669/K1669,"")</f>
        <v/>
      </c>
      <c r="Y1669" s="58" t="str">
        <f>IF(W1669="","",IF(W1669&gt;=p_target,"Bon",IF(W1669&gt;=p_alert,"À surveiller","Faible")))</f>
        <v/>
      </c>
      <c r="Z1669" s="58" t="str">
        <f>IF(W1669="","",IF(MIN(IF(T1669="",1,T1669),IF(U1669="",1,U1669),IF(V1669="",1,V1669))&gt;=1,"Aucune",IF(IF(T1669="",1,T1669)&lt;=MIN(IF(U1669="",1,U1669),IF(V1669="",1,V1669)),"Disponibilité",IF(IF(U1669="",1,U1669)&lt;=IF(V1669="",1,V1669),"Performance","Qualité"))))</f>
        <v/>
      </c>
      <c r="AA1669" s="59" t="str">
        <f>IF(AC1669=1,N(H1669)*N(IFERROR(INDEX(art_cost,MATCH(E1669,art_ref,0)),0)),"")</f>
        <v/>
      </c>
      <c r="AB1669" s="58" t="str">
        <f>IF(COUNTA(A1669:I1669)=0,"",IF(N(A1669)&lt;=0,"Date manquante ou invalide",IF(B1669="","Équipe manquante",IF(ISNA(MATCH(B1669,eq_code,0)),"Équipe inconnue",IF(INDEX(eq_check,MATCH(B1669,eq_code,0))&lt;&gt;"OK","Équipe à corriger dans Paramètres",IF(C1669="","Poste manquant",IF(ISNA(MATCH(C1669,po_code,0)),"Poste inconnu",IF(AND(E1669&lt;&gt;"",ISNA(MATCH(E1669,art_ref,0))),"Article inconnu",IF(IF(E1669="",FALSE,INDEX(art_check,MATCH(E1669,art_ref,0))&lt;&gt;"OK"),"Article à corriger (feuille Articles)",IF(COUNTIFS(sj_date,A1669,sj_eq,B1669,sj_po,C1669)&gt;1,"Ligne en double (même jour, équipe et poste)",IF(OR(NOT(ISNUMBER(K1669)),N(K1669)&lt;=0,N(K1669)&gt;1440),"Temps d'ouverture invalide",IF(OR(AND(G1669&lt;&gt;"",NOT(ISNUMBER(G1669))),N(G1669)&lt;0,N(G1669)&lt;&gt;INT(N(G1669)),AND(H1669&lt;&gt;"",NOT(ISNUMBER(H1669))),N(H1669)&lt;0,N(H1669)&lt;&gt;INT(N(H1669)),AND(I1669&lt;&gt;"",NOT(ISNUMBER(I1669))),N(I1669)&lt;0,N(I1669)&lt;&gt;INT(N(I1669))),"Quantité invalide",IF(Q1669&lt;=0,"Cadence manquante (poste ou article)",IF(M1669&lt;=0,"Arrêts planifiés supérieurs au temps d'ouverture",IF(O1669&lt;0,"Arrêts supérieurs au temps requis",IF(AND(P1669&gt;0,O1669=0),"Pièces déclarées sans temps de marche",IF(AND(P1669=0,O1669&gt;0),"Aucune pièce déclarée",IF(P1669*60/Q1669&gt;O1669+0.001,"Cadence dépassée : vérifiez la cadence","OK"))))))))))))))))))</f>
        <v/>
      </c>
      <c r="AC1669">
        <f>IF(OR(AB1669="OK",AB1669="Aucune pièce déclarée",AB1669="Cadence dépassée : vérifiez la cadence"),1,0)</f>
        <v>0.0</v>
      </c>
      <c r="AD1669">
        <f>IF(AND(AC1669=1,A1669&gt;=p_from,A1669&lt;=p_to),1,0)</f>
        <v>0.0</v>
      </c>
      <c r="AE1669">
        <f>IF(AD1669=1,IF(COUNTIFS($A$6:A1669,A1669,$AD$6:AD1669,1)=1,1,0),0)</f>
        <v>0.0</v>
      </c>
      <c r="AF1669" t="str">
        <f>IF(AE1669=1,COUNTIFS(sj_first,1,sj_date,"&lt;"&amp;A1669)+1,"")</f>
        <v/>
      </c>
      <c r="AG1669" t="str">
        <f>IF(AND(AD1669=1,N(W1669)&lt;p_alert),ROUND(W1669,4),"")</f>
        <v/>
      </c>
      <c r="AH1669" t="str">
        <f>IF(AG1669="","",COUNTIF(sj_akey,"&lt;"&amp;AG1669)+COUNTIF($AG$6:AG1669,AG1669))</f>
        <v/>
      </c>
    </row>
    <row r="1670">
      <c r="A1670" s="51" t="n"/>
      <c r="B1670" s="52" t="n"/>
      <c r="C1670" s="52" t="n"/>
      <c r="D1670" s="53" t="n"/>
      <c r="E1670" s="53" t="n"/>
      <c r="F1670" s="54" t="n"/>
      <c r="G1670" s="54" t="n"/>
      <c r="H1670" s="54" t="n"/>
      <c r="I1670" s="54" t="n"/>
      <c r="J1670" s="53" t="n"/>
      <c r="K1670" s="55" t="str">
        <f>IF(COUNTA(A1670:I1670)=0,"",IF(F1670="",IFERROR(INDEX(eq_dur,MATCH(B1670,eq_code,0)),""),F1670))</f>
        <v/>
      </c>
      <c r="L1670" s="55" t="str">
        <f>IF(ISNUMBER(K1670),N(IFERROR(INDEX(eq_pause,MATCH(B1670,eq_code,0)),0))+SUMIFS(st_min,st_date,A1670,st_eq,B1670,st_po,C1670,st_type,"Planifié"),"")</f>
        <v/>
      </c>
      <c r="M1670" s="55" t="str">
        <f>IF(ISNUMBER(K1670),K1670-L1670,"")</f>
        <v/>
      </c>
      <c r="N1670" s="55" t="str">
        <f>IF(ISNUMBER(K1670),SUMIFS(st_min,st_date,A1670,st_eq,B1670,st_po,C1670,st_type,"Non planifié"),"")</f>
        <v/>
      </c>
      <c r="O1670" s="55" t="str">
        <f>IF(ISNUMBER(K1670),M1670-N1670,"")</f>
        <v/>
      </c>
      <c r="P1670" s="55" t="str">
        <f>IF(COUNTA(A1670:I1670)=0,"",N(G1670)+N(H1670)+N(I1670))</f>
        <v/>
      </c>
      <c r="Q1670" s="56" t="str">
        <f>IF(COUNTA(A1670:I1670)=0,"",IF(N(IFERROR(INDEX(art_rate,MATCH(E1670,art_ref,0)),0))&gt;0,N(IFERROR(INDEX(art_rate,MATCH(E1670,art_ref,0)),0)),N(IFERROR(INDEX(po_rate,MATCH(C1670,po_code,0)),0))))</f>
        <v/>
      </c>
      <c r="R1670" s="55" t="str">
        <f>IF(AC1670=1,P1670*60/Q1670,"")</f>
        <v/>
      </c>
      <c r="S1670" s="55" t="str">
        <f>IF(AC1670=1,N(G1670)*60/Q1670,"")</f>
        <v/>
      </c>
      <c r="T1670" s="57" t="str">
        <f>IF(AC1670=1,O1670/M1670,"")</f>
        <v/>
      </c>
      <c r="U1670" s="57" t="str">
        <f>IF(AC1670=1,IF(O1670&gt;0,R1670/O1670,""),"")</f>
        <v/>
      </c>
      <c r="V1670" s="57" t="str">
        <f>IF(AC1670=1,IF(P1670&gt;0,N(G1670)/P1670,""),"")</f>
        <v/>
      </c>
      <c r="W1670" s="57" t="str">
        <f>IF(AC1670=1,S1670/M1670,"")</f>
        <v/>
      </c>
      <c r="X1670" s="57" t="str">
        <f>IF(AC1670=1,S1670/K1670,"")</f>
        <v/>
      </c>
      <c r="Y1670" s="58" t="str">
        <f>IF(W1670="","",IF(W1670&gt;=p_target,"Bon",IF(W1670&gt;=p_alert,"À surveiller","Faible")))</f>
        <v/>
      </c>
      <c r="Z1670" s="58" t="str">
        <f>IF(W1670="","",IF(MIN(IF(T1670="",1,T1670),IF(U1670="",1,U1670),IF(V1670="",1,V1670))&gt;=1,"Aucune",IF(IF(T1670="",1,T1670)&lt;=MIN(IF(U1670="",1,U1670),IF(V1670="",1,V1670)),"Disponibilité",IF(IF(U1670="",1,U1670)&lt;=IF(V1670="",1,V1670),"Performance","Qualité"))))</f>
        <v/>
      </c>
      <c r="AA1670" s="59" t="str">
        <f>IF(AC1670=1,N(H1670)*N(IFERROR(INDEX(art_cost,MATCH(E1670,art_ref,0)),0)),"")</f>
        <v/>
      </c>
      <c r="AB1670" s="58" t="str">
        <f>IF(COUNTA(A1670:I1670)=0,"",IF(N(A1670)&lt;=0,"Date manquante ou invalide",IF(B1670="","Équipe manquante",IF(ISNA(MATCH(B1670,eq_code,0)),"Équipe inconnue",IF(INDEX(eq_check,MATCH(B1670,eq_code,0))&lt;&gt;"OK","Équipe à corriger dans Paramètres",IF(C1670="","Poste manquant",IF(ISNA(MATCH(C1670,po_code,0)),"Poste inconnu",IF(AND(E1670&lt;&gt;"",ISNA(MATCH(E1670,art_ref,0))),"Article inconnu",IF(IF(E1670="",FALSE,INDEX(art_check,MATCH(E1670,art_ref,0))&lt;&gt;"OK"),"Article à corriger (feuille Articles)",IF(COUNTIFS(sj_date,A1670,sj_eq,B1670,sj_po,C1670)&gt;1,"Ligne en double (même jour, équipe et poste)",IF(OR(NOT(ISNUMBER(K1670)),N(K1670)&lt;=0,N(K1670)&gt;1440),"Temps d'ouverture invalide",IF(OR(AND(G1670&lt;&gt;"",NOT(ISNUMBER(G1670))),N(G1670)&lt;0,N(G1670)&lt;&gt;INT(N(G1670)),AND(H1670&lt;&gt;"",NOT(ISNUMBER(H1670))),N(H1670)&lt;0,N(H1670)&lt;&gt;INT(N(H1670)),AND(I1670&lt;&gt;"",NOT(ISNUMBER(I1670))),N(I1670)&lt;0,N(I1670)&lt;&gt;INT(N(I1670))),"Quantité invalide",IF(Q1670&lt;=0,"Cadence manquante (poste ou article)",IF(M1670&lt;=0,"Arrêts planifiés supérieurs au temps d'ouverture",IF(O1670&lt;0,"Arrêts supérieurs au temps requis",IF(AND(P1670&gt;0,O1670=0),"Pièces déclarées sans temps de marche",IF(AND(P1670=0,O1670&gt;0),"Aucune pièce déclarée",IF(P1670*60/Q1670&gt;O1670+0.001,"Cadence dépassée : vérifiez la cadence","OK"))))))))))))))))))</f>
        <v/>
      </c>
      <c r="AC1670">
        <f>IF(OR(AB1670="OK",AB1670="Aucune pièce déclarée",AB1670="Cadence dépassée : vérifiez la cadence"),1,0)</f>
        <v>0.0</v>
      </c>
      <c r="AD1670">
        <f>IF(AND(AC1670=1,A1670&gt;=p_from,A1670&lt;=p_to),1,0)</f>
        <v>0.0</v>
      </c>
      <c r="AE1670">
        <f>IF(AD1670=1,IF(COUNTIFS($A$6:A1670,A1670,$AD$6:AD1670,1)=1,1,0),0)</f>
        <v>0.0</v>
      </c>
      <c r="AF1670" t="str">
        <f>IF(AE1670=1,COUNTIFS(sj_first,1,sj_date,"&lt;"&amp;A1670)+1,"")</f>
        <v/>
      </c>
      <c r="AG1670" t="str">
        <f>IF(AND(AD1670=1,N(W1670)&lt;p_alert),ROUND(W1670,4),"")</f>
        <v/>
      </c>
      <c r="AH1670" t="str">
        <f>IF(AG1670="","",COUNTIF(sj_akey,"&lt;"&amp;AG1670)+COUNTIF($AG$6:AG1670,AG1670))</f>
        <v/>
      </c>
    </row>
    <row r="1671">
      <c r="A1671" s="51" t="n"/>
      <c r="B1671" s="52" t="n"/>
      <c r="C1671" s="52" t="n"/>
      <c r="D1671" s="53" t="n"/>
      <c r="E1671" s="53" t="n"/>
      <c r="F1671" s="54" t="n"/>
      <c r="G1671" s="54" t="n"/>
      <c r="H1671" s="54" t="n"/>
      <c r="I1671" s="54" t="n"/>
      <c r="J1671" s="53" t="n"/>
      <c r="K1671" s="55" t="str">
        <f>IF(COUNTA(A1671:I1671)=0,"",IF(F1671="",IFERROR(INDEX(eq_dur,MATCH(B1671,eq_code,0)),""),F1671))</f>
        <v/>
      </c>
      <c r="L1671" s="55" t="str">
        <f>IF(ISNUMBER(K1671),N(IFERROR(INDEX(eq_pause,MATCH(B1671,eq_code,0)),0))+SUMIFS(st_min,st_date,A1671,st_eq,B1671,st_po,C1671,st_type,"Planifié"),"")</f>
        <v/>
      </c>
      <c r="M1671" s="55" t="str">
        <f>IF(ISNUMBER(K1671),K1671-L1671,"")</f>
        <v/>
      </c>
      <c r="N1671" s="55" t="str">
        <f>IF(ISNUMBER(K1671),SUMIFS(st_min,st_date,A1671,st_eq,B1671,st_po,C1671,st_type,"Non planifié"),"")</f>
        <v/>
      </c>
      <c r="O1671" s="55" t="str">
        <f>IF(ISNUMBER(K1671),M1671-N1671,"")</f>
        <v/>
      </c>
      <c r="P1671" s="55" t="str">
        <f>IF(COUNTA(A1671:I1671)=0,"",N(G1671)+N(H1671)+N(I1671))</f>
        <v/>
      </c>
      <c r="Q1671" s="56" t="str">
        <f>IF(COUNTA(A1671:I1671)=0,"",IF(N(IFERROR(INDEX(art_rate,MATCH(E1671,art_ref,0)),0))&gt;0,N(IFERROR(INDEX(art_rate,MATCH(E1671,art_ref,0)),0)),N(IFERROR(INDEX(po_rate,MATCH(C1671,po_code,0)),0))))</f>
        <v/>
      </c>
      <c r="R1671" s="55" t="str">
        <f>IF(AC1671=1,P1671*60/Q1671,"")</f>
        <v/>
      </c>
      <c r="S1671" s="55" t="str">
        <f>IF(AC1671=1,N(G1671)*60/Q1671,"")</f>
        <v/>
      </c>
      <c r="T1671" s="57" t="str">
        <f>IF(AC1671=1,O1671/M1671,"")</f>
        <v/>
      </c>
      <c r="U1671" s="57" t="str">
        <f>IF(AC1671=1,IF(O1671&gt;0,R1671/O1671,""),"")</f>
        <v/>
      </c>
      <c r="V1671" s="57" t="str">
        <f>IF(AC1671=1,IF(P1671&gt;0,N(G1671)/P1671,""),"")</f>
        <v/>
      </c>
      <c r="W1671" s="57" t="str">
        <f>IF(AC1671=1,S1671/M1671,"")</f>
        <v/>
      </c>
      <c r="X1671" s="57" t="str">
        <f>IF(AC1671=1,S1671/K1671,"")</f>
        <v/>
      </c>
      <c r="Y1671" s="58" t="str">
        <f>IF(W1671="","",IF(W1671&gt;=p_target,"Bon",IF(W1671&gt;=p_alert,"À surveiller","Faible")))</f>
        <v/>
      </c>
      <c r="Z1671" s="58" t="str">
        <f>IF(W1671="","",IF(MIN(IF(T1671="",1,T1671),IF(U1671="",1,U1671),IF(V1671="",1,V1671))&gt;=1,"Aucune",IF(IF(T1671="",1,T1671)&lt;=MIN(IF(U1671="",1,U1671),IF(V1671="",1,V1671)),"Disponibilité",IF(IF(U1671="",1,U1671)&lt;=IF(V1671="",1,V1671),"Performance","Qualité"))))</f>
        <v/>
      </c>
      <c r="AA1671" s="59" t="str">
        <f>IF(AC1671=1,N(H1671)*N(IFERROR(INDEX(art_cost,MATCH(E1671,art_ref,0)),0)),"")</f>
        <v/>
      </c>
      <c r="AB1671" s="58" t="str">
        <f>IF(COUNTA(A1671:I1671)=0,"",IF(N(A1671)&lt;=0,"Date manquante ou invalide",IF(B1671="","Équipe manquante",IF(ISNA(MATCH(B1671,eq_code,0)),"Équipe inconnue",IF(INDEX(eq_check,MATCH(B1671,eq_code,0))&lt;&gt;"OK","Équipe à corriger dans Paramètres",IF(C1671="","Poste manquant",IF(ISNA(MATCH(C1671,po_code,0)),"Poste inconnu",IF(AND(E1671&lt;&gt;"",ISNA(MATCH(E1671,art_ref,0))),"Article inconnu",IF(IF(E1671="",FALSE,INDEX(art_check,MATCH(E1671,art_ref,0))&lt;&gt;"OK"),"Article à corriger (feuille Articles)",IF(COUNTIFS(sj_date,A1671,sj_eq,B1671,sj_po,C1671)&gt;1,"Ligne en double (même jour, équipe et poste)",IF(OR(NOT(ISNUMBER(K1671)),N(K1671)&lt;=0,N(K1671)&gt;1440),"Temps d'ouverture invalide",IF(OR(AND(G1671&lt;&gt;"",NOT(ISNUMBER(G1671))),N(G1671)&lt;0,N(G1671)&lt;&gt;INT(N(G1671)),AND(H1671&lt;&gt;"",NOT(ISNUMBER(H1671))),N(H1671)&lt;0,N(H1671)&lt;&gt;INT(N(H1671)),AND(I1671&lt;&gt;"",NOT(ISNUMBER(I1671))),N(I1671)&lt;0,N(I1671)&lt;&gt;INT(N(I1671))),"Quantité invalide",IF(Q1671&lt;=0,"Cadence manquante (poste ou article)",IF(M1671&lt;=0,"Arrêts planifiés supérieurs au temps d'ouverture",IF(O1671&lt;0,"Arrêts supérieurs au temps requis",IF(AND(P1671&gt;0,O1671=0),"Pièces déclarées sans temps de marche",IF(AND(P1671=0,O1671&gt;0),"Aucune pièce déclarée",IF(P1671*60/Q1671&gt;O1671+0.001,"Cadence dépassée : vérifiez la cadence","OK"))))))))))))))))))</f>
        <v/>
      </c>
      <c r="AC1671">
        <f>IF(OR(AB1671="OK",AB1671="Aucune pièce déclarée",AB1671="Cadence dépassée : vérifiez la cadence"),1,0)</f>
        <v>0.0</v>
      </c>
      <c r="AD1671">
        <f>IF(AND(AC1671=1,A1671&gt;=p_from,A1671&lt;=p_to),1,0)</f>
        <v>0.0</v>
      </c>
      <c r="AE1671">
        <f>IF(AD1671=1,IF(COUNTIFS($A$6:A1671,A1671,$AD$6:AD1671,1)=1,1,0),0)</f>
        <v>0.0</v>
      </c>
      <c r="AF1671" t="str">
        <f>IF(AE1671=1,COUNTIFS(sj_first,1,sj_date,"&lt;"&amp;A1671)+1,"")</f>
        <v/>
      </c>
      <c r="AG1671" t="str">
        <f>IF(AND(AD1671=1,N(W1671)&lt;p_alert),ROUND(W1671,4),"")</f>
        <v/>
      </c>
      <c r="AH1671" t="str">
        <f>IF(AG1671="","",COUNTIF(sj_akey,"&lt;"&amp;AG1671)+COUNTIF($AG$6:AG1671,AG1671))</f>
        <v/>
      </c>
    </row>
    <row r="1672">
      <c r="A1672" s="51" t="n"/>
      <c r="B1672" s="52" t="n"/>
      <c r="C1672" s="52" t="n"/>
      <c r="D1672" s="53" t="n"/>
      <c r="E1672" s="53" t="n"/>
      <c r="F1672" s="54" t="n"/>
      <c r="G1672" s="54" t="n"/>
      <c r="H1672" s="54" t="n"/>
      <c r="I1672" s="54" t="n"/>
      <c r="J1672" s="53" t="n"/>
      <c r="K1672" s="55" t="str">
        <f>IF(COUNTA(A1672:I1672)=0,"",IF(F1672="",IFERROR(INDEX(eq_dur,MATCH(B1672,eq_code,0)),""),F1672))</f>
        <v/>
      </c>
      <c r="L1672" s="55" t="str">
        <f>IF(ISNUMBER(K1672),N(IFERROR(INDEX(eq_pause,MATCH(B1672,eq_code,0)),0))+SUMIFS(st_min,st_date,A1672,st_eq,B1672,st_po,C1672,st_type,"Planifié"),"")</f>
        <v/>
      </c>
      <c r="M1672" s="55" t="str">
        <f>IF(ISNUMBER(K1672),K1672-L1672,"")</f>
        <v/>
      </c>
      <c r="N1672" s="55" t="str">
        <f>IF(ISNUMBER(K1672),SUMIFS(st_min,st_date,A1672,st_eq,B1672,st_po,C1672,st_type,"Non planifié"),"")</f>
        <v/>
      </c>
      <c r="O1672" s="55" t="str">
        <f>IF(ISNUMBER(K1672),M1672-N1672,"")</f>
        <v/>
      </c>
      <c r="P1672" s="55" t="str">
        <f>IF(COUNTA(A1672:I1672)=0,"",N(G1672)+N(H1672)+N(I1672))</f>
        <v/>
      </c>
      <c r="Q1672" s="56" t="str">
        <f>IF(COUNTA(A1672:I1672)=0,"",IF(N(IFERROR(INDEX(art_rate,MATCH(E1672,art_ref,0)),0))&gt;0,N(IFERROR(INDEX(art_rate,MATCH(E1672,art_ref,0)),0)),N(IFERROR(INDEX(po_rate,MATCH(C1672,po_code,0)),0))))</f>
        <v/>
      </c>
      <c r="R1672" s="55" t="str">
        <f>IF(AC1672=1,P1672*60/Q1672,"")</f>
        <v/>
      </c>
      <c r="S1672" s="55" t="str">
        <f>IF(AC1672=1,N(G1672)*60/Q1672,"")</f>
        <v/>
      </c>
      <c r="T1672" s="57" t="str">
        <f>IF(AC1672=1,O1672/M1672,"")</f>
        <v/>
      </c>
      <c r="U1672" s="57" t="str">
        <f>IF(AC1672=1,IF(O1672&gt;0,R1672/O1672,""),"")</f>
        <v/>
      </c>
      <c r="V1672" s="57" t="str">
        <f>IF(AC1672=1,IF(P1672&gt;0,N(G1672)/P1672,""),"")</f>
        <v/>
      </c>
      <c r="W1672" s="57" t="str">
        <f>IF(AC1672=1,S1672/M1672,"")</f>
        <v/>
      </c>
      <c r="X1672" s="57" t="str">
        <f>IF(AC1672=1,S1672/K1672,"")</f>
        <v/>
      </c>
      <c r="Y1672" s="58" t="str">
        <f>IF(W1672="","",IF(W1672&gt;=p_target,"Bon",IF(W1672&gt;=p_alert,"À surveiller","Faible")))</f>
        <v/>
      </c>
      <c r="Z1672" s="58" t="str">
        <f>IF(W1672="","",IF(MIN(IF(T1672="",1,T1672),IF(U1672="",1,U1672),IF(V1672="",1,V1672))&gt;=1,"Aucune",IF(IF(T1672="",1,T1672)&lt;=MIN(IF(U1672="",1,U1672),IF(V1672="",1,V1672)),"Disponibilité",IF(IF(U1672="",1,U1672)&lt;=IF(V1672="",1,V1672),"Performance","Qualité"))))</f>
        <v/>
      </c>
      <c r="AA1672" s="59" t="str">
        <f>IF(AC1672=1,N(H1672)*N(IFERROR(INDEX(art_cost,MATCH(E1672,art_ref,0)),0)),"")</f>
        <v/>
      </c>
      <c r="AB1672" s="58" t="str">
        <f>IF(COUNTA(A1672:I1672)=0,"",IF(N(A1672)&lt;=0,"Date manquante ou invalide",IF(B1672="","Équipe manquante",IF(ISNA(MATCH(B1672,eq_code,0)),"Équipe inconnue",IF(INDEX(eq_check,MATCH(B1672,eq_code,0))&lt;&gt;"OK","Équipe à corriger dans Paramètres",IF(C1672="","Poste manquant",IF(ISNA(MATCH(C1672,po_code,0)),"Poste inconnu",IF(AND(E1672&lt;&gt;"",ISNA(MATCH(E1672,art_ref,0))),"Article inconnu",IF(IF(E1672="",FALSE,INDEX(art_check,MATCH(E1672,art_ref,0))&lt;&gt;"OK"),"Article à corriger (feuille Articles)",IF(COUNTIFS(sj_date,A1672,sj_eq,B1672,sj_po,C1672)&gt;1,"Ligne en double (même jour, équipe et poste)",IF(OR(NOT(ISNUMBER(K1672)),N(K1672)&lt;=0,N(K1672)&gt;1440),"Temps d'ouverture invalide",IF(OR(AND(G1672&lt;&gt;"",NOT(ISNUMBER(G1672))),N(G1672)&lt;0,N(G1672)&lt;&gt;INT(N(G1672)),AND(H1672&lt;&gt;"",NOT(ISNUMBER(H1672))),N(H1672)&lt;0,N(H1672)&lt;&gt;INT(N(H1672)),AND(I1672&lt;&gt;"",NOT(ISNUMBER(I1672))),N(I1672)&lt;0,N(I1672)&lt;&gt;INT(N(I1672))),"Quantité invalide",IF(Q1672&lt;=0,"Cadence manquante (poste ou article)",IF(M1672&lt;=0,"Arrêts planifiés supérieurs au temps d'ouverture",IF(O1672&lt;0,"Arrêts supérieurs au temps requis",IF(AND(P1672&gt;0,O1672=0),"Pièces déclarées sans temps de marche",IF(AND(P1672=0,O1672&gt;0),"Aucune pièce déclarée",IF(P1672*60/Q1672&gt;O1672+0.001,"Cadence dépassée : vérifiez la cadence","OK"))))))))))))))))))</f>
        <v/>
      </c>
      <c r="AC1672">
        <f>IF(OR(AB1672="OK",AB1672="Aucune pièce déclarée",AB1672="Cadence dépassée : vérifiez la cadence"),1,0)</f>
        <v>0.0</v>
      </c>
      <c r="AD1672">
        <f>IF(AND(AC1672=1,A1672&gt;=p_from,A1672&lt;=p_to),1,0)</f>
        <v>0.0</v>
      </c>
      <c r="AE1672">
        <f>IF(AD1672=1,IF(COUNTIFS($A$6:A1672,A1672,$AD$6:AD1672,1)=1,1,0),0)</f>
        <v>0.0</v>
      </c>
      <c r="AF1672" t="str">
        <f>IF(AE1672=1,COUNTIFS(sj_first,1,sj_date,"&lt;"&amp;A1672)+1,"")</f>
        <v/>
      </c>
      <c r="AG1672" t="str">
        <f>IF(AND(AD1672=1,N(W1672)&lt;p_alert),ROUND(W1672,4),"")</f>
        <v/>
      </c>
      <c r="AH1672" t="str">
        <f>IF(AG1672="","",COUNTIF(sj_akey,"&lt;"&amp;AG1672)+COUNTIF($AG$6:AG1672,AG1672))</f>
        <v/>
      </c>
    </row>
    <row r="1673">
      <c r="A1673" s="51" t="n"/>
      <c r="B1673" s="52" t="n"/>
      <c r="C1673" s="52" t="n"/>
      <c r="D1673" s="53" t="n"/>
      <c r="E1673" s="53" t="n"/>
      <c r="F1673" s="54" t="n"/>
      <c r="G1673" s="54" t="n"/>
      <c r="H1673" s="54" t="n"/>
      <c r="I1673" s="54" t="n"/>
      <c r="J1673" s="53" t="n"/>
      <c r="K1673" s="55" t="str">
        <f>IF(COUNTA(A1673:I1673)=0,"",IF(F1673="",IFERROR(INDEX(eq_dur,MATCH(B1673,eq_code,0)),""),F1673))</f>
        <v/>
      </c>
      <c r="L1673" s="55" t="str">
        <f>IF(ISNUMBER(K1673),N(IFERROR(INDEX(eq_pause,MATCH(B1673,eq_code,0)),0))+SUMIFS(st_min,st_date,A1673,st_eq,B1673,st_po,C1673,st_type,"Planifié"),"")</f>
        <v/>
      </c>
      <c r="M1673" s="55" t="str">
        <f>IF(ISNUMBER(K1673),K1673-L1673,"")</f>
        <v/>
      </c>
      <c r="N1673" s="55" t="str">
        <f>IF(ISNUMBER(K1673),SUMIFS(st_min,st_date,A1673,st_eq,B1673,st_po,C1673,st_type,"Non planifié"),"")</f>
        <v/>
      </c>
      <c r="O1673" s="55" t="str">
        <f>IF(ISNUMBER(K1673),M1673-N1673,"")</f>
        <v/>
      </c>
      <c r="P1673" s="55" t="str">
        <f>IF(COUNTA(A1673:I1673)=0,"",N(G1673)+N(H1673)+N(I1673))</f>
        <v/>
      </c>
      <c r="Q1673" s="56" t="str">
        <f>IF(COUNTA(A1673:I1673)=0,"",IF(N(IFERROR(INDEX(art_rate,MATCH(E1673,art_ref,0)),0))&gt;0,N(IFERROR(INDEX(art_rate,MATCH(E1673,art_ref,0)),0)),N(IFERROR(INDEX(po_rate,MATCH(C1673,po_code,0)),0))))</f>
        <v/>
      </c>
      <c r="R1673" s="55" t="str">
        <f>IF(AC1673=1,P1673*60/Q1673,"")</f>
        <v/>
      </c>
      <c r="S1673" s="55" t="str">
        <f>IF(AC1673=1,N(G1673)*60/Q1673,"")</f>
        <v/>
      </c>
      <c r="T1673" s="57" t="str">
        <f>IF(AC1673=1,O1673/M1673,"")</f>
        <v/>
      </c>
      <c r="U1673" s="57" t="str">
        <f>IF(AC1673=1,IF(O1673&gt;0,R1673/O1673,""),"")</f>
        <v/>
      </c>
      <c r="V1673" s="57" t="str">
        <f>IF(AC1673=1,IF(P1673&gt;0,N(G1673)/P1673,""),"")</f>
        <v/>
      </c>
      <c r="W1673" s="57" t="str">
        <f>IF(AC1673=1,S1673/M1673,"")</f>
        <v/>
      </c>
      <c r="X1673" s="57" t="str">
        <f>IF(AC1673=1,S1673/K1673,"")</f>
        <v/>
      </c>
      <c r="Y1673" s="58" t="str">
        <f>IF(W1673="","",IF(W1673&gt;=p_target,"Bon",IF(W1673&gt;=p_alert,"À surveiller","Faible")))</f>
        <v/>
      </c>
      <c r="Z1673" s="58" t="str">
        <f>IF(W1673="","",IF(MIN(IF(T1673="",1,T1673),IF(U1673="",1,U1673),IF(V1673="",1,V1673))&gt;=1,"Aucune",IF(IF(T1673="",1,T1673)&lt;=MIN(IF(U1673="",1,U1673),IF(V1673="",1,V1673)),"Disponibilité",IF(IF(U1673="",1,U1673)&lt;=IF(V1673="",1,V1673),"Performance","Qualité"))))</f>
        <v/>
      </c>
      <c r="AA1673" s="59" t="str">
        <f>IF(AC1673=1,N(H1673)*N(IFERROR(INDEX(art_cost,MATCH(E1673,art_ref,0)),0)),"")</f>
        <v/>
      </c>
      <c r="AB1673" s="58" t="str">
        <f>IF(COUNTA(A1673:I1673)=0,"",IF(N(A1673)&lt;=0,"Date manquante ou invalide",IF(B1673="","Équipe manquante",IF(ISNA(MATCH(B1673,eq_code,0)),"Équipe inconnue",IF(INDEX(eq_check,MATCH(B1673,eq_code,0))&lt;&gt;"OK","Équipe à corriger dans Paramètres",IF(C1673="","Poste manquant",IF(ISNA(MATCH(C1673,po_code,0)),"Poste inconnu",IF(AND(E1673&lt;&gt;"",ISNA(MATCH(E1673,art_ref,0))),"Article inconnu",IF(IF(E1673="",FALSE,INDEX(art_check,MATCH(E1673,art_ref,0))&lt;&gt;"OK"),"Article à corriger (feuille Articles)",IF(COUNTIFS(sj_date,A1673,sj_eq,B1673,sj_po,C1673)&gt;1,"Ligne en double (même jour, équipe et poste)",IF(OR(NOT(ISNUMBER(K1673)),N(K1673)&lt;=0,N(K1673)&gt;1440),"Temps d'ouverture invalide",IF(OR(AND(G1673&lt;&gt;"",NOT(ISNUMBER(G1673))),N(G1673)&lt;0,N(G1673)&lt;&gt;INT(N(G1673)),AND(H1673&lt;&gt;"",NOT(ISNUMBER(H1673))),N(H1673)&lt;0,N(H1673)&lt;&gt;INT(N(H1673)),AND(I1673&lt;&gt;"",NOT(ISNUMBER(I1673))),N(I1673)&lt;0,N(I1673)&lt;&gt;INT(N(I1673))),"Quantité invalide",IF(Q1673&lt;=0,"Cadence manquante (poste ou article)",IF(M1673&lt;=0,"Arrêts planifiés supérieurs au temps d'ouverture",IF(O1673&lt;0,"Arrêts supérieurs au temps requis",IF(AND(P1673&gt;0,O1673=0),"Pièces déclarées sans temps de marche",IF(AND(P1673=0,O1673&gt;0),"Aucune pièce déclarée",IF(P1673*60/Q1673&gt;O1673+0.001,"Cadence dépassée : vérifiez la cadence","OK"))))))))))))))))))</f>
        <v/>
      </c>
      <c r="AC1673">
        <f>IF(OR(AB1673="OK",AB1673="Aucune pièce déclarée",AB1673="Cadence dépassée : vérifiez la cadence"),1,0)</f>
        <v>0.0</v>
      </c>
      <c r="AD1673">
        <f>IF(AND(AC1673=1,A1673&gt;=p_from,A1673&lt;=p_to),1,0)</f>
        <v>0.0</v>
      </c>
      <c r="AE1673">
        <f>IF(AD1673=1,IF(COUNTIFS($A$6:A1673,A1673,$AD$6:AD1673,1)=1,1,0),0)</f>
        <v>0.0</v>
      </c>
      <c r="AF1673" t="str">
        <f>IF(AE1673=1,COUNTIFS(sj_first,1,sj_date,"&lt;"&amp;A1673)+1,"")</f>
        <v/>
      </c>
      <c r="AG1673" t="str">
        <f>IF(AND(AD1673=1,N(W1673)&lt;p_alert),ROUND(W1673,4),"")</f>
        <v/>
      </c>
      <c r="AH1673" t="str">
        <f>IF(AG1673="","",COUNTIF(sj_akey,"&lt;"&amp;AG1673)+COUNTIF($AG$6:AG1673,AG1673))</f>
        <v/>
      </c>
    </row>
    <row r="1674">
      <c r="A1674" s="51" t="n"/>
      <c r="B1674" s="52" t="n"/>
      <c r="C1674" s="52" t="n"/>
      <c r="D1674" s="53" t="n"/>
      <c r="E1674" s="53" t="n"/>
      <c r="F1674" s="54" t="n"/>
      <c r="G1674" s="54" t="n"/>
      <c r="H1674" s="54" t="n"/>
      <c r="I1674" s="54" t="n"/>
      <c r="J1674" s="53" t="n"/>
      <c r="K1674" s="55" t="str">
        <f>IF(COUNTA(A1674:I1674)=0,"",IF(F1674="",IFERROR(INDEX(eq_dur,MATCH(B1674,eq_code,0)),""),F1674))</f>
        <v/>
      </c>
      <c r="L1674" s="55" t="str">
        <f>IF(ISNUMBER(K1674),N(IFERROR(INDEX(eq_pause,MATCH(B1674,eq_code,0)),0))+SUMIFS(st_min,st_date,A1674,st_eq,B1674,st_po,C1674,st_type,"Planifié"),"")</f>
        <v/>
      </c>
      <c r="M1674" s="55" t="str">
        <f>IF(ISNUMBER(K1674),K1674-L1674,"")</f>
        <v/>
      </c>
      <c r="N1674" s="55" t="str">
        <f>IF(ISNUMBER(K1674),SUMIFS(st_min,st_date,A1674,st_eq,B1674,st_po,C1674,st_type,"Non planifié"),"")</f>
        <v/>
      </c>
      <c r="O1674" s="55" t="str">
        <f>IF(ISNUMBER(K1674),M1674-N1674,"")</f>
        <v/>
      </c>
      <c r="P1674" s="55" t="str">
        <f>IF(COUNTA(A1674:I1674)=0,"",N(G1674)+N(H1674)+N(I1674))</f>
        <v/>
      </c>
      <c r="Q1674" s="56" t="str">
        <f>IF(COUNTA(A1674:I1674)=0,"",IF(N(IFERROR(INDEX(art_rate,MATCH(E1674,art_ref,0)),0))&gt;0,N(IFERROR(INDEX(art_rate,MATCH(E1674,art_ref,0)),0)),N(IFERROR(INDEX(po_rate,MATCH(C1674,po_code,0)),0))))</f>
        <v/>
      </c>
      <c r="R1674" s="55" t="str">
        <f>IF(AC1674=1,P1674*60/Q1674,"")</f>
        <v/>
      </c>
      <c r="S1674" s="55" t="str">
        <f>IF(AC1674=1,N(G1674)*60/Q1674,"")</f>
        <v/>
      </c>
      <c r="T1674" s="57" t="str">
        <f>IF(AC1674=1,O1674/M1674,"")</f>
        <v/>
      </c>
      <c r="U1674" s="57" t="str">
        <f>IF(AC1674=1,IF(O1674&gt;0,R1674/O1674,""),"")</f>
        <v/>
      </c>
      <c r="V1674" s="57" t="str">
        <f>IF(AC1674=1,IF(P1674&gt;0,N(G1674)/P1674,""),"")</f>
        <v/>
      </c>
      <c r="W1674" s="57" t="str">
        <f>IF(AC1674=1,S1674/M1674,"")</f>
        <v/>
      </c>
      <c r="X1674" s="57" t="str">
        <f>IF(AC1674=1,S1674/K1674,"")</f>
        <v/>
      </c>
      <c r="Y1674" s="58" t="str">
        <f>IF(W1674="","",IF(W1674&gt;=p_target,"Bon",IF(W1674&gt;=p_alert,"À surveiller","Faible")))</f>
        <v/>
      </c>
      <c r="Z1674" s="58" t="str">
        <f>IF(W1674="","",IF(MIN(IF(T1674="",1,T1674),IF(U1674="",1,U1674),IF(V1674="",1,V1674))&gt;=1,"Aucune",IF(IF(T1674="",1,T1674)&lt;=MIN(IF(U1674="",1,U1674),IF(V1674="",1,V1674)),"Disponibilité",IF(IF(U1674="",1,U1674)&lt;=IF(V1674="",1,V1674),"Performance","Qualité"))))</f>
        <v/>
      </c>
      <c r="AA1674" s="59" t="str">
        <f>IF(AC1674=1,N(H1674)*N(IFERROR(INDEX(art_cost,MATCH(E1674,art_ref,0)),0)),"")</f>
        <v/>
      </c>
      <c r="AB1674" s="58" t="str">
        <f>IF(COUNTA(A1674:I1674)=0,"",IF(N(A1674)&lt;=0,"Date manquante ou invalide",IF(B1674="","Équipe manquante",IF(ISNA(MATCH(B1674,eq_code,0)),"Équipe inconnue",IF(INDEX(eq_check,MATCH(B1674,eq_code,0))&lt;&gt;"OK","Équipe à corriger dans Paramètres",IF(C1674="","Poste manquant",IF(ISNA(MATCH(C1674,po_code,0)),"Poste inconnu",IF(AND(E1674&lt;&gt;"",ISNA(MATCH(E1674,art_ref,0))),"Article inconnu",IF(IF(E1674="",FALSE,INDEX(art_check,MATCH(E1674,art_ref,0))&lt;&gt;"OK"),"Article à corriger (feuille Articles)",IF(COUNTIFS(sj_date,A1674,sj_eq,B1674,sj_po,C1674)&gt;1,"Ligne en double (même jour, équipe et poste)",IF(OR(NOT(ISNUMBER(K1674)),N(K1674)&lt;=0,N(K1674)&gt;1440),"Temps d'ouverture invalide",IF(OR(AND(G1674&lt;&gt;"",NOT(ISNUMBER(G1674))),N(G1674)&lt;0,N(G1674)&lt;&gt;INT(N(G1674)),AND(H1674&lt;&gt;"",NOT(ISNUMBER(H1674))),N(H1674)&lt;0,N(H1674)&lt;&gt;INT(N(H1674)),AND(I1674&lt;&gt;"",NOT(ISNUMBER(I1674))),N(I1674)&lt;0,N(I1674)&lt;&gt;INT(N(I1674))),"Quantité invalide",IF(Q1674&lt;=0,"Cadence manquante (poste ou article)",IF(M1674&lt;=0,"Arrêts planifiés supérieurs au temps d'ouverture",IF(O1674&lt;0,"Arrêts supérieurs au temps requis",IF(AND(P1674&gt;0,O1674=0),"Pièces déclarées sans temps de marche",IF(AND(P1674=0,O1674&gt;0),"Aucune pièce déclarée",IF(P1674*60/Q1674&gt;O1674+0.001,"Cadence dépassée : vérifiez la cadence","OK"))))))))))))))))))</f>
        <v/>
      </c>
      <c r="AC1674">
        <f>IF(OR(AB1674="OK",AB1674="Aucune pièce déclarée",AB1674="Cadence dépassée : vérifiez la cadence"),1,0)</f>
        <v>0.0</v>
      </c>
      <c r="AD1674">
        <f>IF(AND(AC1674=1,A1674&gt;=p_from,A1674&lt;=p_to),1,0)</f>
        <v>0.0</v>
      </c>
      <c r="AE1674">
        <f>IF(AD1674=1,IF(COUNTIFS($A$6:A1674,A1674,$AD$6:AD1674,1)=1,1,0),0)</f>
        <v>0.0</v>
      </c>
      <c r="AF1674" t="str">
        <f>IF(AE1674=1,COUNTIFS(sj_first,1,sj_date,"&lt;"&amp;A1674)+1,"")</f>
        <v/>
      </c>
      <c r="AG1674" t="str">
        <f>IF(AND(AD1674=1,N(W1674)&lt;p_alert),ROUND(W1674,4),"")</f>
        <v/>
      </c>
      <c r="AH1674" t="str">
        <f>IF(AG1674="","",COUNTIF(sj_akey,"&lt;"&amp;AG1674)+COUNTIF($AG$6:AG1674,AG1674))</f>
        <v/>
      </c>
    </row>
    <row r="1675">
      <c r="A1675" s="51" t="n"/>
      <c r="B1675" s="52" t="n"/>
      <c r="C1675" s="52" t="n"/>
      <c r="D1675" s="53" t="n"/>
      <c r="E1675" s="53" t="n"/>
      <c r="F1675" s="54" t="n"/>
      <c r="G1675" s="54" t="n"/>
      <c r="H1675" s="54" t="n"/>
      <c r="I1675" s="54" t="n"/>
      <c r="J1675" s="53" t="n"/>
      <c r="K1675" s="55" t="str">
        <f>IF(COUNTA(A1675:I1675)=0,"",IF(F1675="",IFERROR(INDEX(eq_dur,MATCH(B1675,eq_code,0)),""),F1675))</f>
        <v/>
      </c>
      <c r="L1675" s="55" t="str">
        <f>IF(ISNUMBER(K1675),N(IFERROR(INDEX(eq_pause,MATCH(B1675,eq_code,0)),0))+SUMIFS(st_min,st_date,A1675,st_eq,B1675,st_po,C1675,st_type,"Planifié"),"")</f>
        <v/>
      </c>
      <c r="M1675" s="55" t="str">
        <f>IF(ISNUMBER(K1675),K1675-L1675,"")</f>
        <v/>
      </c>
      <c r="N1675" s="55" t="str">
        <f>IF(ISNUMBER(K1675),SUMIFS(st_min,st_date,A1675,st_eq,B1675,st_po,C1675,st_type,"Non planifié"),"")</f>
        <v/>
      </c>
      <c r="O1675" s="55" t="str">
        <f>IF(ISNUMBER(K1675),M1675-N1675,"")</f>
        <v/>
      </c>
      <c r="P1675" s="55" t="str">
        <f>IF(COUNTA(A1675:I1675)=0,"",N(G1675)+N(H1675)+N(I1675))</f>
        <v/>
      </c>
      <c r="Q1675" s="56" t="str">
        <f>IF(COUNTA(A1675:I1675)=0,"",IF(N(IFERROR(INDEX(art_rate,MATCH(E1675,art_ref,0)),0))&gt;0,N(IFERROR(INDEX(art_rate,MATCH(E1675,art_ref,0)),0)),N(IFERROR(INDEX(po_rate,MATCH(C1675,po_code,0)),0))))</f>
        <v/>
      </c>
      <c r="R1675" s="55" t="str">
        <f>IF(AC1675=1,P1675*60/Q1675,"")</f>
        <v/>
      </c>
      <c r="S1675" s="55" t="str">
        <f>IF(AC1675=1,N(G1675)*60/Q1675,"")</f>
        <v/>
      </c>
      <c r="T1675" s="57" t="str">
        <f>IF(AC1675=1,O1675/M1675,"")</f>
        <v/>
      </c>
      <c r="U1675" s="57" t="str">
        <f>IF(AC1675=1,IF(O1675&gt;0,R1675/O1675,""),"")</f>
        <v/>
      </c>
      <c r="V1675" s="57" t="str">
        <f>IF(AC1675=1,IF(P1675&gt;0,N(G1675)/P1675,""),"")</f>
        <v/>
      </c>
      <c r="W1675" s="57" t="str">
        <f>IF(AC1675=1,S1675/M1675,"")</f>
        <v/>
      </c>
      <c r="X1675" s="57" t="str">
        <f>IF(AC1675=1,S1675/K1675,"")</f>
        <v/>
      </c>
      <c r="Y1675" s="58" t="str">
        <f>IF(W1675="","",IF(W1675&gt;=p_target,"Bon",IF(W1675&gt;=p_alert,"À surveiller","Faible")))</f>
        <v/>
      </c>
      <c r="Z1675" s="58" t="str">
        <f>IF(W1675="","",IF(MIN(IF(T1675="",1,T1675),IF(U1675="",1,U1675),IF(V1675="",1,V1675))&gt;=1,"Aucune",IF(IF(T1675="",1,T1675)&lt;=MIN(IF(U1675="",1,U1675),IF(V1675="",1,V1675)),"Disponibilité",IF(IF(U1675="",1,U1675)&lt;=IF(V1675="",1,V1675),"Performance","Qualité"))))</f>
        <v/>
      </c>
      <c r="AA1675" s="59" t="str">
        <f>IF(AC1675=1,N(H1675)*N(IFERROR(INDEX(art_cost,MATCH(E1675,art_ref,0)),0)),"")</f>
        <v/>
      </c>
      <c r="AB1675" s="58" t="str">
        <f>IF(COUNTA(A1675:I1675)=0,"",IF(N(A1675)&lt;=0,"Date manquante ou invalide",IF(B1675="","Équipe manquante",IF(ISNA(MATCH(B1675,eq_code,0)),"Équipe inconnue",IF(INDEX(eq_check,MATCH(B1675,eq_code,0))&lt;&gt;"OK","Équipe à corriger dans Paramètres",IF(C1675="","Poste manquant",IF(ISNA(MATCH(C1675,po_code,0)),"Poste inconnu",IF(AND(E1675&lt;&gt;"",ISNA(MATCH(E1675,art_ref,0))),"Article inconnu",IF(IF(E1675="",FALSE,INDEX(art_check,MATCH(E1675,art_ref,0))&lt;&gt;"OK"),"Article à corriger (feuille Articles)",IF(COUNTIFS(sj_date,A1675,sj_eq,B1675,sj_po,C1675)&gt;1,"Ligne en double (même jour, équipe et poste)",IF(OR(NOT(ISNUMBER(K1675)),N(K1675)&lt;=0,N(K1675)&gt;1440),"Temps d'ouverture invalide",IF(OR(AND(G1675&lt;&gt;"",NOT(ISNUMBER(G1675))),N(G1675)&lt;0,N(G1675)&lt;&gt;INT(N(G1675)),AND(H1675&lt;&gt;"",NOT(ISNUMBER(H1675))),N(H1675)&lt;0,N(H1675)&lt;&gt;INT(N(H1675)),AND(I1675&lt;&gt;"",NOT(ISNUMBER(I1675))),N(I1675)&lt;0,N(I1675)&lt;&gt;INT(N(I1675))),"Quantité invalide",IF(Q1675&lt;=0,"Cadence manquante (poste ou article)",IF(M1675&lt;=0,"Arrêts planifiés supérieurs au temps d'ouverture",IF(O1675&lt;0,"Arrêts supérieurs au temps requis",IF(AND(P1675&gt;0,O1675=0),"Pièces déclarées sans temps de marche",IF(AND(P1675=0,O1675&gt;0),"Aucune pièce déclarée",IF(P1675*60/Q1675&gt;O1675+0.001,"Cadence dépassée : vérifiez la cadence","OK"))))))))))))))))))</f>
        <v/>
      </c>
      <c r="AC1675">
        <f>IF(OR(AB1675="OK",AB1675="Aucune pièce déclarée",AB1675="Cadence dépassée : vérifiez la cadence"),1,0)</f>
        <v>0.0</v>
      </c>
      <c r="AD1675">
        <f>IF(AND(AC1675=1,A1675&gt;=p_from,A1675&lt;=p_to),1,0)</f>
        <v>0.0</v>
      </c>
      <c r="AE1675">
        <f>IF(AD1675=1,IF(COUNTIFS($A$6:A1675,A1675,$AD$6:AD1675,1)=1,1,0),0)</f>
        <v>0.0</v>
      </c>
      <c r="AF1675" t="str">
        <f>IF(AE1675=1,COUNTIFS(sj_first,1,sj_date,"&lt;"&amp;A1675)+1,"")</f>
        <v/>
      </c>
      <c r="AG1675" t="str">
        <f>IF(AND(AD1675=1,N(W1675)&lt;p_alert),ROUND(W1675,4),"")</f>
        <v/>
      </c>
      <c r="AH1675" t="str">
        <f>IF(AG1675="","",COUNTIF(sj_akey,"&lt;"&amp;AG1675)+COUNTIF($AG$6:AG1675,AG1675))</f>
        <v/>
      </c>
    </row>
    <row r="1676">
      <c r="A1676" s="51" t="n"/>
      <c r="B1676" s="52" t="n"/>
      <c r="C1676" s="52" t="n"/>
      <c r="D1676" s="53" t="n"/>
      <c r="E1676" s="53" t="n"/>
      <c r="F1676" s="54" t="n"/>
      <c r="G1676" s="54" t="n"/>
      <c r="H1676" s="54" t="n"/>
      <c r="I1676" s="54" t="n"/>
      <c r="J1676" s="53" t="n"/>
      <c r="K1676" s="55" t="str">
        <f>IF(COUNTA(A1676:I1676)=0,"",IF(F1676="",IFERROR(INDEX(eq_dur,MATCH(B1676,eq_code,0)),""),F1676))</f>
        <v/>
      </c>
      <c r="L1676" s="55" t="str">
        <f>IF(ISNUMBER(K1676),N(IFERROR(INDEX(eq_pause,MATCH(B1676,eq_code,0)),0))+SUMIFS(st_min,st_date,A1676,st_eq,B1676,st_po,C1676,st_type,"Planifié"),"")</f>
        <v/>
      </c>
      <c r="M1676" s="55" t="str">
        <f>IF(ISNUMBER(K1676),K1676-L1676,"")</f>
        <v/>
      </c>
      <c r="N1676" s="55" t="str">
        <f>IF(ISNUMBER(K1676),SUMIFS(st_min,st_date,A1676,st_eq,B1676,st_po,C1676,st_type,"Non planifié"),"")</f>
        <v/>
      </c>
      <c r="O1676" s="55" t="str">
        <f>IF(ISNUMBER(K1676),M1676-N1676,"")</f>
        <v/>
      </c>
      <c r="P1676" s="55" t="str">
        <f>IF(COUNTA(A1676:I1676)=0,"",N(G1676)+N(H1676)+N(I1676))</f>
        <v/>
      </c>
      <c r="Q1676" s="56" t="str">
        <f>IF(COUNTA(A1676:I1676)=0,"",IF(N(IFERROR(INDEX(art_rate,MATCH(E1676,art_ref,0)),0))&gt;0,N(IFERROR(INDEX(art_rate,MATCH(E1676,art_ref,0)),0)),N(IFERROR(INDEX(po_rate,MATCH(C1676,po_code,0)),0))))</f>
        <v/>
      </c>
      <c r="R1676" s="55" t="str">
        <f>IF(AC1676=1,P1676*60/Q1676,"")</f>
        <v/>
      </c>
      <c r="S1676" s="55" t="str">
        <f>IF(AC1676=1,N(G1676)*60/Q1676,"")</f>
        <v/>
      </c>
      <c r="T1676" s="57" t="str">
        <f>IF(AC1676=1,O1676/M1676,"")</f>
        <v/>
      </c>
      <c r="U1676" s="57" t="str">
        <f>IF(AC1676=1,IF(O1676&gt;0,R1676/O1676,""),"")</f>
        <v/>
      </c>
      <c r="V1676" s="57" t="str">
        <f>IF(AC1676=1,IF(P1676&gt;0,N(G1676)/P1676,""),"")</f>
        <v/>
      </c>
      <c r="W1676" s="57" t="str">
        <f>IF(AC1676=1,S1676/M1676,"")</f>
        <v/>
      </c>
      <c r="X1676" s="57" t="str">
        <f>IF(AC1676=1,S1676/K1676,"")</f>
        <v/>
      </c>
      <c r="Y1676" s="58" t="str">
        <f>IF(W1676="","",IF(W1676&gt;=p_target,"Bon",IF(W1676&gt;=p_alert,"À surveiller","Faible")))</f>
        <v/>
      </c>
      <c r="Z1676" s="58" t="str">
        <f>IF(W1676="","",IF(MIN(IF(T1676="",1,T1676),IF(U1676="",1,U1676),IF(V1676="",1,V1676))&gt;=1,"Aucune",IF(IF(T1676="",1,T1676)&lt;=MIN(IF(U1676="",1,U1676),IF(V1676="",1,V1676)),"Disponibilité",IF(IF(U1676="",1,U1676)&lt;=IF(V1676="",1,V1676),"Performance","Qualité"))))</f>
        <v/>
      </c>
      <c r="AA1676" s="59" t="str">
        <f>IF(AC1676=1,N(H1676)*N(IFERROR(INDEX(art_cost,MATCH(E1676,art_ref,0)),0)),"")</f>
        <v/>
      </c>
      <c r="AB1676" s="58" t="str">
        <f>IF(COUNTA(A1676:I1676)=0,"",IF(N(A1676)&lt;=0,"Date manquante ou invalide",IF(B1676="","Équipe manquante",IF(ISNA(MATCH(B1676,eq_code,0)),"Équipe inconnue",IF(INDEX(eq_check,MATCH(B1676,eq_code,0))&lt;&gt;"OK","Équipe à corriger dans Paramètres",IF(C1676="","Poste manquant",IF(ISNA(MATCH(C1676,po_code,0)),"Poste inconnu",IF(AND(E1676&lt;&gt;"",ISNA(MATCH(E1676,art_ref,0))),"Article inconnu",IF(IF(E1676="",FALSE,INDEX(art_check,MATCH(E1676,art_ref,0))&lt;&gt;"OK"),"Article à corriger (feuille Articles)",IF(COUNTIFS(sj_date,A1676,sj_eq,B1676,sj_po,C1676)&gt;1,"Ligne en double (même jour, équipe et poste)",IF(OR(NOT(ISNUMBER(K1676)),N(K1676)&lt;=0,N(K1676)&gt;1440),"Temps d'ouverture invalide",IF(OR(AND(G1676&lt;&gt;"",NOT(ISNUMBER(G1676))),N(G1676)&lt;0,N(G1676)&lt;&gt;INT(N(G1676)),AND(H1676&lt;&gt;"",NOT(ISNUMBER(H1676))),N(H1676)&lt;0,N(H1676)&lt;&gt;INT(N(H1676)),AND(I1676&lt;&gt;"",NOT(ISNUMBER(I1676))),N(I1676)&lt;0,N(I1676)&lt;&gt;INT(N(I1676))),"Quantité invalide",IF(Q1676&lt;=0,"Cadence manquante (poste ou article)",IF(M1676&lt;=0,"Arrêts planifiés supérieurs au temps d'ouverture",IF(O1676&lt;0,"Arrêts supérieurs au temps requis",IF(AND(P1676&gt;0,O1676=0),"Pièces déclarées sans temps de marche",IF(AND(P1676=0,O1676&gt;0),"Aucune pièce déclarée",IF(P1676*60/Q1676&gt;O1676+0.001,"Cadence dépassée : vérifiez la cadence","OK"))))))))))))))))))</f>
        <v/>
      </c>
      <c r="AC1676">
        <f>IF(OR(AB1676="OK",AB1676="Aucune pièce déclarée",AB1676="Cadence dépassée : vérifiez la cadence"),1,0)</f>
        <v>0.0</v>
      </c>
      <c r="AD1676">
        <f>IF(AND(AC1676=1,A1676&gt;=p_from,A1676&lt;=p_to),1,0)</f>
        <v>0.0</v>
      </c>
      <c r="AE1676">
        <f>IF(AD1676=1,IF(COUNTIFS($A$6:A1676,A1676,$AD$6:AD1676,1)=1,1,0),0)</f>
        <v>0.0</v>
      </c>
      <c r="AF1676" t="str">
        <f>IF(AE1676=1,COUNTIFS(sj_first,1,sj_date,"&lt;"&amp;A1676)+1,"")</f>
        <v/>
      </c>
      <c r="AG1676" t="str">
        <f>IF(AND(AD1676=1,N(W1676)&lt;p_alert),ROUND(W1676,4),"")</f>
        <v/>
      </c>
      <c r="AH1676" t="str">
        <f>IF(AG1676="","",COUNTIF(sj_akey,"&lt;"&amp;AG1676)+COUNTIF($AG$6:AG1676,AG1676))</f>
        <v/>
      </c>
    </row>
    <row r="1677">
      <c r="A1677" s="51" t="n"/>
      <c r="B1677" s="52" t="n"/>
      <c r="C1677" s="52" t="n"/>
      <c r="D1677" s="53" t="n"/>
      <c r="E1677" s="53" t="n"/>
      <c r="F1677" s="54" t="n"/>
      <c r="G1677" s="54" t="n"/>
      <c r="H1677" s="54" t="n"/>
      <c r="I1677" s="54" t="n"/>
      <c r="J1677" s="53" t="n"/>
      <c r="K1677" s="55" t="str">
        <f>IF(COUNTA(A1677:I1677)=0,"",IF(F1677="",IFERROR(INDEX(eq_dur,MATCH(B1677,eq_code,0)),""),F1677))</f>
        <v/>
      </c>
      <c r="L1677" s="55" t="str">
        <f>IF(ISNUMBER(K1677),N(IFERROR(INDEX(eq_pause,MATCH(B1677,eq_code,0)),0))+SUMIFS(st_min,st_date,A1677,st_eq,B1677,st_po,C1677,st_type,"Planifié"),"")</f>
        <v/>
      </c>
      <c r="M1677" s="55" t="str">
        <f>IF(ISNUMBER(K1677),K1677-L1677,"")</f>
        <v/>
      </c>
      <c r="N1677" s="55" t="str">
        <f>IF(ISNUMBER(K1677),SUMIFS(st_min,st_date,A1677,st_eq,B1677,st_po,C1677,st_type,"Non planifié"),"")</f>
        <v/>
      </c>
      <c r="O1677" s="55" t="str">
        <f>IF(ISNUMBER(K1677),M1677-N1677,"")</f>
        <v/>
      </c>
      <c r="P1677" s="55" t="str">
        <f>IF(COUNTA(A1677:I1677)=0,"",N(G1677)+N(H1677)+N(I1677))</f>
        <v/>
      </c>
      <c r="Q1677" s="56" t="str">
        <f>IF(COUNTA(A1677:I1677)=0,"",IF(N(IFERROR(INDEX(art_rate,MATCH(E1677,art_ref,0)),0))&gt;0,N(IFERROR(INDEX(art_rate,MATCH(E1677,art_ref,0)),0)),N(IFERROR(INDEX(po_rate,MATCH(C1677,po_code,0)),0))))</f>
        <v/>
      </c>
      <c r="R1677" s="55" t="str">
        <f>IF(AC1677=1,P1677*60/Q1677,"")</f>
        <v/>
      </c>
      <c r="S1677" s="55" t="str">
        <f>IF(AC1677=1,N(G1677)*60/Q1677,"")</f>
        <v/>
      </c>
      <c r="T1677" s="57" t="str">
        <f>IF(AC1677=1,O1677/M1677,"")</f>
        <v/>
      </c>
      <c r="U1677" s="57" t="str">
        <f>IF(AC1677=1,IF(O1677&gt;0,R1677/O1677,""),"")</f>
        <v/>
      </c>
      <c r="V1677" s="57" t="str">
        <f>IF(AC1677=1,IF(P1677&gt;0,N(G1677)/P1677,""),"")</f>
        <v/>
      </c>
      <c r="W1677" s="57" t="str">
        <f>IF(AC1677=1,S1677/M1677,"")</f>
        <v/>
      </c>
      <c r="X1677" s="57" t="str">
        <f>IF(AC1677=1,S1677/K1677,"")</f>
        <v/>
      </c>
      <c r="Y1677" s="58" t="str">
        <f>IF(W1677="","",IF(W1677&gt;=p_target,"Bon",IF(W1677&gt;=p_alert,"À surveiller","Faible")))</f>
        <v/>
      </c>
      <c r="Z1677" s="58" t="str">
        <f>IF(W1677="","",IF(MIN(IF(T1677="",1,T1677),IF(U1677="",1,U1677),IF(V1677="",1,V1677))&gt;=1,"Aucune",IF(IF(T1677="",1,T1677)&lt;=MIN(IF(U1677="",1,U1677),IF(V1677="",1,V1677)),"Disponibilité",IF(IF(U1677="",1,U1677)&lt;=IF(V1677="",1,V1677),"Performance","Qualité"))))</f>
        <v/>
      </c>
      <c r="AA1677" s="59" t="str">
        <f>IF(AC1677=1,N(H1677)*N(IFERROR(INDEX(art_cost,MATCH(E1677,art_ref,0)),0)),"")</f>
        <v/>
      </c>
      <c r="AB1677" s="58" t="str">
        <f>IF(COUNTA(A1677:I1677)=0,"",IF(N(A1677)&lt;=0,"Date manquante ou invalide",IF(B1677="","Équipe manquante",IF(ISNA(MATCH(B1677,eq_code,0)),"Équipe inconnue",IF(INDEX(eq_check,MATCH(B1677,eq_code,0))&lt;&gt;"OK","Équipe à corriger dans Paramètres",IF(C1677="","Poste manquant",IF(ISNA(MATCH(C1677,po_code,0)),"Poste inconnu",IF(AND(E1677&lt;&gt;"",ISNA(MATCH(E1677,art_ref,0))),"Article inconnu",IF(IF(E1677="",FALSE,INDEX(art_check,MATCH(E1677,art_ref,0))&lt;&gt;"OK"),"Article à corriger (feuille Articles)",IF(COUNTIFS(sj_date,A1677,sj_eq,B1677,sj_po,C1677)&gt;1,"Ligne en double (même jour, équipe et poste)",IF(OR(NOT(ISNUMBER(K1677)),N(K1677)&lt;=0,N(K1677)&gt;1440),"Temps d'ouverture invalide",IF(OR(AND(G1677&lt;&gt;"",NOT(ISNUMBER(G1677))),N(G1677)&lt;0,N(G1677)&lt;&gt;INT(N(G1677)),AND(H1677&lt;&gt;"",NOT(ISNUMBER(H1677))),N(H1677)&lt;0,N(H1677)&lt;&gt;INT(N(H1677)),AND(I1677&lt;&gt;"",NOT(ISNUMBER(I1677))),N(I1677)&lt;0,N(I1677)&lt;&gt;INT(N(I1677))),"Quantité invalide",IF(Q1677&lt;=0,"Cadence manquante (poste ou article)",IF(M1677&lt;=0,"Arrêts planifiés supérieurs au temps d'ouverture",IF(O1677&lt;0,"Arrêts supérieurs au temps requis",IF(AND(P1677&gt;0,O1677=0),"Pièces déclarées sans temps de marche",IF(AND(P1677=0,O1677&gt;0),"Aucune pièce déclarée",IF(P1677*60/Q1677&gt;O1677+0.001,"Cadence dépassée : vérifiez la cadence","OK"))))))))))))))))))</f>
        <v/>
      </c>
      <c r="AC1677">
        <f>IF(OR(AB1677="OK",AB1677="Aucune pièce déclarée",AB1677="Cadence dépassée : vérifiez la cadence"),1,0)</f>
        <v>0.0</v>
      </c>
      <c r="AD1677">
        <f>IF(AND(AC1677=1,A1677&gt;=p_from,A1677&lt;=p_to),1,0)</f>
        <v>0.0</v>
      </c>
      <c r="AE1677">
        <f>IF(AD1677=1,IF(COUNTIFS($A$6:A1677,A1677,$AD$6:AD1677,1)=1,1,0),0)</f>
        <v>0.0</v>
      </c>
      <c r="AF1677" t="str">
        <f>IF(AE1677=1,COUNTIFS(sj_first,1,sj_date,"&lt;"&amp;A1677)+1,"")</f>
        <v/>
      </c>
      <c r="AG1677" t="str">
        <f>IF(AND(AD1677=1,N(W1677)&lt;p_alert),ROUND(W1677,4),"")</f>
        <v/>
      </c>
      <c r="AH1677" t="str">
        <f>IF(AG1677="","",COUNTIF(sj_akey,"&lt;"&amp;AG1677)+COUNTIF($AG$6:AG1677,AG1677))</f>
        <v/>
      </c>
    </row>
    <row r="1678">
      <c r="A1678" s="51" t="n"/>
      <c r="B1678" s="52" t="n"/>
      <c r="C1678" s="52" t="n"/>
      <c r="D1678" s="53" t="n"/>
      <c r="E1678" s="53" t="n"/>
      <c r="F1678" s="54" t="n"/>
      <c r="G1678" s="54" t="n"/>
      <c r="H1678" s="54" t="n"/>
      <c r="I1678" s="54" t="n"/>
      <c r="J1678" s="53" t="n"/>
      <c r="K1678" s="55" t="str">
        <f>IF(COUNTA(A1678:I1678)=0,"",IF(F1678="",IFERROR(INDEX(eq_dur,MATCH(B1678,eq_code,0)),""),F1678))</f>
        <v/>
      </c>
      <c r="L1678" s="55" t="str">
        <f>IF(ISNUMBER(K1678),N(IFERROR(INDEX(eq_pause,MATCH(B1678,eq_code,0)),0))+SUMIFS(st_min,st_date,A1678,st_eq,B1678,st_po,C1678,st_type,"Planifié"),"")</f>
        <v/>
      </c>
      <c r="M1678" s="55" t="str">
        <f>IF(ISNUMBER(K1678),K1678-L1678,"")</f>
        <v/>
      </c>
      <c r="N1678" s="55" t="str">
        <f>IF(ISNUMBER(K1678),SUMIFS(st_min,st_date,A1678,st_eq,B1678,st_po,C1678,st_type,"Non planifié"),"")</f>
        <v/>
      </c>
      <c r="O1678" s="55" t="str">
        <f>IF(ISNUMBER(K1678),M1678-N1678,"")</f>
        <v/>
      </c>
      <c r="P1678" s="55" t="str">
        <f>IF(COUNTA(A1678:I1678)=0,"",N(G1678)+N(H1678)+N(I1678))</f>
        <v/>
      </c>
      <c r="Q1678" s="56" t="str">
        <f>IF(COUNTA(A1678:I1678)=0,"",IF(N(IFERROR(INDEX(art_rate,MATCH(E1678,art_ref,0)),0))&gt;0,N(IFERROR(INDEX(art_rate,MATCH(E1678,art_ref,0)),0)),N(IFERROR(INDEX(po_rate,MATCH(C1678,po_code,0)),0))))</f>
        <v/>
      </c>
      <c r="R1678" s="55" t="str">
        <f>IF(AC1678=1,P1678*60/Q1678,"")</f>
        <v/>
      </c>
      <c r="S1678" s="55" t="str">
        <f>IF(AC1678=1,N(G1678)*60/Q1678,"")</f>
        <v/>
      </c>
      <c r="T1678" s="57" t="str">
        <f>IF(AC1678=1,O1678/M1678,"")</f>
        <v/>
      </c>
      <c r="U1678" s="57" t="str">
        <f>IF(AC1678=1,IF(O1678&gt;0,R1678/O1678,""),"")</f>
        <v/>
      </c>
      <c r="V1678" s="57" t="str">
        <f>IF(AC1678=1,IF(P1678&gt;0,N(G1678)/P1678,""),"")</f>
        <v/>
      </c>
      <c r="W1678" s="57" t="str">
        <f>IF(AC1678=1,S1678/M1678,"")</f>
        <v/>
      </c>
      <c r="X1678" s="57" t="str">
        <f>IF(AC1678=1,S1678/K1678,"")</f>
        <v/>
      </c>
      <c r="Y1678" s="58" t="str">
        <f>IF(W1678="","",IF(W1678&gt;=p_target,"Bon",IF(W1678&gt;=p_alert,"À surveiller","Faible")))</f>
        <v/>
      </c>
      <c r="Z1678" s="58" t="str">
        <f>IF(W1678="","",IF(MIN(IF(T1678="",1,T1678),IF(U1678="",1,U1678),IF(V1678="",1,V1678))&gt;=1,"Aucune",IF(IF(T1678="",1,T1678)&lt;=MIN(IF(U1678="",1,U1678),IF(V1678="",1,V1678)),"Disponibilité",IF(IF(U1678="",1,U1678)&lt;=IF(V1678="",1,V1678),"Performance","Qualité"))))</f>
        <v/>
      </c>
      <c r="AA1678" s="59" t="str">
        <f>IF(AC1678=1,N(H1678)*N(IFERROR(INDEX(art_cost,MATCH(E1678,art_ref,0)),0)),"")</f>
        <v/>
      </c>
      <c r="AB1678" s="58" t="str">
        <f>IF(COUNTA(A1678:I1678)=0,"",IF(N(A1678)&lt;=0,"Date manquante ou invalide",IF(B1678="","Équipe manquante",IF(ISNA(MATCH(B1678,eq_code,0)),"Équipe inconnue",IF(INDEX(eq_check,MATCH(B1678,eq_code,0))&lt;&gt;"OK","Équipe à corriger dans Paramètres",IF(C1678="","Poste manquant",IF(ISNA(MATCH(C1678,po_code,0)),"Poste inconnu",IF(AND(E1678&lt;&gt;"",ISNA(MATCH(E1678,art_ref,0))),"Article inconnu",IF(IF(E1678="",FALSE,INDEX(art_check,MATCH(E1678,art_ref,0))&lt;&gt;"OK"),"Article à corriger (feuille Articles)",IF(COUNTIFS(sj_date,A1678,sj_eq,B1678,sj_po,C1678)&gt;1,"Ligne en double (même jour, équipe et poste)",IF(OR(NOT(ISNUMBER(K1678)),N(K1678)&lt;=0,N(K1678)&gt;1440),"Temps d'ouverture invalide",IF(OR(AND(G1678&lt;&gt;"",NOT(ISNUMBER(G1678))),N(G1678)&lt;0,N(G1678)&lt;&gt;INT(N(G1678)),AND(H1678&lt;&gt;"",NOT(ISNUMBER(H1678))),N(H1678)&lt;0,N(H1678)&lt;&gt;INT(N(H1678)),AND(I1678&lt;&gt;"",NOT(ISNUMBER(I1678))),N(I1678)&lt;0,N(I1678)&lt;&gt;INT(N(I1678))),"Quantité invalide",IF(Q1678&lt;=0,"Cadence manquante (poste ou article)",IF(M1678&lt;=0,"Arrêts planifiés supérieurs au temps d'ouverture",IF(O1678&lt;0,"Arrêts supérieurs au temps requis",IF(AND(P1678&gt;0,O1678=0),"Pièces déclarées sans temps de marche",IF(AND(P1678=0,O1678&gt;0),"Aucune pièce déclarée",IF(P1678*60/Q1678&gt;O1678+0.001,"Cadence dépassée : vérifiez la cadence","OK"))))))))))))))))))</f>
        <v/>
      </c>
      <c r="AC1678">
        <f>IF(OR(AB1678="OK",AB1678="Aucune pièce déclarée",AB1678="Cadence dépassée : vérifiez la cadence"),1,0)</f>
        <v>0.0</v>
      </c>
      <c r="AD1678">
        <f>IF(AND(AC1678=1,A1678&gt;=p_from,A1678&lt;=p_to),1,0)</f>
        <v>0.0</v>
      </c>
      <c r="AE1678">
        <f>IF(AD1678=1,IF(COUNTIFS($A$6:A1678,A1678,$AD$6:AD1678,1)=1,1,0),0)</f>
        <v>0.0</v>
      </c>
      <c r="AF1678" t="str">
        <f>IF(AE1678=1,COUNTIFS(sj_first,1,sj_date,"&lt;"&amp;A1678)+1,"")</f>
        <v/>
      </c>
      <c r="AG1678" t="str">
        <f>IF(AND(AD1678=1,N(W1678)&lt;p_alert),ROUND(W1678,4),"")</f>
        <v/>
      </c>
      <c r="AH1678" t="str">
        <f>IF(AG1678="","",COUNTIF(sj_akey,"&lt;"&amp;AG1678)+COUNTIF($AG$6:AG1678,AG1678))</f>
        <v/>
      </c>
    </row>
    <row r="1679">
      <c r="A1679" s="51" t="n"/>
      <c r="B1679" s="52" t="n"/>
      <c r="C1679" s="52" t="n"/>
      <c r="D1679" s="53" t="n"/>
      <c r="E1679" s="53" t="n"/>
      <c r="F1679" s="54" t="n"/>
      <c r="G1679" s="54" t="n"/>
      <c r="H1679" s="54" t="n"/>
      <c r="I1679" s="54" t="n"/>
      <c r="J1679" s="53" t="n"/>
      <c r="K1679" s="55" t="str">
        <f>IF(COUNTA(A1679:I1679)=0,"",IF(F1679="",IFERROR(INDEX(eq_dur,MATCH(B1679,eq_code,0)),""),F1679))</f>
        <v/>
      </c>
      <c r="L1679" s="55" t="str">
        <f>IF(ISNUMBER(K1679),N(IFERROR(INDEX(eq_pause,MATCH(B1679,eq_code,0)),0))+SUMIFS(st_min,st_date,A1679,st_eq,B1679,st_po,C1679,st_type,"Planifié"),"")</f>
        <v/>
      </c>
      <c r="M1679" s="55" t="str">
        <f>IF(ISNUMBER(K1679),K1679-L1679,"")</f>
        <v/>
      </c>
      <c r="N1679" s="55" t="str">
        <f>IF(ISNUMBER(K1679),SUMIFS(st_min,st_date,A1679,st_eq,B1679,st_po,C1679,st_type,"Non planifié"),"")</f>
        <v/>
      </c>
      <c r="O1679" s="55" t="str">
        <f>IF(ISNUMBER(K1679),M1679-N1679,"")</f>
        <v/>
      </c>
      <c r="P1679" s="55" t="str">
        <f>IF(COUNTA(A1679:I1679)=0,"",N(G1679)+N(H1679)+N(I1679))</f>
        <v/>
      </c>
      <c r="Q1679" s="56" t="str">
        <f>IF(COUNTA(A1679:I1679)=0,"",IF(N(IFERROR(INDEX(art_rate,MATCH(E1679,art_ref,0)),0))&gt;0,N(IFERROR(INDEX(art_rate,MATCH(E1679,art_ref,0)),0)),N(IFERROR(INDEX(po_rate,MATCH(C1679,po_code,0)),0))))</f>
        <v/>
      </c>
      <c r="R1679" s="55" t="str">
        <f>IF(AC1679=1,P1679*60/Q1679,"")</f>
        <v/>
      </c>
      <c r="S1679" s="55" t="str">
        <f>IF(AC1679=1,N(G1679)*60/Q1679,"")</f>
        <v/>
      </c>
      <c r="T1679" s="57" t="str">
        <f>IF(AC1679=1,O1679/M1679,"")</f>
        <v/>
      </c>
      <c r="U1679" s="57" t="str">
        <f>IF(AC1679=1,IF(O1679&gt;0,R1679/O1679,""),"")</f>
        <v/>
      </c>
      <c r="V1679" s="57" t="str">
        <f>IF(AC1679=1,IF(P1679&gt;0,N(G1679)/P1679,""),"")</f>
        <v/>
      </c>
      <c r="W1679" s="57" t="str">
        <f>IF(AC1679=1,S1679/M1679,"")</f>
        <v/>
      </c>
      <c r="X1679" s="57" t="str">
        <f>IF(AC1679=1,S1679/K1679,"")</f>
        <v/>
      </c>
      <c r="Y1679" s="58" t="str">
        <f>IF(W1679="","",IF(W1679&gt;=p_target,"Bon",IF(W1679&gt;=p_alert,"À surveiller","Faible")))</f>
        <v/>
      </c>
      <c r="Z1679" s="58" t="str">
        <f>IF(W1679="","",IF(MIN(IF(T1679="",1,T1679),IF(U1679="",1,U1679),IF(V1679="",1,V1679))&gt;=1,"Aucune",IF(IF(T1679="",1,T1679)&lt;=MIN(IF(U1679="",1,U1679),IF(V1679="",1,V1679)),"Disponibilité",IF(IF(U1679="",1,U1679)&lt;=IF(V1679="",1,V1679),"Performance","Qualité"))))</f>
        <v/>
      </c>
      <c r="AA1679" s="59" t="str">
        <f>IF(AC1679=1,N(H1679)*N(IFERROR(INDEX(art_cost,MATCH(E1679,art_ref,0)),0)),"")</f>
        <v/>
      </c>
      <c r="AB1679" s="58" t="str">
        <f>IF(COUNTA(A1679:I1679)=0,"",IF(N(A1679)&lt;=0,"Date manquante ou invalide",IF(B1679="","Équipe manquante",IF(ISNA(MATCH(B1679,eq_code,0)),"Équipe inconnue",IF(INDEX(eq_check,MATCH(B1679,eq_code,0))&lt;&gt;"OK","Équipe à corriger dans Paramètres",IF(C1679="","Poste manquant",IF(ISNA(MATCH(C1679,po_code,0)),"Poste inconnu",IF(AND(E1679&lt;&gt;"",ISNA(MATCH(E1679,art_ref,0))),"Article inconnu",IF(IF(E1679="",FALSE,INDEX(art_check,MATCH(E1679,art_ref,0))&lt;&gt;"OK"),"Article à corriger (feuille Articles)",IF(COUNTIFS(sj_date,A1679,sj_eq,B1679,sj_po,C1679)&gt;1,"Ligne en double (même jour, équipe et poste)",IF(OR(NOT(ISNUMBER(K1679)),N(K1679)&lt;=0,N(K1679)&gt;1440),"Temps d'ouverture invalide",IF(OR(AND(G1679&lt;&gt;"",NOT(ISNUMBER(G1679))),N(G1679)&lt;0,N(G1679)&lt;&gt;INT(N(G1679)),AND(H1679&lt;&gt;"",NOT(ISNUMBER(H1679))),N(H1679)&lt;0,N(H1679)&lt;&gt;INT(N(H1679)),AND(I1679&lt;&gt;"",NOT(ISNUMBER(I1679))),N(I1679)&lt;0,N(I1679)&lt;&gt;INT(N(I1679))),"Quantité invalide",IF(Q1679&lt;=0,"Cadence manquante (poste ou article)",IF(M1679&lt;=0,"Arrêts planifiés supérieurs au temps d'ouverture",IF(O1679&lt;0,"Arrêts supérieurs au temps requis",IF(AND(P1679&gt;0,O1679=0),"Pièces déclarées sans temps de marche",IF(AND(P1679=0,O1679&gt;0),"Aucune pièce déclarée",IF(P1679*60/Q1679&gt;O1679+0.001,"Cadence dépassée : vérifiez la cadence","OK"))))))))))))))))))</f>
        <v/>
      </c>
      <c r="AC1679">
        <f>IF(OR(AB1679="OK",AB1679="Aucune pièce déclarée",AB1679="Cadence dépassée : vérifiez la cadence"),1,0)</f>
        <v>0.0</v>
      </c>
      <c r="AD1679">
        <f>IF(AND(AC1679=1,A1679&gt;=p_from,A1679&lt;=p_to),1,0)</f>
        <v>0.0</v>
      </c>
      <c r="AE1679">
        <f>IF(AD1679=1,IF(COUNTIFS($A$6:A1679,A1679,$AD$6:AD1679,1)=1,1,0),0)</f>
        <v>0.0</v>
      </c>
      <c r="AF1679" t="str">
        <f>IF(AE1679=1,COUNTIFS(sj_first,1,sj_date,"&lt;"&amp;A1679)+1,"")</f>
        <v/>
      </c>
      <c r="AG1679" t="str">
        <f>IF(AND(AD1679=1,N(W1679)&lt;p_alert),ROUND(W1679,4),"")</f>
        <v/>
      </c>
      <c r="AH1679" t="str">
        <f>IF(AG1679="","",COUNTIF(sj_akey,"&lt;"&amp;AG1679)+COUNTIF($AG$6:AG1679,AG1679))</f>
        <v/>
      </c>
    </row>
    <row r="1680">
      <c r="A1680" s="51" t="n"/>
      <c r="B1680" s="52" t="n"/>
      <c r="C1680" s="52" t="n"/>
      <c r="D1680" s="53" t="n"/>
      <c r="E1680" s="53" t="n"/>
      <c r="F1680" s="54" t="n"/>
      <c r="G1680" s="54" t="n"/>
      <c r="H1680" s="54" t="n"/>
      <c r="I1680" s="54" t="n"/>
      <c r="J1680" s="53" t="n"/>
      <c r="K1680" s="55" t="str">
        <f>IF(COUNTA(A1680:I1680)=0,"",IF(F1680="",IFERROR(INDEX(eq_dur,MATCH(B1680,eq_code,0)),""),F1680))</f>
        <v/>
      </c>
      <c r="L1680" s="55" t="str">
        <f>IF(ISNUMBER(K1680),N(IFERROR(INDEX(eq_pause,MATCH(B1680,eq_code,0)),0))+SUMIFS(st_min,st_date,A1680,st_eq,B1680,st_po,C1680,st_type,"Planifié"),"")</f>
        <v/>
      </c>
      <c r="M1680" s="55" t="str">
        <f>IF(ISNUMBER(K1680),K1680-L1680,"")</f>
        <v/>
      </c>
      <c r="N1680" s="55" t="str">
        <f>IF(ISNUMBER(K1680),SUMIFS(st_min,st_date,A1680,st_eq,B1680,st_po,C1680,st_type,"Non planifié"),"")</f>
        <v/>
      </c>
      <c r="O1680" s="55" t="str">
        <f>IF(ISNUMBER(K1680),M1680-N1680,"")</f>
        <v/>
      </c>
      <c r="P1680" s="55" t="str">
        <f>IF(COUNTA(A1680:I1680)=0,"",N(G1680)+N(H1680)+N(I1680))</f>
        <v/>
      </c>
      <c r="Q1680" s="56" t="str">
        <f>IF(COUNTA(A1680:I1680)=0,"",IF(N(IFERROR(INDEX(art_rate,MATCH(E1680,art_ref,0)),0))&gt;0,N(IFERROR(INDEX(art_rate,MATCH(E1680,art_ref,0)),0)),N(IFERROR(INDEX(po_rate,MATCH(C1680,po_code,0)),0))))</f>
        <v/>
      </c>
      <c r="R1680" s="55" t="str">
        <f>IF(AC1680=1,P1680*60/Q1680,"")</f>
        <v/>
      </c>
      <c r="S1680" s="55" t="str">
        <f>IF(AC1680=1,N(G1680)*60/Q1680,"")</f>
        <v/>
      </c>
      <c r="T1680" s="57" t="str">
        <f>IF(AC1680=1,O1680/M1680,"")</f>
        <v/>
      </c>
      <c r="U1680" s="57" t="str">
        <f>IF(AC1680=1,IF(O1680&gt;0,R1680/O1680,""),"")</f>
        <v/>
      </c>
      <c r="V1680" s="57" t="str">
        <f>IF(AC1680=1,IF(P1680&gt;0,N(G1680)/P1680,""),"")</f>
        <v/>
      </c>
      <c r="W1680" s="57" t="str">
        <f>IF(AC1680=1,S1680/M1680,"")</f>
        <v/>
      </c>
      <c r="X1680" s="57" t="str">
        <f>IF(AC1680=1,S1680/K1680,"")</f>
        <v/>
      </c>
      <c r="Y1680" s="58" t="str">
        <f>IF(W1680="","",IF(W1680&gt;=p_target,"Bon",IF(W1680&gt;=p_alert,"À surveiller","Faible")))</f>
        <v/>
      </c>
      <c r="Z1680" s="58" t="str">
        <f>IF(W1680="","",IF(MIN(IF(T1680="",1,T1680),IF(U1680="",1,U1680),IF(V1680="",1,V1680))&gt;=1,"Aucune",IF(IF(T1680="",1,T1680)&lt;=MIN(IF(U1680="",1,U1680),IF(V1680="",1,V1680)),"Disponibilité",IF(IF(U1680="",1,U1680)&lt;=IF(V1680="",1,V1680),"Performance","Qualité"))))</f>
        <v/>
      </c>
      <c r="AA1680" s="59" t="str">
        <f>IF(AC1680=1,N(H1680)*N(IFERROR(INDEX(art_cost,MATCH(E1680,art_ref,0)),0)),"")</f>
        <v/>
      </c>
      <c r="AB1680" s="58" t="str">
        <f>IF(COUNTA(A1680:I1680)=0,"",IF(N(A1680)&lt;=0,"Date manquante ou invalide",IF(B1680="","Équipe manquante",IF(ISNA(MATCH(B1680,eq_code,0)),"Équipe inconnue",IF(INDEX(eq_check,MATCH(B1680,eq_code,0))&lt;&gt;"OK","Équipe à corriger dans Paramètres",IF(C1680="","Poste manquant",IF(ISNA(MATCH(C1680,po_code,0)),"Poste inconnu",IF(AND(E1680&lt;&gt;"",ISNA(MATCH(E1680,art_ref,0))),"Article inconnu",IF(IF(E1680="",FALSE,INDEX(art_check,MATCH(E1680,art_ref,0))&lt;&gt;"OK"),"Article à corriger (feuille Articles)",IF(COUNTIFS(sj_date,A1680,sj_eq,B1680,sj_po,C1680)&gt;1,"Ligne en double (même jour, équipe et poste)",IF(OR(NOT(ISNUMBER(K1680)),N(K1680)&lt;=0,N(K1680)&gt;1440),"Temps d'ouverture invalide",IF(OR(AND(G1680&lt;&gt;"",NOT(ISNUMBER(G1680))),N(G1680)&lt;0,N(G1680)&lt;&gt;INT(N(G1680)),AND(H1680&lt;&gt;"",NOT(ISNUMBER(H1680))),N(H1680)&lt;0,N(H1680)&lt;&gt;INT(N(H1680)),AND(I1680&lt;&gt;"",NOT(ISNUMBER(I1680))),N(I1680)&lt;0,N(I1680)&lt;&gt;INT(N(I1680))),"Quantité invalide",IF(Q1680&lt;=0,"Cadence manquante (poste ou article)",IF(M1680&lt;=0,"Arrêts planifiés supérieurs au temps d'ouverture",IF(O1680&lt;0,"Arrêts supérieurs au temps requis",IF(AND(P1680&gt;0,O1680=0),"Pièces déclarées sans temps de marche",IF(AND(P1680=0,O1680&gt;0),"Aucune pièce déclarée",IF(P1680*60/Q1680&gt;O1680+0.001,"Cadence dépassée : vérifiez la cadence","OK"))))))))))))))))))</f>
        <v/>
      </c>
      <c r="AC1680">
        <f>IF(OR(AB1680="OK",AB1680="Aucune pièce déclarée",AB1680="Cadence dépassée : vérifiez la cadence"),1,0)</f>
        <v>0.0</v>
      </c>
      <c r="AD1680">
        <f>IF(AND(AC1680=1,A1680&gt;=p_from,A1680&lt;=p_to),1,0)</f>
        <v>0.0</v>
      </c>
      <c r="AE1680">
        <f>IF(AD1680=1,IF(COUNTIFS($A$6:A1680,A1680,$AD$6:AD1680,1)=1,1,0),0)</f>
        <v>0.0</v>
      </c>
      <c r="AF1680" t="str">
        <f>IF(AE1680=1,COUNTIFS(sj_first,1,sj_date,"&lt;"&amp;A1680)+1,"")</f>
        <v/>
      </c>
      <c r="AG1680" t="str">
        <f>IF(AND(AD1680=1,N(W1680)&lt;p_alert),ROUND(W1680,4),"")</f>
        <v/>
      </c>
      <c r="AH1680" t="str">
        <f>IF(AG1680="","",COUNTIF(sj_akey,"&lt;"&amp;AG1680)+COUNTIF($AG$6:AG1680,AG1680))</f>
        <v/>
      </c>
    </row>
    <row r="1681">
      <c r="A1681" s="51" t="n"/>
      <c r="B1681" s="52" t="n"/>
      <c r="C1681" s="52" t="n"/>
      <c r="D1681" s="53" t="n"/>
      <c r="E1681" s="53" t="n"/>
      <c r="F1681" s="54" t="n"/>
      <c r="G1681" s="54" t="n"/>
      <c r="H1681" s="54" t="n"/>
      <c r="I1681" s="54" t="n"/>
      <c r="J1681" s="53" t="n"/>
      <c r="K1681" s="55" t="str">
        <f>IF(COUNTA(A1681:I1681)=0,"",IF(F1681="",IFERROR(INDEX(eq_dur,MATCH(B1681,eq_code,0)),""),F1681))</f>
        <v/>
      </c>
      <c r="L1681" s="55" t="str">
        <f>IF(ISNUMBER(K1681),N(IFERROR(INDEX(eq_pause,MATCH(B1681,eq_code,0)),0))+SUMIFS(st_min,st_date,A1681,st_eq,B1681,st_po,C1681,st_type,"Planifié"),"")</f>
        <v/>
      </c>
      <c r="M1681" s="55" t="str">
        <f>IF(ISNUMBER(K1681),K1681-L1681,"")</f>
        <v/>
      </c>
      <c r="N1681" s="55" t="str">
        <f>IF(ISNUMBER(K1681),SUMIFS(st_min,st_date,A1681,st_eq,B1681,st_po,C1681,st_type,"Non planifié"),"")</f>
        <v/>
      </c>
      <c r="O1681" s="55" t="str">
        <f>IF(ISNUMBER(K1681),M1681-N1681,"")</f>
        <v/>
      </c>
      <c r="P1681" s="55" t="str">
        <f>IF(COUNTA(A1681:I1681)=0,"",N(G1681)+N(H1681)+N(I1681))</f>
        <v/>
      </c>
      <c r="Q1681" s="56" t="str">
        <f>IF(COUNTA(A1681:I1681)=0,"",IF(N(IFERROR(INDEX(art_rate,MATCH(E1681,art_ref,0)),0))&gt;0,N(IFERROR(INDEX(art_rate,MATCH(E1681,art_ref,0)),0)),N(IFERROR(INDEX(po_rate,MATCH(C1681,po_code,0)),0))))</f>
        <v/>
      </c>
      <c r="R1681" s="55" t="str">
        <f>IF(AC1681=1,P1681*60/Q1681,"")</f>
        <v/>
      </c>
      <c r="S1681" s="55" t="str">
        <f>IF(AC1681=1,N(G1681)*60/Q1681,"")</f>
        <v/>
      </c>
      <c r="T1681" s="57" t="str">
        <f>IF(AC1681=1,O1681/M1681,"")</f>
        <v/>
      </c>
      <c r="U1681" s="57" t="str">
        <f>IF(AC1681=1,IF(O1681&gt;0,R1681/O1681,""),"")</f>
        <v/>
      </c>
      <c r="V1681" s="57" t="str">
        <f>IF(AC1681=1,IF(P1681&gt;0,N(G1681)/P1681,""),"")</f>
        <v/>
      </c>
      <c r="W1681" s="57" t="str">
        <f>IF(AC1681=1,S1681/M1681,"")</f>
        <v/>
      </c>
      <c r="X1681" s="57" t="str">
        <f>IF(AC1681=1,S1681/K1681,"")</f>
        <v/>
      </c>
      <c r="Y1681" s="58" t="str">
        <f>IF(W1681="","",IF(W1681&gt;=p_target,"Bon",IF(W1681&gt;=p_alert,"À surveiller","Faible")))</f>
        <v/>
      </c>
      <c r="Z1681" s="58" t="str">
        <f>IF(W1681="","",IF(MIN(IF(T1681="",1,T1681),IF(U1681="",1,U1681),IF(V1681="",1,V1681))&gt;=1,"Aucune",IF(IF(T1681="",1,T1681)&lt;=MIN(IF(U1681="",1,U1681),IF(V1681="",1,V1681)),"Disponibilité",IF(IF(U1681="",1,U1681)&lt;=IF(V1681="",1,V1681),"Performance","Qualité"))))</f>
        <v/>
      </c>
      <c r="AA1681" s="59" t="str">
        <f>IF(AC1681=1,N(H1681)*N(IFERROR(INDEX(art_cost,MATCH(E1681,art_ref,0)),0)),"")</f>
        <v/>
      </c>
      <c r="AB1681" s="58" t="str">
        <f>IF(COUNTA(A1681:I1681)=0,"",IF(N(A1681)&lt;=0,"Date manquante ou invalide",IF(B1681="","Équipe manquante",IF(ISNA(MATCH(B1681,eq_code,0)),"Équipe inconnue",IF(INDEX(eq_check,MATCH(B1681,eq_code,0))&lt;&gt;"OK","Équipe à corriger dans Paramètres",IF(C1681="","Poste manquant",IF(ISNA(MATCH(C1681,po_code,0)),"Poste inconnu",IF(AND(E1681&lt;&gt;"",ISNA(MATCH(E1681,art_ref,0))),"Article inconnu",IF(IF(E1681="",FALSE,INDEX(art_check,MATCH(E1681,art_ref,0))&lt;&gt;"OK"),"Article à corriger (feuille Articles)",IF(COUNTIFS(sj_date,A1681,sj_eq,B1681,sj_po,C1681)&gt;1,"Ligne en double (même jour, équipe et poste)",IF(OR(NOT(ISNUMBER(K1681)),N(K1681)&lt;=0,N(K1681)&gt;1440),"Temps d'ouverture invalide",IF(OR(AND(G1681&lt;&gt;"",NOT(ISNUMBER(G1681))),N(G1681)&lt;0,N(G1681)&lt;&gt;INT(N(G1681)),AND(H1681&lt;&gt;"",NOT(ISNUMBER(H1681))),N(H1681)&lt;0,N(H1681)&lt;&gt;INT(N(H1681)),AND(I1681&lt;&gt;"",NOT(ISNUMBER(I1681))),N(I1681)&lt;0,N(I1681)&lt;&gt;INT(N(I1681))),"Quantité invalide",IF(Q1681&lt;=0,"Cadence manquante (poste ou article)",IF(M1681&lt;=0,"Arrêts planifiés supérieurs au temps d'ouverture",IF(O1681&lt;0,"Arrêts supérieurs au temps requis",IF(AND(P1681&gt;0,O1681=0),"Pièces déclarées sans temps de marche",IF(AND(P1681=0,O1681&gt;0),"Aucune pièce déclarée",IF(P1681*60/Q1681&gt;O1681+0.001,"Cadence dépassée : vérifiez la cadence","OK"))))))))))))))))))</f>
        <v/>
      </c>
      <c r="AC1681">
        <f>IF(OR(AB1681="OK",AB1681="Aucune pièce déclarée",AB1681="Cadence dépassée : vérifiez la cadence"),1,0)</f>
        <v>0.0</v>
      </c>
      <c r="AD1681">
        <f>IF(AND(AC1681=1,A1681&gt;=p_from,A1681&lt;=p_to),1,0)</f>
        <v>0.0</v>
      </c>
      <c r="AE1681">
        <f>IF(AD1681=1,IF(COUNTIFS($A$6:A1681,A1681,$AD$6:AD1681,1)=1,1,0),0)</f>
        <v>0.0</v>
      </c>
      <c r="AF1681" t="str">
        <f>IF(AE1681=1,COUNTIFS(sj_first,1,sj_date,"&lt;"&amp;A1681)+1,"")</f>
        <v/>
      </c>
      <c r="AG1681" t="str">
        <f>IF(AND(AD1681=1,N(W1681)&lt;p_alert),ROUND(W1681,4),"")</f>
        <v/>
      </c>
      <c r="AH1681" t="str">
        <f>IF(AG1681="","",COUNTIF(sj_akey,"&lt;"&amp;AG1681)+COUNTIF($AG$6:AG1681,AG1681))</f>
        <v/>
      </c>
    </row>
    <row r="1682">
      <c r="A1682" s="51" t="n"/>
      <c r="B1682" s="52" t="n"/>
      <c r="C1682" s="52" t="n"/>
      <c r="D1682" s="53" t="n"/>
      <c r="E1682" s="53" t="n"/>
      <c r="F1682" s="54" t="n"/>
      <c r="G1682" s="54" t="n"/>
      <c r="H1682" s="54" t="n"/>
      <c r="I1682" s="54" t="n"/>
      <c r="J1682" s="53" t="n"/>
      <c r="K1682" s="55" t="str">
        <f>IF(COUNTA(A1682:I1682)=0,"",IF(F1682="",IFERROR(INDEX(eq_dur,MATCH(B1682,eq_code,0)),""),F1682))</f>
        <v/>
      </c>
      <c r="L1682" s="55" t="str">
        <f>IF(ISNUMBER(K1682),N(IFERROR(INDEX(eq_pause,MATCH(B1682,eq_code,0)),0))+SUMIFS(st_min,st_date,A1682,st_eq,B1682,st_po,C1682,st_type,"Planifié"),"")</f>
        <v/>
      </c>
      <c r="M1682" s="55" t="str">
        <f>IF(ISNUMBER(K1682),K1682-L1682,"")</f>
        <v/>
      </c>
      <c r="N1682" s="55" t="str">
        <f>IF(ISNUMBER(K1682),SUMIFS(st_min,st_date,A1682,st_eq,B1682,st_po,C1682,st_type,"Non planifié"),"")</f>
        <v/>
      </c>
      <c r="O1682" s="55" t="str">
        <f>IF(ISNUMBER(K1682),M1682-N1682,"")</f>
        <v/>
      </c>
      <c r="P1682" s="55" t="str">
        <f>IF(COUNTA(A1682:I1682)=0,"",N(G1682)+N(H1682)+N(I1682))</f>
        <v/>
      </c>
      <c r="Q1682" s="56" t="str">
        <f>IF(COUNTA(A1682:I1682)=0,"",IF(N(IFERROR(INDEX(art_rate,MATCH(E1682,art_ref,0)),0))&gt;0,N(IFERROR(INDEX(art_rate,MATCH(E1682,art_ref,0)),0)),N(IFERROR(INDEX(po_rate,MATCH(C1682,po_code,0)),0))))</f>
        <v/>
      </c>
      <c r="R1682" s="55" t="str">
        <f>IF(AC1682=1,P1682*60/Q1682,"")</f>
        <v/>
      </c>
      <c r="S1682" s="55" t="str">
        <f>IF(AC1682=1,N(G1682)*60/Q1682,"")</f>
        <v/>
      </c>
      <c r="T1682" s="57" t="str">
        <f>IF(AC1682=1,O1682/M1682,"")</f>
        <v/>
      </c>
      <c r="U1682" s="57" t="str">
        <f>IF(AC1682=1,IF(O1682&gt;0,R1682/O1682,""),"")</f>
        <v/>
      </c>
      <c r="V1682" s="57" t="str">
        <f>IF(AC1682=1,IF(P1682&gt;0,N(G1682)/P1682,""),"")</f>
        <v/>
      </c>
      <c r="W1682" s="57" t="str">
        <f>IF(AC1682=1,S1682/M1682,"")</f>
        <v/>
      </c>
      <c r="X1682" s="57" t="str">
        <f>IF(AC1682=1,S1682/K1682,"")</f>
        <v/>
      </c>
      <c r="Y1682" s="58" t="str">
        <f>IF(W1682="","",IF(W1682&gt;=p_target,"Bon",IF(W1682&gt;=p_alert,"À surveiller","Faible")))</f>
        <v/>
      </c>
      <c r="Z1682" s="58" t="str">
        <f>IF(W1682="","",IF(MIN(IF(T1682="",1,T1682),IF(U1682="",1,U1682),IF(V1682="",1,V1682))&gt;=1,"Aucune",IF(IF(T1682="",1,T1682)&lt;=MIN(IF(U1682="",1,U1682),IF(V1682="",1,V1682)),"Disponibilité",IF(IF(U1682="",1,U1682)&lt;=IF(V1682="",1,V1682),"Performance","Qualité"))))</f>
        <v/>
      </c>
      <c r="AA1682" s="59" t="str">
        <f>IF(AC1682=1,N(H1682)*N(IFERROR(INDEX(art_cost,MATCH(E1682,art_ref,0)),0)),"")</f>
        <v/>
      </c>
      <c r="AB1682" s="58" t="str">
        <f>IF(COUNTA(A1682:I1682)=0,"",IF(N(A1682)&lt;=0,"Date manquante ou invalide",IF(B1682="","Équipe manquante",IF(ISNA(MATCH(B1682,eq_code,0)),"Équipe inconnue",IF(INDEX(eq_check,MATCH(B1682,eq_code,0))&lt;&gt;"OK","Équipe à corriger dans Paramètres",IF(C1682="","Poste manquant",IF(ISNA(MATCH(C1682,po_code,0)),"Poste inconnu",IF(AND(E1682&lt;&gt;"",ISNA(MATCH(E1682,art_ref,0))),"Article inconnu",IF(IF(E1682="",FALSE,INDEX(art_check,MATCH(E1682,art_ref,0))&lt;&gt;"OK"),"Article à corriger (feuille Articles)",IF(COUNTIFS(sj_date,A1682,sj_eq,B1682,sj_po,C1682)&gt;1,"Ligne en double (même jour, équipe et poste)",IF(OR(NOT(ISNUMBER(K1682)),N(K1682)&lt;=0,N(K1682)&gt;1440),"Temps d'ouverture invalide",IF(OR(AND(G1682&lt;&gt;"",NOT(ISNUMBER(G1682))),N(G1682)&lt;0,N(G1682)&lt;&gt;INT(N(G1682)),AND(H1682&lt;&gt;"",NOT(ISNUMBER(H1682))),N(H1682)&lt;0,N(H1682)&lt;&gt;INT(N(H1682)),AND(I1682&lt;&gt;"",NOT(ISNUMBER(I1682))),N(I1682)&lt;0,N(I1682)&lt;&gt;INT(N(I1682))),"Quantité invalide",IF(Q1682&lt;=0,"Cadence manquante (poste ou article)",IF(M1682&lt;=0,"Arrêts planifiés supérieurs au temps d'ouverture",IF(O1682&lt;0,"Arrêts supérieurs au temps requis",IF(AND(P1682&gt;0,O1682=0),"Pièces déclarées sans temps de marche",IF(AND(P1682=0,O1682&gt;0),"Aucune pièce déclarée",IF(P1682*60/Q1682&gt;O1682+0.001,"Cadence dépassée : vérifiez la cadence","OK"))))))))))))))))))</f>
        <v/>
      </c>
      <c r="AC1682">
        <f>IF(OR(AB1682="OK",AB1682="Aucune pièce déclarée",AB1682="Cadence dépassée : vérifiez la cadence"),1,0)</f>
        <v>0.0</v>
      </c>
      <c r="AD1682">
        <f>IF(AND(AC1682=1,A1682&gt;=p_from,A1682&lt;=p_to),1,0)</f>
        <v>0.0</v>
      </c>
      <c r="AE1682">
        <f>IF(AD1682=1,IF(COUNTIFS($A$6:A1682,A1682,$AD$6:AD1682,1)=1,1,0),0)</f>
        <v>0.0</v>
      </c>
      <c r="AF1682" t="str">
        <f>IF(AE1682=1,COUNTIFS(sj_first,1,sj_date,"&lt;"&amp;A1682)+1,"")</f>
        <v/>
      </c>
      <c r="AG1682" t="str">
        <f>IF(AND(AD1682=1,N(W1682)&lt;p_alert),ROUND(W1682,4),"")</f>
        <v/>
      </c>
      <c r="AH1682" t="str">
        <f>IF(AG1682="","",COUNTIF(sj_akey,"&lt;"&amp;AG1682)+COUNTIF($AG$6:AG1682,AG1682))</f>
        <v/>
      </c>
    </row>
    <row r="1683">
      <c r="A1683" s="51" t="n"/>
      <c r="B1683" s="52" t="n"/>
      <c r="C1683" s="52" t="n"/>
      <c r="D1683" s="53" t="n"/>
      <c r="E1683" s="53" t="n"/>
      <c r="F1683" s="54" t="n"/>
      <c r="G1683" s="54" t="n"/>
      <c r="H1683" s="54" t="n"/>
      <c r="I1683" s="54" t="n"/>
      <c r="J1683" s="53" t="n"/>
      <c r="K1683" s="55" t="str">
        <f>IF(COUNTA(A1683:I1683)=0,"",IF(F1683="",IFERROR(INDEX(eq_dur,MATCH(B1683,eq_code,0)),""),F1683))</f>
        <v/>
      </c>
      <c r="L1683" s="55" t="str">
        <f>IF(ISNUMBER(K1683),N(IFERROR(INDEX(eq_pause,MATCH(B1683,eq_code,0)),0))+SUMIFS(st_min,st_date,A1683,st_eq,B1683,st_po,C1683,st_type,"Planifié"),"")</f>
        <v/>
      </c>
      <c r="M1683" s="55" t="str">
        <f>IF(ISNUMBER(K1683),K1683-L1683,"")</f>
        <v/>
      </c>
      <c r="N1683" s="55" t="str">
        <f>IF(ISNUMBER(K1683),SUMIFS(st_min,st_date,A1683,st_eq,B1683,st_po,C1683,st_type,"Non planifié"),"")</f>
        <v/>
      </c>
      <c r="O1683" s="55" t="str">
        <f>IF(ISNUMBER(K1683),M1683-N1683,"")</f>
        <v/>
      </c>
      <c r="P1683" s="55" t="str">
        <f>IF(COUNTA(A1683:I1683)=0,"",N(G1683)+N(H1683)+N(I1683))</f>
        <v/>
      </c>
      <c r="Q1683" s="56" t="str">
        <f>IF(COUNTA(A1683:I1683)=0,"",IF(N(IFERROR(INDEX(art_rate,MATCH(E1683,art_ref,0)),0))&gt;0,N(IFERROR(INDEX(art_rate,MATCH(E1683,art_ref,0)),0)),N(IFERROR(INDEX(po_rate,MATCH(C1683,po_code,0)),0))))</f>
        <v/>
      </c>
      <c r="R1683" s="55" t="str">
        <f>IF(AC1683=1,P1683*60/Q1683,"")</f>
        <v/>
      </c>
      <c r="S1683" s="55" t="str">
        <f>IF(AC1683=1,N(G1683)*60/Q1683,"")</f>
        <v/>
      </c>
      <c r="T1683" s="57" t="str">
        <f>IF(AC1683=1,O1683/M1683,"")</f>
        <v/>
      </c>
      <c r="U1683" s="57" t="str">
        <f>IF(AC1683=1,IF(O1683&gt;0,R1683/O1683,""),"")</f>
        <v/>
      </c>
      <c r="V1683" s="57" t="str">
        <f>IF(AC1683=1,IF(P1683&gt;0,N(G1683)/P1683,""),"")</f>
        <v/>
      </c>
      <c r="W1683" s="57" t="str">
        <f>IF(AC1683=1,S1683/M1683,"")</f>
        <v/>
      </c>
      <c r="X1683" s="57" t="str">
        <f>IF(AC1683=1,S1683/K1683,"")</f>
        <v/>
      </c>
      <c r="Y1683" s="58" t="str">
        <f>IF(W1683="","",IF(W1683&gt;=p_target,"Bon",IF(W1683&gt;=p_alert,"À surveiller","Faible")))</f>
        <v/>
      </c>
      <c r="Z1683" s="58" t="str">
        <f>IF(W1683="","",IF(MIN(IF(T1683="",1,T1683),IF(U1683="",1,U1683),IF(V1683="",1,V1683))&gt;=1,"Aucune",IF(IF(T1683="",1,T1683)&lt;=MIN(IF(U1683="",1,U1683),IF(V1683="",1,V1683)),"Disponibilité",IF(IF(U1683="",1,U1683)&lt;=IF(V1683="",1,V1683),"Performance","Qualité"))))</f>
        <v/>
      </c>
      <c r="AA1683" s="59" t="str">
        <f>IF(AC1683=1,N(H1683)*N(IFERROR(INDEX(art_cost,MATCH(E1683,art_ref,0)),0)),"")</f>
        <v/>
      </c>
      <c r="AB1683" s="58" t="str">
        <f>IF(COUNTA(A1683:I1683)=0,"",IF(N(A1683)&lt;=0,"Date manquante ou invalide",IF(B1683="","Équipe manquante",IF(ISNA(MATCH(B1683,eq_code,0)),"Équipe inconnue",IF(INDEX(eq_check,MATCH(B1683,eq_code,0))&lt;&gt;"OK","Équipe à corriger dans Paramètres",IF(C1683="","Poste manquant",IF(ISNA(MATCH(C1683,po_code,0)),"Poste inconnu",IF(AND(E1683&lt;&gt;"",ISNA(MATCH(E1683,art_ref,0))),"Article inconnu",IF(IF(E1683="",FALSE,INDEX(art_check,MATCH(E1683,art_ref,0))&lt;&gt;"OK"),"Article à corriger (feuille Articles)",IF(COUNTIFS(sj_date,A1683,sj_eq,B1683,sj_po,C1683)&gt;1,"Ligne en double (même jour, équipe et poste)",IF(OR(NOT(ISNUMBER(K1683)),N(K1683)&lt;=0,N(K1683)&gt;1440),"Temps d'ouverture invalide",IF(OR(AND(G1683&lt;&gt;"",NOT(ISNUMBER(G1683))),N(G1683)&lt;0,N(G1683)&lt;&gt;INT(N(G1683)),AND(H1683&lt;&gt;"",NOT(ISNUMBER(H1683))),N(H1683)&lt;0,N(H1683)&lt;&gt;INT(N(H1683)),AND(I1683&lt;&gt;"",NOT(ISNUMBER(I1683))),N(I1683)&lt;0,N(I1683)&lt;&gt;INT(N(I1683))),"Quantité invalide",IF(Q1683&lt;=0,"Cadence manquante (poste ou article)",IF(M1683&lt;=0,"Arrêts planifiés supérieurs au temps d'ouverture",IF(O1683&lt;0,"Arrêts supérieurs au temps requis",IF(AND(P1683&gt;0,O1683=0),"Pièces déclarées sans temps de marche",IF(AND(P1683=0,O1683&gt;0),"Aucune pièce déclarée",IF(P1683*60/Q1683&gt;O1683+0.001,"Cadence dépassée : vérifiez la cadence","OK"))))))))))))))))))</f>
        <v/>
      </c>
      <c r="AC1683">
        <f>IF(OR(AB1683="OK",AB1683="Aucune pièce déclarée",AB1683="Cadence dépassée : vérifiez la cadence"),1,0)</f>
        <v>0.0</v>
      </c>
      <c r="AD1683">
        <f>IF(AND(AC1683=1,A1683&gt;=p_from,A1683&lt;=p_to),1,0)</f>
        <v>0.0</v>
      </c>
      <c r="AE1683">
        <f>IF(AD1683=1,IF(COUNTIFS($A$6:A1683,A1683,$AD$6:AD1683,1)=1,1,0),0)</f>
        <v>0.0</v>
      </c>
      <c r="AF1683" t="str">
        <f>IF(AE1683=1,COUNTIFS(sj_first,1,sj_date,"&lt;"&amp;A1683)+1,"")</f>
        <v/>
      </c>
      <c r="AG1683" t="str">
        <f>IF(AND(AD1683=1,N(W1683)&lt;p_alert),ROUND(W1683,4),"")</f>
        <v/>
      </c>
      <c r="AH1683" t="str">
        <f>IF(AG1683="","",COUNTIF(sj_akey,"&lt;"&amp;AG1683)+COUNTIF($AG$6:AG1683,AG1683))</f>
        <v/>
      </c>
    </row>
    <row r="1684">
      <c r="A1684" s="51" t="n"/>
      <c r="B1684" s="52" t="n"/>
      <c r="C1684" s="52" t="n"/>
      <c r="D1684" s="53" t="n"/>
      <c r="E1684" s="53" t="n"/>
      <c r="F1684" s="54" t="n"/>
      <c r="G1684" s="54" t="n"/>
      <c r="H1684" s="54" t="n"/>
      <c r="I1684" s="54" t="n"/>
      <c r="J1684" s="53" t="n"/>
      <c r="K1684" s="55" t="str">
        <f>IF(COUNTA(A1684:I1684)=0,"",IF(F1684="",IFERROR(INDEX(eq_dur,MATCH(B1684,eq_code,0)),""),F1684))</f>
        <v/>
      </c>
      <c r="L1684" s="55" t="str">
        <f>IF(ISNUMBER(K1684),N(IFERROR(INDEX(eq_pause,MATCH(B1684,eq_code,0)),0))+SUMIFS(st_min,st_date,A1684,st_eq,B1684,st_po,C1684,st_type,"Planifié"),"")</f>
        <v/>
      </c>
      <c r="M1684" s="55" t="str">
        <f>IF(ISNUMBER(K1684),K1684-L1684,"")</f>
        <v/>
      </c>
      <c r="N1684" s="55" t="str">
        <f>IF(ISNUMBER(K1684),SUMIFS(st_min,st_date,A1684,st_eq,B1684,st_po,C1684,st_type,"Non planifié"),"")</f>
        <v/>
      </c>
      <c r="O1684" s="55" t="str">
        <f>IF(ISNUMBER(K1684),M1684-N1684,"")</f>
        <v/>
      </c>
      <c r="P1684" s="55" t="str">
        <f>IF(COUNTA(A1684:I1684)=0,"",N(G1684)+N(H1684)+N(I1684))</f>
        <v/>
      </c>
      <c r="Q1684" s="56" t="str">
        <f>IF(COUNTA(A1684:I1684)=0,"",IF(N(IFERROR(INDEX(art_rate,MATCH(E1684,art_ref,0)),0))&gt;0,N(IFERROR(INDEX(art_rate,MATCH(E1684,art_ref,0)),0)),N(IFERROR(INDEX(po_rate,MATCH(C1684,po_code,0)),0))))</f>
        <v/>
      </c>
      <c r="R1684" s="55" t="str">
        <f>IF(AC1684=1,P1684*60/Q1684,"")</f>
        <v/>
      </c>
      <c r="S1684" s="55" t="str">
        <f>IF(AC1684=1,N(G1684)*60/Q1684,"")</f>
        <v/>
      </c>
      <c r="T1684" s="57" t="str">
        <f>IF(AC1684=1,O1684/M1684,"")</f>
        <v/>
      </c>
      <c r="U1684" s="57" t="str">
        <f>IF(AC1684=1,IF(O1684&gt;0,R1684/O1684,""),"")</f>
        <v/>
      </c>
      <c r="V1684" s="57" t="str">
        <f>IF(AC1684=1,IF(P1684&gt;0,N(G1684)/P1684,""),"")</f>
        <v/>
      </c>
      <c r="W1684" s="57" t="str">
        <f>IF(AC1684=1,S1684/M1684,"")</f>
        <v/>
      </c>
      <c r="X1684" s="57" t="str">
        <f>IF(AC1684=1,S1684/K1684,"")</f>
        <v/>
      </c>
      <c r="Y1684" s="58" t="str">
        <f>IF(W1684="","",IF(W1684&gt;=p_target,"Bon",IF(W1684&gt;=p_alert,"À surveiller","Faible")))</f>
        <v/>
      </c>
      <c r="Z1684" s="58" t="str">
        <f>IF(W1684="","",IF(MIN(IF(T1684="",1,T1684),IF(U1684="",1,U1684),IF(V1684="",1,V1684))&gt;=1,"Aucune",IF(IF(T1684="",1,T1684)&lt;=MIN(IF(U1684="",1,U1684),IF(V1684="",1,V1684)),"Disponibilité",IF(IF(U1684="",1,U1684)&lt;=IF(V1684="",1,V1684),"Performance","Qualité"))))</f>
        <v/>
      </c>
      <c r="AA1684" s="59" t="str">
        <f>IF(AC1684=1,N(H1684)*N(IFERROR(INDEX(art_cost,MATCH(E1684,art_ref,0)),0)),"")</f>
        <v/>
      </c>
      <c r="AB1684" s="58" t="str">
        <f>IF(COUNTA(A1684:I1684)=0,"",IF(N(A1684)&lt;=0,"Date manquante ou invalide",IF(B1684="","Équipe manquante",IF(ISNA(MATCH(B1684,eq_code,0)),"Équipe inconnue",IF(INDEX(eq_check,MATCH(B1684,eq_code,0))&lt;&gt;"OK","Équipe à corriger dans Paramètres",IF(C1684="","Poste manquant",IF(ISNA(MATCH(C1684,po_code,0)),"Poste inconnu",IF(AND(E1684&lt;&gt;"",ISNA(MATCH(E1684,art_ref,0))),"Article inconnu",IF(IF(E1684="",FALSE,INDEX(art_check,MATCH(E1684,art_ref,0))&lt;&gt;"OK"),"Article à corriger (feuille Articles)",IF(COUNTIFS(sj_date,A1684,sj_eq,B1684,sj_po,C1684)&gt;1,"Ligne en double (même jour, équipe et poste)",IF(OR(NOT(ISNUMBER(K1684)),N(K1684)&lt;=0,N(K1684)&gt;1440),"Temps d'ouverture invalide",IF(OR(AND(G1684&lt;&gt;"",NOT(ISNUMBER(G1684))),N(G1684)&lt;0,N(G1684)&lt;&gt;INT(N(G1684)),AND(H1684&lt;&gt;"",NOT(ISNUMBER(H1684))),N(H1684)&lt;0,N(H1684)&lt;&gt;INT(N(H1684)),AND(I1684&lt;&gt;"",NOT(ISNUMBER(I1684))),N(I1684)&lt;0,N(I1684)&lt;&gt;INT(N(I1684))),"Quantité invalide",IF(Q1684&lt;=0,"Cadence manquante (poste ou article)",IF(M1684&lt;=0,"Arrêts planifiés supérieurs au temps d'ouverture",IF(O1684&lt;0,"Arrêts supérieurs au temps requis",IF(AND(P1684&gt;0,O1684=0),"Pièces déclarées sans temps de marche",IF(AND(P1684=0,O1684&gt;0),"Aucune pièce déclarée",IF(P1684*60/Q1684&gt;O1684+0.001,"Cadence dépassée : vérifiez la cadence","OK"))))))))))))))))))</f>
        <v/>
      </c>
      <c r="AC1684">
        <f>IF(OR(AB1684="OK",AB1684="Aucune pièce déclarée",AB1684="Cadence dépassée : vérifiez la cadence"),1,0)</f>
        <v>0.0</v>
      </c>
      <c r="AD1684">
        <f>IF(AND(AC1684=1,A1684&gt;=p_from,A1684&lt;=p_to),1,0)</f>
        <v>0.0</v>
      </c>
      <c r="AE1684">
        <f>IF(AD1684=1,IF(COUNTIFS($A$6:A1684,A1684,$AD$6:AD1684,1)=1,1,0),0)</f>
        <v>0.0</v>
      </c>
      <c r="AF1684" t="str">
        <f>IF(AE1684=1,COUNTIFS(sj_first,1,sj_date,"&lt;"&amp;A1684)+1,"")</f>
        <v/>
      </c>
      <c r="AG1684" t="str">
        <f>IF(AND(AD1684=1,N(W1684)&lt;p_alert),ROUND(W1684,4),"")</f>
        <v/>
      </c>
      <c r="AH1684" t="str">
        <f>IF(AG1684="","",COUNTIF(sj_akey,"&lt;"&amp;AG1684)+COUNTIF($AG$6:AG1684,AG1684))</f>
        <v/>
      </c>
    </row>
    <row r="1685">
      <c r="A1685" s="51" t="n"/>
      <c r="B1685" s="52" t="n"/>
      <c r="C1685" s="52" t="n"/>
      <c r="D1685" s="53" t="n"/>
      <c r="E1685" s="53" t="n"/>
      <c r="F1685" s="54" t="n"/>
      <c r="G1685" s="54" t="n"/>
      <c r="H1685" s="54" t="n"/>
      <c r="I1685" s="54" t="n"/>
      <c r="J1685" s="53" t="n"/>
      <c r="K1685" s="55" t="str">
        <f>IF(COUNTA(A1685:I1685)=0,"",IF(F1685="",IFERROR(INDEX(eq_dur,MATCH(B1685,eq_code,0)),""),F1685))</f>
        <v/>
      </c>
      <c r="L1685" s="55" t="str">
        <f>IF(ISNUMBER(K1685),N(IFERROR(INDEX(eq_pause,MATCH(B1685,eq_code,0)),0))+SUMIFS(st_min,st_date,A1685,st_eq,B1685,st_po,C1685,st_type,"Planifié"),"")</f>
        <v/>
      </c>
      <c r="M1685" s="55" t="str">
        <f>IF(ISNUMBER(K1685),K1685-L1685,"")</f>
        <v/>
      </c>
      <c r="N1685" s="55" t="str">
        <f>IF(ISNUMBER(K1685),SUMIFS(st_min,st_date,A1685,st_eq,B1685,st_po,C1685,st_type,"Non planifié"),"")</f>
        <v/>
      </c>
      <c r="O1685" s="55" t="str">
        <f>IF(ISNUMBER(K1685),M1685-N1685,"")</f>
        <v/>
      </c>
      <c r="P1685" s="55" t="str">
        <f>IF(COUNTA(A1685:I1685)=0,"",N(G1685)+N(H1685)+N(I1685))</f>
        <v/>
      </c>
      <c r="Q1685" s="56" t="str">
        <f>IF(COUNTA(A1685:I1685)=0,"",IF(N(IFERROR(INDEX(art_rate,MATCH(E1685,art_ref,0)),0))&gt;0,N(IFERROR(INDEX(art_rate,MATCH(E1685,art_ref,0)),0)),N(IFERROR(INDEX(po_rate,MATCH(C1685,po_code,0)),0))))</f>
        <v/>
      </c>
      <c r="R1685" s="55" t="str">
        <f>IF(AC1685=1,P1685*60/Q1685,"")</f>
        <v/>
      </c>
      <c r="S1685" s="55" t="str">
        <f>IF(AC1685=1,N(G1685)*60/Q1685,"")</f>
        <v/>
      </c>
      <c r="T1685" s="57" t="str">
        <f>IF(AC1685=1,O1685/M1685,"")</f>
        <v/>
      </c>
      <c r="U1685" s="57" t="str">
        <f>IF(AC1685=1,IF(O1685&gt;0,R1685/O1685,""),"")</f>
        <v/>
      </c>
      <c r="V1685" s="57" t="str">
        <f>IF(AC1685=1,IF(P1685&gt;0,N(G1685)/P1685,""),"")</f>
        <v/>
      </c>
      <c r="W1685" s="57" t="str">
        <f>IF(AC1685=1,S1685/M1685,"")</f>
        <v/>
      </c>
      <c r="X1685" s="57" t="str">
        <f>IF(AC1685=1,S1685/K1685,"")</f>
        <v/>
      </c>
      <c r="Y1685" s="58" t="str">
        <f>IF(W1685="","",IF(W1685&gt;=p_target,"Bon",IF(W1685&gt;=p_alert,"À surveiller","Faible")))</f>
        <v/>
      </c>
      <c r="Z1685" s="58" t="str">
        <f>IF(W1685="","",IF(MIN(IF(T1685="",1,T1685),IF(U1685="",1,U1685),IF(V1685="",1,V1685))&gt;=1,"Aucune",IF(IF(T1685="",1,T1685)&lt;=MIN(IF(U1685="",1,U1685),IF(V1685="",1,V1685)),"Disponibilité",IF(IF(U1685="",1,U1685)&lt;=IF(V1685="",1,V1685),"Performance","Qualité"))))</f>
        <v/>
      </c>
      <c r="AA1685" s="59" t="str">
        <f>IF(AC1685=1,N(H1685)*N(IFERROR(INDEX(art_cost,MATCH(E1685,art_ref,0)),0)),"")</f>
        <v/>
      </c>
      <c r="AB1685" s="58" t="str">
        <f>IF(COUNTA(A1685:I1685)=0,"",IF(N(A1685)&lt;=0,"Date manquante ou invalide",IF(B1685="","Équipe manquante",IF(ISNA(MATCH(B1685,eq_code,0)),"Équipe inconnue",IF(INDEX(eq_check,MATCH(B1685,eq_code,0))&lt;&gt;"OK","Équipe à corriger dans Paramètres",IF(C1685="","Poste manquant",IF(ISNA(MATCH(C1685,po_code,0)),"Poste inconnu",IF(AND(E1685&lt;&gt;"",ISNA(MATCH(E1685,art_ref,0))),"Article inconnu",IF(IF(E1685="",FALSE,INDEX(art_check,MATCH(E1685,art_ref,0))&lt;&gt;"OK"),"Article à corriger (feuille Articles)",IF(COUNTIFS(sj_date,A1685,sj_eq,B1685,sj_po,C1685)&gt;1,"Ligne en double (même jour, équipe et poste)",IF(OR(NOT(ISNUMBER(K1685)),N(K1685)&lt;=0,N(K1685)&gt;1440),"Temps d'ouverture invalide",IF(OR(AND(G1685&lt;&gt;"",NOT(ISNUMBER(G1685))),N(G1685)&lt;0,N(G1685)&lt;&gt;INT(N(G1685)),AND(H1685&lt;&gt;"",NOT(ISNUMBER(H1685))),N(H1685)&lt;0,N(H1685)&lt;&gt;INT(N(H1685)),AND(I1685&lt;&gt;"",NOT(ISNUMBER(I1685))),N(I1685)&lt;0,N(I1685)&lt;&gt;INT(N(I1685))),"Quantité invalide",IF(Q1685&lt;=0,"Cadence manquante (poste ou article)",IF(M1685&lt;=0,"Arrêts planifiés supérieurs au temps d'ouverture",IF(O1685&lt;0,"Arrêts supérieurs au temps requis",IF(AND(P1685&gt;0,O1685=0),"Pièces déclarées sans temps de marche",IF(AND(P1685=0,O1685&gt;0),"Aucune pièce déclarée",IF(P1685*60/Q1685&gt;O1685+0.001,"Cadence dépassée : vérifiez la cadence","OK"))))))))))))))))))</f>
        <v/>
      </c>
      <c r="AC1685">
        <f>IF(OR(AB1685="OK",AB1685="Aucune pièce déclarée",AB1685="Cadence dépassée : vérifiez la cadence"),1,0)</f>
        <v>0.0</v>
      </c>
      <c r="AD1685">
        <f>IF(AND(AC1685=1,A1685&gt;=p_from,A1685&lt;=p_to),1,0)</f>
        <v>0.0</v>
      </c>
      <c r="AE1685">
        <f>IF(AD1685=1,IF(COUNTIFS($A$6:A1685,A1685,$AD$6:AD1685,1)=1,1,0),0)</f>
        <v>0.0</v>
      </c>
      <c r="AF1685" t="str">
        <f>IF(AE1685=1,COUNTIFS(sj_first,1,sj_date,"&lt;"&amp;A1685)+1,"")</f>
        <v/>
      </c>
      <c r="AG1685" t="str">
        <f>IF(AND(AD1685=1,N(W1685)&lt;p_alert),ROUND(W1685,4),"")</f>
        <v/>
      </c>
      <c r="AH1685" t="str">
        <f>IF(AG1685="","",COUNTIF(sj_akey,"&lt;"&amp;AG1685)+COUNTIF($AG$6:AG1685,AG1685))</f>
        <v/>
      </c>
    </row>
    <row r="1686">
      <c r="A1686" s="51" t="n"/>
      <c r="B1686" s="52" t="n"/>
      <c r="C1686" s="52" t="n"/>
      <c r="D1686" s="53" t="n"/>
      <c r="E1686" s="53" t="n"/>
      <c r="F1686" s="54" t="n"/>
      <c r="G1686" s="54" t="n"/>
      <c r="H1686" s="54" t="n"/>
      <c r="I1686" s="54" t="n"/>
      <c r="J1686" s="53" t="n"/>
      <c r="K1686" s="55" t="str">
        <f>IF(COUNTA(A1686:I1686)=0,"",IF(F1686="",IFERROR(INDEX(eq_dur,MATCH(B1686,eq_code,0)),""),F1686))</f>
        <v/>
      </c>
      <c r="L1686" s="55" t="str">
        <f>IF(ISNUMBER(K1686),N(IFERROR(INDEX(eq_pause,MATCH(B1686,eq_code,0)),0))+SUMIFS(st_min,st_date,A1686,st_eq,B1686,st_po,C1686,st_type,"Planifié"),"")</f>
        <v/>
      </c>
      <c r="M1686" s="55" t="str">
        <f>IF(ISNUMBER(K1686),K1686-L1686,"")</f>
        <v/>
      </c>
      <c r="N1686" s="55" t="str">
        <f>IF(ISNUMBER(K1686),SUMIFS(st_min,st_date,A1686,st_eq,B1686,st_po,C1686,st_type,"Non planifié"),"")</f>
        <v/>
      </c>
      <c r="O1686" s="55" t="str">
        <f>IF(ISNUMBER(K1686),M1686-N1686,"")</f>
        <v/>
      </c>
      <c r="P1686" s="55" t="str">
        <f>IF(COUNTA(A1686:I1686)=0,"",N(G1686)+N(H1686)+N(I1686))</f>
        <v/>
      </c>
      <c r="Q1686" s="56" t="str">
        <f>IF(COUNTA(A1686:I1686)=0,"",IF(N(IFERROR(INDEX(art_rate,MATCH(E1686,art_ref,0)),0))&gt;0,N(IFERROR(INDEX(art_rate,MATCH(E1686,art_ref,0)),0)),N(IFERROR(INDEX(po_rate,MATCH(C1686,po_code,0)),0))))</f>
        <v/>
      </c>
      <c r="R1686" s="55" t="str">
        <f>IF(AC1686=1,P1686*60/Q1686,"")</f>
        <v/>
      </c>
      <c r="S1686" s="55" t="str">
        <f>IF(AC1686=1,N(G1686)*60/Q1686,"")</f>
        <v/>
      </c>
      <c r="T1686" s="57" t="str">
        <f>IF(AC1686=1,O1686/M1686,"")</f>
        <v/>
      </c>
      <c r="U1686" s="57" t="str">
        <f>IF(AC1686=1,IF(O1686&gt;0,R1686/O1686,""),"")</f>
        <v/>
      </c>
      <c r="V1686" s="57" t="str">
        <f>IF(AC1686=1,IF(P1686&gt;0,N(G1686)/P1686,""),"")</f>
        <v/>
      </c>
      <c r="W1686" s="57" t="str">
        <f>IF(AC1686=1,S1686/M1686,"")</f>
        <v/>
      </c>
      <c r="X1686" s="57" t="str">
        <f>IF(AC1686=1,S1686/K1686,"")</f>
        <v/>
      </c>
      <c r="Y1686" s="58" t="str">
        <f>IF(W1686="","",IF(W1686&gt;=p_target,"Bon",IF(W1686&gt;=p_alert,"À surveiller","Faible")))</f>
        <v/>
      </c>
      <c r="Z1686" s="58" t="str">
        <f>IF(W1686="","",IF(MIN(IF(T1686="",1,T1686),IF(U1686="",1,U1686),IF(V1686="",1,V1686))&gt;=1,"Aucune",IF(IF(T1686="",1,T1686)&lt;=MIN(IF(U1686="",1,U1686),IF(V1686="",1,V1686)),"Disponibilité",IF(IF(U1686="",1,U1686)&lt;=IF(V1686="",1,V1686),"Performance","Qualité"))))</f>
        <v/>
      </c>
      <c r="AA1686" s="59" t="str">
        <f>IF(AC1686=1,N(H1686)*N(IFERROR(INDEX(art_cost,MATCH(E1686,art_ref,0)),0)),"")</f>
        <v/>
      </c>
      <c r="AB1686" s="58" t="str">
        <f>IF(COUNTA(A1686:I1686)=0,"",IF(N(A1686)&lt;=0,"Date manquante ou invalide",IF(B1686="","Équipe manquante",IF(ISNA(MATCH(B1686,eq_code,0)),"Équipe inconnue",IF(INDEX(eq_check,MATCH(B1686,eq_code,0))&lt;&gt;"OK","Équipe à corriger dans Paramètres",IF(C1686="","Poste manquant",IF(ISNA(MATCH(C1686,po_code,0)),"Poste inconnu",IF(AND(E1686&lt;&gt;"",ISNA(MATCH(E1686,art_ref,0))),"Article inconnu",IF(IF(E1686="",FALSE,INDEX(art_check,MATCH(E1686,art_ref,0))&lt;&gt;"OK"),"Article à corriger (feuille Articles)",IF(COUNTIFS(sj_date,A1686,sj_eq,B1686,sj_po,C1686)&gt;1,"Ligne en double (même jour, équipe et poste)",IF(OR(NOT(ISNUMBER(K1686)),N(K1686)&lt;=0,N(K1686)&gt;1440),"Temps d'ouverture invalide",IF(OR(AND(G1686&lt;&gt;"",NOT(ISNUMBER(G1686))),N(G1686)&lt;0,N(G1686)&lt;&gt;INT(N(G1686)),AND(H1686&lt;&gt;"",NOT(ISNUMBER(H1686))),N(H1686)&lt;0,N(H1686)&lt;&gt;INT(N(H1686)),AND(I1686&lt;&gt;"",NOT(ISNUMBER(I1686))),N(I1686)&lt;0,N(I1686)&lt;&gt;INT(N(I1686))),"Quantité invalide",IF(Q1686&lt;=0,"Cadence manquante (poste ou article)",IF(M1686&lt;=0,"Arrêts planifiés supérieurs au temps d'ouverture",IF(O1686&lt;0,"Arrêts supérieurs au temps requis",IF(AND(P1686&gt;0,O1686=0),"Pièces déclarées sans temps de marche",IF(AND(P1686=0,O1686&gt;0),"Aucune pièce déclarée",IF(P1686*60/Q1686&gt;O1686+0.001,"Cadence dépassée : vérifiez la cadence","OK"))))))))))))))))))</f>
        <v/>
      </c>
      <c r="AC1686">
        <f>IF(OR(AB1686="OK",AB1686="Aucune pièce déclarée",AB1686="Cadence dépassée : vérifiez la cadence"),1,0)</f>
        <v>0.0</v>
      </c>
      <c r="AD1686">
        <f>IF(AND(AC1686=1,A1686&gt;=p_from,A1686&lt;=p_to),1,0)</f>
        <v>0.0</v>
      </c>
      <c r="AE1686">
        <f>IF(AD1686=1,IF(COUNTIFS($A$6:A1686,A1686,$AD$6:AD1686,1)=1,1,0),0)</f>
        <v>0.0</v>
      </c>
      <c r="AF1686" t="str">
        <f>IF(AE1686=1,COUNTIFS(sj_first,1,sj_date,"&lt;"&amp;A1686)+1,"")</f>
        <v/>
      </c>
      <c r="AG1686" t="str">
        <f>IF(AND(AD1686=1,N(W1686)&lt;p_alert),ROUND(W1686,4),"")</f>
        <v/>
      </c>
      <c r="AH1686" t="str">
        <f>IF(AG1686="","",COUNTIF(sj_akey,"&lt;"&amp;AG1686)+COUNTIF($AG$6:AG1686,AG1686))</f>
        <v/>
      </c>
    </row>
    <row r="1687">
      <c r="A1687" s="51" t="n"/>
      <c r="B1687" s="52" t="n"/>
      <c r="C1687" s="52" t="n"/>
      <c r="D1687" s="53" t="n"/>
      <c r="E1687" s="53" t="n"/>
      <c r="F1687" s="54" t="n"/>
      <c r="G1687" s="54" t="n"/>
      <c r="H1687" s="54" t="n"/>
      <c r="I1687" s="54" t="n"/>
      <c r="J1687" s="53" t="n"/>
      <c r="K1687" s="55" t="str">
        <f>IF(COUNTA(A1687:I1687)=0,"",IF(F1687="",IFERROR(INDEX(eq_dur,MATCH(B1687,eq_code,0)),""),F1687))</f>
        <v/>
      </c>
      <c r="L1687" s="55" t="str">
        <f>IF(ISNUMBER(K1687),N(IFERROR(INDEX(eq_pause,MATCH(B1687,eq_code,0)),0))+SUMIFS(st_min,st_date,A1687,st_eq,B1687,st_po,C1687,st_type,"Planifié"),"")</f>
        <v/>
      </c>
      <c r="M1687" s="55" t="str">
        <f>IF(ISNUMBER(K1687),K1687-L1687,"")</f>
        <v/>
      </c>
      <c r="N1687" s="55" t="str">
        <f>IF(ISNUMBER(K1687),SUMIFS(st_min,st_date,A1687,st_eq,B1687,st_po,C1687,st_type,"Non planifié"),"")</f>
        <v/>
      </c>
      <c r="O1687" s="55" t="str">
        <f>IF(ISNUMBER(K1687),M1687-N1687,"")</f>
        <v/>
      </c>
      <c r="P1687" s="55" t="str">
        <f>IF(COUNTA(A1687:I1687)=0,"",N(G1687)+N(H1687)+N(I1687))</f>
        <v/>
      </c>
      <c r="Q1687" s="56" t="str">
        <f>IF(COUNTA(A1687:I1687)=0,"",IF(N(IFERROR(INDEX(art_rate,MATCH(E1687,art_ref,0)),0))&gt;0,N(IFERROR(INDEX(art_rate,MATCH(E1687,art_ref,0)),0)),N(IFERROR(INDEX(po_rate,MATCH(C1687,po_code,0)),0))))</f>
        <v/>
      </c>
      <c r="R1687" s="55" t="str">
        <f>IF(AC1687=1,P1687*60/Q1687,"")</f>
        <v/>
      </c>
      <c r="S1687" s="55" t="str">
        <f>IF(AC1687=1,N(G1687)*60/Q1687,"")</f>
        <v/>
      </c>
      <c r="T1687" s="57" t="str">
        <f>IF(AC1687=1,O1687/M1687,"")</f>
        <v/>
      </c>
      <c r="U1687" s="57" t="str">
        <f>IF(AC1687=1,IF(O1687&gt;0,R1687/O1687,""),"")</f>
        <v/>
      </c>
      <c r="V1687" s="57" t="str">
        <f>IF(AC1687=1,IF(P1687&gt;0,N(G1687)/P1687,""),"")</f>
        <v/>
      </c>
      <c r="W1687" s="57" t="str">
        <f>IF(AC1687=1,S1687/M1687,"")</f>
        <v/>
      </c>
      <c r="X1687" s="57" t="str">
        <f>IF(AC1687=1,S1687/K1687,"")</f>
        <v/>
      </c>
      <c r="Y1687" s="58" t="str">
        <f>IF(W1687="","",IF(W1687&gt;=p_target,"Bon",IF(W1687&gt;=p_alert,"À surveiller","Faible")))</f>
        <v/>
      </c>
      <c r="Z1687" s="58" t="str">
        <f>IF(W1687="","",IF(MIN(IF(T1687="",1,T1687),IF(U1687="",1,U1687),IF(V1687="",1,V1687))&gt;=1,"Aucune",IF(IF(T1687="",1,T1687)&lt;=MIN(IF(U1687="",1,U1687),IF(V1687="",1,V1687)),"Disponibilité",IF(IF(U1687="",1,U1687)&lt;=IF(V1687="",1,V1687),"Performance","Qualité"))))</f>
        <v/>
      </c>
      <c r="AA1687" s="59" t="str">
        <f>IF(AC1687=1,N(H1687)*N(IFERROR(INDEX(art_cost,MATCH(E1687,art_ref,0)),0)),"")</f>
        <v/>
      </c>
      <c r="AB1687" s="58" t="str">
        <f>IF(COUNTA(A1687:I1687)=0,"",IF(N(A1687)&lt;=0,"Date manquante ou invalide",IF(B1687="","Équipe manquante",IF(ISNA(MATCH(B1687,eq_code,0)),"Équipe inconnue",IF(INDEX(eq_check,MATCH(B1687,eq_code,0))&lt;&gt;"OK","Équipe à corriger dans Paramètres",IF(C1687="","Poste manquant",IF(ISNA(MATCH(C1687,po_code,0)),"Poste inconnu",IF(AND(E1687&lt;&gt;"",ISNA(MATCH(E1687,art_ref,0))),"Article inconnu",IF(IF(E1687="",FALSE,INDEX(art_check,MATCH(E1687,art_ref,0))&lt;&gt;"OK"),"Article à corriger (feuille Articles)",IF(COUNTIFS(sj_date,A1687,sj_eq,B1687,sj_po,C1687)&gt;1,"Ligne en double (même jour, équipe et poste)",IF(OR(NOT(ISNUMBER(K1687)),N(K1687)&lt;=0,N(K1687)&gt;1440),"Temps d'ouverture invalide",IF(OR(AND(G1687&lt;&gt;"",NOT(ISNUMBER(G1687))),N(G1687)&lt;0,N(G1687)&lt;&gt;INT(N(G1687)),AND(H1687&lt;&gt;"",NOT(ISNUMBER(H1687))),N(H1687)&lt;0,N(H1687)&lt;&gt;INT(N(H1687)),AND(I1687&lt;&gt;"",NOT(ISNUMBER(I1687))),N(I1687)&lt;0,N(I1687)&lt;&gt;INT(N(I1687))),"Quantité invalide",IF(Q1687&lt;=0,"Cadence manquante (poste ou article)",IF(M1687&lt;=0,"Arrêts planifiés supérieurs au temps d'ouverture",IF(O1687&lt;0,"Arrêts supérieurs au temps requis",IF(AND(P1687&gt;0,O1687=0),"Pièces déclarées sans temps de marche",IF(AND(P1687=0,O1687&gt;0),"Aucune pièce déclarée",IF(P1687*60/Q1687&gt;O1687+0.001,"Cadence dépassée : vérifiez la cadence","OK"))))))))))))))))))</f>
        <v/>
      </c>
      <c r="AC1687">
        <f>IF(OR(AB1687="OK",AB1687="Aucune pièce déclarée",AB1687="Cadence dépassée : vérifiez la cadence"),1,0)</f>
        <v>0.0</v>
      </c>
      <c r="AD1687">
        <f>IF(AND(AC1687=1,A1687&gt;=p_from,A1687&lt;=p_to),1,0)</f>
        <v>0.0</v>
      </c>
      <c r="AE1687">
        <f>IF(AD1687=1,IF(COUNTIFS($A$6:A1687,A1687,$AD$6:AD1687,1)=1,1,0),0)</f>
        <v>0.0</v>
      </c>
      <c r="AF1687" t="str">
        <f>IF(AE1687=1,COUNTIFS(sj_first,1,sj_date,"&lt;"&amp;A1687)+1,"")</f>
        <v/>
      </c>
      <c r="AG1687" t="str">
        <f>IF(AND(AD1687=1,N(W1687)&lt;p_alert),ROUND(W1687,4),"")</f>
        <v/>
      </c>
      <c r="AH1687" t="str">
        <f>IF(AG1687="","",COUNTIF(sj_akey,"&lt;"&amp;AG1687)+COUNTIF($AG$6:AG1687,AG1687))</f>
        <v/>
      </c>
    </row>
    <row r="1688">
      <c r="A1688" s="51" t="n"/>
      <c r="B1688" s="52" t="n"/>
      <c r="C1688" s="52" t="n"/>
      <c r="D1688" s="53" t="n"/>
      <c r="E1688" s="53" t="n"/>
      <c r="F1688" s="54" t="n"/>
      <c r="G1688" s="54" t="n"/>
      <c r="H1688" s="54" t="n"/>
      <c r="I1688" s="54" t="n"/>
      <c r="J1688" s="53" t="n"/>
      <c r="K1688" s="55" t="str">
        <f>IF(COUNTA(A1688:I1688)=0,"",IF(F1688="",IFERROR(INDEX(eq_dur,MATCH(B1688,eq_code,0)),""),F1688))</f>
        <v/>
      </c>
      <c r="L1688" s="55" t="str">
        <f>IF(ISNUMBER(K1688),N(IFERROR(INDEX(eq_pause,MATCH(B1688,eq_code,0)),0))+SUMIFS(st_min,st_date,A1688,st_eq,B1688,st_po,C1688,st_type,"Planifié"),"")</f>
        <v/>
      </c>
      <c r="M1688" s="55" t="str">
        <f>IF(ISNUMBER(K1688),K1688-L1688,"")</f>
        <v/>
      </c>
      <c r="N1688" s="55" t="str">
        <f>IF(ISNUMBER(K1688),SUMIFS(st_min,st_date,A1688,st_eq,B1688,st_po,C1688,st_type,"Non planifié"),"")</f>
        <v/>
      </c>
      <c r="O1688" s="55" t="str">
        <f>IF(ISNUMBER(K1688),M1688-N1688,"")</f>
        <v/>
      </c>
      <c r="P1688" s="55" t="str">
        <f>IF(COUNTA(A1688:I1688)=0,"",N(G1688)+N(H1688)+N(I1688))</f>
        <v/>
      </c>
      <c r="Q1688" s="56" t="str">
        <f>IF(COUNTA(A1688:I1688)=0,"",IF(N(IFERROR(INDEX(art_rate,MATCH(E1688,art_ref,0)),0))&gt;0,N(IFERROR(INDEX(art_rate,MATCH(E1688,art_ref,0)),0)),N(IFERROR(INDEX(po_rate,MATCH(C1688,po_code,0)),0))))</f>
        <v/>
      </c>
      <c r="R1688" s="55" t="str">
        <f>IF(AC1688=1,P1688*60/Q1688,"")</f>
        <v/>
      </c>
      <c r="S1688" s="55" t="str">
        <f>IF(AC1688=1,N(G1688)*60/Q1688,"")</f>
        <v/>
      </c>
      <c r="T1688" s="57" t="str">
        <f>IF(AC1688=1,O1688/M1688,"")</f>
        <v/>
      </c>
      <c r="U1688" s="57" t="str">
        <f>IF(AC1688=1,IF(O1688&gt;0,R1688/O1688,""),"")</f>
        <v/>
      </c>
      <c r="V1688" s="57" t="str">
        <f>IF(AC1688=1,IF(P1688&gt;0,N(G1688)/P1688,""),"")</f>
        <v/>
      </c>
      <c r="W1688" s="57" t="str">
        <f>IF(AC1688=1,S1688/M1688,"")</f>
        <v/>
      </c>
      <c r="X1688" s="57" t="str">
        <f>IF(AC1688=1,S1688/K1688,"")</f>
        <v/>
      </c>
      <c r="Y1688" s="58" t="str">
        <f>IF(W1688="","",IF(W1688&gt;=p_target,"Bon",IF(W1688&gt;=p_alert,"À surveiller","Faible")))</f>
        <v/>
      </c>
      <c r="Z1688" s="58" t="str">
        <f>IF(W1688="","",IF(MIN(IF(T1688="",1,T1688),IF(U1688="",1,U1688),IF(V1688="",1,V1688))&gt;=1,"Aucune",IF(IF(T1688="",1,T1688)&lt;=MIN(IF(U1688="",1,U1688),IF(V1688="",1,V1688)),"Disponibilité",IF(IF(U1688="",1,U1688)&lt;=IF(V1688="",1,V1688),"Performance","Qualité"))))</f>
        <v/>
      </c>
      <c r="AA1688" s="59" t="str">
        <f>IF(AC1688=1,N(H1688)*N(IFERROR(INDEX(art_cost,MATCH(E1688,art_ref,0)),0)),"")</f>
        <v/>
      </c>
      <c r="AB1688" s="58" t="str">
        <f>IF(COUNTA(A1688:I1688)=0,"",IF(N(A1688)&lt;=0,"Date manquante ou invalide",IF(B1688="","Équipe manquante",IF(ISNA(MATCH(B1688,eq_code,0)),"Équipe inconnue",IF(INDEX(eq_check,MATCH(B1688,eq_code,0))&lt;&gt;"OK","Équipe à corriger dans Paramètres",IF(C1688="","Poste manquant",IF(ISNA(MATCH(C1688,po_code,0)),"Poste inconnu",IF(AND(E1688&lt;&gt;"",ISNA(MATCH(E1688,art_ref,0))),"Article inconnu",IF(IF(E1688="",FALSE,INDEX(art_check,MATCH(E1688,art_ref,0))&lt;&gt;"OK"),"Article à corriger (feuille Articles)",IF(COUNTIFS(sj_date,A1688,sj_eq,B1688,sj_po,C1688)&gt;1,"Ligne en double (même jour, équipe et poste)",IF(OR(NOT(ISNUMBER(K1688)),N(K1688)&lt;=0,N(K1688)&gt;1440),"Temps d'ouverture invalide",IF(OR(AND(G1688&lt;&gt;"",NOT(ISNUMBER(G1688))),N(G1688)&lt;0,N(G1688)&lt;&gt;INT(N(G1688)),AND(H1688&lt;&gt;"",NOT(ISNUMBER(H1688))),N(H1688)&lt;0,N(H1688)&lt;&gt;INT(N(H1688)),AND(I1688&lt;&gt;"",NOT(ISNUMBER(I1688))),N(I1688)&lt;0,N(I1688)&lt;&gt;INT(N(I1688))),"Quantité invalide",IF(Q1688&lt;=0,"Cadence manquante (poste ou article)",IF(M1688&lt;=0,"Arrêts planifiés supérieurs au temps d'ouverture",IF(O1688&lt;0,"Arrêts supérieurs au temps requis",IF(AND(P1688&gt;0,O1688=0),"Pièces déclarées sans temps de marche",IF(AND(P1688=0,O1688&gt;0),"Aucune pièce déclarée",IF(P1688*60/Q1688&gt;O1688+0.001,"Cadence dépassée : vérifiez la cadence","OK"))))))))))))))))))</f>
        <v/>
      </c>
      <c r="AC1688">
        <f>IF(OR(AB1688="OK",AB1688="Aucune pièce déclarée",AB1688="Cadence dépassée : vérifiez la cadence"),1,0)</f>
        <v>0.0</v>
      </c>
      <c r="AD1688">
        <f>IF(AND(AC1688=1,A1688&gt;=p_from,A1688&lt;=p_to),1,0)</f>
        <v>0.0</v>
      </c>
      <c r="AE1688">
        <f>IF(AD1688=1,IF(COUNTIFS($A$6:A1688,A1688,$AD$6:AD1688,1)=1,1,0),0)</f>
        <v>0.0</v>
      </c>
      <c r="AF1688" t="str">
        <f>IF(AE1688=1,COUNTIFS(sj_first,1,sj_date,"&lt;"&amp;A1688)+1,"")</f>
        <v/>
      </c>
      <c r="AG1688" t="str">
        <f>IF(AND(AD1688=1,N(W1688)&lt;p_alert),ROUND(W1688,4),"")</f>
        <v/>
      </c>
      <c r="AH1688" t="str">
        <f>IF(AG1688="","",COUNTIF(sj_akey,"&lt;"&amp;AG1688)+COUNTIF($AG$6:AG1688,AG1688))</f>
        <v/>
      </c>
    </row>
    <row r="1689">
      <c r="A1689" s="51" t="n"/>
      <c r="B1689" s="52" t="n"/>
      <c r="C1689" s="52" t="n"/>
      <c r="D1689" s="53" t="n"/>
      <c r="E1689" s="53" t="n"/>
      <c r="F1689" s="54" t="n"/>
      <c r="G1689" s="54" t="n"/>
      <c r="H1689" s="54" t="n"/>
      <c r="I1689" s="54" t="n"/>
      <c r="J1689" s="53" t="n"/>
      <c r="K1689" s="55" t="str">
        <f>IF(COUNTA(A1689:I1689)=0,"",IF(F1689="",IFERROR(INDEX(eq_dur,MATCH(B1689,eq_code,0)),""),F1689))</f>
        <v/>
      </c>
      <c r="L1689" s="55" t="str">
        <f>IF(ISNUMBER(K1689),N(IFERROR(INDEX(eq_pause,MATCH(B1689,eq_code,0)),0))+SUMIFS(st_min,st_date,A1689,st_eq,B1689,st_po,C1689,st_type,"Planifié"),"")</f>
        <v/>
      </c>
      <c r="M1689" s="55" t="str">
        <f>IF(ISNUMBER(K1689),K1689-L1689,"")</f>
        <v/>
      </c>
      <c r="N1689" s="55" t="str">
        <f>IF(ISNUMBER(K1689),SUMIFS(st_min,st_date,A1689,st_eq,B1689,st_po,C1689,st_type,"Non planifié"),"")</f>
        <v/>
      </c>
      <c r="O1689" s="55" t="str">
        <f>IF(ISNUMBER(K1689),M1689-N1689,"")</f>
        <v/>
      </c>
      <c r="P1689" s="55" t="str">
        <f>IF(COUNTA(A1689:I1689)=0,"",N(G1689)+N(H1689)+N(I1689))</f>
        <v/>
      </c>
      <c r="Q1689" s="56" t="str">
        <f>IF(COUNTA(A1689:I1689)=0,"",IF(N(IFERROR(INDEX(art_rate,MATCH(E1689,art_ref,0)),0))&gt;0,N(IFERROR(INDEX(art_rate,MATCH(E1689,art_ref,0)),0)),N(IFERROR(INDEX(po_rate,MATCH(C1689,po_code,0)),0))))</f>
        <v/>
      </c>
      <c r="R1689" s="55" t="str">
        <f>IF(AC1689=1,P1689*60/Q1689,"")</f>
        <v/>
      </c>
      <c r="S1689" s="55" t="str">
        <f>IF(AC1689=1,N(G1689)*60/Q1689,"")</f>
        <v/>
      </c>
      <c r="T1689" s="57" t="str">
        <f>IF(AC1689=1,O1689/M1689,"")</f>
        <v/>
      </c>
      <c r="U1689" s="57" t="str">
        <f>IF(AC1689=1,IF(O1689&gt;0,R1689/O1689,""),"")</f>
        <v/>
      </c>
      <c r="V1689" s="57" t="str">
        <f>IF(AC1689=1,IF(P1689&gt;0,N(G1689)/P1689,""),"")</f>
        <v/>
      </c>
      <c r="W1689" s="57" t="str">
        <f>IF(AC1689=1,S1689/M1689,"")</f>
        <v/>
      </c>
      <c r="X1689" s="57" t="str">
        <f>IF(AC1689=1,S1689/K1689,"")</f>
        <v/>
      </c>
      <c r="Y1689" s="58" t="str">
        <f>IF(W1689="","",IF(W1689&gt;=p_target,"Bon",IF(W1689&gt;=p_alert,"À surveiller","Faible")))</f>
        <v/>
      </c>
      <c r="Z1689" s="58" t="str">
        <f>IF(W1689="","",IF(MIN(IF(T1689="",1,T1689),IF(U1689="",1,U1689),IF(V1689="",1,V1689))&gt;=1,"Aucune",IF(IF(T1689="",1,T1689)&lt;=MIN(IF(U1689="",1,U1689),IF(V1689="",1,V1689)),"Disponibilité",IF(IF(U1689="",1,U1689)&lt;=IF(V1689="",1,V1689),"Performance","Qualité"))))</f>
        <v/>
      </c>
      <c r="AA1689" s="59" t="str">
        <f>IF(AC1689=1,N(H1689)*N(IFERROR(INDEX(art_cost,MATCH(E1689,art_ref,0)),0)),"")</f>
        <v/>
      </c>
      <c r="AB1689" s="58" t="str">
        <f>IF(COUNTA(A1689:I1689)=0,"",IF(N(A1689)&lt;=0,"Date manquante ou invalide",IF(B1689="","Équipe manquante",IF(ISNA(MATCH(B1689,eq_code,0)),"Équipe inconnue",IF(INDEX(eq_check,MATCH(B1689,eq_code,0))&lt;&gt;"OK","Équipe à corriger dans Paramètres",IF(C1689="","Poste manquant",IF(ISNA(MATCH(C1689,po_code,0)),"Poste inconnu",IF(AND(E1689&lt;&gt;"",ISNA(MATCH(E1689,art_ref,0))),"Article inconnu",IF(IF(E1689="",FALSE,INDEX(art_check,MATCH(E1689,art_ref,0))&lt;&gt;"OK"),"Article à corriger (feuille Articles)",IF(COUNTIFS(sj_date,A1689,sj_eq,B1689,sj_po,C1689)&gt;1,"Ligne en double (même jour, équipe et poste)",IF(OR(NOT(ISNUMBER(K1689)),N(K1689)&lt;=0,N(K1689)&gt;1440),"Temps d'ouverture invalide",IF(OR(AND(G1689&lt;&gt;"",NOT(ISNUMBER(G1689))),N(G1689)&lt;0,N(G1689)&lt;&gt;INT(N(G1689)),AND(H1689&lt;&gt;"",NOT(ISNUMBER(H1689))),N(H1689)&lt;0,N(H1689)&lt;&gt;INT(N(H1689)),AND(I1689&lt;&gt;"",NOT(ISNUMBER(I1689))),N(I1689)&lt;0,N(I1689)&lt;&gt;INT(N(I1689))),"Quantité invalide",IF(Q1689&lt;=0,"Cadence manquante (poste ou article)",IF(M1689&lt;=0,"Arrêts planifiés supérieurs au temps d'ouverture",IF(O1689&lt;0,"Arrêts supérieurs au temps requis",IF(AND(P1689&gt;0,O1689=0),"Pièces déclarées sans temps de marche",IF(AND(P1689=0,O1689&gt;0),"Aucune pièce déclarée",IF(P1689*60/Q1689&gt;O1689+0.001,"Cadence dépassée : vérifiez la cadence","OK"))))))))))))))))))</f>
        <v/>
      </c>
      <c r="AC1689">
        <f>IF(OR(AB1689="OK",AB1689="Aucune pièce déclarée",AB1689="Cadence dépassée : vérifiez la cadence"),1,0)</f>
        <v>0.0</v>
      </c>
      <c r="AD1689">
        <f>IF(AND(AC1689=1,A1689&gt;=p_from,A1689&lt;=p_to),1,0)</f>
        <v>0.0</v>
      </c>
      <c r="AE1689">
        <f>IF(AD1689=1,IF(COUNTIFS($A$6:A1689,A1689,$AD$6:AD1689,1)=1,1,0),0)</f>
        <v>0.0</v>
      </c>
      <c r="AF1689" t="str">
        <f>IF(AE1689=1,COUNTIFS(sj_first,1,sj_date,"&lt;"&amp;A1689)+1,"")</f>
        <v/>
      </c>
      <c r="AG1689" t="str">
        <f>IF(AND(AD1689=1,N(W1689)&lt;p_alert),ROUND(W1689,4),"")</f>
        <v/>
      </c>
      <c r="AH1689" t="str">
        <f>IF(AG1689="","",COUNTIF(sj_akey,"&lt;"&amp;AG1689)+COUNTIF($AG$6:AG1689,AG1689))</f>
        <v/>
      </c>
    </row>
    <row r="1690">
      <c r="A1690" s="51" t="n"/>
      <c r="B1690" s="52" t="n"/>
      <c r="C1690" s="52" t="n"/>
      <c r="D1690" s="53" t="n"/>
      <c r="E1690" s="53" t="n"/>
      <c r="F1690" s="54" t="n"/>
      <c r="G1690" s="54" t="n"/>
      <c r="H1690" s="54" t="n"/>
      <c r="I1690" s="54" t="n"/>
      <c r="J1690" s="53" t="n"/>
      <c r="K1690" s="55" t="str">
        <f>IF(COUNTA(A1690:I1690)=0,"",IF(F1690="",IFERROR(INDEX(eq_dur,MATCH(B1690,eq_code,0)),""),F1690))</f>
        <v/>
      </c>
      <c r="L1690" s="55" t="str">
        <f>IF(ISNUMBER(K1690),N(IFERROR(INDEX(eq_pause,MATCH(B1690,eq_code,0)),0))+SUMIFS(st_min,st_date,A1690,st_eq,B1690,st_po,C1690,st_type,"Planifié"),"")</f>
        <v/>
      </c>
      <c r="M1690" s="55" t="str">
        <f>IF(ISNUMBER(K1690),K1690-L1690,"")</f>
        <v/>
      </c>
      <c r="N1690" s="55" t="str">
        <f>IF(ISNUMBER(K1690),SUMIFS(st_min,st_date,A1690,st_eq,B1690,st_po,C1690,st_type,"Non planifié"),"")</f>
        <v/>
      </c>
      <c r="O1690" s="55" t="str">
        <f>IF(ISNUMBER(K1690),M1690-N1690,"")</f>
        <v/>
      </c>
      <c r="P1690" s="55" t="str">
        <f>IF(COUNTA(A1690:I1690)=0,"",N(G1690)+N(H1690)+N(I1690))</f>
        <v/>
      </c>
      <c r="Q1690" s="56" t="str">
        <f>IF(COUNTA(A1690:I1690)=0,"",IF(N(IFERROR(INDEX(art_rate,MATCH(E1690,art_ref,0)),0))&gt;0,N(IFERROR(INDEX(art_rate,MATCH(E1690,art_ref,0)),0)),N(IFERROR(INDEX(po_rate,MATCH(C1690,po_code,0)),0))))</f>
        <v/>
      </c>
      <c r="R1690" s="55" t="str">
        <f>IF(AC1690=1,P1690*60/Q1690,"")</f>
        <v/>
      </c>
      <c r="S1690" s="55" t="str">
        <f>IF(AC1690=1,N(G1690)*60/Q1690,"")</f>
        <v/>
      </c>
      <c r="T1690" s="57" t="str">
        <f>IF(AC1690=1,O1690/M1690,"")</f>
        <v/>
      </c>
      <c r="U1690" s="57" t="str">
        <f>IF(AC1690=1,IF(O1690&gt;0,R1690/O1690,""),"")</f>
        <v/>
      </c>
      <c r="V1690" s="57" t="str">
        <f>IF(AC1690=1,IF(P1690&gt;0,N(G1690)/P1690,""),"")</f>
        <v/>
      </c>
      <c r="W1690" s="57" t="str">
        <f>IF(AC1690=1,S1690/M1690,"")</f>
        <v/>
      </c>
      <c r="X1690" s="57" t="str">
        <f>IF(AC1690=1,S1690/K1690,"")</f>
        <v/>
      </c>
      <c r="Y1690" s="58" t="str">
        <f>IF(W1690="","",IF(W1690&gt;=p_target,"Bon",IF(W1690&gt;=p_alert,"À surveiller","Faible")))</f>
        <v/>
      </c>
      <c r="Z1690" s="58" t="str">
        <f>IF(W1690="","",IF(MIN(IF(T1690="",1,T1690),IF(U1690="",1,U1690),IF(V1690="",1,V1690))&gt;=1,"Aucune",IF(IF(T1690="",1,T1690)&lt;=MIN(IF(U1690="",1,U1690),IF(V1690="",1,V1690)),"Disponibilité",IF(IF(U1690="",1,U1690)&lt;=IF(V1690="",1,V1690),"Performance","Qualité"))))</f>
        <v/>
      </c>
      <c r="AA1690" s="59" t="str">
        <f>IF(AC1690=1,N(H1690)*N(IFERROR(INDEX(art_cost,MATCH(E1690,art_ref,0)),0)),"")</f>
        <v/>
      </c>
      <c r="AB1690" s="58" t="str">
        <f>IF(COUNTA(A1690:I1690)=0,"",IF(N(A1690)&lt;=0,"Date manquante ou invalide",IF(B1690="","Équipe manquante",IF(ISNA(MATCH(B1690,eq_code,0)),"Équipe inconnue",IF(INDEX(eq_check,MATCH(B1690,eq_code,0))&lt;&gt;"OK","Équipe à corriger dans Paramètres",IF(C1690="","Poste manquant",IF(ISNA(MATCH(C1690,po_code,0)),"Poste inconnu",IF(AND(E1690&lt;&gt;"",ISNA(MATCH(E1690,art_ref,0))),"Article inconnu",IF(IF(E1690="",FALSE,INDEX(art_check,MATCH(E1690,art_ref,0))&lt;&gt;"OK"),"Article à corriger (feuille Articles)",IF(COUNTIFS(sj_date,A1690,sj_eq,B1690,sj_po,C1690)&gt;1,"Ligne en double (même jour, équipe et poste)",IF(OR(NOT(ISNUMBER(K1690)),N(K1690)&lt;=0,N(K1690)&gt;1440),"Temps d'ouverture invalide",IF(OR(AND(G1690&lt;&gt;"",NOT(ISNUMBER(G1690))),N(G1690)&lt;0,N(G1690)&lt;&gt;INT(N(G1690)),AND(H1690&lt;&gt;"",NOT(ISNUMBER(H1690))),N(H1690)&lt;0,N(H1690)&lt;&gt;INT(N(H1690)),AND(I1690&lt;&gt;"",NOT(ISNUMBER(I1690))),N(I1690)&lt;0,N(I1690)&lt;&gt;INT(N(I1690))),"Quantité invalide",IF(Q1690&lt;=0,"Cadence manquante (poste ou article)",IF(M1690&lt;=0,"Arrêts planifiés supérieurs au temps d'ouverture",IF(O1690&lt;0,"Arrêts supérieurs au temps requis",IF(AND(P1690&gt;0,O1690=0),"Pièces déclarées sans temps de marche",IF(AND(P1690=0,O1690&gt;0),"Aucune pièce déclarée",IF(P1690*60/Q1690&gt;O1690+0.001,"Cadence dépassée : vérifiez la cadence","OK"))))))))))))))))))</f>
        <v/>
      </c>
      <c r="AC1690">
        <f>IF(OR(AB1690="OK",AB1690="Aucune pièce déclarée",AB1690="Cadence dépassée : vérifiez la cadence"),1,0)</f>
        <v>0.0</v>
      </c>
      <c r="AD1690">
        <f>IF(AND(AC1690=1,A1690&gt;=p_from,A1690&lt;=p_to),1,0)</f>
        <v>0.0</v>
      </c>
      <c r="AE1690">
        <f>IF(AD1690=1,IF(COUNTIFS($A$6:A1690,A1690,$AD$6:AD1690,1)=1,1,0),0)</f>
        <v>0.0</v>
      </c>
      <c r="AF1690" t="str">
        <f>IF(AE1690=1,COUNTIFS(sj_first,1,sj_date,"&lt;"&amp;A1690)+1,"")</f>
        <v/>
      </c>
      <c r="AG1690" t="str">
        <f>IF(AND(AD1690=1,N(W1690)&lt;p_alert),ROUND(W1690,4),"")</f>
        <v/>
      </c>
      <c r="AH1690" t="str">
        <f>IF(AG1690="","",COUNTIF(sj_akey,"&lt;"&amp;AG1690)+COUNTIF($AG$6:AG1690,AG1690))</f>
        <v/>
      </c>
    </row>
    <row r="1691">
      <c r="A1691" s="51" t="n"/>
      <c r="B1691" s="52" t="n"/>
      <c r="C1691" s="52" t="n"/>
      <c r="D1691" s="53" t="n"/>
      <c r="E1691" s="53" t="n"/>
      <c r="F1691" s="54" t="n"/>
      <c r="G1691" s="54" t="n"/>
      <c r="H1691" s="54" t="n"/>
      <c r="I1691" s="54" t="n"/>
      <c r="J1691" s="53" t="n"/>
      <c r="K1691" s="55" t="str">
        <f>IF(COUNTA(A1691:I1691)=0,"",IF(F1691="",IFERROR(INDEX(eq_dur,MATCH(B1691,eq_code,0)),""),F1691))</f>
        <v/>
      </c>
      <c r="L1691" s="55" t="str">
        <f>IF(ISNUMBER(K1691),N(IFERROR(INDEX(eq_pause,MATCH(B1691,eq_code,0)),0))+SUMIFS(st_min,st_date,A1691,st_eq,B1691,st_po,C1691,st_type,"Planifié"),"")</f>
        <v/>
      </c>
      <c r="M1691" s="55" t="str">
        <f>IF(ISNUMBER(K1691),K1691-L1691,"")</f>
        <v/>
      </c>
      <c r="N1691" s="55" t="str">
        <f>IF(ISNUMBER(K1691),SUMIFS(st_min,st_date,A1691,st_eq,B1691,st_po,C1691,st_type,"Non planifié"),"")</f>
        <v/>
      </c>
      <c r="O1691" s="55" t="str">
        <f>IF(ISNUMBER(K1691),M1691-N1691,"")</f>
        <v/>
      </c>
      <c r="P1691" s="55" t="str">
        <f>IF(COUNTA(A1691:I1691)=0,"",N(G1691)+N(H1691)+N(I1691))</f>
        <v/>
      </c>
      <c r="Q1691" s="56" t="str">
        <f>IF(COUNTA(A1691:I1691)=0,"",IF(N(IFERROR(INDEX(art_rate,MATCH(E1691,art_ref,0)),0))&gt;0,N(IFERROR(INDEX(art_rate,MATCH(E1691,art_ref,0)),0)),N(IFERROR(INDEX(po_rate,MATCH(C1691,po_code,0)),0))))</f>
        <v/>
      </c>
      <c r="R1691" s="55" t="str">
        <f>IF(AC1691=1,P1691*60/Q1691,"")</f>
        <v/>
      </c>
      <c r="S1691" s="55" t="str">
        <f>IF(AC1691=1,N(G1691)*60/Q1691,"")</f>
        <v/>
      </c>
      <c r="T1691" s="57" t="str">
        <f>IF(AC1691=1,O1691/M1691,"")</f>
        <v/>
      </c>
      <c r="U1691" s="57" t="str">
        <f>IF(AC1691=1,IF(O1691&gt;0,R1691/O1691,""),"")</f>
        <v/>
      </c>
      <c r="V1691" s="57" t="str">
        <f>IF(AC1691=1,IF(P1691&gt;0,N(G1691)/P1691,""),"")</f>
        <v/>
      </c>
      <c r="W1691" s="57" t="str">
        <f>IF(AC1691=1,S1691/M1691,"")</f>
        <v/>
      </c>
      <c r="X1691" s="57" t="str">
        <f>IF(AC1691=1,S1691/K1691,"")</f>
        <v/>
      </c>
      <c r="Y1691" s="58" t="str">
        <f>IF(W1691="","",IF(W1691&gt;=p_target,"Bon",IF(W1691&gt;=p_alert,"À surveiller","Faible")))</f>
        <v/>
      </c>
      <c r="Z1691" s="58" t="str">
        <f>IF(W1691="","",IF(MIN(IF(T1691="",1,T1691),IF(U1691="",1,U1691),IF(V1691="",1,V1691))&gt;=1,"Aucune",IF(IF(T1691="",1,T1691)&lt;=MIN(IF(U1691="",1,U1691),IF(V1691="",1,V1691)),"Disponibilité",IF(IF(U1691="",1,U1691)&lt;=IF(V1691="",1,V1691),"Performance","Qualité"))))</f>
        <v/>
      </c>
      <c r="AA1691" s="59" t="str">
        <f>IF(AC1691=1,N(H1691)*N(IFERROR(INDEX(art_cost,MATCH(E1691,art_ref,0)),0)),"")</f>
        <v/>
      </c>
      <c r="AB1691" s="58" t="str">
        <f>IF(COUNTA(A1691:I1691)=0,"",IF(N(A1691)&lt;=0,"Date manquante ou invalide",IF(B1691="","Équipe manquante",IF(ISNA(MATCH(B1691,eq_code,0)),"Équipe inconnue",IF(INDEX(eq_check,MATCH(B1691,eq_code,0))&lt;&gt;"OK","Équipe à corriger dans Paramètres",IF(C1691="","Poste manquant",IF(ISNA(MATCH(C1691,po_code,0)),"Poste inconnu",IF(AND(E1691&lt;&gt;"",ISNA(MATCH(E1691,art_ref,0))),"Article inconnu",IF(IF(E1691="",FALSE,INDEX(art_check,MATCH(E1691,art_ref,0))&lt;&gt;"OK"),"Article à corriger (feuille Articles)",IF(COUNTIFS(sj_date,A1691,sj_eq,B1691,sj_po,C1691)&gt;1,"Ligne en double (même jour, équipe et poste)",IF(OR(NOT(ISNUMBER(K1691)),N(K1691)&lt;=0,N(K1691)&gt;1440),"Temps d'ouverture invalide",IF(OR(AND(G1691&lt;&gt;"",NOT(ISNUMBER(G1691))),N(G1691)&lt;0,N(G1691)&lt;&gt;INT(N(G1691)),AND(H1691&lt;&gt;"",NOT(ISNUMBER(H1691))),N(H1691)&lt;0,N(H1691)&lt;&gt;INT(N(H1691)),AND(I1691&lt;&gt;"",NOT(ISNUMBER(I1691))),N(I1691)&lt;0,N(I1691)&lt;&gt;INT(N(I1691))),"Quantité invalide",IF(Q1691&lt;=0,"Cadence manquante (poste ou article)",IF(M1691&lt;=0,"Arrêts planifiés supérieurs au temps d'ouverture",IF(O1691&lt;0,"Arrêts supérieurs au temps requis",IF(AND(P1691&gt;0,O1691=0),"Pièces déclarées sans temps de marche",IF(AND(P1691=0,O1691&gt;0),"Aucune pièce déclarée",IF(P1691*60/Q1691&gt;O1691+0.001,"Cadence dépassée : vérifiez la cadence","OK"))))))))))))))))))</f>
        <v/>
      </c>
      <c r="AC1691">
        <f>IF(OR(AB1691="OK",AB1691="Aucune pièce déclarée",AB1691="Cadence dépassée : vérifiez la cadence"),1,0)</f>
        <v>0.0</v>
      </c>
      <c r="AD1691">
        <f>IF(AND(AC1691=1,A1691&gt;=p_from,A1691&lt;=p_to),1,0)</f>
        <v>0.0</v>
      </c>
      <c r="AE1691">
        <f>IF(AD1691=1,IF(COUNTIFS($A$6:A1691,A1691,$AD$6:AD1691,1)=1,1,0),0)</f>
        <v>0.0</v>
      </c>
      <c r="AF1691" t="str">
        <f>IF(AE1691=1,COUNTIFS(sj_first,1,sj_date,"&lt;"&amp;A1691)+1,"")</f>
        <v/>
      </c>
      <c r="AG1691" t="str">
        <f>IF(AND(AD1691=1,N(W1691)&lt;p_alert),ROUND(W1691,4),"")</f>
        <v/>
      </c>
      <c r="AH1691" t="str">
        <f>IF(AG1691="","",COUNTIF(sj_akey,"&lt;"&amp;AG1691)+COUNTIF($AG$6:AG1691,AG1691))</f>
        <v/>
      </c>
    </row>
    <row r="1692">
      <c r="A1692" s="51" t="n"/>
      <c r="B1692" s="52" t="n"/>
      <c r="C1692" s="52" t="n"/>
      <c r="D1692" s="53" t="n"/>
      <c r="E1692" s="53" t="n"/>
      <c r="F1692" s="54" t="n"/>
      <c r="G1692" s="54" t="n"/>
      <c r="H1692" s="54" t="n"/>
      <c r="I1692" s="54" t="n"/>
      <c r="J1692" s="53" t="n"/>
      <c r="K1692" s="55" t="str">
        <f>IF(COUNTA(A1692:I1692)=0,"",IF(F1692="",IFERROR(INDEX(eq_dur,MATCH(B1692,eq_code,0)),""),F1692))</f>
        <v/>
      </c>
      <c r="L1692" s="55" t="str">
        <f>IF(ISNUMBER(K1692),N(IFERROR(INDEX(eq_pause,MATCH(B1692,eq_code,0)),0))+SUMIFS(st_min,st_date,A1692,st_eq,B1692,st_po,C1692,st_type,"Planifié"),"")</f>
        <v/>
      </c>
      <c r="M1692" s="55" t="str">
        <f>IF(ISNUMBER(K1692),K1692-L1692,"")</f>
        <v/>
      </c>
      <c r="N1692" s="55" t="str">
        <f>IF(ISNUMBER(K1692),SUMIFS(st_min,st_date,A1692,st_eq,B1692,st_po,C1692,st_type,"Non planifié"),"")</f>
        <v/>
      </c>
      <c r="O1692" s="55" t="str">
        <f>IF(ISNUMBER(K1692),M1692-N1692,"")</f>
        <v/>
      </c>
      <c r="P1692" s="55" t="str">
        <f>IF(COUNTA(A1692:I1692)=0,"",N(G1692)+N(H1692)+N(I1692))</f>
        <v/>
      </c>
      <c r="Q1692" s="56" t="str">
        <f>IF(COUNTA(A1692:I1692)=0,"",IF(N(IFERROR(INDEX(art_rate,MATCH(E1692,art_ref,0)),0))&gt;0,N(IFERROR(INDEX(art_rate,MATCH(E1692,art_ref,0)),0)),N(IFERROR(INDEX(po_rate,MATCH(C1692,po_code,0)),0))))</f>
        <v/>
      </c>
      <c r="R1692" s="55" t="str">
        <f>IF(AC1692=1,P1692*60/Q1692,"")</f>
        <v/>
      </c>
      <c r="S1692" s="55" t="str">
        <f>IF(AC1692=1,N(G1692)*60/Q1692,"")</f>
        <v/>
      </c>
      <c r="T1692" s="57" t="str">
        <f>IF(AC1692=1,O1692/M1692,"")</f>
        <v/>
      </c>
      <c r="U1692" s="57" t="str">
        <f>IF(AC1692=1,IF(O1692&gt;0,R1692/O1692,""),"")</f>
        <v/>
      </c>
      <c r="V1692" s="57" t="str">
        <f>IF(AC1692=1,IF(P1692&gt;0,N(G1692)/P1692,""),"")</f>
        <v/>
      </c>
      <c r="W1692" s="57" t="str">
        <f>IF(AC1692=1,S1692/M1692,"")</f>
        <v/>
      </c>
      <c r="X1692" s="57" t="str">
        <f>IF(AC1692=1,S1692/K1692,"")</f>
        <v/>
      </c>
      <c r="Y1692" s="58" t="str">
        <f>IF(W1692="","",IF(W1692&gt;=p_target,"Bon",IF(W1692&gt;=p_alert,"À surveiller","Faible")))</f>
        <v/>
      </c>
      <c r="Z1692" s="58" t="str">
        <f>IF(W1692="","",IF(MIN(IF(T1692="",1,T1692),IF(U1692="",1,U1692),IF(V1692="",1,V1692))&gt;=1,"Aucune",IF(IF(T1692="",1,T1692)&lt;=MIN(IF(U1692="",1,U1692),IF(V1692="",1,V1692)),"Disponibilité",IF(IF(U1692="",1,U1692)&lt;=IF(V1692="",1,V1692),"Performance","Qualité"))))</f>
        <v/>
      </c>
      <c r="AA1692" s="59" t="str">
        <f>IF(AC1692=1,N(H1692)*N(IFERROR(INDEX(art_cost,MATCH(E1692,art_ref,0)),0)),"")</f>
        <v/>
      </c>
      <c r="AB1692" s="58" t="str">
        <f>IF(COUNTA(A1692:I1692)=0,"",IF(N(A1692)&lt;=0,"Date manquante ou invalide",IF(B1692="","Équipe manquante",IF(ISNA(MATCH(B1692,eq_code,0)),"Équipe inconnue",IF(INDEX(eq_check,MATCH(B1692,eq_code,0))&lt;&gt;"OK","Équipe à corriger dans Paramètres",IF(C1692="","Poste manquant",IF(ISNA(MATCH(C1692,po_code,0)),"Poste inconnu",IF(AND(E1692&lt;&gt;"",ISNA(MATCH(E1692,art_ref,0))),"Article inconnu",IF(IF(E1692="",FALSE,INDEX(art_check,MATCH(E1692,art_ref,0))&lt;&gt;"OK"),"Article à corriger (feuille Articles)",IF(COUNTIFS(sj_date,A1692,sj_eq,B1692,sj_po,C1692)&gt;1,"Ligne en double (même jour, équipe et poste)",IF(OR(NOT(ISNUMBER(K1692)),N(K1692)&lt;=0,N(K1692)&gt;1440),"Temps d'ouverture invalide",IF(OR(AND(G1692&lt;&gt;"",NOT(ISNUMBER(G1692))),N(G1692)&lt;0,N(G1692)&lt;&gt;INT(N(G1692)),AND(H1692&lt;&gt;"",NOT(ISNUMBER(H1692))),N(H1692)&lt;0,N(H1692)&lt;&gt;INT(N(H1692)),AND(I1692&lt;&gt;"",NOT(ISNUMBER(I1692))),N(I1692)&lt;0,N(I1692)&lt;&gt;INT(N(I1692))),"Quantité invalide",IF(Q1692&lt;=0,"Cadence manquante (poste ou article)",IF(M1692&lt;=0,"Arrêts planifiés supérieurs au temps d'ouverture",IF(O1692&lt;0,"Arrêts supérieurs au temps requis",IF(AND(P1692&gt;0,O1692=0),"Pièces déclarées sans temps de marche",IF(AND(P1692=0,O1692&gt;0),"Aucune pièce déclarée",IF(P1692*60/Q1692&gt;O1692+0.001,"Cadence dépassée : vérifiez la cadence","OK"))))))))))))))))))</f>
        <v/>
      </c>
      <c r="AC1692">
        <f>IF(OR(AB1692="OK",AB1692="Aucune pièce déclarée",AB1692="Cadence dépassée : vérifiez la cadence"),1,0)</f>
        <v>0.0</v>
      </c>
      <c r="AD1692">
        <f>IF(AND(AC1692=1,A1692&gt;=p_from,A1692&lt;=p_to),1,0)</f>
        <v>0.0</v>
      </c>
      <c r="AE1692">
        <f>IF(AD1692=1,IF(COUNTIFS($A$6:A1692,A1692,$AD$6:AD1692,1)=1,1,0),0)</f>
        <v>0.0</v>
      </c>
      <c r="AF1692" t="str">
        <f>IF(AE1692=1,COUNTIFS(sj_first,1,sj_date,"&lt;"&amp;A1692)+1,"")</f>
        <v/>
      </c>
      <c r="AG1692" t="str">
        <f>IF(AND(AD1692=1,N(W1692)&lt;p_alert),ROUND(W1692,4),"")</f>
        <v/>
      </c>
      <c r="AH1692" t="str">
        <f>IF(AG1692="","",COUNTIF(sj_akey,"&lt;"&amp;AG1692)+COUNTIF($AG$6:AG1692,AG1692))</f>
        <v/>
      </c>
    </row>
    <row r="1693">
      <c r="A1693" s="51" t="n"/>
      <c r="B1693" s="52" t="n"/>
      <c r="C1693" s="52" t="n"/>
      <c r="D1693" s="53" t="n"/>
      <c r="E1693" s="53" t="n"/>
      <c r="F1693" s="54" t="n"/>
      <c r="G1693" s="54" t="n"/>
      <c r="H1693" s="54" t="n"/>
      <c r="I1693" s="54" t="n"/>
      <c r="J1693" s="53" t="n"/>
      <c r="K1693" s="55" t="str">
        <f>IF(COUNTA(A1693:I1693)=0,"",IF(F1693="",IFERROR(INDEX(eq_dur,MATCH(B1693,eq_code,0)),""),F1693))</f>
        <v/>
      </c>
      <c r="L1693" s="55" t="str">
        <f>IF(ISNUMBER(K1693),N(IFERROR(INDEX(eq_pause,MATCH(B1693,eq_code,0)),0))+SUMIFS(st_min,st_date,A1693,st_eq,B1693,st_po,C1693,st_type,"Planifié"),"")</f>
        <v/>
      </c>
      <c r="M1693" s="55" t="str">
        <f>IF(ISNUMBER(K1693),K1693-L1693,"")</f>
        <v/>
      </c>
      <c r="N1693" s="55" t="str">
        <f>IF(ISNUMBER(K1693),SUMIFS(st_min,st_date,A1693,st_eq,B1693,st_po,C1693,st_type,"Non planifié"),"")</f>
        <v/>
      </c>
      <c r="O1693" s="55" t="str">
        <f>IF(ISNUMBER(K1693),M1693-N1693,"")</f>
        <v/>
      </c>
      <c r="P1693" s="55" t="str">
        <f>IF(COUNTA(A1693:I1693)=0,"",N(G1693)+N(H1693)+N(I1693))</f>
        <v/>
      </c>
      <c r="Q1693" s="56" t="str">
        <f>IF(COUNTA(A1693:I1693)=0,"",IF(N(IFERROR(INDEX(art_rate,MATCH(E1693,art_ref,0)),0))&gt;0,N(IFERROR(INDEX(art_rate,MATCH(E1693,art_ref,0)),0)),N(IFERROR(INDEX(po_rate,MATCH(C1693,po_code,0)),0))))</f>
        <v/>
      </c>
      <c r="R1693" s="55" t="str">
        <f>IF(AC1693=1,P1693*60/Q1693,"")</f>
        <v/>
      </c>
      <c r="S1693" s="55" t="str">
        <f>IF(AC1693=1,N(G1693)*60/Q1693,"")</f>
        <v/>
      </c>
      <c r="T1693" s="57" t="str">
        <f>IF(AC1693=1,O1693/M1693,"")</f>
        <v/>
      </c>
      <c r="U1693" s="57" t="str">
        <f>IF(AC1693=1,IF(O1693&gt;0,R1693/O1693,""),"")</f>
        <v/>
      </c>
      <c r="V1693" s="57" t="str">
        <f>IF(AC1693=1,IF(P1693&gt;0,N(G1693)/P1693,""),"")</f>
        <v/>
      </c>
      <c r="W1693" s="57" t="str">
        <f>IF(AC1693=1,S1693/M1693,"")</f>
        <v/>
      </c>
      <c r="X1693" s="57" t="str">
        <f>IF(AC1693=1,S1693/K1693,"")</f>
        <v/>
      </c>
      <c r="Y1693" s="58" t="str">
        <f>IF(W1693="","",IF(W1693&gt;=p_target,"Bon",IF(W1693&gt;=p_alert,"À surveiller","Faible")))</f>
        <v/>
      </c>
      <c r="Z1693" s="58" t="str">
        <f>IF(W1693="","",IF(MIN(IF(T1693="",1,T1693),IF(U1693="",1,U1693),IF(V1693="",1,V1693))&gt;=1,"Aucune",IF(IF(T1693="",1,T1693)&lt;=MIN(IF(U1693="",1,U1693),IF(V1693="",1,V1693)),"Disponibilité",IF(IF(U1693="",1,U1693)&lt;=IF(V1693="",1,V1693),"Performance","Qualité"))))</f>
        <v/>
      </c>
      <c r="AA1693" s="59" t="str">
        <f>IF(AC1693=1,N(H1693)*N(IFERROR(INDEX(art_cost,MATCH(E1693,art_ref,0)),0)),"")</f>
        <v/>
      </c>
      <c r="AB1693" s="58" t="str">
        <f>IF(COUNTA(A1693:I1693)=0,"",IF(N(A1693)&lt;=0,"Date manquante ou invalide",IF(B1693="","Équipe manquante",IF(ISNA(MATCH(B1693,eq_code,0)),"Équipe inconnue",IF(INDEX(eq_check,MATCH(B1693,eq_code,0))&lt;&gt;"OK","Équipe à corriger dans Paramètres",IF(C1693="","Poste manquant",IF(ISNA(MATCH(C1693,po_code,0)),"Poste inconnu",IF(AND(E1693&lt;&gt;"",ISNA(MATCH(E1693,art_ref,0))),"Article inconnu",IF(IF(E1693="",FALSE,INDEX(art_check,MATCH(E1693,art_ref,0))&lt;&gt;"OK"),"Article à corriger (feuille Articles)",IF(COUNTIFS(sj_date,A1693,sj_eq,B1693,sj_po,C1693)&gt;1,"Ligne en double (même jour, équipe et poste)",IF(OR(NOT(ISNUMBER(K1693)),N(K1693)&lt;=0,N(K1693)&gt;1440),"Temps d'ouverture invalide",IF(OR(AND(G1693&lt;&gt;"",NOT(ISNUMBER(G1693))),N(G1693)&lt;0,N(G1693)&lt;&gt;INT(N(G1693)),AND(H1693&lt;&gt;"",NOT(ISNUMBER(H1693))),N(H1693)&lt;0,N(H1693)&lt;&gt;INT(N(H1693)),AND(I1693&lt;&gt;"",NOT(ISNUMBER(I1693))),N(I1693)&lt;0,N(I1693)&lt;&gt;INT(N(I1693))),"Quantité invalide",IF(Q1693&lt;=0,"Cadence manquante (poste ou article)",IF(M1693&lt;=0,"Arrêts planifiés supérieurs au temps d'ouverture",IF(O1693&lt;0,"Arrêts supérieurs au temps requis",IF(AND(P1693&gt;0,O1693=0),"Pièces déclarées sans temps de marche",IF(AND(P1693=0,O1693&gt;0),"Aucune pièce déclarée",IF(P1693*60/Q1693&gt;O1693+0.001,"Cadence dépassée : vérifiez la cadence","OK"))))))))))))))))))</f>
        <v/>
      </c>
      <c r="AC1693">
        <f>IF(OR(AB1693="OK",AB1693="Aucune pièce déclarée",AB1693="Cadence dépassée : vérifiez la cadence"),1,0)</f>
        <v>0.0</v>
      </c>
      <c r="AD1693">
        <f>IF(AND(AC1693=1,A1693&gt;=p_from,A1693&lt;=p_to),1,0)</f>
        <v>0.0</v>
      </c>
      <c r="AE1693">
        <f>IF(AD1693=1,IF(COUNTIFS($A$6:A1693,A1693,$AD$6:AD1693,1)=1,1,0),0)</f>
        <v>0.0</v>
      </c>
      <c r="AF1693" t="str">
        <f>IF(AE1693=1,COUNTIFS(sj_first,1,sj_date,"&lt;"&amp;A1693)+1,"")</f>
        <v/>
      </c>
      <c r="AG1693" t="str">
        <f>IF(AND(AD1693=1,N(W1693)&lt;p_alert),ROUND(W1693,4),"")</f>
        <v/>
      </c>
      <c r="AH1693" t="str">
        <f>IF(AG1693="","",COUNTIF(sj_akey,"&lt;"&amp;AG1693)+COUNTIF($AG$6:AG1693,AG1693))</f>
        <v/>
      </c>
    </row>
    <row r="1694">
      <c r="A1694" s="51" t="n"/>
      <c r="B1694" s="52" t="n"/>
      <c r="C1694" s="52" t="n"/>
      <c r="D1694" s="53" t="n"/>
      <c r="E1694" s="53" t="n"/>
      <c r="F1694" s="54" t="n"/>
      <c r="G1694" s="54" t="n"/>
      <c r="H1694" s="54" t="n"/>
      <c r="I1694" s="54" t="n"/>
      <c r="J1694" s="53" t="n"/>
      <c r="K1694" s="55" t="str">
        <f>IF(COUNTA(A1694:I1694)=0,"",IF(F1694="",IFERROR(INDEX(eq_dur,MATCH(B1694,eq_code,0)),""),F1694))</f>
        <v/>
      </c>
      <c r="L1694" s="55" t="str">
        <f>IF(ISNUMBER(K1694),N(IFERROR(INDEX(eq_pause,MATCH(B1694,eq_code,0)),0))+SUMIFS(st_min,st_date,A1694,st_eq,B1694,st_po,C1694,st_type,"Planifié"),"")</f>
        <v/>
      </c>
      <c r="M1694" s="55" t="str">
        <f>IF(ISNUMBER(K1694),K1694-L1694,"")</f>
        <v/>
      </c>
      <c r="N1694" s="55" t="str">
        <f>IF(ISNUMBER(K1694),SUMIFS(st_min,st_date,A1694,st_eq,B1694,st_po,C1694,st_type,"Non planifié"),"")</f>
        <v/>
      </c>
      <c r="O1694" s="55" t="str">
        <f>IF(ISNUMBER(K1694),M1694-N1694,"")</f>
        <v/>
      </c>
      <c r="P1694" s="55" t="str">
        <f>IF(COUNTA(A1694:I1694)=0,"",N(G1694)+N(H1694)+N(I1694))</f>
        <v/>
      </c>
      <c r="Q1694" s="56" t="str">
        <f>IF(COUNTA(A1694:I1694)=0,"",IF(N(IFERROR(INDEX(art_rate,MATCH(E1694,art_ref,0)),0))&gt;0,N(IFERROR(INDEX(art_rate,MATCH(E1694,art_ref,0)),0)),N(IFERROR(INDEX(po_rate,MATCH(C1694,po_code,0)),0))))</f>
        <v/>
      </c>
      <c r="R1694" s="55" t="str">
        <f>IF(AC1694=1,P1694*60/Q1694,"")</f>
        <v/>
      </c>
      <c r="S1694" s="55" t="str">
        <f>IF(AC1694=1,N(G1694)*60/Q1694,"")</f>
        <v/>
      </c>
      <c r="T1694" s="57" t="str">
        <f>IF(AC1694=1,O1694/M1694,"")</f>
        <v/>
      </c>
      <c r="U1694" s="57" t="str">
        <f>IF(AC1694=1,IF(O1694&gt;0,R1694/O1694,""),"")</f>
        <v/>
      </c>
      <c r="V1694" s="57" t="str">
        <f>IF(AC1694=1,IF(P1694&gt;0,N(G1694)/P1694,""),"")</f>
        <v/>
      </c>
      <c r="W1694" s="57" t="str">
        <f>IF(AC1694=1,S1694/M1694,"")</f>
        <v/>
      </c>
      <c r="X1694" s="57" t="str">
        <f>IF(AC1694=1,S1694/K1694,"")</f>
        <v/>
      </c>
      <c r="Y1694" s="58" t="str">
        <f>IF(W1694="","",IF(W1694&gt;=p_target,"Bon",IF(W1694&gt;=p_alert,"À surveiller","Faible")))</f>
        <v/>
      </c>
      <c r="Z1694" s="58" t="str">
        <f>IF(W1694="","",IF(MIN(IF(T1694="",1,T1694),IF(U1694="",1,U1694),IF(V1694="",1,V1694))&gt;=1,"Aucune",IF(IF(T1694="",1,T1694)&lt;=MIN(IF(U1694="",1,U1694),IF(V1694="",1,V1694)),"Disponibilité",IF(IF(U1694="",1,U1694)&lt;=IF(V1694="",1,V1694),"Performance","Qualité"))))</f>
        <v/>
      </c>
      <c r="AA1694" s="59" t="str">
        <f>IF(AC1694=1,N(H1694)*N(IFERROR(INDEX(art_cost,MATCH(E1694,art_ref,0)),0)),"")</f>
        <v/>
      </c>
      <c r="AB1694" s="58" t="str">
        <f>IF(COUNTA(A1694:I1694)=0,"",IF(N(A1694)&lt;=0,"Date manquante ou invalide",IF(B1694="","Équipe manquante",IF(ISNA(MATCH(B1694,eq_code,0)),"Équipe inconnue",IF(INDEX(eq_check,MATCH(B1694,eq_code,0))&lt;&gt;"OK","Équipe à corriger dans Paramètres",IF(C1694="","Poste manquant",IF(ISNA(MATCH(C1694,po_code,0)),"Poste inconnu",IF(AND(E1694&lt;&gt;"",ISNA(MATCH(E1694,art_ref,0))),"Article inconnu",IF(IF(E1694="",FALSE,INDEX(art_check,MATCH(E1694,art_ref,0))&lt;&gt;"OK"),"Article à corriger (feuille Articles)",IF(COUNTIFS(sj_date,A1694,sj_eq,B1694,sj_po,C1694)&gt;1,"Ligne en double (même jour, équipe et poste)",IF(OR(NOT(ISNUMBER(K1694)),N(K1694)&lt;=0,N(K1694)&gt;1440),"Temps d'ouverture invalide",IF(OR(AND(G1694&lt;&gt;"",NOT(ISNUMBER(G1694))),N(G1694)&lt;0,N(G1694)&lt;&gt;INT(N(G1694)),AND(H1694&lt;&gt;"",NOT(ISNUMBER(H1694))),N(H1694)&lt;0,N(H1694)&lt;&gt;INT(N(H1694)),AND(I1694&lt;&gt;"",NOT(ISNUMBER(I1694))),N(I1694)&lt;0,N(I1694)&lt;&gt;INT(N(I1694))),"Quantité invalide",IF(Q1694&lt;=0,"Cadence manquante (poste ou article)",IF(M1694&lt;=0,"Arrêts planifiés supérieurs au temps d'ouverture",IF(O1694&lt;0,"Arrêts supérieurs au temps requis",IF(AND(P1694&gt;0,O1694=0),"Pièces déclarées sans temps de marche",IF(AND(P1694=0,O1694&gt;0),"Aucune pièce déclarée",IF(P1694*60/Q1694&gt;O1694+0.001,"Cadence dépassée : vérifiez la cadence","OK"))))))))))))))))))</f>
        <v/>
      </c>
      <c r="AC1694">
        <f>IF(OR(AB1694="OK",AB1694="Aucune pièce déclarée",AB1694="Cadence dépassée : vérifiez la cadence"),1,0)</f>
        <v>0.0</v>
      </c>
      <c r="AD1694">
        <f>IF(AND(AC1694=1,A1694&gt;=p_from,A1694&lt;=p_to),1,0)</f>
        <v>0.0</v>
      </c>
      <c r="AE1694">
        <f>IF(AD1694=1,IF(COUNTIFS($A$6:A1694,A1694,$AD$6:AD1694,1)=1,1,0),0)</f>
        <v>0.0</v>
      </c>
      <c r="AF1694" t="str">
        <f>IF(AE1694=1,COUNTIFS(sj_first,1,sj_date,"&lt;"&amp;A1694)+1,"")</f>
        <v/>
      </c>
      <c r="AG1694" t="str">
        <f>IF(AND(AD1694=1,N(W1694)&lt;p_alert),ROUND(W1694,4),"")</f>
        <v/>
      </c>
      <c r="AH1694" t="str">
        <f>IF(AG1694="","",COUNTIF(sj_akey,"&lt;"&amp;AG1694)+COUNTIF($AG$6:AG1694,AG1694))</f>
        <v/>
      </c>
    </row>
    <row r="1695">
      <c r="A1695" s="51" t="n"/>
      <c r="B1695" s="52" t="n"/>
      <c r="C1695" s="52" t="n"/>
      <c r="D1695" s="53" t="n"/>
      <c r="E1695" s="53" t="n"/>
      <c r="F1695" s="54" t="n"/>
      <c r="G1695" s="54" t="n"/>
      <c r="H1695" s="54" t="n"/>
      <c r="I1695" s="54" t="n"/>
      <c r="J1695" s="53" t="n"/>
      <c r="K1695" s="55" t="str">
        <f>IF(COUNTA(A1695:I1695)=0,"",IF(F1695="",IFERROR(INDEX(eq_dur,MATCH(B1695,eq_code,0)),""),F1695))</f>
        <v/>
      </c>
      <c r="L1695" s="55" t="str">
        <f>IF(ISNUMBER(K1695),N(IFERROR(INDEX(eq_pause,MATCH(B1695,eq_code,0)),0))+SUMIFS(st_min,st_date,A1695,st_eq,B1695,st_po,C1695,st_type,"Planifié"),"")</f>
        <v/>
      </c>
      <c r="M1695" s="55" t="str">
        <f>IF(ISNUMBER(K1695),K1695-L1695,"")</f>
        <v/>
      </c>
      <c r="N1695" s="55" t="str">
        <f>IF(ISNUMBER(K1695),SUMIFS(st_min,st_date,A1695,st_eq,B1695,st_po,C1695,st_type,"Non planifié"),"")</f>
        <v/>
      </c>
      <c r="O1695" s="55" t="str">
        <f>IF(ISNUMBER(K1695),M1695-N1695,"")</f>
        <v/>
      </c>
      <c r="P1695" s="55" t="str">
        <f>IF(COUNTA(A1695:I1695)=0,"",N(G1695)+N(H1695)+N(I1695))</f>
        <v/>
      </c>
      <c r="Q1695" s="56" t="str">
        <f>IF(COUNTA(A1695:I1695)=0,"",IF(N(IFERROR(INDEX(art_rate,MATCH(E1695,art_ref,0)),0))&gt;0,N(IFERROR(INDEX(art_rate,MATCH(E1695,art_ref,0)),0)),N(IFERROR(INDEX(po_rate,MATCH(C1695,po_code,0)),0))))</f>
        <v/>
      </c>
      <c r="R1695" s="55" t="str">
        <f>IF(AC1695=1,P1695*60/Q1695,"")</f>
        <v/>
      </c>
      <c r="S1695" s="55" t="str">
        <f>IF(AC1695=1,N(G1695)*60/Q1695,"")</f>
        <v/>
      </c>
      <c r="T1695" s="57" t="str">
        <f>IF(AC1695=1,O1695/M1695,"")</f>
        <v/>
      </c>
      <c r="U1695" s="57" t="str">
        <f>IF(AC1695=1,IF(O1695&gt;0,R1695/O1695,""),"")</f>
        <v/>
      </c>
      <c r="V1695" s="57" t="str">
        <f>IF(AC1695=1,IF(P1695&gt;0,N(G1695)/P1695,""),"")</f>
        <v/>
      </c>
      <c r="W1695" s="57" t="str">
        <f>IF(AC1695=1,S1695/M1695,"")</f>
        <v/>
      </c>
      <c r="X1695" s="57" t="str">
        <f>IF(AC1695=1,S1695/K1695,"")</f>
        <v/>
      </c>
      <c r="Y1695" s="58" t="str">
        <f>IF(W1695="","",IF(W1695&gt;=p_target,"Bon",IF(W1695&gt;=p_alert,"À surveiller","Faible")))</f>
        <v/>
      </c>
      <c r="Z1695" s="58" t="str">
        <f>IF(W1695="","",IF(MIN(IF(T1695="",1,T1695),IF(U1695="",1,U1695),IF(V1695="",1,V1695))&gt;=1,"Aucune",IF(IF(T1695="",1,T1695)&lt;=MIN(IF(U1695="",1,U1695),IF(V1695="",1,V1695)),"Disponibilité",IF(IF(U1695="",1,U1695)&lt;=IF(V1695="",1,V1695),"Performance","Qualité"))))</f>
        <v/>
      </c>
      <c r="AA1695" s="59" t="str">
        <f>IF(AC1695=1,N(H1695)*N(IFERROR(INDEX(art_cost,MATCH(E1695,art_ref,0)),0)),"")</f>
        <v/>
      </c>
      <c r="AB1695" s="58" t="str">
        <f>IF(COUNTA(A1695:I1695)=0,"",IF(N(A1695)&lt;=0,"Date manquante ou invalide",IF(B1695="","Équipe manquante",IF(ISNA(MATCH(B1695,eq_code,0)),"Équipe inconnue",IF(INDEX(eq_check,MATCH(B1695,eq_code,0))&lt;&gt;"OK","Équipe à corriger dans Paramètres",IF(C1695="","Poste manquant",IF(ISNA(MATCH(C1695,po_code,0)),"Poste inconnu",IF(AND(E1695&lt;&gt;"",ISNA(MATCH(E1695,art_ref,0))),"Article inconnu",IF(IF(E1695="",FALSE,INDEX(art_check,MATCH(E1695,art_ref,0))&lt;&gt;"OK"),"Article à corriger (feuille Articles)",IF(COUNTIFS(sj_date,A1695,sj_eq,B1695,sj_po,C1695)&gt;1,"Ligne en double (même jour, équipe et poste)",IF(OR(NOT(ISNUMBER(K1695)),N(K1695)&lt;=0,N(K1695)&gt;1440),"Temps d'ouverture invalide",IF(OR(AND(G1695&lt;&gt;"",NOT(ISNUMBER(G1695))),N(G1695)&lt;0,N(G1695)&lt;&gt;INT(N(G1695)),AND(H1695&lt;&gt;"",NOT(ISNUMBER(H1695))),N(H1695)&lt;0,N(H1695)&lt;&gt;INT(N(H1695)),AND(I1695&lt;&gt;"",NOT(ISNUMBER(I1695))),N(I1695)&lt;0,N(I1695)&lt;&gt;INT(N(I1695))),"Quantité invalide",IF(Q1695&lt;=0,"Cadence manquante (poste ou article)",IF(M1695&lt;=0,"Arrêts planifiés supérieurs au temps d'ouverture",IF(O1695&lt;0,"Arrêts supérieurs au temps requis",IF(AND(P1695&gt;0,O1695=0),"Pièces déclarées sans temps de marche",IF(AND(P1695=0,O1695&gt;0),"Aucune pièce déclarée",IF(P1695*60/Q1695&gt;O1695+0.001,"Cadence dépassée : vérifiez la cadence","OK"))))))))))))))))))</f>
        <v/>
      </c>
      <c r="AC1695">
        <f>IF(OR(AB1695="OK",AB1695="Aucune pièce déclarée",AB1695="Cadence dépassée : vérifiez la cadence"),1,0)</f>
        <v>0.0</v>
      </c>
      <c r="AD1695">
        <f>IF(AND(AC1695=1,A1695&gt;=p_from,A1695&lt;=p_to),1,0)</f>
        <v>0.0</v>
      </c>
      <c r="AE1695">
        <f>IF(AD1695=1,IF(COUNTIFS($A$6:A1695,A1695,$AD$6:AD1695,1)=1,1,0),0)</f>
        <v>0.0</v>
      </c>
      <c r="AF1695" t="str">
        <f>IF(AE1695=1,COUNTIFS(sj_first,1,sj_date,"&lt;"&amp;A1695)+1,"")</f>
        <v/>
      </c>
      <c r="AG1695" t="str">
        <f>IF(AND(AD1695=1,N(W1695)&lt;p_alert),ROUND(W1695,4),"")</f>
        <v/>
      </c>
      <c r="AH1695" t="str">
        <f>IF(AG1695="","",COUNTIF(sj_akey,"&lt;"&amp;AG1695)+COUNTIF($AG$6:AG1695,AG1695))</f>
        <v/>
      </c>
    </row>
    <row r="1696">
      <c r="A1696" s="51" t="n"/>
      <c r="B1696" s="52" t="n"/>
      <c r="C1696" s="52" t="n"/>
      <c r="D1696" s="53" t="n"/>
      <c r="E1696" s="53" t="n"/>
      <c r="F1696" s="54" t="n"/>
      <c r="G1696" s="54" t="n"/>
      <c r="H1696" s="54" t="n"/>
      <c r="I1696" s="54" t="n"/>
      <c r="J1696" s="53" t="n"/>
      <c r="K1696" s="55" t="str">
        <f>IF(COUNTA(A1696:I1696)=0,"",IF(F1696="",IFERROR(INDEX(eq_dur,MATCH(B1696,eq_code,0)),""),F1696))</f>
        <v/>
      </c>
      <c r="L1696" s="55" t="str">
        <f>IF(ISNUMBER(K1696),N(IFERROR(INDEX(eq_pause,MATCH(B1696,eq_code,0)),0))+SUMIFS(st_min,st_date,A1696,st_eq,B1696,st_po,C1696,st_type,"Planifié"),"")</f>
        <v/>
      </c>
      <c r="M1696" s="55" t="str">
        <f>IF(ISNUMBER(K1696),K1696-L1696,"")</f>
        <v/>
      </c>
      <c r="N1696" s="55" t="str">
        <f>IF(ISNUMBER(K1696),SUMIFS(st_min,st_date,A1696,st_eq,B1696,st_po,C1696,st_type,"Non planifié"),"")</f>
        <v/>
      </c>
      <c r="O1696" s="55" t="str">
        <f>IF(ISNUMBER(K1696),M1696-N1696,"")</f>
        <v/>
      </c>
      <c r="P1696" s="55" t="str">
        <f>IF(COUNTA(A1696:I1696)=0,"",N(G1696)+N(H1696)+N(I1696))</f>
        <v/>
      </c>
      <c r="Q1696" s="56" t="str">
        <f>IF(COUNTA(A1696:I1696)=0,"",IF(N(IFERROR(INDEX(art_rate,MATCH(E1696,art_ref,0)),0))&gt;0,N(IFERROR(INDEX(art_rate,MATCH(E1696,art_ref,0)),0)),N(IFERROR(INDEX(po_rate,MATCH(C1696,po_code,0)),0))))</f>
        <v/>
      </c>
      <c r="R1696" s="55" t="str">
        <f>IF(AC1696=1,P1696*60/Q1696,"")</f>
        <v/>
      </c>
      <c r="S1696" s="55" t="str">
        <f>IF(AC1696=1,N(G1696)*60/Q1696,"")</f>
        <v/>
      </c>
      <c r="T1696" s="57" t="str">
        <f>IF(AC1696=1,O1696/M1696,"")</f>
        <v/>
      </c>
      <c r="U1696" s="57" t="str">
        <f>IF(AC1696=1,IF(O1696&gt;0,R1696/O1696,""),"")</f>
        <v/>
      </c>
      <c r="V1696" s="57" t="str">
        <f>IF(AC1696=1,IF(P1696&gt;0,N(G1696)/P1696,""),"")</f>
        <v/>
      </c>
      <c r="W1696" s="57" t="str">
        <f>IF(AC1696=1,S1696/M1696,"")</f>
        <v/>
      </c>
      <c r="X1696" s="57" t="str">
        <f>IF(AC1696=1,S1696/K1696,"")</f>
        <v/>
      </c>
      <c r="Y1696" s="58" t="str">
        <f>IF(W1696="","",IF(W1696&gt;=p_target,"Bon",IF(W1696&gt;=p_alert,"À surveiller","Faible")))</f>
        <v/>
      </c>
      <c r="Z1696" s="58" t="str">
        <f>IF(W1696="","",IF(MIN(IF(T1696="",1,T1696),IF(U1696="",1,U1696),IF(V1696="",1,V1696))&gt;=1,"Aucune",IF(IF(T1696="",1,T1696)&lt;=MIN(IF(U1696="",1,U1696),IF(V1696="",1,V1696)),"Disponibilité",IF(IF(U1696="",1,U1696)&lt;=IF(V1696="",1,V1696),"Performance","Qualité"))))</f>
        <v/>
      </c>
      <c r="AA1696" s="59" t="str">
        <f>IF(AC1696=1,N(H1696)*N(IFERROR(INDEX(art_cost,MATCH(E1696,art_ref,0)),0)),"")</f>
        <v/>
      </c>
      <c r="AB1696" s="58" t="str">
        <f>IF(COUNTA(A1696:I1696)=0,"",IF(N(A1696)&lt;=0,"Date manquante ou invalide",IF(B1696="","Équipe manquante",IF(ISNA(MATCH(B1696,eq_code,0)),"Équipe inconnue",IF(INDEX(eq_check,MATCH(B1696,eq_code,0))&lt;&gt;"OK","Équipe à corriger dans Paramètres",IF(C1696="","Poste manquant",IF(ISNA(MATCH(C1696,po_code,0)),"Poste inconnu",IF(AND(E1696&lt;&gt;"",ISNA(MATCH(E1696,art_ref,0))),"Article inconnu",IF(IF(E1696="",FALSE,INDEX(art_check,MATCH(E1696,art_ref,0))&lt;&gt;"OK"),"Article à corriger (feuille Articles)",IF(COUNTIFS(sj_date,A1696,sj_eq,B1696,sj_po,C1696)&gt;1,"Ligne en double (même jour, équipe et poste)",IF(OR(NOT(ISNUMBER(K1696)),N(K1696)&lt;=0,N(K1696)&gt;1440),"Temps d'ouverture invalide",IF(OR(AND(G1696&lt;&gt;"",NOT(ISNUMBER(G1696))),N(G1696)&lt;0,N(G1696)&lt;&gt;INT(N(G1696)),AND(H1696&lt;&gt;"",NOT(ISNUMBER(H1696))),N(H1696)&lt;0,N(H1696)&lt;&gt;INT(N(H1696)),AND(I1696&lt;&gt;"",NOT(ISNUMBER(I1696))),N(I1696)&lt;0,N(I1696)&lt;&gt;INT(N(I1696))),"Quantité invalide",IF(Q1696&lt;=0,"Cadence manquante (poste ou article)",IF(M1696&lt;=0,"Arrêts planifiés supérieurs au temps d'ouverture",IF(O1696&lt;0,"Arrêts supérieurs au temps requis",IF(AND(P1696&gt;0,O1696=0),"Pièces déclarées sans temps de marche",IF(AND(P1696=0,O1696&gt;0),"Aucune pièce déclarée",IF(P1696*60/Q1696&gt;O1696+0.001,"Cadence dépassée : vérifiez la cadence","OK"))))))))))))))))))</f>
        <v/>
      </c>
      <c r="AC1696">
        <f>IF(OR(AB1696="OK",AB1696="Aucune pièce déclarée",AB1696="Cadence dépassée : vérifiez la cadence"),1,0)</f>
        <v>0.0</v>
      </c>
      <c r="AD1696">
        <f>IF(AND(AC1696=1,A1696&gt;=p_from,A1696&lt;=p_to),1,0)</f>
        <v>0.0</v>
      </c>
      <c r="AE1696">
        <f>IF(AD1696=1,IF(COUNTIFS($A$6:A1696,A1696,$AD$6:AD1696,1)=1,1,0),0)</f>
        <v>0.0</v>
      </c>
      <c r="AF1696" t="str">
        <f>IF(AE1696=1,COUNTIFS(sj_first,1,sj_date,"&lt;"&amp;A1696)+1,"")</f>
        <v/>
      </c>
      <c r="AG1696" t="str">
        <f>IF(AND(AD1696=1,N(W1696)&lt;p_alert),ROUND(W1696,4),"")</f>
        <v/>
      </c>
      <c r="AH1696" t="str">
        <f>IF(AG1696="","",COUNTIF(sj_akey,"&lt;"&amp;AG1696)+COUNTIF($AG$6:AG1696,AG1696))</f>
        <v/>
      </c>
    </row>
    <row r="1697">
      <c r="A1697" s="51" t="n"/>
      <c r="B1697" s="52" t="n"/>
      <c r="C1697" s="52" t="n"/>
      <c r="D1697" s="53" t="n"/>
      <c r="E1697" s="53" t="n"/>
      <c r="F1697" s="54" t="n"/>
      <c r="G1697" s="54" t="n"/>
      <c r="H1697" s="54" t="n"/>
      <c r="I1697" s="54" t="n"/>
      <c r="J1697" s="53" t="n"/>
      <c r="K1697" s="55" t="str">
        <f>IF(COUNTA(A1697:I1697)=0,"",IF(F1697="",IFERROR(INDEX(eq_dur,MATCH(B1697,eq_code,0)),""),F1697))</f>
        <v/>
      </c>
      <c r="L1697" s="55" t="str">
        <f>IF(ISNUMBER(K1697),N(IFERROR(INDEX(eq_pause,MATCH(B1697,eq_code,0)),0))+SUMIFS(st_min,st_date,A1697,st_eq,B1697,st_po,C1697,st_type,"Planifié"),"")</f>
        <v/>
      </c>
      <c r="M1697" s="55" t="str">
        <f>IF(ISNUMBER(K1697),K1697-L1697,"")</f>
        <v/>
      </c>
      <c r="N1697" s="55" t="str">
        <f>IF(ISNUMBER(K1697),SUMIFS(st_min,st_date,A1697,st_eq,B1697,st_po,C1697,st_type,"Non planifié"),"")</f>
        <v/>
      </c>
      <c r="O1697" s="55" t="str">
        <f>IF(ISNUMBER(K1697),M1697-N1697,"")</f>
        <v/>
      </c>
      <c r="P1697" s="55" t="str">
        <f>IF(COUNTA(A1697:I1697)=0,"",N(G1697)+N(H1697)+N(I1697))</f>
        <v/>
      </c>
      <c r="Q1697" s="56" t="str">
        <f>IF(COUNTA(A1697:I1697)=0,"",IF(N(IFERROR(INDEX(art_rate,MATCH(E1697,art_ref,0)),0))&gt;0,N(IFERROR(INDEX(art_rate,MATCH(E1697,art_ref,0)),0)),N(IFERROR(INDEX(po_rate,MATCH(C1697,po_code,0)),0))))</f>
        <v/>
      </c>
      <c r="R1697" s="55" t="str">
        <f>IF(AC1697=1,P1697*60/Q1697,"")</f>
        <v/>
      </c>
      <c r="S1697" s="55" t="str">
        <f>IF(AC1697=1,N(G1697)*60/Q1697,"")</f>
        <v/>
      </c>
      <c r="T1697" s="57" t="str">
        <f>IF(AC1697=1,O1697/M1697,"")</f>
        <v/>
      </c>
      <c r="U1697" s="57" t="str">
        <f>IF(AC1697=1,IF(O1697&gt;0,R1697/O1697,""),"")</f>
        <v/>
      </c>
      <c r="V1697" s="57" t="str">
        <f>IF(AC1697=1,IF(P1697&gt;0,N(G1697)/P1697,""),"")</f>
        <v/>
      </c>
      <c r="W1697" s="57" t="str">
        <f>IF(AC1697=1,S1697/M1697,"")</f>
        <v/>
      </c>
      <c r="X1697" s="57" t="str">
        <f>IF(AC1697=1,S1697/K1697,"")</f>
        <v/>
      </c>
      <c r="Y1697" s="58" t="str">
        <f>IF(W1697="","",IF(W1697&gt;=p_target,"Bon",IF(W1697&gt;=p_alert,"À surveiller","Faible")))</f>
        <v/>
      </c>
      <c r="Z1697" s="58" t="str">
        <f>IF(W1697="","",IF(MIN(IF(T1697="",1,T1697),IF(U1697="",1,U1697),IF(V1697="",1,V1697))&gt;=1,"Aucune",IF(IF(T1697="",1,T1697)&lt;=MIN(IF(U1697="",1,U1697),IF(V1697="",1,V1697)),"Disponibilité",IF(IF(U1697="",1,U1697)&lt;=IF(V1697="",1,V1697),"Performance","Qualité"))))</f>
        <v/>
      </c>
      <c r="AA1697" s="59" t="str">
        <f>IF(AC1697=1,N(H1697)*N(IFERROR(INDEX(art_cost,MATCH(E1697,art_ref,0)),0)),"")</f>
        <v/>
      </c>
      <c r="AB1697" s="58" t="str">
        <f>IF(COUNTA(A1697:I1697)=0,"",IF(N(A1697)&lt;=0,"Date manquante ou invalide",IF(B1697="","Équipe manquante",IF(ISNA(MATCH(B1697,eq_code,0)),"Équipe inconnue",IF(INDEX(eq_check,MATCH(B1697,eq_code,0))&lt;&gt;"OK","Équipe à corriger dans Paramètres",IF(C1697="","Poste manquant",IF(ISNA(MATCH(C1697,po_code,0)),"Poste inconnu",IF(AND(E1697&lt;&gt;"",ISNA(MATCH(E1697,art_ref,0))),"Article inconnu",IF(IF(E1697="",FALSE,INDEX(art_check,MATCH(E1697,art_ref,0))&lt;&gt;"OK"),"Article à corriger (feuille Articles)",IF(COUNTIFS(sj_date,A1697,sj_eq,B1697,sj_po,C1697)&gt;1,"Ligne en double (même jour, équipe et poste)",IF(OR(NOT(ISNUMBER(K1697)),N(K1697)&lt;=0,N(K1697)&gt;1440),"Temps d'ouverture invalide",IF(OR(AND(G1697&lt;&gt;"",NOT(ISNUMBER(G1697))),N(G1697)&lt;0,N(G1697)&lt;&gt;INT(N(G1697)),AND(H1697&lt;&gt;"",NOT(ISNUMBER(H1697))),N(H1697)&lt;0,N(H1697)&lt;&gt;INT(N(H1697)),AND(I1697&lt;&gt;"",NOT(ISNUMBER(I1697))),N(I1697)&lt;0,N(I1697)&lt;&gt;INT(N(I1697))),"Quantité invalide",IF(Q1697&lt;=0,"Cadence manquante (poste ou article)",IF(M1697&lt;=0,"Arrêts planifiés supérieurs au temps d'ouverture",IF(O1697&lt;0,"Arrêts supérieurs au temps requis",IF(AND(P1697&gt;0,O1697=0),"Pièces déclarées sans temps de marche",IF(AND(P1697=0,O1697&gt;0),"Aucune pièce déclarée",IF(P1697*60/Q1697&gt;O1697+0.001,"Cadence dépassée : vérifiez la cadence","OK"))))))))))))))))))</f>
        <v/>
      </c>
      <c r="AC1697">
        <f>IF(OR(AB1697="OK",AB1697="Aucune pièce déclarée",AB1697="Cadence dépassée : vérifiez la cadence"),1,0)</f>
        <v>0.0</v>
      </c>
      <c r="AD1697">
        <f>IF(AND(AC1697=1,A1697&gt;=p_from,A1697&lt;=p_to),1,0)</f>
        <v>0.0</v>
      </c>
      <c r="AE1697">
        <f>IF(AD1697=1,IF(COUNTIFS($A$6:A1697,A1697,$AD$6:AD1697,1)=1,1,0),0)</f>
        <v>0.0</v>
      </c>
      <c r="AF1697" t="str">
        <f>IF(AE1697=1,COUNTIFS(sj_first,1,sj_date,"&lt;"&amp;A1697)+1,"")</f>
        <v/>
      </c>
      <c r="AG1697" t="str">
        <f>IF(AND(AD1697=1,N(W1697)&lt;p_alert),ROUND(W1697,4),"")</f>
        <v/>
      </c>
      <c r="AH1697" t="str">
        <f>IF(AG1697="","",COUNTIF(sj_akey,"&lt;"&amp;AG1697)+COUNTIF($AG$6:AG1697,AG1697))</f>
        <v/>
      </c>
    </row>
    <row r="1698">
      <c r="A1698" s="51" t="n"/>
      <c r="B1698" s="52" t="n"/>
      <c r="C1698" s="52" t="n"/>
      <c r="D1698" s="53" t="n"/>
      <c r="E1698" s="53" t="n"/>
      <c r="F1698" s="54" t="n"/>
      <c r="G1698" s="54" t="n"/>
      <c r="H1698" s="54" t="n"/>
      <c r="I1698" s="54" t="n"/>
      <c r="J1698" s="53" t="n"/>
      <c r="K1698" s="55" t="str">
        <f>IF(COUNTA(A1698:I1698)=0,"",IF(F1698="",IFERROR(INDEX(eq_dur,MATCH(B1698,eq_code,0)),""),F1698))</f>
        <v/>
      </c>
      <c r="L1698" s="55" t="str">
        <f>IF(ISNUMBER(K1698),N(IFERROR(INDEX(eq_pause,MATCH(B1698,eq_code,0)),0))+SUMIFS(st_min,st_date,A1698,st_eq,B1698,st_po,C1698,st_type,"Planifié"),"")</f>
        <v/>
      </c>
      <c r="M1698" s="55" t="str">
        <f>IF(ISNUMBER(K1698),K1698-L1698,"")</f>
        <v/>
      </c>
      <c r="N1698" s="55" t="str">
        <f>IF(ISNUMBER(K1698),SUMIFS(st_min,st_date,A1698,st_eq,B1698,st_po,C1698,st_type,"Non planifié"),"")</f>
        <v/>
      </c>
      <c r="O1698" s="55" t="str">
        <f>IF(ISNUMBER(K1698),M1698-N1698,"")</f>
        <v/>
      </c>
      <c r="P1698" s="55" t="str">
        <f>IF(COUNTA(A1698:I1698)=0,"",N(G1698)+N(H1698)+N(I1698))</f>
        <v/>
      </c>
      <c r="Q1698" s="56" t="str">
        <f>IF(COUNTA(A1698:I1698)=0,"",IF(N(IFERROR(INDEX(art_rate,MATCH(E1698,art_ref,0)),0))&gt;0,N(IFERROR(INDEX(art_rate,MATCH(E1698,art_ref,0)),0)),N(IFERROR(INDEX(po_rate,MATCH(C1698,po_code,0)),0))))</f>
        <v/>
      </c>
      <c r="R1698" s="55" t="str">
        <f>IF(AC1698=1,P1698*60/Q1698,"")</f>
        <v/>
      </c>
      <c r="S1698" s="55" t="str">
        <f>IF(AC1698=1,N(G1698)*60/Q1698,"")</f>
        <v/>
      </c>
      <c r="T1698" s="57" t="str">
        <f>IF(AC1698=1,O1698/M1698,"")</f>
        <v/>
      </c>
      <c r="U1698" s="57" t="str">
        <f>IF(AC1698=1,IF(O1698&gt;0,R1698/O1698,""),"")</f>
        <v/>
      </c>
      <c r="V1698" s="57" t="str">
        <f>IF(AC1698=1,IF(P1698&gt;0,N(G1698)/P1698,""),"")</f>
        <v/>
      </c>
      <c r="W1698" s="57" t="str">
        <f>IF(AC1698=1,S1698/M1698,"")</f>
        <v/>
      </c>
      <c r="X1698" s="57" t="str">
        <f>IF(AC1698=1,S1698/K1698,"")</f>
        <v/>
      </c>
      <c r="Y1698" s="58" t="str">
        <f>IF(W1698="","",IF(W1698&gt;=p_target,"Bon",IF(W1698&gt;=p_alert,"À surveiller","Faible")))</f>
        <v/>
      </c>
      <c r="Z1698" s="58" t="str">
        <f>IF(W1698="","",IF(MIN(IF(T1698="",1,T1698),IF(U1698="",1,U1698),IF(V1698="",1,V1698))&gt;=1,"Aucune",IF(IF(T1698="",1,T1698)&lt;=MIN(IF(U1698="",1,U1698),IF(V1698="",1,V1698)),"Disponibilité",IF(IF(U1698="",1,U1698)&lt;=IF(V1698="",1,V1698),"Performance","Qualité"))))</f>
        <v/>
      </c>
      <c r="AA1698" s="59" t="str">
        <f>IF(AC1698=1,N(H1698)*N(IFERROR(INDEX(art_cost,MATCH(E1698,art_ref,0)),0)),"")</f>
        <v/>
      </c>
      <c r="AB1698" s="58" t="str">
        <f>IF(COUNTA(A1698:I1698)=0,"",IF(N(A1698)&lt;=0,"Date manquante ou invalide",IF(B1698="","Équipe manquante",IF(ISNA(MATCH(B1698,eq_code,0)),"Équipe inconnue",IF(INDEX(eq_check,MATCH(B1698,eq_code,0))&lt;&gt;"OK","Équipe à corriger dans Paramètres",IF(C1698="","Poste manquant",IF(ISNA(MATCH(C1698,po_code,0)),"Poste inconnu",IF(AND(E1698&lt;&gt;"",ISNA(MATCH(E1698,art_ref,0))),"Article inconnu",IF(IF(E1698="",FALSE,INDEX(art_check,MATCH(E1698,art_ref,0))&lt;&gt;"OK"),"Article à corriger (feuille Articles)",IF(COUNTIFS(sj_date,A1698,sj_eq,B1698,sj_po,C1698)&gt;1,"Ligne en double (même jour, équipe et poste)",IF(OR(NOT(ISNUMBER(K1698)),N(K1698)&lt;=0,N(K1698)&gt;1440),"Temps d'ouverture invalide",IF(OR(AND(G1698&lt;&gt;"",NOT(ISNUMBER(G1698))),N(G1698)&lt;0,N(G1698)&lt;&gt;INT(N(G1698)),AND(H1698&lt;&gt;"",NOT(ISNUMBER(H1698))),N(H1698)&lt;0,N(H1698)&lt;&gt;INT(N(H1698)),AND(I1698&lt;&gt;"",NOT(ISNUMBER(I1698))),N(I1698)&lt;0,N(I1698)&lt;&gt;INT(N(I1698))),"Quantité invalide",IF(Q1698&lt;=0,"Cadence manquante (poste ou article)",IF(M1698&lt;=0,"Arrêts planifiés supérieurs au temps d'ouverture",IF(O1698&lt;0,"Arrêts supérieurs au temps requis",IF(AND(P1698&gt;0,O1698=0),"Pièces déclarées sans temps de marche",IF(AND(P1698=0,O1698&gt;0),"Aucune pièce déclarée",IF(P1698*60/Q1698&gt;O1698+0.001,"Cadence dépassée : vérifiez la cadence","OK"))))))))))))))))))</f>
        <v/>
      </c>
      <c r="AC1698">
        <f>IF(OR(AB1698="OK",AB1698="Aucune pièce déclarée",AB1698="Cadence dépassée : vérifiez la cadence"),1,0)</f>
        <v>0.0</v>
      </c>
      <c r="AD1698">
        <f>IF(AND(AC1698=1,A1698&gt;=p_from,A1698&lt;=p_to),1,0)</f>
        <v>0.0</v>
      </c>
      <c r="AE1698">
        <f>IF(AD1698=1,IF(COUNTIFS($A$6:A1698,A1698,$AD$6:AD1698,1)=1,1,0),0)</f>
        <v>0.0</v>
      </c>
      <c r="AF1698" t="str">
        <f>IF(AE1698=1,COUNTIFS(sj_first,1,sj_date,"&lt;"&amp;A1698)+1,"")</f>
        <v/>
      </c>
      <c r="AG1698" t="str">
        <f>IF(AND(AD1698=1,N(W1698)&lt;p_alert),ROUND(W1698,4),"")</f>
        <v/>
      </c>
      <c r="AH1698" t="str">
        <f>IF(AG1698="","",COUNTIF(sj_akey,"&lt;"&amp;AG1698)+COUNTIF($AG$6:AG1698,AG1698))</f>
        <v/>
      </c>
    </row>
    <row r="1699">
      <c r="A1699" s="51" t="n"/>
      <c r="B1699" s="52" t="n"/>
      <c r="C1699" s="52" t="n"/>
      <c r="D1699" s="53" t="n"/>
      <c r="E1699" s="53" t="n"/>
      <c r="F1699" s="54" t="n"/>
      <c r="G1699" s="54" t="n"/>
      <c r="H1699" s="54" t="n"/>
      <c r="I1699" s="54" t="n"/>
      <c r="J1699" s="53" t="n"/>
      <c r="K1699" s="55" t="str">
        <f>IF(COUNTA(A1699:I1699)=0,"",IF(F1699="",IFERROR(INDEX(eq_dur,MATCH(B1699,eq_code,0)),""),F1699))</f>
        <v/>
      </c>
      <c r="L1699" s="55" t="str">
        <f>IF(ISNUMBER(K1699),N(IFERROR(INDEX(eq_pause,MATCH(B1699,eq_code,0)),0))+SUMIFS(st_min,st_date,A1699,st_eq,B1699,st_po,C1699,st_type,"Planifié"),"")</f>
        <v/>
      </c>
      <c r="M1699" s="55" t="str">
        <f>IF(ISNUMBER(K1699),K1699-L1699,"")</f>
        <v/>
      </c>
      <c r="N1699" s="55" t="str">
        <f>IF(ISNUMBER(K1699),SUMIFS(st_min,st_date,A1699,st_eq,B1699,st_po,C1699,st_type,"Non planifié"),"")</f>
        <v/>
      </c>
      <c r="O1699" s="55" t="str">
        <f>IF(ISNUMBER(K1699),M1699-N1699,"")</f>
        <v/>
      </c>
      <c r="P1699" s="55" t="str">
        <f>IF(COUNTA(A1699:I1699)=0,"",N(G1699)+N(H1699)+N(I1699))</f>
        <v/>
      </c>
      <c r="Q1699" s="56" t="str">
        <f>IF(COUNTA(A1699:I1699)=0,"",IF(N(IFERROR(INDEX(art_rate,MATCH(E1699,art_ref,0)),0))&gt;0,N(IFERROR(INDEX(art_rate,MATCH(E1699,art_ref,0)),0)),N(IFERROR(INDEX(po_rate,MATCH(C1699,po_code,0)),0))))</f>
        <v/>
      </c>
      <c r="R1699" s="55" t="str">
        <f>IF(AC1699=1,P1699*60/Q1699,"")</f>
        <v/>
      </c>
      <c r="S1699" s="55" t="str">
        <f>IF(AC1699=1,N(G1699)*60/Q1699,"")</f>
        <v/>
      </c>
      <c r="T1699" s="57" t="str">
        <f>IF(AC1699=1,O1699/M1699,"")</f>
        <v/>
      </c>
      <c r="U1699" s="57" t="str">
        <f>IF(AC1699=1,IF(O1699&gt;0,R1699/O1699,""),"")</f>
        <v/>
      </c>
      <c r="V1699" s="57" t="str">
        <f>IF(AC1699=1,IF(P1699&gt;0,N(G1699)/P1699,""),"")</f>
        <v/>
      </c>
      <c r="W1699" s="57" t="str">
        <f>IF(AC1699=1,S1699/M1699,"")</f>
        <v/>
      </c>
      <c r="X1699" s="57" t="str">
        <f>IF(AC1699=1,S1699/K1699,"")</f>
        <v/>
      </c>
      <c r="Y1699" s="58" t="str">
        <f>IF(W1699="","",IF(W1699&gt;=p_target,"Bon",IF(W1699&gt;=p_alert,"À surveiller","Faible")))</f>
        <v/>
      </c>
      <c r="Z1699" s="58" t="str">
        <f>IF(W1699="","",IF(MIN(IF(T1699="",1,T1699),IF(U1699="",1,U1699),IF(V1699="",1,V1699))&gt;=1,"Aucune",IF(IF(T1699="",1,T1699)&lt;=MIN(IF(U1699="",1,U1699),IF(V1699="",1,V1699)),"Disponibilité",IF(IF(U1699="",1,U1699)&lt;=IF(V1699="",1,V1699),"Performance","Qualité"))))</f>
        <v/>
      </c>
      <c r="AA1699" s="59" t="str">
        <f>IF(AC1699=1,N(H1699)*N(IFERROR(INDEX(art_cost,MATCH(E1699,art_ref,0)),0)),"")</f>
        <v/>
      </c>
      <c r="AB1699" s="58" t="str">
        <f>IF(COUNTA(A1699:I1699)=0,"",IF(N(A1699)&lt;=0,"Date manquante ou invalide",IF(B1699="","Équipe manquante",IF(ISNA(MATCH(B1699,eq_code,0)),"Équipe inconnue",IF(INDEX(eq_check,MATCH(B1699,eq_code,0))&lt;&gt;"OK","Équipe à corriger dans Paramètres",IF(C1699="","Poste manquant",IF(ISNA(MATCH(C1699,po_code,0)),"Poste inconnu",IF(AND(E1699&lt;&gt;"",ISNA(MATCH(E1699,art_ref,0))),"Article inconnu",IF(IF(E1699="",FALSE,INDEX(art_check,MATCH(E1699,art_ref,0))&lt;&gt;"OK"),"Article à corriger (feuille Articles)",IF(COUNTIFS(sj_date,A1699,sj_eq,B1699,sj_po,C1699)&gt;1,"Ligne en double (même jour, équipe et poste)",IF(OR(NOT(ISNUMBER(K1699)),N(K1699)&lt;=0,N(K1699)&gt;1440),"Temps d'ouverture invalide",IF(OR(AND(G1699&lt;&gt;"",NOT(ISNUMBER(G1699))),N(G1699)&lt;0,N(G1699)&lt;&gt;INT(N(G1699)),AND(H1699&lt;&gt;"",NOT(ISNUMBER(H1699))),N(H1699)&lt;0,N(H1699)&lt;&gt;INT(N(H1699)),AND(I1699&lt;&gt;"",NOT(ISNUMBER(I1699))),N(I1699)&lt;0,N(I1699)&lt;&gt;INT(N(I1699))),"Quantité invalide",IF(Q1699&lt;=0,"Cadence manquante (poste ou article)",IF(M1699&lt;=0,"Arrêts planifiés supérieurs au temps d'ouverture",IF(O1699&lt;0,"Arrêts supérieurs au temps requis",IF(AND(P1699&gt;0,O1699=0),"Pièces déclarées sans temps de marche",IF(AND(P1699=0,O1699&gt;0),"Aucune pièce déclarée",IF(P1699*60/Q1699&gt;O1699+0.001,"Cadence dépassée : vérifiez la cadence","OK"))))))))))))))))))</f>
        <v/>
      </c>
      <c r="AC1699">
        <f>IF(OR(AB1699="OK",AB1699="Aucune pièce déclarée",AB1699="Cadence dépassée : vérifiez la cadence"),1,0)</f>
        <v>0.0</v>
      </c>
      <c r="AD1699">
        <f>IF(AND(AC1699=1,A1699&gt;=p_from,A1699&lt;=p_to),1,0)</f>
        <v>0.0</v>
      </c>
      <c r="AE1699">
        <f>IF(AD1699=1,IF(COUNTIFS($A$6:A1699,A1699,$AD$6:AD1699,1)=1,1,0),0)</f>
        <v>0.0</v>
      </c>
      <c r="AF1699" t="str">
        <f>IF(AE1699=1,COUNTIFS(sj_first,1,sj_date,"&lt;"&amp;A1699)+1,"")</f>
        <v/>
      </c>
      <c r="AG1699" t="str">
        <f>IF(AND(AD1699=1,N(W1699)&lt;p_alert),ROUND(W1699,4),"")</f>
        <v/>
      </c>
      <c r="AH1699" t="str">
        <f>IF(AG1699="","",COUNTIF(sj_akey,"&lt;"&amp;AG1699)+COUNTIF($AG$6:AG1699,AG1699))</f>
        <v/>
      </c>
    </row>
    <row r="1700">
      <c r="A1700" s="51" t="n"/>
      <c r="B1700" s="52" t="n"/>
      <c r="C1700" s="52" t="n"/>
      <c r="D1700" s="53" t="n"/>
      <c r="E1700" s="53" t="n"/>
      <c r="F1700" s="54" t="n"/>
      <c r="G1700" s="54" t="n"/>
      <c r="H1700" s="54" t="n"/>
      <c r="I1700" s="54" t="n"/>
      <c r="J1700" s="53" t="n"/>
      <c r="K1700" s="55" t="str">
        <f>IF(COUNTA(A1700:I1700)=0,"",IF(F1700="",IFERROR(INDEX(eq_dur,MATCH(B1700,eq_code,0)),""),F1700))</f>
        <v/>
      </c>
      <c r="L1700" s="55" t="str">
        <f>IF(ISNUMBER(K1700),N(IFERROR(INDEX(eq_pause,MATCH(B1700,eq_code,0)),0))+SUMIFS(st_min,st_date,A1700,st_eq,B1700,st_po,C1700,st_type,"Planifié"),"")</f>
        <v/>
      </c>
      <c r="M1700" s="55" t="str">
        <f>IF(ISNUMBER(K1700),K1700-L1700,"")</f>
        <v/>
      </c>
      <c r="N1700" s="55" t="str">
        <f>IF(ISNUMBER(K1700),SUMIFS(st_min,st_date,A1700,st_eq,B1700,st_po,C1700,st_type,"Non planifié"),"")</f>
        <v/>
      </c>
      <c r="O1700" s="55" t="str">
        <f>IF(ISNUMBER(K1700),M1700-N1700,"")</f>
        <v/>
      </c>
      <c r="P1700" s="55" t="str">
        <f>IF(COUNTA(A1700:I1700)=0,"",N(G1700)+N(H1700)+N(I1700))</f>
        <v/>
      </c>
      <c r="Q1700" s="56" t="str">
        <f>IF(COUNTA(A1700:I1700)=0,"",IF(N(IFERROR(INDEX(art_rate,MATCH(E1700,art_ref,0)),0))&gt;0,N(IFERROR(INDEX(art_rate,MATCH(E1700,art_ref,0)),0)),N(IFERROR(INDEX(po_rate,MATCH(C1700,po_code,0)),0))))</f>
        <v/>
      </c>
      <c r="R1700" s="55" t="str">
        <f>IF(AC1700=1,P1700*60/Q1700,"")</f>
        <v/>
      </c>
      <c r="S1700" s="55" t="str">
        <f>IF(AC1700=1,N(G1700)*60/Q1700,"")</f>
        <v/>
      </c>
      <c r="T1700" s="57" t="str">
        <f>IF(AC1700=1,O1700/M1700,"")</f>
        <v/>
      </c>
      <c r="U1700" s="57" t="str">
        <f>IF(AC1700=1,IF(O1700&gt;0,R1700/O1700,""),"")</f>
        <v/>
      </c>
      <c r="V1700" s="57" t="str">
        <f>IF(AC1700=1,IF(P1700&gt;0,N(G1700)/P1700,""),"")</f>
        <v/>
      </c>
      <c r="W1700" s="57" t="str">
        <f>IF(AC1700=1,S1700/M1700,"")</f>
        <v/>
      </c>
      <c r="X1700" s="57" t="str">
        <f>IF(AC1700=1,S1700/K1700,"")</f>
        <v/>
      </c>
      <c r="Y1700" s="58" t="str">
        <f>IF(W1700="","",IF(W1700&gt;=p_target,"Bon",IF(W1700&gt;=p_alert,"À surveiller","Faible")))</f>
        <v/>
      </c>
      <c r="Z1700" s="58" t="str">
        <f>IF(W1700="","",IF(MIN(IF(T1700="",1,T1700),IF(U1700="",1,U1700),IF(V1700="",1,V1700))&gt;=1,"Aucune",IF(IF(T1700="",1,T1700)&lt;=MIN(IF(U1700="",1,U1700),IF(V1700="",1,V1700)),"Disponibilité",IF(IF(U1700="",1,U1700)&lt;=IF(V1700="",1,V1700),"Performance","Qualité"))))</f>
        <v/>
      </c>
      <c r="AA1700" s="59" t="str">
        <f>IF(AC1700=1,N(H1700)*N(IFERROR(INDEX(art_cost,MATCH(E1700,art_ref,0)),0)),"")</f>
        <v/>
      </c>
      <c r="AB1700" s="58" t="str">
        <f>IF(COUNTA(A1700:I1700)=0,"",IF(N(A1700)&lt;=0,"Date manquante ou invalide",IF(B1700="","Équipe manquante",IF(ISNA(MATCH(B1700,eq_code,0)),"Équipe inconnue",IF(INDEX(eq_check,MATCH(B1700,eq_code,0))&lt;&gt;"OK","Équipe à corriger dans Paramètres",IF(C1700="","Poste manquant",IF(ISNA(MATCH(C1700,po_code,0)),"Poste inconnu",IF(AND(E1700&lt;&gt;"",ISNA(MATCH(E1700,art_ref,0))),"Article inconnu",IF(IF(E1700="",FALSE,INDEX(art_check,MATCH(E1700,art_ref,0))&lt;&gt;"OK"),"Article à corriger (feuille Articles)",IF(COUNTIFS(sj_date,A1700,sj_eq,B1700,sj_po,C1700)&gt;1,"Ligne en double (même jour, équipe et poste)",IF(OR(NOT(ISNUMBER(K1700)),N(K1700)&lt;=0,N(K1700)&gt;1440),"Temps d'ouverture invalide",IF(OR(AND(G1700&lt;&gt;"",NOT(ISNUMBER(G1700))),N(G1700)&lt;0,N(G1700)&lt;&gt;INT(N(G1700)),AND(H1700&lt;&gt;"",NOT(ISNUMBER(H1700))),N(H1700)&lt;0,N(H1700)&lt;&gt;INT(N(H1700)),AND(I1700&lt;&gt;"",NOT(ISNUMBER(I1700))),N(I1700)&lt;0,N(I1700)&lt;&gt;INT(N(I1700))),"Quantité invalide",IF(Q1700&lt;=0,"Cadence manquante (poste ou article)",IF(M1700&lt;=0,"Arrêts planifiés supérieurs au temps d'ouverture",IF(O1700&lt;0,"Arrêts supérieurs au temps requis",IF(AND(P1700&gt;0,O1700=0),"Pièces déclarées sans temps de marche",IF(AND(P1700=0,O1700&gt;0),"Aucune pièce déclarée",IF(P1700*60/Q1700&gt;O1700+0.001,"Cadence dépassée : vérifiez la cadence","OK"))))))))))))))))))</f>
        <v/>
      </c>
      <c r="AC1700">
        <f>IF(OR(AB1700="OK",AB1700="Aucune pièce déclarée",AB1700="Cadence dépassée : vérifiez la cadence"),1,0)</f>
        <v>0.0</v>
      </c>
      <c r="AD1700">
        <f>IF(AND(AC1700=1,A1700&gt;=p_from,A1700&lt;=p_to),1,0)</f>
        <v>0.0</v>
      </c>
      <c r="AE1700">
        <f>IF(AD1700=1,IF(COUNTIFS($A$6:A1700,A1700,$AD$6:AD1700,1)=1,1,0),0)</f>
        <v>0.0</v>
      </c>
      <c r="AF1700" t="str">
        <f>IF(AE1700=1,COUNTIFS(sj_first,1,sj_date,"&lt;"&amp;A1700)+1,"")</f>
        <v/>
      </c>
      <c r="AG1700" t="str">
        <f>IF(AND(AD1700=1,N(W1700)&lt;p_alert),ROUND(W1700,4),"")</f>
        <v/>
      </c>
      <c r="AH1700" t="str">
        <f>IF(AG1700="","",COUNTIF(sj_akey,"&lt;"&amp;AG1700)+COUNTIF($AG$6:AG1700,AG1700))</f>
        <v/>
      </c>
    </row>
    <row r="1701">
      <c r="A1701" s="51" t="n"/>
      <c r="B1701" s="52" t="n"/>
      <c r="C1701" s="52" t="n"/>
      <c r="D1701" s="53" t="n"/>
      <c r="E1701" s="53" t="n"/>
      <c r="F1701" s="54" t="n"/>
      <c r="G1701" s="54" t="n"/>
      <c r="H1701" s="54" t="n"/>
      <c r="I1701" s="54" t="n"/>
      <c r="J1701" s="53" t="n"/>
      <c r="K1701" s="55" t="str">
        <f>IF(COUNTA(A1701:I1701)=0,"",IF(F1701="",IFERROR(INDEX(eq_dur,MATCH(B1701,eq_code,0)),""),F1701))</f>
        <v/>
      </c>
      <c r="L1701" s="55" t="str">
        <f>IF(ISNUMBER(K1701),N(IFERROR(INDEX(eq_pause,MATCH(B1701,eq_code,0)),0))+SUMIFS(st_min,st_date,A1701,st_eq,B1701,st_po,C1701,st_type,"Planifié"),"")</f>
        <v/>
      </c>
      <c r="M1701" s="55" t="str">
        <f>IF(ISNUMBER(K1701),K1701-L1701,"")</f>
        <v/>
      </c>
      <c r="N1701" s="55" t="str">
        <f>IF(ISNUMBER(K1701),SUMIFS(st_min,st_date,A1701,st_eq,B1701,st_po,C1701,st_type,"Non planifié"),"")</f>
        <v/>
      </c>
      <c r="O1701" s="55" t="str">
        <f>IF(ISNUMBER(K1701),M1701-N1701,"")</f>
        <v/>
      </c>
      <c r="P1701" s="55" t="str">
        <f>IF(COUNTA(A1701:I1701)=0,"",N(G1701)+N(H1701)+N(I1701))</f>
        <v/>
      </c>
      <c r="Q1701" s="56" t="str">
        <f>IF(COUNTA(A1701:I1701)=0,"",IF(N(IFERROR(INDEX(art_rate,MATCH(E1701,art_ref,0)),0))&gt;0,N(IFERROR(INDEX(art_rate,MATCH(E1701,art_ref,0)),0)),N(IFERROR(INDEX(po_rate,MATCH(C1701,po_code,0)),0))))</f>
        <v/>
      </c>
      <c r="R1701" s="55" t="str">
        <f>IF(AC1701=1,P1701*60/Q1701,"")</f>
        <v/>
      </c>
      <c r="S1701" s="55" t="str">
        <f>IF(AC1701=1,N(G1701)*60/Q1701,"")</f>
        <v/>
      </c>
      <c r="T1701" s="57" t="str">
        <f>IF(AC1701=1,O1701/M1701,"")</f>
        <v/>
      </c>
      <c r="U1701" s="57" t="str">
        <f>IF(AC1701=1,IF(O1701&gt;0,R1701/O1701,""),"")</f>
        <v/>
      </c>
      <c r="V1701" s="57" t="str">
        <f>IF(AC1701=1,IF(P1701&gt;0,N(G1701)/P1701,""),"")</f>
        <v/>
      </c>
      <c r="W1701" s="57" t="str">
        <f>IF(AC1701=1,S1701/M1701,"")</f>
        <v/>
      </c>
      <c r="X1701" s="57" t="str">
        <f>IF(AC1701=1,S1701/K1701,"")</f>
        <v/>
      </c>
      <c r="Y1701" s="58" t="str">
        <f>IF(W1701="","",IF(W1701&gt;=p_target,"Bon",IF(W1701&gt;=p_alert,"À surveiller","Faible")))</f>
        <v/>
      </c>
      <c r="Z1701" s="58" t="str">
        <f>IF(W1701="","",IF(MIN(IF(T1701="",1,T1701),IF(U1701="",1,U1701),IF(V1701="",1,V1701))&gt;=1,"Aucune",IF(IF(T1701="",1,T1701)&lt;=MIN(IF(U1701="",1,U1701),IF(V1701="",1,V1701)),"Disponibilité",IF(IF(U1701="",1,U1701)&lt;=IF(V1701="",1,V1701),"Performance","Qualité"))))</f>
        <v/>
      </c>
      <c r="AA1701" s="59" t="str">
        <f>IF(AC1701=1,N(H1701)*N(IFERROR(INDEX(art_cost,MATCH(E1701,art_ref,0)),0)),"")</f>
        <v/>
      </c>
      <c r="AB1701" s="58" t="str">
        <f>IF(COUNTA(A1701:I1701)=0,"",IF(N(A1701)&lt;=0,"Date manquante ou invalide",IF(B1701="","Équipe manquante",IF(ISNA(MATCH(B1701,eq_code,0)),"Équipe inconnue",IF(INDEX(eq_check,MATCH(B1701,eq_code,0))&lt;&gt;"OK","Équipe à corriger dans Paramètres",IF(C1701="","Poste manquant",IF(ISNA(MATCH(C1701,po_code,0)),"Poste inconnu",IF(AND(E1701&lt;&gt;"",ISNA(MATCH(E1701,art_ref,0))),"Article inconnu",IF(IF(E1701="",FALSE,INDEX(art_check,MATCH(E1701,art_ref,0))&lt;&gt;"OK"),"Article à corriger (feuille Articles)",IF(COUNTIFS(sj_date,A1701,sj_eq,B1701,sj_po,C1701)&gt;1,"Ligne en double (même jour, équipe et poste)",IF(OR(NOT(ISNUMBER(K1701)),N(K1701)&lt;=0,N(K1701)&gt;1440),"Temps d'ouverture invalide",IF(OR(AND(G1701&lt;&gt;"",NOT(ISNUMBER(G1701))),N(G1701)&lt;0,N(G1701)&lt;&gt;INT(N(G1701)),AND(H1701&lt;&gt;"",NOT(ISNUMBER(H1701))),N(H1701)&lt;0,N(H1701)&lt;&gt;INT(N(H1701)),AND(I1701&lt;&gt;"",NOT(ISNUMBER(I1701))),N(I1701)&lt;0,N(I1701)&lt;&gt;INT(N(I1701))),"Quantité invalide",IF(Q1701&lt;=0,"Cadence manquante (poste ou article)",IF(M1701&lt;=0,"Arrêts planifiés supérieurs au temps d'ouverture",IF(O1701&lt;0,"Arrêts supérieurs au temps requis",IF(AND(P1701&gt;0,O1701=0),"Pièces déclarées sans temps de marche",IF(AND(P1701=0,O1701&gt;0),"Aucune pièce déclarée",IF(P1701*60/Q1701&gt;O1701+0.001,"Cadence dépassée : vérifiez la cadence","OK"))))))))))))))))))</f>
        <v/>
      </c>
      <c r="AC1701">
        <f>IF(OR(AB1701="OK",AB1701="Aucune pièce déclarée",AB1701="Cadence dépassée : vérifiez la cadence"),1,0)</f>
        <v>0.0</v>
      </c>
      <c r="AD1701">
        <f>IF(AND(AC1701=1,A1701&gt;=p_from,A1701&lt;=p_to),1,0)</f>
        <v>0.0</v>
      </c>
      <c r="AE1701">
        <f>IF(AD1701=1,IF(COUNTIFS($A$6:A1701,A1701,$AD$6:AD1701,1)=1,1,0),0)</f>
        <v>0.0</v>
      </c>
      <c r="AF1701" t="str">
        <f>IF(AE1701=1,COUNTIFS(sj_first,1,sj_date,"&lt;"&amp;A1701)+1,"")</f>
        <v/>
      </c>
      <c r="AG1701" t="str">
        <f>IF(AND(AD1701=1,N(W1701)&lt;p_alert),ROUND(W1701,4),"")</f>
        <v/>
      </c>
      <c r="AH1701" t="str">
        <f>IF(AG1701="","",COUNTIF(sj_akey,"&lt;"&amp;AG1701)+COUNTIF($AG$6:AG1701,AG1701))</f>
        <v/>
      </c>
    </row>
    <row r="1702">
      <c r="A1702" s="51" t="n"/>
      <c r="B1702" s="52" t="n"/>
      <c r="C1702" s="52" t="n"/>
      <c r="D1702" s="53" t="n"/>
      <c r="E1702" s="53" t="n"/>
      <c r="F1702" s="54" t="n"/>
      <c r="G1702" s="54" t="n"/>
      <c r="H1702" s="54" t="n"/>
      <c r="I1702" s="54" t="n"/>
      <c r="J1702" s="53" t="n"/>
      <c r="K1702" s="55" t="str">
        <f>IF(COUNTA(A1702:I1702)=0,"",IF(F1702="",IFERROR(INDEX(eq_dur,MATCH(B1702,eq_code,0)),""),F1702))</f>
        <v/>
      </c>
      <c r="L1702" s="55" t="str">
        <f>IF(ISNUMBER(K1702),N(IFERROR(INDEX(eq_pause,MATCH(B1702,eq_code,0)),0))+SUMIFS(st_min,st_date,A1702,st_eq,B1702,st_po,C1702,st_type,"Planifié"),"")</f>
        <v/>
      </c>
      <c r="M1702" s="55" t="str">
        <f>IF(ISNUMBER(K1702),K1702-L1702,"")</f>
        <v/>
      </c>
      <c r="N1702" s="55" t="str">
        <f>IF(ISNUMBER(K1702),SUMIFS(st_min,st_date,A1702,st_eq,B1702,st_po,C1702,st_type,"Non planifié"),"")</f>
        <v/>
      </c>
      <c r="O1702" s="55" t="str">
        <f>IF(ISNUMBER(K1702),M1702-N1702,"")</f>
        <v/>
      </c>
      <c r="P1702" s="55" t="str">
        <f>IF(COUNTA(A1702:I1702)=0,"",N(G1702)+N(H1702)+N(I1702))</f>
        <v/>
      </c>
      <c r="Q1702" s="56" t="str">
        <f>IF(COUNTA(A1702:I1702)=0,"",IF(N(IFERROR(INDEX(art_rate,MATCH(E1702,art_ref,0)),0))&gt;0,N(IFERROR(INDEX(art_rate,MATCH(E1702,art_ref,0)),0)),N(IFERROR(INDEX(po_rate,MATCH(C1702,po_code,0)),0))))</f>
        <v/>
      </c>
      <c r="R1702" s="55" t="str">
        <f>IF(AC1702=1,P1702*60/Q1702,"")</f>
        <v/>
      </c>
      <c r="S1702" s="55" t="str">
        <f>IF(AC1702=1,N(G1702)*60/Q1702,"")</f>
        <v/>
      </c>
      <c r="T1702" s="57" t="str">
        <f>IF(AC1702=1,O1702/M1702,"")</f>
        <v/>
      </c>
      <c r="U1702" s="57" t="str">
        <f>IF(AC1702=1,IF(O1702&gt;0,R1702/O1702,""),"")</f>
        <v/>
      </c>
      <c r="V1702" s="57" t="str">
        <f>IF(AC1702=1,IF(P1702&gt;0,N(G1702)/P1702,""),"")</f>
        <v/>
      </c>
      <c r="W1702" s="57" t="str">
        <f>IF(AC1702=1,S1702/M1702,"")</f>
        <v/>
      </c>
      <c r="X1702" s="57" t="str">
        <f>IF(AC1702=1,S1702/K1702,"")</f>
        <v/>
      </c>
      <c r="Y1702" s="58" t="str">
        <f>IF(W1702="","",IF(W1702&gt;=p_target,"Bon",IF(W1702&gt;=p_alert,"À surveiller","Faible")))</f>
        <v/>
      </c>
      <c r="Z1702" s="58" t="str">
        <f>IF(W1702="","",IF(MIN(IF(T1702="",1,T1702),IF(U1702="",1,U1702),IF(V1702="",1,V1702))&gt;=1,"Aucune",IF(IF(T1702="",1,T1702)&lt;=MIN(IF(U1702="",1,U1702),IF(V1702="",1,V1702)),"Disponibilité",IF(IF(U1702="",1,U1702)&lt;=IF(V1702="",1,V1702),"Performance","Qualité"))))</f>
        <v/>
      </c>
      <c r="AA1702" s="59" t="str">
        <f>IF(AC1702=1,N(H1702)*N(IFERROR(INDEX(art_cost,MATCH(E1702,art_ref,0)),0)),"")</f>
        <v/>
      </c>
      <c r="AB1702" s="58" t="str">
        <f>IF(COUNTA(A1702:I1702)=0,"",IF(N(A1702)&lt;=0,"Date manquante ou invalide",IF(B1702="","Équipe manquante",IF(ISNA(MATCH(B1702,eq_code,0)),"Équipe inconnue",IF(INDEX(eq_check,MATCH(B1702,eq_code,0))&lt;&gt;"OK","Équipe à corriger dans Paramètres",IF(C1702="","Poste manquant",IF(ISNA(MATCH(C1702,po_code,0)),"Poste inconnu",IF(AND(E1702&lt;&gt;"",ISNA(MATCH(E1702,art_ref,0))),"Article inconnu",IF(IF(E1702="",FALSE,INDEX(art_check,MATCH(E1702,art_ref,0))&lt;&gt;"OK"),"Article à corriger (feuille Articles)",IF(COUNTIFS(sj_date,A1702,sj_eq,B1702,sj_po,C1702)&gt;1,"Ligne en double (même jour, équipe et poste)",IF(OR(NOT(ISNUMBER(K1702)),N(K1702)&lt;=0,N(K1702)&gt;1440),"Temps d'ouverture invalide",IF(OR(AND(G1702&lt;&gt;"",NOT(ISNUMBER(G1702))),N(G1702)&lt;0,N(G1702)&lt;&gt;INT(N(G1702)),AND(H1702&lt;&gt;"",NOT(ISNUMBER(H1702))),N(H1702)&lt;0,N(H1702)&lt;&gt;INT(N(H1702)),AND(I1702&lt;&gt;"",NOT(ISNUMBER(I1702))),N(I1702)&lt;0,N(I1702)&lt;&gt;INT(N(I1702))),"Quantité invalide",IF(Q1702&lt;=0,"Cadence manquante (poste ou article)",IF(M1702&lt;=0,"Arrêts planifiés supérieurs au temps d'ouverture",IF(O1702&lt;0,"Arrêts supérieurs au temps requis",IF(AND(P1702&gt;0,O1702=0),"Pièces déclarées sans temps de marche",IF(AND(P1702=0,O1702&gt;0),"Aucune pièce déclarée",IF(P1702*60/Q1702&gt;O1702+0.001,"Cadence dépassée : vérifiez la cadence","OK"))))))))))))))))))</f>
        <v/>
      </c>
      <c r="AC1702">
        <f>IF(OR(AB1702="OK",AB1702="Aucune pièce déclarée",AB1702="Cadence dépassée : vérifiez la cadence"),1,0)</f>
        <v>0.0</v>
      </c>
      <c r="AD1702">
        <f>IF(AND(AC1702=1,A1702&gt;=p_from,A1702&lt;=p_to),1,0)</f>
        <v>0.0</v>
      </c>
      <c r="AE1702">
        <f>IF(AD1702=1,IF(COUNTIFS($A$6:A1702,A1702,$AD$6:AD1702,1)=1,1,0),0)</f>
        <v>0.0</v>
      </c>
      <c r="AF1702" t="str">
        <f>IF(AE1702=1,COUNTIFS(sj_first,1,sj_date,"&lt;"&amp;A1702)+1,"")</f>
        <v/>
      </c>
      <c r="AG1702" t="str">
        <f>IF(AND(AD1702=1,N(W1702)&lt;p_alert),ROUND(W1702,4),"")</f>
        <v/>
      </c>
      <c r="AH1702" t="str">
        <f>IF(AG1702="","",COUNTIF(sj_akey,"&lt;"&amp;AG1702)+COUNTIF($AG$6:AG1702,AG1702))</f>
        <v/>
      </c>
    </row>
    <row r="1703">
      <c r="A1703" s="51" t="n"/>
      <c r="B1703" s="52" t="n"/>
      <c r="C1703" s="52" t="n"/>
      <c r="D1703" s="53" t="n"/>
      <c r="E1703" s="53" t="n"/>
      <c r="F1703" s="54" t="n"/>
      <c r="G1703" s="54" t="n"/>
      <c r="H1703" s="54" t="n"/>
      <c r="I1703" s="54" t="n"/>
      <c r="J1703" s="53" t="n"/>
      <c r="K1703" s="55" t="str">
        <f>IF(COUNTA(A1703:I1703)=0,"",IF(F1703="",IFERROR(INDEX(eq_dur,MATCH(B1703,eq_code,0)),""),F1703))</f>
        <v/>
      </c>
      <c r="L1703" s="55" t="str">
        <f>IF(ISNUMBER(K1703),N(IFERROR(INDEX(eq_pause,MATCH(B1703,eq_code,0)),0))+SUMIFS(st_min,st_date,A1703,st_eq,B1703,st_po,C1703,st_type,"Planifié"),"")</f>
        <v/>
      </c>
      <c r="M1703" s="55" t="str">
        <f>IF(ISNUMBER(K1703),K1703-L1703,"")</f>
        <v/>
      </c>
      <c r="N1703" s="55" t="str">
        <f>IF(ISNUMBER(K1703),SUMIFS(st_min,st_date,A1703,st_eq,B1703,st_po,C1703,st_type,"Non planifié"),"")</f>
        <v/>
      </c>
      <c r="O1703" s="55" t="str">
        <f>IF(ISNUMBER(K1703),M1703-N1703,"")</f>
        <v/>
      </c>
      <c r="P1703" s="55" t="str">
        <f>IF(COUNTA(A1703:I1703)=0,"",N(G1703)+N(H1703)+N(I1703))</f>
        <v/>
      </c>
      <c r="Q1703" s="56" t="str">
        <f>IF(COUNTA(A1703:I1703)=0,"",IF(N(IFERROR(INDEX(art_rate,MATCH(E1703,art_ref,0)),0))&gt;0,N(IFERROR(INDEX(art_rate,MATCH(E1703,art_ref,0)),0)),N(IFERROR(INDEX(po_rate,MATCH(C1703,po_code,0)),0))))</f>
        <v/>
      </c>
      <c r="R1703" s="55" t="str">
        <f>IF(AC1703=1,P1703*60/Q1703,"")</f>
        <v/>
      </c>
      <c r="S1703" s="55" t="str">
        <f>IF(AC1703=1,N(G1703)*60/Q1703,"")</f>
        <v/>
      </c>
      <c r="T1703" s="57" t="str">
        <f>IF(AC1703=1,O1703/M1703,"")</f>
        <v/>
      </c>
      <c r="U1703" s="57" t="str">
        <f>IF(AC1703=1,IF(O1703&gt;0,R1703/O1703,""),"")</f>
        <v/>
      </c>
      <c r="V1703" s="57" t="str">
        <f>IF(AC1703=1,IF(P1703&gt;0,N(G1703)/P1703,""),"")</f>
        <v/>
      </c>
      <c r="W1703" s="57" t="str">
        <f>IF(AC1703=1,S1703/M1703,"")</f>
        <v/>
      </c>
      <c r="X1703" s="57" t="str">
        <f>IF(AC1703=1,S1703/K1703,"")</f>
        <v/>
      </c>
      <c r="Y1703" s="58" t="str">
        <f>IF(W1703="","",IF(W1703&gt;=p_target,"Bon",IF(W1703&gt;=p_alert,"À surveiller","Faible")))</f>
        <v/>
      </c>
      <c r="Z1703" s="58" t="str">
        <f>IF(W1703="","",IF(MIN(IF(T1703="",1,T1703),IF(U1703="",1,U1703),IF(V1703="",1,V1703))&gt;=1,"Aucune",IF(IF(T1703="",1,T1703)&lt;=MIN(IF(U1703="",1,U1703),IF(V1703="",1,V1703)),"Disponibilité",IF(IF(U1703="",1,U1703)&lt;=IF(V1703="",1,V1703),"Performance","Qualité"))))</f>
        <v/>
      </c>
      <c r="AA1703" s="59" t="str">
        <f>IF(AC1703=1,N(H1703)*N(IFERROR(INDEX(art_cost,MATCH(E1703,art_ref,0)),0)),"")</f>
        <v/>
      </c>
      <c r="AB1703" s="58" t="str">
        <f>IF(COUNTA(A1703:I1703)=0,"",IF(N(A1703)&lt;=0,"Date manquante ou invalide",IF(B1703="","Équipe manquante",IF(ISNA(MATCH(B1703,eq_code,0)),"Équipe inconnue",IF(INDEX(eq_check,MATCH(B1703,eq_code,0))&lt;&gt;"OK","Équipe à corriger dans Paramètres",IF(C1703="","Poste manquant",IF(ISNA(MATCH(C1703,po_code,0)),"Poste inconnu",IF(AND(E1703&lt;&gt;"",ISNA(MATCH(E1703,art_ref,0))),"Article inconnu",IF(IF(E1703="",FALSE,INDEX(art_check,MATCH(E1703,art_ref,0))&lt;&gt;"OK"),"Article à corriger (feuille Articles)",IF(COUNTIFS(sj_date,A1703,sj_eq,B1703,sj_po,C1703)&gt;1,"Ligne en double (même jour, équipe et poste)",IF(OR(NOT(ISNUMBER(K1703)),N(K1703)&lt;=0,N(K1703)&gt;1440),"Temps d'ouverture invalide",IF(OR(AND(G1703&lt;&gt;"",NOT(ISNUMBER(G1703))),N(G1703)&lt;0,N(G1703)&lt;&gt;INT(N(G1703)),AND(H1703&lt;&gt;"",NOT(ISNUMBER(H1703))),N(H1703)&lt;0,N(H1703)&lt;&gt;INT(N(H1703)),AND(I1703&lt;&gt;"",NOT(ISNUMBER(I1703))),N(I1703)&lt;0,N(I1703)&lt;&gt;INT(N(I1703))),"Quantité invalide",IF(Q1703&lt;=0,"Cadence manquante (poste ou article)",IF(M1703&lt;=0,"Arrêts planifiés supérieurs au temps d'ouverture",IF(O1703&lt;0,"Arrêts supérieurs au temps requis",IF(AND(P1703&gt;0,O1703=0),"Pièces déclarées sans temps de marche",IF(AND(P1703=0,O1703&gt;0),"Aucune pièce déclarée",IF(P1703*60/Q1703&gt;O1703+0.001,"Cadence dépassée : vérifiez la cadence","OK"))))))))))))))))))</f>
        <v/>
      </c>
      <c r="AC1703">
        <f>IF(OR(AB1703="OK",AB1703="Aucune pièce déclarée",AB1703="Cadence dépassée : vérifiez la cadence"),1,0)</f>
        <v>0.0</v>
      </c>
      <c r="AD1703">
        <f>IF(AND(AC1703=1,A1703&gt;=p_from,A1703&lt;=p_to),1,0)</f>
        <v>0.0</v>
      </c>
      <c r="AE1703">
        <f>IF(AD1703=1,IF(COUNTIFS($A$6:A1703,A1703,$AD$6:AD1703,1)=1,1,0),0)</f>
        <v>0.0</v>
      </c>
      <c r="AF1703" t="str">
        <f>IF(AE1703=1,COUNTIFS(sj_first,1,sj_date,"&lt;"&amp;A1703)+1,"")</f>
        <v/>
      </c>
      <c r="AG1703" t="str">
        <f>IF(AND(AD1703=1,N(W1703)&lt;p_alert),ROUND(W1703,4),"")</f>
        <v/>
      </c>
      <c r="AH1703" t="str">
        <f>IF(AG1703="","",COUNTIF(sj_akey,"&lt;"&amp;AG1703)+COUNTIF($AG$6:AG1703,AG1703))</f>
        <v/>
      </c>
    </row>
    <row r="1704">
      <c r="A1704" s="51" t="n"/>
      <c r="B1704" s="52" t="n"/>
      <c r="C1704" s="52" t="n"/>
      <c r="D1704" s="53" t="n"/>
      <c r="E1704" s="53" t="n"/>
      <c r="F1704" s="54" t="n"/>
      <c r="G1704" s="54" t="n"/>
      <c r="H1704" s="54" t="n"/>
      <c r="I1704" s="54" t="n"/>
      <c r="J1704" s="53" t="n"/>
      <c r="K1704" s="55" t="str">
        <f>IF(COUNTA(A1704:I1704)=0,"",IF(F1704="",IFERROR(INDEX(eq_dur,MATCH(B1704,eq_code,0)),""),F1704))</f>
        <v/>
      </c>
      <c r="L1704" s="55" t="str">
        <f>IF(ISNUMBER(K1704),N(IFERROR(INDEX(eq_pause,MATCH(B1704,eq_code,0)),0))+SUMIFS(st_min,st_date,A1704,st_eq,B1704,st_po,C1704,st_type,"Planifié"),"")</f>
        <v/>
      </c>
      <c r="M1704" s="55" t="str">
        <f>IF(ISNUMBER(K1704),K1704-L1704,"")</f>
        <v/>
      </c>
      <c r="N1704" s="55" t="str">
        <f>IF(ISNUMBER(K1704),SUMIFS(st_min,st_date,A1704,st_eq,B1704,st_po,C1704,st_type,"Non planifié"),"")</f>
        <v/>
      </c>
      <c r="O1704" s="55" t="str">
        <f>IF(ISNUMBER(K1704),M1704-N1704,"")</f>
        <v/>
      </c>
      <c r="P1704" s="55" t="str">
        <f>IF(COUNTA(A1704:I1704)=0,"",N(G1704)+N(H1704)+N(I1704))</f>
        <v/>
      </c>
      <c r="Q1704" s="56" t="str">
        <f>IF(COUNTA(A1704:I1704)=0,"",IF(N(IFERROR(INDEX(art_rate,MATCH(E1704,art_ref,0)),0))&gt;0,N(IFERROR(INDEX(art_rate,MATCH(E1704,art_ref,0)),0)),N(IFERROR(INDEX(po_rate,MATCH(C1704,po_code,0)),0))))</f>
        <v/>
      </c>
      <c r="R1704" s="55" t="str">
        <f>IF(AC1704=1,P1704*60/Q1704,"")</f>
        <v/>
      </c>
      <c r="S1704" s="55" t="str">
        <f>IF(AC1704=1,N(G1704)*60/Q1704,"")</f>
        <v/>
      </c>
      <c r="T1704" s="57" t="str">
        <f>IF(AC1704=1,O1704/M1704,"")</f>
        <v/>
      </c>
      <c r="U1704" s="57" t="str">
        <f>IF(AC1704=1,IF(O1704&gt;0,R1704/O1704,""),"")</f>
        <v/>
      </c>
      <c r="V1704" s="57" t="str">
        <f>IF(AC1704=1,IF(P1704&gt;0,N(G1704)/P1704,""),"")</f>
        <v/>
      </c>
      <c r="W1704" s="57" t="str">
        <f>IF(AC1704=1,S1704/M1704,"")</f>
        <v/>
      </c>
      <c r="X1704" s="57" t="str">
        <f>IF(AC1704=1,S1704/K1704,"")</f>
        <v/>
      </c>
      <c r="Y1704" s="58" t="str">
        <f>IF(W1704="","",IF(W1704&gt;=p_target,"Bon",IF(W1704&gt;=p_alert,"À surveiller","Faible")))</f>
        <v/>
      </c>
      <c r="Z1704" s="58" t="str">
        <f>IF(W1704="","",IF(MIN(IF(T1704="",1,T1704),IF(U1704="",1,U1704),IF(V1704="",1,V1704))&gt;=1,"Aucune",IF(IF(T1704="",1,T1704)&lt;=MIN(IF(U1704="",1,U1704),IF(V1704="",1,V1704)),"Disponibilité",IF(IF(U1704="",1,U1704)&lt;=IF(V1704="",1,V1704),"Performance","Qualité"))))</f>
        <v/>
      </c>
      <c r="AA1704" s="59" t="str">
        <f>IF(AC1704=1,N(H1704)*N(IFERROR(INDEX(art_cost,MATCH(E1704,art_ref,0)),0)),"")</f>
        <v/>
      </c>
      <c r="AB1704" s="58" t="str">
        <f>IF(COUNTA(A1704:I1704)=0,"",IF(N(A1704)&lt;=0,"Date manquante ou invalide",IF(B1704="","Équipe manquante",IF(ISNA(MATCH(B1704,eq_code,0)),"Équipe inconnue",IF(INDEX(eq_check,MATCH(B1704,eq_code,0))&lt;&gt;"OK","Équipe à corriger dans Paramètres",IF(C1704="","Poste manquant",IF(ISNA(MATCH(C1704,po_code,0)),"Poste inconnu",IF(AND(E1704&lt;&gt;"",ISNA(MATCH(E1704,art_ref,0))),"Article inconnu",IF(IF(E1704="",FALSE,INDEX(art_check,MATCH(E1704,art_ref,0))&lt;&gt;"OK"),"Article à corriger (feuille Articles)",IF(COUNTIFS(sj_date,A1704,sj_eq,B1704,sj_po,C1704)&gt;1,"Ligne en double (même jour, équipe et poste)",IF(OR(NOT(ISNUMBER(K1704)),N(K1704)&lt;=0,N(K1704)&gt;1440),"Temps d'ouverture invalide",IF(OR(AND(G1704&lt;&gt;"",NOT(ISNUMBER(G1704))),N(G1704)&lt;0,N(G1704)&lt;&gt;INT(N(G1704)),AND(H1704&lt;&gt;"",NOT(ISNUMBER(H1704))),N(H1704)&lt;0,N(H1704)&lt;&gt;INT(N(H1704)),AND(I1704&lt;&gt;"",NOT(ISNUMBER(I1704))),N(I1704)&lt;0,N(I1704)&lt;&gt;INT(N(I1704))),"Quantité invalide",IF(Q1704&lt;=0,"Cadence manquante (poste ou article)",IF(M1704&lt;=0,"Arrêts planifiés supérieurs au temps d'ouverture",IF(O1704&lt;0,"Arrêts supérieurs au temps requis",IF(AND(P1704&gt;0,O1704=0),"Pièces déclarées sans temps de marche",IF(AND(P1704=0,O1704&gt;0),"Aucune pièce déclarée",IF(P1704*60/Q1704&gt;O1704+0.001,"Cadence dépassée : vérifiez la cadence","OK"))))))))))))))))))</f>
        <v/>
      </c>
      <c r="AC1704">
        <f>IF(OR(AB1704="OK",AB1704="Aucune pièce déclarée",AB1704="Cadence dépassée : vérifiez la cadence"),1,0)</f>
        <v>0.0</v>
      </c>
      <c r="AD1704">
        <f>IF(AND(AC1704=1,A1704&gt;=p_from,A1704&lt;=p_to),1,0)</f>
        <v>0.0</v>
      </c>
      <c r="AE1704">
        <f>IF(AD1704=1,IF(COUNTIFS($A$6:A1704,A1704,$AD$6:AD1704,1)=1,1,0),0)</f>
        <v>0.0</v>
      </c>
      <c r="AF1704" t="str">
        <f>IF(AE1704=1,COUNTIFS(sj_first,1,sj_date,"&lt;"&amp;A1704)+1,"")</f>
        <v/>
      </c>
      <c r="AG1704" t="str">
        <f>IF(AND(AD1704=1,N(W1704)&lt;p_alert),ROUND(W1704,4),"")</f>
        <v/>
      </c>
      <c r="AH1704" t="str">
        <f>IF(AG1704="","",COUNTIF(sj_akey,"&lt;"&amp;AG1704)+COUNTIF($AG$6:AG1704,AG1704))</f>
        <v/>
      </c>
    </row>
    <row r="1705">
      <c r="A1705" s="51" t="n"/>
      <c r="B1705" s="52" t="n"/>
      <c r="C1705" s="52" t="n"/>
      <c r="D1705" s="53" t="n"/>
      <c r="E1705" s="53" t="n"/>
      <c r="F1705" s="54" t="n"/>
      <c r="G1705" s="54" t="n"/>
      <c r="H1705" s="54" t="n"/>
      <c r="I1705" s="54" t="n"/>
      <c r="J1705" s="53" t="n"/>
      <c r="K1705" s="55" t="str">
        <f>IF(COUNTA(A1705:I1705)=0,"",IF(F1705="",IFERROR(INDEX(eq_dur,MATCH(B1705,eq_code,0)),""),F1705))</f>
        <v/>
      </c>
      <c r="L1705" s="55" t="str">
        <f>IF(ISNUMBER(K1705),N(IFERROR(INDEX(eq_pause,MATCH(B1705,eq_code,0)),0))+SUMIFS(st_min,st_date,A1705,st_eq,B1705,st_po,C1705,st_type,"Planifié"),"")</f>
        <v/>
      </c>
      <c r="M1705" s="55" t="str">
        <f>IF(ISNUMBER(K1705),K1705-L1705,"")</f>
        <v/>
      </c>
      <c r="N1705" s="55" t="str">
        <f>IF(ISNUMBER(K1705),SUMIFS(st_min,st_date,A1705,st_eq,B1705,st_po,C1705,st_type,"Non planifié"),"")</f>
        <v/>
      </c>
      <c r="O1705" s="55" t="str">
        <f>IF(ISNUMBER(K1705),M1705-N1705,"")</f>
        <v/>
      </c>
      <c r="P1705" s="55" t="str">
        <f>IF(COUNTA(A1705:I1705)=0,"",N(G1705)+N(H1705)+N(I1705))</f>
        <v/>
      </c>
      <c r="Q1705" s="56" t="str">
        <f>IF(COUNTA(A1705:I1705)=0,"",IF(N(IFERROR(INDEX(art_rate,MATCH(E1705,art_ref,0)),0))&gt;0,N(IFERROR(INDEX(art_rate,MATCH(E1705,art_ref,0)),0)),N(IFERROR(INDEX(po_rate,MATCH(C1705,po_code,0)),0))))</f>
        <v/>
      </c>
      <c r="R1705" s="55" t="str">
        <f>IF(AC1705=1,P1705*60/Q1705,"")</f>
        <v/>
      </c>
      <c r="S1705" s="55" t="str">
        <f>IF(AC1705=1,N(G1705)*60/Q1705,"")</f>
        <v/>
      </c>
      <c r="T1705" s="57" t="str">
        <f>IF(AC1705=1,O1705/M1705,"")</f>
        <v/>
      </c>
      <c r="U1705" s="57" t="str">
        <f>IF(AC1705=1,IF(O1705&gt;0,R1705/O1705,""),"")</f>
        <v/>
      </c>
      <c r="V1705" s="57" t="str">
        <f>IF(AC1705=1,IF(P1705&gt;0,N(G1705)/P1705,""),"")</f>
        <v/>
      </c>
      <c r="W1705" s="57" t="str">
        <f>IF(AC1705=1,S1705/M1705,"")</f>
        <v/>
      </c>
      <c r="X1705" s="57" t="str">
        <f>IF(AC1705=1,S1705/K1705,"")</f>
        <v/>
      </c>
      <c r="Y1705" s="58" t="str">
        <f>IF(W1705="","",IF(W1705&gt;=p_target,"Bon",IF(W1705&gt;=p_alert,"À surveiller","Faible")))</f>
        <v/>
      </c>
      <c r="Z1705" s="58" t="str">
        <f>IF(W1705="","",IF(MIN(IF(T1705="",1,T1705),IF(U1705="",1,U1705),IF(V1705="",1,V1705))&gt;=1,"Aucune",IF(IF(T1705="",1,T1705)&lt;=MIN(IF(U1705="",1,U1705),IF(V1705="",1,V1705)),"Disponibilité",IF(IF(U1705="",1,U1705)&lt;=IF(V1705="",1,V1705),"Performance","Qualité"))))</f>
        <v/>
      </c>
      <c r="AA1705" s="59" t="str">
        <f>IF(AC1705=1,N(H1705)*N(IFERROR(INDEX(art_cost,MATCH(E1705,art_ref,0)),0)),"")</f>
        <v/>
      </c>
      <c r="AB1705" s="58" t="str">
        <f>IF(COUNTA(A1705:I1705)=0,"",IF(N(A1705)&lt;=0,"Date manquante ou invalide",IF(B1705="","Équipe manquante",IF(ISNA(MATCH(B1705,eq_code,0)),"Équipe inconnue",IF(INDEX(eq_check,MATCH(B1705,eq_code,0))&lt;&gt;"OK","Équipe à corriger dans Paramètres",IF(C1705="","Poste manquant",IF(ISNA(MATCH(C1705,po_code,0)),"Poste inconnu",IF(AND(E1705&lt;&gt;"",ISNA(MATCH(E1705,art_ref,0))),"Article inconnu",IF(IF(E1705="",FALSE,INDEX(art_check,MATCH(E1705,art_ref,0))&lt;&gt;"OK"),"Article à corriger (feuille Articles)",IF(COUNTIFS(sj_date,A1705,sj_eq,B1705,sj_po,C1705)&gt;1,"Ligne en double (même jour, équipe et poste)",IF(OR(NOT(ISNUMBER(K1705)),N(K1705)&lt;=0,N(K1705)&gt;1440),"Temps d'ouverture invalide",IF(OR(AND(G1705&lt;&gt;"",NOT(ISNUMBER(G1705))),N(G1705)&lt;0,N(G1705)&lt;&gt;INT(N(G1705)),AND(H1705&lt;&gt;"",NOT(ISNUMBER(H1705))),N(H1705)&lt;0,N(H1705)&lt;&gt;INT(N(H1705)),AND(I1705&lt;&gt;"",NOT(ISNUMBER(I1705))),N(I1705)&lt;0,N(I1705)&lt;&gt;INT(N(I1705))),"Quantité invalide",IF(Q1705&lt;=0,"Cadence manquante (poste ou article)",IF(M1705&lt;=0,"Arrêts planifiés supérieurs au temps d'ouverture",IF(O1705&lt;0,"Arrêts supérieurs au temps requis",IF(AND(P1705&gt;0,O1705=0),"Pièces déclarées sans temps de marche",IF(AND(P1705=0,O1705&gt;0),"Aucune pièce déclarée",IF(P1705*60/Q1705&gt;O1705+0.001,"Cadence dépassée : vérifiez la cadence","OK"))))))))))))))))))</f>
        <v/>
      </c>
      <c r="AC1705">
        <f>IF(OR(AB1705="OK",AB1705="Aucune pièce déclarée",AB1705="Cadence dépassée : vérifiez la cadence"),1,0)</f>
        <v>0.0</v>
      </c>
      <c r="AD1705">
        <f>IF(AND(AC1705=1,A1705&gt;=p_from,A1705&lt;=p_to),1,0)</f>
        <v>0.0</v>
      </c>
      <c r="AE1705">
        <f>IF(AD1705=1,IF(COUNTIFS($A$6:A1705,A1705,$AD$6:AD1705,1)=1,1,0),0)</f>
        <v>0.0</v>
      </c>
      <c r="AF1705" t="str">
        <f>IF(AE1705=1,COUNTIFS(sj_first,1,sj_date,"&lt;"&amp;A1705)+1,"")</f>
        <v/>
      </c>
      <c r="AG1705" t="str">
        <f>IF(AND(AD1705=1,N(W1705)&lt;p_alert),ROUND(W1705,4),"")</f>
        <v/>
      </c>
      <c r="AH1705" t="str">
        <f>IF(AG1705="","",COUNTIF(sj_akey,"&lt;"&amp;AG1705)+COUNTIF($AG$6:AG1705,AG1705))</f>
        <v/>
      </c>
    </row>
    <row r="1706">
      <c r="A1706" s="51" t="n"/>
      <c r="B1706" s="52" t="n"/>
      <c r="C1706" s="52" t="n"/>
      <c r="D1706" s="53" t="n"/>
      <c r="E1706" s="53" t="n"/>
      <c r="F1706" s="54" t="n"/>
      <c r="G1706" s="54" t="n"/>
      <c r="H1706" s="54" t="n"/>
      <c r="I1706" s="54" t="n"/>
      <c r="J1706" s="53" t="n"/>
      <c r="K1706" s="55" t="str">
        <f>IF(COUNTA(A1706:I1706)=0,"",IF(F1706="",IFERROR(INDEX(eq_dur,MATCH(B1706,eq_code,0)),""),F1706))</f>
        <v/>
      </c>
      <c r="L1706" s="55" t="str">
        <f>IF(ISNUMBER(K1706),N(IFERROR(INDEX(eq_pause,MATCH(B1706,eq_code,0)),0))+SUMIFS(st_min,st_date,A1706,st_eq,B1706,st_po,C1706,st_type,"Planifié"),"")</f>
        <v/>
      </c>
      <c r="M1706" s="55" t="str">
        <f>IF(ISNUMBER(K1706),K1706-L1706,"")</f>
        <v/>
      </c>
      <c r="N1706" s="55" t="str">
        <f>IF(ISNUMBER(K1706),SUMIFS(st_min,st_date,A1706,st_eq,B1706,st_po,C1706,st_type,"Non planifié"),"")</f>
        <v/>
      </c>
      <c r="O1706" s="55" t="str">
        <f>IF(ISNUMBER(K1706),M1706-N1706,"")</f>
        <v/>
      </c>
      <c r="P1706" s="55" t="str">
        <f>IF(COUNTA(A1706:I1706)=0,"",N(G1706)+N(H1706)+N(I1706))</f>
        <v/>
      </c>
      <c r="Q1706" s="56" t="str">
        <f>IF(COUNTA(A1706:I1706)=0,"",IF(N(IFERROR(INDEX(art_rate,MATCH(E1706,art_ref,0)),0))&gt;0,N(IFERROR(INDEX(art_rate,MATCH(E1706,art_ref,0)),0)),N(IFERROR(INDEX(po_rate,MATCH(C1706,po_code,0)),0))))</f>
        <v/>
      </c>
      <c r="R1706" s="55" t="str">
        <f>IF(AC1706=1,P1706*60/Q1706,"")</f>
        <v/>
      </c>
      <c r="S1706" s="55" t="str">
        <f>IF(AC1706=1,N(G1706)*60/Q1706,"")</f>
        <v/>
      </c>
      <c r="T1706" s="57" t="str">
        <f>IF(AC1706=1,O1706/M1706,"")</f>
        <v/>
      </c>
      <c r="U1706" s="57" t="str">
        <f>IF(AC1706=1,IF(O1706&gt;0,R1706/O1706,""),"")</f>
        <v/>
      </c>
      <c r="V1706" s="57" t="str">
        <f>IF(AC1706=1,IF(P1706&gt;0,N(G1706)/P1706,""),"")</f>
        <v/>
      </c>
      <c r="W1706" s="57" t="str">
        <f>IF(AC1706=1,S1706/M1706,"")</f>
        <v/>
      </c>
      <c r="X1706" s="57" t="str">
        <f>IF(AC1706=1,S1706/K1706,"")</f>
        <v/>
      </c>
      <c r="Y1706" s="58" t="str">
        <f>IF(W1706="","",IF(W1706&gt;=p_target,"Bon",IF(W1706&gt;=p_alert,"À surveiller","Faible")))</f>
        <v/>
      </c>
      <c r="Z1706" s="58" t="str">
        <f>IF(W1706="","",IF(MIN(IF(T1706="",1,T1706),IF(U1706="",1,U1706),IF(V1706="",1,V1706))&gt;=1,"Aucune",IF(IF(T1706="",1,T1706)&lt;=MIN(IF(U1706="",1,U1706),IF(V1706="",1,V1706)),"Disponibilité",IF(IF(U1706="",1,U1706)&lt;=IF(V1706="",1,V1706),"Performance","Qualité"))))</f>
        <v/>
      </c>
      <c r="AA1706" s="59" t="str">
        <f>IF(AC1706=1,N(H1706)*N(IFERROR(INDEX(art_cost,MATCH(E1706,art_ref,0)),0)),"")</f>
        <v/>
      </c>
      <c r="AB1706" s="58" t="str">
        <f>IF(COUNTA(A1706:I1706)=0,"",IF(N(A1706)&lt;=0,"Date manquante ou invalide",IF(B1706="","Équipe manquante",IF(ISNA(MATCH(B1706,eq_code,0)),"Équipe inconnue",IF(INDEX(eq_check,MATCH(B1706,eq_code,0))&lt;&gt;"OK","Équipe à corriger dans Paramètres",IF(C1706="","Poste manquant",IF(ISNA(MATCH(C1706,po_code,0)),"Poste inconnu",IF(AND(E1706&lt;&gt;"",ISNA(MATCH(E1706,art_ref,0))),"Article inconnu",IF(IF(E1706="",FALSE,INDEX(art_check,MATCH(E1706,art_ref,0))&lt;&gt;"OK"),"Article à corriger (feuille Articles)",IF(COUNTIFS(sj_date,A1706,sj_eq,B1706,sj_po,C1706)&gt;1,"Ligne en double (même jour, équipe et poste)",IF(OR(NOT(ISNUMBER(K1706)),N(K1706)&lt;=0,N(K1706)&gt;1440),"Temps d'ouverture invalide",IF(OR(AND(G1706&lt;&gt;"",NOT(ISNUMBER(G1706))),N(G1706)&lt;0,N(G1706)&lt;&gt;INT(N(G1706)),AND(H1706&lt;&gt;"",NOT(ISNUMBER(H1706))),N(H1706)&lt;0,N(H1706)&lt;&gt;INT(N(H1706)),AND(I1706&lt;&gt;"",NOT(ISNUMBER(I1706))),N(I1706)&lt;0,N(I1706)&lt;&gt;INT(N(I1706))),"Quantité invalide",IF(Q1706&lt;=0,"Cadence manquante (poste ou article)",IF(M1706&lt;=0,"Arrêts planifiés supérieurs au temps d'ouverture",IF(O1706&lt;0,"Arrêts supérieurs au temps requis",IF(AND(P1706&gt;0,O1706=0),"Pièces déclarées sans temps de marche",IF(AND(P1706=0,O1706&gt;0),"Aucune pièce déclarée",IF(P1706*60/Q1706&gt;O1706+0.001,"Cadence dépassée : vérifiez la cadence","OK"))))))))))))))))))</f>
        <v/>
      </c>
      <c r="AC1706">
        <f>IF(OR(AB1706="OK",AB1706="Aucune pièce déclarée",AB1706="Cadence dépassée : vérifiez la cadence"),1,0)</f>
        <v>0.0</v>
      </c>
      <c r="AD1706">
        <f>IF(AND(AC1706=1,A1706&gt;=p_from,A1706&lt;=p_to),1,0)</f>
        <v>0.0</v>
      </c>
      <c r="AE1706">
        <f>IF(AD1706=1,IF(COUNTIFS($A$6:A1706,A1706,$AD$6:AD1706,1)=1,1,0),0)</f>
        <v>0.0</v>
      </c>
      <c r="AF1706" t="str">
        <f>IF(AE1706=1,COUNTIFS(sj_first,1,sj_date,"&lt;"&amp;A1706)+1,"")</f>
        <v/>
      </c>
      <c r="AG1706" t="str">
        <f>IF(AND(AD1706=1,N(W1706)&lt;p_alert),ROUND(W1706,4),"")</f>
        <v/>
      </c>
      <c r="AH1706" t="str">
        <f>IF(AG1706="","",COUNTIF(sj_akey,"&lt;"&amp;AG1706)+COUNTIF($AG$6:AG1706,AG1706))</f>
        <v/>
      </c>
    </row>
    <row r="1707">
      <c r="A1707" s="51" t="n"/>
      <c r="B1707" s="52" t="n"/>
      <c r="C1707" s="52" t="n"/>
      <c r="D1707" s="53" t="n"/>
      <c r="E1707" s="53" t="n"/>
      <c r="F1707" s="54" t="n"/>
      <c r="G1707" s="54" t="n"/>
      <c r="H1707" s="54" t="n"/>
      <c r="I1707" s="54" t="n"/>
      <c r="J1707" s="53" t="n"/>
      <c r="K1707" s="55" t="str">
        <f>IF(COUNTA(A1707:I1707)=0,"",IF(F1707="",IFERROR(INDEX(eq_dur,MATCH(B1707,eq_code,0)),""),F1707))</f>
        <v/>
      </c>
      <c r="L1707" s="55" t="str">
        <f>IF(ISNUMBER(K1707),N(IFERROR(INDEX(eq_pause,MATCH(B1707,eq_code,0)),0))+SUMIFS(st_min,st_date,A1707,st_eq,B1707,st_po,C1707,st_type,"Planifié"),"")</f>
        <v/>
      </c>
      <c r="M1707" s="55" t="str">
        <f>IF(ISNUMBER(K1707),K1707-L1707,"")</f>
        <v/>
      </c>
      <c r="N1707" s="55" t="str">
        <f>IF(ISNUMBER(K1707),SUMIFS(st_min,st_date,A1707,st_eq,B1707,st_po,C1707,st_type,"Non planifié"),"")</f>
        <v/>
      </c>
      <c r="O1707" s="55" t="str">
        <f>IF(ISNUMBER(K1707),M1707-N1707,"")</f>
        <v/>
      </c>
      <c r="P1707" s="55" t="str">
        <f>IF(COUNTA(A1707:I1707)=0,"",N(G1707)+N(H1707)+N(I1707))</f>
        <v/>
      </c>
      <c r="Q1707" s="56" t="str">
        <f>IF(COUNTA(A1707:I1707)=0,"",IF(N(IFERROR(INDEX(art_rate,MATCH(E1707,art_ref,0)),0))&gt;0,N(IFERROR(INDEX(art_rate,MATCH(E1707,art_ref,0)),0)),N(IFERROR(INDEX(po_rate,MATCH(C1707,po_code,0)),0))))</f>
        <v/>
      </c>
      <c r="R1707" s="55" t="str">
        <f>IF(AC1707=1,P1707*60/Q1707,"")</f>
        <v/>
      </c>
      <c r="S1707" s="55" t="str">
        <f>IF(AC1707=1,N(G1707)*60/Q1707,"")</f>
        <v/>
      </c>
      <c r="T1707" s="57" t="str">
        <f>IF(AC1707=1,O1707/M1707,"")</f>
        <v/>
      </c>
      <c r="U1707" s="57" t="str">
        <f>IF(AC1707=1,IF(O1707&gt;0,R1707/O1707,""),"")</f>
        <v/>
      </c>
      <c r="V1707" s="57" t="str">
        <f>IF(AC1707=1,IF(P1707&gt;0,N(G1707)/P1707,""),"")</f>
        <v/>
      </c>
      <c r="W1707" s="57" t="str">
        <f>IF(AC1707=1,S1707/M1707,"")</f>
        <v/>
      </c>
      <c r="X1707" s="57" t="str">
        <f>IF(AC1707=1,S1707/K1707,"")</f>
        <v/>
      </c>
      <c r="Y1707" s="58" t="str">
        <f>IF(W1707="","",IF(W1707&gt;=p_target,"Bon",IF(W1707&gt;=p_alert,"À surveiller","Faible")))</f>
        <v/>
      </c>
      <c r="Z1707" s="58" t="str">
        <f>IF(W1707="","",IF(MIN(IF(T1707="",1,T1707),IF(U1707="",1,U1707),IF(V1707="",1,V1707))&gt;=1,"Aucune",IF(IF(T1707="",1,T1707)&lt;=MIN(IF(U1707="",1,U1707),IF(V1707="",1,V1707)),"Disponibilité",IF(IF(U1707="",1,U1707)&lt;=IF(V1707="",1,V1707),"Performance","Qualité"))))</f>
        <v/>
      </c>
      <c r="AA1707" s="59" t="str">
        <f>IF(AC1707=1,N(H1707)*N(IFERROR(INDEX(art_cost,MATCH(E1707,art_ref,0)),0)),"")</f>
        <v/>
      </c>
      <c r="AB1707" s="58" t="str">
        <f>IF(COUNTA(A1707:I1707)=0,"",IF(N(A1707)&lt;=0,"Date manquante ou invalide",IF(B1707="","Équipe manquante",IF(ISNA(MATCH(B1707,eq_code,0)),"Équipe inconnue",IF(INDEX(eq_check,MATCH(B1707,eq_code,0))&lt;&gt;"OK","Équipe à corriger dans Paramètres",IF(C1707="","Poste manquant",IF(ISNA(MATCH(C1707,po_code,0)),"Poste inconnu",IF(AND(E1707&lt;&gt;"",ISNA(MATCH(E1707,art_ref,0))),"Article inconnu",IF(IF(E1707="",FALSE,INDEX(art_check,MATCH(E1707,art_ref,0))&lt;&gt;"OK"),"Article à corriger (feuille Articles)",IF(COUNTIFS(sj_date,A1707,sj_eq,B1707,sj_po,C1707)&gt;1,"Ligne en double (même jour, équipe et poste)",IF(OR(NOT(ISNUMBER(K1707)),N(K1707)&lt;=0,N(K1707)&gt;1440),"Temps d'ouverture invalide",IF(OR(AND(G1707&lt;&gt;"",NOT(ISNUMBER(G1707))),N(G1707)&lt;0,N(G1707)&lt;&gt;INT(N(G1707)),AND(H1707&lt;&gt;"",NOT(ISNUMBER(H1707))),N(H1707)&lt;0,N(H1707)&lt;&gt;INT(N(H1707)),AND(I1707&lt;&gt;"",NOT(ISNUMBER(I1707))),N(I1707)&lt;0,N(I1707)&lt;&gt;INT(N(I1707))),"Quantité invalide",IF(Q1707&lt;=0,"Cadence manquante (poste ou article)",IF(M1707&lt;=0,"Arrêts planifiés supérieurs au temps d'ouverture",IF(O1707&lt;0,"Arrêts supérieurs au temps requis",IF(AND(P1707&gt;0,O1707=0),"Pièces déclarées sans temps de marche",IF(AND(P1707=0,O1707&gt;0),"Aucune pièce déclarée",IF(P1707*60/Q1707&gt;O1707+0.001,"Cadence dépassée : vérifiez la cadence","OK"))))))))))))))))))</f>
        <v/>
      </c>
      <c r="AC1707">
        <f>IF(OR(AB1707="OK",AB1707="Aucune pièce déclarée",AB1707="Cadence dépassée : vérifiez la cadence"),1,0)</f>
        <v>0.0</v>
      </c>
      <c r="AD1707">
        <f>IF(AND(AC1707=1,A1707&gt;=p_from,A1707&lt;=p_to),1,0)</f>
        <v>0.0</v>
      </c>
      <c r="AE1707">
        <f>IF(AD1707=1,IF(COUNTIFS($A$6:A1707,A1707,$AD$6:AD1707,1)=1,1,0),0)</f>
        <v>0.0</v>
      </c>
      <c r="AF1707" t="str">
        <f>IF(AE1707=1,COUNTIFS(sj_first,1,sj_date,"&lt;"&amp;A1707)+1,"")</f>
        <v/>
      </c>
      <c r="AG1707" t="str">
        <f>IF(AND(AD1707=1,N(W1707)&lt;p_alert),ROUND(W1707,4),"")</f>
        <v/>
      </c>
      <c r="AH1707" t="str">
        <f>IF(AG1707="","",COUNTIF(sj_akey,"&lt;"&amp;AG1707)+COUNTIF($AG$6:AG1707,AG1707))</f>
        <v/>
      </c>
    </row>
    <row r="1708">
      <c r="A1708" s="51" t="n"/>
      <c r="B1708" s="52" t="n"/>
      <c r="C1708" s="52" t="n"/>
      <c r="D1708" s="53" t="n"/>
      <c r="E1708" s="53" t="n"/>
      <c r="F1708" s="54" t="n"/>
      <c r="G1708" s="54" t="n"/>
      <c r="H1708" s="54" t="n"/>
      <c r="I1708" s="54" t="n"/>
      <c r="J1708" s="53" t="n"/>
      <c r="K1708" s="55" t="str">
        <f>IF(COUNTA(A1708:I1708)=0,"",IF(F1708="",IFERROR(INDEX(eq_dur,MATCH(B1708,eq_code,0)),""),F1708))</f>
        <v/>
      </c>
      <c r="L1708" s="55" t="str">
        <f>IF(ISNUMBER(K1708),N(IFERROR(INDEX(eq_pause,MATCH(B1708,eq_code,0)),0))+SUMIFS(st_min,st_date,A1708,st_eq,B1708,st_po,C1708,st_type,"Planifié"),"")</f>
        <v/>
      </c>
      <c r="M1708" s="55" t="str">
        <f>IF(ISNUMBER(K1708),K1708-L1708,"")</f>
        <v/>
      </c>
      <c r="N1708" s="55" t="str">
        <f>IF(ISNUMBER(K1708),SUMIFS(st_min,st_date,A1708,st_eq,B1708,st_po,C1708,st_type,"Non planifié"),"")</f>
        <v/>
      </c>
      <c r="O1708" s="55" t="str">
        <f>IF(ISNUMBER(K1708),M1708-N1708,"")</f>
        <v/>
      </c>
      <c r="P1708" s="55" t="str">
        <f>IF(COUNTA(A1708:I1708)=0,"",N(G1708)+N(H1708)+N(I1708))</f>
        <v/>
      </c>
      <c r="Q1708" s="56" t="str">
        <f>IF(COUNTA(A1708:I1708)=0,"",IF(N(IFERROR(INDEX(art_rate,MATCH(E1708,art_ref,0)),0))&gt;0,N(IFERROR(INDEX(art_rate,MATCH(E1708,art_ref,0)),0)),N(IFERROR(INDEX(po_rate,MATCH(C1708,po_code,0)),0))))</f>
        <v/>
      </c>
      <c r="R1708" s="55" t="str">
        <f>IF(AC1708=1,P1708*60/Q1708,"")</f>
        <v/>
      </c>
      <c r="S1708" s="55" t="str">
        <f>IF(AC1708=1,N(G1708)*60/Q1708,"")</f>
        <v/>
      </c>
      <c r="T1708" s="57" t="str">
        <f>IF(AC1708=1,O1708/M1708,"")</f>
        <v/>
      </c>
      <c r="U1708" s="57" t="str">
        <f>IF(AC1708=1,IF(O1708&gt;0,R1708/O1708,""),"")</f>
        <v/>
      </c>
      <c r="V1708" s="57" t="str">
        <f>IF(AC1708=1,IF(P1708&gt;0,N(G1708)/P1708,""),"")</f>
        <v/>
      </c>
      <c r="W1708" s="57" t="str">
        <f>IF(AC1708=1,S1708/M1708,"")</f>
        <v/>
      </c>
      <c r="X1708" s="57" t="str">
        <f>IF(AC1708=1,S1708/K1708,"")</f>
        <v/>
      </c>
      <c r="Y1708" s="58" t="str">
        <f>IF(W1708="","",IF(W1708&gt;=p_target,"Bon",IF(W1708&gt;=p_alert,"À surveiller","Faible")))</f>
        <v/>
      </c>
      <c r="Z1708" s="58" t="str">
        <f>IF(W1708="","",IF(MIN(IF(T1708="",1,T1708),IF(U1708="",1,U1708),IF(V1708="",1,V1708))&gt;=1,"Aucune",IF(IF(T1708="",1,T1708)&lt;=MIN(IF(U1708="",1,U1708),IF(V1708="",1,V1708)),"Disponibilité",IF(IF(U1708="",1,U1708)&lt;=IF(V1708="",1,V1708),"Performance","Qualité"))))</f>
        <v/>
      </c>
      <c r="AA1708" s="59" t="str">
        <f>IF(AC1708=1,N(H1708)*N(IFERROR(INDEX(art_cost,MATCH(E1708,art_ref,0)),0)),"")</f>
        <v/>
      </c>
      <c r="AB1708" s="58" t="str">
        <f>IF(COUNTA(A1708:I1708)=0,"",IF(N(A1708)&lt;=0,"Date manquante ou invalide",IF(B1708="","Équipe manquante",IF(ISNA(MATCH(B1708,eq_code,0)),"Équipe inconnue",IF(INDEX(eq_check,MATCH(B1708,eq_code,0))&lt;&gt;"OK","Équipe à corriger dans Paramètres",IF(C1708="","Poste manquant",IF(ISNA(MATCH(C1708,po_code,0)),"Poste inconnu",IF(AND(E1708&lt;&gt;"",ISNA(MATCH(E1708,art_ref,0))),"Article inconnu",IF(IF(E1708="",FALSE,INDEX(art_check,MATCH(E1708,art_ref,0))&lt;&gt;"OK"),"Article à corriger (feuille Articles)",IF(COUNTIFS(sj_date,A1708,sj_eq,B1708,sj_po,C1708)&gt;1,"Ligne en double (même jour, équipe et poste)",IF(OR(NOT(ISNUMBER(K1708)),N(K1708)&lt;=0,N(K1708)&gt;1440),"Temps d'ouverture invalide",IF(OR(AND(G1708&lt;&gt;"",NOT(ISNUMBER(G1708))),N(G1708)&lt;0,N(G1708)&lt;&gt;INT(N(G1708)),AND(H1708&lt;&gt;"",NOT(ISNUMBER(H1708))),N(H1708)&lt;0,N(H1708)&lt;&gt;INT(N(H1708)),AND(I1708&lt;&gt;"",NOT(ISNUMBER(I1708))),N(I1708)&lt;0,N(I1708)&lt;&gt;INT(N(I1708))),"Quantité invalide",IF(Q1708&lt;=0,"Cadence manquante (poste ou article)",IF(M1708&lt;=0,"Arrêts planifiés supérieurs au temps d'ouverture",IF(O1708&lt;0,"Arrêts supérieurs au temps requis",IF(AND(P1708&gt;0,O1708=0),"Pièces déclarées sans temps de marche",IF(AND(P1708=0,O1708&gt;0),"Aucune pièce déclarée",IF(P1708*60/Q1708&gt;O1708+0.001,"Cadence dépassée : vérifiez la cadence","OK"))))))))))))))))))</f>
        <v/>
      </c>
      <c r="AC1708">
        <f>IF(OR(AB1708="OK",AB1708="Aucune pièce déclarée",AB1708="Cadence dépassée : vérifiez la cadence"),1,0)</f>
        <v>0.0</v>
      </c>
      <c r="AD1708">
        <f>IF(AND(AC1708=1,A1708&gt;=p_from,A1708&lt;=p_to),1,0)</f>
        <v>0.0</v>
      </c>
      <c r="AE1708">
        <f>IF(AD1708=1,IF(COUNTIFS($A$6:A1708,A1708,$AD$6:AD1708,1)=1,1,0),0)</f>
        <v>0.0</v>
      </c>
      <c r="AF1708" t="str">
        <f>IF(AE1708=1,COUNTIFS(sj_first,1,sj_date,"&lt;"&amp;A1708)+1,"")</f>
        <v/>
      </c>
      <c r="AG1708" t="str">
        <f>IF(AND(AD1708=1,N(W1708)&lt;p_alert),ROUND(W1708,4),"")</f>
        <v/>
      </c>
      <c r="AH1708" t="str">
        <f>IF(AG1708="","",COUNTIF(sj_akey,"&lt;"&amp;AG1708)+COUNTIF($AG$6:AG1708,AG1708))</f>
        <v/>
      </c>
    </row>
    <row r="1709">
      <c r="A1709" s="51" t="n"/>
      <c r="B1709" s="52" t="n"/>
      <c r="C1709" s="52" t="n"/>
      <c r="D1709" s="53" t="n"/>
      <c r="E1709" s="53" t="n"/>
      <c r="F1709" s="54" t="n"/>
      <c r="G1709" s="54" t="n"/>
      <c r="H1709" s="54" t="n"/>
      <c r="I1709" s="54" t="n"/>
      <c r="J1709" s="53" t="n"/>
      <c r="K1709" s="55" t="str">
        <f>IF(COUNTA(A1709:I1709)=0,"",IF(F1709="",IFERROR(INDEX(eq_dur,MATCH(B1709,eq_code,0)),""),F1709))</f>
        <v/>
      </c>
      <c r="L1709" s="55" t="str">
        <f>IF(ISNUMBER(K1709),N(IFERROR(INDEX(eq_pause,MATCH(B1709,eq_code,0)),0))+SUMIFS(st_min,st_date,A1709,st_eq,B1709,st_po,C1709,st_type,"Planifié"),"")</f>
        <v/>
      </c>
      <c r="M1709" s="55" t="str">
        <f>IF(ISNUMBER(K1709),K1709-L1709,"")</f>
        <v/>
      </c>
      <c r="N1709" s="55" t="str">
        <f>IF(ISNUMBER(K1709),SUMIFS(st_min,st_date,A1709,st_eq,B1709,st_po,C1709,st_type,"Non planifié"),"")</f>
        <v/>
      </c>
      <c r="O1709" s="55" t="str">
        <f>IF(ISNUMBER(K1709),M1709-N1709,"")</f>
        <v/>
      </c>
      <c r="P1709" s="55" t="str">
        <f>IF(COUNTA(A1709:I1709)=0,"",N(G1709)+N(H1709)+N(I1709))</f>
        <v/>
      </c>
      <c r="Q1709" s="56" t="str">
        <f>IF(COUNTA(A1709:I1709)=0,"",IF(N(IFERROR(INDEX(art_rate,MATCH(E1709,art_ref,0)),0))&gt;0,N(IFERROR(INDEX(art_rate,MATCH(E1709,art_ref,0)),0)),N(IFERROR(INDEX(po_rate,MATCH(C1709,po_code,0)),0))))</f>
        <v/>
      </c>
      <c r="R1709" s="55" t="str">
        <f>IF(AC1709=1,P1709*60/Q1709,"")</f>
        <v/>
      </c>
      <c r="S1709" s="55" t="str">
        <f>IF(AC1709=1,N(G1709)*60/Q1709,"")</f>
        <v/>
      </c>
      <c r="T1709" s="57" t="str">
        <f>IF(AC1709=1,O1709/M1709,"")</f>
        <v/>
      </c>
      <c r="U1709" s="57" t="str">
        <f>IF(AC1709=1,IF(O1709&gt;0,R1709/O1709,""),"")</f>
        <v/>
      </c>
      <c r="V1709" s="57" t="str">
        <f>IF(AC1709=1,IF(P1709&gt;0,N(G1709)/P1709,""),"")</f>
        <v/>
      </c>
      <c r="W1709" s="57" t="str">
        <f>IF(AC1709=1,S1709/M1709,"")</f>
        <v/>
      </c>
      <c r="X1709" s="57" t="str">
        <f>IF(AC1709=1,S1709/K1709,"")</f>
        <v/>
      </c>
      <c r="Y1709" s="58" t="str">
        <f>IF(W1709="","",IF(W1709&gt;=p_target,"Bon",IF(W1709&gt;=p_alert,"À surveiller","Faible")))</f>
        <v/>
      </c>
      <c r="Z1709" s="58" t="str">
        <f>IF(W1709="","",IF(MIN(IF(T1709="",1,T1709),IF(U1709="",1,U1709),IF(V1709="",1,V1709))&gt;=1,"Aucune",IF(IF(T1709="",1,T1709)&lt;=MIN(IF(U1709="",1,U1709),IF(V1709="",1,V1709)),"Disponibilité",IF(IF(U1709="",1,U1709)&lt;=IF(V1709="",1,V1709),"Performance","Qualité"))))</f>
        <v/>
      </c>
      <c r="AA1709" s="59" t="str">
        <f>IF(AC1709=1,N(H1709)*N(IFERROR(INDEX(art_cost,MATCH(E1709,art_ref,0)),0)),"")</f>
        <v/>
      </c>
      <c r="AB1709" s="58" t="str">
        <f>IF(COUNTA(A1709:I1709)=0,"",IF(N(A1709)&lt;=0,"Date manquante ou invalide",IF(B1709="","Équipe manquante",IF(ISNA(MATCH(B1709,eq_code,0)),"Équipe inconnue",IF(INDEX(eq_check,MATCH(B1709,eq_code,0))&lt;&gt;"OK","Équipe à corriger dans Paramètres",IF(C1709="","Poste manquant",IF(ISNA(MATCH(C1709,po_code,0)),"Poste inconnu",IF(AND(E1709&lt;&gt;"",ISNA(MATCH(E1709,art_ref,0))),"Article inconnu",IF(IF(E1709="",FALSE,INDEX(art_check,MATCH(E1709,art_ref,0))&lt;&gt;"OK"),"Article à corriger (feuille Articles)",IF(COUNTIFS(sj_date,A1709,sj_eq,B1709,sj_po,C1709)&gt;1,"Ligne en double (même jour, équipe et poste)",IF(OR(NOT(ISNUMBER(K1709)),N(K1709)&lt;=0,N(K1709)&gt;1440),"Temps d'ouverture invalide",IF(OR(AND(G1709&lt;&gt;"",NOT(ISNUMBER(G1709))),N(G1709)&lt;0,N(G1709)&lt;&gt;INT(N(G1709)),AND(H1709&lt;&gt;"",NOT(ISNUMBER(H1709))),N(H1709)&lt;0,N(H1709)&lt;&gt;INT(N(H1709)),AND(I1709&lt;&gt;"",NOT(ISNUMBER(I1709))),N(I1709)&lt;0,N(I1709)&lt;&gt;INT(N(I1709))),"Quantité invalide",IF(Q1709&lt;=0,"Cadence manquante (poste ou article)",IF(M1709&lt;=0,"Arrêts planifiés supérieurs au temps d'ouverture",IF(O1709&lt;0,"Arrêts supérieurs au temps requis",IF(AND(P1709&gt;0,O1709=0),"Pièces déclarées sans temps de marche",IF(AND(P1709=0,O1709&gt;0),"Aucune pièce déclarée",IF(P1709*60/Q1709&gt;O1709+0.001,"Cadence dépassée : vérifiez la cadence","OK"))))))))))))))))))</f>
        <v/>
      </c>
      <c r="AC1709">
        <f>IF(OR(AB1709="OK",AB1709="Aucune pièce déclarée",AB1709="Cadence dépassée : vérifiez la cadence"),1,0)</f>
        <v>0.0</v>
      </c>
      <c r="AD1709">
        <f>IF(AND(AC1709=1,A1709&gt;=p_from,A1709&lt;=p_to),1,0)</f>
        <v>0.0</v>
      </c>
      <c r="AE1709">
        <f>IF(AD1709=1,IF(COUNTIFS($A$6:A1709,A1709,$AD$6:AD1709,1)=1,1,0),0)</f>
        <v>0.0</v>
      </c>
      <c r="AF1709" t="str">
        <f>IF(AE1709=1,COUNTIFS(sj_first,1,sj_date,"&lt;"&amp;A1709)+1,"")</f>
        <v/>
      </c>
      <c r="AG1709" t="str">
        <f>IF(AND(AD1709=1,N(W1709)&lt;p_alert),ROUND(W1709,4),"")</f>
        <v/>
      </c>
      <c r="AH1709" t="str">
        <f>IF(AG1709="","",COUNTIF(sj_akey,"&lt;"&amp;AG1709)+COUNTIF($AG$6:AG1709,AG1709))</f>
        <v/>
      </c>
    </row>
    <row r="1710">
      <c r="A1710" s="51" t="n"/>
      <c r="B1710" s="52" t="n"/>
      <c r="C1710" s="52" t="n"/>
      <c r="D1710" s="53" t="n"/>
      <c r="E1710" s="53" t="n"/>
      <c r="F1710" s="54" t="n"/>
      <c r="G1710" s="54" t="n"/>
      <c r="H1710" s="54" t="n"/>
      <c r="I1710" s="54" t="n"/>
      <c r="J1710" s="53" t="n"/>
      <c r="K1710" s="55" t="str">
        <f>IF(COUNTA(A1710:I1710)=0,"",IF(F1710="",IFERROR(INDEX(eq_dur,MATCH(B1710,eq_code,0)),""),F1710))</f>
        <v/>
      </c>
      <c r="L1710" s="55" t="str">
        <f>IF(ISNUMBER(K1710),N(IFERROR(INDEX(eq_pause,MATCH(B1710,eq_code,0)),0))+SUMIFS(st_min,st_date,A1710,st_eq,B1710,st_po,C1710,st_type,"Planifié"),"")</f>
        <v/>
      </c>
      <c r="M1710" s="55" t="str">
        <f>IF(ISNUMBER(K1710),K1710-L1710,"")</f>
        <v/>
      </c>
      <c r="N1710" s="55" t="str">
        <f>IF(ISNUMBER(K1710),SUMIFS(st_min,st_date,A1710,st_eq,B1710,st_po,C1710,st_type,"Non planifié"),"")</f>
        <v/>
      </c>
      <c r="O1710" s="55" t="str">
        <f>IF(ISNUMBER(K1710),M1710-N1710,"")</f>
        <v/>
      </c>
      <c r="P1710" s="55" t="str">
        <f>IF(COUNTA(A1710:I1710)=0,"",N(G1710)+N(H1710)+N(I1710))</f>
        <v/>
      </c>
      <c r="Q1710" s="56" t="str">
        <f>IF(COUNTA(A1710:I1710)=0,"",IF(N(IFERROR(INDEX(art_rate,MATCH(E1710,art_ref,0)),0))&gt;0,N(IFERROR(INDEX(art_rate,MATCH(E1710,art_ref,0)),0)),N(IFERROR(INDEX(po_rate,MATCH(C1710,po_code,0)),0))))</f>
        <v/>
      </c>
      <c r="R1710" s="55" t="str">
        <f>IF(AC1710=1,P1710*60/Q1710,"")</f>
        <v/>
      </c>
      <c r="S1710" s="55" t="str">
        <f>IF(AC1710=1,N(G1710)*60/Q1710,"")</f>
        <v/>
      </c>
      <c r="T1710" s="57" t="str">
        <f>IF(AC1710=1,O1710/M1710,"")</f>
        <v/>
      </c>
      <c r="U1710" s="57" t="str">
        <f>IF(AC1710=1,IF(O1710&gt;0,R1710/O1710,""),"")</f>
        <v/>
      </c>
      <c r="V1710" s="57" t="str">
        <f>IF(AC1710=1,IF(P1710&gt;0,N(G1710)/P1710,""),"")</f>
        <v/>
      </c>
      <c r="W1710" s="57" t="str">
        <f>IF(AC1710=1,S1710/M1710,"")</f>
        <v/>
      </c>
      <c r="X1710" s="57" t="str">
        <f>IF(AC1710=1,S1710/K1710,"")</f>
        <v/>
      </c>
      <c r="Y1710" s="58" t="str">
        <f>IF(W1710="","",IF(W1710&gt;=p_target,"Bon",IF(W1710&gt;=p_alert,"À surveiller","Faible")))</f>
        <v/>
      </c>
      <c r="Z1710" s="58" t="str">
        <f>IF(W1710="","",IF(MIN(IF(T1710="",1,T1710),IF(U1710="",1,U1710),IF(V1710="",1,V1710))&gt;=1,"Aucune",IF(IF(T1710="",1,T1710)&lt;=MIN(IF(U1710="",1,U1710),IF(V1710="",1,V1710)),"Disponibilité",IF(IF(U1710="",1,U1710)&lt;=IF(V1710="",1,V1710),"Performance","Qualité"))))</f>
        <v/>
      </c>
      <c r="AA1710" s="59" t="str">
        <f>IF(AC1710=1,N(H1710)*N(IFERROR(INDEX(art_cost,MATCH(E1710,art_ref,0)),0)),"")</f>
        <v/>
      </c>
      <c r="AB1710" s="58" t="str">
        <f>IF(COUNTA(A1710:I1710)=0,"",IF(N(A1710)&lt;=0,"Date manquante ou invalide",IF(B1710="","Équipe manquante",IF(ISNA(MATCH(B1710,eq_code,0)),"Équipe inconnue",IF(INDEX(eq_check,MATCH(B1710,eq_code,0))&lt;&gt;"OK","Équipe à corriger dans Paramètres",IF(C1710="","Poste manquant",IF(ISNA(MATCH(C1710,po_code,0)),"Poste inconnu",IF(AND(E1710&lt;&gt;"",ISNA(MATCH(E1710,art_ref,0))),"Article inconnu",IF(IF(E1710="",FALSE,INDEX(art_check,MATCH(E1710,art_ref,0))&lt;&gt;"OK"),"Article à corriger (feuille Articles)",IF(COUNTIFS(sj_date,A1710,sj_eq,B1710,sj_po,C1710)&gt;1,"Ligne en double (même jour, équipe et poste)",IF(OR(NOT(ISNUMBER(K1710)),N(K1710)&lt;=0,N(K1710)&gt;1440),"Temps d'ouverture invalide",IF(OR(AND(G1710&lt;&gt;"",NOT(ISNUMBER(G1710))),N(G1710)&lt;0,N(G1710)&lt;&gt;INT(N(G1710)),AND(H1710&lt;&gt;"",NOT(ISNUMBER(H1710))),N(H1710)&lt;0,N(H1710)&lt;&gt;INT(N(H1710)),AND(I1710&lt;&gt;"",NOT(ISNUMBER(I1710))),N(I1710)&lt;0,N(I1710)&lt;&gt;INT(N(I1710))),"Quantité invalide",IF(Q1710&lt;=0,"Cadence manquante (poste ou article)",IF(M1710&lt;=0,"Arrêts planifiés supérieurs au temps d'ouverture",IF(O1710&lt;0,"Arrêts supérieurs au temps requis",IF(AND(P1710&gt;0,O1710=0),"Pièces déclarées sans temps de marche",IF(AND(P1710=0,O1710&gt;0),"Aucune pièce déclarée",IF(P1710*60/Q1710&gt;O1710+0.001,"Cadence dépassée : vérifiez la cadence","OK"))))))))))))))))))</f>
        <v/>
      </c>
      <c r="AC1710">
        <f>IF(OR(AB1710="OK",AB1710="Aucune pièce déclarée",AB1710="Cadence dépassée : vérifiez la cadence"),1,0)</f>
        <v>0.0</v>
      </c>
      <c r="AD1710">
        <f>IF(AND(AC1710=1,A1710&gt;=p_from,A1710&lt;=p_to),1,0)</f>
        <v>0.0</v>
      </c>
      <c r="AE1710">
        <f>IF(AD1710=1,IF(COUNTIFS($A$6:A1710,A1710,$AD$6:AD1710,1)=1,1,0),0)</f>
        <v>0.0</v>
      </c>
      <c r="AF1710" t="str">
        <f>IF(AE1710=1,COUNTIFS(sj_first,1,sj_date,"&lt;"&amp;A1710)+1,"")</f>
        <v/>
      </c>
      <c r="AG1710" t="str">
        <f>IF(AND(AD1710=1,N(W1710)&lt;p_alert),ROUND(W1710,4),"")</f>
        <v/>
      </c>
      <c r="AH1710" t="str">
        <f>IF(AG1710="","",COUNTIF(sj_akey,"&lt;"&amp;AG1710)+COUNTIF($AG$6:AG1710,AG1710))</f>
        <v/>
      </c>
    </row>
    <row r="1711">
      <c r="A1711" s="51" t="n"/>
      <c r="B1711" s="52" t="n"/>
      <c r="C1711" s="52" t="n"/>
      <c r="D1711" s="53" t="n"/>
      <c r="E1711" s="53" t="n"/>
      <c r="F1711" s="54" t="n"/>
      <c r="G1711" s="54" t="n"/>
      <c r="H1711" s="54" t="n"/>
      <c r="I1711" s="54" t="n"/>
      <c r="J1711" s="53" t="n"/>
      <c r="K1711" s="55" t="str">
        <f>IF(COUNTA(A1711:I1711)=0,"",IF(F1711="",IFERROR(INDEX(eq_dur,MATCH(B1711,eq_code,0)),""),F1711))</f>
        <v/>
      </c>
      <c r="L1711" s="55" t="str">
        <f>IF(ISNUMBER(K1711),N(IFERROR(INDEX(eq_pause,MATCH(B1711,eq_code,0)),0))+SUMIFS(st_min,st_date,A1711,st_eq,B1711,st_po,C1711,st_type,"Planifié"),"")</f>
        <v/>
      </c>
      <c r="M1711" s="55" t="str">
        <f>IF(ISNUMBER(K1711),K1711-L1711,"")</f>
        <v/>
      </c>
      <c r="N1711" s="55" t="str">
        <f>IF(ISNUMBER(K1711),SUMIFS(st_min,st_date,A1711,st_eq,B1711,st_po,C1711,st_type,"Non planifié"),"")</f>
        <v/>
      </c>
      <c r="O1711" s="55" t="str">
        <f>IF(ISNUMBER(K1711),M1711-N1711,"")</f>
        <v/>
      </c>
      <c r="P1711" s="55" t="str">
        <f>IF(COUNTA(A1711:I1711)=0,"",N(G1711)+N(H1711)+N(I1711))</f>
        <v/>
      </c>
      <c r="Q1711" s="56" t="str">
        <f>IF(COUNTA(A1711:I1711)=0,"",IF(N(IFERROR(INDEX(art_rate,MATCH(E1711,art_ref,0)),0))&gt;0,N(IFERROR(INDEX(art_rate,MATCH(E1711,art_ref,0)),0)),N(IFERROR(INDEX(po_rate,MATCH(C1711,po_code,0)),0))))</f>
        <v/>
      </c>
      <c r="R1711" s="55" t="str">
        <f>IF(AC1711=1,P1711*60/Q1711,"")</f>
        <v/>
      </c>
      <c r="S1711" s="55" t="str">
        <f>IF(AC1711=1,N(G1711)*60/Q1711,"")</f>
        <v/>
      </c>
      <c r="T1711" s="57" t="str">
        <f>IF(AC1711=1,O1711/M1711,"")</f>
        <v/>
      </c>
      <c r="U1711" s="57" t="str">
        <f>IF(AC1711=1,IF(O1711&gt;0,R1711/O1711,""),"")</f>
        <v/>
      </c>
      <c r="V1711" s="57" t="str">
        <f>IF(AC1711=1,IF(P1711&gt;0,N(G1711)/P1711,""),"")</f>
        <v/>
      </c>
      <c r="W1711" s="57" t="str">
        <f>IF(AC1711=1,S1711/M1711,"")</f>
        <v/>
      </c>
      <c r="X1711" s="57" t="str">
        <f>IF(AC1711=1,S1711/K1711,"")</f>
        <v/>
      </c>
      <c r="Y1711" s="58" t="str">
        <f>IF(W1711="","",IF(W1711&gt;=p_target,"Bon",IF(W1711&gt;=p_alert,"À surveiller","Faible")))</f>
        <v/>
      </c>
      <c r="Z1711" s="58" t="str">
        <f>IF(W1711="","",IF(MIN(IF(T1711="",1,T1711),IF(U1711="",1,U1711),IF(V1711="",1,V1711))&gt;=1,"Aucune",IF(IF(T1711="",1,T1711)&lt;=MIN(IF(U1711="",1,U1711),IF(V1711="",1,V1711)),"Disponibilité",IF(IF(U1711="",1,U1711)&lt;=IF(V1711="",1,V1711),"Performance","Qualité"))))</f>
        <v/>
      </c>
      <c r="AA1711" s="59" t="str">
        <f>IF(AC1711=1,N(H1711)*N(IFERROR(INDEX(art_cost,MATCH(E1711,art_ref,0)),0)),"")</f>
        <v/>
      </c>
      <c r="AB1711" s="58" t="str">
        <f>IF(COUNTA(A1711:I1711)=0,"",IF(N(A1711)&lt;=0,"Date manquante ou invalide",IF(B1711="","Équipe manquante",IF(ISNA(MATCH(B1711,eq_code,0)),"Équipe inconnue",IF(INDEX(eq_check,MATCH(B1711,eq_code,0))&lt;&gt;"OK","Équipe à corriger dans Paramètres",IF(C1711="","Poste manquant",IF(ISNA(MATCH(C1711,po_code,0)),"Poste inconnu",IF(AND(E1711&lt;&gt;"",ISNA(MATCH(E1711,art_ref,0))),"Article inconnu",IF(IF(E1711="",FALSE,INDEX(art_check,MATCH(E1711,art_ref,0))&lt;&gt;"OK"),"Article à corriger (feuille Articles)",IF(COUNTIFS(sj_date,A1711,sj_eq,B1711,sj_po,C1711)&gt;1,"Ligne en double (même jour, équipe et poste)",IF(OR(NOT(ISNUMBER(K1711)),N(K1711)&lt;=0,N(K1711)&gt;1440),"Temps d'ouverture invalide",IF(OR(AND(G1711&lt;&gt;"",NOT(ISNUMBER(G1711))),N(G1711)&lt;0,N(G1711)&lt;&gt;INT(N(G1711)),AND(H1711&lt;&gt;"",NOT(ISNUMBER(H1711))),N(H1711)&lt;0,N(H1711)&lt;&gt;INT(N(H1711)),AND(I1711&lt;&gt;"",NOT(ISNUMBER(I1711))),N(I1711)&lt;0,N(I1711)&lt;&gt;INT(N(I1711))),"Quantité invalide",IF(Q1711&lt;=0,"Cadence manquante (poste ou article)",IF(M1711&lt;=0,"Arrêts planifiés supérieurs au temps d'ouverture",IF(O1711&lt;0,"Arrêts supérieurs au temps requis",IF(AND(P1711&gt;0,O1711=0),"Pièces déclarées sans temps de marche",IF(AND(P1711=0,O1711&gt;0),"Aucune pièce déclarée",IF(P1711*60/Q1711&gt;O1711+0.001,"Cadence dépassée : vérifiez la cadence","OK"))))))))))))))))))</f>
        <v/>
      </c>
      <c r="AC1711">
        <f>IF(OR(AB1711="OK",AB1711="Aucune pièce déclarée",AB1711="Cadence dépassée : vérifiez la cadence"),1,0)</f>
        <v>0.0</v>
      </c>
      <c r="AD1711">
        <f>IF(AND(AC1711=1,A1711&gt;=p_from,A1711&lt;=p_to),1,0)</f>
        <v>0.0</v>
      </c>
      <c r="AE1711">
        <f>IF(AD1711=1,IF(COUNTIFS($A$6:A1711,A1711,$AD$6:AD1711,1)=1,1,0),0)</f>
        <v>0.0</v>
      </c>
      <c r="AF1711" t="str">
        <f>IF(AE1711=1,COUNTIFS(sj_first,1,sj_date,"&lt;"&amp;A1711)+1,"")</f>
        <v/>
      </c>
      <c r="AG1711" t="str">
        <f>IF(AND(AD1711=1,N(W1711)&lt;p_alert),ROUND(W1711,4),"")</f>
        <v/>
      </c>
      <c r="AH1711" t="str">
        <f>IF(AG1711="","",COUNTIF(sj_akey,"&lt;"&amp;AG1711)+COUNTIF($AG$6:AG1711,AG1711))</f>
        <v/>
      </c>
    </row>
    <row r="1712">
      <c r="A1712" s="51" t="n"/>
      <c r="B1712" s="52" t="n"/>
      <c r="C1712" s="52" t="n"/>
      <c r="D1712" s="53" t="n"/>
      <c r="E1712" s="53" t="n"/>
      <c r="F1712" s="54" t="n"/>
      <c r="G1712" s="54" t="n"/>
      <c r="H1712" s="54" t="n"/>
      <c r="I1712" s="54" t="n"/>
      <c r="J1712" s="53" t="n"/>
      <c r="K1712" s="55" t="str">
        <f>IF(COUNTA(A1712:I1712)=0,"",IF(F1712="",IFERROR(INDEX(eq_dur,MATCH(B1712,eq_code,0)),""),F1712))</f>
        <v/>
      </c>
      <c r="L1712" s="55" t="str">
        <f>IF(ISNUMBER(K1712),N(IFERROR(INDEX(eq_pause,MATCH(B1712,eq_code,0)),0))+SUMIFS(st_min,st_date,A1712,st_eq,B1712,st_po,C1712,st_type,"Planifié"),"")</f>
        <v/>
      </c>
      <c r="M1712" s="55" t="str">
        <f>IF(ISNUMBER(K1712),K1712-L1712,"")</f>
        <v/>
      </c>
      <c r="N1712" s="55" t="str">
        <f>IF(ISNUMBER(K1712),SUMIFS(st_min,st_date,A1712,st_eq,B1712,st_po,C1712,st_type,"Non planifié"),"")</f>
        <v/>
      </c>
      <c r="O1712" s="55" t="str">
        <f>IF(ISNUMBER(K1712),M1712-N1712,"")</f>
        <v/>
      </c>
      <c r="P1712" s="55" t="str">
        <f>IF(COUNTA(A1712:I1712)=0,"",N(G1712)+N(H1712)+N(I1712))</f>
        <v/>
      </c>
      <c r="Q1712" s="56" t="str">
        <f>IF(COUNTA(A1712:I1712)=0,"",IF(N(IFERROR(INDEX(art_rate,MATCH(E1712,art_ref,0)),0))&gt;0,N(IFERROR(INDEX(art_rate,MATCH(E1712,art_ref,0)),0)),N(IFERROR(INDEX(po_rate,MATCH(C1712,po_code,0)),0))))</f>
        <v/>
      </c>
      <c r="R1712" s="55" t="str">
        <f>IF(AC1712=1,P1712*60/Q1712,"")</f>
        <v/>
      </c>
      <c r="S1712" s="55" t="str">
        <f>IF(AC1712=1,N(G1712)*60/Q1712,"")</f>
        <v/>
      </c>
      <c r="T1712" s="57" t="str">
        <f>IF(AC1712=1,O1712/M1712,"")</f>
        <v/>
      </c>
      <c r="U1712" s="57" t="str">
        <f>IF(AC1712=1,IF(O1712&gt;0,R1712/O1712,""),"")</f>
        <v/>
      </c>
      <c r="V1712" s="57" t="str">
        <f>IF(AC1712=1,IF(P1712&gt;0,N(G1712)/P1712,""),"")</f>
        <v/>
      </c>
      <c r="W1712" s="57" t="str">
        <f>IF(AC1712=1,S1712/M1712,"")</f>
        <v/>
      </c>
      <c r="X1712" s="57" t="str">
        <f>IF(AC1712=1,S1712/K1712,"")</f>
        <v/>
      </c>
      <c r="Y1712" s="58" t="str">
        <f>IF(W1712="","",IF(W1712&gt;=p_target,"Bon",IF(W1712&gt;=p_alert,"À surveiller","Faible")))</f>
        <v/>
      </c>
      <c r="Z1712" s="58" t="str">
        <f>IF(W1712="","",IF(MIN(IF(T1712="",1,T1712),IF(U1712="",1,U1712),IF(V1712="",1,V1712))&gt;=1,"Aucune",IF(IF(T1712="",1,T1712)&lt;=MIN(IF(U1712="",1,U1712),IF(V1712="",1,V1712)),"Disponibilité",IF(IF(U1712="",1,U1712)&lt;=IF(V1712="",1,V1712),"Performance","Qualité"))))</f>
        <v/>
      </c>
      <c r="AA1712" s="59" t="str">
        <f>IF(AC1712=1,N(H1712)*N(IFERROR(INDEX(art_cost,MATCH(E1712,art_ref,0)),0)),"")</f>
        <v/>
      </c>
      <c r="AB1712" s="58" t="str">
        <f>IF(COUNTA(A1712:I1712)=0,"",IF(N(A1712)&lt;=0,"Date manquante ou invalide",IF(B1712="","Équipe manquante",IF(ISNA(MATCH(B1712,eq_code,0)),"Équipe inconnue",IF(INDEX(eq_check,MATCH(B1712,eq_code,0))&lt;&gt;"OK","Équipe à corriger dans Paramètres",IF(C1712="","Poste manquant",IF(ISNA(MATCH(C1712,po_code,0)),"Poste inconnu",IF(AND(E1712&lt;&gt;"",ISNA(MATCH(E1712,art_ref,0))),"Article inconnu",IF(IF(E1712="",FALSE,INDEX(art_check,MATCH(E1712,art_ref,0))&lt;&gt;"OK"),"Article à corriger (feuille Articles)",IF(COUNTIFS(sj_date,A1712,sj_eq,B1712,sj_po,C1712)&gt;1,"Ligne en double (même jour, équipe et poste)",IF(OR(NOT(ISNUMBER(K1712)),N(K1712)&lt;=0,N(K1712)&gt;1440),"Temps d'ouverture invalide",IF(OR(AND(G1712&lt;&gt;"",NOT(ISNUMBER(G1712))),N(G1712)&lt;0,N(G1712)&lt;&gt;INT(N(G1712)),AND(H1712&lt;&gt;"",NOT(ISNUMBER(H1712))),N(H1712)&lt;0,N(H1712)&lt;&gt;INT(N(H1712)),AND(I1712&lt;&gt;"",NOT(ISNUMBER(I1712))),N(I1712)&lt;0,N(I1712)&lt;&gt;INT(N(I1712))),"Quantité invalide",IF(Q1712&lt;=0,"Cadence manquante (poste ou article)",IF(M1712&lt;=0,"Arrêts planifiés supérieurs au temps d'ouverture",IF(O1712&lt;0,"Arrêts supérieurs au temps requis",IF(AND(P1712&gt;0,O1712=0),"Pièces déclarées sans temps de marche",IF(AND(P1712=0,O1712&gt;0),"Aucune pièce déclarée",IF(P1712*60/Q1712&gt;O1712+0.001,"Cadence dépassée : vérifiez la cadence","OK"))))))))))))))))))</f>
        <v/>
      </c>
      <c r="AC1712">
        <f>IF(OR(AB1712="OK",AB1712="Aucune pièce déclarée",AB1712="Cadence dépassée : vérifiez la cadence"),1,0)</f>
        <v>0.0</v>
      </c>
      <c r="AD1712">
        <f>IF(AND(AC1712=1,A1712&gt;=p_from,A1712&lt;=p_to),1,0)</f>
        <v>0.0</v>
      </c>
      <c r="AE1712">
        <f>IF(AD1712=1,IF(COUNTIFS($A$6:A1712,A1712,$AD$6:AD1712,1)=1,1,0),0)</f>
        <v>0.0</v>
      </c>
      <c r="AF1712" t="str">
        <f>IF(AE1712=1,COUNTIFS(sj_first,1,sj_date,"&lt;"&amp;A1712)+1,"")</f>
        <v/>
      </c>
      <c r="AG1712" t="str">
        <f>IF(AND(AD1712=1,N(W1712)&lt;p_alert),ROUND(W1712,4),"")</f>
        <v/>
      </c>
      <c r="AH1712" t="str">
        <f>IF(AG1712="","",COUNTIF(sj_akey,"&lt;"&amp;AG1712)+COUNTIF($AG$6:AG1712,AG1712))</f>
        <v/>
      </c>
    </row>
    <row r="1713">
      <c r="A1713" s="51" t="n"/>
      <c r="B1713" s="52" t="n"/>
      <c r="C1713" s="52" t="n"/>
      <c r="D1713" s="53" t="n"/>
      <c r="E1713" s="53" t="n"/>
      <c r="F1713" s="54" t="n"/>
      <c r="G1713" s="54" t="n"/>
      <c r="H1713" s="54" t="n"/>
      <c r="I1713" s="54" t="n"/>
      <c r="J1713" s="53" t="n"/>
      <c r="K1713" s="55" t="str">
        <f>IF(COUNTA(A1713:I1713)=0,"",IF(F1713="",IFERROR(INDEX(eq_dur,MATCH(B1713,eq_code,0)),""),F1713))</f>
        <v/>
      </c>
      <c r="L1713" s="55" t="str">
        <f>IF(ISNUMBER(K1713),N(IFERROR(INDEX(eq_pause,MATCH(B1713,eq_code,0)),0))+SUMIFS(st_min,st_date,A1713,st_eq,B1713,st_po,C1713,st_type,"Planifié"),"")</f>
        <v/>
      </c>
      <c r="M1713" s="55" t="str">
        <f>IF(ISNUMBER(K1713),K1713-L1713,"")</f>
        <v/>
      </c>
      <c r="N1713" s="55" t="str">
        <f>IF(ISNUMBER(K1713),SUMIFS(st_min,st_date,A1713,st_eq,B1713,st_po,C1713,st_type,"Non planifié"),"")</f>
        <v/>
      </c>
      <c r="O1713" s="55" t="str">
        <f>IF(ISNUMBER(K1713),M1713-N1713,"")</f>
        <v/>
      </c>
      <c r="P1713" s="55" t="str">
        <f>IF(COUNTA(A1713:I1713)=0,"",N(G1713)+N(H1713)+N(I1713))</f>
        <v/>
      </c>
      <c r="Q1713" s="56" t="str">
        <f>IF(COUNTA(A1713:I1713)=0,"",IF(N(IFERROR(INDEX(art_rate,MATCH(E1713,art_ref,0)),0))&gt;0,N(IFERROR(INDEX(art_rate,MATCH(E1713,art_ref,0)),0)),N(IFERROR(INDEX(po_rate,MATCH(C1713,po_code,0)),0))))</f>
        <v/>
      </c>
      <c r="R1713" s="55" t="str">
        <f>IF(AC1713=1,P1713*60/Q1713,"")</f>
        <v/>
      </c>
      <c r="S1713" s="55" t="str">
        <f>IF(AC1713=1,N(G1713)*60/Q1713,"")</f>
        <v/>
      </c>
      <c r="T1713" s="57" t="str">
        <f>IF(AC1713=1,O1713/M1713,"")</f>
        <v/>
      </c>
      <c r="U1713" s="57" t="str">
        <f>IF(AC1713=1,IF(O1713&gt;0,R1713/O1713,""),"")</f>
        <v/>
      </c>
      <c r="V1713" s="57" t="str">
        <f>IF(AC1713=1,IF(P1713&gt;0,N(G1713)/P1713,""),"")</f>
        <v/>
      </c>
      <c r="W1713" s="57" t="str">
        <f>IF(AC1713=1,S1713/M1713,"")</f>
        <v/>
      </c>
      <c r="X1713" s="57" t="str">
        <f>IF(AC1713=1,S1713/K1713,"")</f>
        <v/>
      </c>
      <c r="Y1713" s="58" t="str">
        <f>IF(W1713="","",IF(W1713&gt;=p_target,"Bon",IF(W1713&gt;=p_alert,"À surveiller","Faible")))</f>
        <v/>
      </c>
      <c r="Z1713" s="58" t="str">
        <f>IF(W1713="","",IF(MIN(IF(T1713="",1,T1713),IF(U1713="",1,U1713),IF(V1713="",1,V1713))&gt;=1,"Aucune",IF(IF(T1713="",1,T1713)&lt;=MIN(IF(U1713="",1,U1713),IF(V1713="",1,V1713)),"Disponibilité",IF(IF(U1713="",1,U1713)&lt;=IF(V1713="",1,V1713),"Performance","Qualité"))))</f>
        <v/>
      </c>
      <c r="AA1713" s="59" t="str">
        <f>IF(AC1713=1,N(H1713)*N(IFERROR(INDEX(art_cost,MATCH(E1713,art_ref,0)),0)),"")</f>
        <v/>
      </c>
      <c r="AB1713" s="58" t="str">
        <f>IF(COUNTA(A1713:I1713)=0,"",IF(N(A1713)&lt;=0,"Date manquante ou invalide",IF(B1713="","Équipe manquante",IF(ISNA(MATCH(B1713,eq_code,0)),"Équipe inconnue",IF(INDEX(eq_check,MATCH(B1713,eq_code,0))&lt;&gt;"OK","Équipe à corriger dans Paramètres",IF(C1713="","Poste manquant",IF(ISNA(MATCH(C1713,po_code,0)),"Poste inconnu",IF(AND(E1713&lt;&gt;"",ISNA(MATCH(E1713,art_ref,0))),"Article inconnu",IF(IF(E1713="",FALSE,INDEX(art_check,MATCH(E1713,art_ref,0))&lt;&gt;"OK"),"Article à corriger (feuille Articles)",IF(COUNTIFS(sj_date,A1713,sj_eq,B1713,sj_po,C1713)&gt;1,"Ligne en double (même jour, équipe et poste)",IF(OR(NOT(ISNUMBER(K1713)),N(K1713)&lt;=0,N(K1713)&gt;1440),"Temps d'ouverture invalide",IF(OR(AND(G1713&lt;&gt;"",NOT(ISNUMBER(G1713))),N(G1713)&lt;0,N(G1713)&lt;&gt;INT(N(G1713)),AND(H1713&lt;&gt;"",NOT(ISNUMBER(H1713))),N(H1713)&lt;0,N(H1713)&lt;&gt;INT(N(H1713)),AND(I1713&lt;&gt;"",NOT(ISNUMBER(I1713))),N(I1713)&lt;0,N(I1713)&lt;&gt;INT(N(I1713))),"Quantité invalide",IF(Q1713&lt;=0,"Cadence manquante (poste ou article)",IF(M1713&lt;=0,"Arrêts planifiés supérieurs au temps d'ouverture",IF(O1713&lt;0,"Arrêts supérieurs au temps requis",IF(AND(P1713&gt;0,O1713=0),"Pièces déclarées sans temps de marche",IF(AND(P1713=0,O1713&gt;0),"Aucune pièce déclarée",IF(P1713*60/Q1713&gt;O1713+0.001,"Cadence dépassée : vérifiez la cadence","OK"))))))))))))))))))</f>
        <v/>
      </c>
      <c r="AC1713">
        <f>IF(OR(AB1713="OK",AB1713="Aucune pièce déclarée",AB1713="Cadence dépassée : vérifiez la cadence"),1,0)</f>
        <v>0.0</v>
      </c>
      <c r="AD1713">
        <f>IF(AND(AC1713=1,A1713&gt;=p_from,A1713&lt;=p_to),1,0)</f>
        <v>0.0</v>
      </c>
      <c r="AE1713">
        <f>IF(AD1713=1,IF(COUNTIFS($A$6:A1713,A1713,$AD$6:AD1713,1)=1,1,0),0)</f>
        <v>0.0</v>
      </c>
      <c r="AF1713" t="str">
        <f>IF(AE1713=1,COUNTIFS(sj_first,1,sj_date,"&lt;"&amp;A1713)+1,"")</f>
        <v/>
      </c>
      <c r="AG1713" t="str">
        <f>IF(AND(AD1713=1,N(W1713)&lt;p_alert),ROUND(W1713,4),"")</f>
        <v/>
      </c>
      <c r="AH1713" t="str">
        <f>IF(AG1713="","",COUNTIF(sj_akey,"&lt;"&amp;AG1713)+COUNTIF($AG$6:AG1713,AG1713))</f>
        <v/>
      </c>
    </row>
    <row r="1714">
      <c r="A1714" s="51" t="n"/>
      <c r="B1714" s="52" t="n"/>
      <c r="C1714" s="52" t="n"/>
      <c r="D1714" s="53" t="n"/>
      <c r="E1714" s="53" t="n"/>
      <c r="F1714" s="54" t="n"/>
      <c r="G1714" s="54" t="n"/>
      <c r="H1714" s="54" t="n"/>
      <c r="I1714" s="54" t="n"/>
      <c r="J1714" s="53" t="n"/>
      <c r="K1714" s="55" t="str">
        <f>IF(COUNTA(A1714:I1714)=0,"",IF(F1714="",IFERROR(INDEX(eq_dur,MATCH(B1714,eq_code,0)),""),F1714))</f>
        <v/>
      </c>
      <c r="L1714" s="55" t="str">
        <f>IF(ISNUMBER(K1714),N(IFERROR(INDEX(eq_pause,MATCH(B1714,eq_code,0)),0))+SUMIFS(st_min,st_date,A1714,st_eq,B1714,st_po,C1714,st_type,"Planifié"),"")</f>
        <v/>
      </c>
      <c r="M1714" s="55" t="str">
        <f>IF(ISNUMBER(K1714),K1714-L1714,"")</f>
        <v/>
      </c>
      <c r="N1714" s="55" t="str">
        <f>IF(ISNUMBER(K1714),SUMIFS(st_min,st_date,A1714,st_eq,B1714,st_po,C1714,st_type,"Non planifié"),"")</f>
        <v/>
      </c>
      <c r="O1714" s="55" t="str">
        <f>IF(ISNUMBER(K1714),M1714-N1714,"")</f>
        <v/>
      </c>
      <c r="P1714" s="55" t="str">
        <f>IF(COUNTA(A1714:I1714)=0,"",N(G1714)+N(H1714)+N(I1714))</f>
        <v/>
      </c>
      <c r="Q1714" s="56" t="str">
        <f>IF(COUNTA(A1714:I1714)=0,"",IF(N(IFERROR(INDEX(art_rate,MATCH(E1714,art_ref,0)),0))&gt;0,N(IFERROR(INDEX(art_rate,MATCH(E1714,art_ref,0)),0)),N(IFERROR(INDEX(po_rate,MATCH(C1714,po_code,0)),0))))</f>
        <v/>
      </c>
      <c r="R1714" s="55" t="str">
        <f>IF(AC1714=1,P1714*60/Q1714,"")</f>
        <v/>
      </c>
      <c r="S1714" s="55" t="str">
        <f>IF(AC1714=1,N(G1714)*60/Q1714,"")</f>
        <v/>
      </c>
      <c r="T1714" s="57" t="str">
        <f>IF(AC1714=1,O1714/M1714,"")</f>
        <v/>
      </c>
      <c r="U1714" s="57" t="str">
        <f>IF(AC1714=1,IF(O1714&gt;0,R1714/O1714,""),"")</f>
        <v/>
      </c>
      <c r="V1714" s="57" t="str">
        <f>IF(AC1714=1,IF(P1714&gt;0,N(G1714)/P1714,""),"")</f>
        <v/>
      </c>
      <c r="W1714" s="57" t="str">
        <f>IF(AC1714=1,S1714/M1714,"")</f>
        <v/>
      </c>
      <c r="X1714" s="57" t="str">
        <f>IF(AC1714=1,S1714/K1714,"")</f>
        <v/>
      </c>
      <c r="Y1714" s="58" t="str">
        <f>IF(W1714="","",IF(W1714&gt;=p_target,"Bon",IF(W1714&gt;=p_alert,"À surveiller","Faible")))</f>
        <v/>
      </c>
      <c r="Z1714" s="58" t="str">
        <f>IF(W1714="","",IF(MIN(IF(T1714="",1,T1714),IF(U1714="",1,U1714),IF(V1714="",1,V1714))&gt;=1,"Aucune",IF(IF(T1714="",1,T1714)&lt;=MIN(IF(U1714="",1,U1714),IF(V1714="",1,V1714)),"Disponibilité",IF(IF(U1714="",1,U1714)&lt;=IF(V1714="",1,V1714),"Performance","Qualité"))))</f>
        <v/>
      </c>
      <c r="AA1714" s="59" t="str">
        <f>IF(AC1714=1,N(H1714)*N(IFERROR(INDEX(art_cost,MATCH(E1714,art_ref,0)),0)),"")</f>
        <v/>
      </c>
      <c r="AB1714" s="58" t="str">
        <f>IF(COUNTA(A1714:I1714)=0,"",IF(N(A1714)&lt;=0,"Date manquante ou invalide",IF(B1714="","Équipe manquante",IF(ISNA(MATCH(B1714,eq_code,0)),"Équipe inconnue",IF(INDEX(eq_check,MATCH(B1714,eq_code,0))&lt;&gt;"OK","Équipe à corriger dans Paramètres",IF(C1714="","Poste manquant",IF(ISNA(MATCH(C1714,po_code,0)),"Poste inconnu",IF(AND(E1714&lt;&gt;"",ISNA(MATCH(E1714,art_ref,0))),"Article inconnu",IF(IF(E1714="",FALSE,INDEX(art_check,MATCH(E1714,art_ref,0))&lt;&gt;"OK"),"Article à corriger (feuille Articles)",IF(COUNTIFS(sj_date,A1714,sj_eq,B1714,sj_po,C1714)&gt;1,"Ligne en double (même jour, équipe et poste)",IF(OR(NOT(ISNUMBER(K1714)),N(K1714)&lt;=0,N(K1714)&gt;1440),"Temps d'ouverture invalide",IF(OR(AND(G1714&lt;&gt;"",NOT(ISNUMBER(G1714))),N(G1714)&lt;0,N(G1714)&lt;&gt;INT(N(G1714)),AND(H1714&lt;&gt;"",NOT(ISNUMBER(H1714))),N(H1714)&lt;0,N(H1714)&lt;&gt;INT(N(H1714)),AND(I1714&lt;&gt;"",NOT(ISNUMBER(I1714))),N(I1714)&lt;0,N(I1714)&lt;&gt;INT(N(I1714))),"Quantité invalide",IF(Q1714&lt;=0,"Cadence manquante (poste ou article)",IF(M1714&lt;=0,"Arrêts planifiés supérieurs au temps d'ouverture",IF(O1714&lt;0,"Arrêts supérieurs au temps requis",IF(AND(P1714&gt;0,O1714=0),"Pièces déclarées sans temps de marche",IF(AND(P1714=0,O1714&gt;0),"Aucune pièce déclarée",IF(P1714*60/Q1714&gt;O1714+0.001,"Cadence dépassée : vérifiez la cadence","OK"))))))))))))))))))</f>
        <v/>
      </c>
      <c r="AC1714">
        <f>IF(OR(AB1714="OK",AB1714="Aucune pièce déclarée",AB1714="Cadence dépassée : vérifiez la cadence"),1,0)</f>
        <v>0.0</v>
      </c>
      <c r="AD1714">
        <f>IF(AND(AC1714=1,A1714&gt;=p_from,A1714&lt;=p_to),1,0)</f>
        <v>0.0</v>
      </c>
      <c r="AE1714">
        <f>IF(AD1714=1,IF(COUNTIFS($A$6:A1714,A1714,$AD$6:AD1714,1)=1,1,0),0)</f>
        <v>0.0</v>
      </c>
      <c r="AF1714" t="str">
        <f>IF(AE1714=1,COUNTIFS(sj_first,1,sj_date,"&lt;"&amp;A1714)+1,"")</f>
        <v/>
      </c>
      <c r="AG1714" t="str">
        <f>IF(AND(AD1714=1,N(W1714)&lt;p_alert),ROUND(W1714,4),"")</f>
        <v/>
      </c>
      <c r="AH1714" t="str">
        <f>IF(AG1714="","",COUNTIF(sj_akey,"&lt;"&amp;AG1714)+COUNTIF($AG$6:AG1714,AG1714))</f>
        <v/>
      </c>
    </row>
    <row r="1715">
      <c r="A1715" s="51" t="n"/>
      <c r="B1715" s="52" t="n"/>
      <c r="C1715" s="52" t="n"/>
      <c r="D1715" s="53" t="n"/>
      <c r="E1715" s="53" t="n"/>
      <c r="F1715" s="54" t="n"/>
      <c r="G1715" s="54" t="n"/>
      <c r="H1715" s="54" t="n"/>
      <c r="I1715" s="54" t="n"/>
      <c r="J1715" s="53" t="n"/>
      <c r="K1715" s="55" t="str">
        <f>IF(COUNTA(A1715:I1715)=0,"",IF(F1715="",IFERROR(INDEX(eq_dur,MATCH(B1715,eq_code,0)),""),F1715))</f>
        <v/>
      </c>
      <c r="L1715" s="55" t="str">
        <f>IF(ISNUMBER(K1715),N(IFERROR(INDEX(eq_pause,MATCH(B1715,eq_code,0)),0))+SUMIFS(st_min,st_date,A1715,st_eq,B1715,st_po,C1715,st_type,"Planifié"),"")</f>
        <v/>
      </c>
      <c r="M1715" s="55" t="str">
        <f>IF(ISNUMBER(K1715),K1715-L1715,"")</f>
        <v/>
      </c>
      <c r="N1715" s="55" t="str">
        <f>IF(ISNUMBER(K1715),SUMIFS(st_min,st_date,A1715,st_eq,B1715,st_po,C1715,st_type,"Non planifié"),"")</f>
        <v/>
      </c>
      <c r="O1715" s="55" t="str">
        <f>IF(ISNUMBER(K1715),M1715-N1715,"")</f>
        <v/>
      </c>
      <c r="P1715" s="55" t="str">
        <f>IF(COUNTA(A1715:I1715)=0,"",N(G1715)+N(H1715)+N(I1715))</f>
        <v/>
      </c>
      <c r="Q1715" s="56" t="str">
        <f>IF(COUNTA(A1715:I1715)=0,"",IF(N(IFERROR(INDEX(art_rate,MATCH(E1715,art_ref,0)),0))&gt;0,N(IFERROR(INDEX(art_rate,MATCH(E1715,art_ref,0)),0)),N(IFERROR(INDEX(po_rate,MATCH(C1715,po_code,0)),0))))</f>
        <v/>
      </c>
      <c r="R1715" s="55" t="str">
        <f>IF(AC1715=1,P1715*60/Q1715,"")</f>
        <v/>
      </c>
      <c r="S1715" s="55" t="str">
        <f>IF(AC1715=1,N(G1715)*60/Q1715,"")</f>
        <v/>
      </c>
      <c r="T1715" s="57" t="str">
        <f>IF(AC1715=1,O1715/M1715,"")</f>
        <v/>
      </c>
      <c r="U1715" s="57" t="str">
        <f>IF(AC1715=1,IF(O1715&gt;0,R1715/O1715,""),"")</f>
        <v/>
      </c>
      <c r="V1715" s="57" t="str">
        <f>IF(AC1715=1,IF(P1715&gt;0,N(G1715)/P1715,""),"")</f>
        <v/>
      </c>
      <c r="W1715" s="57" t="str">
        <f>IF(AC1715=1,S1715/M1715,"")</f>
        <v/>
      </c>
      <c r="X1715" s="57" t="str">
        <f>IF(AC1715=1,S1715/K1715,"")</f>
        <v/>
      </c>
      <c r="Y1715" s="58" t="str">
        <f>IF(W1715="","",IF(W1715&gt;=p_target,"Bon",IF(W1715&gt;=p_alert,"À surveiller","Faible")))</f>
        <v/>
      </c>
      <c r="Z1715" s="58" t="str">
        <f>IF(W1715="","",IF(MIN(IF(T1715="",1,T1715),IF(U1715="",1,U1715),IF(V1715="",1,V1715))&gt;=1,"Aucune",IF(IF(T1715="",1,T1715)&lt;=MIN(IF(U1715="",1,U1715),IF(V1715="",1,V1715)),"Disponibilité",IF(IF(U1715="",1,U1715)&lt;=IF(V1715="",1,V1715),"Performance","Qualité"))))</f>
        <v/>
      </c>
      <c r="AA1715" s="59" t="str">
        <f>IF(AC1715=1,N(H1715)*N(IFERROR(INDEX(art_cost,MATCH(E1715,art_ref,0)),0)),"")</f>
        <v/>
      </c>
      <c r="AB1715" s="58" t="str">
        <f>IF(COUNTA(A1715:I1715)=0,"",IF(N(A1715)&lt;=0,"Date manquante ou invalide",IF(B1715="","Équipe manquante",IF(ISNA(MATCH(B1715,eq_code,0)),"Équipe inconnue",IF(INDEX(eq_check,MATCH(B1715,eq_code,0))&lt;&gt;"OK","Équipe à corriger dans Paramètres",IF(C1715="","Poste manquant",IF(ISNA(MATCH(C1715,po_code,0)),"Poste inconnu",IF(AND(E1715&lt;&gt;"",ISNA(MATCH(E1715,art_ref,0))),"Article inconnu",IF(IF(E1715="",FALSE,INDEX(art_check,MATCH(E1715,art_ref,0))&lt;&gt;"OK"),"Article à corriger (feuille Articles)",IF(COUNTIFS(sj_date,A1715,sj_eq,B1715,sj_po,C1715)&gt;1,"Ligne en double (même jour, équipe et poste)",IF(OR(NOT(ISNUMBER(K1715)),N(K1715)&lt;=0,N(K1715)&gt;1440),"Temps d'ouverture invalide",IF(OR(AND(G1715&lt;&gt;"",NOT(ISNUMBER(G1715))),N(G1715)&lt;0,N(G1715)&lt;&gt;INT(N(G1715)),AND(H1715&lt;&gt;"",NOT(ISNUMBER(H1715))),N(H1715)&lt;0,N(H1715)&lt;&gt;INT(N(H1715)),AND(I1715&lt;&gt;"",NOT(ISNUMBER(I1715))),N(I1715)&lt;0,N(I1715)&lt;&gt;INT(N(I1715))),"Quantité invalide",IF(Q1715&lt;=0,"Cadence manquante (poste ou article)",IF(M1715&lt;=0,"Arrêts planifiés supérieurs au temps d'ouverture",IF(O1715&lt;0,"Arrêts supérieurs au temps requis",IF(AND(P1715&gt;0,O1715=0),"Pièces déclarées sans temps de marche",IF(AND(P1715=0,O1715&gt;0),"Aucune pièce déclarée",IF(P1715*60/Q1715&gt;O1715+0.001,"Cadence dépassée : vérifiez la cadence","OK"))))))))))))))))))</f>
        <v/>
      </c>
      <c r="AC1715">
        <f>IF(OR(AB1715="OK",AB1715="Aucune pièce déclarée",AB1715="Cadence dépassée : vérifiez la cadence"),1,0)</f>
        <v>0.0</v>
      </c>
      <c r="AD1715">
        <f>IF(AND(AC1715=1,A1715&gt;=p_from,A1715&lt;=p_to),1,0)</f>
        <v>0.0</v>
      </c>
      <c r="AE1715">
        <f>IF(AD1715=1,IF(COUNTIFS($A$6:A1715,A1715,$AD$6:AD1715,1)=1,1,0),0)</f>
        <v>0.0</v>
      </c>
      <c r="AF1715" t="str">
        <f>IF(AE1715=1,COUNTIFS(sj_first,1,sj_date,"&lt;"&amp;A1715)+1,"")</f>
        <v/>
      </c>
      <c r="AG1715" t="str">
        <f>IF(AND(AD1715=1,N(W1715)&lt;p_alert),ROUND(W1715,4),"")</f>
        <v/>
      </c>
      <c r="AH1715" t="str">
        <f>IF(AG1715="","",COUNTIF(sj_akey,"&lt;"&amp;AG1715)+COUNTIF($AG$6:AG1715,AG1715))</f>
        <v/>
      </c>
    </row>
    <row r="1716">
      <c r="A1716" s="51" t="n"/>
      <c r="B1716" s="52" t="n"/>
      <c r="C1716" s="52" t="n"/>
      <c r="D1716" s="53" t="n"/>
      <c r="E1716" s="53" t="n"/>
      <c r="F1716" s="54" t="n"/>
      <c r="G1716" s="54" t="n"/>
      <c r="H1716" s="54" t="n"/>
      <c r="I1716" s="54" t="n"/>
      <c r="J1716" s="53" t="n"/>
      <c r="K1716" s="55" t="str">
        <f>IF(COUNTA(A1716:I1716)=0,"",IF(F1716="",IFERROR(INDEX(eq_dur,MATCH(B1716,eq_code,0)),""),F1716))</f>
        <v/>
      </c>
      <c r="L1716" s="55" t="str">
        <f>IF(ISNUMBER(K1716),N(IFERROR(INDEX(eq_pause,MATCH(B1716,eq_code,0)),0))+SUMIFS(st_min,st_date,A1716,st_eq,B1716,st_po,C1716,st_type,"Planifié"),"")</f>
        <v/>
      </c>
      <c r="M1716" s="55" t="str">
        <f>IF(ISNUMBER(K1716),K1716-L1716,"")</f>
        <v/>
      </c>
      <c r="N1716" s="55" t="str">
        <f>IF(ISNUMBER(K1716),SUMIFS(st_min,st_date,A1716,st_eq,B1716,st_po,C1716,st_type,"Non planifié"),"")</f>
        <v/>
      </c>
      <c r="O1716" s="55" t="str">
        <f>IF(ISNUMBER(K1716),M1716-N1716,"")</f>
        <v/>
      </c>
      <c r="P1716" s="55" t="str">
        <f>IF(COUNTA(A1716:I1716)=0,"",N(G1716)+N(H1716)+N(I1716))</f>
        <v/>
      </c>
      <c r="Q1716" s="56" t="str">
        <f>IF(COUNTA(A1716:I1716)=0,"",IF(N(IFERROR(INDEX(art_rate,MATCH(E1716,art_ref,0)),0))&gt;0,N(IFERROR(INDEX(art_rate,MATCH(E1716,art_ref,0)),0)),N(IFERROR(INDEX(po_rate,MATCH(C1716,po_code,0)),0))))</f>
        <v/>
      </c>
      <c r="R1716" s="55" t="str">
        <f>IF(AC1716=1,P1716*60/Q1716,"")</f>
        <v/>
      </c>
      <c r="S1716" s="55" t="str">
        <f>IF(AC1716=1,N(G1716)*60/Q1716,"")</f>
        <v/>
      </c>
      <c r="T1716" s="57" t="str">
        <f>IF(AC1716=1,O1716/M1716,"")</f>
        <v/>
      </c>
      <c r="U1716" s="57" t="str">
        <f>IF(AC1716=1,IF(O1716&gt;0,R1716/O1716,""),"")</f>
        <v/>
      </c>
      <c r="V1716" s="57" t="str">
        <f>IF(AC1716=1,IF(P1716&gt;0,N(G1716)/P1716,""),"")</f>
        <v/>
      </c>
      <c r="W1716" s="57" t="str">
        <f>IF(AC1716=1,S1716/M1716,"")</f>
        <v/>
      </c>
      <c r="X1716" s="57" t="str">
        <f>IF(AC1716=1,S1716/K1716,"")</f>
        <v/>
      </c>
      <c r="Y1716" s="58" t="str">
        <f>IF(W1716="","",IF(W1716&gt;=p_target,"Bon",IF(W1716&gt;=p_alert,"À surveiller","Faible")))</f>
        <v/>
      </c>
      <c r="Z1716" s="58" t="str">
        <f>IF(W1716="","",IF(MIN(IF(T1716="",1,T1716),IF(U1716="",1,U1716),IF(V1716="",1,V1716))&gt;=1,"Aucune",IF(IF(T1716="",1,T1716)&lt;=MIN(IF(U1716="",1,U1716),IF(V1716="",1,V1716)),"Disponibilité",IF(IF(U1716="",1,U1716)&lt;=IF(V1716="",1,V1716),"Performance","Qualité"))))</f>
        <v/>
      </c>
      <c r="AA1716" s="59" t="str">
        <f>IF(AC1716=1,N(H1716)*N(IFERROR(INDEX(art_cost,MATCH(E1716,art_ref,0)),0)),"")</f>
        <v/>
      </c>
      <c r="AB1716" s="58" t="str">
        <f>IF(COUNTA(A1716:I1716)=0,"",IF(N(A1716)&lt;=0,"Date manquante ou invalide",IF(B1716="","Équipe manquante",IF(ISNA(MATCH(B1716,eq_code,0)),"Équipe inconnue",IF(INDEX(eq_check,MATCH(B1716,eq_code,0))&lt;&gt;"OK","Équipe à corriger dans Paramètres",IF(C1716="","Poste manquant",IF(ISNA(MATCH(C1716,po_code,0)),"Poste inconnu",IF(AND(E1716&lt;&gt;"",ISNA(MATCH(E1716,art_ref,0))),"Article inconnu",IF(IF(E1716="",FALSE,INDEX(art_check,MATCH(E1716,art_ref,0))&lt;&gt;"OK"),"Article à corriger (feuille Articles)",IF(COUNTIFS(sj_date,A1716,sj_eq,B1716,sj_po,C1716)&gt;1,"Ligne en double (même jour, équipe et poste)",IF(OR(NOT(ISNUMBER(K1716)),N(K1716)&lt;=0,N(K1716)&gt;1440),"Temps d'ouverture invalide",IF(OR(AND(G1716&lt;&gt;"",NOT(ISNUMBER(G1716))),N(G1716)&lt;0,N(G1716)&lt;&gt;INT(N(G1716)),AND(H1716&lt;&gt;"",NOT(ISNUMBER(H1716))),N(H1716)&lt;0,N(H1716)&lt;&gt;INT(N(H1716)),AND(I1716&lt;&gt;"",NOT(ISNUMBER(I1716))),N(I1716)&lt;0,N(I1716)&lt;&gt;INT(N(I1716))),"Quantité invalide",IF(Q1716&lt;=0,"Cadence manquante (poste ou article)",IF(M1716&lt;=0,"Arrêts planifiés supérieurs au temps d'ouverture",IF(O1716&lt;0,"Arrêts supérieurs au temps requis",IF(AND(P1716&gt;0,O1716=0),"Pièces déclarées sans temps de marche",IF(AND(P1716=0,O1716&gt;0),"Aucune pièce déclarée",IF(P1716*60/Q1716&gt;O1716+0.001,"Cadence dépassée : vérifiez la cadence","OK"))))))))))))))))))</f>
        <v/>
      </c>
      <c r="AC1716">
        <f>IF(OR(AB1716="OK",AB1716="Aucune pièce déclarée",AB1716="Cadence dépassée : vérifiez la cadence"),1,0)</f>
        <v>0.0</v>
      </c>
      <c r="AD1716">
        <f>IF(AND(AC1716=1,A1716&gt;=p_from,A1716&lt;=p_to),1,0)</f>
        <v>0.0</v>
      </c>
      <c r="AE1716">
        <f>IF(AD1716=1,IF(COUNTIFS($A$6:A1716,A1716,$AD$6:AD1716,1)=1,1,0),0)</f>
        <v>0.0</v>
      </c>
      <c r="AF1716" t="str">
        <f>IF(AE1716=1,COUNTIFS(sj_first,1,sj_date,"&lt;"&amp;A1716)+1,"")</f>
        <v/>
      </c>
      <c r="AG1716" t="str">
        <f>IF(AND(AD1716=1,N(W1716)&lt;p_alert),ROUND(W1716,4),"")</f>
        <v/>
      </c>
      <c r="AH1716" t="str">
        <f>IF(AG1716="","",COUNTIF(sj_akey,"&lt;"&amp;AG1716)+COUNTIF($AG$6:AG1716,AG1716))</f>
        <v/>
      </c>
    </row>
    <row r="1717">
      <c r="A1717" s="51" t="n"/>
      <c r="B1717" s="52" t="n"/>
      <c r="C1717" s="52" t="n"/>
      <c r="D1717" s="53" t="n"/>
      <c r="E1717" s="53" t="n"/>
      <c r="F1717" s="54" t="n"/>
      <c r="G1717" s="54" t="n"/>
      <c r="H1717" s="54" t="n"/>
      <c r="I1717" s="54" t="n"/>
      <c r="J1717" s="53" t="n"/>
      <c r="K1717" s="55" t="str">
        <f>IF(COUNTA(A1717:I1717)=0,"",IF(F1717="",IFERROR(INDEX(eq_dur,MATCH(B1717,eq_code,0)),""),F1717))</f>
        <v/>
      </c>
      <c r="L1717" s="55" t="str">
        <f>IF(ISNUMBER(K1717),N(IFERROR(INDEX(eq_pause,MATCH(B1717,eq_code,0)),0))+SUMIFS(st_min,st_date,A1717,st_eq,B1717,st_po,C1717,st_type,"Planifié"),"")</f>
        <v/>
      </c>
      <c r="M1717" s="55" t="str">
        <f>IF(ISNUMBER(K1717),K1717-L1717,"")</f>
        <v/>
      </c>
      <c r="N1717" s="55" t="str">
        <f>IF(ISNUMBER(K1717),SUMIFS(st_min,st_date,A1717,st_eq,B1717,st_po,C1717,st_type,"Non planifié"),"")</f>
        <v/>
      </c>
      <c r="O1717" s="55" t="str">
        <f>IF(ISNUMBER(K1717),M1717-N1717,"")</f>
        <v/>
      </c>
      <c r="P1717" s="55" t="str">
        <f>IF(COUNTA(A1717:I1717)=0,"",N(G1717)+N(H1717)+N(I1717))</f>
        <v/>
      </c>
      <c r="Q1717" s="56" t="str">
        <f>IF(COUNTA(A1717:I1717)=0,"",IF(N(IFERROR(INDEX(art_rate,MATCH(E1717,art_ref,0)),0))&gt;0,N(IFERROR(INDEX(art_rate,MATCH(E1717,art_ref,0)),0)),N(IFERROR(INDEX(po_rate,MATCH(C1717,po_code,0)),0))))</f>
        <v/>
      </c>
      <c r="R1717" s="55" t="str">
        <f>IF(AC1717=1,P1717*60/Q1717,"")</f>
        <v/>
      </c>
      <c r="S1717" s="55" t="str">
        <f>IF(AC1717=1,N(G1717)*60/Q1717,"")</f>
        <v/>
      </c>
      <c r="T1717" s="57" t="str">
        <f>IF(AC1717=1,O1717/M1717,"")</f>
        <v/>
      </c>
      <c r="U1717" s="57" t="str">
        <f>IF(AC1717=1,IF(O1717&gt;0,R1717/O1717,""),"")</f>
        <v/>
      </c>
      <c r="V1717" s="57" t="str">
        <f>IF(AC1717=1,IF(P1717&gt;0,N(G1717)/P1717,""),"")</f>
        <v/>
      </c>
      <c r="W1717" s="57" t="str">
        <f>IF(AC1717=1,S1717/M1717,"")</f>
        <v/>
      </c>
      <c r="X1717" s="57" t="str">
        <f>IF(AC1717=1,S1717/K1717,"")</f>
        <v/>
      </c>
      <c r="Y1717" s="58" t="str">
        <f>IF(W1717="","",IF(W1717&gt;=p_target,"Bon",IF(W1717&gt;=p_alert,"À surveiller","Faible")))</f>
        <v/>
      </c>
      <c r="Z1717" s="58" t="str">
        <f>IF(W1717="","",IF(MIN(IF(T1717="",1,T1717),IF(U1717="",1,U1717),IF(V1717="",1,V1717))&gt;=1,"Aucune",IF(IF(T1717="",1,T1717)&lt;=MIN(IF(U1717="",1,U1717),IF(V1717="",1,V1717)),"Disponibilité",IF(IF(U1717="",1,U1717)&lt;=IF(V1717="",1,V1717),"Performance","Qualité"))))</f>
        <v/>
      </c>
      <c r="AA1717" s="59" t="str">
        <f>IF(AC1717=1,N(H1717)*N(IFERROR(INDEX(art_cost,MATCH(E1717,art_ref,0)),0)),"")</f>
        <v/>
      </c>
      <c r="AB1717" s="58" t="str">
        <f>IF(COUNTA(A1717:I1717)=0,"",IF(N(A1717)&lt;=0,"Date manquante ou invalide",IF(B1717="","Équipe manquante",IF(ISNA(MATCH(B1717,eq_code,0)),"Équipe inconnue",IF(INDEX(eq_check,MATCH(B1717,eq_code,0))&lt;&gt;"OK","Équipe à corriger dans Paramètres",IF(C1717="","Poste manquant",IF(ISNA(MATCH(C1717,po_code,0)),"Poste inconnu",IF(AND(E1717&lt;&gt;"",ISNA(MATCH(E1717,art_ref,0))),"Article inconnu",IF(IF(E1717="",FALSE,INDEX(art_check,MATCH(E1717,art_ref,0))&lt;&gt;"OK"),"Article à corriger (feuille Articles)",IF(COUNTIFS(sj_date,A1717,sj_eq,B1717,sj_po,C1717)&gt;1,"Ligne en double (même jour, équipe et poste)",IF(OR(NOT(ISNUMBER(K1717)),N(K1717)&lt;=0,N(K1717)&gt;1440),"Temps d'ouverture invalide",IF(OR(AND(G1717&lt;&gt;"",NOT(ISNUMBER(G1717))),N(G1717)&lt;0,N(G1717)&lt;&gt;INT(N(G1717)),AND(H1717&lt;&gt;"",NOT(ISNUMBER(H1717))),N(H1717)&lt;0,N(H1717)&lt;&gt;INT(N(H1717)),AND(I1717&lt;&gt;"",NOT(ISNUMBER(I1717))),N(I1717)&lt;0,N(I1717)&lt;&gt;INT(N(I1717))),"Quantité invalide",IF(Q1717&lt;=0,"Cadence manquante (poste ou article)",IF(M1717&lt;=0,"Arrêts planifiés supérieurs au temps d'ouverture",IF(O1717&lt;0,"Arrêts supérieurs au temps requis",IF(AND(P1717&gt;0,O1717=0),"Pièces déclarées sans temps de marche",IF(AND(P1717=0,O1717&gt;0),"Aucune pièce déclarée",IF(P1717*60/Q1717&gt;O1717+0.001,"Cadence dépassée : vérifiez la cadence","OK"))))))))))))))))))</f>
        <v/>
      </c>
      <c r="AC1717">
        <f>IF(OR(AB1717="OK",AB1717="Aucune pièce déclarée",AB1717="Cadence dépassée : vérifiez la cadence"),1,0)</f>
        <v>0.0</v>
      </c>
      <c r="AD1717">
        <f>IF(AND(AC1717=1,A1717&gt;=p_from,A1717&lt;=p_to),1,0)</f>
        <v>0.0</v>
      </c>
      <c r="AE1717">
        <f>IF(AD1717=1,IF(COUNTIFS($A$6:A1717,A1717,$AD$6:AD1717,1)=1,1,0),0)</f>
        <v>0.0</v>
      </c>
      <c r="AF1717" t="str">
        <f>IF(AE1717=1,COUNTIFS(sj_first,1,sj_date,"&lt;"&amp;A1717)+1,"")</f>
        <v/>
      </c>
      <c r="AG1717" t="str">
        <f>IF(AND(AD1717=1,N(W1717)&lt;p_alert),ROUND(W1717,4),"")</f>
        <v/>
      </c>
      <c r="AH1717" t="str">
        <f>IF(AG1717="","",COUNTIF(sj_akey,"&lt;"&amp;AG1717)+COUNTIF($AG$6:AG1717,AG1717))</f>
        <v/>
      </c>
    </row>
    <row r="1718">
      <c r="A1718" s="51" t="n"/>
      <c r="B1718" s="52" t="n"/>
      <c r="C1718" s="52" t="n"/>
      <c r="D1718" s="53" t="n"/>
      <c r="E1718" s="53" t="n"/>
      <c r="F1718" s="54" t="n"/>
      <c r="G1718" s="54" t="n"/>
      <c r="H1718" s="54" t="n"/>
      <c r="I1718" s="54" t="n"/>
      <c r="J1718" s="53" t="n"/>
      <c r="K1718" s="55" t="str">
        <f>IF(COUNTA(A1718:I1718)=0,"",IF(F1718="",IFERROR(INDEX(eq_dur,MATCH(B1718,eq_code,0)),""),F1718))</f>
        <v/>
      </c>
      <c r="L1718" s="55" t="str">
        <f>IF(ISNUMBER(K1718),N(IFERROR(INDEX(eq_pause,MATCH(B1718,eq_code,0)),0))+SUMIFS(st_min,st_date,A1718,st_eq,B1718,st_po,C1718,st_type,"Planifié"),"")</f>
        <v/>
      </c>
      <c r="M1718" s="55" t="str">
        <f>IF(ISNUMBER(K1718),K1718-L1718,"")</f>
        <v/>
      </c>
      <c r="N1718" s="55" t="str">
        <f>IF(ISNUMBER(K1718),SUMIFS(st_min,st_date,A1718,st_eq,B1718,st_po,C1718,st_type,"Non planifié"),"")</f>
        <v/>
      </c>
      <c r="O1718" s="55" t="str">
        <f>IF(ISNUMBER(K1718),M1718-N1718,"")</f>
        <v/>
      </c>
      <c r="P1718" s="55" t="str">
        <f>IF(COUNTA(A1718:I1718)=0,"",N(G1718)+N(H1718)+N(I1718))</f>
        <v/>
      </c>
      <c r="Q1718" s="56" t="str">
        <f>IF(COUNTA(A1718:I1718)=0,"",IF(N(IFERROR(INDEX(art_rate,MATCH(E1718,art_ref,0)),0))&gt;0,N(IFERROR(INDEX(art_rate,MATCH(E1718,art_ref,0)),0)),N(IFERROR(INDEX(po_rate,MATCH(C1718,po_code,0)),0))))</f>
        <v/>
      </c>
      <c r="R1718" s="55" t="str">
        <f>IF(AC1718=1,P1718*60/Q1718,"")</f>
        <v/>
      </c>
      <c r="S1718" s="55" t="str">
        <f>IF(AC1718=1,N(G1718)*60/Q1718,"")</f>
        <v/>
      </c>
      <c r="T1718" s="57" t="str">
        <f>IF(AC1718=1,O1718/M1718,"")</f>
        <v/>
      </c>
      <c r="U1718" s="57" t="str">
        <f>IF(AC1718=1,IF(O1718&gt;0,R1718/O1718,""),"")</f>
        <v/>
      </c>
      <c r="V1718" s="57" t="str">
        <f>IF(AC1718=1,IF(P1718&gt;0,N(G1718)/P1718,""),"")</f>
        <v/>
      </c>
      <c r="W1718" s="57" t="str">
        <f>IF(AC1718=1,S1718/M1718,"")</f>
        <v/>
      </c>
      <c r="X1718" s="57" t="str">
        <f>IF(AC1718=1,S1718/K1718,"")</f>
        <v/>
      </c>
      <c r="Y1718" s="58" t="str">
        <f>IF(W1718="","",IF(W1718&gt;=p_target,"Bon",IF(W1718&gt;=p_alert,"À surveiller","Faible")))</f>
        <v/>
      </c>
      <c r="Z1718" s="58" t="str">
        <f>IF(W1718="","",IF(MIN(IF(T1718="",1,T1718),IF(U1718="",1,U1718),IF(V1718="",1,V1718))&gt;=1,"Aucune",IF(IF(T1718="",1,T1718)&lt;=MIN(IF(U1718="",1,U1718),IF(V1718="",1,V1718)),"Disponibilité",IF(IF(U1718="",1,U1718)&lt;=IF(V1718="",1,V1718),"Performance","Qualité"))))</f>
        <v/>
      </c>
      <c r="AA1718" s="59" t="str">
        <f>IF(AC1718=1,N(H1718)*N(IFERROR(INDEX(art_cost,MATCH(E1718,art_ref,0)),0)),"")</f>
        <v/>
      </c>
      <c r="AB1718" s="58" t="str">
        <f>IF(COUNTA(A1718:I1718)=0,"",IF(N(A1718)&lt;=0,"Date manquante ou invalide",IF(B1718="","Équipe manquante",IF(ISNA(MATCH(B1718,eq_code,0)),"Équipe inconnue",IF(INDEX(eq_check,MATCH(B1718,eq_code,0))&lt;&gt;"OK","Équipe à corriger dans Paramètres",IF(C1718="","Poste manquant",IF(ISNA(MATCH(C1718,po_code,0)),"Poste inconnu",IF(AND(E1718&lt;&gt;"",ISNA(MATCH(E1718,art_ref,0))),"Article inconnu",IF(IF(E1718="",FALSE,INDEX(art_check,MATCH(E1718,art_ref,0))&lt;&gt;"OK"),"Article à corriger (feuille Articles)",IF(COUNTIFS(sj_date,A1718,sj_eq,B1718,sj_po,C1718)&gt;1,"Ligne en double (même jour, équipe et poste)",IF(OR(NOT(ISNUMBER(K1718)),N(K1718)&lt;=0,N(K1718)&gt;1440),"Temps d'ouverture invalide",IF(OR(AND(G1718&lt;&gt;"",NOT(ISNUMBER(G1718))),N(G1718)&lt;0,N(G1718)&lt;&gt;INT(N(G1718)),AND(H1718&lt;&gt;"",NOT(ISNUMBER(H1718))),N(H1718)&lt;0,N(H1718)&lt;&gt;INT(N(H1718)),AND(I1718&lt;&gt;"",NOT(ISNUMBER(I1718))),N(I1718)&lt;0,N(I1718)&lt;&gt;INT(N(I1718))),"Quantité invalide",IF(Q1718&lt;=0,"Cadence manquante (poste ou article)",IF(M1718&lt;=0,"Arrêts planifiés supérieurs au temps d'ouverture",IF(O1718&lt;0,"Arrêts supérieurs au temps requis",IF(AND(P1718&gt;0,O1718=0),"Pièces déclarées sans temps de marche",IF(AND(P1718=0,O1718&gt;0),"Aucune pièce déclarée",IF(P1718*60/Q1718&gt;O1718+0.001,"Cadence dépassée : vérifiez la cadence","OK"))))))))))))))))))</f>
        <v/>
      </c>
      <c r="AC1718">
        <f>IF(OR(AB1718="OK",AB1718="Aucune pièce déclarée",AB1718="Cadence dépassée : vérifiez la cadence"),1,0)</f>
        <v>0.0</v>
      </c>
      <c r="AD1718">
        <f>IF(AND(AC1718=1,A1718&gt;=p_from,A1718&lt;=p_to),1,0)</f>
        <v>0.0</v>
      </c>
      <c r="AE1718">
        <f>IF(AD1718=1,IF(COUNTIFS($A$6:A1718,A1718,$AD$6:AD1718,1)=1,1,0),0)</f>
        <v>0.0</v>
      </c>
      <c r="AF1718" t="str">
        <f>IF(AE1718=1,COUNTIFS(sj_first,1,sj_date,"&lt;"&amp;A1718)+1,"")</f>
        <v/>
      </c>
      <c r="AG1718" t="str">
        <f>IF(AND(AD1718=1,N(W1718)&lt;p_alert),ROUND(W1718,4),"")</f>
        <v/>
      </c>
      <c r="AH1718" t="str">
        <f>IF(AG1718="","",COUNTIF(sj_akey,"&lt;"&amp;AG1718)+COUNTIF($AG$6:AG1718,AG1718))</f>
        <v/>
      </c>
    </row>
    <row r="1719">
      <c r="A1719" s="51" t="n"/>
      <c r="B1719" s="52" t="n"/>
      <c r="C1719" s="52" t="n"/>
      <c r="D1719" s="53" t="n"/>
      <c r="E1719" s="53" t="n"/>
      <c r="F1719" s="54" t="n"/>
      <c r="G1719" s="54" t="n"/>
      <c r="H1719" s="54" t="n"/>
      <c r="I1719" s="54" t="n"/>
      <c r="J1719" s="53" t="n"/>
      <c r="K1719" s="55" t="str">
        <f>IF(COUNTA(A1719:I1719)=0,"",IF(F1719="",IFERROR(INDEX(eq_dur,MATCH(B1719,eq_code,0)),""),F1719))</f>
        <v/>
      </c>
      <c r="L1719" s="55" t="str">
        <f>IF(ISNUMBER(K1719),N(IFERROR(INDEX(eq_pause,MATCH(B1719,eq_code,0)),0))+SUMIFS(st_min,st_date,A1719,st_eq,B1719,st_po,C1719,st_type,"Planifié"),"")</f>
        <v/>
      </c>
      <c r="M1719" s="55" t="str">
        <f>IF(ISNUMBER(K1719),K1719-L1719,"")</f>
        <v/>
      </c>
      <c r="N1719" s="55" t="str">
        <f>IF(ISNUMBER(K1719),SUMIFS(st_min,st_date,A1719,st_eq,B1719,st_po,C1719,st_type,"Non planifié"),"")</f>
        <v/>
      </c>
      <c r="O1719" s="55" t="str">
        <f>IF(ISNUMBER(K1719),M1719-N1719,"")</f>
        <v/>
      </c>
      <c r="P1719" s="55" t="str">
        <f>IF(COUNTA(A1719:I1719)=0,"",N(G1719)+N(H1719)+N(I1719))</f>
        <v/>
      </c>
      <c r="Q1719" s="56" t="str">
        <f>IF(COUNTA(A1719:I1719)=0,"",IF(N(IFERROR(INDEX(art_rate,MATCH(E1719,art_ref,0)),0))&gt;0,N(IFERROR(INDEX(art_rate,MATCH(E1719,art_ref,0)),0)),N(IFERROR(INDEX(po_rate,MATCH(C1719,po_code,0)),0))))</f>
        <v/>
      </c>
      <c r="R1719" s="55" t="str">
        <f>IF(AC1719=1,P1719*60/Q1719,"")</f>
        <v/>
      </c>
      <c r="S1719" s="55" t="str">
        <f>IF(AC1719=1,N(G1719)*60/Q1719,"")</f>
        <v/>
      </c>
      <c r="T1719" s="57" t="str">
        <f>IF(AC1719=1,O1719/M1719,"")</f>
        <v/>
      </c>
      <c r="U1719" s="57" t="str">
        <f>IF(AC1719=1,IF(O1719&gt;0,R1719/O1719,""),"")</f>
        <v/>
      </c>
      <c r="V1719" s="57" t="str">
        <f>IF(AC1719=1,IF(P1719&gt;0,N(G1719)/P1719,""),"")</f>
        <v/>
      </c>
      <c r="W1719" s="57" t="str">
        <f>IF(AC1719=1,S1719/M1719,"")</f>
        <v/>
      </c>
      <c r="X1719" s="57" t="str">
        <f>IF(AC1719=1,S1719/K1719,"")</f>
        <v/>
      </c>
      <c r="Y1719" s="58" t="str">
        <f>IF(W1719="","",IF(W1719&gt;=p_target,"Bon",IF(W1719&gt;=p_alert,"À surveiller","Faible")))</f>
        <v/>
      </c>
      <c r="Z1719" s="58" t="str">
        <f>IF(W1719="","",IF(MIN(IF(T1719="",1,T1719),IF(U1719="",1,U1719),IF(V1719="",1,V1719))&gt;=1,"Aucune",IF(IF(T1719="",1,T1719)&lt;=MIN(IF(U1719="",1,U1719),IF(V1719="",1,V1719)),"Disponibilité",IF(IF(U1719="",1,U1719)&lt;=IF(V1719="",1,V1719),"Performance","Qualité"))))</f>
        <v/>
      </c>
      <c r="AA1719" s="59" t="str">
        <f>IF(AC1719=1,N(H1719)*N(IFERROR(INDEX(art_cost,MATCH(E1719,art_ref,0)),0)),"")</f>
        <v/>
      </c>
      <c r="AB1719" s="58" t="str">
        <f>IF(COUNTA(A1719:I1719)=0,"",IF(N(A1719)&lt;=0,"Date manquante ou invalide",IF(B1719="","Équipe manquante",IF(ISNA(MATCH(B1719,eq_code,0)),"Équipe inconnue",IF(INDEX(eq_check,MATCH(B1719,eq_code,0))&lt;&gt;"OK","Équipe à corriger dans Paramètres",IF(C1719="","Poste manquant",IF(ISNA(MATCH(C1719,po_code,0)),"Poste inconnu",IF(AND(E1719&lt;&gt;"",ISNA(MATCH(E1719,art_ref,0))),"Article inconnu",IF(IF(E1719="",FALSE,INDEX(art_check,MATCH(E1719,art_ref,0))&lt;&gt;"OK"),"Article à corriger (feuille Articles)",IF(COUNTIFS(sj_date,A1719,sj_eq,B1719,sj_po,C1719)&gt;1,"Ligne en double (même jour, équipe et poste)",IF(OR(NOT(ISNUMBER(K1719)),N(K1719)&lt;=0,N(K1719)&gt;1440),"Temps d'ouverture invalide",IF(OR(AND(G1719&lt;&gt;"",NOT(ISNUMBER(G1719))),N(G1719)&lt;0,N(G1719)&lt;&gt;INT(N(G1719)),AND(H1719&lt;&gt;"",NOT(ISNUMBER(H1719))),N(H1719)&lt;0,N(H1719)&lt;&gt;INT(N(H1719)),AND(I1719&lt;&gt;"",NOT(ISNUMBER(I1719))),N(I1719)&lt;0,N(I1719)&lt;&gt;INT(N(I1719))),"Quantité invalide",IF(Q1719&lt;=0,"Cadence manquante (poste ou article)",IF(M1719&lt;=0,"Arrêts planifiés supérieurs au temps d'ouverture",IF(O1719&lt;0,"Arrêts supérieurs au temps requis",IF(AND(P1719&gt;0,O1719=0),"Pièces déclarées sans temps de marche",IF(AND(P1719=0,O1719&gt;0),"Aucune pièce déclarée",IF(P1719*60/Q1719&gt;O1719+0.001,"Cadence dépassée : vérifiez la cadence","OK"))))))))))))))))))</f>
        <v/>
      </c>
      <c r="AC1719">
        <f>IF(OR(AB1719="OK",AB1719="Aucune pièce déclarée",AB1719="Cadence dépassée : vérifiez la cadence"),1,0)</f>
        <v>0.0</v>
      </c>
      <c r="AD1719">
        <f>IF(AND(AC1719=1,A1719&gt;=p_from,A1719&lt;=p_to),1,0)</f>
        <v>0.0</v>
      </c>
      <c r="AE1719">
        <f>IF(AD1719=1,IF(COUNTIFS($A$6:A1719,A1719,$AD$6:AD1719,1)=1,1,0),0)</f>
        <v>0.0</v>
      </c>
      <c r="AF1719" t="str">
        <f>IF(AE1719=1,COUNTIFS(sj_first,1,sj_date,"&lt;"&amp;A1719)+1,"")</f>
        <v/>
      </c>
      <c r="AG1719" t="str">
        <f>IF(AND(AD1719=1,N(W1719)&lt;p_alert),ROUND(W1719,4),"")</f>
        <v/>
      </c>
      <c r="AH1719" t="str">
        <f>IF(AG1719="","",COUNTIF(sj_akey,"&lt;"&amp;AG1719)+COUNTIF($AG$6:AG1719,AG1719))</f>
        <v/>
      </c>
    </row>
    <row r="1720">
      <c r="A1720" s="51" t="n"/>
      <c r="B1720" s="52" t="n"/>
      <c r="C1720" s="52" t="n"/>
      <c r="D1720" s="53" t="n"/>
      <c r="E1720" s="53" t="n"/>
      <c r="F1720" s="54" t="n"/>
      <c r="G1720" s="54" t="n"/>
      <c r="H1720" s="54" t="n"/>
      <c r="I1720" s="54" t="n"/>
      <c r="J1720" s="53" t="n"/>
      <c r="K1720" s="55" t="str">
        <f>IF(COUNTA(A1720:I1720)=0,"",IF(F1720="",IFERROR(INDEX(eq_dur,MATCH(B1720,eq_code,0)),""),F1720))</f>
        <v/>
      </c>
      <c r="L1720" s="55" t="str">
        <f>IF(ISNUMBER(K1720),N(IFERROR(INDEX(eq_pause,MATCH(B1720,eq_code,0)),0))+SUMIFS(st_min,st_date,A1720,st_eq,B1720,st_po,C1720,st_type,"Planifié"),"")</f>
        <v/>
      </c>
      <c r="M1720" s="55" t="str">
        <f>IF(ISNUMBER(K1720),K1720-L1720,"")</f>
        <v/>
      </c>
      <c r="N1720" s="55" t="str">
        <f>IF(ISNUMBER(K1720),SUMIFS(st_min,st_date,A1720,st_eq,B1720,st_po,C1720,st_type,"Non planifié"),"")</f>
        <v/>
      </c>
      <c r="O1720" s="55" t="str">
        <f>IF(ISNUMBER(K1720),M1720-N1720,"")</f>
        <v/>
      </c>
      <c r="P1720" s="55" t="str">
        <f>IF(COUNTA(A1720:I1720)=0,"",N(G1720)+N(H1720)+N(I1720))</f>
        <v/>
      </c>
      <c r="Q1720" s="56" t="str">
        <f>IF(COUNTA(A1720:I1720)=0,"",IF(N(IFERROR(INDEX(art_rate,MATCH(E1720,art_ref,0)),0))&gt;0,N(IFERROR(INDEX(art_rate,MATCH(E1720,art_ref,0)),0)),N(IFERROR(INDEX(po_rate,MATCH(C1720,po_code,0)),0))))</f>
        <v/>
      </c>
      <c r="R1720" s="55" t="str">
        <f>IF(AC1720=1,P1720*60/Q1720,"")</f>
        <v/>
      </c>
      <c r="S1720" s="55" t="str">
        <f>IF(AC1720=1,N(G1720)*60/Q1720,"")</f>
        <v/>
      </c>
      <c r="T1720" s="57" t="str">
        <f>IF(AC1720=1,O1720/M1720,"")</f>
        <v/>
      </c>
      <c r="U1720" s="57" t="str">
        <f>IF(AC1720=1,IF(O1720&gt;0,R1720/O1720,""),"")</f>
        <v/>
      </c>
      <c r="V1720" s="57" t="str">
        <f>IF(AC1720=1,IF(P1720&gt;0,N(G1720)/P1720,""),"")</f>
        <v/>
      </c>
      <c r="W1720" s="57" t="str">
        <f>IF(AC1720=1,S1720/M1720,"")</f>
        <v/>
      </c>
      <c r="X1720" s="57" t="str">
        <f>IF(AC1720=1,S1720/K1720,"")</f>
        <v/>
      </c>
      <c r="Y1720" s="58" t="str">
        <f>IF(W1720="","",IF(W1720&gt;=p_target,"Bon",IF(W1720&gt;=p_alert,"À surveiller","Faible")))</f>
        <v/>
      </c>
      <c r="Z1720" s="58" t="str">
        <f>IF(W1720="","",IF(MIN(IF(T1720="",1,T1720),IF(U1720="",1,U1720),IF(V1720="",1,V1720))&gt;=1,"Aucune",IF(IF(T1720="",1,T1720)&lt;=MIN(IF(U1720="",1,U1720),IF(V1720="",1,V1720)),"Disponibilité",IF(IF(U1720="",1,U1720)&lt;=IF(V1720="",1,V1720),"Performance","Qualité"))))</f>
        <v/>
      </c>
      <c r="AA1720" s="59" t="str">
        <f>IF(AC1720=1,N(H1720)*N(IFERROR(INDEX(art_cost,MATCH(E1720,art_ref,0)),0)),"")</f>
        <v/>
      </c>
      <c r="AB1720" s="58" t="str">
        <f>IF(COUNTA(A1720:I1720)=0,"",IF(N(A1720)&lt;=0,"Date manquante ou invalide",IF(B1720="","Équipe manquante",IF(ISNA(MATCH(B1720,eq_code,0)),"Équipe inconnue",IF(INDEX(eq_check,MATCH(B1720,eq_code,0))&lt;&gt;"OK","Équipe à corriger dans Paramètres",IF(C1720="","Poste manquant",IF(ISNA(MATCH(C1720,po_code,0)),"Poste inconnu",IF(AND(E1720&lt;&gt;"",ISNA(MATCH(E1720,art_ref,0))),"Article inconnu",IF(IF(E1720="",FALSE,INDEX(art_check,MATCH(E1720,art_ref,0))&lt;&gt;"OK"),"Article à corriger (feuille Articles)",IF(COUNTIFS(sj_date,A1720,sj_eq,B1720,sj_po,C1720)&gt;1,"Ligne en double (même jour, équipe et poste)",IF(OR(NOT(ISNUMBER(K1720)),N(K1720)&lt;=0,N(K1720)&gt;1440),"Temps d'ouverture invalide",IF(OR(AND(G1720&lt;&gt;"",NOT(ISNUMBER(G1720))),N(G1720)&lt;0,N(G1720)&lt;&gt;INT(N(G1720)),AND(H1720&lt;&gt;"",NOT(ISNUMBER(H1720))),N(H1720)&lt;0,N(H1720)&lt;&gt;INT(N(H1720)),AND(I1720&lt;&gt;"",NOT(ISNUMBER(I1720))),N(I1720)&lt;0,N(I1720)&lt;&gt;INT(N(I1720))),"Quantité invalide",IF(Q1720&lt;=0,"Cadence manquante (poste ou article)",IF(M1720&lt;=0,"Arrêts planifiés supérieurs au temps d'ouverture",IF(O1720&lt;0,"Arrêts supérieurs au temps requis",IF(AND(P1720&gt;0,O1720=0),"Pièces déclarées sans temps de marche",IF(AND(P1720=0,O1720&gt;0),"Aucune pièce déclarée",IF(P1720*60/Q1720&gt;O1720+0.001,"Cadence dépassée : vérifiez la cadence","OK"))))))))))))))))))</f>
        <v/>
      </c>
      <c r="AC1720">
        <f>IF(OR(AB1720="OK",AB1720="Aucune pièce déclarée",AB1720="Cadence dépassée : vérifiez la cadence"),1,0)</f>
        <v>0.0</v>
      </c>
      <c r="AD1720">
        <f>IF(AND(AC1720=1,A1720&gt;=p_from,A1720&lt;=p_to),1,0)</f>
        <v>0.0</v>
      </c>
      <c r="AE1720">
        <f>IF(AD1720=1,IF(COUNTIFS($A$6:A1720,A1720,$AD$6:AD1720,1)=1,1,0),0)</f>
        <v>0.0</v>
      </c>
      <c r="AF1720" t="str">
        <f>IF(AE1720=1,COUNTIFS(sj_first,1,sj_date,"&lt;"&amp;A1720)+1,"")</f>
        <v/>
      </c>
      <c r="AG1720" t="str">
        <f>IF(AND(AD1720=1,N(W1720)&lt;p_alert),ROUND(W1720,4),"")</f>
        <v/>
      </c>
      <c r="AH1720" t="str">
        <f>IF(AG1720="","",COUNTIF(sj_akey,"&lt;"&amp;AG1720)+COUNTIF($AG$6:AG1720,AG1720))</f>
        <v/>
      </c>
    </row>
    <row r="1721">
      <c r="A1721" s="51" t="n"/>
      <c r="B1721" s="52" t="n"/>
      <c r="C1721" s="52" t="n"/>
      <c r="D1721" s="53" t="n"/>
      <c r="E1721" s="53" t="n"/>
      <c r="F1721" s="54" t="n"/>
      <c r="G1721" s="54" t="n"/>
      <c r="H1721" s="54" t="n"/>
      <c r="I1721" s="54" t="n"/>
      <c r="J1721" s="53" t="n"/>
      <c r="K1721" s="55" t="str">
        <f>IF(COUNTA(A1721:I1721)=0,"",IF(F1721="",IFERROR(INDEX(eq_dur,MATCH(B1721,eq_code,0)),""),F1721))</f>
        <v/>
      </c>
      <c r="L1721" s="55" t="str">
        <f>IF(ISNUMBER(K1721),N(IFERROR(INDEX(eq_pause,MATCH(B1721,eq_code,0)),0))+SUMIFS(st_min,st_date,A1721,st_eq,B1721,st_po,C1721,st_type,"Planifié"),"")</f>
        <v/>
      </c>
      <c r="M1721" s="55" t="str">
        <f>IF(ISNUMBER(K1721),K1721-L1721,"")</f>
        <v/>
      </c>
      <c r="N1721" s="55" t="str">
        <f>IF(ISNUMBER(K1721),SUMIFS(st_min,st_date,A1721,st_eq,B1721,st_po,C1721,st_type,"Non planifié"),"")</f>
        <v/>
      </c>
      <c r="O1721" s="55" t="str">
        <f>IF(ISNUMBER(K1721),M1721-N1721,"")</f>
        <v/>
      </c>
      <c r="P1721" s="55" t="str">
        <f>IF(COUNTA(A1721:I1721)=0,"",N(G1721)+N(H1721)+N(I1721))</f>
        <v/>
      </c>
      <c r="Q1721" s="56" t="str">
        <f>IF(COUNTA(A1721:I1721)=0,"",IF(N(IFERROR(INDEX(art_rate,MATCH(E1721,art_ref,0)),0))&gt;0,N(IFERROR(INDEX(art_rate,MATCH(E1721,art_ref,0)),0)),N(IFERROR(INDEX(po_rate,MATCH(C1721,po_code,0)),0))))</f>
        <v/>
      </c>
      <c r="R1721" s="55" t="str">
        <f>IF(AC1721=1,P1721*60/Q1721,"")</f>
        <v/>
      </c>
      <c r="S1721" s="55" t="str">
        <f>IF(AC1721=1,N(G1721)*60/Q1721,"")</f>
        <v/>
      </c>
      <c r="T1721" s="57" t="str">
        <f>IF(AC1721=1,O1721/M1721,"")</f>
        <v/>
      </c>
      <c r="U1721" s="57" t="str">
        <f>IF(AC1721=1,IF(O1721&gt;0,R1721/O1721,""),"")</f>
        <v/>
      </c>
      <c r="V1721" s="57" t="str">
        <f>IF(AC1721=1,IF(P1721&gt;0,N(G1721)/P1721,""),"")</f>
        <v/>
      </c>
      <c r="W1721" s="57" t="str">
        <f>IF(AC1721=1,S1721/M1721,"")</f>
        <v/>
      </c>
      <c r="X1721" s="57" t="str">
        <f>IF(AC1721=1,S1721/K1721,"")</f>
        <v/>
      </c>
      <c r="Y1721" s="58" t="str">
        <f>IF(W1721="","",IF(W1721&gt;=p_target,"Bon",IF(W1721&gt;=p_alert,"À surveiller","Faible")))</f>
        <v/>
      </c>
      <c r="Z1721" s="58" t="str">
        <f>IF(W1721="","",IF(MIN(IF(T1721="",1,T1721),IF(U1721="",1,U1721),IF(V1721="",1,V1721))&gt;=1,"Aucune",IF(IF(T1721="",1,T1721)&lt;=MIN(IF(U1721="",1,U1721),IF(V1721="",1,V1721)),"Disponibilité",IF(IF(U1721="",1,U1721)&lt;=IF(V1721="",1,V1721),"Performance","Qualité"))))</f>
        <v/>
      </c>
      <c r="AA1721" s="59" t="str">
        <f>IF(AC1721=1,N(H1721)*N(IFERROR(INDEX(art_cost,MATCH(E1721,art_ref,0)),0)),"")</f>
        <v/>
      </c>
      <c r="AB1721" s="58" t="str">
        <f>IF(COUNTA(A1721:I1721)=0,"",IF(N(A1721)&lt;=0,"Date manquante ou invalide",IF(B1721="","Équipe manquante",IF(ISNA(MATCH(B1721,eq_code,0)),"Équipe inconnue",IF(INDEX(eq_check,MATCH(B1721,eq_code,0))&lt;&gt;"OK","Équipe à corriger dans Paramètres",IF(C1721="","Poste manquant",IF(ISNA(MATCH(C1721,po_code,0)),"Poste inconnu",IF(AND(E1721&lt;&gt;"",ISNA(MATCH(E1721,art_ref,0))),"Article inconnu",IF(IF(E1721="",FALSE,INDEX(art_check,MATCH(E1721,art_ref,0))&lt;&gt;"OK"),"Article à corriger (feuille Articles)",IF(COUNTIFS(sj_date,A1721,sj_eq,B1721,sj_po,C1721)&gt;1,"Ligne en double (même jour, équipe et poste)",IF(OR(NOT(ISNUMBER(K1721)),N(K1721)&lt;=0,N(K1721)&gt;1440),"Temps d'ouverture invalide",IF(OR(AND(G1721&lt;&gt;"",NOT(ISNUMBER(G1721))),N(G1721)&lt;0,N(G1721)&lt;&gt;INT(N(G1721)),AND(H1721&lt;&gt;"",NOT(ISNUMBER(H1721))),N(H1721)&lt;0,N(H1721)&lt;&gt;INT(N(H1721)),AND(I1721&lt;&gt;"",NOT(ISNUMBER(I1721))),N(I1721)&lt;0,N(I1721)&lt;&gt;INT(N(I1721))),"Quantité invalide",IF(Q1721&lt;=0,"Cadence manquante (poste ou article)",IF(M1721&lt;=0,"Arrêts planifiés supérieurs au temps d'ouverture",IF(O1721&lt;0,"Arrêts supérieurs au temps requis",IF(AND(P1721&gt;0,O1721=0),"Pièces déclarées sans temps de marche",IF(AND(P1721=0,O1721&gt;0),"Aucune pièce déclarée",IF(P1721*60/Q1721&gt;O1721+0.001,"Cadence dépassée : vérifiez la cadence","OK"))))))))))))))))))</f>
        <v/>
      </c>
      <c r="AC1721">
        <f>IF(OR(AB1721="OK",AB1721="Aucune pièce déclarée",AB1721="Cadence dépassée : vérifiez la cadence"),1,0)</f>
        <v>0.0</v>
      </c>
      <c r="AD1721">
        <f>IF(AND(AC1721=1,A1721&gt;=p_from,A1721&lt;=p_to),1,0)</f>
        <v>0.0</v>
      </c>
      <c r="AE1721">
        <f>IF(AD1721=1,IF(COUNTIFS($A$6:A1721,A1721,$AD$6:AD1721,1)=1,1,0),0)</f>
        <v>0.0</v>
      </c>
      <c r="AF1721" t="str">
        <f>IF(AE1721=1,COUNTIFS(sj_first,1,sj_date,"&lt;"&amp;A1721)+1,"")</f>
        <v/>
      </c>
      <c r="AG1721" t="str">
        <f>IF(AND(AD1721=1,N(W1721)&lt;p_alert),ROUND(W1721,4),"")</f>
        <v/>
      </c>
      <c r="AH1721" t="str">
        <f>IF(AG1721="","",COUNTIF(sj_akey,"&lt;"&amp;AG1721)+COUNTIF($AG$6:AG1721,AG1721))</f>
        <v/>
      </c>
    </row>
    <row r="1722">
      <c r="A1722" s="51" t="n"/>
      <c r="B1722" s="52" t="n"/>
      <c r="C1722" s="52" t="n"/>
      <c r="D1722" s="53" t="n"/>
      <c r="E1722" s="53" t="n"/>
      <c r="F1722" s="54" t="n"/>
      <c r="G1722" s="54" t="n"/>
      <c r="H1722" s="54" t="n"/>
      <c r="I1722" s="54" t="n"/>
      <c r="J1722" s="53" t="n"/>
      <c r="K1722" s="55" t="str">
        <f>IF(COUNTA(A1722:I1722)=0,"",IF(F1722="",IFERROR(INDEX(eq_dur,MATCH(B1722,eq_code,0)),""),F1722))</f>
        <v/>
      </c>
      <c r="L1722" s="55" t="str">
        <f>IF(ISNUMBER(K1722),N(IFERROR(INDEX(eq_pause,MATCH(B1722,eq_code,0)),0))+SUMIFS(st_min,st_date,A1722,st_eq,B1722,st_po,C1722,st_type,"Planifié"),"")</f>
        <v/>
      </c>
      <c r="M1722" s="55" t="str">
        <f>IF(ISNUMBER(K1722),K1722-L1722,"")</f>
        <v/>
      </c>
      <c r="N1722" s="55" t="str">
        <f>IF(ISNUMBER(K1722),SUMIFS(st_min,st_date,A1722,st_eq,B1722,st_po,C1722,st_type,"Non planifié"),"")</f>
        <v/>
      </c>
      <c r="O1722" s="55" t="str">
        <f>IF(ISNUMBER(K1722),M1722-N1722,"")</f>
        <v/>
      </c>
      <c r="P1722" s="55" t="str">
        <f>IF(COUNTA(A1722:I1722)=0,"",N(G1722)+N(H1722)+N(I1722))</f>
        <v/>
      </c>
      <c r="Q1722" s="56" t="str">
        <f>IF(COUNTA(A1722:I1722)=0,"",IF(N(IFERROR(INDEX(art_rate,MATCH(E1722,art_ref,0)),0))&gt;0,N(IFERROR(INDEX(art_rate,MATCH(E1722,art_ref,0)),0)),N(IFERROR(INDEX(po_rate,MATCH(C1722,po_code,0)),0))))</f>
        <v/>
      </c>
      <c r="R1722" s="55" t="str">
        <f>IF(AC1722=1,P1722*60/Q1722,"")</f>
        <v/>
      </c>
      <c r="S1722" s="55" t="str">
        <f>IF(AC1722=1,N(G1722)*60/Q1722,"")</f>
        <v/>
      </c>
      <c r="T1722" s="57" t="str">
        <f>IF(AC1722=1,O1722/M1722,"")</f>
        <v/>
      </c>
      <c r="U1722" s="57" t="str">
        <f>IF(AC1722=1,IF(O1722&gt;0,R1722/O1722,""),"")</f>
        <v/>
      </c>
      <c r="V1722" s="57" t="str">
        <f>IF(AC1722=1,IF(P1722&gt;0,N(G1722)/P1722,""),"")</f>
        <v/>
      </c>
      <c r="W1722" s="57" t="str">
        <f>IF(AC1722=1,S1722/M1722,"")</f>
        <v/>
      </c>
      <c r="X1722" s="57" t="str">
        <f>IF(AC1722=1,S1722/K1722,"")</f>
        <v/>
      </c>
      <c r="Y1722" s="58" t="str">
        <f>IF(W1722="","",IF(W1722&gt;=p_target,"Bon",IF(W1722&gt;=p_alert,"À surveiller","Faible")))</f>
        <v/>
      </c>
      <c r="Z1722" s="58" t="str">
        <f>IF(W1722="","",IF(MIN(IF(T1722="",1,T1722),IF(U1722="",1,U1722),IF(V1722="",1,V1722))&gt;=1,"Aucune",IF(IF(T1722="",1,T1722)&lt;=MIN(IF(U1722="",1,U1722),IF(V1722="",1,V1722)),"Disponibilité",IF(IF(U1722="",1,U1722)&lt;=IF(V1722="",1,V1722),"Performance","Qualité"))))</f>
        <v/>
      </c>
      <c r="AA1722" s="59" t="str">
        <f>IF(AC1722=1,N(H1722)*N(IFERROR(INDEX(art_cost,MATCH(E1722,art_ref,0)),0)),"")</f>
        <v/>
      </c>
      <c r="AB1722" s="58" t="str">
        <f>IF(COUNTA(A1722:I1722)=0,"",IF(N(A1722)&lt;=0,"Date manquante ou invalide",IF(B1722="","Équipe manquante",IF(ISNA(MATCH(B1722,eq_code,0)),"Équipe inconnue",IF(INDEX(eq_check,MATCH(B1722,eq_code,0))&lt;&gt;"OK","Équipe à corriger dans Paramètres",IF(C1722="","Poste manquant",IF(ISNA(MATCH(C1722,po_code,0)),"Poste inconnu",IF(AND(E1722&lt;&gt;"",ISNA(MATCH(E1722,art_ref,0))),"Article inconnu",IF(IF(E1722="",FALSE,INDEX(art_check,MATCH(E1722,art_ref,0))&lt;&gt;"OK"),"Article à corriger (feuille Articles)",IF(COUNTIFS(sj_date,A1722,sj_eq,B1722,sj_po,C1722)&gt;1,"Ligne en double (même jour, équipe et poste)",IF(OR(NOT(ISNUMBER(K1722)),N(K1722)&lt;=0,N(K1722)&gt;1440),"Temps d'ouverture invalide",IF(OR(AND(G1722&lt;&gt;"",NOT(ISNUMBER(G1722))),N(G1722)&lt;0,N(G1722)&lt;&gt;INT(N(G1722)),AND(H1722&lt;&gt;"",NOT(ISNUMBER(H1722))),N(H1722)&lt;0,N(H1722)&lt;&gt;INT(N(H1722)),AND(I1722&lt;&gt;"",NOT(ISNUMBER(I1722))),N(I1722)&lt;0,N(I1722)&lt;&gt;INT(N(I1722))),"Quantité invalide",IF(Q1722&lt;=0,"Cadence manquante (poste ou article)",IF(M1722&lt;=0,"Arrêts planifiés supérieurs au temps d'ouverture",IF(O1722&lt;0,"Arrêts supérieurs au temps requis",IF(AND(P1722&gt;0,O1722=0),"Pièces déclarées sans temps de marche",IF(AND(P1722=0,O1722&gt;0),"Aucune pièce déclarée",IF(P1722*60/Q1722&gt;O1722+0.001,"Cadence dépassée : vérifiez la cadence","OK"))))))))))))))))))</f>
        <v/>
      </c>
      <c r="AC1722">
        <f>IF(OR(AB1722="OK",AB1722="Aucune pièce déclarée",AB1722="Cadence dépassée : vérifiez la cadence"),1,0)</f>
        <v>0.0</v>
      </c>
      <c r="AD1722">
        <f>IF(AND(AC1722=1,A1722&gt;=p_from,A1722&lt;=p_to),1,0)</f>
        <v>0.0</v>
      </c>
      <c r="AE1722">
        <f>IF(AD1722=1,IF(COUNTIFS($A$6:A1722,A1722,$AD$6:AD1722,1)=1,1,0),0)</f>
        <v>0.0</v>
      </c>
      <c r="AF1722" t="str">
        <f>IF(AE1722=1,COUNTIFS(sj_first,1,sj_date,"&lt;"&amp;A1722)+1,"")</f>
        <v/>
      </c>
      <c r="AG1722" t="str">
        <f>IF(AND(AD1722=1,N(W1722)&lt;p_alert),ROUND(W1722,4),"")</f>
        <v/>
      </c>
      <c r="AH1722" t="str">
        <f>IF(AG1722="","",COUNTIF(sj_akey,"&lt;"&amp;AG1722)+COUNTIF($AG$6:AG1722,AG1722))</f>
        <v/>
      </c>
    </row>
    <row r="1723">
      <c r="A1723" s="51" t="n"/>
      <c r="B1723" s="52" t="n"/>
      <c r="C1723" s="52" t="n"/>
      <c r="D1723" s="53" t="n"/>
      <c r="E1723" s="53" t="n"/>
      <c r="F1723" s="54" t="n"/>
      <c r="G1723" s="54" t="n"/>
      <c r="H1723" s="54" t="n"/>
      <c r="I1723" s="54" t="n"/>
      <c r="J1723" s="53" t="n"/>
      <c r="K1723" s="55" t="str">
        <f>IF(COUNTA(A1723:I1723)=0,"",IF(F1723="",IFERROR(INDEX(eq_dur,MATCH(B1723,eq_code,0)),""),F1723))</f>
        <v/>
      </c>
      <c r="L1723" s="55" t="str">
        <f>IF(ISNUMBER(K1723),N(IFERROR(INDEX(eq_pause,MATCH(B1723,eq_code,0)),0))+SUMIFS(st_min,st_date,A1723,st_eq,B1723,st_po,C1723,st_type,"Planifié"),"")</f>
        <v/>
      </c>
      <c r="M1723" s="55" t="str">
        <f>IF(ISNUMBER(K1723),K1723-L1723,"")</f>
        <v/>
      </c>
      <c r="N1723" s="55" t="str">
        <f>IF(ISNUMBER(K1723),SUMIFS(st_min,st_date,A1723,st_eq,B1723,st_po,C1723,st_type,"Non planifié"),"")</f>
        <v/>
      </c>
      <c r="O1723" s="55" t="str">
        <f>IF(ISNUMBER(K1723),M1723-N1723,"")</f>
        <v/>
      </c>
      <c r="P1723" s="55" t="str">
        <f>IF(COUNTA(A1723:I1723)=0,"",N(G1723)+N(H1723)+N(I1723))</f>
        <v/>
      </c>
      <c r="Q1723" s="56" t="str">
        <f>IF(COUNTA(A1723:I1723)=0,"",IF(N(IFERROR(INDEX(art_rate,MATCH(E1723,art_ref,0)),0))&gt;0,N(IFERROR(INDEX(art_rate,MATCH(E1723,art_ref,0)),0)),N(IFERROR(INDEX(po_rate,MATCH(C1723,po_code,0)),0))))</f>
        <v/>
      </c>
      <c r="R1723" s="55" t="str">
        <f>IF(AC1723=1,P1723*60/Q1723,"")</f>
        <v/>
      </c>
      <c r="S1723" s="55" t="str">
        <f>IF(AC1723=1,N(G1723)*60/Q1723,"")</f>
        <v/>
      </c>
      <c r="T1723" s="57" t="str">
        <f>IF(AC1723=1,O1723/M1723,"")</f>
        <v/>
      </c>
      <c r="U1723" s="57" t="str">
        <f>IF(AC1723=1,IF(O1723&gt;0,R1723/O1723,""),"")</f>
        <v/>
      </c>
      <c r="V1723" s="57" t="str">
        <f>IF(AC1723=1,IF(P1723&gt;0,N(G1723)/P1723,""),"")</f>
        <v/>
      </c>
      <c r="W1723" s="57" t="str">
        <f>IF(AC1723=1,S1723/M1723,"")</f>
        <v/>
      </c>
      <c r="X1723" s="57" t="str">
        <f>IF(AC1723=1,S1723/K1723,"")</f>
        <v/>
      </c>
      <c r="Y1723" s="58" t="str">
        <f>IF(W1723="","",IF(W1723&gt;=p_target,"Bon",IF(W1723&gt;=p_alert,"À surveiller","Faible")))</f>
        <v/>
      </c>
      <c r="Z1723" s="58" t="str">
        <f>IF(W1723="","",IF(MIN(IF(T1723="",1,T1723),IF(U1723="",1,U1723),IF(V1723="",1,V1723))&gt;=1,"Aucune",IF(IF(T1723="",1,T1723)&lt;=MIN(IF(U1723="",1,U1723),IF(V1723="",1,V1723)),"Disponibilité",IF(IF(U1723="",1,U1723)&lt;=IF(V1723="",1,V1723),"Performance","Qualité"))))</f>
        <v/>
      </c>
      <c r="AA1723" s="59" t="str">
        <f>IF(AC1723=1,N(H1723)*N(IFERROR(INDEX(art_cost,MATCH(E1723,art_ref,0)),0)),"")</f>
        <v/>
      </c>
      <c r="AB1723" s="58" t="str">
        <f>IF(COUNTA(A1723:I1723)=0,"",IF(N(A1723)&lt;=0,"Date manquante ou invalide",IF(B1723="","Équipe manquante",IF(ISNA(MATCH(B1723,eq_code,0)),"Équipe inconnue",IF(INDEX(eq_check,MATCH(B1723,eq_code,0))&lt;&gt;"OK","Équipe à corriger dans Paramètres",IF(C1723="","Poste manquant",IF(ISNA(MATCH(C1723,po_code,0)),"Poste inconnu",IF(AND(E1723&lt;&gt;"",ISNA(MATCH(E1723,art_ref,0))),"Article inconnu",IF(IF(E1723="",FALSE,INDEX(art_check,MATCH(E1723,art_ref,0))&lt;&gt;"OK"),"Article à corriger (feuille Articles)",IF(COUNTIFS(sj_date,A1723,sj_eq,B1723,sj_po,C1723)&gt;1,"Ligne en double (même jour, équipe et poste)",IF(OR(NOT(ISNUMBER(K1723)),N(K1723)&lt;=0,N(K1723)&gt;1440),"Temps d'ouverture invalide",IF(OR(AND(G1723&lt;&gt;"",NOT(ISNUMBER(G1723))),N(G1723)&lt;0,N(G1723)&lt;&gt;INT(N(G1723)),AND(H1723&lt;&gt;"",NOT(ISNUMBER(H1723))),N(H1723)&lt;0,N(H1723)&lt;&gt;INT(N(H1723)),AND(I1723&lt;&gt;"",NOT(ISNUMBER(I1723))),N(I1723)&lt;0,N(I1723)&lt;&gt;INT(N(I1723))),"Quantité invalide",IF(Q1723&lt;=0,"Cadence manquante (poste ou article)",IF(M1723&lt;=0,"Arrêts planifiés supérieurs au temps d'ouverture",IF(O1723&lt;0,"Arrêts supérieurs au temps requis",IF(AND(P1723&gt;0,O1723=0),"Pièces déclarées sans temps de marche",IF(AND(P1723=0,O1723&gt;0),"Aucune pièce déclarée",IF(P1723*60/Q1723&gt;O1723+0.001,"Cadence dépassée : vérifiez la cadence","OK"))))))))))))))))))</f>
        <v/>
      </c>
      <c r="AC1723">
        <f>IF(OR(AB1723="OK",AB1723="Aucune pièce déclarée",AB1723="Cadence dépassée : vérifiez la cadence"),1,0)</f>
        <v>0.0</v>
      </c>
      <c r="AD1723">
        <f>IF(AND(AC1723=1,A1723&gt;=p_from,A1723&lt;=p_to),1,0)</f>
        <v>0.0</v>
      </c>
      <c r="AE1723">
        <f>IF(AD1723=1,IF(COUNTIFS($A$6:A1723,A1723,$AD$6:AD1723,1)=1,1,0),0)</f>
        <v>0.0</v>
      </c>
      <c r="AF1723" t="str">
        <f>IF(AE1723=1,COUNTIFS(sj_first,1,sj_date,"&lt;"&amp;A1723)+1,"")</f>
        <v/>
      </c>
      <c r="AG1723" t="str">
        <f>IF(AND(AD1723=1,N(W1723)&lt;p_alert),ROUND(W1723,4),"")</f>
        <v/>
      </c>
      <c r="AH1723" t="str">
        <f>IF(AG1723="","",COUNTIF(sj_akey,"&lt;"&amp;AG1723)+COUNTIF($AG$6:AG1723,AG1723))</f>
        <v/>
      </c>
    </row>
    <row r="1724">
      <c r="A1724" s="51" t="n"/>
      <c r="B1724" s="52" t="n"/>
      <c r="C1724" s="52" t="n"/>
      <c r="D1724" s="53" t="n"/>
      <c r="E1724" s="53" t="n"/>
      <c r="F1724" s="54" t="n"/>
      <c r="G1724" s="54" t="n"/>
      <c r="H1724" s="54" t="n"/>
      <c r="I1724" s="54" t="n"/>
      <c r="J1724" s="53" t="n"/>
      <c r="K1724" s="55" t="str">
        <f>IF(COUNTA(A1724:I1724)=0,"",IF(F1724="",IFERROR(INDEX(eq_dur,MATCH(B1724,eq_code,0)),""),F1724))</f>
        <v/>
      </c>
      <c r="L1724" s="55" t="str">
        <f>IF(ISNUMBER(K1724),N(IFERROR(INDEX(eq_pause,MATCH(B1724,eq_code,0)),0))+SUMIFS(st_min,st_date,A1724,st_eq,B1724,st_po,C1724,st_type,"Planifié"),"")</f>
        <v/>
      </c>
      <c r="M1724" s="55" t="str">
        <f>IF(ISNUMBER(K1724),K1724-L1724,"")</f>
        <v/>
      </c>
      <c r="N1724" s="55" t="str">
        <f>IF(ISNUMBER(K1724),SUMIFS(st_min,st_date,A1724,st_eq,B1724,st_po,C1724,st_type,"Non planifié"),"")</f>
        <v/>
      </c>
      <c r="O1724" s="55" t="str">
        <f>IF(ISNUMBER(K1724),M1724-N1724,"")</f>
        <v/>
      </c>
      <c r="P1724" s="55" t="str">
        <f>IF(COUNTA(A1724:I1724)=0,"",N(G1724)+N(H1724)+N(I1724))</f>
        <v/>
      </c>
      <c r="Q1724" s="56" t="str">
        <f>IF(COUNTA(A1724:I1724)=0,"",IF(N(IFERROR(INDEX(art_rate,MATCH(E1724,art_ref,0)),0))&gt;0,N(IFERROR(INDEX(art_rate,MATCH(E1724,art_ref,0)),0)),N(IFERROR(INDEX(po_rate,MATCH(C1724,po_code,0)),0))))</f>
        <v/>
      </c>
      <c r="R1724" s="55" t="str">
        <f>IF(AC1724=1,P1724*60/Q1724,"")</f>
        <v/>
      </c>
      <c r="S1724" s="55" t="str">
        <f>IF(AC1724=1,N(G1724)*60/Q1724,"")</f>
        <v/>
      </c>
      <c r="T1724" s="57" t="str">
        <f>IF(AC1724=1,O1724/M1724,"")</f>
        <v/>
      </c>
      <c r="U1724" s="57" t="str">
        <f>IF(AC1724=1,IF(O1724&gt;0,R1724/O1724,""),"")</f>
        <v/>
      </c>
      <c r="V1724" s="57" t="str">
        <f>IF(AC1724=1,IF(P1724&gt;0,N(G1724)/P1724,""),"")</f>
        <v/>
      </c>
      <c r="W1724" s="57" t="str">
        <f>IF(AC1724=1,S1724/M1724,"")</f>
        <v/>
      </c>
      <c r="X1724" s="57" t="str">
        <f>IF(AC1724=1,S1724/K1724,"")</f>
        <v/>
      </c>
      <c r="Y1724" s="58" t="str">
        <f>IF(W1724="","",IF(W1724&gt;=p_target,"Bon",IF(W1724&gt;=p_alert,"À surveiller","Faible")))</f>
        <v/>
      </c>
      <c r="Z1724" s="58" t="str">
        <f>IF(W1724="","",IF(MIN(IF(T1724="",1,T1724),IF(U1724="",1,U1724),IF(V1724="",1,V1724))&gt;=1,"Aucune",IF(IF(T1724="",1,T1724)&lt;=MIN(IF(U1724="",1,U1724),IF(V1724="",1,V1724)),"Disponibilité",IF(IF(U1724="",1,U1724)&lt;=IF(V1724="",1,V1724),"Performance","Qualité"))))</f>
        <v/>
      </c>
      <c r="AA1724" s="59" t="str">
        <f>IF(AC1724=1,N(H1724)*N(IFERROR(INDEX(art_cost,MATCH(E1724,art_ref,0)),0)),"")</f>
        <v/>
      </c>
      <c r="AB1724" s="58" t="str">
        <f>IF(COUNTA(A1724:I1724)=0,"",IF(N(A1724)&lt;=0,"Date manquante ou invalide",IF(B1724="","Équipe manquante",IF(ISNA(MATCH(B1724,eq_code,0)),"Équipe inconnue",IF(INDEX(eq_check,MATCH(B1724,eq_code,0))&lt;&gt;"OK","Équipe à corriger dans Paramètres",IF(C1724="","Poste manquant",IF(ISNA(MATCH(C1724,po_code,0)),"Poste inconnu",IF(AND(E1724&lt;&gt;"",ISNA(MATCH(E1724,art_ref,0))),"Article inconnu",IF(IF(E1724="",FALSE,INDEX(art_check,MATCH(E1724,art_ref,0))&lt;&gt;"OK"),"Article à corriger (feuille Articles)",IF(COUNTIFS(sj_date,A1724,sj_eq,B1724,sj_po,C1724)&gt;1,"Ligne en double (même jour, équipe et poste)",IF(OR(NOT(ISNUMBER(K1724)),N(K1724)&lt;=0,N(K1724)&gt;1440),"Temps d'ouverture invalide",IF(OR(AND(G1724&lt;&gt;"",NOT(ISNUMBER(G1724))),N(G1724)&lt;0,N(G1724)&lt;&gt;INT(N(G1724)),AND(H1724&lt;&gt;"",NOT(ISNUMBER(H1724))),N(H1724)&lt;0,N(H1724)&lt;&gt;INT(N(H1724)),AND(I1724&lt;&gt;"",NOT(ISNUMBER(I1724))),N(I1724)&lt;0,N(I1724)&lt;&gt;INT(N(I1724))),"Quantité invalide",IF(Q1724&lt;=0,"Cadence manquante (poste ou article)",IF(M1724&lt;=0,"Arrêts planifiés supérieurs au temps d'ouverture",IF(O1724&lt;0,"Arrêts supérieurs au temps requis",IF(AND(P1724&gt;0,O1724=0),"Pièces déclarées sans temps de marche",IF(AND(P1724=0,O1724&gt;0),"Aucune pièce déclarée",IF(P1724*60/Q1724&gt;O1724+0.001,"Cadence dépassée : vérifiez la cadence","OK"))))))))))))))))))</f>
        <v/>
      </c>
      <c r="AC1724">
        <f>IF(OR(AB1724="OK",AB1724="Aucune pièce déclarée",AB1724="Cadence dépassée : vérifiez la cadence"),1,0)</f>
        <v>0.0</v>
      </c>
      <c r="AD1724">
        <f>IF(AND(AC1724=1,A1724&gt;=p_from,A1724&lt;=p_to),1,0)</f>
        <v>0.0</v>
      </c>
      <c r="AE1724">
        <f>IF(AD1724=1,IF(COUNTIFS($A$6:A1724,A1724,$AD$6:AD1724,1)=1,1,0),0)</f>
        <v>0.0</v>
      </c>
      <c r="AF1724" t="str">
        <f>IF(AE1724=1,COUNTIFS(sj_first,1,sj_date,"&lt;"&amp;A1724)+1,"")</f>
        <v/>
      </c>
      <c r="AG1724" t="str">
        <f>IF(AND(AD1724=1,N(W1724)&lt;p_alert),ROUND(W1724,4),"")</f>
        <v/>
      </c>
      <c r="AH1724" t="str">
        <f>IF(AG1724="","",COUNTIF(sj_akey,"&lt;"&amp;AG1724)+COUNTIF($AG$6:AG1724,AG1724))</f>
        <v/>
      </c>
    </row>
    <row r="1725">
      <c r="A1725" s="51" t="n"/>
      <c r="B1725" s="52" t="n"/>
      <c r="C1725" s="52" t="n"/>
      <c r="D1725" s="53" t="n"/>
      <c r="E1725" s="53" t="n"/>
      <c r="F1725" s="54" t="n"/>
      <c r="G1725" s="54" t="n"/>
      <c r="H1725" s="54" t="n"/>
      <c r="I1725" s="54" t="n"/>
      <c r="J1725" s="53" t="n"/>
      <c r="K1725" s="55" t="str">
        <f>IF(COUNTA(A1725:I1725)=0,"",IF(F1725="",IFERROR(INDEX(eq_dur,MATCH(B1725,eq_code,0)),""),F1725))</f>
        <v/>
      </c>
      <c r="L1725" s="55" t="str">
        <f>IF(ISNUMBER(K1725),N(IFERROR(INDEX(eq_pause,MATCH(B1725,eq_code,0)),0))+SUMIFS(st_min,st_date,A1725,st_eq,B1725,st_po,C1725,st_type,"Planifié"),"")</f>
        <v/>
      </c>
      <c r="M1725" s="55" t="str">
        <f>IF(ISNUMBER(K1725),K1725-L1725,"")</f>
        <v/>
      </c>
      <c r="N1725" s="55" t="str">
        <f>IF(ISNUMBER(K1725),SUMIFS(st_min,st_date,A1725,st_eq,B1725,st_po,C1725,st_type,"Non planifié"),"")</f>
        <v/>
      </c>
      <c r="O1725" s="55" t="str">
        <f>IF(ISNUMBER(K1725),M1725-N1725,"")</f>
        <v/>
      </c>
      <c r="P1725" s="55" t="str">
        <f>IF(COUNTA(A1725:I1725)=0,"",N(G1725)+N(H1725)+N(I1725))</f>
        <v/>
      </c>
      <c r="Q1725" s="56" t="str">
        <f>IF(COUNTA(A1725:I1725)=0,"",IF(N(IFERROR(INDEX(art_rate,MATCH(E1725,art_ref,0)),0))&gt;0,N(IFERROR(INDEX(art_rate,MATCH(E1725,art_ref,0)),0)),N(IFERROR(INDEX(po_rate,MATCH(C1725,po_code,0)),0))))</f>
        <v/>
      </c>
      <c r="R1725" s="55" t="str">
        <f>IF(AC1725=1,P1725*60/Q1725,"")</f>
        <v/>
      </c>
      <c r="S1725" s="55" t="str">
        <f>IF(AC1725=1,N(G1725)*60/Q1725,"")</f>
        <v/>
      </c>
      <c r="T1725" s="57" t="str">
        <f>IF(AC1725=1,O1725/M1725,"")</f>
        <v/>
      </c>
      <c r="U1725" s="57" t="str">
        <f>IF(AC1725=1,IF(O1725&gt;0,R1725/O1725,""),"")</f>
        <v/>
      </c>
      <c r="V1725" s="57" t="str">
        <f>IF(AC1725=1,IF(P1725&gt;0,N(G1725)/P1725,""),"")</f>
        <v/>
      </c>
      <c r="W1725" s="57" t="str">
        <f>IF(AC1725=1,S1725/M1725,"")</f>
        <v/>
      </c>
      <c r="X1725" s="57" t="str">
        <f>IF(AC1725=1,S1725/K1725,"")</f>
        <v/>
      </c>
      <c r="Y1725" s="58" t="str">
        <f>IF(W1725="","",IF(W1725&gt;=p_target,"Bon",IF(W1725&gt;=p_alert,"À surveiller","Faible")))</f>
        <v/>
      </c>
      <c r="Z1725" s="58" t="str">
        <f>IF(W1725="","",IF(MIN(IF(T1725="",1,T1725),IF(U1725="",1,U1725),IF(V1725="",1,V1725))&gt;=1,"Aucune",IF(IF(T1725="",1,T1725)&lt;=MIN(IF(U1725="",1,U1725),IF(V1725="",1,V1725)),"Disponibilité",IF(IF(U1725="",1,U1725)&lt;=IF(V1725="",1,V1725),"Performance","Qualité"))))</f>
        <v/>
      </c>
      <c r="AA1725" s="59" t="str">
        <f>IF(AC1725=1,N(H1725)*N(IFERROR(INDEX(art_cost,MATCH(E1725,art_ref,0)),0)),"")</f>
        <v/>
      </c>
      <c r="AB1725" s="58" t="str">
        <f>IF(COUNTA(A1725:I1725)=0,"",IF(N(A1725)&lt;=0,"Date manquante ou invalide",IF(B1725="","Équipe manquante",IF(ISNA(MATCH(B1725,eq_code,0)),"Équipe inconnue",IF(INDEX(eq_check,MATCH(B1725,eq_code,0))&lt;&gt;"OK","Équipe à corriger dans Paramètres",IF(C1725="","Poste manquant",IF(ISNA(MATCH(C1725,po_code,0)),"Poste inconnu",IF(AND(E1725&lt;&gt;"",ISNA(MATCH(E1725,art_ref,0))),"Article inconnu",IF(IF(E1725="",FALSE,INDEX(art_check,MATCH(E1725,art_ref,0))&lt;&gt;"OK"),"Article à corriger (feuille Articles)",IF(COUNTIFS(sj_date,A1725,sj_eq,B1725,sj_po,C1725)&gt;1,"Ligne en double (même jour, équipe et poste)",IF(OR(NOT(ISNUMBER(K1725)),N(K1725)&lt;=0,N(K1725)&gt;1440),"Temps d'ouverture invalide",IF(OR(AND(G1725&lt;&gt;"",NOT(ISNUMBER(G1725))),N(G1725)&lt;0,N(G1725)&lt;&gt;INT(N(G1725)),AND(H1725&lt;&gt;"",NOT(ISNUMBER(H1725))),N(H1725)&lt;0,N(H1725)&lt;&gt;INT(N(H1725)),AND(I1725&lt;&gt;"",NOT(ISNUMBER(I1725))),N(I1725)&lt;0,N(I1725)&lt;&gt;INT(N(I1725))),"Quantité invalide",IF(Q1725&lt;=0,"Cadence manquante (poste ou article)",IF(M1725&lt;=0,"Arrêts planifiés supérieurs au temps d'ouverture",IF(O1725&lt;0,"Arrêts supérieurs au temps requis",IF(AND(P1725&gt;0,O1725=0),"Pièces déclarées sans temps de marche",IF(AND(P1725=0,O1725&gt;0),"Aucune pièce déclarée",IF(P1725*60/Q1725&gt;O1725+0.001,"Cadence dépassée : vérifiez la cadence","OK"))))))))))))))))))</f>
        <v/>
      </c>
      <c r="AC1725">
        <f>IF(OR(AB1725="OK",AB1725="Aucune pièce déclarée",AB1725="Cadence dépassée : vérifiez la cadence"),1,0)</f>
        <v>0.0</v>
      </c>
      <c r="AD1725">
        <f>IF(AND(AC1725=1,A1725&gt;=p_from,A1725&lt;=p_to),1,0)</f>
        <v>0.0</v>
      </c>
      <c r="AE1725">
        <f>IF(AD1725=1,IF(COUNTIFS($A$6:A1725,A1725,$AD$6:AD1725,1)=1,1,0),0)</f>
        <v>0.0</v>
      </c>
      <c r="AF1725" t="str">
        <f>IF(AE1725=1,COUNTIFS(sj_first,1,sj_date,"&lt;"&amp;A1725)+1,"")</f>
        <v/>
      </c>
      <c r="AG1725" t="str">
        <f>IF(AND(AD1725=1,N(W1725)&lt;p_alert),ROUND(W1725,4),"")</f>
        <v/>
      </c>
      <c r="AH1725" t="str">
        <f>IF(AG1725="","",COUNTIF(sj_akey,"&lt;"&amp;AG1725)+COUNTIF($AG$6:AG1725,AG1725))</f>
        <v/>
      </c>
    </row>
    <row r="1726">
      <c r="A1726" s="51" t="n"/>
      <c r="B1726" s="52" t="n"/>
      <c r="C1726" s="52" t="n"/>
      <c r="D1726" s="53" t="n"/>
      <c r="E1726" s="53" t="n"/>
      <c r="F1726" s="54" t="n"/>
      <c r="G1726" s="54" t="n"/>
      <c r="H1726" s="54" t="n"/>
      <c r="I1726" s="54" t="n"/>
      <c r="J1726" s="53" t="n"/>
      <c r="K1726" s="55" t="str">
        <f>IF(COUNTA(A1726:I1726)=0,"",IF(F1726="",IFERROR(INDEX(eq_dur,MATCH(B1726,eq_code,0)),""),F1726))</f>
        <v/>
      </c>
      <c r="L1726" s="55" t="str">
        <f>IF(ISNUMBER(K1726),N(IFERROR(INDEX(eq_pause,MATCH(B1726,eq_code,0)),0))+SUMIFS(st_min,st_date,A1726,st_eq,B1726,st_po,C1726,st_type,"Planifié"),"")</f>
        <v/>
      </c>
      <c r="M1726" s="55" t="str">
        <f>IF(ISNUMBER(K1726),K1726-L1726,"")</f>
        <v/>
      </c>
      <c r="N1726" s="55" t="str">
        <f>IF(ISNUMBER(K1726),SUMIFS(st_min,st_date,A1726,st_eq,B1726,st_po,C1726,st_type,"Non planifié"),"")</f>
        <v/>
      </c>
      <c r="O1726" s="55" t="str">
        <f>IF(ISNUMBER(K1726),M1726-N1726,"")</f>
        <v/>
      </c>
      <c r="P1726" s="55" t="str">
        <f>IF(COUNTA(A1726:I1726)=0,"",N(G1726)+N(H1726)+N(I1726))</f>
        <v/>
      </c>
      <c r="Q1726" s="56" t="str">
        <f>IF(COUNTA(A1726:I1726)=0,"",IF(N(IFERROR(INDEX(art_rate,MATCH(E1726,art_ref,0)),0))&gt;0,N(IFERROR(INDEX(art_rate,MATCH(E1726,art_ref,0)),0)),N(IFERROR(INDEX(po_rate,MATCH(C1726,po_code,0)),0))))</f>
        <v/>
      </c>
      <c r="R1726" s="55" t="str">
        <f>IF(AC1726=1,P1726*60/Q1726,"")</f>
        <v/>
      </c>
      <c r="S1726" s="55" t="str">
        <f>IF(AC1726=1,N(G1726)*60/Q1726,"")</f>
        <v/>
      </c>
      <c r="T1726" s="57" t="str">
        <f>IF(AC1726=1,O1726/M1726,"")</f>
        <v/>
      </c>
      <c r="U1726" s="57" t="str">
        <f>IF(AC1726=1,IF(O1726&gt;0,R1726/O1726,""),"")</f>
        <v/>
      </c>
      <c r="V1726" s="57" t="str">
        <f>IF(AC1726=1,IF(P1726&gt;0,N(G1726)/P1726,""),"")</f>
        <v/>
      </c>
      <c r="W1726" s="57" t="str">
        <f>IF(AC1726=1,S1726/M1726,"")</f>
        <v/>
      </c>
      <c r="X1726" s="57" t="str">
        <f>IF(AC1726=1,S1726/K1726,"")</f>
        <v/>
      </c>
      <c r="Y1726" s="58" t="str">
        <f>IF(W1726="","",IF(W1726&gt;=p_target,"Bon",IF(W1726&gt;=p_alert,"À surveiller","Faible")))</f>
        <v/>
      </c>
      <c r="Z1726" s="58" t="str">
        <f>IF(W1726="","",IF(MIN(IF(T1726="",1,T1726),IF(U1726="",1,U1726),IF(V1726="",1,V1726))&gt;=1,"Aucune",IF(IF(T1726="",1,T1726)&lt;=MIN(IF(U1726="",1,U1726),IF(V1726="",1,V1726)),"Disponibilité",IF(IF(U1726="",1,U1726)&lt;=IF(V1726="",1,V1726),"Performance","Qualité"))))</f>
        <v/>
      </c>
      <c r="AA1726" s="59" t="str">
        <f>IF(AC1726=1,N(H1726)*N(IFERROR(INDEX(art_cost,MATCH(E1726,art_ref,0)),0)),"")</f>
        <v/>
      </c>
      <c r="AB1726" s="58" t="str">
        <f>IF(COUNTA(A1726:I1726)=0,"",IF(N(A1726)&lt;=0,"Date manquante ou invalide",IF(B1726="","Équipe manquante",IF(ISNA(MATCH(B1726,eq_code,0)),"Équipe inconnue",IF(INDEX(eq_check,MATCH(B1726,eq_code,0))&lt;&gt;"OK","Équipe à corriger dans Paramètres",IF(C1726="","Poste manquant",IF(ISNA(MATCH(C1726,po_code,0)),"Poste inconnu",IF(AND(E1726&lt;&gt;"",ISNA(MATCH(E1726,art_ref,0))),"Article inconnu",IF(IF(E1726="",FALSE,INDEX(art_check,MATCH(E1726,art_ref,0))&lt;&gt;"OK"),"Article à corriger (feuille Articles)",IF(COUNTIFS(sj_date,A1726,sj_eq,B1726,sj_po,C1726)&gt;1,"Ligne en double (même jour, équipe et poste)",IF(OR(NOT(ISNUMBER(K1726)),N(K1726)&lt;=0,N(K1726)&gt;1440),"Temps d'ouverture invalide",IF(OR(AND(G1726&lt;&gt;"",NOT(ISNUMBER(G1726))),N(G1726)&lt;0,N(G1726)&lt;&gt;INT(N(G1726)),AND(H1726&lt;&gt;"",NOT(ISNUMBER(H1726))),N(H1726)&lt;0,N(H1726)&lt;&gt;INT(N(H1726)),AND(I1726&lt;&gt;"",NOT(ISNUMBER(I1726))),N(I1726)&lt;0,N(I1726)&lt;&gt;INT(N(I1726))),"Quantité invalide",IF(Q1726&lt;=0,"Cadence manquante (poste ou article)",IF(M1726&lt;=0,"Arrêts planifiés supérieurs au temps d'ouverture",IF(O1726&lt;0,"Arrêts supérieurs au temps requis",IF(AND(P1726&gt;0,O1726=0),"Pièces déclarées sans temps de marche",IF(AND(P1726=0,O1726&gt;0),"Aucune pièce déclarée",IF(P1726*60/Q1726&gt;O1726+0.001,"Cadence dépassée : vérifiez la cadence","OK"))))))))))))))))))</f>
        <v/>
      </c>
      <c r="AC1726">
        <f>IF(OR(AB1726="OK",AB1726="Aucune pièce déclarée",AB1726="Cadence dépassée : vérifiez la cadence"),1,0)</f>
        <v>0.0</v>
      </c>
      <c r="AD1726">
        <f>IF(AND(AC1726=1,A1726&gt;=p_from,A1726&lt;=p_to),1,0)</f>
        <v>0.0</v>
      </c>
      <c r="AE1726">
        <f>IF(AD1726=1,IF(COUNTIFS($A$6:A1726,A1726,$AD$6:AD1726,1)=1,1,0),0)</f>
        <v>0.0</v>
      </c>
      <c r="AF1726" t="str">
        <f>IF(AE1726=1,COUNTIFS(sj_first,1,sj_date,"&lt;"&amp;A1726)+1,"")</f>
        <v/>
      </c>
      <c r="AG1726" t="str">
        <f>IF(AND(AD1726=1,N(W1726)&lt;p_alert),ROUND(W1726,4),"")</f>
        <v/>
      </c>
      <c r="AH1726" t="str">
        <f>IF(AG1726="","",COUNTIF(sj_akey,"&lt;"&amp;AG1726)+COUNTIF($AG$6:AG1726,AG1726))</f>
        <v/>
      </c>
    </row>
    <row r="1727">
      <c r="A1727" s="51" t="n"/>
      <c r="B1727" s="52" t="n"/>
      <c r="C1727" s="52" t="n"/>
      <c r="D1727" s="53" t="n"/>
      <c r="E1727" s="53" t="n"/>
      <c r="F1727" s="54" t="n"/>
      <c r="G1727" s="54" t="n"/>
      <c r="H1727" s="54" t="n"/>
      <c r="I1727" s="54" t="n"/>
      <c r="J1727" s="53" t="n"/>
      <c r="K1727" s="55" t="str">
        <f>IF(COUNTA(A1727:I1727)=0,"",IF(F1727="",IFERROR(INDEX(eq_dur,MATCH(B1727,eq_code,0)),""),F1727))</f>
        <v/>
      </c>
      <c r="L1727" s="55" t="str">
        <f>IF(ISNUMBER(K1727),N(IFERROR(INDEX(eq_pause,MATCH(B1727,eq_code,0)),0))+SUMIFS(st_min,st_date,A1727,st_eq,B1727,st_po,C1727,st_type,"Planifié"),"")</f>
        <v/>
      </c>
      <c r="M1727" s="55" t="str">
        <f>IF(ISNUMBER(K1727),K1727-L1727,"")</f>
        <v/>
      </c>
      <c r="N1727" s="55" t="str">
        <f>IF(ISNUMBER(K1727),SUMIFS(st_min,st_date,A1727,st_eq,B1727,st_po,C1727,st_type,"Non planifié"),"")</f>
        <v/>
      </c>
      <c r="O1727" s="55" t="str">
        <f>IF(ISNUMBER(K1727),M1727-N1727,"")</f>
        <v/>
      </c>
      <c r="P1727" s="55" t="str">
        <f>IF(COUNTA(A1727:I1727)=0,"",N(G1727)+N(H1727)+N(I1727))</f>
        <v/>
      </c>
      <c r="Q1727" s="56" t="str">
        <f>IF(COUNTA(A1727:I1727)=0,"",IF(N(IFERROR(INDEX(art_rate,MATCH(E1727,art_ref,0)),0))&gt;0,N(IFERROR(INDEX(art_rate,MATCH(E1727,art_ref,0)),0)),N(IFERROR(INDEX(po_rate,MATCH(C1727,po_code,0)),0))))</f>
        <v/>
      </c>
      <c r="R1727" s="55" t="str">
        <f>IF(AC1727=1,P1727*60/Q1727,"")</f>
        <v/>
      </c>
      <c r="S1727" s="55" t="str">
        <f>IF(AC1727=1,N(G1727)*60/Q1727,"")</f>
        <v/>
      </c>
      <c r="T1727" s="57" t="str">
        <f>IF(AC1727=1,O1727/M1727,"")</f>
        <v/>
      </c>
      <c r="U1727" s="57" t="str">
        <f>IF(AC1727=1,IF(O1727&gt;0,R1727/O1727,""),"")</f>
        <v/>
      </c>
      <c r="V1727" s="57" t="str">
        <f>IF(AC1727=1,IF(P1727&gt;0,N(G1727)/P1727,""),"")</f>
        <v/>
      </c>
      <c r="W1727" s="57" t="str">
        <f>IF(AC1727=1,S1727/M1727,"")</f>
        <v/>
      </c>
      <c r="X1727" s="57" t="str">
        <f>IF(AC1727=1,S1727/K1727,"")</f>
        <v/>
      </c>
      <c r="Y1727" s="58" t="str">
        <f>IF(W1727="","",IF(W1727&gt;=p_target,"Bon",IF(W1727&gt;=p_alert,"À surveiller","Faible")))</f>
        <v/>
      </c>
      <c r="Z1727" s="58" t="str">
        <f>IF(W1727="","",IF(MIN(IF(T1727="",1,T1727),IF(U1727="",1,U1727),IF(V1727="",1,V1727))&gt;=1,"Aucune",IF(IF(T1727="",1,T1727)&lt;=MIN(IF(U1727="",1,U1727),IF(V1727="",1,V1727)),"Disponibilité",IF(IF(U1727="",1,U1727)&lt;=IF(V1727="",1,V1727),"Performance","Qualité"))))</f>
        <v/>
      </c>
      <c r="AA1727" s="59" t="str">
        <f>IF(AC1727=1,N(H1727)*N(IFERROR(INDEX(art_cost,MATCH(E1727,art_ref,0)),0)),"")</f>
        <v/>
      </c>
      <c r="AB1727" s="58" t="str">
        <f>IF(COUNTA(A1727:I1727)=0,"",IF(N(A1727)&lt;=0,"Date manquante ou invalide",IF(B1727="","Équipe manquante",IF(ISNA(MATCH(B1727,eq_code,0)),"Équipe inconnue",IF(INDEX(eq_check,MATCH(B1727,eq_code,0))&lt;&gt;"OK","Équipe à corriger dans Paramètres",IF(C1727="","Poste manquant",IF(ISNA(MATCH(C1727,po_code,0)),"Poste inconnu",IF(AND(E1727&lt;&gt;"",ISNA(MATCH(E1727,art_ref,0))),"Article inconnu",IF(IF(E1727="",FALSE,INDEX(art_check,MATCH(E1727,art_ref,0))&lt;&gt;"OK"),"Article à corriger (feuille Articles)",IF(COUNTIFS(sj_date,A1727,sj_eq,B1727,sj_po,C1727)&gt;1,"Ligne en double (même jour, équipe et poste)",IF(OR(NOT(ISNUMBER(K1727)),N(K1727)&lt;=0,N(K1727)&gt;1440),"Temps d'ouverture invalide",IF(OR(AND(G1727&lt;&gt;"",NOT(ISNUMBER(G1727))),N(G1727)&lt;0,N(G1727)&lt;&gt;INT(N(G1727)),AND(H1727&lt;&gt;"",NOT(ISNUMBER(H1727))),N(H1727)&lt;0,N(H1727)&lt;&gt;INT(N(H1727)),AND(I1727&lt;&gt;"",NOT(ISNUMBER(I1727))),N(I1727)&lt;0,N(I1727)&lt;&gt;INT(N(I1727))),"Quantité invalide",IF(Q1727&lt;=0,"Cadence manquante (poste ou article)",IF(M1727&lt;=0,"Arrêts planifiés supérieurs au temps d'ouverture",IF(O1727&lt;0,"Arrêts supérieurs au temps requis",IF(AND(P1727&gt;0,O1727=0),"Pièces déclarées sans temps de marche",IF(AND(P1727=0,O1727&gt;0),"Aucune pièce déclarée",IF(P1727*60/Q1727&gt;O1727+0.001,"Cadence dépassée : vérifiez la cadence","OK"))))))))))))))))))</f>
        <v/>
      </c>
      <c r="AC1727">
        <f>IF(OR(AB1727="OK",AB1727="Aucune pièce déclarée",AB1727="Cadence dépassée : vérifiez la cadence"),1,0)</f>
        <v>0.0</v>
      </c>
      <c r="AD1727">
        <f>IF(AND(AC1727=1,A1727&gt;=p_from,A1727&lt;=p_to),1,0)</f>
        <v>0.0</v>
      </c>
      <c r="AE1727">
        <f>IF(AD1727=1,IF(COUNTIFS($A$6:A1727,A1727,$AD$6:AD1727,1)=1,1,0),0)</f>
        <v>0.0</v>
      </c>
      <c r="AF1727" t="str">
        <f>IF(AE1727=1,COUNTIFS(sj_first,1,sj_date,"&lt;"&amp;A1727)+1,"")</f>
        <v/>
      </c>
      <c r="AG1727" t="str">
        <f>IF(AND(AD1727=1,N(W1727)&lt;p_alert),ROUND(W1727,4),"")</f>
        <v/>
      </c>
      <c r="AH1727" t="str">
        <f>IF(AG1727="","",COUNTIF(sj_akey,"&lt;"&amp;AG1727)+COUNTIF($AG$6:AG1727,AG1727))</f>
        <v/>
      </c>
    </row>
    <row r="1728">
      <c r="A1728" s="51" t="n"/>
      <c r="B1728" s="52" t="n"/>
      <c r="C1728" s="52" t="n"/>
      <c r="D1728" s="53" t="n"/>
      <c r="E1728" s="53" t="n"/>
      <c r="F1728" s="54" t="n"/>
      <c r="G1728" s="54" t="n"/>
      <c r="H1728" s="54" t="n"/>
      <c r="I1728" s="54" t="n"/>
      <c r="J1728" s="53" t="n"/>
      <c r="K1728" s="55" t="str">
        <f>IF(COUNTA(A1728:I1728)=0,"",IF(F1728="",IFERROR(INDEX(eq_dur,MATCH(B1728,eq_code,0)),""),F1728))</f>
        <v/>
      </c>
      <c r="L1728" s="55" t="str">
        <f>IF(ISNUMBER(K1728),N(IFERROR(INDEX(eq_pause,MATCH(B1728,eq_code,0)),0))+SUMIFS(st_min,st_date,A1728,st_eq,B1728,st_po,C1728,st_type,"Planifié"),"")</f>
        <v/>
      </c>
      <c r="M1728" s="55" t="str">
        <f>IF(ISNUMBER(K1728),K1728-L1728,"")</f>
        <v/>
      </c>
      <c r="N1728" s="55" t="str">
        <f>IF(ISNUMBER(K1728),SUMIFS(st_min,st_date,A1728,st_eq,B1728,st_po,C1728,st_type,"Non planifié"),"")</f>
        <v/>
      </c>
      <c r="O1728" s="55" t="str">
        <f>IF(ISNUMBER(K1728),M1728-N1728,"")</f>
        <v/>
      </c>
      <c r="P1728" s="55" t="str">
        <f>IF(COUNTA(A1728:I1728)=0,"",N(G1728)+N(H1728)+N(I1728))</f>
        <v/>
      </c>
      <c r="Q1728" s="56" t="str">
        <f>IF(COUNTA(A1728:I1728)=0,"",IF(N(IFERROR(INDEX(art_rate,MATCH(E1728,art_ref,0)),0))&gt;0,N(IFERROR(INDEX(art_rate,MATCH(E1728,art_ref,0)),0)),N(IFERROR(INDEX(po_rate,MATCH(C1728,po_code,0)),0))))</f>
        <v/>
      </c>
      <c r="R1728" s="55" t="str">
        <f>IF(AC1728=1,P1728*60/Q1728,"")</f>
        <v/>
      </c>
      <c r="S1728" s="55" t="str">
        <f>IF(AC1728=1,N(G1728)*60/Q1728,"")</f>
        <v/>
      </c>
      <c r="T1728" s="57" t="str">
        <f>IF(AC1728=1,O1728/M1728,"")</f>
        <v/>
      </c>
      <c r="U1728" s="57" t="str">
        <f>IF(AC1728=1,IF(O1728&gt;0,R1728/O1728,""),"")</f>
        <v/>
      </c>
      <c r="V1728" s="57" t="str">
        <f>IF(AC1728=1,IF(P1728&gt;0,N(G1728)/P1728,""),"")</f>
        <v/>
      </c>
      <c r="W1728" s="57" t="str">
        <f>IF(AC1728=1,S1728/M1728,"")</f>
        <v/>
      </c>
      <c r="X1728" s="57" t="str">
        <f>IF(AC1728=1,S1728/K1728,"")</f>
        <v/>
      </c>
      <c r="Y1728" s="58" t="str">
        <f>IF(W1728="","",IF(W1728&gt;=p_target,"Bon",IF(W1728&gt;=p_alert,"À surveiller","Faible")))</f>
        <v/>
      </c>
      <c r="Z1728" s="58" t="str">
        <f>IF(W1728="","",IF(MIN(IF(T1728="",1,T1728),IF(U1728="",1,U1728),IF(V1728="",1,V1728))&gt;=1,"Aucune",IF(IF(T1728="",1,T1728)&lt;=MIN(IF(U1728="",1,U1728),IF(V1728="",1,V1728)),"Disponibilité",IF(IF(U1728="",1,U1728)&lt;=IF(V1728="",1,V1728),"Performance","Qualité"))))</f>
        <v/>
      </c>
      <c r="AA1728" s="59" t="str">
        <f>IF(AC1728=1,N(H1728)*N(IFERROR(INDEX(art_cost,MATCH(E1728,art_ref,0)),0)),"")</f>
        <v/>
      </c>
      <c r="AB1728" s="58" t="str">
        <f>IF(COUNTA(A1728:I1728)=0,"",IF(N(A1728)&lt;=0,"Date manquante ou invalide",IF(B1728="","Équipe manquante",IF(ISNA(MATCH(B1728,eq_code,0)),"Équipe inconnue",IF(INDEX(eq_check,MATCH(B1728,eq_code,0))&lt;&gt;"OK","Équipe à corriger dans Paramètres",IF(C1728="","Poste manquant",IF(ISNA(MATCH(C1728,po_code,0)),"Poste inconnu",IF(AND(E1728&lt;&gt;"",ISNA(MATCH(E1728,art_ref,0))),"Article inconnu",IF(IF(E1728="",FALSE,INDEX(art_check,MATCH(E1728,art_ref,0))&lt;&gt;"OK"),"Article à corriger (feuille Articles)",IF(COUNTIFS(sj_date,A1728,sj_eq,B1728,sj_po,C1728)&gt;1,"Ligne en double (même jour, équipe et poste)",IF(OR(NOT(ISNUMBER(K1728)),N(K1728)&lt;=0,N(K1728)&gt;1440),"Temps d'ouverture invalide",IF(OR(AND(G1728&lt;&gt;"",NOT(ISNUMBER(G1728))),N(G1728)&lt;0,N(G1728)&lt;&gt;INT(N(G1728)),AND(H1728&lt;&gt;"",NOT(ISNUMBER(H1728))),N(H1728)&lt;0,N(H1728)&lt;&gt;INT(N(H1728)),AND(I1728&lt;&gt;"",NOT(ISNUMBER(I1728))),N(I1728)&lt;0,N(I1728)&lt;&gt;INT(N(I1728))),"Quantité invalide",IF(Q1728&lt;=0,"Cadence manquante (poste ou article)",IF(M1728&lt;=0,"Arrêts planifiés supérieurs au temps d'ouverture",IF(O1728&lt;0,"Arrêts supérieurs au temps requis",IF(AND(P1728&gt;0,O1728=0),"Pièces déclarées sans temps de marche",IF(AND(P1728=0,O1728&gt;0),"Aucune pièce déclarée",IF(P1728*60/Q1728&gt;O1728+0.001,"Cadence dépassée : vérifiez la cadence","OK"))))))))))))))))))</f>
        <v/>
      </c>
      <c r="AC1728">
        <f>IF(OR(AB1728="OK",AB1728="Aucune pièce déclarée",AB1728="Cadence dépassée : vérifiez la cadence"),1,0)</f>
        <v>0.0</v>
      </c>
      <c r="AD1728">
        <f>IF(AND(AC1728=1,A1728&gt;=p_from,A1728&lt;=p_to),1,0)</f>
        <v>0.0</v>
      </c>
      <c r="AE1728">
        <f>IF(AD1728=1,IF(COUNTIFS($A$6:A1728,A1728,$AD$6:AD1728,1)=1,1,0),0)</f>
        <v>0.0</v>
      </c>
      <c r="AF1728" t="str">
        <f>IF(AE1728=1,COUNTIFS(sj_first,1,sj_date,"&lt;"&amp;A1728)+1,"")</f>
        <v/>
      </c>
      <c r="AG1728" t="str">
        <f>IF(AND(AD1728=1,N(W1728)&lt;p_alert),ROUND(W1728,4),"")</f>
        <v/>
      </c>
      <c r="AH1728" t="str">
        <f>IF(AG1728="","",COUNTIF(sj_akey,"&lt;"&amp;AG1728)+COUNTIF($AG$6:AG1728,AG1728))</f>
        <v/>
      </c>
    </row>
    <row r="1729">
      <c r="A1729" s="51" t="n"/>
      <c r="B1729" s="52" t="n"/>
      <c r="C1729" s="52" t="n"/>
      <c r="D1729" s="53" t="n"/>
      <c r="E1729" s="53" t="n"/>
      <c r="F1729" s="54" t="n"/>
      <c r="G1729" s="54" t="n"/>
      <c r="H1729" s="54" t="n"/>
      <c r="I1729" s="54" t="n"/>
      <c r="J1729" s="53" t="n"/>
      <c r="K1729" s="55" t="str">
        <f>IF(COUNTA(A1729:I1729)=0,"",IF(F1729="",IFERROR(INDEX(eq_dur,MATCH(B1729,eq_code,0)),""),F1729))</f>
        <v/>
      </c>
      <c r="L1729" s="55" t="str">
        <f>IF(ISNUMBER(K1729),N(IFERROR(INDEX(eq_pause,MATCH(B1729,eq_code,0)),0))+SUMIFS(st_min,st_date,A1729,st_eq,B1729,st_po,C1729,st_type,"Planifié"),"")</f>
        <v/>
      </c>
      <c r="M1729" s="55" t="str">
        <f>IF(ISNUMBER(K1729),K1729-L1729,"")</f>
        <v/>
      </c>
      <c r="N1729" s="55" t="str">
        <f>IF(ISNUMBER(K1729),SUMIFS(st_min,st_date,A1729,st_eq,B1729,st_po,C1729,st_type,"Non planifié"),"")</f>
        <v/>
      </c>
      <c r="O1729" s="55" t="str">
        <f>IF(ISNUMBER(K1729),M1729-N1729,"")</f>
        <v/>
      </c>
      <c r="P1729" s="55" t="str">
        <f>IF(COUNTA(A1729:I1729)=0,"",N(G1729)+N(H1729)+N(I1729))</f>
        <v/>
      </c>
      <c r="Q1729" s="56" t="str">
        <f>IF(COUNTA(A1729:I1729)=0,"",IF(N(IFERROR(INDEX(art_rate,MATCH(E1729,art_ref,0)),0))&gt;0,N(IFERROR(INDEX(art_rate,MATCH(E1729,art_ref,0)),0)),N(IFERROR(INDEX(po_rate,MATCH(C1729,po_code,0)),0))))</f>
        <v/>
      </c>
      <c r="R1729" s="55" t="str">
        <f>IF(AC1729=1,P1729*60/Q1729,"")</f>
        <v/>
      </c>
      <c r="S1729" s="55" t="str">
        <f>IF(AC1729=1,N(G1729)*60/Q1729,"")</f>
        <v/>
      </c>
      <c r="T1729" s="57" t="str">
        <f>IF(AC1729=1,O1729/M1729,"")</f>
        <v/>
      </c>
      <c r="U1729" s="57" t="str">
        <f>IF(AC1729=1,IF(O1729&gt;0,R1729/O1729,""),"")</f>
        <v/>
      </c>
      <c r="V1729" s="57" t="str">
        <f>IF(AC1729=1,IF(P1729&gt;0,N(G1729)/P1729,""),"")</f>
        <v/>
      </c>
      <c r="W1729" s="57" t="str">
        <f>IF(AC1729=1,S1729/M1729,"")</f>
        <v/>
      </c>
      <c r="X1729" s="57" t="str">
        <f>IF(AC1729=1,S1729/K1729,"")</f>
        <v/>
      </c>
      <c r="Y1729" s="58" t="str">
        <f>IF(W1729="","",IF(W1729&gt;=p_target,"Bon",IF(W1729&gt;=p_alert,"À surveiller","Faible")))</f>
        <v/>
      </c>
      <c r="Z1729" s="58" t="str">
        <f>IF(W1729="","",IF(MIN(IF(T1729="",1,T1729),IF(U1729="",1,U1729),IF(V1729="",1,V1729))&gt;=1,"Aucune",IF(IF(T1729="",1,T1729)&lt;=MIN(IF(U1729="",1,U1729),IF(V1729="",1,V1729)),"Disponibilité",IF(IF(U1729="",1,U1729)&lt;=IF(V1729="",1,V1729),"Performance","Qualité"))))</f>
        <v/>
      </c>
      <c r="AA1729" s="59" t="str">
        <f>IF(AC1729=1,N(H1729)*N(IFERROR(INDEX(art_cost,MATCH(E1729,art_ref,0)),0)),"")</f>
        <v/>
      </c>
      <c r="AB1729" s="58" t="str">
        <f>IF(COUNTA(A1729:I1729)=0,"",IF(N(A1729)&lt;=0,"Date manquante ou invalide",IF(B1729="","Équipe manquante",IF(ISNA(MATCH(B1729,eq_code,0)),"Équipe inconnue",IF(INDEX(eq_check,MATCH(B1729,eq_code,0))&lt;&gt;"OK","Équipe à corriger dans Paramètres",IF(C1729="","Poste manquant",IF(ISNA(MATCH(C1729,po_code,0)),"Poste inconnu",IF(AND(E1729&lt;&gt;"",ISNA(MATCH(E1729,art_ref,0))),"Article inconnu",IF(IF(E1729="",FALSE,INDEX(art_check,MATCH(E1729,art_ref,0))&lt;&gt;"OK"),"Article à corriger (feuille Articles)",IF(COUNTIFS(sj_date,A1729,sj_eq,B1729,sj_po,C1729)&gt;1,"Ligne en double (même jour, équipe et poste)",IF(OR(NOT(ISNUMBER(K1729)),N(K1729)&lt;=0,N(K1729)&gt;1440),"Temps d'ouverture invalide",IF(OR(AND(G1729&lt;&gt;"",NOT(ISNUMBER(G1729))),N(G1729)&lt;0,N(G1729)&lt;&gt;INT(N(G1729)),AND(H1729&lt;&gt;"",NOT(ISNUMBER(H1729))),N(H1729)&lt;0,N(H1729)&lt;&gt;INT(N(H1729)),AND(I1729&lt;&gt;"",NOT(ISNUMBER(I1729))),N(I1729)&lt;0,N(I1729)&lt;&gt;INT(N(I1729))),"Quantité invalide",IF(Q1729&lt;=0,"Cadence manquante (poste ou article)",IF(M1729&lt;=0,"Arrêts planifiés supérieurs au temps d'ouverture",IF(O1729&lt;0,"Arrêts supérieurs au temps requis",IF(AND(P1729&gt;0,O1729=0),"Pièces déclarées sans temps de marche",IF(AND(P1729=0,O1729&gt;0),"Aucune pièce déclarée",IF(P1729*60/Q1729&gt;O1729+0.001,"Cadence dépassée : vérifiez la cadence","OK"))))))))))))))))))</f>
        <v/>
      </c>
      <c r="AC1729">
        <f>IF(OR(AB1729="OK",AB1729="Aucune pièce déclarée",AB1729="Cadence dépassée : vérifiez la cadence"),1,0)</f>
        <v>0.0</v>
      </c>
      <c r="AD1729">
        <f>IF(AND(AC1729=1,A1729&gt;=p_from,A1729&lt;=p_to),1,0)</f>
        <v>0.0</v>
      </c>
      <c r="AE1729">
        <f>IF(AD1729=1,IF(COUNTIFS($A$6:A1729,A1729,$AD$6:AD1729,1)=1,1,0),0)</f>
        <v>0.0</v>
      </c>
      <c r="AF1729" t="str">
        <f>IF(AE1729=1,COUNTIFS(sj_first,1,sj_date,"&lt;"&amp;A1729)+1,"")</f>
        <v/>
      </c>
      <c r="AG1729" t="str">
        <f>IF(AND(AD1729=1,N(W1729)&lt;p_alert),ROUND(W1729,4),"")</f>
        <v/>
      </c>
      <c r="AH1729" t="str">
        <f>IF(AG1729="","",COUNTIF(sj_akey,"&lt;"&amp;AG1729)+COUNTIF($AG$6:AG1729,AG1729))</f>
        <v/>
      </c>
    </row>
    <row r="1730">
      <c r="A1730" s="51" t="n"/>
      <c r="B1730" s="52" t="n"/>
      <c r="C1730" s="52" t="n"/>
      <c r="D1730" s="53" t="n"/>
      <c r="E1730" s="53" t="n"/>
      <c r="F1730" s="54" t="n"/>
      <c r="G1730" s="54" t="n"/>
      <c r="H1730" s="54" t="n"/>
      <c r="I1730" s="54" t="n"/>
      <c r="J1730" s="53" t="n"/>
      <c r="K1730" s="55" t="str">
        <f>IF(COUNTA(A1730:I1730)=0,"",IF(F1730="",IFERROR(INDEX(eq_dur,MATCH(B1730,eq_code,0)),""),F1730))</f>
        <v/>
      </c>
      <c r="L1730" s="55" t="str">
        <f>IF(ISNUMBER(K1730),N(IFERROR(INDEX(eq_pause,MATCH(B1730,eq_code,0)),0))+SUMIFS(st_min,st_date,A1730,st_eq,B1730,st_po,C1730,st_type,"Planifié"),"")</f>
        <v/>
      </c>
      <c r="M1730" s="55" t="str">
        <f>IF(ISNUMBER(K1730),K1730-L1730,"")</f>
        <v/>
      </c>
      <c r="N1730" s="55" t="str">
        <f>IF(ISNUMBER(K1730),SUMIFS(st_min,st_date,A1730,st_eq,B1730,st_po,C1730,st_type,"Non planifié"),"")</f>
        <v/>
      </c>
      <c r="O1730" s="55" t="str">
        <f>IF(ISNUMBER(K1730),M1730-N1730,"")</f>
        <v/>
      </c>
      <c r="P1730" s="55" t="str">
        <f>IF(COUNTA(A1730:I1730)=0,"",N(G1730)+N(H1730)+N(I1730))</f>
        <v/>
      </c>
      <c r="Q1730" s="56" t="str">
        <f>IF(COUNTA(A1730:I1730)=0,"",IF(N(IFERROR(INDEX(art_rate,MATCH(E1730,art_ref,0)),0))&gt;0,N(IFERROR(INDEX(art_rate,MATCH(E1730,art_ref,0)),0)),N(IFERROR(INDEX(po_rate,MATCH(C1730,po_code,0)),0))))</f>
        <v/>
      </c>
      <c r="R1730" s="55" t="str">
        <f>IF(AC1730=1,P1730*60/Q1730,"")</f>
        <v/>
      </c>
      <c r="S1730" s="55" t="str">
        <f>IF(AC1730=1,N(G1730)*60/Q1730,"")</f>
        <v/>
      </c>
      <c r="T1730" s="57" t="str">
        <f>IF(AC1730=1,O1730/M1730,"")</f>
        <v/>
      </c>
      <c r="U1730" s="57" t="str">
        <f>IF(AC1730=1,IF(O1730&gt;0,R1730/O1730,""),"")</f>
        <v/>
      </c>
      <c r="V1730" s="57" t="str">
        <f>IF(AC1730=1,IF(P1730&gt;0,N(G1730)/P1730,""),"")</f>
        <v/>
      </c>
      <c r="W1730" s="57" t="str">
        <f>IF(AC1730=1,S1730/M1730,"")</f>
        <v/>
      </c>
      <c r="X1730" s="57" t="str">
        <f>IF(AC1730=1,S1730/K1730,"")</f>
        <v/>
      </c>
      <c r="Y1730" s="58" t="str">
        <f>IF(W1730="","",IF(W1730&gt;=p_target,"Bon",IF(W1730&gt;=p_alert,"À surveiller","Faible")))</f>
        <v/>
      </c>
      <c r="Z1730" s="58" t="str">
        <f>IF(W1730="","",IF(MIN(IF(T1730="",1,T1730),IF(U1730="",1,U1730),IF(V1730="",1,V1730))&gt;=1,"Aucune",IF(IF(T1730="",1,T1730)&lt;=MIN(IF(U1730="",1,U1730),IF(V1730="",1,V1730)),"Disponibilité",IF(IF(U1730="",1,U1730)&lt;=IF(V1730="",1,V1730),"Performance","Qualité"))))</f>
        <v/>
      </c>
      <c r="AA1730" s="59" t="str">
        <f>IF(AC1730=1,N(H1730)*N(IFERROR(INDEX(art_cost,MATCH(E1730,art_ref,0)),0)),"")</f>
        <v/>
      </c>
      <c r="AB1730" s="58" t="str">
        <f>IF(COUNTA(A1730:I1730)=0,"",IF(N(A1730)&lt;=0,"Date manquante ou invalide",IF(B1730="","Équipe manquante",IF(ISNA(MATCH(B1730,eq_code,0)),"Équipe inconnue",IF(INDEX(eq_check,MATCH(B1730,eq_code,0))&lt;&gt;"OK","Équipe à corriger dans Paramètres",IF(C1730="","Poste manquant",IF(ISNA(MATCH(C1730,po_code,0)),"Poste inconnu",IF(AND(E1730&lt;&gt;"",ISNA(MATCH(E1730,art_ref,0))),"Article inconnu",IF(IF(E1730="",FALSE,INDEX(art_check,MATCH(E1730,art_ref,0))&lt;&gt;"OK"),"Article à corriger (feuille Articles)",IF(COUNTIFS(sj_date,A1730,sj_eq,B1730,sj_po,C1730)&gt;1,"Ligne en double (même jour, équipe et poste)",IF(OR(NOT(ISNUMBER(K1730)),N(K1730)&lt;=0,N(K1730)&gt;1440),"Temps d'ouverture invalide",IF(OR(AND(G1730&lt;&gt;"",NOT(ISNUMBER(G1730))),N(G1730)&lt;0,N(G1730)&lt;&gt;INT(N(G1730)),AND(H1730&lt;&gt;"",NOT(ISNUMBER(H1730))),N(H1730)&lt;0,N(H1730)&lt;&gt;INT(N(H1730)),AND(I1730&lt;&gt;"",NOT(ISNUMBER(I1730))),N(I1730)&lt;0,N(I1730)&lt;&gt;INT(N(I1730))),"Quantité invalide",IF(Q1730&lt;=0,"Cadence manquante (poste ou article)",IF(M1730&lt;=0,"Arrêts planifiés supérieurs au temps d'ouverture",IF(O1730&lt;0,"Arrêts supérieurs au temps requis",IF(AND(P1730&gt;0,O1730=0),"Pièces déclarées sans temps de marche",IF(AND(P1730=0,O1730&gt;0),"Aucune pièce déclarée",IF(P1730*60/Q1730&gt;O1730+0.001,"Cadence dépassée : vérifiez la cadence","OK"))))))))))))))))))</f>
        <v/>
      </c>
      <c r="AC1730">
        <f>IF(OR(AB1730="OK",AB1730="Aucune pièce déclarée",AB1730="Cadence dépassée : vérifiez la cadence"),1,0)</f>
        <v>0.0</v>
      </c>
      <c r="AD1730">
        <f>IF(AND(AC1730=1,A1730&gt;=p_from,A1730&lt;=p_to),1,0)</f>
        <v>0.0</v>
      </c>
      <c r="AE1730">
        <f>IF(AD1730=1,IF(COUNTIFS($A$6:A1730,A1730,$AD$6:AD1730,1)=1,1,0),0)</f>
        <v>0.0</v>
      </c>
      <c r="AF1730" t="str">
        <f>IF(AE1730=1,COUNTIFS(sj_first,1,sj_date,"&lt;"&amp;A1730)+1,"")</f>
        <v/>
      </c>
      <c r="AG1730" t="str">
        <f>IF(AND(AD1730=1,N(W1730)&lt;p_alert),ROUND(W1730,4),"")</f>
        <v/>
      </c>
      <c r="AH1730" t="str">
        <f>IF(AG1730="","",COUNTIF(sj_akey,"&lt;"&amp;AG1730)+COUNTIF($AG$6:AG1730,AG1730))</f>
        <v/>
      </c>
    </row>
    <row r="1731">
      <c r="A1731" s="51" t="n"/>
      <c r="B1731" s="52" t="n"/>
      <c r="C1731" s="52" t="n"/>
      <c r="D1731" s="53" t="n"/>
      <c r="E1731" s="53" t="n"/>
      <c r="F1731" s="54" t="n"/>
      <c r="G1731" s="54" t="n"/>
      <c r="H1731" s="54" t="n"/>
      <c r="I1731" s="54" t="n"/>
      <c r="J1731" s="53" t="n"/>
      <c r="K1731" s="55" t="str">
        <f>IF(COUNTA(A1731:I1731)=0,"",IF(F1731="",IFERROR(INDEX(eq_dur,MATCH(B1731,eq_code,0)),""),F1731))</f>
        <v/>
      </c>
      <c r="L1731" s="55" t="str">
        <f>IF(ISNUMBER(K1731),N(IFERROR(INDEX(eq_pause,MATCH(B1731,eq_code,0)),0))+SUMIFS(st_min,st_date,A1731,st_eq,B1731,st_po,C1731,st_type,"Planifié"),"")</f>
        <v/>
      </c>
      <c r="M1731" s="55" t="str">
        <f>IF(ISNUMBER(K1731),K1731-L1731,"")</f>
        <v/>
      </c>
      <c r="N1731" s="55" t="str">
        <f>IF(ISNUMBER(K1731),SUMIFS(st_min,st_date,A1731,st_eq,B1731,st_po,C1731,st_type,"Non planifié"),"")</f>
        <v/>
      </c>
      <c r="O1731" s="55" t="str">
        <f>IF(ISNUMBER(K1731),M1731-N1731,"")</f>
        <v/>
      </c>
      <c r="P1731" s="55" t="str">
        <f>IF(COUNTA(A1731:I1731)=0,"",N(G1731)+N(H1731)+N(I1731))</f>
        <v/>
      </c>
      <c r="Q1731" s="56" t="str">
        <f>IF(COUNTA(A1731:I1731)=0,"",IF(N(IFERROR(INDEX(art_rate,MATCH(E1731,art_ref,0)),0))&gt;0,N(IFERROR(INDEX(art_rate,MATCH(E1731,art_ref,0)),0)),N(IFERROR(INDEX(po_rate,MATCH(C1731,po_code,0)),0))))</f>
        <v/>
      </c>
      <c r="R1731" s="55" t="str">
        <f>IF(AC1731=1,P1731*60/Q1731,"")</f>
        <v/>
      </c>
      <c r="S1731" s="55" t="str">
        <f>IF(AC1731=1,N(G1731)*60/Q1731,"")</f>
        <v/>
      </c>
      <c r="T1731" s="57" t="str">
        <f>IF(AC1731=1,O1731/M1731,"")</f>
        <v/>
      </c>
      <c r="U1731" s="57" t="str">
        <f>IF(AC1731=1,IF(O1731&gt;0,R1731/O1731,""),"")</f>
        <v/>
      </c>
      <c r="V1731" s="57" t="str">
        <f>IF(AC1731=1,IF(P1731&gt;0,N(G1731)/P1731,""),"")</f>
        <v/>
      </c>
      <c r="W1731" s="57" t="str">
        <f>IF(AC1731=1,S1731/M1731,"")</f>
        <v/>
      </c>
      <c r="X1731" s="57" t="str">
        <f>IF(AC1731=1,S1731/K1731,"")</f>
        <v/>
      </c>
      <c r="Y1731" s="58" t="str">
        <f>IF(W1731="","",IF(W1731&gt;=p_target,"Bon",IF(W1731&gt;=p_alert,"À surveiller","Faible")))</f>
        <v/>
      </c>
      <c r="Z1731" s="58" t="str">
        <f>IF(W1731="","",IF(MIN(IF(T1731="",1,T1731),IF(U1731="",1,U1731),IF(V1731="",1,V1731))&gt;=1,"Aucune",IF(IF(T1731="",1,T1731)&lt;=MIN(IF(U1731="",1,U1731),IF(V1731="",1,V1731)),"Disponibilité",IF(IF(U1731="",1,U1731)&lt;=IF(V1731="",1,V1731),"Performance","Qualité"))))</f>
        <v/>
      </c>
      <c r="AA1731" s="59" t="str">
        <f>IF(AC1731=1,N(H1731)*N(IFERROR(INDEX(art_cost,MATCH(E1731,art_ref,0)),0)),"")</f>
        <v/>
      </c>
      <c r="AB1731" s="58" t="str">
        <f>IF(COUNTA(A1731:I1731)=0,"",IF(N(A1731)&lt;=0,"Date manquante ou invalide",IF(B1731="","Équipe manquante",IF(ISNA(MATCH(B1731,eq_code,0)),"Équipe inconnue",IF(INDEX(eq_check,MATCH(B1731,eq_code,0))&lt;&gt;"OK","Équipe à corriger dans Paramètres",IF(C1731="","Poste manquant",IF(ISNA(MATCH(C1731,po_code,0)),"Poste inconnu",IF(AND(E1731&lt;&gt;"",ISNA(MATCH(E1731,art_ref,0))),"Article inconnu",IF(IF(E1731="",FALSE,INDEX(art_check,MATCH(E1731,art_ref,0))&lt;&gt;"OK"),"Article à corriger (feuille Articles)",IF(COUNTIFS(sj_date,A1731,sj_eq,B1731,sj_po,C1731)&gt;1,"Ligne en double (même jour, équipe et poste)",IF(OR(NOT(ISNUMBER(K1731)),N(K1731)&lt;=0,N(K1731)&gt;1440),"Temps d'ouverture invalide",IF(OR(AND(G1731&lt;&gt;"",NOT(ISNUMBER(G1731))),N(G1731)&lt;0,N(G1731)&lt;&gt;INT(N(G1731)),AND(H1731&lt;&gt;"",NOT(ISNUMBER(H1731))),N(H1731)&lt;0,N(H1731)&lt;&gt;INT(N(H1731)),AND(I1731&lt;&gt;"",NOT(ISNUMBER(I1731))),N(I1731)&lt;0,N(I1731)&lt;&gt;INT(N(I1731))),"Quantité invalide",IF(Q1731&lt;=0,"Cadence manquante (poste ou article)",IF(M1731&lt;=0,"Arrêts planifiés supérieurs au temps d'ouverture",IF(O1731&lt;0,"Arrêts supérieurs au temps requis",IF(AND(P1731&gt;0,O1731=0),"Pièces déclarées sans temps de marche",IF(AND(P1731=0,O1731&gt;0),"Aucune pièce déclarée",IF(P1731*60/Q1731&gt;O1731+0.001,"Cadence dépassée : vérifiez la cadence","OK"))))))))))))))))))</f>
        <v/>
      </c>
      <c r="AC1731">
        <f>IF(OR(AB1731="OK",AB1731="Aucune pièce déclarée",AB1731="Cadence dépassée : vérifiez la cadence"),1,0)</f>
        <v>0.0</v>
      </c>
      <c r="AD1731">
        <f>IF(AND(AC1731=1,A1731&gt;=p_from,A1731&lt;=p_to),1,0)</f>
        <v>0.0</v>
      </c>
      <c r="AE1731">
        <f>IF(AD1731=1,IF(COUNTIFS($A$6:A1731,A1731,$AD$6:AD1731,1)=1,1,0),0)</f>
        <v>0.0</v>
      </c>
      <c r="AF1731" t="str">
        <f>IF(AE1731=1,COUNTIFS(sj_first,1,sj_date,"&lt;"&amp;A1731)+1,"")</f>
        <v/>
      </c>
      <c r="AG1731" t="str">
        <f>IF(AND(AD1731=1,N(W1731)&lt;p_alert),ROUND(W1731,4),"")</f>
        <v/>
      </c>
      <c r="AH1731" t="str">
        <f>IF(AG1731="","",COUNTIF(sj_akey,"&lt;"&amp;AG1731)+COUNTIF($AG$6:AG1731,AG1731))</f>
        <v/>
      </c>
    </row>
    <row r="1732">
      <c r="A1732" s="51" t="n"/>
      <c r="B1732" s="52" t="n"/>
      <c r="C1732" s="52" t="n"/>
      <c r="D1732" s="53" t="n"/>
      <c r="E1732" s="53" t="n"/>
      <c r="F1732" s="54" t="n"/>
      <c r="G1732" s="54" t="n"/>
      <c r="H1732" s="54" t="n"/>
      <c r="I1732" s="54" t="n"/>
      <c r="J1732" s="53" t="n"/>
      <c r="K1732" s="55" t="str">
        <f>IF(COUNTA(A1732:I1732)=0,"",IF(F1732="",IFERROR(INDEX(eq_dur,MATCH(B1732,eq_code,0)),""),F1732))</f>
        <v/>
      </c>
      <c r="L1732" s="55" t="str">
        <f>IF(ISNUMBER(K1732),N(IFERROR(INDEX(eq_pause,MATCH(B1732,eq_code,0)),0))+SUMIFS(st_min,st_date,A1732,st_eq,B1732,st_po,C1732,st_type,"Planifié"),"")</f>
        <v/>
      </c>
      <c r="M1732" s="55" t="str">
        <f>IF(ISNUMBER(K1732),K1732-L1732,"")</f>
        <v/>
      </c>
      <c r="N1732" s="55" t="str">
        <f>IF(ISNUMBER(K1732),SUMIFS(st_min,st_date,A1732,st_eq,B1732,st_po,C1732,st_type,"Non planifié"),"")</f>
        <v/>
      </c>
      <c r="O1732" s="55" t="str">
        <f>IF(ISNUMBER(K1732),M1732-N1732,"")</f>
        <v/>
      </c>
      <c r="P1732" s="55" t="str">
        <f>IF(COUNTA(A1732:I1732)=0,"",N(G1732)+N(H1732)+N(I1732))</f>
        <v/>
      </c>
      <c r="Q1732" s="56" t="str">
        <f>IF(COUNTA(A1732:I1732)=0,"",IF(N(IFERROR(INDEX(art_rate,MATCH(E1732,art_ref,0)),0))&gt;0,N(IFERROR(INDEX(art_rate,MATCH(E1732,art_ref,0)),0)),N(IFERROR(INDEX(po_rate,MATCH(C1732,po_code,0)),0))))</f>
        <v/>
      </c>
      <c r="R1732" s="55" t="str">
        <f>IF(AC1732=1,P1732*60/Q1732,"")</f>
        <v/>
      </c>
      <c r="S1732" s="55" t="str">
        <f>IF(AC1732=1,N(G1732)*60/Q1732,"")</f>
        <v/>
      </c>
      <c r="T1732" s="57" t="str">
        <f>IF(AC1732=1,O1732/M1732,"")</f>
        <v/>
      </c>
      <c r="U1732" s="57" t="str">
        <f>IF(AC1732=1,IF(O1732&gt;0,R1732/O1732,""),"")</f>
        <v/>
      </c>
      <c r="V1732" s="57" t="str">
        <f>IF(AC1732=1,IF(P1732&gt;0,N(G1732)/P1732,""),"")</f>
        <v/>
      </c>
      <c r="W1732" s="57" t="str">
        <f>IF(AC1732=1,S1732/M1732,"")</f>
        <v/>
      </c>
      <c r="X1732" s="57" t="str">
        <f>IF(AC1732=1,S1732/K1732,"")</f>
        <v/>
      </c>
      <c r="Y1732" s="58" t="str">
        <f>IF(W1732="","",IF(W1732&gt;=p_target,"Bon",IF(W1732&gt;=p_alert,"À surveiller","Faible")))</f>
        <v/>
      </c>
      <c r="Z1732" s="58" t="str">
        <f>IF(W1732="","",IF(MIN(IF(T1732="",1,T1732),IF(U1732="",1,U1732),IF(V1732="",1,V1732))&gt;=1,"Aucune",IF(IF(T1732="",1,T1732)&lt;=MIN(IF(U1732="",1,U1732),IF(V1732="",1,V1732)),"Disponibilité",IF(IF(U1732="",1,U1732)&lt;=IF(V1732="",1,V1732),"Performance","Qualité"))))</f>
        <v/>
      </c>
      <c r="AA1732" s="59" t="str">
        <f>IF(AC1732=1,N(H1732)*N(IFERROR(INDEX(art_cost,MATCH(E1732,art_ref,0)),0)),"")</f>
        <v/>
      </c>
      <c r="AB1732" s="58" t="str">
        <f>IF(COUNTA(A1732:I1732)=0,"",IF(N(A1732)&lt;=0,"Date manquante ou invalide",IF(B1732="","Équipe manquante",IF(ISNA(MATCH(B1732,eq_code,0)),"Équipe inconnue",IF(INDEX(eq_check,MATCH(B1732,eq_code,0))&lt;&gt;"OK","Équipe à corriger dans Paramètres",IF(C1732="","Poste manquant",IF(ISNA(MATCH(C1732,po_code,0)),"Poste inconnu",IF(AND(E1732&lt;&gt;"",ISNA(MATCH(E1732,art_ref,0))),"Article inconnu",IF(IF(E1732="",FALSE,INDEX(art_check,MATCH(E1732,art_ref,0))&lt;&gt;"OK"),"Article à corriger (feuille Articles)",IF(COUNTIFS(sj_date,A1732,sj_eq,B1732,sj_po,C1732)&gt;1,"Ligne en double (même jour, équipe et poste)",IF(OR(NOT(ISNUMBER(K1732)),N(K1732)&lt;=0,N(K1732)&gt;1440),"Temps d'ouverture invalide",IF(OR(AND(G1732&lt;&gt;"",NOT(ISNUMBER(G1732))),N(G1732)&lt;0,N(G1732)&lt;&gt;INT(N(G1732)),AND(H1732&lt;&gt;"",NOT(ISNUMBER(H1732))),N(H1732)&lt;0,N(H1732)&lt;&gt;INT(N(H1732)),AND(I1732&lt;&gt;"",NOT(ISNUMBER(I1732))),N(I1732)&lt;0,N(I1732)&lt;&gt;INT(N(I1732))),"Quantité invalide",IF(Q1732&lt;=0,"Cadence manquante (poste ou article)",IF(M1732&lt;=0,"Arrêts planifiés supérieurs au temps d'ouverture",IF(O1732&lt;0,"Arrêts supérieurs au temps requis",IF(AND(P1732&gt;0,O1732=0),"Pièces déclarées sans temps de marche",IF(AND(P1732=0,O1732&gt;0),"Aucune pièce déclarée",IF(P1732*60/Q1732&gt;O1732+0.001,"Cadence dépassée : vérifiez la cadence","OK"))))))))))))))))))</f>
        <v/>
      </c>
      <c r="AC1732">
        <f>IF(OR(AB1732="OK",AB1732="Aucune pièce déclarée",AB1732="Cadence dépassée : vérifiez la cadence"),1,0)</f>
        <v>0.0</v>
      </c>
      <c r="AD1732">
        <f>IF(AND(AC1732=1,A1732&gt;=p_from,A1732&lt;=p_to),1,0)</f>
        <v>0.0</v>
      </c>
      <c r="AE1732">
        <f>IF(AD1732=1,IF(COUNTIFS($A$6:A1732,A1732,$AD$6:AD1732,1)=1,1,0),0)</f>
        <v>0.0</v>
      </c>
      <c r="AF1732" t="str">
        <f>IF(AE1732=1,COUNTIFS(sj_first,1,sj_date,"&lt;"&amp;A1732)+1,"")</f>
        <v/>
      </c>
      <c r="AG1732" t="str">
        <f>IF(AND(AD1732=1,N(W1732)&lt;p_alert),ROUND(W1732,4),"")</f>
        <v/>
      </c>
      <c r="AH1732" t="str">
        <f>IF(AG1732="","",COUNTIF(sj_akey,"&lt;"&amp;AG1732)+COUNTIF($AG$6:AG1732,AG1732))</f>
        <v/>
      </c>
    </row>
    <row r="1733">
      <c r="A1733" s="51" t="n"/>
      <c r="B1733" s="52" t="n"/>
      <c r="C1733" s="52" t="n"/>
      <c r="D1733" s="53" t="n"/>
      <c r="E1733" s="53" t="n"/>
      <c r="F1733" s="54" t="n"/>
      <c r="G1733" s="54" t="n"/>
      <c r="H1733" s="54" t="n"/>
      <c r="I1733" s="54" t="n"/>
      <c r="J1733" s="53" t="n"/>
      <c r="K1733" s="55" t="str">
        <f>IF(COUNTA(A1733:I1733)=0,"",IF(F1733="",IFERROR(INDEX(eq_dur,MATCH(B1733,eq_code,0)),""),F1733))</f>
        <v/>
      </c>
      <c r="L1733" s="55" t="str">
        <f>IF(ISNUMBER(K1733),N(IFERROR(INDEX(eq_pause,MATCH(B1733,eq_code,0)),0))+SUMIFS(st_min,st_date,A1733,st_eq,B1733,st_po,C1733,st_type,"Planifié"),"")</f>
        <v/>
      </c>
      <c r="M1733" s="55" t="str">
        <f>IF(ISNUMBER(K1733),K1733-L1733,"")</f>
        <v/>
      </c>
      <c r="N1733" s="55" t="str">
        <f>IF(ISNUMBER(K1733),SUMIFS(st_min,st_date,A1733,st_eq,B1733,st_po,C1733,st_type,"Non planifié"),"")</f>
        <v/>
      </c>
      <c r="O1733" s="55" t="str">
        <f>IF(ISNUMBER(K1733),M1733-N1733,"")</f>
        <v/>
      </c>
      <c r="P1733" s="55" t="str">
        <f>IF(COUNTA(A1733:I1733)=0,"",N(G1733)+N(H1733)+N(I1733))</f>
        <v/>
      </c>
      <c r="Q1733" s="56" t="str">
        <f>IF(COUNTA(A1733:I1733)=0,"",IF(N(IFERROR(INDEX(art_rate,MATCH(E1733,art_ref,0)),0))&gt;0,N(IFERROR(INDEX(art_rate,MATCH(E1733,art_ref,0)),0)),N(IFERROR(INDEX(po_rate,MATCH(C1733,po_code,0)),0))))</f>
        <v/>
      </c>
      <c r="R1733" s="55" t="str">
        <f>IF(AC1733=1,P1733*60/Q1733,"")</f>
        <v/>
      </c>
      <c r="S1733" s="55" t="str">
        <f>IF(AC1733=1,N(G1733)*60/Q1733,"")</f>
        <v/>
      </c>
      <c r="T1733" s="57" t="str">
        <f>IF(AC1733=1,O1733/M1733,"")</f>
        <v/>
      </c>
      <c r="U1733" s="57" t="str">
        <f>IF(AC1733=1,IF(O1733&gt;0,R1733/O1733,""),"")</f>
        <v/>
      </c>
      <c r="V1733" s="57" t="str">
        <f>IF(AC1733=1,IF(P1733&gt;0,N(G1733)/P1733,""),"")</f>
        <v/>
      </c>
      <c r="W1733" s="57" t="str">
        <f>IF(AC1733=1,S1733/M1733,"")</f>
        <v/>
      </c>
      <c r="X1733" s="57" t="str">
        <f>IF(AC1733=1,S1733/K1733,"")</f>
        <v/>
      </c>
      <c r="Y1733" s="58" t="str">
        <f>IF(W1733="","",IF(W1733&gt;=p_target,"Bon",IF(W1733&gt;=p_alert,"À surveiller","Faible")))</f>
        <v/>
      </c>
      <c r="Z1733" s="58" t="str">
        <f>IF(W1733="","",IF(MIN(IF(T1733="",1,T1733),IF(U1733="",1,U1733),IF(V1733="",1,V1733))&gt;=1,"Aucune",IF(IF(T1733="",1,T1733)&lt;=MIN(IF(U1733="",1,U1733),IF(V1733="",1,V1733)),"Disponibilité",IF(IF(U1733="",1,U1733)&lt;=IF(V1733="",1,V1733),"Performance","Qualité"))))</f>
        <v/>
      </c>
      <c r="AA1733" s="59" t="str">
        <f>IF(AC1733=1,N(H1733)*N(IFERROR(INDEX(art_cost,MATCH(E1733,art_ref,0)),0)),"")</f>
        <v/>
      </c>
      <c r="AB1733" s="58" t="str">
        <f>IF(COUNTA(A1733:I1733)=0,"",IF(N(A1733)&lt;=0,"Date manquante ou invalide",IF(B1733="","Équipe manquante",IF(ISNA(MATCH(B1733,eq_code,0)),"Équipe inconnue",IF(INDEX(eq_check,MATCH(B1733,eq_code,0))&lt;&gt;"OK","Équipe à corriger dans Paramètres",IF(C1733="","Poste manquant",IF(ISNA(MATCH(C1733,po_code,0)),"Poste inconnu",IF(AND(E1733&lt;&gt;"",ISNA(MATCH(E1733,art_ref,0))),"Article inconnu",IF(IF(E1733="",FALSE,INDEX(art_check,MATCH(E1733,art_ref,0))&lt;&gt;"OK"),"Article à corriger (feuille Articles)",IF(COUNTIFS(sj_date,A1733,sj_eq,B1733,sj_po,C1733)&gt;1,"Ligne en double (même jour, équipe et poste)",IF(OR(NOT(ISNUMBER(K1733)),N(K1733)&lt;=0,N(K1733)&gt;1440),"Temps d'ouverture invalide",IF(OR(AND(G1733&lt;&gt;"",NOT(ISNUMBER(G1733))),N(G1733)&lt;0,N(G1733)&lt;&gt;INT(N(G1733)),AND(H1733&lt;&gt;"",NOT(ISNUMBER(H1733))),N(H1733)&lt;0,N(H1733)&lt;&gt;INT(N(H1733)),AND(I1733&lt;&gt;"",NOT(ISNUMBER(I1733))),N(I1733)&lt;0,N(I1733)&lt;&gt;INT(N(I1733))),"Quantité invalide",IF(Q1733&lt;=0,"Cadence manquante (poste ou article)",IF(M1733&lt;=0,"Arrêts planifiés supérieurs au temps d'ouverture",IF(O1733&lt;0,"Arrêts supérieurs au temps requis",IF(AND(P1733&gt;0,O1733=0),"Pièces déclarées sans temps de marche",IF(AND(P1733=0,O1733&gt;0),"Aucune pièce déclarée",IF(P1733*60/Q1733&gt;O1733+0.001,"Cadence dépassée : vérifiez la cadence","OK"))))))))))))))))))</f>
        <v/>
      </c>
      <c r="AC1733">
        <f>IF(OR(AB1733="OK",AB1733="Aucune pièce déclarée",AB1733="Cadence dépassée : vérifiez la cadence"),1,0)</f>
        <v>0.0</v>
      </c>
      <c r="AD1733">
        <f>IF(AND(AC1733=1,A1733&gt;=p_from,A1733&lt;=p_to),1,0)</f>
        <v>0.0</v>
      </c>
      <c r="AE1733">
        <f>IF(AD1733=1,IF(COUNTIFS($A$6:A1733,A1733,$AD$6:AD1733,1)=1,1,0),0)</f>
        <v>0.0</v>
      </c>
      <c r="AF1733" t="str">
        <f>IF(AE1733=1,COUNTIFS(sj_first,1,sj_date,"&lt;"&amp;A1733)+1,"")</f>
        <v/>
      </c>
      <c r="AG1733" t="str">
        <f>IF(AND(AD1733=1,N(W1733)&lt;p_alert),ROUND(W1733,4),"")</f>
        <v/>
      </c>
      <c r="AH1733" t="str">
        <f>IF(AG1733="","",COUNTIF(sj_akey,"&lt;"&amp;AG1733)+COUNTIF($AG$6:AG1733,AG1733))</f>
        <v/>
      </c>
    </row>
    <row r="1734">
      <c r="A1734" s="51" t="n"/>
      <c r="B1734" s="52" t="n"/>
      <c r="C1734" s="52" t="n"/>
      <c r="D1734" s="53" t="n"/>
      <c r="E1734" s="53" t="n"/>
      <c r="F1734" s="54" t="n"/>
      <c r="G1734" s="54" t="n"/>
      <c r="H1734" s="54" t="n"/>
      <c r="I1734" s="54" t="n"/>
      <c r="J1734" s="53" t="n"/>
      <c r="K1734" s="55" t="str">
        <f>IF(COUNTA(A1734:I1734)=0,"",IF(F1734="",IFERROR(INDEX(eq_dur,MATCH(B1734,eq_code,0)),""),F1734))</f>
        <v/>
      </c>
      <c r="L1734" s="55" t="str">
        <f>IF(ISNUMBER(K1734),N(IFERROR(INDEX(eq_pause,MATCH(B1734,eq_code,0)),0))+SUMIFS(st_min,st_date,A1734,st_eq,B1734,st_po,C1734,st_type,"Planifié"),"")</f>
        <v/>
      </c>
      <c r="M1734" s="55" t="str">
        <f>IF(ISNUMBER(K1734),K1734-L1734,"")</f>
        <v/>
      </c>
      <c r="N1734" s="55" t="str">
        <f>IF(ISNUMBER(K1734),SUMIFS(st_min,st_date,A1734,st_eq,B1734,st_po,C1734,st_type,"Non planifié"),"")</f>
        <v/>
      </c>
      <c r="O1734" s="55" t="str">
        <f>IF(ISNUMBER(K1734),M1734-N1734,"")</f>
        <v/>
      </c>
      <c r="P1734" s="55" t="str">
        <f>IF(COUNTA(A1734:I1734)=0,"",N(G1734)+N(H1734)+N(I1734))</f>
        <v/>
      </c>
      <c r="Q1734" s="56" t="str">
        <f>IF(COUNTA(A1734:I1734)=0,"",IF(N(IFERROR(INDEX(art_rate,MATCH(E1734,art_ref,0)),0))&gt;0,N(IFERROR(INDEX(art_rate,MATCH(E1734,art_ref,0)),0)),N(IFERROR(INDEX(po_rate,MATCH(C1734,po_code,0)),0))))</f>
        <v/>
      </c>
      <c r="R1734" s="55" t="str">
        <f>IF(AC1734=1,P1734*60/Q1734,"")</f>
        <v/>
      </c>
      <c r="S1734" s="55" t="str">
        <f>IF(AC1734=1,N(G1734)*60/Q1734,"")</f>
        <v/>
      </c>
      <c r="T1734" s="57" t="str">
        <f>IF(AC1734=1,O1734/M1734,"")</f>
        <v/>
      </c>
      <c r="U1734" s="57" t="str">
        <f>IF(AC1734=1,IF(O1734&gt;0,R1734/O1734,""),"")</f>
        <v/>
      </c>
      <c r="V1734" s="57" t="str">
        <f>IF(AC1734=1,IF(P1734&gt;0,N(G1734)/P1734,""),"")</f>
        <v/>
      </c>
      <c r="W1734" s="57" t="str">
        <f>IF(AC1734=1,S1734/M1734,"")</f>
        <v/>
      </c>
      <c r="X1734" s="57" t="str">
        <f>IF(AC1734=1,S1734/K1734,"")</f>
        <v/>
      </c>
      <c r="Y1734" s="58" t="str">
        <f>IF(W1734="","",IF(W1734&gt;=p_target,"Bon",IF(W1734&gt;=p_alert,"À surveiller","Faible")))</f>
        <v/>
      </c>
      <c r="Z1734" s="58" t="str">
        <f>IF(W1734="","",IF(MIN(IF(T1734="",1,T1734),IF(U1734="",1,U1734),IF(V1734="",1,V1734))&gt;=1,"Aucune",IF(IF(T1734="",1,T1734)&lt;=MIN(IF(U1734="",1,U1734),IF(V1734="",1,V1734)),"Disponibilité",IF(IF(U1734="",1,U1734)&lt;=IF(V1734="",1,V1734),"Performance","Qualité"))))</f>
        <v/>
      </c>
      <c r="AA1734" s="59" t="str">
        <f>IF(AC1734=1,N(H1734)*N(IFERROR(INDEX(art_cost,MATCH(E1734,art_ref,0)),0)),"")</f>
        <v/>
      </c>
      <c r="AB1734" s="58" t="str">
        <f>IF(COUNTA(A1734:I1734)=0,"",IF(N(A1734)&lt;=0,"Date manquante ou invalide",IF(B1734="","Équipe manquante",IF(ISNA(MATCH(B1734,eq_code,0)),"Équipe inconnue",IF(INDEX(eq_check,MATCH(B1734,eq_code,0))&lt;&gt;"OK","Équipe à corriger dans Paramètres",IF(C1734="","Poste manquant",IF(ISNA(MATCH(C1734,po_code,0)),"Poste inconnu",IF(AND(E1734&lt;&gt;"",ISNA(MATCH(E1734,art_ref,0))),"Article inconnu",IF(IF(E1734="",FALSE,INDEX(art_check,MATCH(E1734,art_ref,0))&lt;&gt;"OK"),"Article à corriger (feuille Articles)",IF(COUNTIFS(sj_date,A1734,sj_eq,B1734,sj_po,C1734)&gt;1,"Ligne en double (même jour, équipe et poste)",IF(OR(NOT(ISNUMBER(K1734)),N(K1734)&lt;=0,N(K1734)&gt;1440),"Temps d'ouverture invalide",IF(OR(AND(G1734&lt;&gt;"",NOT(ISNUMBER(G1734))),N(G1734)&lt;0,N(G1734)&lt;&gt;INT(N(G1734)),AND(H1734&lt;&gt;"",NOT(ISNUMBER(H1734))),N(H1734)&lt;0,N(H1734)&lt;&gt;INT(N(H1734)),AND(I1734&lt;&gt;"",NOT(ISNUMBER(I1734))),N(I1734)&lt;0,N(I1734)&lt;&gt;INT(N(I1734))),"Quantité invalide",IF(Q1734&lt;=0,"Cadence manquante (poste ou article)",IF(M1734&lt;=0,"Arrêts planifiés supérieurs au temps d'ouverture",IF(O1734&lt;0,"Arrêts supérieurs au temps requis",IF(AND(P1734&gt;0,O1734=0),"Pièces déclarées sans temps de marche",IF(AND(P1734=0,O1734&gt;0),"Aucune pièce déclarée",IF(P1734*60/Q1734&gt;O1734+0.001,"Cadence dépassée : vérifiez la cadence","OK"))))))))))))))))))</f>
        <v/>
      </c>
      <c r="AC1734">
        <f>IF(OR(AB1734="OK",AB1734="Aucune pièce déclarée",AB1734="Cadence dépassée : vérifiez la cadence"),1,0)</f>
        <v>0.0</v>
      </c>
      <c r="AD1734">
        <f>IF(AND(AC1734=1,A1734&gt;=p_from,A1734&lt;=p_to),1,0)</f>
        <v>0.0</v>
      </c>
      <c r="AE1734">
        <f>IF(AD1734=1,IF(COUNTIFS($A$6:A1734,A1734,$AD$6:AD1734,1)=1,1,0),0)</f>
        <v>0.0</v>
      </c>
      <c r="AF1734" t="str">
        <f>IF(AE1734=1,COUNTIFS(sj_first,1,sj_date,"&lt;"&amp;A1734)+1,"")</f>
        <v/>
      </c>
      <c r="AG1734" t="str">
        <f>IF(AND(AD1734=1,N(W1734)&lt;p_alert),ROUND(W1734,4),"")</f>
        <v/>
      </c>
      <c r="AH1734" t="str">
        <f>IF(AG1734="","",COUNTIF(sj_akey,"&lt;"&amp;AG1734)+COUNTIF($AG$6:AG1734,AG1734))</f>
        <v/>
      </c>
    </row>
    <row r="1735">
      <c r="A1735" s="51" t="n"/>
      <c r="B1735" s="52" t="n"/>
      <c r="C1735" s="52" t="n"/>
      <c r="D1735" s="53" t="n"/>
      <c r="E1735" s="53" t="n"/>
      <c r="F1735" s="54" t="n"/>
      <c r="G1735" s="54" t="n"/>
      <c r="H1735" s="54" t="n"/>
      <c r="I1735" s="54" t="n"/>
      <c r="J1735" s="53" t="n"/>
      <c r="K1735" s="55" t="str">
        <f>IF(COUNTA(A1735:I1735)=0,"",IF(F1735="",IFERROR(INDEX(eq_dur,MATCH(B1735,eq_code,0)),""),F1735))</f>
        <v/>
      </c>
      <c r="L1735" s="55" t="str">
        <f>IF(ISNUMBER(K1735),N(IFERROR(INDEX(eq_pause,MATCH(B1735,eq_code,0)),0))+SUMIFS(st_min,st_date,A1735,st_eq,B1735,st_po,C1735,st_type,"Planifié"),"")</f>
        <v/>
      </c>
      <c r="M1735" s="55" t="str">
        <f>IF(ISNUMBER(K1735),K1735-L1735,"")</f>
        <v/>
      </c>
      <c r="N1735" s="55" t="str">
        <f>IF(ISNUMBER(K1735),SUMIFS(st_min,st_date,A1735,st_eq,B1735,st_po,C1735,st_type,"Non planifié"),"")</f>
        <v/>
      </c>
      <c r="O1735" s="55" t="str">
        <f>IF(ISNUMBER(K1735),M1735-N1735,"")</f>
        <v/>
      </c>
      <c r="P1735" s="55" t="str">
        <f>IF(COUNTA(A1735:I1735)=0,"",N(G1735)+N(H1735)+N(I1735))</f>
        <v/>
      </c>
      <c r="Q1735" s="56" t="str">
        <f>IF(COUNTA(A1735:I1735)=0,"",IF(N(IFERROR(INDEX(art_rate,MATCH(E1735,art_ref,0)),0))&gt;0,N(IFERROR(INDEX(art_rate,MATCH(E1735,art_ref,0)),0)),N(IFERROR(INDEX(po_rate,MATCH(C1735,po_code,0)),0))))</f>
        <v/>
      </c>
      <c r="R1735" s="55" t="str">
        <f>IF(AC1735=1,P1735*60/Q1735,"")</f>
        <v/>
      </c>
      <c r="S1735" s="55" t="str">
        <f>IF(AC1735=1,N(G1735)*60/Q1735,"")</f>
        <v/>
      </c>
      <c r="T1735" s="57" t="str">
        <f>IF(AC1735=1,O1735/M1735,"")</f>
        <v/>
      </c>
      <c r="U1735" s="57" t="str">
        <f>IF(AC1735=1,IF(O1735&gt;0,R1735/O1735,""),"")</f>
        <v/>
      </c>
      <c r="V1735" s="57" t="str">
        <f>IF(AC1735=1,IF(P1735&gt;0,N(G1735)/P1735,""),"")</f>
        <v/>
      </c>
      <c r="W1735" s="57" t="str">
        <f>IF(AC1735=1,S1735/M1735,"")</f>
        <v/>
      </c>
      <c r="X1735" s="57" t="str">
        <f>IF(AC1735=1,S1735/K1735,"")</f>
        <v/>
      </c>
      <c r="Y1735" s="58" t="str">
        <f>IF(W1735="","",IF(W1735&gt;=p_target,"Bon",IF(W1735&gt;=p_alert,"À surveiller","Faible")))</f>
        <v/>
      </c>
      <c r="Z1735" s="58" t="str">
        <f>IF(W1735="","",IF(MIN(IF(T1735="",1,T1735),IF(U1735="",1,U1735),IF(V1735="",1,V1735))&gt;=1,"Aucune",IF(IF(T1735="",1,T1735)&lt;=MIN(IF(U1735="",1,U1735),IF(V1735="",1,V1735)),"Disponibilité",IF(IF(U1735="",1,U1735)&lt;=IF(V1735="",1,V1735),"Performance","Qualité"))))</f>
        <v/>
      </c>
      <c r="AA1735" s="59" t="str">
        <f>IF(AC1735=1,N(H1735)*N(IFERROR(INDEX(art_cost,MATCH(E1735,art_ref,0)),0)),"")</f>
        <v/>
      </c>
      <c r="AB1735" s="58" t="str">
        <f>IF(COUNTA(A1735:I1735)=0,"",IF(N(A1735)&lt;=0,"Date manquante ou invalide",IF(B1735="","Équipe manquante",IF(ISNA(MATCH(B1735,eq_code,0)),"Équipe inconnue",IF(INDEX(eq_check,MATCH(B1735,eq_code,0))&lt;&gt;"OK","Équipe à corriger dans Paramètres",IF(C1735="","Poste manquant",IF(ISNA(MATCH(C1735,po_code,0)),"Poste inconnu",IF(AND(E1735&lt;&gt;"",ISNA(MATCH(E1735,art_ref,0))),"Article inconnu",IF(IF(E1735="",FALSE,INDEX(art_check,MATCH(E1735,art_ref,0))&lt;&gt;"OK"),"Article à corriger (feuille Articles)",IF(COUNTIFS(sj_date,A1735,sj_eq,B1735,sj_po,C1735)&gt;1,"Ligne en double (même jour, équipe et poste)",IF(OR(NOT(ISNUMBER(K1735)),N(K1735)&lt;=0,N(K1735)&gt;1440),"Temps d'ouverture invalide",IF(OR(AND(G1735&lt;&gt;"",NOT(ISNUMBER(G1735))),N(G1735)&lt;0,N(G1735)&lt;&gt;INT(N(G1735)),AND(H1735&lt;&gt;"",NOT(ISNUMBER(H1735))),N(H1735)&lt;0,N(H1735)&lt;&gt;INT(N(H1735)),AND(I1735&lt;&gt;"",NOT(ISNUMBER(I1735))),N(I1735)&lt;0,N(I1735)&lt;&gt;INT(N(I1735))),"Quantité invalide",IF(Q1735&lt;=0,"Cadence manquante (poste ou article)",IF(M1735&lt;=0,"Arrêts planifiés supérieurs au temps d'ouverture",IF(O1735&lt;0,"Arrêts supérieurs au temps requis",IF(AND(P1735&gt;0,O1735=0),"Pièces déclarées sans temps de marche",IF(AND(P1735=0,O1735&gt;0),"Aucune pièce déclarée",IF(P1735*60/Q1735&gt;O1735+0.001,"Cadence dépassée : vérifiez la cadence","OK"))))))))))))))))))</f>
        <v/>
      </c>
      <c r="AC1735">
        <f>IF(OR(AB1735="OK",AB1735="Aucune pièce déclarée",AB1735="Cadence dépassée : vérifiez la cadence"),1,0)</f>
        <v>0.0</v>
      </c>
      <c r="AD1735">
        <f>IF(AND(AC1735=1,A1735&gt;=p_from,A1735&lt;=p_to),1,0)</f>
        <v>0.0</v>
      </c>
      <c r="AE1735">
        <f>IF(AD1735=1,IF(COUNTIFS($A$6:A1735,A1735,$AD$6:AD1735,1)=1,1,0),0)</f>
        <v>0.0</v>
      </c>
      <c r="AF1735" t="str">
        <f>IF(AE1735=1,COUNTIFS(sj_first,1,sj_date,"&lt;"&amp;A1735)+1,"")</f>
        <v/>
      </c>
      <c r="AG1735" t="str">
        <f>IF(AND(AD1735=1,N(W1735)&lt;p_alert),ROUND(W1735,4),"")</f>
        <v/>
      </c>
      <c r="AH1735" t="str">
        <f>IF(AG1735="","",COUNTIF(sj_akey,"&lt;"&amp;AG1735)+COUNTIF($AG$6:AG1735,AG1735))</f>
        <v/>
      </c>
    </row>
    <row r="1736">
      <c r="A1736" s="51" t="n"/>
      <c r="B1736" s="52" t="n"/>
      <c r="C1736" s="52" t="n"/>
      <c r="D1736" s="53" t="n"/>
      <c r="E1736" s="53" t="n"/>
      <c r="F1736" s="54" t="n"/>
      <c r="G1736" s="54" t="n"/>
      <c r="H1736" s="54" t="n"/>
      <c r="I1736" s="54" t="n"/>
      <c r="J1736" s="53" t="n"/>
      <c r="K1736" s="55" t="str">
        <f>IF(COUNTA(A1736:I1736)=0,"",IF(F1736="",IFERROR(INDEX(eq_dur,MATCH(B1736,eq_code,0)),""),F1736))</f>
        <v/>
      </c>
      <c r="L1736" s="55" t="str">
        <f>IF(ISNUMBER(K1736),N(IFERROR(INDEX(eq_pause,MATCH(B1736,eq_code,0)),0))+SUMIFS(st_min,st_date,A1736,st_eq,B1736,st_po,C1736,st_type,"Planifié"),"")</f>
        <v/>
      </c>
      <c r="M1736" s="55" t="str">
        <f>IF(ISNUMBER(K1736),K1736-L1736,"")</f>
        <v/>
      </c>
      <c r="N1736" s="55" t="str">
        <f>IF(ISNUMBER(K1736),SUMIFS(st_min,st_date,A1736,st_eq,B1736,st_po,C1736,st_type,"Non planifié"),"")</f>
        <v/>
      </c>
      <c r="O1736" s="55" t="str">
        <f>IF(ISNUMBER(K1736),M1736-N1736,"")</f>
        <v/>
      </c>
      <c r="P1736" s="55" t="str">
        <f>IF(COUNTA(A1736:I1736)=0,"",N(G1736)+N(H1736)+N(I1736))</f>
        <v/>
      </c>
      <c r="Q1736" s="56" t="str">
        <f>IF(COUNTA(A1736:I1736)=0,"",IF(N(IFERROR(INDEX(art_rate,MATCH(E1736,art_ref,0)),0))&gt;0,N(IFERROR(INDEX(art_rate,MATCH(E1736,art_ref,0)),0)),N(IFERROR(INDEX(po_rate,MATCH(C1736,po_code,0)),0))))</f>
        <v/>
      </c>
      <c r="R1736" s="55" t="str">
        <f>IF(AC1736=1,P1736*60/Q1736,"")</f>
        <v/>
      </c>
      <c r="S1736" s="55" t="str">
        <f>IF(AC1736=1,N(G1736)*60/Q1736,"")</f>
        <v/>
      </c>
      <c r="T1736" s="57" t="str">
        <f>IF(AC1736=1,O1736/M1736,"")</f>
        <v/>
      </c>
      <c r="U1736" s="57" t="str">
        <f>IF(AC1736=1,IF(O1736&gt;0,R1736/O1736,""),"")</f>
        <v/>
      </c>
      <c r="V1736" s="57" t="str">
        <f>IF(AC1736=1,IF(P1736&gt;0,N(G1736)/P1736,""),"")</f>
        <v/>
      </c>
      <c r="W1736" s="57" t="str">
        <f>IF(AC1736=1,S1736/M1736,"")</f>
        <v/>
      </c>
      <c r="X1736" s="57" t="str">
        <f>IF(AC1736=1,S1736/K1736,"")</f>
        <v/>
      </c>
      <c r="Y1736" s="58" t="str">
        <f>IF(W1736="","",IF(W1736&gt;=p_target,"Bon",IF(W1736&gt;=p_alert,"À surveiller","Faible")))</f>
        <v/>
      </c>
      <c r="Z1736" s="58" t="str">
        <f>IF(W1736="","",IF(MIN(IF(T1736="",1,T1736),IF(U1736="",1,U1736),IF(V1736="",1,V1736))&gt;=1,"Aucune",IF(IF(T1736="",1,T1736)&lt;=MIN(IF(U1736="",1,U1736),IF(V1736="",1,V1736)),"Disponibilité",IF(IF(U1736="",1,U1736)&lt;=IF(V1736="",1,V1736),"Performance","Qualité"))))</f>
        <v/>
      </c>
      <c r="AA1736" s="59" t="str">
        <f>IF(AC1736=1,N(H1736)*N(IFERROR(INDEX(art_cost,MATCH(E1736,art_ref,0)),0)),"")</f>
        <v/>
      </c>
      <c r="AB1736" s="58" t="str">
        <f>IF(COUNTA(A1736:I1736)=0,"",IF(N(A1736)&lt;=0,"Date manquante ou invalide",IF(B1736="","Équipe manquante",IF(ISNA(MATCH(B1736,eq_code,0)),"Équipe inconnue",IF(INDEX(eq_check,MATCH(B1736,eq_code,0))&lt;&gt;"OK","Équipe à corriger dans Paramètres",IF(C1736="","Poste manquant",IF(ISNA(MATCH(C1736,po_code,0)),"Poste inconnu",IF(AND(E1736&lt;&gt;"",ISNA(MATCH(E1736,art_ref,0))),"Article inconnu",IF(IF(E1736="",FALSE,INDEX(art_check,MATCH(E1736,art_ref,0))&lt;&gt;"OK"),"Article à corriger (feuille Articles)",IF(COUNTIFS(sj_date,A1736,sj_eq,B1736,sj_po,C1736)&gt;1,"Ligne en double (même jour, équipe et poste)",IF(OR(NOT(ISNUMBER(K1736)),N(K1736)&lt;=0,N(K1736)&gt;1440),"Temps d'ouverture invalide",IF(OR(AND(G1736&lt;&gt;"",NOT(ISNUMBER(G1736))),N(G1736)&lt;0,N(G1736)&lt;&gt;INT(N(G1736)),AND(H1736&lt;&gt;"",NOT(ISNUMBER(H1736))),N(H1736)&lt;0,N(H1736)&lt;&gt;INT(N(H1736)),AND(I1736&lt;&gt;"",NOT(ISNUMBER(I1736))),N(I1736)&lt;0,N(I1736)&lt;&gt;INT(N(I1736))),"Quantité invalide",IF(Q1736&lt;=0,"Cadence manquante (poste ou article)",IF(M1736&lt;=0,"Arrêts planifiés supérieurs au temps d'ouverture",IF(O1736&lt;0,"Arrêts supérieurs au temps requis",IF(AND(P1736&gt;0,O1736=0),"Pièces déclarées sans temps de marche",IF(AND(P1736=0,O1736&gt;0),"Aucune pièce déclarée",IF(P1736*60/Q1736&gt;O1736+0.001,"Cadence dépassée : vérifiez la cadence","OK"))))))))))))))))))</f>
        <v/>
      </c>
      <c r="AC1736">
        <f>IF(OR(AB1736="OK",AB1736="Aucune pièce déclarée",AB1736="Cadence dépassée : vérifiez la cadence"),1,0)</f>
        <v>0.0</v>
      </c>
      <c r="AD1736">
        <f>IF(AND(AC1736=1,A1736&gt;=p_from,A1736&lt;=p_to),1,0)</f>
        <v>0.0</v>
      </c>
      <c r="AE1736">
        <f>IF(AD1736=1,IF(COUNTIFS($A$6:A1736,A1736,$AD$6:AD1736,1)=1,1,0),0)</f>
        <v>0.0</v>
      </c>
      <c r="AF1736" t="str">
        <f>IF(AE1736=1,COUNTIFS(sj_first,1,sj_date,"&lt;"&amp;A1736)+1,"")</f>
        <v/>
      </c>
      <c r="AG1736" t="str">
        <f>IF(AND(AD1736=1,N(W1736)&lt;p_alert),ROUND(W1736,4),"")</f>
        <v/>
      </c>
      <c r="AH1736" t="str">
        <f>IF(AG1736="","",COUNTIF(sj_akey,"&lt;"&amp;AG1736)+COUNTIF($AG$6:AG1736,AG1736))</f>
        <v/>
      </c>
    </row>
    <row r="1737">
      <c r="A1737" s="51" t="n"/>
      <c r="B1737" s="52" t="n"/>
      <c r="C1737" s="52" t="n"/>
      <c r="D1737" s="53" t="n"/>
      <c r="E1737" s="53" t="n"/>
      <c r="F1737" s="54" t="n"/>
      <c r="G1737" s="54" t="n"/>
      <c r="H1737" s="54" t="n"/>
      <c r="I1737" s="54" t="n"/>
      <c r="J1737" s="53" t="n"/>
      <c r="K1737" s="55" t="str">
        <f>IF(COUNTA(A1737:I1737)=0,"",IF(F1737="",IFERROR(INDEX(eq_dur,MATCH(B1737,eq_code,0)),""),F1737))</f>
        <v/>
      </c>
      <c r="L1737" s="55" t="str">
        <f>IF(ISNUMBER(K1737),N(IFERROR(INDEX(eq_pause,MATCH(B1737,eq_code,0)),0))+SUMIFS(st_min,st_date,A1737,st_eq,B1737,st_po,C1737,st_type,"Planifié"),"")</f>
        <v/>
      </c>
      <c r="M1737" s="55" t="str">
        <f>IF(ISNUMBER(K1737),K1737-L1737,"")</f>
        <v/>
      </c>
      <c r="N1737" s="55" t="str">
        <f>IF(ISNUMBER(K1737),SUMIFS(st_min,st_date,A1737,st_eq,B1737,st_po,C1737,st_type,"Non planifié"),"")</f>
        <v/>
      </c>
      <c r="O1737" s="55" t="str">
        <f>IF(ISNUMBER(K1737),M1737-N1737,"")</f>
        <v/>
      </c>
      <c r="P1737" s="55" t="str">
        <f>IF(COUNTA(A1737:I1737)=0,"",N(G1737)+N(H1737)+N(I1737))</f>
        <v/>
      </c>
      <c r="Q1737" s="56" t="str">
        <f>IF(COUNTA(A1737:I1737)=0,"",IF(N(IFERROR(INDEX(art_rate,MATCH(E1737,art_ref,0)),0))&gt;0,N(IFERROR(INDEX(art_rate,MATCH(E1737,art_ref,0)),0)),N(IFERROR(INDEX(po_rate,MATCH(C1737,po_code,0)),0))))</f>
        <v/>
      </c>
      <c r="R1737" s="55" t="str">
        <f>IF(AC1737=1,P1737*60/Q1737,"")</f>
        <v/>
      </c>
      <c r="S1737" s="55" t="str">
        <f>IF(AC1737=1,N(G1737)*60/Q1737,"")</f>
        <v/>
      </c>
      <c r="T1737" s="57" t="str">
        <f>IF(AC1737=1,O1737/M1737,"")</f>
        <v/>
      </c>
      <c r="U1737" s="57" t="str">
        <f>IF(AC1737=1,IF(O1737&gt;0,R1737/O1737,""),"")</f>
        <v/>
      </c>
      <c r="V1737" s="57" t="str">
        <f>IF(AC1737=1,IF(P1737&gt;0,N(G1737)/P1737,""),"")</f>
        <v/>
      </c>
      <c r="W1737" s="57" t="str">
        <f>IF(AC1737=1,S1737/M1737,"")</f>
        <v/>
      </c>
      <c r="X1737" s="57" t="str">
        <f>IF(AC1737=1,S1737/K1737,"")</f>
        <v/>
      </c>
      <c r="Y1737" s="58" t="str">
        <f>IF(W1737="","",IF(W1737&gt;=p_target,"Bon",IF(W1737&gt;=p_alert,"À surveiller","Faible")))</f>
        <v/>
      </c>
      <c r="Z1737" s="58" t="str">
        <f>IF(W1737="","",IF(MIN(IF(T1737="",1,T1737),IF(U1737="",1,U1737),IF(V1737="",1,V1737))&gt;=1,"Aucune",IF(IF(T1737="",1,T1737)&lt;=MIN(IF(U1737="",1,U1737),IF(V1737="",1,V1737)),"Disponibilité",IF(IF(U1737="",1,U1737)&lt;=IF(V1737="",1,V1737),"Performance","Qualité"))))</f>
        <v/>
      </c>
      <c r="AA1737" s="59" t="str">
        <f>IF(AC1737=1,N(H1737)*N(IFERROR(INDEX(art_cost,MATCH(E1737,art_ref,0)),0)),"")</f>
        <v/>
      </c>
      <c r="AB1737" s="58" t="str">
        <f>IF(COUNTA(A1737:I1737)=0,"",IF(N(A1737)&lt;=0,"Date manquante ou invalide",IF(B1737="","Équipe manquante",IF(ISNA(MATCH(B1737,eq_code,0)),"Équipe inconnue",IF(INDEX(eq_check,MATCH(B1737,eq_code,0))&lt;&gt;"OK","Équipe à corriger dans Paramètres",IF(C1737="","Poste manquant",IF(ISNA(MATCH(C1737,po_code,0)),"Poste inconnu",IF(AND(E1737&lt;&gt;"",ISNA(MATCH(E1737,art_ref,0))),"Article inconnu",IF(IF(E1737="",FALSE,INDEX(art_check,MATCH(E1737,art_ref,0))&lt;&gt;"OK"),"Article à corriger (feuille Articles)",IF(COUNTIFS(sj_date,A1737,sj_eq,B1737,sj_po,C1737)&gt;1,"Ligne en double (même jour, équipe et poste)",IF(OR(NOT(ISNUMBER(K1737)),N(K1737)&lt;=0,N(K1737)&gt;1440),"Temps d'ouverture invalide",IF(OR(AND(G1737&lt;&gt;"",NOT(ISNUMBER(G1737))),N(G1737)&lt;0,N(G1737)&lt;&gt;INT(N(G1737)),AND(H1737&lt;&gt;"",NOT(ISNUMBER(H1737))),N(H1737)&lt;0,N(H1737)&lt;&gt;INT(N(H1737)),AND(I1737&lt;&gt;"",NOT(ISNUMBER(I1737))),N(I1737)&lt;0,N(I1737)&lt;&gt;INT(N(I1737))),"Quantité invalide",IF(Q1737&lt;=0,"Cadence manquante (poste ou article)",IF(M1737&lt;=0,"Arrêts planifiés supérieurs au temps d'ouverture",IF(O1737&lt;0,"Arrêts supérieurs au temps requis",IF(AND(P1737&gt;0,O1737=0),"Pièces déclarées sans temps de marche",IF(AND(P1737=0,O1737&gt;0),"Aucune pièce déclarée",IF(P1737*60/Q1737&gt;O1737+0.001,"Cadence dépassée : vérifiez la cadence","OK"))))))))))))))))))</f>
        <v/>
      </c>
      <c r="AC1737">
        <f>IF(OR(AB1737="OK",AB1737="Aucune pièce déclarée",AB1737="Cadence dépassée : vérifiez la cadence"),1,0)</f>
        <v>0.0</v>
      </c>
      <c r="AD1737">
        <f>IF(AND(AC1737=1,A1737&gt;=p_from,A1737&lt;=p_to),1,0)</f>
        <v>0.0</v>
      </c>
      <c r="AE1737">
        <f>IF(AD1737=1,IF(COUNTIFS($A$6:A1737,A1737,$AD$6:AD1737,1)=1,1,0),0)</f>
        <v>0.0</v>
      </c>
      <c r="AF1737" t="str">
        <f>IF(AE1737=1,COUNTIFS(sj_first,1,sj_date,"&lt;"&amp;A1737)+1,"")</f>
        <v/>
      </c>
      <c r="AG1737" t="str">
        <f>IF(AND(AD1737=1,N(W1737)&lt;p_alert),ROUND(W1737,4),"")</f>
        <v/>
      </c>
      <c r="AH1737" t="str">
        <f>IF(AG1737="","",COUNTIF(sj_akey,"&lt;"&amp;AG1737)+COUNTIF($AG$6:AG1737,AG1737))</f>
        <v/>
      </c>
    </row>
    <row r="1738">
      <c r="A1738" s="51" t="n"/>
      <c r="B1738" s="52" t="n"/>
      <c r="C1738" s="52" t="n"/>
      <c r="D1738" s="53" t="n"/>
      <c r="E1738" s="53" t="n"/>
      <c r="F1738" s="54" t="n"/>
      <c r="G1738" s="54" t="n"/>
      <c r="H1738" s="54" t="n"/>
      <c r="I1738" s="54" t="n"/>
      <c r="J1738" s="53" t="n"/>
      <c r="K1738" s="55" t="str">
        <f>IF(COUNTA(A1738:I1738)=0,"",IF(F1738="",IFERROR(INDEX(eq_dur,MATCH(B1738,eq_code,0)),""),F1738))</f>
        <v/>
      </c>
      <c r="L1738" s="55" t="str">
        <f>IF(ISNUMBER(K1738),N(IFERROR(INDEX(eq_pause,MATCH(B1738,eq_code,0)),0))+SUMIFS(st_min,st_date,A1738,st_eq,B1738,st_po,C1738,st_type,"Planifié"),"")</f>
        <v/>
      </c>
      <c r="M1738" s="55" t="str">
        <f>IF(ISNUMBER(K1738),K1738-L1738,"")</f>
        <v/>
      </c>
      <c r="N1738" s="55" t="str">
        <f>IF(ISNUMBER(K1738),SUMIFS(st_min,st_date,A1738,st_eq,B1738,st_po,C1738,st_type,"Non planifié"),"")</f>
        <v/>
      </c>
      <c r="O1738" s="55" t="str">
        <f>IF(ISNUMBER(K1738),M1738-N1738,"")</f>
        <v/>
      </c>
      <c r="P1738" s="55" t="str">
        <f>IF(COUNTA(A1738:I1738)=0,"",N(G1738)+N(H1738)+N(I1738))</f>
        <v/>
      </c>
      <c r="Q1738" s="56" t="str">
        <f>IF(COUNTA(A1738:I1738)=0,"",IF(N(IFERROR(INDEX(art_rate,MATCH(E1738,art_ref,0)),0))&gt;0,N(IFERROR(INDEX(art_rate,MATCH(E1738,art_ref,0)),0)),N(IFERROR(INDEX(po_rate,MATCH(C1738,po_code,0)),0))))</f>
        <v/>
      </c>
      <c r="R1738" s="55" t="str">
        <f>IF(AC1738=1,P1738*60/Q1738,"")</f>
        <v/>
      </c>
      <c r="S1738" s="55" t="str">
        <f>IF(AC1738=1,N(G1738)*60/Q1738,"")</f>
        <v/>
      </c>
      <c r="T1738" s="57" t="str">
        <f>IF(AC1738=1,O1738/M1738,"")</f>
        <v/>
      </c>
      <c r="U1738" s="57" t="str">
        <f>IF(AC1738=1,IF(O1738&gt;0,R1738/O1738,""),"")</f>
        <v/>
      </c>
      <c r="V1738" s="57" t="str">
        <f>IF(AC1738=1,IF(P1738&gt;0,N(G1738)/P1738,""),"")</f>
        <v/>
      </c>
      <c r="W1738" s="57" t="str">
        <f>IF(AC1738=1,S1738/M1738,"")</f>
        <v/>
      </c>
      <c r="X1738" s="57" t="str">
        <f>IF(AC1738=1,S1738/K1738,"")</f>
        <v/>
      </c>
      <c r="Y1738" s="58" t="str">
        <f>IF(W1738="","",IF(W1738&gt;=p_target,"Bon",IF(W1738&gt;=p_alert,"À surveiller","Faible")))</f>
        <v/>
      </c>
      <c r="Z1738" s="58" t="str">
        <f>IF(W1738="","",IF(MIN(IF(T1738="",1,T1738),IF(U1738="",1,U1738),IF(V1738="",1,V1738))&gt;=1,"Aucune",IF(IF(T1738="",1,T1738)&lt;=MIN(IF(U1738="",1,U1738),IF(V1738="",1,V1738)),"Disponibilité",IF(IF(U1738="",1,U1738)&lt;=IF(V1738="",1,V1738),"Performance","Qualité"))))</f>
        <v/>
      </c>
      <c r="AA1738" s="59" t="str">
        <f>IF(AC1738=1,N(H1738)*N(IFERROR(INDEX(art_cost,MATCH(E1738,art_ref,0)),0)),"")</f>
        <v/>
      </c>
      <c r="AB1738" s="58" t="str">
        <f>IF(COUNTA(A1738:I1738)=0,"",IF(N(A1738)&lt;=0,"Date manquante ou invalide",IF(B1738="","Équipe manquante",IF(ISNA(MATCH(B1738,eq_code,0)),"Équipe inconnue",IF(INDEX(eq_check,MATCH(B1738,eq_code,0))&lt;&gt;"OK","Équipe à corriger dans Paramètres",IF(C1738="","Poste manquant",IF(ISNA(MATCH(C1738,po_code,0)),"Poste inconnu",IF(AND(E1738&lt;&gt;"",ISNA(MATCH(E1738,art_ref,0))),"Article inconnu",IF(IF(E1738="",FALSE,INDEX(art_check,MATCH(E1738,art_ref,0))&lt;&gt;"OK"),"Article à corriger (feuille Articles)",IF(COUNTIFS(sj_date,A1738,sj_eq,B1738,sj_po,C1738)&gt;1,"Ligne en double (même jour, équipe et poste)",IF(OR(NOT(ISNUMBER(K1738)),N(K1738)&lt;=0,N(K1738)&gt;1440),"Temps d'ouverture invalide",IF(OR(AND(G1738&lt;&gt;"",NOT(ISNUMBER(G1738))),N(G1738)&lt;0,N(G1738)&lt;&gt;INT(N(G1738)),AND(H1738&lt;&gt;"",NOT(ISNUMBER(H1738))),N(H1738)&lt;0,N(H1738)&lt;&gt;INT(N(H1738)),AND(I1738&lt;&gt;"",NOT(ISNUMBER(I1738))),N(I1738)&lt;0,N(I1738)&lt;&gt;INT(N(I1738))),"Quantité invalide",IF(Q1738&lt;=0,"Cadence manquante (poste ou article)",IF(M1738&lt;=0,"Arrêts planifiés supérieurs au temps d'ouverture",IF(O1738&lt;0,"Arrêts supérieurs au temps requis",IF(AND(P1738&gt;0,O1738=0),"Pièces déclarées sans temps de marche",IF(AND(P1738=0,O1738&gt;0),"Aucune pièce déclarée",IF(P1738*60/Q1738&gt;O1738+0.001,"Cadence dépassée : vérifiez la cadence","OK"))))))))))))))))))</f>
        <v/>
      </c>
      <c r="AC1738">
        <f>IF(OR(AB1738="OK",AB1738="Aucune pièce déclarée",AB1738="Cadence dépassée : vérifiez la cadence"),1,0)</f>
        <v>0.0</v>
      </c>
      <c r="AD1738">
        <f>IF(AND(AC1738=1,A1738&gt;=p_from,A1738&lt;=p_to),1,0)</f>
        <v>0.0</v>
      </c>
      <c r="AE1738">
        <f>IF(AD1738=1,IF(COUNTIFS($A$6:A1738,A1738,$AD$6:AD1738,1)=1,1,0),0)</f>
        <v>0.0</v>
      </c>
      <c r="AF1738" t="str">
        <f>IF(AE1738=1,COUNTIFS(sj_first,1,sj_date,"&lt;"&amp;A1738)+1,"")</f>
        <v/>
      </c>
      <c r="AG1738" t="str">
        <f>IF(AND(AD1738=1,N(W1738)&lt;p_alert),ROUND(W1738,4),"")</f>
        <v/>
      </c>
      <c r="AH1738" t="str">
        <f>IF(AG1738="","",COUNTIF(sj_akey,"&lt;"&amp;AG1738)+COUNTIF($AG$6:AG1738,AG1738))</f>
        <v/>
      </c>
    </row>
    <row r="1739">
      <c r="A1739" s="51" t="n"/>
      <c r="B1739" s="52" t="n"/>
      <c r="C1739" s="52" t="n"/>
      <c r="D1739" s="53" t="n"/>
      <c r="E1739" s="53" t="n"/>
      <c r="F1739" s="54" t="n"/>
      <c r="G1739" s="54" t="n"/>
      <c r="H1739" s="54" t="n"/>
      <c r="I1739" s="54" t="n"/>
      <c r="J1739" s="53" t="n"/>
      <c r="K1739" s="55" t="str">
        <f>IF(COUNTA(A1739:I1739)=0,"",IF(F1739="",IFERROR(INDEX(eq_dur,MATCH(B1739,eq_code,0)),""),F1739))</f>
        <v/>
      </c>
      <c r="L1739" s="55" t="str">
        <f>IF(ISNUMBER(K1739),N(IFERROR(INDEX(eq_pause,MATCH(B1739,eq_code,0)),0))+SUMIFS(st_min,st_date,A1739,st_eq,B1739,st_po,C1739,st_type,"Planifié"),"")</f>
        <v/>
      </c>
      <c r="M1739" s="55" t="str">
        <f>IF(ISNUMBER(K1739),K1739-L1739,"")</f>
        <v/>
      </c>
      <c r="N1739" s="55" t="str">
        <f>IF(ISNUMBER(K1739),SUMIFS(st_min,st_date,A1739,st_eq,B1739,st_po,C1739,st_type,"Non planifié"),"")</f>
        <v/>
      </c>
      <c r="O1739" s="55" t="str">
        <f>IF(ISNUMBER(K1739),M1739-N1739,"")</f>
        <v/>
      </c>
      <c r="P1739" s="55" t="str">
        <f>IF(COUNTA(A1739:I1739)=0,"",N(G1739)+N(H1739)+N(I1739))</f>
        <v/>
      </c>
      <c r="Q1739" s="56" t="str">
        <f>IF(COUNTA(A1739:I1739)=0,"",IF(N(IFERROR(INDEX(art_rate,MATCH(E1739,art_ref,0)),0))&gt;0,N(IFERROR(INDEX(art_rate,MATCH(E1739,art_ref,0)),0)),N(IFERROR(INDEX(po_rate,MATCH(C1739,po_code,0)),0))))</f>
        <v/>
      </c>
      <c r="R1739" s="55" t="str">
        <f>IF(AC1739=1,P1739*60/Q1739,"")</f>
        <v/>
      </c>
      <c r="S1739" s="55" t="str">
        <f>IF(AC1739=1,N(G1739)*60/Q1739,"")</f>
        <v/>
      </c>
      <c r="T1739" s="57" t="str">
        <f>IF(AC1739=1,O1739/M1739,"")</f>
        <v/>
      </c>
      <c r="U1739" s="57" t="str">
        <f>IF(AC1739=1,IF(O1739&gt;0,R1739/O1739,""),"")</f>
        <v/>
      </c>
      <c r="V1739" s="57" t="str">
        <f>IF(AC1739=1,IF(P1739&gt;0,N(G1739)/P1739,""),"")</f>
        <v/>
      </c>
      <c r="W1739" s="57" t="str">
        <f>IF(AC1739=1,S1739/M1739,"")</f>
        <v/>
      </c>
      <c r="X1739" s="57" t="str">
        <f>IF(AC1739=1,S1739/K1739,"")</f>
        <v/>
      </c>
      <c r="Y1739" s="58" t="str">
        <f>IF(W1739="","",IF(W1739&gt;=p_target,"Bon",IF(W1739&gt;=p_alert,"À surveiller","Faible")))</f>
        <v/>
      </c>
      <c r="Z1739" s="58" t="str">
        <f>IF(W1739="","",IF(MIN(IF(T1739="",1,T1739),IF(U1739="",1,U1739),IF(V1739="",1,V1739))&gt;=1,"Aucune",IF(IF(T1739="",1,T1739)&lt;=MIN(IF(U1739="",1,U1739),IF(V1739="",1,V1739)),"Disponibilité",IF(IF(U1739="",1,U1739)&lt;=IF(V1739="",1,V1739),"Performance","Qualité"))))</f>
        <v/>
      </c>
      <c r="AA1739" s="59" t="str">
        <f>IF(AC1739=1,N(H1739)*N(IFERROR(INDEX(art_cost,MATCH(E1739,art_ref,0)),0)),"")</f>
        <v/>
      </c>
      <c r="AB1739" s="58" t="str">
        <f>IF(COUNTA(A1739:I1739)=0,"",IF(N(A1739)&lt;=0,"Date manquante ou invalide",IF(B1739="","Équipe manquante",IF(ISNA(MATCH(B1739,eq_code,0)),"Équipe inconnue",IF(INDEX(eq_check,MATCH(B1739,eq_code,0))&lt;&gt;"OK","Équipe à corriger dans Paramètres",IF(C1739="","Poste manquant",IF(ISNA(MATCH(C1739,po_code,0)),"Poste inconnu",IF(AND(E1739&lt;&gt;"",ISNA(MATCH(E1739,art_ref,0))),"Article inconnu",IF(IF(E1739="",FALSE,INDEX(art_check,MATCH(E1739,art_ref,0))&lt;&gt;"OK"),"Article à corriger (feuille Articles)",IF(COUNTIFS(sj_date,A1739,sj_eq,B1739,sj_po,C1739)&gt;1,"Ligne en double (même jour, équipe et poste)",IF(OR(NOT(ISNUMBER(K1739)),N(K1739)&lt;=0,N(K1739)&gt;1440),"Temps d'ouverture invalide",IF(OR(AND(G1739&lt;&gt;"",NOT(ISNUMBER(G1739))),N(G1739)&lt;0,N(G1739)&lt;&gt;INT(N(G1739)),AND(H1739&lt;&gt;"",NOT(ISNUMBER(H1739))),N(H1739)&lt;0,N(H1739)&lt;&gt;INT(N(H1739)),AND(I1739&lt;&gt;"",NOT(ISNUMBER(I1739))),N(I1739)&lt;0,N(I1739)&lt;&gt;INT(N(I1739))),"Quantité invalide",IF(Q1739&lt;=0,"Cadence manquante (poste ou article)",IF(M1739&lt;=0,"Arrêts planifiés supérieurs au temps d'ouverture",IF(O1739&lt;0,"Arrêts supérieurs au temps requis",IF(AND(P1739&gt;0,O1739=0),"Pièces déclarées sans temps de marche",IF(AND(P1739=0,O1739&gt;0),"Aucune pièce déclarée",IF(P1739*60/Q1739&gt;O1739+0.001,"Cadence dépassée : vérifiez la cadence","OK"))))))))))))))))))</f>
        <v/>
      </c>
      <c r="AC1739">
        <f>IF(OR(AB1739="OK",AB1739="Aucune pièce déclarée",AB1739="Cadence dépassée : vérifiez la cadence"),1,0)</f>
        <v>0.0</v>
      </c>
      <c r="AD1739">
        <f>IF(AND(AC1739=1,A1739&gt;=p_from,A1739&lt;=p_to),1,0)</f>
        <v>0.0</v>
      </c>
      <c r="AE1739">
        <f>IF(AD1739=1,IF(COUNTIFS($A$6:A1739,A1739,$AD$6:AD1739,1)=1,1,0),0)</f>
        <v>0.0</v>
      </c>
      <c r="AF1739" t="str">
        <f>IF(AE1739=1,COUNTIFS(sj_first,1,sj_date,"&lt;"&amp;A1739)+1,"")</f>
        <v/>
      </c>
      <c r="AG1739" t="str">
        <f>IF(AND(AD1739=1,N(W1739)&lt;p_alert),ROUND(W1739,4),"")</f>
        <v/>
      </c>
      <c r="AH1739" t="str">
        <f>IF(AG1739="","",COUNTIF(sj_akey,"&lt;"&amp;AG1739)+COUNTIF($AG$6:AG1739,AG1739))</f>
        <v/>
      </c>
    </row>
    <row r="1740">
      <c r="A1740" s="51" t="n"/>
      <c r="B1740" s="52" t="n"/>
      <c r="C1740" s="52" t="n"/>
      <c r="D1740" s="53" t="n"/>
      <c r="E1740" s="53" t="n"/>
      <c r="F1740" s="54" t="n"/>
      <c r="G1740" s="54" t="n"/>
      <c r="H1740" s="54" t="n"/>
      <c r="I1740" s="54" t="n"/>
      <c r="J1740" s="53" t="n"/>
      <c r="K1740" s="55" t="str">
        <f>IF(COUNTA(A1740:I1740)=0,"",IF(F1740="",IFERROR(INDEX(eq_dur,MATCH(B1740,eq_code,0)),""),F1740))</f>
        <v/>
      </c>
      <c r="L1740" s="55" t="str">
        <f>IF(ISNUMBER(K1740),N(IFERROR(INDEX(eq_pause,MATCH(B1740,eq_code,0)),0))+SUMIFS(st_min,st_date,A1740,st_eq,B1740,st_po,C1740,st_type,"Planifié"),"")</f>
        <v/>
      </c>
      <c r="M1740" s="55" t="str">
        <f>IF(ISNUMBER(K1740),K1740-L1740,"")</f>
        <v/>
      </c>
      <c r="N1740" s="55" t="str">
        <f>IF(ISNUMBER(K1740),SUMIFS(st_min,st_date,A1740,st_eq,B1740,st_po,C1740,st_type,"Non planifié"),"")</f>
        <v/>
      </c>
      <c r="O1740" s="55" t="str">
        <f>IF(ISNUMBER(K1740),M1740-N1740,"")</f>
        <v/>
      </c>
      <c r="P1740" s="55" t="str">
        <f>IF(COUNTA(A1740:I1740)=0,"",N(G1740)+N(H1740)+N(I1740))</f>
        <v/>
      </c>
      <c r="Q1740" s="56" t="str">
        <f>IF(COUNTA(A1740:I1740)=0,"",IF(N(IFERROR(INDEX(art_rate,MATCH(E1740,art_ref,0)),0))&gt;0,N(IFERROR(INDEX(art_rate,MATCH(E1740,art_ref,0)),0)),N(IFERROR(INDEX(po_rate,MATCH(C1740,po_code,0)),0))))</f>
        <v/>
      </c>
      <c r="R1740" s="55" t="str">
        <f>IF(AC1740=1,P1740*60/Q1740,"")</f>
        <v/>
      </c>
      <c r="S1740" s="55" t="str">
        <f>IF(AC1740=1,N(G1740)*60/Q1740,"")</f>
        <v/>
      </c>
      <c r="T1740" s="57" t="str">
        <f>IF(AC1740=1,O1740/M1740,"")</f>
        <v/>
      </c>
      <c r="U1740" s="57" t="str">
        <f>IF(AC1740=1,IF(O1740&gt;0,R1740/O1740,""),"")</f>
        <v/>
      </c>
      <c r="V1740" s="57" t="str">
        <f>IF(AC1740=1,IF(P1740&gt;0,N(G1740)/P1740,""),"")</f>
        <v/>
      </c>
      <c r="W1740" s="57" t="str">
        <f>IF(AC1740=1,S1740/M1740,"")</f>
        <v/>
      </c>
      <c r="X1740" s="57" t="str">
        <f>IF(AC1740=1,S1740/K1740,"")</f>
        <v/>
      </c>
      <c r="Y1740" s="58" t="str">
        <f>IF(W1740="","",IF(W1740&gt;=p_target,"Bon",IF(W1740&gt;=p_alert,"À surveiller","Faible")))</f>
        <v/>
      </c>
      <c r="Z1740" s="58" t="str">
        <f>IF(W1740="","",IF(MIN(IF(T1740="",1,T1740),IF(U1740="",1,U1740),IF(V1740="",1,V1740))&gt;=1,"Aucune",IF(IF(T1740="",1,T1740)&lt;=MIN(IF(U1740="",1,U1740),IF(V1740="",1,V1740)),"Disponibilité",IF(IF(U1740="",1,U1740)&lt;=IF(V1740="",1,V1740),"Performance","Qualité"))))</f>
        <v/>
      </c>
      <c r="AA1740" s="59" t="str">
        <f>IF(AC1740=1,N(H1740)*N(IFERROR(INDEX(art_cost,MATCH(E1740,art_ref,0)),0)),"")</f>
        <v/>
      </c>
      <c r="AB1740" s="58" t="str">
        <f>IF(COUNTA(A1740:I1740)=0,"",IF(N(A1740)&lt;=0,"Date manquante ou invalide",IF(B1740="","Équipe manquante",IF(ISNA(MATCH(B1740,eq_code,0)),"Équipe inconnue",IF(INDEX(eq_check,MATCH(B1740,eq_code,0))&lt;&gt;"OK","Équipe à corriger dans Paramètres",IF(C1740="","Poste manquant",IF(ISNA(MATCH(C1740,po_code,0)),"Poste inconnu",IF(AND(E1740&lt;&gt;"",ISNA(MATCH(E1740,art_ref,0))),"Article inconnu",IF(IF(E1740="",FALSE,INDEX(art_check,MATCH(E1740,art_ref,0))&lt;&gt;"OK"),"Article à corriger (feuille Articles)",IF(COUNTIFS(sj_date,A1740,sj_eq,B1740,sj_po,C1740)&gt;1,"Ligne en double (même jour, équipe et poste)",IF(OR(NOT(ISNUMBER(K1740)),N(K1740)&lt;=0,N(K1740)&gt;1440),"Temps d'ouverture invalide",IF(OR(AND(G1740&lt;&gt;"",NOT(ISNUMBER(G1740))),N(G1740)&lt;0,N(G1740)&lt;&gt;INT(N(G1740)),AND(H1740&lt;&gt;"",NOT(ISNUMBER(H1740))),N(H1740)&lt;0,N(H1740)&lt;&gt;INT(N(H1740)),AND(I1740&lt;&gt;"",NOT(ISNUMBER(I1740))),N(I1740)&lt;0,N(I1740)&lt;&gt;INT(N(I1740))),"Quantité invalide",IF(Q1740&lt;=0,"Cadence manquante (poste ou article)",IF(M1740&lt;=0,"Arrêts planifiés supérieurs au temps d'ouverture",IF(O1740&lt;0,"Arrêts supérieurs au temps requis",IF(AND(P1740&gt;0,O1740=0),"Pièces déclarées sans temps de marche",IF(AND(P1740=0,O1740&gt;0),"Aucune pièce déclarée",IF(P1740*60/Q1740&gt;O1740+0.001,"Cadence dépassée : vérifiez la cadence","OK"))))))))))))))))))</f>
        <v/>
      </c>
      <c r="AC1740">
        <f>IF(OR(AB1740="OK",AB1740="Aucune pièce déclarée",AB1740="Cadence dépassée : vérifiez la cadence"),1,0)</f>
        <v>0.0</v>
      </c>
      <c r="AD1740">
        <f>IF(AND(AC1740=1,A1740&gt;=p_from,A1740&lt;=p_to),1,0)</f>
        <v>0.0</v>
      </c>
      <c r="AE1740">
        <f>IF(AD1740=1,IF(COUNTIFS($A$6:A1740,A1740,$AD$6:AD1740,1)=1,1,0),0)</f>
        <v>0.0</v>
      </c>
      <c r="AF1740" t="str">
        <f>IF(AE1740=1,COUNTIFS(sj_first,1,sj_date,"&lt;"&amp;A1740)+1,"")</f>
        <v/>
      </c>
      <c r="AG1740" t="str">
        <f>IF(AND(AD1740=1,N(W1740)&lt;p_alert),ROUND(W1740,4),"")</f>
        <v/>
      </c>
      <c r="AH1740" t="str">
        <f>IF(AG1740="","",COUNTIF(sj_akey,"&lt;"&amp;AG1740)+COUNTIF($AG$6:AG1740,AG1740))</f>
        <v/>
      </c>
    </row>
    <row r="1741">
      <c r="A1741" s="51" t="n"/>
      <c r="B1741" s="52" t="n"/>
      <c r="C1741" s="52" t="n"/>
      <c r="D1741" s="53" t="n"/>
      <c r="E1741" s="53" t="n"/>
      <c r="F1741" s="54" t="n"/>
      <c r="G1741" s="54" t="n"/>
      <c r="H1741" s="54" t="n"/>
      <c r="I1741" s="54" t="n"/>
      <c r="J1741" s="53" t="n"/>
      <c r="K1741" s="55" t="str">
        <f>IF(COUNTA(A1741:I1741)=0,"",IF(F1741="",IFERROR(INDEX(eq_dur,MATCH(B1741,eq_code,0)),""),F1741))</f>
        <v/>
      </c>
      <c r="L1741" s="55" t="str">
        <f>IF(ISNUMBER(K1741),N(IFERROR(INDEX(eq_pause,MATCH(B1741,eq_code,0)),0))+SUMIFS(st_min,st_date,A1741,st_eq,B1741,st_po,C1741,st_type,"Planifié"),"")</f>
        <v/>
      </c>
      <c r="M1741" s="55" t="str">
        <f>IF(ISNUMBER(K1741),K1741-L1741,"")</f>
        <v/>
      </c>
      <c r="N1741" s="55" t="str">
        <f>IF(ISNUMBER(K1741),SUMIFS(st_min,st_date,A1741,st_eq,B1741,st_po,C1741,st_type,"Non planifié"),"")</f>
        <v/>
      </c>
      <c r="O1741" s="55" t="str">
        <f>IF(ISNUMBER(K1741),M1741-N1741,"")</f>
        <v/>
      </c>
      <c r="P1741" s="55" t="str">
        <f>IF(COUNTA(A1741:I1741)=0,"",N(G1741)+N(H1741)+N(I1741))</f>
        <v/>
      </c>
      <c r="Q1741" s="56" t="str">
        <f>IF(COUNTA(A1741:I1741)=0,"",IF(N(IFERROR(INDEX(art_rate,MATCH(E1741,art_ref,0)),0))&gt;0,N(IFERROR(INDEX(art_rate,MATCH(E1741,art_ref,0)),0)),N(IFERROR(INDEX(po_rate,MATCH(C1741,po_code,0)),0))))</f>
        <v/>
      </c>
      <c r="R1741" s="55" t="str">
        <f>IF(AC1741=1,P1741*60/Q1741,"")</f>
        <v/>
      </c>
      <c r="S1741" s="55" t="str">
        <f>IF(AC1741=1,N(G1741)*60/Q1741,"")</f>
        <v/>
      </c>
      <c r="T1741" s="57" t="str">
        <f>IF(AC1741=1,O1741/M1741,"")</f>
        <v/>
      </c>
      <c r="U1741" s="57" t="str">
        <f>IF(AC1741=1,IF(O1741&gt;0,R1741/O1741,""),"")</f>
        <v/>
      </c>
      <c r="V1741" s="57" t="str">
        <f>IF(AC1741=1,IF(P1741&gt;0,N(G1741)/P1741,""),"")</f>
        <v/>
      </c>
      <c r="W1741" s="57" t="str">
        <f>IF(AC1741=1,S1741/M1741,"")</f>
        <v/>
      </c>
      <c r="X1741" s="57" t="str">
        <f>IF(AC1741=1,S1741/K1741,"")</f>
        <v/>
      </c>
      <c r="Y1741" s="58" t="str">
        <f>IF(W1741="","",IF(W1741&gt;=p_target,"Bon",IF(W1741&gt;=p_alert,"À surveiller","Faible")))</f>
        <v/>
      </c>
      <c r="Z1741" s="58" t="str">
        <f>IF(W1741="","",IF(MIN(IF(T1741="",1,T1741),IF(U1741="",1,U1741),IF(V1741="",1,V1741))&gt;=1,"Aucune",IF(IF(T1741="",1,T1741)&lt;=MIN(IF(U1741="",1,U1741),IF(V1741="",1,V1741)),"Disponibilité",IF(IF(U1741="",1,U1741)&lt;=IF(V1741="",1,V1741),"Performance","Qualité"))))</f>
        <v/>
      </c>
      <c r="AA1741" s="59" t="str">
        <f>IF(AC1741=1,N(H1741)*N(IFERROR(INDEX(art_cost,MATCH(E1741,art_ref,0)),0)),"")</f>
        <v/>
      </c>
      <c r="AB1741" s="58" t="str">
        <f>IF(COUNTA(A1741:I1741)=0,"",IF(N(A1741)&lt;=0,"Date manquante ou invalide",IF(B1741="","Équipe manquante",IF(ISNA(MATCH(B1741,eq_code,0)),"Équipe inconnue",IF(INDEX(eq_check,MATCH(B1741,eq_code,0))&lt;&gt;"OK","Équipe à corriger dans Paramètres",IF(C1741="","Poste manquant",IF(ISNA(MATCH(C1741,po_code,0)),"Poste inconnu",IF(AND(E1741&lt;&gt;"",ISNA(MATCH(E1741,art_ref,0))),"Article inconnu",IF(IF(E1741="",FALSE,INDEX(art_check,MATCH(E1741,art_ref,0))&lt;&gt;"OK"),"Article à corriger (feuille Articles)",IF(COUNTIFS(sj_date,A1741,sj_eq,B1741,sj_po,C1741)&gt;1,"Ligne en double (même jour, équipe et poste)",IF(OR(NOT(ISNUMBER(K1741)),N(K1741)&lt;=0,N(K1741)&gt;1440),"Temps d'ouverture invalide",IF(OR(AND(G1741&lt;&gt;"",NOT(ISNUMBER(G1741))),N(G1741)&lt;0,N(G1741)&lt;&gt;INT(N(G1741)),AND(H1741&lt;&gt;"",NOT(ISNUMBER(H1741))),N(H1741)&lt;0,N(H1741)&lt;&gt;INT(N(H1741)),AND(I1741&lt;&gt;"",NOT(ISNUMBER(I1741))),N(I1741)&lt;0,N(I1741)&lt;&gt;INT(N(I1741))),"Quantité invalide",IF(Q1741&lt;=0,"Cadence manquante (poste ou article)",IF(M1741&lt;=0,"Arrêts planifiés supérieurs au temps d'ouverture",IF(O1741&lt;0,"Arrêts supérieurs au temps requis",IF(AND(P1741&gt;0,O1741=0),"Pièces déclarées sans temps de marche",IF(AND(P1741=0,O1741&gt;0),"Aucune pièce déclarée",IF(P1741*60/Q1741&gt;O1741+0.001,"Cadence dépassée : vérifiez la cadence","OK"))))))))))))))))))</f>
        <v/>
      </c>
      <c r="AC1741">
        <f>IF(OR(AB1741="OK",AB1741="Aucune pièce déclarée",AB1741="Cadence dépassée : vérifiez la cadence"),1,0)</f>
        <v>0.0</v>
      </c>
      <c r="AD1741">
        <f>IF(AND(AC1741=1,A1741&gt;=p_from,A1741&lt;=p_to),1,0)</f>
        <v>0.0</v>
      </c>
      <c r="AE1741">
        <f>IF(AD1741=1,IF(COUNTIFS($A$6:A1741,A1741,$AD$6:AD1741,1)=1,1,0),0)</f>
        <v>0.0</v>
      </c>
      <c r="AF1741" t="str">
        <f>IF(AE1741=1,COUNTIFS(sj_first,1,sj_date,"&lt;"&amp;A1741)+1,"")</f>
        <v/>
      </c>
      <c r="AG1741" t="str">
        <f>IF(AND(AD1741=1,N(W1741)&lt;p_alert),ROUND(W1741,4),"")</f>
        <v/>
      </c>
      <c r="AH1741" t="str">
        <f>IF(AG1741="","",COUNTIF(sj_akey,"&lt;"&amp;AG1741)+COUNTIF($AG$6:AG1741,AG1741))</f>
        <v/>
      </c>
    </row>
    <row r="1742">
      <c r="A1742" s="51" t="n"/>
      <c r="B1742" s="52" t="n"/>
      <c r="C1742" s="52" t="n"/>
      <c r="D1742" s="53" t="n"/>
      <c r="E1742" s="53" t="n"/>
      <c r="F1742" s="54" t="n"/>
      <c r="G1742" s="54" t="n"/>
      <c r="H1742" s="54" t="n"/>
      <c r="I1742" s="54" t="n"/>
      <c r="J1742" s="53" t="n"/>
      <c r="K1742" s="55" t="str">
        <f>IF(COUNTA(A1742:I1742)=0,"",IF(F1742="",IFERROR(INDEX(eq_dur,MATCH(B1742,eq_code,0)),""),F1742))</f>
        <v/>
      </c>
      <c r="L1742" s="55" t="str">
        <f>IF(ISNUMBER(K1742),N(IFERROR(INDEX(eq_pause,MATCH(B1742,eq_code,0)),0))+SUMIFS(st_min,st_date,A1742,st_eq,B1742,st_po,C1742,st_type,"Planifié"),"")</f>
        <v/>
      </c>
      <c r="M1742" s="55" t="str">
        <f>IF(ISNUMBER(K1742),K1742-L1742,"")</f>
        <v/>
      </c>
      <c r="N1742" s="55" t="str">
        <f>IF(ISNUMBER(K1742),SUMIFS(st_min,st_date,A1742,st_eq,B1742,st_po,C1742,st_type,"Non planifié"),"")</f>
        <v/>
      </c>
      <c r="O1742" s="55" t="str">
        <f>IF(ISNUMBER(K1742),M1742-N1742,"")</f>
        <v/>
      </c>
      <c r="P1742" s="55" t="str">
        <f>IF(COUNTA(A1742:I1742)=0,"",N(G1742)+N(H1742)+N(I1742))</f>
        <v/>
      </c>
      <c r="Q1742" s="56" t="str">
        <f>IF(COUNTA(A1742:I1742)=0,"",IF(N(IFERROR(INDEX(art_rate,MATCH(E1742,art_ref,0)),0))&gt;0,N(IFERROR(INDEX(art_rate,MATCH(E1742,art_ref,0)),0)),N(IFERROR(INDEX(po_rate,MATCH(C1742,po_code,0)),0))))</f>
        <v/>
      </c>
      <c r="R1742" s="55" t="str">
        <f>IF(AC1742=1,P1742*60/Q1742,"")</f>
        <v/>
      </c>
      <c r="S1742" s="55" t="str">
        <f>IF(AC1742=1,N(G1742)*60/Q1742,"")</f>
        <v/>
      </c>
      <c r="T1742" s="57" t="str">
        <f>IF(AC1742=1,O1742/M1742,"")</f>
        <v/>
      </c>
      <c r="U1742" s="57" t="str">
        <f>IF(AC1742=1,IF(O1742&gt;0,R1742/O1742,""),"")</f>
        <v/>
      </c>
      <c r="V1742" s="57" t="str">
        <f>IF(AC1742=1,IF(P1742&gt;0,N(G1742)/P1742,""),"")</f>
        <v/>
      </c>
      <c r="W1742" s="57" t="str">
        <f>IF(AC1742=1,S1742/M1742,"")</f>
        <v/>
      </c>
      <c r="X1742" s="57" t="str">
        <f>IF(AC1742=1,S1742/K1742,"")</f>
        <v/>
      </c>
      <c r="Y1742" s="58" t="str">
        <f>IF(W1742="","",IF(W1742&gt;=p_target,"Bon",IF(W1742&gt;=p_alert,"À surveiller","Faible")))</f>
        <v/>
      </c>
      <c r="Z1742" s="58" t="str">
        <f>IF(W1742="","",IF(MIN(IF(T1742="",1,T1742),IF(U1742="",1,U1742),IF(V1742="",1,V1742))&gt;=1,"Aucune",IF(IF(T1742="",1,T1742)&lt;=MIN(IF(U1742="",1,U1742),IF(V1742="",1,V1742)),"Disponibilité",IF(IF(U1742="",1,U1742)&lt;=IF(V1742="",1,V1742),"Performance","Qualité"))))</f>
        <v/>
      </c>
      <c r="AA1742" s="59" t="str">
        <f>IF(AC1742=1,N(H1742)*N(IFERROR(INDEX(art_cost,MATCH(E1742,art_ref,0)),0)),"")</f>
        <v/>
      </c>
      <c r="AB1742" s="58" t="str">
        <f>IF(COUNTA(A1742:I1742)=0,"",IF(N(A1742)&lt;=0,"Date manquante ou invalide",IF(B1742="","Équipe manquante",IF(ISNA(MATCH(B1742,eq_code,0)),"Équipe inconnue",IF(INDEX(eq_check,MATCH(B1742,eq_code,0))&lt;&gt;"OK","Équipe à corriger dans Paramètres",IF(C1742="","Poste manquant",IF(ISNA(MATCH(C1742,po_code,0)),"Poste inconnu",IF(AND(E1742&lt;&gt;"",ISNA(MATCH(E1742,art_ref,0))),"Article inconnu",IF(IF(E1742="",FALSE,INDEX(art_check,MATCH(E1742,art_ref,0))&lt;&gt;"OK"),"Article à corriger (feuille Articles)",IF(COUNTIFS(sj_date,A1742,sj_eq,B1742,sj_po,C1742)&gt;1,"Ligne en double (même jour, équipe et poste)",IF(OR(NOT(ISNUMBER(K1742)),N(K1742)&lt;=0,N(K1742)&gt;1440),"Temps d'ouverture invalide",IF(OR(AND(G1742&lt;&gt;"",NOT(ISNUMBER(G1742))),N(G1742)&lt;0,N(G1742)&lt;&gt;INT(N(G1742)),AND(H1742&lt;&gt;"",NOT(ISNUMBER(H1742))),N(H1742)&lt;0,N(H1742)&lt;&gt;INT(N(H1742)),AND(I1742&lt;&gt;"",NOT(ISNUMBER(I1742))),N(I1742)&lt;0,N(I1742)&lt;&gt;INT(N(I1742))),"Quantité invalide",IF(Q1742&lt;=0,"Cadence manquante (poste ou article)",IF(M1742&lt;=0,"Arrêts planifiés supérieurs au temps d'ouverture",IF(O1742&lt;0,"Arrêts supérieurs au temps requis",IF(AND(P1742&gt;0,O1742=0),"Pièces déclarées sans temps de marche",IF(AND(P1742=0,O1742&gt;0),"Aucune pièce déclarée",IF(P1742*60/Q1742&gt;O1742+0.001,"Cadence dépassée : vérifiez la cadence","OK"))))))))))))))))))</f>
        <v/>
      </c>
      <c r="AC1742">
        <f>IF(OR(AB1742="OK",AB1742="Aucune pièce déclarée",AB1742="Cadence dépassée : vérifiez la cadence"),1,0)</f>
        <v>0.0</v>
      </c>
      <c r="AD1742">
        <f>IF(AND(AC1742=1,A1742&gt;=p_from,A1742&lt;=p_to),1,0)</f>
        <v>0.0</v>
      </c>
      <c r="AE1742">
        <f>IF(AD1742=1,IF(COUNTIFS($A$6:A1742,A1742,$AD$6:AD1742,1)=1,1,0),0)</f>
        <v>0.0</v>
      </c>
      <c r="AF1742" t="str">
        <f>IF(AE1742=1,COUNTIFS(sj_first,1,sj_date,"&lt;"&amp;A1742)+1,"")</f>
        <v/>
      </c>
      <c r="AG1742" t="str">
        <f>IF(AND(AD1742=1,N(W1742)&lt;p_alert),ROUND(W1742,4),"")</f>
        <v/>
      </c>
      <c r="AH1742" t="str">
        <f>IF(AG1742="","",COUNTIF(sj_akey,"&lt;"&amp;AG1742)+COUNTIF($AG$6:AG1742,AG1742))</f>
        <v/>
      </c>
    </row>
    <row r="1743">
      <c r="A1743" s="51" t="n"/>
      <c r="B1743" s="52" t="n"/>
      <c r="C1743" s="52" t="n"/>
      <c r="D1743" s="53" t="n"/>
      <c r="E1743" s="53" t="n"/>
      <c r="F1743" s="54" t="n"/>
      <c r="G1743" s="54" t="n"/>
      <c r="H1743" s="54" t="n"/>
      <c r="I1743" s="54" t="n"/>
      <c r="J1743" s="53" t="n"/>
      <c r="K1743" s="55" t="str">
        <f>IF(COUNTA(A1743:I1743)=0,"",IF(F1743="",IFERROR(INDEX(eq_dur,MATCH(B1743,eq_code,0)),""),F1743))</f>
        <v/>
      </c>
      <c r="L1743" s="55" t="str">
        <f>IF(ISNUMBER(K1743),N(IFERROR(INDEX(eq_pause,MATCH(B1743,eq_code,0)),0))+SUMIFS(st_min,st_date,A1743,st_eq,B1743,st_po,C1743,st_type,"Planifié"),"")</f>
        <v/>
      </c>
      <c r="M1743" s="55" t="str">
        <f>IF(ISNUMBER(K1743),K1743-L1743,"")</f>
        <v/>
      </c>
      <c r="N1743" s="55" t="str">
        <f>IF(ISNUMBER(K1743),SUMIFS(st_min,st_date,A1743,st_eq,B1743,st_po,C1743,st_type,"Non planifié"),"")</f>
        <v/>
      </c>
      <c r="O1743" s="55" t="str">
        <f>IF(ISNUMBER(K1743),M1743-N1743,"")</f>
        <v/>
      </c>
      <c r="P1743" s="55" t="str">
        <f>IF(COUNTA(A1743:I1743)=0,"",N(G1743)+N(H1743)+N(I1743))</f>
        <v/>
      </c>
      <c r="Q1743" s="56" t="str">
        <f>IF(COUNTA(A1743:I1743)=0,"",IF(N(IFERROR(INDEX(art_rate,MATCH(E1743,art_ref,0)),0))&gt;0,N(IFERROR(INDEX(art_rate,MATCH(E1743,art_ref,0)),0)),N(IFERROR(INDEX(po_rate,MATCH(C1743,po_code,0)),0))))</f>
        <v/>
      </c>
      <c r="R1743" s="55" t="str">
        <f>IF(AC1743=1,P1743*60/Q1743,"")</f>
        <v/>
      </c>
      <c r="S1743" s="55" t="str">
        <f>IF(AC1743=1,N(G1743)*60/Q1743,"")</f>
        <v/>
      </c>
      <c r="T1743" s="57" t="str">
        <f>IF(AC1743=1,O1743/M1743,"")</f>
        <v/>
      </c>
      <c r="U1743" s="57" t="str">
        <f>IF(AC1743=1,IF(O1743&gt;0,R1743/O1743,""),"")</f>
        <v/>
      </c>
      <c r="V1743" s="57" t="str">
        <f>IF(AC1743=1,IF(P1743&gt;0,N(G1743)/P1743,""),"")</f>
        <v/>
      </c>
      <c r="W1743" s="57" t="str">
        <f>IF(AC1743=1,S1743/M1743,"")</f>
        <v/>
      </c>
      <c r="X1743" s="57" t="str">
        <f>IF(AC1743=1,S1743/K1743,"")</f>
        <v/>
      </c>
      <c r="Y1743" s="58" t="str">
        <f>IF(W1743="","",IF(W1743&gt;=p_target,"Bon",IF(W1743&gt;=p_alert,"À surveiller","Faible")))</f>
        <v/>
      </c>
      <c r="Z1743" s="58" t="str">
        <f>IF(W1743="","",IF(MIN(IF(T1743="",1,T1743),IF(U1743="",1,U1743),IF(V1743="",1,V1743))&gt;=1,"Aucune",IF(IF(T1743="",1,T1743)&lt;=MIN(IF(U1743="",1,U1743),IF(V1743="",1,V1743)),"Disponibilité",IF(IF(U1743="",1,U1743)&lt;=IF(V1743="",1,V1743),"Performance","Qualité"))))</f>
        <v/>
      </c>
      <c r="AA1743" s="59" t="str">
        <f>IF(AC1743=1,N(H1743)*N(IFERROR(INDEX(art_cost,MATCH(E1743,art_ref,0)),0)),"")</f>
        <v/>
      </c>
      <c r="AB1743" s="58" t="str">
        <f>IF(COUNTA(A1743:I1743)=0,"",IF(N(A1743)&lt;=0,"Date manquante ou invalide",IF(B1743="","Équipe manquante",IF(ISNA(MATCH(B1743,eq_code,0)),"Équipe inconnue",IF(INDEX(eq_check,MATCH(B1743,eq_code,0))&lt;&gt;"OK","Équipe à corriger dans Paramètres",IF(C1743="","Poste manquant",IF(ISNA(MATCH(C1743,po_code,0)),"Poste inconnu",IF(AND(E1743&lt;&gt;"",ISNA(MATCH(E1743,art_ref,0))),"Article inconnu",IF(IF(E1743="",FALSE,INDEX(art_check,MATCH(E1743,art_ref,0))&lt;&gt;"OK"),"Article à corriger (feuille Articles)",IF(COUNTIFS(sj_date,A1743,sj_eq,B1743,sj_po,C1743)&gt;1,"Ligne en double (même jour, équipe et poste)",IF(OR(NOT(ISNUMBER(K1743)),N(K1743)&lt;=0,N(K1743)&gt;1440),"Temps d'ouverture invalide",IF(OR(AND(G1743&lt;&gt;"",NOT(ISNUMBER(G1743))),N(G1743)&lt;0,N(G1743)&lt;&gt;INT(N(G1743)),AND(H1743&lt;&gt;"",NOT(ISNUMBER(H1743))),N(H1743)&lt;0,N(H1743)&lt;&gt;INT(N(H1743)),AND(I1743&lt;&gt;"",NOT(ISNUMBER(I1743))),N(I1743)&lt;0,N(I1743)&lt;&gt;INT(N(I1743))),"Quantité invalide",IF(Q1743&lt;=0,"Cadence manquante (poste ou article)",IF(M1743&lt;=0,"Arrêts planifiés supérieurs au temps d'ouverture",IF(O1743&lt;0,"Arrêts supérieurs au temps requis",IF(AND(P1743&gt;0,O1743=0),"Pièces déclarées sans temps de marche",IF(AND(P1743=0,O1743&gt;0),"Aucune pièce déclarée",IF(P1743*60/Q1743&gt;O1743+0.001,"Cadence dépassée : vérifiez la cadence","OK"))))))))))))))))))</f>
        <v/>
      </c>
      <c r="AC1743">
        <f>IF(OR(AB1743="OK",AB1743="Aucune pièce déclarée",AB1743="Cadence dépassée : vérifiez la cadence"),1,0)</f>
        <v>0.0</v>
      </c>
      <c r="AD1743">
        <f>IF(AND(AC1743=1,A1743&gt;=p_from,A1743&lt;=p_to),1,0)</f>
        <v>0.0</v>
      </c>
      <c r="AE1743">
        <f>IF(AD1743=1,IF(COUNTIFS($A$6:A1743,A1743,$AD$6:AD1743,1)=1,1,0),0)</f>
        <v>0.0</v>
      </c>
      <c r="AF1743" t="str">
        <f>IF(AE1743=1,COUNTIFS(sj_first,1,sj_date,"&lt;"&amp;A1743)+1,"")</f>
        <v/>
      </c>
      <c r="AG1743" t="str">
        <f>IF(AND(AD1743=1,N(W1743)&lt;p_alert),ROUND(W1743,4),"")</f>
        <v/>
      </c>
      <c r="AH1743" t="str">
        <f>IF(AG1743="","",COUNTIF(sj_akey,"&lt;"&amp;AG1743)+COUNTIF($AG$6:AG1743,AG1743))</f>
        <v/>
      </c>
    </row>
    <row r="1744">
      <c r="A1744" s="51" t="n"/>
      <c r="B1744" s="52" t="n"/>
      <c r="C1744" s="52" t="n"/>
      <c r="D1744" s="53" t="n"/>
      <c r="E1744" s="53" t="n"/>
      <c r="F1744" s="54" t="n"/>
      <c r="G1744" s="54" t="n"/>
      <c r="H1744" s="54" t="n"/>
      <c r="I1744" s="54" t="n"/>
      <c r="J1744" s="53" t="n"/>
      <c r="K1744" s="55" t="str">
        <f>IF(COUNTA(A1744:I1744)=0,"",IF(F1744="",IFERROR(INDEX(eq_dur,MATCH(B1744,eq_code,0)),""),F1744))</f>
        <v/>
      </c>
      <c r="L1744" s="55" t="str">
        <f>IF(ISNUMBER(K1744),N(IFERROR(INDEX(eq_pause,MATCH(B1744,eq_code,0)),0))+SUMIFS(st_min,st_date,A1744,st_eq,B1744,st_po,C1744,st_type,"Planifié"),"")</f>
        <v/>
      </c>
      <c r="M1744" s="55" t="str">
        <f>IF(ISNUMBER(K1744),K1744-L1744,"")</f>
        <v/>
      </c>
      <c r="N1744" s="55" t="str">
        <f>IF(ISNUMBER(K1744),SUMIFS(st_min,st_date,A1744,st_eq,B1744,st_po,C1744,st_type,"Non planifié"),"")</f>
        <v/>
      </c>
      <c r="O1744" s="55" t="str">
        <f>IF(ISNUMBER(K1744),M1744-N1744,"")</f>
        <v/>
      </c>
      <c r="P1744" s="55" t="str">
        <f>IF(COUNTA(A1744:I1744)=0,"",N(G1744)+N(H1744)+N(I1744))</f>
        <v/>
      </c>
      <c r="Q1744" s="56" t="str">
        <f>IF(COUNTA(A1744:I1744)=0,"",IF(N(IFERROR(INDEX(art_rate,MATCH(E1744,art_ref,0)),0))&gt;0,N(IFERROR(INDEX(art_rate,MATCH(E1744,art_ref,0)),0)),N(IFERROR(INDEX(po_rate,MATCH(C1744,po_code,0)),0))))</f>
        <v/>
      </c>
      <c r="R1744" s="55" t="str">
        <f>IF(AC1744=1,P1744*60/Q1744,"")</f>
        <v/>
      </c>
      <c r="S1744" s="55" t="str">
        <f>IF(AC1744=1,N(G1744)*60/Q1744,"")</f>
        <v/>
      </c>
      <c r="T1744" s="57" t="str">
        <f>IF(AC1744=1,O1744/M1744,"")</f>
        <v/>
      </c>
      <c r="U1744" s="57" t="str">
        <f>IF(AC1744=1,IF(O1744&gt;0,R1744/O1744,""),"")</f>
        <v/>
      </c>
      <c r="V1744" s="57" t="str">
        <f>IF(AC1744=1,IF(P1744&gt;0,N(G1744)/P1744,""),"")</f>
        <v/>
      </c>
      <c r="W1744" s="57" t="str">
        <f>IF(AC1744=1,S1744/M1744,"")</f>
        <v/>
      </c>
      <c r="X1744" s="57" t="str">
        <f>IF(AC1744=1,S1744/K1744,"")</f>
        <v/>
      </c>
      <c r="Y1744" s="58" t="str">
        <f>IF(W1744="","",IF(W1744&gt;=p_target,"Bon",IF(W1744&gt;=p_alert,"À surveiller","Faible")))</f>
        <v/>
      </c>
      <c r="Z1744" s="58" t="str">
        <f>IF(W1744="","",IF(MIN(IF(T1744="",1,T1744),IF(U1744="",1,U1744),IF(V1744="",1,V1744))&gt;=1,"Aucune",IF(IF(T1744="",1,T1744)&lt;=MIN(IF(U1744="",1,U1744),IF(V1744="",1,V1744)),"Disponibilité",IF(IF(U1744="",1,U1744)&lt;=IF(V1744="",1,V1744),"Performance","Qualité"))))</f>
        <v/>
      </c>
      <c r="AA1744" s="59" t="str">
        <f>IF(AC1744=1,N(H1744)*N(IFERROR(INDEX(art_cost,MATCH(E1744,art_ref,0)),0)),"")</f>
        <v/>
      </c>
      <c r="AB1744" s="58" t="str">
        <f>IF(COUNTA(A1744:I1744)=0,"",IF(N(A1744)&lt;=0,"Date manquante ou invalide",IF(B1744="","Équipe manquante",IF(ISNA(MATCH(B1744,eq_code,0)),"Équipe inconnue",IF(INDEX(eq_check,MATCH(B1744,eq_code,0))&lt;&gt;"OK","Équipe à corriger dans Paramètres",IF(C1744="","Poste manquant",IF(ISNA(MATCH(C1744,po_code,0)),"Poste inconnu",IF(AND(E1744&lt;&gt;"",ISNA(MATCH(E1744,art_ref,0))),"Article inconnu",IF(IF(E1744="",FALSE,INDEX(art_check,MATCH(E1744,art_ref,0))&lt;&gt;"OK"),"Article à corriger (feuille Articles)",IF(COUNTIFS(sj_date,A1744,sj_eq,B1744,sj_po,C1744)&gt;1,"Ligne en double (même jour, équipe et poste)",IF(OR(NOT(ISNUMBER(K1744)),N(K1744)&lt;=0,N(K1744)&gt;1440),"Temps d'ouverture invalide",IF(OR(AND(G1744&lt;&gt;"",NOT(ISNUMBER(G1744))),N(G1744)&lt;0,N(G1744)&lt;&gt;INT(N(G1744)),AND(H1744&lt;&gt;"",NOT(ISNUMBER(H1744))),N(H1744)&lt;0,N(H1744)&lt;&gt;INT(N(H1744)),AND(I1744&lt;&gt;"",NOT(ISNUMBER(I1744))),N(I1744)&lt;0,N(I1744)&lt;&gt;INT(N(I1744))),"Quantité invalide",IF(Q1744&lt;=0,"Cadence manquante (poste ou article)",IF(M1744&lt;=0,"Arrêts planifiés supérieurs au temps d'ouverture",IF(O1744&lt;0,"Arrêts supérieurs au temps requis",IF(AND(P1744&gt;0,O1744=0),"Pièces déclarées sans temps de marche",IF(AND(P1744=0,O1744&gt;0),"Aucune pièce déclarée",IF(P1744*60/Q1744&gt;O1744+0.001,"Cadence dépassée : vérifiez la cadence","OK"))))))))))))))))))</f>
        <v/>
      </c>
      <c r="AC1744">
        <f>IF(OR(AB1744="OK",AB1744="Aucune pièce déclarée",AB1744="Cadence dépassée : vérifiez la cadence"),1,0)</f>
        <v>0.0</v>
      </c>
      <c r="AD1744">
        <f>IF(AND(AC1744=1,A1744&gt;=p_from,A1744&lt;=p_to),1,0)</f>
        <v>0.0</v>
      </c>
      <c r="AE1744">
        <f>IF(AD1744=1,IF(COUNTIFS($A$6:A1744,A1744,$AD$6:AD1744,1)=1,1,0),0)</f>
        <v>0.0</v>
      </c>
      <c r="AF1744" t="str">
        <f>IF(AE1744=1,COUNTIFS(sj_first,1,sj_date,"&lt;"&amp;A1744)+1,"")</f>
        <v/>
      </c>
      <c r="AG1744" t="str">
        <f>IF(AND(AD1744=1,N(W1744)&lt;p_alert),ROUND(W1744,4),"")</f>
        <v/>
      </c>
      <c r="AH1744" t="str">
        <f>IF(AG1744="","",COUNTIF(sj_akey,"&lt;"&amp;AG1744)+COUNTIF($AG$6:AG1744,AG1744))</f>
        <v/>
      </c>
    </row>
    <row r="1745">
      <c r="A1745" s="51" t="n"/>
      <c r="B1745" s="52" t="n"/>
      <c r="C1745" s="52" t="n"/>
      <c r="D1745" s="53" t="n"/>
      <c r="E1745" s="53" t="n"/>
      <c r="F1745" s="54" t="n"/>
      <c r="G1745" s="54" t="n"/>
      <c r="H1745" s="54" t="n"/>
      <c r="I1745" s="54" t="n"/>
      <c r="J1745" s="53" t="n"/>
      <c r="K1745" s="55" t="str">
        <f>IF(COUNTA(A1745:I1745)=0,"",IF(F1745="",IFERROR(INDEX(eq_dur,MATCH(B1745,eq_code,0)),""),F1745))</f>
        <v/>
      </c>
      <c r="L1745" s="55" t="str">
        <f>IF(ISNUMBER(K1745),N(IFERROR(INDEX(eq_pause,MATCH(B1745,eq_code,0)),0))+SUMIFS(st_min,st_date,A1745,st_eq,B1745,st_po,C1745,st_type,"Planifié"),"")</f>
        <v/>
      </c>
      <c r="M1745" s="55" t="str">
        <f>IF(ISNUMBER(K1745),K1745-L1745,"")</f>
        <v/>
      </c>
      <c r="N1745" s="55" t="str">
        <f>IF(ISNUMBER(K1745),SUMIFS(st_min,st_date,A1745,st_eq,B1745,st_po,C1745,st_type,"Non planifié"),"")</f>
        <v/>
      </c>
      <c r="O1745" s="55" t="str">
        <f>IF(ISNUMBER(K1745),M1745-N1745,"")</f>
        <v/>
      </c>
      <c r="P1745" s="55" t="str">
        <f>IF(COUNTA(A1745:I1745)=0,"",N(G1745)+N(H1745)+N(I1745))</f>
        <v/>
      </c>
      <c r="Q1745" s="56" t="str">
        <f>IF(COUNTA(A1745:I1745)=0,"",IF(N(IFERROR(INDEX(art_rate,MATCH(E1745,art_ref,0)),0))&gt;0,N(IFERROR(INDEX(art_rate,MATCH(E1745,art_ref,0)),0)),N(IFERROR(INDEX(po_rate,MATCH(C1745,po_code,0)),0))))</f>
        <v/>
      </c>
      <c r="R1745" s="55" t="str">
        <f>IF(AC1745=1,P1745*60/Q1745,"")</f>
        <v/>
      </c>
      <c r="S1745" s="55" t="str">
        <f>IF(AC1745=1,N(G1745)*60/Q1745,"")</f>
        <v/>
      </c>
      <c r="T1745" s="57" t="str">
        <f>IF(AC1745=1,O1745/M1745,"")</f>
        <v/>
      </c>
      <c r="U1745" s="57" t="str">
        <f>IF(AC1745=1,IF(O1745&gt;0,R1745/O1745,""),"")</f>
        <v/>
      </c>
      <c r="V1745" s="57" t="str">
        <f>IF(AC1745=1,IF(P1745&gt;0,N(G1745)/P1745,""),"")</f>
        <v/>
      </c>
      <c r="W1745" s="57" t="str">
        <f>IF(AC1745=1,S1745/M1745,"")</f>
        <v/>
      </c>
      <c r="X1745" s="57" t="str">
        <f>IF(AC1745=1,S1745/K1745,"")</f>
        <v/>
      </c>
      <c r="Y1745" s="58" t="str">
        <f>IF(W1745="","",IF(W1745&gt;=p_target,"Bon",IF(W1745&gt;=p_alert,"À surveiller","Faible")))</f>
        <v/>
      </c>
      <c r="Z1745" s="58" t="str">
        <f>IF(W1745="","",IF(MIN(IF(T1745="",1,T1745),IF(U1745="",1,U1745),IF(V1745="",1,V1745))&gt;=1,"Aucune",IF(IF(T1745="",1,T1745)&lt;=MIN(IF(U1745="",1,U1745),IF(V1745="",1,V1745)),"Disponibilité",IF(IF(U1745="",1,U1745)&lt;=IF(V1745="",1,V1745),"Performance","Qualité"))))</f>
        <v/>
      </c>
      <c r="AA1745" s="59" t="str">
        <f>IF(AC1745=1,N(H1745)*N(IFERROR(INDEX(art_cost,MATCH(E1745,art_ref,0)),0)),"")</f>
        <v/>
      </c>
      <c r="AB1745" s="58" t="str">
        <f>IF(COUNTA(A1745:I1745)=0,"",IF(N(A1745)&lt;=0,"Date manquante ou invalide",IF(B1745="","Équipe manquante",IF(ISNA(MATCH(B1745,eq_code,0)),"Équipe inconnue",IF(INDEX(eq_check,MATCH(B1745,eq_code,0))&lt;&gt;"OK","Équipe à corriger dans Paramètres",IF(C1745="","Poste manquant",IF(ISNA(MATCH(C1745,po_code,0)),"Poste inconnu",IF(AND(E1745&lt;&gt;"",ISNA(MATCH(E1745,art_ref,0))),"Article inconnu",IF(IF(E1745="",FALSE,INDEX(art_check,MATCH(E1745,art_ref,0))&lt;&gt;"OK"),"Article à corriger (feuille Articles)",IF(COUNTIFS(sj_date,A1745,sj_eq,B1745,sj_po,C1745)&gt;1,"Ligne en double (même jour, équipe et poste)",IF(OR(NOT(ISNUMBER(K1745)),N(K1745)&lt;=0,N(K1745)&gt;1440),"Temps d'ouverture invalide",IF(OR(AND(G1745&lt;&gt;"",NOT(ISNUMBER(G1745))),N(G1745)&lt;0,N(G1745)&lt;&gt;INT(N(G1745)),AND(H1745&lt;&gt;"",NOT(ISNUMBER(H1745))),N(H1745)&lt;0,N(H1745)&lt;&gt;INT(N(H1745)),AND(I1745&lt;&gt;"",NOT(ISNUMBER(I1745))),N(I1745)&lt;0,N(I1745)&lt;&gt;INT(N(I1745))),"Quantité invalide",IF(Q1745&lt;=0,"Cadence manquante (poste ou article)",IF(M1745&lt;=0,"Arrêts planifiés supérieurs au temps d'ouverture",IF(O1745&lt;0,"Arrêts supérieurs au temps requis",IF(AND(P1745&gt;0,O1745=0),"Pièces déclarées sans temps de marche",IF(AND(P1745=0,O1745&gt;0),"Aucune pièce déclarée",IF(P1745*60/Q1745&gt;O1745+0.001,"Cadence dépassée : vérifiez la cadence","OK"))))))))))))))))))</f>
        <v/>
      </c>
      <c r="AC1745">
        <f>IF(OR(AB1745="OK",AB1745="Aucune pièce déclarée",AB1745="Cadence dépassée : vérifiez la cadence"),1,0)</f>
        <v>0.0</v>
      </c>
      <c r="AD1745">
        <f>IF(AND(AC1745=1,A1745&gt;=p_from,A1745&lt;=p_to),1,0)</f>
        <v>0.0</v>
      </c>
      <c r="AE1745">
        <f>IF(AD1745=1,IF(COUNTIFS($A$6:A1745,A1745,$AD$6:AD1745,1)=1,1,0),0)</f>
        <v>0.0</v>
      </c>
      <c r="AF1745" t="str">
        <f>IF(AE1745=1,COUNTIFS(sj_first,1,sj_date,"&lt;"&amp;A1745)+1,"")</f>
        <v/>
      </c>
      <c r="AG1745" t="str">
        <f>IF(AND(AD1745=1,N(W1745)&lt;p_alert),ROUND(W1745,4),"")</f>
        <v/>
      </c>
      <c r="AH1745" t="str">
        <f>IF(AG1745="","",COUNTIF(sj_akey,"&lt;"&amp;AG1745)+COUNTIF($AG$6:AG1745,AG1745))</f>
        <v/>
      </c>
    </row>
    <row r="1746">
      <c r="A1746" s="51" t="n"/>
      <c r="B1746" s="52" t="n"/>
      <c r="C1746" s="52" t="n"/>
      <c r="D1746" s="53" t="n"/>
      <c r="E1746" s="53" t="n"/>
      <c r="F1746" s="54" t="n"/>
      <c r="G1746" s="54" t="n"/>
      <c r="H1746" s="54" t="n"/>
      <c r="I1746" s="54" t="n"/>
      <c r="J1746" s="53" t="n"/>
      <c r="K1746" s="55" t="str">
        <f>IF(COUNTA(A1746:I1746)=0,"",IF(F1746="",IFERROR(INDEX(eq_dur,MATCH(B1746,eq_code,0)),""),F1746))</f>
        <v/>
      </c>
      <c r="L1746" s="55" t="str">
        <f>IF(ISNUMBER(K1746),N(IFERROR(INDEX(eq_pause,MATCH(B1746,eq_code,0)),0))+SUMIFS(st_min,st_date,A1746,st_eq,B1746,st_po,C1746,st_type,"Planifié"),"")</f>
        <v/>
      </c>
      <c r="M1746" s="55" t="str">
        <f>IF(ISNUMBER(K1746),K1746-L1746,"")</f>
        <v/>
      </c>
      <c r="N1746" s="55" t="str">
        <f>IF(ISNUMBER(K1746),SUMIFS(st_min,st_date,A1746,st_eq,B1746,st_po,C1746,st_type,"Non planifié"),"")</f>
        <v/>
      </c>
      <c r="O1746" s="55" t="str">
        <f>IF(ISNUMBER(K1746),M1746-N1746,"")</f>
        <v/>
      </c>
      <c r="P1746" s="55" t="str">
        <f>IF(COUNTA(A1746:I1746)=0,"",N(G1746)+N(H1746)+N(I1746))</f>
        <v/>
      </c>
      <c r="Q1746" s="56" t="str">
        <f>IF(COUNTA(A1746:I1746)=0,"",IF(N(IFERROR(INDEX(art_rate,MATCH(E1746,art_ref,0)),0))&gt;0,N(IFERROR(INDEX(art_rate,MATCH(E1746,art_ref,0)),0)),N(IFERROR(INDEX(po_rate,MATCH(C1746,po_code,0)),0))))</f>
        <v/>
      </c>
      <c r="R1746" s="55" t="str">
        <f>IF(AC1746=1,P1746*60/Q1746,"")</f>
        <v/>
      </c>
      <c r="S1746" s="55" t="str">
        <f>IF(AC1746=1,N(G1746)*60/Q1746,"")</f>
        <v/>
      </c>
      <c r="T1746" s="57" t="str">
        <f>IF(AC1746=1,O1746/M1746,"")</f>
        <v/>
      </c>
      <c r="U1746" s="57" t="str">
        <f>IF(AC1746=1,IF(O1746&gt;0,R1746/O1746,""),"")</f>
        <v/>
      </c>
      <c r="V1746" s="57" t="str">
        <f>IF(AC1746=1,IF(P1746&gt;0,N(G1746)/P1746,""),"")</f>
        <v/>
      </c>
      <c r="W1746" s="57" t="str">
        <f>IF(AC1746=1,S1746/M1746,"")</f>
        <v/>
      </c>
      <c r="X1746" s="57" t="str">
        <f>IF(AC1746=1,S1746/K1746,"")</f>
        <v/>
      </c>
      <c r="Y1746" s="58" t="str">
        <f>IF(W1746="","",IF(W1746&gt;=p_target,"Bon",IF(W1746&gt;=p_alert,"À surveiller","Faible")))</f>
        <v/>
      </c>
      <c r="Z1746" s="58" t="str">
        <f>IF(W1746="","",IF(MIN(IF(T1746="",1,T1746),IF(U1746="",1,U1746),IF(V1746="",1,V1746))&gt;=1,"Aucune",IF(IF(T1746="",1,T1746)&lt;=MIN(IF(U1746="",1,U1746),IF(V1746="",1,V1746)),"Disponibilité",IF(IF(U1746="",1,U1746)&lt;=IF(V1746="",1,V1746),"Performance","Qualité"))))</f>
        <v/>
      </c>
      <c r="AA1746" s="59" t="str">
        <f>IF(AC1746=1,N(H1746)*N(IFERROR(INDEX(art_cost,MATCH(E1746,art_ref,0)),0)),"")</f>
        <v/>
      </c>
      <c r="AB1746" s="58" t="str">
        <f>IF(COUNTA(A1746:I1746)=0,"",IF(N(A1746)&lt;=0,"Date manquante ou invalide",IF(B1746="","Équipe manquante",IF(ISNA(MATCH(B1746,eq_code,0)),"Équipe inconnue",IF(INDEX(eq_check,MATCH(B1746,eq_code,0))&lt;&gt;"OK","Équipe à corriger dans Paramètres",IF(C1746="","Poste manquant",IF(ISNA(MATCH(C1746,po_code,0)),"Poste inconnu",IF(AND(E1746&lt;&gt;"",ISNA(MATCH(E1746,art_ref,0))),"Article inconnu",IF(IF(E1746="",FALSE,INDEX(art_check,MATCH(E1746,art_ref,0))&lt;&gt;"OK"),"Article à corriger (feuille Articles)",IF(COUNTIFS(sj_date,A1746,sj_eq,B1746,sj_po,C1746)&gt;1,"Ligne en double (même jour, équipe et poste)",IF(OR(NOT(ISNUMBER(K1746)),N(K1746)&lt;=0,N(K1746)&gt;1440),"Temps d'ouverture invalide",IF(OR(AND(G1746&lt;&gt;"",NOT(ISNUMBER(G1746))),N(G1746)&lt;0,N(G1746)&lt;&gt;INT(N(G1746)),AND(H1746&lt;&gt;"",NOT(ISNUMBER(H1746))),N(H1746)&lt;0,N(H1746)&lt;&gt;INT(N(H1746)),AND(I1746&lt;&gt;"",NOT(ISNUMBER(I1746))),N(I1746)&lt;0,N(I1746)&lt;&gt;INT(N(I1746))),"Quantité invalide",IF(Q1746&lt;=0,"Cadence manquante (poste ou article)",IF(M1746&lt;=0,"Arrêts planifiés supérieurs au temps d'ouverture",IF(O1746&lt;0,"Arrêts supérieurs au temps requis",IF(AND(P1746&gt;0,O1746=0),"Pièces déclarées sans temps de marche",IF(AND(P1746=0,O1746&gt;0),"Aucune pièce déclarée",IF(P1746*60/Q1746&gt;O1746+0.001,"Cadence dépassée : vérifiez la cadence","OK"))))))))))))))))))</f>
        <v/>
      </c>
      <c r="AC1746">
        <f>IF(OR(AB1746="OK",AB1746="Aucune pièce déclarée",AB1746="Cadence dépassée : vérifiez la cadence"),1,0)</f>
        <v>0.0</v>
      </c>
      <c r="AD1746">
        <f>IF(AND(AC1746=1,A1746&gt;=p_from,A1746&lt;=p_to),1,0)</f>
        <v>0.0</v>
      </c>
      <c r="AE1746">
        <f>IF(AD1746=1,IF(COUNTIFS($A$6:A1746,A1746,$AD$6:AD1746,1)=1,1,0),0)</f>
        <v>0.0</v>
      </c>
      <c r="AF1746" t="str">
        <f>IF(AE1746=1,COUNTIFS(sj_first,1,sj_date,"&lt;"&amp;A1746)+1,"")</f>
        <v/>
      </c>
      <c r="AG1746" t="str">
        <f>IF(AND(AD1746=1,N(W1746)&lt;p_alert),ROUND(W1746,4),"")</f>
        <v/>
      </c>
      <c r="AH1746" t="str">
        <f>IF(AG1746="","",COUNTIF(sj_akey,"&lt;"&amp;AG1746)+COUNTIF($AG$6:AG1746,AG1746))</f>
        <v/>
      </c>
    </row>
    <row r="1747">
      <c r="A1747" s="51" t="n"/>
      <c r="B1747" s="52" t="n"/>
      <c r="C1747" s="52" t="n"/>
      <c r="D1747" s="53" t="n"/>
      <c r="E1747" s="53" t="n"/>
      <c r="F1747" s="54" t="n"/>
      <c r="G1747" s="54" t="n"/>
      <c r="H1747" s="54" t="n"/>
      <c r="I1747" s="54" t="n"/>
      <c r="J1747" s="53" t="n"/>
      <c r="K1747" s="55" t="str">
        <f>IF(COUNTA(A1747:I1747)=0,"",IF(F1747="",IFERROR(INDEX(eq_dur,MATCH(B1747,eq_code,0)),""),F1747))</f>
        <v/>
      </c>
      <c r="L1747" s="55" t="str">
        <f>IF(ISNUMBER(K1747),N(IFERROR(INDEX(eq_pause,MATCH(B1747,eq_code,0)),0))+SUMIFS(st_min,st_date,A1747,st_eq,B1747,st_po,C1747,st_type,"Planifié"),"")</f>
        <v/>
      </c>
      <c r="M1747" s="55" t="str">
        <f>IF(ISNUMBER(K1747),K1747-L1747,"")</f>
        <v/>
      </c>
      <c r="N1747" s="55" t="str">
        <f>IF(ISNUMBER(K1747),SUMIFS(st_min,st_date,A1747,st_eq,B1747,st_po,C1747,st_type,"Non planifié"),"")</f>
        <v/>
      </c>
      <c r="O1747" s="55" t="str">
        <f>IF(ISNUMBER(K1747),M1747-N1747,"")</f>
        <v/>
      </c>
      <c r="P1747" s="55" t="str">
        <f>IF(COUNTA(A1747:I1747)=0,"",N(G1747)+N(H1747)+N(I1747))</f>
        <v/>
      </c>
      <c r="Q1747" s="56" t="str">
        <f>IF(COUNTA(A1747:I1747)=0,"",IF(N(IFERROR(INDEX(art_rate,MATCH(E1747,art_ref,0)),0))&gt;0,N(IFERROR(INDEX(art_rate,MATCH(E1747,art_ref,0)),0)),N(IFERROR(INDEX(po_rate,MATCH(C1747,po_code,0)),0))))</f>
        <v/>
      </c>
      <c r="R1747" s="55" t="str">
        <f>IF(AC1747=1,P1747*60/Q1747,"")</f>
        <v/>
      </c>
      <c r="S1747" s="55" t="str">
        <f>IF(AC1747=1,N(G1747)*60/Q1747,"")</f>
        <v/>
      </c>
      <c r="T1747" s="57" t="str">
        <f>IF(AC1747=1,O1747/M1747,"")</f>
        <v/>
      </c>
      <c r="U1747" s="57" t="str">
        <f>IF(AC1747=1,IF(O1747&gt;0,R1747/O1747,""),"")</f>
        <v/>
      </c>
      <c r="V1747" s="57" t="str">
        <f>IF(AC1747=1,IF(P1747&gt;0,N(G1747)/P1747,""),"")</f>
        <v/>
      </c>
      <c r="W1747" s="57" t="str">
        <f>IF(AC1747=1,S1747/M1747,"")</f>
        <v/>
      </c>
      <c r="X1747" s="57" t="str">
        <f>IF(AC1747=1,S1747/K1747,"")</f>
        <v/>
      </c>
      <c r="Y1747" s="58" t="str">
        <f>IF(W1747="","",IF(W1747&gt;=p_target,"Bon",IF(W1747&gt;=p_alert,"À surveiller","Faible")))</f>
        <v/>
      </c>
      <c r="Z1747" s="58" t="str">
        <f>IF(W1747="","",IF(MIN(IF(T1747="",1,T1747),IF(U1747="",1,U1747),IF(V1747="",1,V1747))&gt;=1,"Aucune",IF(IF(T1747="",1,T1747)&lt;=MIN(IF(U1747="",1,U1747),IF(V1747="",1,V1747)),"Disponibilité",IF(IF(U1747="",1,U1747)&lt;=IF(V1747="",1,V1747),"Performance","Qualité"))))</f>
        <v/>
      </c>
      <c r="AA1747" s="59" t="str">
        <f>IF(AC1747=1,N(H1747)*N(IFERROR(INDEX(art_cost,MATCH(E1747,art_ref,0)),0)),"")</f>
        <v/>
      </c>
      <c r="AB1747" s="58" t="str">
        <f>IF(COUNTA(A1747:I1747)=0,"",IF(N(A1747)&lt;=0,"Date manquante ou invalide",IF(B1747="","Équipe manquante",IF(ISNA(MATCH(B1747,eq_code,0)),"Équipe inconnue",IF(INDEX(eq_check,MATCH(B1747,eq_code,0))&lt;&gt;"OK","Équipe à corriger dans Paramètres",IF(C1747="","Poste manquant",IF(ISNA(MATCH(C1747,po_code,0)),"Poste inconnu",IF(AND(E1747&lt;&gt;"",ISNA(MATCH(E1747,art_ref,0))),"Article inconnu",IF(IF(E1747="",FALSE,INDEX(art_check,MATCH(E1747,art_ref,0))&lt;&gt;"OK"),"Article à corriger (feuille Articles)",IF(COUNTIFS(sj_date,A1747,sj_eq,B1747,sj_po,C1747)&gt;1,"Ligne en double (même jour, équipe et poste)",IF(OR(NOT(ISNUMBER(K1747)),N(K1747)&lt;=0,N(K1747)&gt;1440),"Temps d'ouverture invalide",IF(OR(AND(G1747&lt;&gt;"",NOT(ISNUMBER(G1747))),N(G1747)&lt;0,N(G1747)&lt;&gt;INT(N(G1747)),AND(H1747&lt;&gt;"",NOT(ISNUMBER(H1747))),N(H1747)&lt;0,N(H1747)&lt;&gt;INT(N(H1747)),AND(I1747&lt;&gt;"",NOT(ISNUMBER(I1747))),N(I1747)&lt;0,N(I1747)&lt;&gt;INT(N(I1747))),"Quantité invalide",IF(Q1747&lt;=0,"Cadence manquante (poste ou article)",IF(M1747&lt;=0,"Arrêts planifiés supérieurs au temps d'ouverture",IF(O1747&lt;0,"Arrêts supérieurs au temps requis",IF(AND(P1747&gt;0,O1747=0),"Pièces déclarées sans temps de marche",IF(AND(P1747=0,O1747&gt;0),"Aucune pièce déclarée",IF(P1747*60/Q1747&gt;O1747+0.001,"Cadence dépassée : vérifiez la cadence","OK"))))))))))))))))))</f>
        <v/>
      </c>
      <c r="AC1747">
        <f>IF(OR(AB1747="OK",AB1747="Aucune pièce déclarée",AB1747="Cadence dépassée : vérifiez la cadence"),1,0)</f>
        <v>0.0</v>
      </c>
      <c r="AD1747">
        <f>IF(AND(AC1747=1,A1747&gt;=p_from,A1747&lt;=p_to),1,0)</f>
        <v>0.0</v>
      </c>
      <c r="AE1747">
        <f>IF(AD1747=1,IF(COUNTIFS($A$6:A1747,A1747,$AD$6:AD1747,1)=1,1,0),0)</f>
        <v>0.0</v>
      </c>
      <c r="AF1747" t="str">
        <f>IF(AE1747=1,COUNTIFS(sj_first,1,sj_date,"&lt;"&amp;A1747)+1,"")</f>
        <v/>
      </c>
      <c r="AG1747" t="str">
        <f>IF(AND(AD1747=1,N(W1747)&lt;p_alert),ROUND(W1747,4),"")</f>
        <v/>
      </c>
      <c r="AH1747" t="str">
        <f>IF(AG1747="","",COUNTIF(sj_akey,"&lt;"&amp;AG1747)+COUNTIF($AG$6:AG1747,AG1747))</f>
        <v/>
      </c>
    </row>
    <row r="1748">
      <c r="A1748" s="51" t="n"/>
      <c r="B1748" s="52" t="n"/>
      <c r="C1748" s="52" t="n"/>
      <c r="D1748" s="53" t="n"/>
      <c r="E1748" s="53" t="n"/>
      <c r="F1748" s="54" t="n"/>
      <c r="G1748" s="54" t="n"/>
      <c r="H1748" s="54" t="n"/>
      <c r="I1748" s="54" t="n"/>
      <c r="J1748" s="53" t="n"/>
      <c r="K1748" s="55" t="str">
        <f>IF(COUNTA(A1748:I1748)=0,"",IF(F1748="",IFERROR(INDEX(eq_dur,MATCH(B1748,eq_code,0)),""),F1748))</f>
        <v/>
      </c>
      <c r="L1748" s="55" t="str">
        <f>IF(ISNUMBER(K1748),N(IFERROR(INDEX(eq_pause,MATCH(B1748,eq_code,0)),0))+SUMIFS(st_min,st_date,A1748,st_eq,B1748,st_po,C1748,st_type,"Planifié"),"")</f>
        <v/>
      </c>
      <c r="M1748" s="55" t="str">
        <f>IF(ISNUMBER(K1748),K1748-L1748,"")</f>
        <v/>
      </c>
      <c r="N1748" s="55" t="str">
        <f>IF(ISNUMBER(K1748),SUMIFS(st_min,st_date,A1748,st_eq,B1748,st_po,C1748,st_type,"Non planifié"),"")</f>
        <v/>
      </c>
      <c r="O1748" s="55" t="str">
        <f>IF(ISNUMBER(K1748),M1748-N1748,"")</f>
        <v/>
      </c>
      <c r="P1748" s="55" t="str">
        <f>IF(COUNTA(A1748:I1748)=0,"",N(G1748)+N(H1748)+N(I1748))</f>
        <v/>
      </c>
      <c r="Q1748" s="56" t="str">
        <f>IF(COUNTA(A1748:I1748)=0,"",IF(N(IFERROR(INDEX(art_rate,MATCH(E1748,art_ref,0)),0))&gt;0,N(IFERROR(INDEX(art_rate,MATCH(E1748,art_ref,0)),0)),N(IFERROR(INDEX(po_rate,MATCH(C1748,po_code,0)),0))))</f>
        <v/>
      </c>
      <c r="R1748" s="55" t="str">
        <f>IF(AC1748=1,P1748*60/Q1748,"")</f>
        <v/>
      </c>
      <c r="S1748" s="55" t="str">
        <f>IF(AC1748=1,N(G1748)*60/Q1748,"")</f>
        <v/>
      </c>
      <c r="T1748" s="57" t="str">
        <f>IF(AC1748=1,O1748/M1748,"")</f>
        <v/>
      </c>
      <c r="U1748" s="57" t="str">
        <f>IF(AC1748=1,IF(O1748&gt;0,R1748/O1748,""),"")</f>
        <v/>
      </c>
      <c r="V1748" s="57" t="str">
        <f>IF(AC1748=1,IF(P1748&gt;0,N(G1748)/P1748,""),"")</f>
        <v/>
      </c>
      <c r="W1748" s="57" t="str">
        <f>IF(AC1748=1,S1748/M1748,"")</f>
        <v/>
      </c>
      <c r="X1748" s="57" t="str">
        <f>IF(AC1748=1,S1748/K1748,"")</f>
        <v/>
      </c>
      <c r="Y1748" s="58" t="str">
        <f>IF(W1748="","",IF(W1748&gt;=p_target,"Bon",IF(W1748&gt;=p_alert,"À surveiller","Faible")))</f>
        <v/>
      </c>
      <c r="Z1748" s="58" t="str">
        <f>IF(W1748="","",IF(MIN(IF(T1748="",1,T1748),IF(U1748="",1,U1748),IF(V1748="",1,V1748))&gt;=1,"Aucune",IF(IF(T1748="",1,T1748)&lt;=MIN(IF(U1748="",1,U1748),IF(V1748="",1,V1748)),"Disponibilité",IF(IF(U1748="",1,U1748)&lt;=IF(V1748="",1,V1748),"Performance","Qualité"))))</f>
        <v/>
      </c>
      <c r="AA1748" s="59" t="str">
        <f>IF(AC1748=1,N(H1748)*N(IFERROR(INDEX(art_cost,MATCH(E1748,art_ref,0)),0)),"")</f>
        <v/>
      </c>
      <c r="AB1748" s="58" t="str">
        <f>IF(COUNTA(A1748:I1748)=0,"",IF(N(A1748)&lt;=0,"Date manquante ou invalide",IF(B1748="","Équipe manquante",IF(ISNA(MATCH(B1748,eq_code,0)),"Équipe inconnue",IF(INDEX(eq_check,MATCH(B1748,eq_code,0))&lt;&gt;"OK","Équipe à corriger dans Paramètres",IF(C1748="","Poste manquant",IF(ISNA(MATCH(C1748,po_code,0)),"Poste inconnu",IF(AND(E1748&lt;&gt;"",ISNA(MATCH(E1748,art_ref,0))),"Article inconnu",IF(IF(E1748="",FALSE,INDEX(art_check,MATCH(E1748,art_ref,0))&lt;&gt;"OK"),"Article à corriger (feuille Articles)",IF(COUNTIFS(sj_date,A1748,sj_eq,B1748,sj_po,C1748)&gt;1,"Ligne en double (même jour, équipe et poste)",IF(OR(NOT(ISNUMBER(K1748)),N(K1748)&lt;=0,N(K1748)&gt;1440),"Temps d'ouverture invalide",IF(OR(AND(G1748&lt;&gt;"",NOT(ISNUMBER(G1748))),N(G1748)&lt;0,N(G1748)&lt;&gt;INT(N(G1748)),AND(H1748&lt;&gt;"",NOT(ISNUMBER(H1748))),N(H1748)&lt;0,N(H1748)&lt;&gt;INT(N(H1748)),AND(I1748&lt;&gt;"",NOT(ISNUMBER(I1748))),N(I1748)&lt;0,N(I1748)&lt;&gt;INT(N(I1748))),"Quantité invalide",IF(Q1748&lt;=0,"Cadence manquante (poste ou article)",IF(M1748&lt;=0,"Arrêts planifiés supérieurs au temps d'ouverture",IF(O1748&lt;0,"Arrêts supérieurs au temps requis",IF(AND(P1748&gt;0,O1748=0),"Pièces déclarées sans temps de marche",IF(AND(P1748=0,O1748&gt;0),"Aucune pièce déclarée",IF(P1748*60/Q1748&gt;O1748+0.001,"Cadence dépassée : vérifiez la cadence","OK"))))))))))))))))))</f>
        <v/>
      </c>
      <c r="AC1748">
        <f>IF(OR(AB1748="OK",AB1748="Aucune pièce déclarée",AB1748="Cadence dépassée : vérifiez la cadence"),1,0)</f>
        <v>0.0</v>
      </c>
      <c r="AD1748">
        <f>IF(AND(AC1748=1,A1748&gt;=p_from,A1748&lt;=p_to),1,0)</f>
        <v>0.0</v>
      </c>
      <c r="AE1748">
        <f>IF(AD1748=1,IF(COUNTIFS($A$6:A1748,A1748,$AD$6:AD1748,1)=1,1,0),0)</f>
        <v>0.0</v>
      </c>
      <c r="AF1748" t="str">
        <f>IF(AE1748=1,COUNTIFS(sj_first,1,sj_date,"&lt;"&amp;A1748)+1,"")</f>
        <v/>
      </c>
      <c r="AG1748" t="str">
        <f>IF(AND(AD1748=1,N(W1748)&lt;p_alert),ROUND(W1748,4),"")</f>
        <v/>
      </c>
      <c r="AH1748" t="str">
        <f>IF(AG1748="","",COUNTIF(sj_akey,"&lt;"&amp;AG1748)+COUNTIF($AG$6:AG1748,AG1748))</f>
        <v/>
      </c>
    </row>
    <row r="1749">
      <c r="A1749" s="51" t="n"/>
      <c r="B1749" s="52" t="n"/>
      <c r="C1749" s="52" t="n"/>
      <c r="D1749" s="53" t="n"/>
      <c r="E1749" s="53" t="n"/>
      <c r="F1749" s="54" t="n"/>
      <c r="G1749" s="54" t="n"/>
      <c r="H1749" s="54" t="n"/>
      <c r="I1749" s="54" t="n"/>
      <c r="J1749" s="53" t="n"/>
      <c r="K1749" s="55" t="str">
        <f>IF(COUNTA(A1749:I1749)=0,"",IF(F1749="",IFERROR(INDEX(eq_dur,MATCH(B1749,eq_code,0)),""),F1749))</f>
        <v/>
      </c>
      <c r="L1749" s="55" t="str">
        <f>IF(ISNUMBER(K1749),N(IFERROR(INDEX(eq_pause,MATCH(B1749,eq_code,0)),0))+SUMIFS(st_min,st_date,A1749,st_eq,B1749,st_po,C1749,st_type,"Planifié"),"")</f>
        <v/>
      </c>
      <c r="M1749" s="55" t="str">
        <f>IF(ISNUMBER(K1749),K1749-L1749,"")</f>
        <v/>
      </c>
      <c r="N1749" s="55" t="str">
        <f>IF(ISNUMBER(K1749),SUMIFS(st_min,st_date,A1749,st_eq,B1749,st_po,C1749,st_type,"Non planifié"),"")</f>
        <v/>
      </c>
      <c r="O1749" s="55" t="str">
        <f>IF(ISNUMBER(K1749),M1749-N1749,"")</f>
        <v/>
      </c>
      <c r="P1749" s="55" t="str">
        <f>IF(COUNTA(A1749:I1749)=0,"",N(G1749)+N(H1749)+N(I1749))</f>
        <v/>
      </c>
      <c r="Q1749" s="56" t="str">
        <f>IF(COUNTA(A1749:I1749)=0,"",IF(N(IFERROR(INDEX(art_rate,MATCH(E1749,art_ref,0)),0))&gt;0,N(IFERROR(INDEX(art_rate,MATCH(E1749,art_ref,0)),0)),N(IFERROR(INDEX(po_rate,MATCH(C1749,po_code,0)),0))))</f>
        <v/>
      </c>
      <c r="R1749" s="55" t="str">
        <f>IF(AC1749=1,P1749*60/Q1749,"")</f>
        <v/>
      </c>
      <c r="S1749" s="55" t="str">
        <f>IF(AC1749=1,N(G1749)*60/Q1749,"")</f>
        <v/>
      </c>
      <c r="T1749" s="57" t="str">
        <f>IF(AC1749=1,O1749/M1749,"")</f>
        <v/>
      </c>
      <c r="U1749" s="57" t="str">
        <f>IF(AC1749=1,IF(O1749&gt;0,R1749/O1749,""),"")</f>
        <v/>
      </c>
      <c r="V1749" s="57" t="str">
        <f>IF(AC1749=1,IF(P1749&gt;0,N(G1749)/P1749,""),"")</f>
        <v/>
      </c>
      <c r="W1749" s="57" t="str">
        <f>IF(AC1749=1,S1749/M1749,"")</f>
        <v/>
      </c>
      <c r="X1749" s="57" t="str">
        <f>IF(AC1749=1,S1749/K1749,"")</f>
        <v/>
      </c>
      <c r="Y1749" s="58" t="str">
        <f>IF(W1749="","",IF(W1749&gt;=p_target,"Bon",IF(W1749&gt;=p_alert,"À surveiller","Faible")))</f>
        <v/>
      </c>
      <c r="Z1749" s="58" t="str">
        <f>IF(W1749="","",IF(MIN(IF(T1749="",1,T1749),IF(U1749="",1,U1749),IF(V1749="",1,V1749))&gt;=1,"Aucune",IF(IF(T1749="",1,T1749)&lt;=MIN(IF(U1749="",1,U1749),IF(V1749="",1,V1749)),"Disponibilité",IF(IF(U1749="",1,U1749)&lt;=IF(V1749="",1,V1749),"Performance","Qualité"))))</f>
        <v/>
      </c>
      <c r="AA1749" s="59" t="str">
        <f>IF(AC1749=1,N(H1749)*N(IFERROR(INDEX(art_cost,MATCH(E1749,art_ref,0)),0)),"")</f>
        <v/>
      </c>
      <c r="AB1749" s="58" t="str">
        <f>IF(COUNTA(A1749:I1749)=0,"",IF(N(A1749)&lt;=0,"Date manquante ou invalide",IF(B1749="","Équipe manquante",IF(ISNA(MATCH(B1749,eq_code,0)),"Équipe inconnue",IF(INDEX(eq_check,MATCH(B1749,eq_code,0))&lt;&gt;"OK","Équipe à corriger dans Paramètres",IF(C1749="","Poste manquant",IF(ISNA(MATCH(C1749,po_code,0)),"Poste inconnu",IF(AND(E1749&lt;&gt;"",ISNA(MATCH(E1749,art_ref,0))),"Article inconnu",IF(IF(E1749="",FALSE,INDEX(art_check,MATCH(E1749,art_ref,0))&lt;&gt;"OK"),"Article à corriger (feuille Articles)",IF(COUNTIFS(sj_date,A1749,sj_eq,B1749,sj_po,C1749)&gt;1,"Ligne en double (même jour, équipe et poste)",IF(OR(NOT(ISNUMBER(K1749)),N(K1749)&lt;=0,N(K1749)&gt;1440),"Temps d'ouverture invalide",IF(OR(AND(G1749&lt;&gt;"",NOT(ISNUMBER(G1749))),N(G1749)&lt;0,N(G1749)&lt;&gt;INT(N(G1749)),AND(H1749&lt;&gt;"",NOT(ISNUMBER(H1749))),N(H1749)&lt;0,N(H1749)&lt;&gt;INT(N(H1749)),AND(I1749&lt;&gt;"",NOT(ISNUMBER(I1749))),N(I1749)&lt;0,N(I1749)&lt;&gt;INT(N(I1749))),"Quantité invalide",IF(Q1749&lt;=0,"Cadence manquante (poste ou article)",IF(M1749&lt;=0,"Arrêts planifiés supérieurs au temps d'ouverture",IF(O1749&lt;0,"Arrêts supérieurs au temps requis",IF(AND(P1749&gt;0,O1749=0),"Pièces déclarées sans temps de marche",IF(AND(P1749=0,O1749&gt;0),"Aucune pièce déclarée",IF(P1749*60/Q1749&gt;O1749+0.001,"Cadence dépassée : vérifiez la cadence","OK"))))))))))))))))))</f>
        <v/>
      </c>
      <c r="AC1749">
        <f>IF(OR(AB1749="OK",AB1749="Aucune pièce déclarée",AB1749="Cadence dépassée : vérifiez la cadence"),1,0)</f>
        <v>0.0</v>
      </c>
      <c r="AD1749">
        <f>IF(AND(AC1749=1,A1749&gt;=p_from,A1749&lt;=p_to),1,0)</f>
        <v>0.0</v>
      </c>
      <c r="AE1749">
        <f>IF(AD1749=1,IF(COUNTIFS($A$6:A1749,A1749,$AD$6:AD1749,1)=1,1,0),0)</f>
        <v>0.0</v>
      </c>
      <c r="AF1749" t="str">
        <f>IF(AE1749=1,COUNTIFS(sj_first,1,sj_date,"&lt;"&amp;A1749)+1,"")</f>
        <v/>
      </c>
      <c r="AG1749" t="str">
        <f>IF(AND(AD1749=1,N(W1749)&lt;p_alert),ROUND(W1749,4),"")</f>
        <v/>
      </c>
      <c r="AH1749" t="str">
        <f>IF(AG1749="","",COUNTIF(sj_akey,"&lt;"&amp;AG1749)+COUNTIF($AG$6:AG1749,AG1749))</f>
        <v/>
      </c>
    </row>
    <row r="1750">
      <c r="A1750" s="51" t="n"/>
      <c r="B1750" s="52" t="n"/>
      <c r="C1750" s="52" t="n"/>
      <c r="D1750" s="53" t="n"/>
      <c r="E1750" s="53" t="n"/>
      <c r="F1750" s="54" t="n"/>
      <c r="G1750" s="54" t="n"/>
      <c r="H1750" s="54" t="n"/>
      <c r="I1750" s="54" t="n"/>
      <c r="J1750" s="53" t="n"/>
      <c r="K1750" s="55" t="str">
        <f>IF(COUNTA(A1750:I1750)=0,"",IF(F1750="",IFERROR(INDEX(eq_dur,MATCH(B1750,eq_code,0)),""),F1750))</f>
        <v/>
      </c>
      <c r="L1750" s="55" t="str">
        <f>IF(ISNUMBER(K1750),N(IFERROR(INDEX(eq_pause,MATCH(B1750,eq_code,0)),0))+SUMIFS(st_min,st_date,A1750,st_eq,B1750,st_po,C1750,st_type,"Planifié"),"")</f>
        <v/>
      </c>
      <c r="M1750" s="55" t="str">
        <f>IF(ISNUMBER(K1750),K1750-L1750,"")</f>
        <v/>
      </c>
      <c r="N1750" s="55" t="str">
        <f>IF(ISNUMBER(K1750),SUMIFS(st_min,st_date,A1750,st_eq,B1750,st_po,C1750,st_type,"Non planifié"),"")</f>
        <v/>
      </c>
      <c r="O1750" s="55" t="str">
        <f>IF(ISNUMBER(K1750),M1750-N1750,"")</f>
        <v/>
      </c>
      <c r="P1750" s="55" t="str">
        <f>IF(COUNTA(A1750:I1750)=0,"",N(G1750)+N(H1750)+N(I1750))</f>
        <v/>
      </c>
      <c r="Q1750" s="56" t="str">
        <f>IF(COUNTA(A1750:I1750)=0,"",IF(N(IFERROR(INDEX(art_rate,MATCH(E1750,art_ref,0)),0))&gt;0,N(IFERROR(INDEX(art_rate,MATCH(E1750,art_ref,0)),0)),N(IFERROR(INDEX(po_rate,MATCH(C1750,po_code,0)),0))))</f>
        <v/>
      </c>
      <c r="R1750" s="55" t="str">
        <f>IF(AC1750=1,P1750*60/Q1750,"")</f>
        <v/>
      </c>
      <c r="S1750" s="55" t="str">
        <f>IF(AC1750=1,N(G1750)*60/Q1750,"")</f>
        <v/>
      </c>
      <c r="T1750" s="57" t="str">
        <f>IF(AC1750=1,O1750/M1750,"")</f>
        <v/>
      </c>
      <c r="U1750" s="57" t="str">
        <f>IF(AC1750=1,IF(O1750&gt;0,R1750/O1750,""),"")</f>
        <v/>
      </c>
      <c r="V1750" s="57" t="str">
        <f>IF(AC1750=1,IF(P1750&gt;0,N(G1750)/P1750,""),"")</f>
        <v/>
      </c>
      <c r="W1750" s="57" t="str">
        <f>IF(AC1750=1,S1750/M1750,"")</f>
        <v/>
      </c>
      <c r="X1750" s="57" t="str">
        <f>IF(AC1750=1,S1750/K1750,"")</f>
        <v/>
      </c>
      <c r="Y1750" s="58" t="str">
        <f>IF(W1750="","",IF(W1750&gt;=p_target,"Bon",IF(W1750&gt;=p_alert,"À surveiller","Faible")))</f>
        <v/>
      </c>
      <c r="Z1750" s="58" t="str">
        <f>IF(W1750="","",IF(MIN(IF(T1750="",1,T1750),IF(U1750="",1,U1750),IF(V1750="",1,V1750))&gt;=1,"Aucune",IF(IF(T1750="",1,T1750)&lt;=MIN(IF(U1750="",1,U1750),IF(V1750="",1,V1750)),"Disponibilité",IF(IF(U1750="",1,U1750)&lt;=IF(V1750="",1,V1750),"Performance","Qualité"))))</f>
        <v/>
      </c>
      <c r="AA1750" s="59" t="str">
        <f>IF(AC1750=1,N(H1750)*N(IFERROR(INDEX(art_cost,MATCH(E1750,art_ref,0)),0)),"")</f>
        <v/>
      </c>
      <c r="AB1750" s="58" t="str">
        <f>IF(COUNTA(A1750:I1750)=0,"",IF(N(A1750)&lt;=0,"Date manquante ou invalide",IF(B1750="","Équipe manquante",IF(ISNA(MATCH(B1750,eq_code,0)),"Équipe inconnue",IF(INDEX(eq_check,MATCH(B1750,eq_code,0))&lt;&gt;"OK","Équipe à corriger dans Paramètres",IF(C1750="","Poste manquant",IF(ISNA(MATCH(C1750,po_code,0)),"Poste inconnu",IF(AND(E1750&lt;&gt;"",ISNA(MATCH(E1750,art_ref,0))),"Article inconnu",IF(IF(E1750="",FALSE,INDEX(art_check,MATCH(E1750,art_ref,0))&lt;&gt;"OK"),"Article à corriger (feuille Articles)",IF(COUNTIFS(sj_date,A1750,sj_eq,B1750,sj_po,C1750)&gt;1,"Ligne en double (même jour, équipe et poste)",IF(OR(NOT(ISNUMBER(K1750)),N(K1750)&lt;=0,N(K1750)&gt;1440),"Temps d'ouverture invalide",IF(OR(AND(G1750&lt;&gt;"",NOT(ISNUMBER(G1750))),N(G1750)&lt;0,N(G1750)&lt;&gt;INT(N(G1750)),AND(H1750&lt;&gt;"",NOT(ISNUMBER(H1750))),N(H1750)&lt;0,N(H1750)&lt;&gt;INT(N(H1750)),AND(I1750&lt;&gt;"",NOT(ISNUMBER(I1750))),N(I1750)&lt;0,N(I1750)&lt;&gt;INT(N(I1750))),"Quantité invalide",IF(Q1750&lt;=0,"Cadence manquante (poste ou article)",IF(M1750&lt;=0,"Arrêts planifiés supérieurs au temps d'ouverture",IF(O1750&lt;0,"Arrêts supérieurs au temps requis",IF(AND(P1750&gt;0,O1750=0),"Pièces déclarées sans temps de marche",IF(AND(P1750=0,O1750&gt;0),"Aucune pièce déclarée",IF(P1750*60/Q1750&gt;O1750+0.001,"Cadence dépassée : vérifiez la cadence","OK"))))))))))))))))))</f>
        <v/>
      </c>
      <c r="AC1750">
        <f>IF(OR(AB1750="OK",AB1750="Aucune pièce déclarée",AB1750="Cadence dépassée : vérifiez la cadence"),1,0)</f>
        <v>0.0</v>
      </c>
      <c r="AD1750">
        <f>IF(AND(AC1750=1,A1750&gt;=p_from,A1750&lt;=p_to),1,0)</f>
        <v>0.0</v>
      </c>
      <c r="AE1750">
        <f>IF(AD1750=1,IF(COUNTIFS($A$6:A1750,A1750,$AD$6:AD1750,1)=1,1,0),0)</f>
        <v>0.0</v>
      </c>
      <c r="AF1750" t="str">
        <f>IF(AE1750=1,COUNTIFS(sj_first,1,sj_date,"&lt;"&amp;A1750)+1,"")</f>
        <v/>
      </c>
      <c r="AG1750" t="str">
        <f>IF(AND(AD1750=1,N(W1750)&lt;p_alert),ROUND(W1750,4),"")</f>
        <v/>
      </c>
      <c r="AH1750" t="str">
        <f>IF(AG1750="","",COUNTIF(sj_akey,"&lt;"&amp;AG1750)+COUNTIF($AG$6:AG1750,AG1750))</f>
        <v/>
      </c>
    </row>
    <row r="1751">
      <c r="A1751" s="51" t="n"/>
      <c r="B1751" s="52" t="n"/>
      <c r="C1751" s="52" t="n"/>
      <c r="D1751" s="53" t="n"/>
      <c r="E1751" s="53" t="n"/>
      <c r="F1751" s="54" t="n"/>
      <c r="G1751" s="54" t="n"/>
      <c r="H1751" s="54" t="n"/>
      <c r="I1751" s="54" t="n"/>
      <c r="J1751" s="53" t="n"/>
      <c r="K1751" s="55" t="str">
        <f>IF(COUNTA(A1751:I1751)=0,"",IF(F1751="",IFERROR(INDEX(eq_dur,MATCH(B1751,eq_code,0)),""),F1751))</f>
        <v/>
      </c>
      <c r="L1751" s="55" t="str">
        <f>IF(ISNUMBER(K1751),N(IFERROR(INDEX(eq_pause,MATCH(B1751,eq_code,0)),0))+SUMIFS(st_min,st_date,A1751,st_eq,B1751,st_po,C1751,st_type,"Planifié"),"")</f>
        <v/>
      </c>
      <c r="M1751" s="55" t="str">
        <f>IF(ISNUMBER(K1751),K1751-L1751,"")</f>
        <v/>
      </c>
      <c r="N1751" s="55" t="str">
        <f>IF(ISNUMBER(K1751),SUMIFS(st_min,st_date,A1751,st_eq,B1751,st_po,C1751,st_type,"Non planifié"),"")</f>
        <v/>
      </c>
      <c r="O1751" s="55" t="str">
        <f>IF(ISNUMBER(K1751),M1751-N1751,"")</f>
        <v/>
      </c>
      <c r="P1751" s="55" t="str">
        <f>IF(COUNTA(A1751:I1751)=0,"",N(G1751)+N(H1751)+N(I1751))</f>
        <v/>
      </c>
      <c r="Q1751" s="56" t="str">
        <f>IF(COUNTA(A1751:I1751)=0,"",IF(N(IFERROR(INDEX(art_rate,MATCH(E1751,art_ref,0)),0))&gt;0,N(IFERROR(INDEX(art_rate,MATCH(E1751,art_ref,0)),0)),N(IFERROR(INDEX(po_rate,MATCH(C1751,po_code,0)),0))))</f>
        <v/>
      </c>
      <c r="R1751" s="55" t="str">
        <f>IF(AC1751=1,P1751*60/Q1751,"")</f>
        <v/>
      </c>
      <c r="S1751" s="55" t="str">
        <f>IF(AC1751=1,N(G1751)*60/Q1751,"")</f>
        <v/>
      </c>
      <c r="T1751" s="57" t="str">
        <f>IF(AC1751=1,O1751/M1751,"")</f>
        <v/>
      </c>
      <c r="U1751" s="57" t="str">
        <f>IF(AC1751=1,IF(O1751&gt;0,R1751/O1751,""),"")</f>
        <v/>
      </c>
      <c r="V1751" s="57" t="str">
        <f>IF(AC1751=1,IF(P1751&gt;0,N(G1751)/P1751,""),"")</f>
        <v/>
      </c>
      <c r="W1751" s="57" t="str">
        <f>IF(AC1751=1,S1751/M1751,"")</f>
        <v/>
      </c>
      <c r="X1751" s="57" t="str">
        <f>IF(AC1751=1,S1751/K1751,"")</f>
        <v/>
      </c>
      <c r="Y1751" s="58" t="str">
        <f>IF(W1751="","",IF(W1751&gt;=p_target,"Bon",IF(W1751&gt;=p_alert,"À surveiller","Faible")))</f>
        <v/>
      </c>
      <c r="Z1751" s="58" t="str">
        <f>IF(W1751="","",IF(MIN(IF(T1751="",1,T1751),IF(U1751="",1,U1751),IF(V1751="",1,V1751))&gt;=1,"Aucune",IF(IF(T1751="",1,T1751)&lt;=MIN(IF(U1751="",1,U1751),IF(V1751="",1,V1751)),"Disponibilité",IF(IF(U1751="",1,U1751)&lt;=IF(V1751="",1,V1751),"Performance","Qualité"))))</f>
        <v/>
      </c>
      <c r="AA1751" s="59" t="str">
        <f>IF(AC1751=1,N(H1751)*N(IFERROR(INDEX(art_cost,MATCH(E1751,art_ref,0)),0)),"")</f>
        <v/>
      </c>
      <c r="AB1751" s="58" t="str">
        <f>IF(COUNTA(A1751:I1751)=0,"",IF(N(A1751)&lt;=0,"Date manquante ou invalide",IF(B1751="","Équipe manquante",IF(ISNA(MATCH(B1751,eq_code,0)),"Équipe inconnue",IF(INDEX(eq_check,MATCH(B1751,eq_code,0))&lt;&gt;"OK","Équipe à corriger dans Paramètres",IF(C1751="","Poste manquant",IF(ISNA(MATCH(C1751,po_code,0)),"Poste inconnu",IF(AND(E1751&lt;&gt;"",ISNA(MATCH(E1751,art_ref,0))),"Article inconnu",IF(IF(E1751="",FALSE,INDEX(art_check,MATCH(E1751,art_ref,0))&lt;&gt;"OK"),"Article à corriger (feuille Articles)",IF(COUNTIFS(sj_date,A1751,sj_eq,B1751,sj_po,C1751)&gt;1,"Ligne en double (même jour, équipe et poste)",IF(OR(NOT(ISNUMBER(K1751)),N(K1751)&lt;=0,N(K1751)&gt;1440),"Temps d'ouverture invalide",IF(OR(AND(G1751&lt;&gt;"",NOT(ISNUMBER(G1751))),N(G1751)&lt;0,N(G1751)&lt;&gt;INT(N(G1751)),AND(H1751&lt;&gt;"",NOT(ISNUMBER(H1751))),N(H1751)&lt;0,N(H1751)&lt;&gt;INT(N(H1751)),AND(I1751&lt;&gt;"",NOT(ISNUMBER(I1751))),N(I1751)&lt;0,N(I1751)&lt;&gt;INT(N(I1751))),"Quantité invalide",IF(Q1751&lt;=0,"Cadence manquante (poste ou article)",IF(M1751&lt;=0,"Arrêts planifiés supérieurs au temps d'ouverture",IF(O1751&lt;0,"Arrêts supérieurs au temps requis",IF(AND(P1751&gt;0,O1751=0),"Pièces déclarées sans temps de marche",IF(AND(P1751=0,O1751&gt;0),"Aucune pièce déclarée",IF(P1751*60/Q1751&gt;O1751+0.001,"Cadence dépassée : vérifiez la cadence","OK"))))))))))))))))))</f>
        <v/>
      </c>
      <c r="AC1751">
        <f>IF(OR(AB1751="OK",AB1751="Aucune pièce déclarée",AB1751="Cadence dépassée : vérifiez la cadence"),1,0)</f>
        <v>0.0</v>
      </c>
      <c r="AD1751">
        <f>IF(AND(AC1751=1,A1751&gt;=p_from,A1751&lt;=p_to),1,0)</f>
        <v>0.0</v>
      </c>
      <c r="AE1751">
        <f>IF(AD1751=1,IF(COUNTIFS($A$6:A1751,A1751,$AD$6:AD1751,1)=1,1,0),0)</f>
        <v>0.0</v>
      </c>
      <c r="AF1751" t="str">
        <f>IF(AE1751=1,COUNTIFS(sj_first,1,sj_date,"&lt;"&amp;A1751)+1,"")</f>
        <v/>
      </c>
      <c r="AG1751" t="str">
        <f>IF(AND(AD1751=1,N(W1751)&lt;p_alert),ROUND(W1751,4),"")</f>
        <v/>
      </c>
      <c r="AH1751" t="str">
        <f>IF(AG1751="","",COUNTIF(sj_akey,"&lt;"&amp;AG1751)+COUNTIF($AG$6:AG1751,AG1751))</f>
        <v/>
      </c>
    </row>
    <row r="1752">
      <c r="A1752" s="51" t="n"/>
      <c r="B1752" s="52" t="n"/>
      <c r="C1752" s="52" t="n"/>
      <c r="D1752" s="53" t="n"/>
      <c r="E1752" s="53" t="n"/>
      <c r="F1752" s="54" t="n"/>
      <c r="G1752" s="54" t="n"/>
      <c r="H1752" s="54" t="n"/>
      <c r="I1752" s="54" t="n"/>
      <c r="J1752" s="53" t="n"/>
      <c r="K1752" s="55" t="str">
        <f>IF(COUNTA(A1752:I1752)=0,"",IF(F1752="",IFERROR(INDEX(eq_dur,MATCH(B1752,eq_code,0)),""),F1752))</f>
        <v/>
      </c>
      <c r="L1752" s="55" t="str">
        <f>IF(ISNUMBER(K1752),N(IFERROR(INDEX(eq_pause,MATCH(B1752,eq_code,0)),0))+SUMIFS(st_min,st_date,A1752,st_eq,B1752,st_po,C1752,st_type,"Planifié"),"")</f>
        <v/>
      </c>
      <c r="M1752" s="55" t="str">
        <f>IF(ISNUMBER(K1752),K1752-L1752,"")</f>
        <v/>
      </c>
      <c r="N1752" s="55" t="str">
        <f>IF(ISNUMBER(K1752),SUMIFS(st_min,st_date,A1752,st_eq,B1752,st_po,C1752,st_type,"Non planifié"),"")</f>
        <v/>
      </c>
      <c r="O1752" s="55" t="str">
        <f>IF(ISNUMBER(K1752),M1752-N1752,"")</f>
        <v/>
      </c>
      <c r="P1752" s="55" t="str">
        <f>IF(COUNTA(A1752:I1752)=0,"",N(G1752)+N(H1752)+N(I1752))</f>
        <v/>
      </c>
      <c r="Q1752" s="56" t="str">
        <f>IF(COUNTA(A1752:I1752)=0,"",IF(N(IFERROR(INDEX(art_rate,MATCH(E1752,art_ref,0)),0))&gt;0,N(IFERROR(INDEX(art_rate,MATCH(E1752,art_ref,0)),0)),N(IFERROR(INDEX(po_rate,MATCH(C1752,po_code,0)),0))))</f>
        <v/>
      </c>
      <c r="R1752" s="55" t="str">
        <f>IF(AC1752=1,P1752*60/Q1752,"")</f>
        <v/>
      </c>
      <c r="S1752" s="55" t="str">
        <f>IF(AC1752=1,N(G1752)*60/Q1752,"")</f>
        <v/>
      </c>
      <c r="T1752" s="57" t="str">
        <f>IF(AC1752=1,O1752/M1752,"")</f>
        <v/>
      </c>
      <c r="U1752" s="57" t="str">
        <f>IF(AC1752=1,IF(O1752&gt;0,R1752/O1752,""),"")</f>
        <v/>
      </c>
      <c r="V1752" s="57" t="str">
        <f>IF(AC1752=1,IF(P1752&gt;0,N(G1752)/P1752,""),"")</f>
        <v/>
      </c>
      <c r="W1752" s="57" t="str">
        <f>IF(AC1752=1,S1752/M1752,"")</f>
        <v/>
      </c>
      <c r="X1752" s="57" t="str">
        <f>IF(AC1752=1,S1752/K1752,"")</f>
        <v/>
      </c>
      <c r="Y1752" s="58" t="str">
        <f>IF(W1752="","",IF(W1752&gt;=p_target,"Bon",IF(W1752&gt;=p_alert,"À surveiller","Faible")))</f>
        <v/>
      </c>
      <c r="Z1752" s="58" t="str">
        <f>IF(W1752="","",IF(MIN(IF(T1752="",1,T1752),IF(U1752="",1,U1752),IF(V1752="",1,V1752))&gt;=1,"Aucune",IF(IF(T1752="",1,T1752)&lt;=MIN(IF(U1752="",1,U1752),IF(V1752="",1,V1752)),"Disponibilité",IF(IF(U1752="",1,U1752)&lt;=IF(V1752="",1,V1752),"Performance","Qualité"))))</f>
        <v/>
      </c>
      <c r="AA1752" s="59" t="str">
        <f>IF(AC1752=1,N(H1752)*N(IFERROR(INDEX(art_cost,MATCH(E1752,art_ref,0)),0)),"")</f>
        <v/>
      </c>
      <c r="AB1752" s="58" t="str">
        <f>IF(COUNTA(A1752:I1752)=0,"",IF(N(A1752)&lt;=0,"Date manquante ou invalide",IF(B1752="","Équipe manquante",IF(ISNA(MATCH(B1752,eq_code,0)),"Équipe inconnue",IF(INDEX(eq_check,MATCH(B1752,eq_code,0))&lt;&gt;"OK","Équipe à corriger dans Paramètres",IF(C1752="","Poste manquant",IF(ISNA(MATCH(C1752,po_code,0)),"Poste inconnu",IF(AND(E1752&lt;&gt;"",ISNA(MATCH(E1752,art_ref,0))),"Article inconnu",IF(IF(E1752="",FALSE,INDEX(art_check,MATCH(E1752,art_ref,0))&lt;&gt;"OK"),"Article à corriger (feuille Articles)",IF(COUNTIFS(sj_date,A1752,sj_eq,B1752,sj_po,C1752)&gt;1,"Ligne en double (même jour, équipe et poste)",IF(OR(NOT(ISNUMBER(K1752)),N(K1752)&lt;=0,N(K1752)&gt;1440),"Temps d'ouverture invalide",IF(OR(AND(G1752&lt;&gt;"",NOT(ISNUMBER(G1752))),N(G1752)&lt;0,N(G1752)&lt;&gt;INT(N(G1752)),AND(H1752&lt;&gt;"",NOT(ISNUMBER(H1752))),N(H1752)&lt;0,N(H1752)&lt;&gt;INT(N(H1752)),AND(I1752&lt;&gt;"",NOT(ISNUMBER(I1752))),N(I1752)&lt;0,N(I1752)&lt;&gt;INT(N(I1752))),"Quantité invalide",IF(Q1752&lt;=0,"Cadence manquante (poste ou article)",IF(M1752&lt;=0,"Arrêts planifiés supérieurs au temps d'ouverture",IF(O1752&lt;0,"Arrêts supérieurs au temps requis",IF(AND(P1752&gt;0,O1752=0),"Pièces déclarées sans temps de marche",IF(AND(P1752=0,O1752&gt;0),"Aucune pièce déclarée",IF(P1752*60/Q1752&gt;O1752+0.001,"Cadence dépassée : vérifiez la cadence","OK"))))))))))))))))))</f>
        <v/>
      </c>
      <c r="AC1752">
        <f>IF(OR(AB1752="OK",AB1752="Aucune pièce déclarée",AB1752="Cadence dépassée : vérifiez la cadence"),1,0)</f>
        <v>0.0</v>
      </c>
      <c r="AD1752">
        <f>IF(AND(AC1752=1,A1752&gt;=p_from,A1752&lt;=p_to),1,0)</f>
        <v>0.0</v>
      </c>
      <c r="AE1752">
        <f>IF(AD1752=1,IF(COUNTIFS($A$6:A1752,A1752,$AD$6:AD1752,1)=1,1,0),0)</f>
        <v>0.0</v>
      </c>
      <c r="AF1752" t="str">
        <f>IF(AE1752=1,COUNTIFS(sj_first,1,sj_date,"&lt;"&amp;A1752)+1,"")</f>
        <v/>
      </c>
      <c r="AG1752" t="str">
        <f>IF(AND(AD1752=1,N(W1752)&lt;p_alert),ROUND(W1752,4),"")</f>
        <v/>
      </c>
      <c r="AH1752" t="str">
        <f>IF(AG1752="","",COUNTIF(sj_akey,"&lt;"&amp;AG1752)+COUNTIF($AG$6:AG1752,AG1752))</f>
        <v/>
      </c>
    </row>
    <row r="1753">
      <c r="A1753" s="51" t="n"/>
      <c r="B1753" s="52" t="n"/>
      <c r="C1753" s="52" t="n"/>
      <c r="D1753" s="53" t="n"/>
      <c r="E1753" s="53" t="n"/>
      <c r="F1753" s="54" t="n"/>
      <c r="G1753" s="54" t="n"/>
      <c r="H1753" s="54" t="n"/>
      <c r="I1753" s="54" t="n"/>
      <c r="J1753" s="53" t="n"/>
      <c r="K1753" s="55" t="str">
        <f>IF(COUNTA(A1753:I1753)=0,"",IF(F1753="",IFERROR(INDEX(eq_dur,MATCH(B1753,eq_code,0)),""),F1753))</f>
        <v/>
      </c>
      <c r="L1753" s="55" t="str">
        <f>IF(ISNUMBER(K1753),N(IFERROR(INDEX(eq_pause,MATCH(B1753,eq_code,0)),0))+SUMIFS(st_min,st_date,A1753,st_eq,B1753,st_po,C1753,st_type,"Planifié"),"")</f>
        <v/>
      </c>
      <c r="M1753" s="55" t="str">
        <f>IF(ISNUMBER(K1753),K1753-L1753,"")</f>
        <v/>
      </c>
      <c r="N1753" s="55" t="str">
        <f>IF(ISNUMBER(K1753),SUMIFS(st_min,st_date,A1753,st_eq,B1753,st_po,C1753,st_type,"Non planifié"),"")</f>
        <v/>
      </c>
      <c r="O1753" s="55" t="str">
        <f>IF(ISNUMBER(K1753),M1753-N1753,"")</f>
        <v/>
      </c>
      <c r="P1753" s="55" t="str">
        <f>IF(COUNTA(A1753:I1753)=0,"",N(G1753)+N(H1753)+N(I1753))</f>
        <v/>
      </c>
      <c r="Q1753" s="56" t="str">
        <f>IF(COUNTA(A1753:I1753)=0,"",IF(N(IFERROR(INDEX(art_rate,MATCH(E1753,art_ref,0)),0))&gt;0,N(IFERROR(INDEX(art_rate,MATCH(E1753,art_ref,0)),0)),N(IFERROR(INDEX(po_rate,MATCH(C1753,po_code,0)),0))))</f>
        <v/>
      </c>
      <c r="R1753" s="55" t="str">
        <f>IF(AC1753=1,P1753*60/Q1753,"")</f>
        <v/>
      </c>
      <c r="S1753" s="55" t="str">
        <f>IF(AC1753=1,N(G1753)*60/Q1753,"")</f>
        <v/>
      </c>
      <c r="T1753" s="57" t="str">
        <f>IF(AC1753=1,O1753/M1753,"")</f>
        <v/>
      </c>
      <c r="U1753" s="57" t="str">
        <f>IF(AC1753=1,IF(O1753&gt;0,R1753/O1753,""),"")</f>
        <v/>
      </c>
      <c r="V1753" s="57" t="str">
        <f>IF(AC1753=1,IF(P1753&gt;0,N(G1753)/P1753,""),"")</f>
        <v/>
      </c>
      <c r="W1753" s="57" t="str">
        <f>IF(AC1753=1,S1753/M1753,"")</f>
        <v/>
      </c>
      <c r="X1753" s="57" t="str">
        <f>IF(AC1753=1,S1753/K1753,"")</f>
        <v/>
      </c>
      <c r="Y1753" s="58" t="str">
        <f>IF(W1753="","",IF(W1753&gt;=p_target,"Bon",IF(W1753&gt;=p_alert,"À surveiller","Faible")))</f>
        <v/>
      </c>
      <c r="Z1753" s="58" t="str">
        <f>IF(W1753="","",IF(MIN(IF(T1753="",1,T1753),IF(U1753="",1,U1753),IF(V1753="",1,V1753))&gt;=1,"Aucune",IF(IF(T1753="",1,T1753)&lt;=MIN(IF(U1753="",1,U1753),IF(V1753="",1,V1753)),"Disponibilité",IF(IF(U1753="",1,U1753)&lt;=IF(V1753="",1,V1753),"Performance","Qualité"))))</f>
        <v/>
      </c>
      <c r="AA1753" s="59" t="str">
        <f>IF(AC1753=1,N(H1753)*N(IFERROR(INDEX(art_cost,MATCH(E1753,art_ref,0)),0)),"")</f>
        <v/>
      </c>
      <c r="AB1753" s="58" t="str">
        <f>IF(COUNTA(A1753:I1753)=0,"",IF(N(A1753)&lt;=0,"Date manquante ou invalide",IF(B1753="","Équipe manquante",IF(ISNA(MATCH(B1753,eq_code,0)),"Équipe inconnue",IF(INDEX(eq_check,MATCH(B1753,eq_code,0))&lt;&gt;"OK","Équipe à corriger dans Paramètres",IF(C1753="","Poste manquant",IF(ISNA(MATCH(C1753,po_code,0)),"Poste inconnu",IF(AND(E1753&lt;&gt;"",ISNA(MATCH(E1753,art_ref,0))),"Article inconnu",IF(IF(E1753="",FALSE,INDEX(art_check,MATCH(E1753,art_ref,0))&lt;&gt;"OK"),"Article à corriger (feuille Articles)",IF(COUNTIFS(sj_date,A1753,sj_eq,B1753,sj_po,C1753)&gt;1,"Ligne en double (même jour, équipe et poste)",IF(OR(NOT(ISNUMBER(K1753)),N(K1753)&lt;=0,N(K1753)&gt;1440),"Temps d'ouverture invalide",IF(OR(AND(G1753&lt;&gt;"",NOT(ISNUMBER(G1753))),N(G1753)&lt;0,N(G1753)&lt;&gt;INT(N(G1753)),AND(H1753&lt;&gt;"",NOT(ISNUMBER(H1753))),N(H1753)&lt;0,N(H1753)&lt;&gt;INT(N(H1753)),AND(I1753&lt;&gt;"",NOT(ISNUMBER(I1753))),N(I1753)&lt;0,N(I1753)&lt;&gt;INT(N(I1753))),"Quantité invalide",IF(Q1753&lt;=0,"Cadence manquante (poste ou article)",IF(M1753&lt;=0,"Arrêts planifiés supérieurs au temps d'ouverture",IF(O1753&lt;0,"Arrêts supérieurs au temps requis",IF(AND(P1753&gt;0,O1753=0),"Pièces déclarées sans temps de marche",IF(AND(P1753=0,O1753&gt;0),"Aucune pièce déclarée",IF(P1753*60/Q1753&gt;O1753+0.001,"Cadence dépassée : vérifiez la cadence","OK"))))))))))))))))))</f>
        <v/>
      </c>
      <c r="AC1753">
        <f>IF(OR(AB1753="OK",AB1753="Aucune pièce déclarée",AB1753="Cadence dépassée : vérifiez la cadence"),1,0)</f>
        <v>0.0</v>
      </c>
      <c r="AD1753">
        <f>IF(AND(AC1753=1,A1753&gt;=p_from,A1753&lt;=p_to),1,0)</f>
        <v>0.0</v>
      </c>
      <c r="AE1753">
        <f>IF(AD1753=1,IF(COUNTIFS($A$6:A1753,A1753,$AD$6:AD1753,1)=1,1,0),0)</f>
        <v>0.0</v>
      </c>
      <c r="AF1753" t="str">
        <f>IF(AE1753=1,COUNTIFS(sj_first,1,sj_date,"&lt;"&amp;A1753)+1,"")</f>
        <v/>
      </c>
      <c r="AG1753" t="str">
        <f>IF(AND(AD1753=1,N(W1753)&lt;p_alert),ROUND(W1753,4),"")</f>
        <v/>
      </c>
      <c r="AH1753" t="str">
        <f>IF(AG1753="","",COUNTIF(sj_akey,"&lt;"&amp;AG1753)+COUNTIF($AG$6:AG1753,AG1753))</f>
        <v/>
      </c>
    </row>
    <row r="1754">
      <c r="A1754" s="51" t="n"/>
      <c r="B1754" s="52" t="n"/>
      <c r="C1754" s="52" t="n"/>
      <c r="D1754" s="53" t="n"/>
      <c r="E1754" s="53" t="n"/>
      <c r="F1754" s="54" t="n"/>
      <c r="G1754" s="54" t="n"/>
      <c r="H1754" s="54" t="n"/>
      <c r="I1754" s="54" t="n"/>
      <c r="J1754" s="53" t="n"/>
      <c r="K1754" s="55" t="str">
        <f>IF(COUNTA(A1754:I1754)=0,"",IF(F1754="",IFERROR(INDEX(eq_dur,MATCH(B1754,eq_code,0)),""),F1754))</f>
        <v/>
      </c>
      <c r="L1754" s="55" t="str">
        <f>IF(ISNUMBER(K1754),N(IFERROR(INDEX(eq_pause,MATCH(B1754,eq_code,0)),0))+SUMIFS(st_min,st_date,A1754,st_eq,B1754,st_po,C1754,st_type,"Planifié"),"")</f>
        <v/>
      </c>
      <c r="M1754" s="55" t="str">
        <f>IF(ISNUMBER(K1754),K1754-L1754,"")</f>
        <v/>
      </c>
      <c r="N1754" s="55" t="str">
        <f>IF(ISNUMBER(K1754),SUMIFS(st_min,st_date,A1754,st_eq,B1754,st_po,C1754,st_type,"Non planifié"),"")</f>
        <v/>
      </c>
      <c r="O1754" s="55" t="str">
        <f>IF(ISNUMBER(K1754),M1754-N1754,"")</f>
        <v/>
      </c>
      <c r="P1754" s="55" t="str">
        <f>IF(COUNTA(A1754:I1754)=0,"",N(G1754)+N(H1754)+N(I1754))</f>
        <v/>
      </c>
      <c r="Q1754" s="56" t="str">
        <f>IF(COUNTA(A1754:I1754)=0,"",IF(N(IFERROR(INDEX(art_rate,MATCH(E1754,art_ref,0)),0))&gt;0,N(IFERROR(INDEX(art_rate,MATCH(E1754,art_ref,0)),0)),N(IFERROR(INDEX(po_rate,MATCH(C1754,po_code,0)),0))))</f>
        <v/>
      </c>
      <c r="R1754" s="55" t="str">
        <f>IF(AC1754=1,P1754*60/Q1754,"")</f>
        <v/>
      </c>
      <c r="S1754" s="55" t="str">
        <f>IF(AC1754=1,N(G1754)*60/Q1754,"")</f>
        <v/>
      </c>
      <c r="T1754" s="57" t="str">
        <f>IF(AC1754=1,O1754/M1754,"")</f>
        <v/>
      </c>
      <c r="U1754" s="57" t="str">
        <f>IF(AC1754=1,IF(O1754&gt;0,R1754/O1754,""),"")</f>
        <v/>
      </c>
      <c r="V1754" s="57" t="str">
        <f>IF(AC1754=1,IF(P1754&gt;0,N(G1754)/P1754,""),"")</f>
        <v/>
      </c>
      <c r="W1754" s="57" t="str">
        <f>IF(AC1754=1,S1754/M1754,"")</f>
        <v/>
      </c>
      <c r="X1754" s="57" t="str">
        <f>IF(AC1754=1,S1754/K1754,"")</f>
        <v/>
      </c>
      <c r="Y1754" s="58" t="str">
        <f>IF(W1754="","",IF(W1754&gt;=p_target,"Bon",IF(W1754&gt;=p_alert,"À surveiller","Faible")))</f>
        <v/>
      </c>
      <c r="Z1754" s="58" t="str">
        <f>IF(W1754="","",IF(MIN(IF(T1754="",1,T1754),IF(U1754="",1,U1754),IF(V1754="",1,V1754))&gt;=1,"Aucune",IF(IF(T1754="",1,T1754)&lt;=MIN(IF(U1754="",1,U1754),IF(V1754="",1,V1754)),"Disponibilité",IF(IF(U1754="",1,U1754)&lt;=IF(V1754="",1,V1754),"Performance","Qualité"))))</f>
        <v/>
      </c>
      <c r="AA1754" s="59" t="str">
        <f>IF(AC1754=1,N(H1754)*N(IFERROR(INDEX(art_cost,MATCH(E1754,art_ref,0)),0)),"")</f>
        <v/>
      </c>
      <c r="AB1754" s="58" t="str">
        <f>IF(COUNTA(A1754:I1754)=0,"",IF(N(A1754)&lt;=0,"Date manquante ou invalide",IF(B1754="","Équipe manquante",IF(ISNA(MATCH(B1754,eq_code,0)),"Équipe inconnue",IF(INDEX(eq_check,MATCH(B1754,eq_code,0))&lt;&gt;"OK","Équipe à corriger dans Paramètres",IF(C1754="","Poste manquant",IF(ISNA(MATCH(C1754,po_code,0)),"Poste inconnu",IF(AND(E1754&lt;&gt;"",ISNA(MATCH(E1754,art_ref,0))),"Article inconnu",IF(IF(E1754="",FALSE,INDEX(art_check,MATCH(E1754,art_ref,0))&lt;&gt;"OK"),"Article à corriger (feuille Articles)",IF(COUNTIFS(sj_date,A1754,sj_eq,B1754,sj_po,C1754)&gt;1,"Ligne en double (même jour, équipe et poste)",IF(OR(NOT(ISNUMBER(K1754)),N(K1754)&lt;=0,N(K1754)&gt;1440),"Temps d'ouverture invalide",IF(OR(AND(G1754&lt;&gt;"",NOT(ISNUMBER(G1754))),N(G1754)&lt;0,N(G1754)&lt;&gt;INT(N(G1754)),AND(H1754&lt;&gt;"",NOT(ISNUMBER(H1754))),N(H1754)&lt;0,N(H1754)&lt;&gt;INT(N(H1754)),AND(I1754&lt;&gt;"",NOT(ISNUMBER(I1754))),N(I1754)&lt;0,N(I1754)&lt;&gt;INT(N(I1754))),"Quantité invalide",IF(Q1754&lt;=0,"Cadence manquante (poste ou article)",IF(M1754&lt;=0,"Arrêts planifiés supérieurs au temps d'ouverture",IF(O1754&lt;0,"Arrêts supérieurs au temps requis",IF(AND(P1754&gt;0,O1754=0),"Pièces déclarées sans temps de marche",IF(AND(P1754=0,O1754&gt;0),"Aucune pièce déclarée",IF(P1754*60/Q1754&gt;O1754+0.001,"Cadence dépassée : vérifiez la cadence","OK"))))))))))))))))))</f>
        <v/>
      </c>
      <c r="AC1754">
        <f>IF(OR(AB1754="OK",AB1754="Aucune pièce déclarée",AB1754="Cadence dépassée : vérifiez la cadence"),1,0)</f>
        <v>0.0</v>
      </c>
      <c r="AD1754">
        <f>IF(AND(AC1754=1,A1754&gt;=p_from,A1754&lt;=p_to),1,0)</f>
        <v>0.0</v>
      </c>
      <c r="AE1754">
        <f>IF(AD1754=1,IF(COUNTIFS($A$6:A1754,A1754,$AD$6:AD1754,1)=1,1,0),0)</f>
        <v>0.0</v>
      </c>
      <c r="AF1754" t="str">
        <f>IF(AE1754=1,COUNTIFS(sj_first,1,sj_date,"&lt;"&amp;A1754)+1,"")</f>
        <v/>
      </c>
      <c r="AG1754" t="str">
        <f>IF(AND(AD1754=1,N(W1754)&lt;p_alert),ROUND(W1754,4),"")</f>
        <v/>
      </c>
      <c r="AH1754" t="str">
        <f>IF(AG1754="","",COUNTIF(sj_akey,"&lt;"&amp;AG1754)+COUNTIF($AG$6:AG1754,AG1754))</f>
        <v/>
      </c>
    </row>
    <row r="1755">
      <c r="A1755" s="51" t="n"/>
      <c r="B1755" s="52" t="n"/>
      <c r="C1755" s="52" t="n"/>
      <c r="D1755" s="53" t="n"/>
      <c r="E1755" s="53" t="n"/>
      <c r="F1755" s="54" t="n"/>
      <c r="G1755" s="54" t="n"/>
      <c r="H1755" s="54" t="n"/>
      <c r="I1755" s="54" t="n"/>
      <c r="J1755" s="53" t="n"/>
      <c r="K1755" s="55" t="str">
        <f>IF(COUNTA(A1755:I1755)=0,"",IF(F1755="",IFERROR(INDEX(eq_dur,MATCH(B1755,eq_code,0)),""),F1755))</f>
        <v/>
      </c>
      <c r="L1755" s="55" t="str">
        <f>IF(ISNUMBER(K1755),N(IFERROR(INDEX(eq_pause,MATCH(B1755,eq_code,0)),0))+SUMIFS(st_min,st_date,A1755,st_eq,B1755,st_po,C1755,st_type,"Planifié"),"")</f>
        <v/>
      </c>
      <c r="M1755" s="55" t="str">
        <f>IF(ISNUMBER(K1755),K1755-L1755,"")</f>
        <v/>
      </c>
      <c r="N1755" s="55" t="str">
        <f>IF(ISNUMBER(K1755),SUMIFS(st_min,st_date,A1755,st_eq,B1755,st_po,C1755,st_type,"Non planifié"),"")</f>
        <v/>
      </c>
      <c r="O1755" s="55" t="str">
        <f>IF(ISNUMBER(K1755),M1755-N1755,"")</f>
        <v/>
      </c>
      <c r="P1755" s="55" t="str">
        <f>IF(COUNTA(A1755:I1755)=0,"",N(G1755)+N(H1755)+N(I1755))</f>
        <v/>
      </c>
      <c r="Q1755" s="56" t="str">
        <f>IF(COUNTA(A1755:I1755)=0,"",IF(N(IFERROR(INDEX(art_rate,MATCH(E1755,art_ref,0)),0))&gt;0,N(IFERROR(INDEX(art_rate,MATCH(E1755,art_ref,0)),0)),N(IFERROR(INDEX(po_rate,MATCH(C1755,po_code,0)),0))))</f>
        <v/>
      </c>
      <c r="R1755" s="55" t="str">
        <f>IF(AC1755=1,P1755*60/Q1755,"")</f>
        <v/>
      </c>
      <c r="S1755" s="55" t="str">
        <f>IF(AC1755=1,N(G1755)*60/Q1755,"")</f>
        <v/>
      </c>
      <c r="T1755" s="57" t="str">
        <f>IF(AC1755=1,O1755/M1755,"")</f>
        <v/>
      </c>
      <c r="U1755" s="57" t="str">
        <f>IF(AC1755=1,IF(O1755&gt;0,R1755/O1755,""),"")</f>
        <v/>
      </c>
      <c r="V1755" s="57" t="str">
        <f>IF(AC1755=1,IF(P1755&gt;0,N(G1755)/P1755,""),"")</f>
        <v/>
      </c>
      <c r="W1755" s="57" t="str">
        <f>IF(AC1755=1,S1755/M1755,"")</f>
        <v/>
      </c>
      <c r="X1755" s="57" t="str">
        <f>IF(AC1755=1,S1755/K1755,"")</f>
        <v/>
      </c>
      <c r="Y1755" s="58" t="str">
        <f>IF(W1755="","",IF(W1755&gt;=p_target,"Bon",IF(W1755&gt;=p_alert,"À surveiller","Faible")))</f>
        <v/>
      </c>
      <c r="Z1755" s="58" t="str">
        <f>IF(W1755="","",IF(MIN(IF(T1755="",1,T1755),IF(U1755="",1,U1755),IF(V1755="",1,V1755))&gt;=1,"Aucune",IF(IF(T1755="",1,T1755)&lt;=MIN(IF(U1755="",1,U1755),IF(V1755="",1,V1755)),"Disponibilité",IF(IF(U1755="",1,U1755)&lt;=IF(V1755="",1,V1755),"Performance","Qualité"))))</f>
        <v/>
      </c>
      <c r="AA1755" s="59" t="str">
        <f>IF(AC1755=1,N(H1755)*N(IFERROR(INDEX(art_cost,MATCH(E1755,art_ref,0)),0)),"")</f>
        <v/>
      </c>
      <c r="AB1755" s="58" t="str">
        <f>IF(COUNTA(A1755:I1755)=0,"",IF(N(A1755)&lt;=0,"Date manquante ou invalide",IF(B1755="","Équipe manquante",IF(ISNA(MATCH(B1755,eq_code,0)),"Équipe inconnue",IF(INDEX(eq_check,MATCH(B1755,eq_code,0))&lt;&gt;"OK","Équipe à corriger dans Paramètres",IF(C1755="","Poste manquant",IF(ISNA(MATCH(C1755,po_code,0)),"Poste inconnu",IF(AND(E1755&lt;&gt;"",ISNA(MATCH(E1755,art_ref,0))),"Article inconnu",IF(IF(E1755="",FALSE,INDEX(art_check,MATCH(E1755,art_ref,0))&lt;&gt;"OK"),"Article à corriger (feuille Articles)",IF(COUNTIFS(sj_date,A1755,sj_eq,B1755,sj_po,C1755)&gt;1,"Ligne en double (même jour, équipe et poste)",IF(OR(NOT(ISNUMBER(K1755)),N(K1755)&lt;=0,N(K1755)&gt;1440),"Temps d'ouverture invalide",IF(OR(AND(G1755&lt;&gt;"",NOT(ISNUMBER(G1755))),N(G1755)&lt;0,N(G1755)&lt;&gt;INT(N(G1755)),AND(H1755&lt;&gt;"",NOT(ISNUMBER(H1755))),N(H1755)&lt;0,N(H1755)&lt;&gt;INT(N(H1755)),AND(I1755&lt;&gt;"",NOT(ISNUMBER(I1755))),N(I1755)&lt;0,N(I1755)&lt;&gt;INT(N(I1755))),"Quantité invalide",IF(Q1755&lt;=0,"Cadence manquante (poste ou article)",IF(M1755&lt;=0,"Arrêts planifiés supérieurs au temps d'ouverture",IF(O1755&lt;0,"Arrêts supérieurs au temps requis",IF(AND(P1755&gt;0,O1755=0),"Pièces déclarées sans temps de marche",IF(AND(P1755=0,O1755&gt;0),"Aucune pièce déclarée",IF(P1755*60/Q1755&gt;O1755+0.001,"Cadence dépassée : vérifiez la cadence","OK"))))))))))))))))))</f>
        <v/>
      </c>
      <c r="AC1755">
        <f>IF(OR(AB1755="OK",AB1755="Aucune pièce déclarée",AB1755="Cadence dépassée : vérifiez la cadence"),1,0)</f>
        <v>0.0</v>
      </c>
      <c r="AD1755">
        <f>IF(AND(AC1755=1,A1755&gt;=p_from,A1755&lt;=p_to),1,0)</f>
        <v>0.0</v>
      </c>
      <c r="AE1755">
        <f>IF(AD1755=1,IF(COUNTIFS($A$6:A1755,A1755,$AD$6:AD1755,1)=1,1,0),0)</f>
        <v>0.0</v>
      </c>
      <c r="AF1755" t="str">
        <f>IF(AE1755=1,COUNTIFS(sj_first,1,sj_date,"&lt;"&amp;A1755)+1,"")</f>
        <v/>
      </c>
      <c r="AG1755" t="str">
        <f>IF(AND(AD1755=1,N(W1755)&lt;p_alert),ROUND(W1755,4),"")</f>
        <v/>
      </c>
      <c r="AH1755" t="str">
        <f>IF(AG1755="","",COUNTIF(sj_akey,"&lt;"&amp;AG1755)+COUNTIF($AG$6:AG1755,AG1755))</f>
        <v/>
      </c>
    </row>
    <row r="1756">
      <c r="A1756" s="51" t="n"/>
      <c r="B1756" s="52" t="n"/>
      <c r="C1756" s="52" t="n"/>
      <c r="D1756" s="53" t="n"/>
      <c r="E1756" s="53" t="n"/>
      <c r="F1756" s="54" t="n"/>
      <c r="G1756" s="54" t="n"/>
      <c r="H1756" s="54" t="n"/>
      <c r="I1756" s="54" t="n"/>
      <c r="J1756" s="53" t="n"/>
      <c r="K1756" s="55" t="str">
        <f>IF(COUNTA(A1756:I1756)=0,"",IF(F1756="",IFERROR(INDEX(eq_dur,MATCH(B1756,eq_code,0)),""),F1756))</f>
        <v/>
      </c>
      <c r="L1756" s="55" t="str">
        <f>IF(ISNUMBER(K1756),N(IFERROR(INDEX(eq_pause,MATCH(B1756,eq_code,0)),0))+SUMIFS(st_min,st_date,A1756,st_eq,B1756,st_po,C1756,st_type,"Planifié"),"")</f>
        <v/>
      </c>
      <c r="M1756" s="55" t="str">
        <f>IF(ISNUMBER(K1756),K1756-L1756,"")</f>
        <v/>
      </c>
      <c r="N1756" s="55" t="str">
        <f>IF(ISNUMBER(K1756),SUMIFS(st_min,st_date,A1756,st_eq,B1756,st_po,C1756,st_type,"Non planifié"),"")</f>
        <v/>
      </c>
      <c r="O1756" s="55" t="str">
        <f>IF(ISNUMBER(K1756),M1756-N1756,"")</f>
        <v/>
      </c>
      <c r="P1756" s="55" t="str">
        <f>IF(COUNTA(A1756:I1756)=0,"",N(G1756)+N(H1756)+N(I1756))</f>
        <v/>
      </c>
      <c r="Q1756" s="56" t="str">
        <f>IF(COUNTA(A1756:I1756)=0,"",IF(N(IFERROR(INDEX(art_rate,MATCH(E1756,art_ref,0)),0))&gt;0,N(IFERROR(INDEX(art_rate,MATCH(E1756,art_ref,0)),0)),N(IFERROR(INDEX(po_rate,MATCH(C1756,po_code,0)),0))))</f>
        <v/>
      </c>
      <c r="R1756" s="55" t="str">
        <f>IF(AC1756=1,P1756*60/Q1756,"")</f>
        <v/>
      </c>
      <c r="S1756" s="55" t="str">
        <f>IF(AC1756=1,N(G1756)*60/Q1756,"")</f>
        <v/>
      </c>
      <c r="T1756" s="57" t="str">
        <f>IF(AC1756=1,O1756/M1756,"")</f>
        <v/>
      </c>
      <c r="U1756" s="57" t="str">
        <f>IF(AC1756=1,IF(O1756&gt;0,R1756/O1756,""),"")</f>
        <v/>
      </c>
      <c r="V1756" s="57" t="str">
        <f>IF(AC1756=1,IF(P1756&gt;0,N(G1756)/P1756,""),"")</f>
        <v/>
      </c>
      <c r="W1756" s="57" t="str">
        <f>IF(AC1756=1,S1756/M1756,"")</f>
        <v/>
      </c>
      <c r="X1756" s="57" t="str">
        <f>IF(AC1756=1,S1756/K1756,"")</f>
        <v/>
      </c>
      <c r="Y1756" s="58" t="str">
        <f>IF(W1756="","",IF(W1756&gt;=p_target,"Bon",IF(W1756&gt;=p_alert,"À surveiller","Faible")))</f>
        <v/>
      </c>
      <c r="Z1756" s="58" t="str">
        <f>IF(W1756="","",IF(MIN(IF(T1756="",1,T1756),IF(U1756="",1,U1756),IF(V1756="",1,V1756))&gt;=1,"Aucune",IF(IF(T1756="",1,T1756)&lt;=MIN(IF(U1756="",1,U1756),IF(V1756="",1,V1756)),"Disponibilité",IF(IF(U1756="",1,U1756)&lt;=IF(V1756="",1,V1756),"Performance","Qualité"))))</f>
        <v/>
      </c>
      <c r="AA1756" s="59" t="str">
        <f>IF(AC1756=1,N(H1756)*N(IFERROR(INDEX(art_cost,MATCH(E1756,art_ref,0)),0)),"")</f>
        <v/>
      </c>
      <c r="AB1756" s="58" t="str">
        <f>IF(COUNTA(A1756:I1756)=0,"",IF(N(A1756)&lt;=0,"Date manquante ou invalide",IF(B1756="","Équipe manquante",IF(ISNA(MATCH(B1756,eq_code,0)),"Équipe inconnue",IF(INDEX(eq_check,MATCH(B1756,eq_code,0))&lt;&gt;"OK","Équipe à corriger dans Paramètres",IF(C1756="","Poste manquant",IF(ISNA(MATCH(C1756,po_code,0)),"Poste inconnu",IF(AND(E1756&lt;&gt;"",ISNA(MATCH(E1756,art_ref,0))),"Article inconnu",IF(IF(E1756="",FALSE,INDEX(art_check,MATCH(E1756,art_ref,0))&lt;&gt;"OK"),"Article à corriger (feuille Articles)",IF(COUNTIFS(sj_date,A1756,sj_eq,B1756,sj_po,C1756)&gt;1,"Ligne en double (même jour, équipe et poste)",IF(OR(NOT(ISNUMBER(K1756)),N(K1756)&lt;=0,N(K1756)&gt;1440),"Temps d'ouverture invalide",IF(OR(AND(G1756&lt;&gt;"",NOT(ISNUMBER(G1756))),N(G1756)&lt;0,N(G1756)&lt;&gt;INT(N(G1756)),AND(H1756&lt;&gt;"",NOT(ISNUMBER(H1756))),N(H1756)&lt;0,N(H1756)&lt;&gt;INT(N(H1756)),AND(I1756&lt;&gt;"",NOT(ISNUMBER(I1756))),N(I1756)&lt;0,N(I1756)&lt;&gt;INT(N(I1756))),"Quantité invalide",IF(Q1756&lt;=0,"Cadence manquante (poste ou article)",IF(M1756&lt;=0,"Arrêts planifiés supérieurs au temps d'ouverture",IF(O1756&lt;0,"Arrêts supérieurs au temps requis",IF(AND(P1756&gt;0,O1756=0),"Pièces déclarées sans temps de marche",IF(AND(P1756=0,O1756&gt;0),"Aucune pièce déclarée",IF(P1756*60/Q1756&gt;O1756+0.001,"Cadence dépassée : vérifiez la cadence","OK"))))))))))))))))))</f>
        <v/>
      </c>
      <c r="AC1756">
        <f>IF(OR(AB1756="OK",AB1756="Aucune pièce déclarée",AB1756="Cadence dépassée : vérifiez la cadence"),1,0)</f>
        <v>0.0</v>
      </c>
      <c r="AD1756">
        <f>IF(AND(AC1756=1,A1756&gt;=p_from,A1756&lt;=p_to),1,0)</f>
        <v>0.0</v>
      </c>
      <c r="AE1756">
        <f>IF(AD1756=1,IF(COUNTIFS($A$6:A1756,A1756,$AD$6:AD1756,1)=1,1,0),0)</f>
        <v>0.0</v>
      </c>
      <c r="AF1756" t="str">
        <f>IF(AE1756=1,COUNTIFS(sj_first,1,sj_date,"&lt;"&amp;A1756)+1,"")</f>
        <v/>
      </c>
      <c r="AG1756" t="str">
        <f>IF(AND(AD1756=1,N(W1756)&lt;p_alert),ROUND(W1756,4),"")</f>
        <v/>
      </c>
      <c r="AH1756" t="str">
        <f>IF(AG1756="","",COUNTIF(sj_akey,"&lt;"&amp;AG1756)+COUNTIF($AG$6:AG1756,AG1756))</f>
        <v/>
      </c>
    </row>
    <row r="1757">
      <c r="A1757" s="51" t="n"/>
      <c r="B1757" s="52" t="n"/>
      <c r="C1757" s="52" t="n"/>
      <c r="D1757" s="53" t="n"/>
      <c r="E1757" s="53" t="n"/>
      <c r="F1757" s="54" t="n"/>
      <c r="G1757" s="54" t="n"/>
      <c r="H1757" s="54" t="n"/>
      <c r="I1757" s="54" t="n"/>
      <c r="J1757" s="53" t="n"/>
      <c r="K1757" s="55" t="str">
        <f>IF(COUNTA(A1757:I1757)=0,"",IF(F1757="",IFERROR(INDEX(eq_dur,MATCH(B1757,eq_code,0)),""),F1757))</f>
        <v/>
      </c>
      <c r="L1757" s="55" t="str">
        <f>IF(ISNUMBER(K1757),N(IFERROR(INDEX(eq_pause,MATCH(B1757,eq_code,0)),0))+SUMIFS(st_min,st_date,A1757,st_eq,B1757,st_po,C1757,st_type,"Planifié"),"")</f>
        <v/>
      </c>
      <c r="M1757" s="55" t="str">
        <f>IF(ISNUMBER(K1757),K1757-L1757,"")</f>
        <v/>
      </c>
      <c r="N1757" s="55" t="str">
        <f>IF(ISNUMBER(K1757),SUMIFS(st_min,st_date,A1757,st_eq,B1757,st_po,C1757,st_type,"Non planifié"),"")</f>
        <v/>
      </c>
      <c r="O1757" s="55" t="str">
        <f>IF(ISNUMBER(K1757),M1757-N1757,"")</f>
        <v/>
      </c>
      <c r="P1757" s="55" t="str">
        <f>IF(COUNTA(A1757:I1757)=0,"",N(G1757)+N(H1757)+N(I1757))</f>
        <v/>
      </c>
      <c r="Q1757" s="56" t="str">
        <f>IF(COUNTA(A1757:I1757)=0,"",IF(N(IFERROR(INDEX(art_rate,MATCH(E1757,art_ref,0)),0))&gt;0,N(IFERROR(INDEX(art_rate,MATCH(E1757,art_ref,0)),0)),N(IFERROR(INDEX(po_rate,MATCH(C1757,po_code,0)),0))))</f>
        <v/>
      </c>
      <c r="R1757" s="55" t="str">
        <f>IF(AC1757=1,P1757*60/Q1757,"")</f>
        <v/>
      </c>
      <c r="S1757" s="55" t="str">
        <f>IF(AC1757=1,N(G1757)*60/Q1757,"")</f>
        <v/>
      </c>
      <c r="T1757" s="57" t="str">
        <f>IF(AC1757=1,O1757/M1757,"")</f>
        <v/>
      </c>
      <c r="U1757" s="57" t="str">
        <f>IF(AC1757=1,IF(O1757&gt;0,R1757/O1757,""),"")</f>
        <v/>
      </c>
      <c r="V1757" s="57" t="str">
        <f>IF(AC1757=1,IF(P1757&gt;0,N(G1757)/P1757,""),"")</f>
        <v/>
      </c>
      <c r="W1757" s="57" t="str">
        <f>IF(AC1757=1,S1757/M1757,"")</f>
        <v/>
      </c>
      <c r="X1757" s="57" t="str">
        <f>IF(AC1757=1,S1757/K1757,"")</f>
        <v/>
      </c>
      <c r="Y1757" s="58" t="str">
        <f>IF(W1757="","",IF(W1757&gt;=p_target,"Bon",IF(W1757&gt;=p_alert,"À surveiller","Faible")))</f>
        <v/>
      </c>
      <c r="Z1757" s="58" t="str">
        <f>IF(W1757="","",IF(MIN(IF(T1757="",1,T1757),IF(U1757="",1,U1757),IF(V1757="",1,V1757))&gt;=1,"Aucune",IF(IF(T1757="",1,T1757)&lt;=MIN(IF(U1757="",1,U1757),IF(V1757="",1,V1757)),"Disponibilité",IF(IF(U1757="",1,U1757)&lt;=IF(V1757="",1,V1757),"Performance","Qualité"))))</f>
        <v/>
      </c>
      <c r="AA1757" s="59" t="str">
        <f>IF(AC1757=1,N(H1757)*N(IFERROR(INDEX(art_cost,MATCH(E1757,art_ref,0)),0)),"")</f>
        <v/>
      </c>
      <c r="AB1757" s="58" t="str">
        <f>IF(COUNTA(A1757:I1757)=0,"",IF(N(A1757)&lt;=0,"Date manquante ou invalide",IF(B1757="","Équipe manquante",IF(ISNA(MATCH(B1757,eq_code,0)),"Équipe inconnue",IF(INDEX(eq_check,MATCH(B1757,eq_code,0))&lt;&gt;"OK","Équipe à corriger dans Paramètres",IF(C1757="","Poste manquant",IF(ISNA(MATCH(C1757,po_code,0)),"Poste inconnu",IF(AND(E1757&lt;&gt;"",ISNA(MATCH(E1757,art_ref,0))),"Article inconnu",IF(IF(E1757="",FALSE,INDEX(art_check,MATCH(E1757,art_ref,0))&lt;&gt;"OK"),"Article à corriger (feuille Articles)",IF(COUNTIFS(sj_date,A1757,sj_eq,B1757,sj_po,C1757)&gt;1,"Ligne en double (même jour, équipe et poste)",IF(OR(NOT(ISNUMBER(K1757)),N(K1757)&lt;=0,N(K1757)&gt;1440),"Temps d'ouverture invalide",IF(OR(AND(G1757&lt;&gt;"",NOT(ISNUMBER(G1757))),N(G1757)&lt;0,N(G1757)&lt;&gt;INT(N(G1757)),AND(H1757&lt;&gt;"",NOT(ISNUMBER(H1757))),N(H1757)&lt;0,N(H1757)&lt;&gt;INT(N(H1757)),AND(I1757&lt;&gt;"",NOT(ISNUMBER(I1757))),N(I1757)&lt;0,N(I1757)&lt;&gt;INT(N(I1757))),"Quantité invalide",IF(Q1757&lt;=0,"Cadence manquante (poste ou article)",IF(M1757&lt;=0,"Arrêts planifiés supérieurs au temps d'ouverture",IF(O1757&lt;0,"Arrêts supérieurs au temps requis",IF(AND(P1757&gt;0,O1757=0),"Pièces déclarées sans temps de marche",IF(AND(P1757=0,O1757&gt;0),"Aucune pièce déclarée",IF(P1757*60/Q1757&gt;O1757+0.001,"Cadence dépassée : vérifiez la cadence","OK"))))))))))))))))))</f>
        <v/>
      </c>
      <c r="AC1757">
        <f>IF(OR(AB1757="OK",AB1757="Aucune pièce déclarée",AB1757="Cadence dépassée : vérifiez la cadence"),1,0)</f>
        <v>0.0</v>
      </c>
      <c r="AD1757">
        <f>IF(AND(AC1757=1,A1757&gt;=p_from,A1757&lt;=p_to),1,0)</f>
        <v>0.0</v>
      </c>
      <c r="AE1757">
        <f>IF(AD1757=1,IF(COUNTIFS($A$6:A1757,A1757,$AD$6:AD1757,1)=1,1,0),0)</f>
        <v>0.0</v>
      </c>
      <c r="AF1757" t="str">
        <f>IF(AE1757=1,COUNTIFS(sj_first,1,sj_date,"&lt;"&amp;A1757)+1,"")</f>
        <v/>
      </c>
      <c r="AG1757" t="str">
        <f>IF(AND(AD1757=1,N(W1757)&lt;p_alert),ROUND(W1757,4),"")</f>
        <v/>
      </c>
      <c r="AH1757" t="str">
        <f>IF(AG1757="","",COUNTIF(sj_akey,"&lt;"&amp;AG1757)+COUNTIF($AG$6:AG1757,AG1757))</f>
        <v/>
      </c>
    </row>
    <row r="1758">
      <c r="A1758" s="51" t="n"/>
      <c r="B1758" s="52" t="n"/>
      <c r="C1758" s="52" t="n"/>
      <c r="D1758" s="53" t="n"/>
      <c r="E1758" s="53" t="n"/>
      <c r="F1758" s="54" t="n"/>
      <c r="G1758" s="54" t="n"/>
      <c r="H1758" s="54" t="n"/>
      <c r="I1758" s="54" t="n"/>
      <c r="J1758" s="53" t="n"/>
      <c r="K1758" s="55" t="str">
        <f>IF(COUNTA(A1758:I1758)=0,"",IF(F1758="",IFERROR(INDEX(eq_dur,MATCH(B1758,eq_code,0)),""),F1758))</f>
        <v/>
      </c>
      <c r="L1758" s="55" t="str">
        <f>IF(ISNUMBER(K1758),N(IFERROR(INDEX(eq_pause,MATCH(B1758,eq_code,0)),0))+SUMIFS(st_min,st_date,A1758,st_eq,B1758,st_po,C1758,st_type,"Planifié"),"")</f>
        <v/>
      </c>
      <c r="M1758" s="55" t="str">
        <f>IF(ISNUMBER(K1758),K1758-L1758,"")</f>
        <v/>
      </c>
      <c r="N1758" s="55" t="str">
        <f>IF(ISNUMBER(K1758),SUMIFS(st_min,st_date,A1758,st_eq,B1758,st_po,C1758,st_type,"Non planifié"),"")</f>
        <v/>
      </c>
      <c r="O1758" s="55" t="str">
        <f>IF(ISNUMBER(K1758),M1758-N1758,"")</f>
        <v/>
      </c>
      <c r="P1758" s="55" t="str">
        <f>IF(COUNTA(A1758:I1758)=0,"",N(G1758)+N(H1758)+N(I1758))</f>
        <v/>
      </c>
      <c r="Q1758" s="56" t="str">
        <f>IF(COUNTA(A1758:I1758)=0,"",IF(N(IFERROR(INDEX(art_rate,MATCH(E1758,art_ref,0)),0))&gt;0,N(IFERROR(INDEX(art_rate,MATCH(E1758,art_ref,0)),0)),N(IFERROR(INDEX(po_rate,MATCH(C1758,po_code,0)),0))))</f>
        <v/>
      </c>
      <c r="R1758" s="55" t="str">
        <f>IF(AC1758=1,P1758*60/Q1758,"")</f>
        <v/>
      </c>
      <c r="S1758" s="55" t="str">
        <f>IF(AC1758=1,N(G1758)*60/Q1758,"")</f>
        <v/>
      </c>
      <c r="T1758" s="57" t="str">
        <f>IF(AC1758=1,O1758/M1758,"")</f>
        <v/>
      </c>
      <c r="U1758" s="57" t="str">
        <f>IF(AC1758=1,IF(O1758&gt;0,R1758/O1758,""),"")</f>
        <v/>
      </c>
      <c r="V1758" s="57" t="str">
        <f>IF(AC1758=1,IF(P1758&gt;0,N(G1758)/P1758,""),"")</f>
        <v/>
      </c>
      <c r="W1758" s="57" t="str">
        <f>IF(AC1758=1,S1758/M1758,"")</f>
        <v/>
      </c>
      <c r="X1758" s="57" t="str">
        <f>IF(AC1758=1,S1758/K1758,"")</f>
        <v/>
      </c>
      <c r="Y1758" s="58" t="str">
        <f>IF(W1758="","",IF(W1758&gt;=p_target,"Bon",IF(W1758&gt;=p_alert,"À surveiller","Faible")))</f>
        <v/>
      </c>
      <c r="Z1758" s="58" t="str">
        <f>IF(W1758="","",IF(MIN(IF(T1758="",1,T1758),IF(U1758="",1,U1758),IF(V1758="",1,V1758))&gt;=1,"Aucune",IF(IF(T1758="",1,T1758)&lt;=MIN(IF(U1758="",1,U1758),IF(V1758="",1,V1758)),"Disponibilité",IF(IF(U1758="",1,U1758)&lt;=IF(V1758="",1,V1758),"Performance","Qualité"))))</f>
        <v/>
      </c>
      <c r="AA1758" s="59" t="str">
        <f>IF(AC1758=1,N(H1758)*N(IFERROR(INDEX(art_cost,MATCH(E1758,art_ref,0)),0)),"")</f>
        <v/>
      </c>
      <c r="AB1758" s="58" t="str">
        <f>IF(COUNTA(A1758:I1758)=0,"",IF(N(A1758)&lt;=0,"Date manquante ou invalide",IF(B1758="","Équipe manquante",IF(ISNA(MATCH(B1758,eq_code,0)),"Équipe inconnue",IF(INDEX(eq_check,MATCH(B1758,eq_code,0))&lt;&gt;"OK","Équipe à corriger dans Paramètres",IF(C1758="","Poste manquant",IF(ISNA(MATCH(C1758,po_code,0)),"Poste inconnu",IF(AND(E1758&lt;&gt;"",ISNA(MATCH(E1758,art_ref,0))),"Article inconnu",IF(IF(E1758="",FALSE,INDEX(art_check,MATCH(E1758,art_ref,0))&lt;&gt;"OK"),"Article à corriger (feuille Articles)",IF(COUNTIFS(sj_date,A1758,sj_eq,B1758,sj_po,C1758)&gt;1,"Ligne en double (même jour, équipe et poste)",IF(OR(NOT(ISNUMBER(K1758)),N(K1758)&lt;=0,N(K1758)&gt;1440),"Temps d'ouverture invalide",IF(OR(AND(G1758&lt;&gt;"",NOT(ISNUMBER(G1758))),N(G1758)&lt;0,N(G1758)&lt;&gt;INT(N(G1758)),AND(H1758&lt;&gt;"",NOT(ISNUMBER(H1758))),N(H1758)&lt;0,N(H1758)&lt;&gt;INT(N(H1758)),AND(I1758&lt;&gt;"",NOT(ISNUMBER(I1758))),N(I1758)&lt;0,N(I1758)&lt;&gt;INT(N(I1758))),"Quantité invalide",IF(Q1758&lt;=0,"Cadence manquante (poste ou article)",IF(M1758&lt;=0,"Arrêts planifiés supérieurs au temps d'ouverture",IF(O1758&lt;0,"Arrêts supérieurs au temps requis",IF(AND(P1758&gt;0,O1758=0),"Pièces déclarées sans temps de marche",IF(AND(P1758=0,O1758&gt;0),"Aucune pièce déclarée",IF(P1758*60/Q1758&gt;O1758+0.001,"Cadence dépassée : vérifiez la cadence","OK"))))))))))))))))))</f>
        <v/>
      </c>
      <c r="AC1758">
        <f>IF(OR(AB1758="OK",AB1758="Aucune pièce déclarée",AB1758="Cadence dépassée : vérifiez la cadence"),1,0)</f>
        <v>0.0</v>
      </c>
      <c r="AD1758">
        <f>IF(AND(AC1758=1,A1758&gt;=p_from,A1758&lt;=p_to),1,0)</f>
        <v>0.0</v>
      </c>
      <c r="AE1758">
        <f>IF(AD1758=1,IF(COUNTIFS($A$6:A1758,A1758,$AD$6:AD1758,1)=1,1,0),0)</f>
        <v>0.0</v>
      </c>
      <c r="AF1758" t="str">
        <f>IF(AE1758=1,COUNTIFS(sj_first,1,sj_date,"&lt;"&amp;A1758)+1,"")</f>
        <v/>
      </c>
      <c r="AG1758" t="str">
        <f>IF(AND(AD1758=1,N(W1758)&lt;p_alert),ROUND(W1758,4),"")</f>
        <v/>
      </c>
      <c r="AH1758" t="str">
        <f>IF(AG1758="","",COUNTIF(sj_akey,"&lt;"&amp;AG1758)+COUNTIF($AG$6:AG1758,AG1758))</f>
        <v/>
      </c>
    </row>
    <row r="1759">
      <c r="A1759" s="51" t="n"/>
      <c r="B1759" s="52" t="n"/>
      <c r="C1759" s="52" t="n"/>
      <c r="D1759" s="53" t="n"/>
      <c r="E1759" s="53" t="n"/>
      <c r="F1759" s="54" t="n"/>
      <c r="G1759" s="54" t="n"/>
      <c r="H1759" s="54" t="n"/>
      <c r="I1759" s="54" t="n"/>
      <c r="J1759" s="53" t="n"/>
      <c r="K1759" s="55" t="str">
        <f>IF(COUNTA(A1759:I1759)=0,"",IF(F1759="",IFERROR(INDEX(eq_dur,MATCH(B1759,eq_code,0)),""),F1759))</f>
        <v/>
      </c>
      <c r="L1759" s="55" t="str">
        <f>IF(ISNUMBER(K1759),N(IFERROR(INDEX(eq_pause,MATCH(B1759,eq_code,0)),0))+SUMIFS(st_min,st_date,A1759,st_eq,B1759,st_po,C1759,st_type,"Planifié"),"")</f>
        <v/>
      </c>
      <c r="M1759" s="55" t="str">
        <f>IF(ISNUMBER(K1759),K1759-L1759,"")</f>
        <v/>
      </c>
      <c r="N1759" s="55" t="str">
        <f>IF(ISNUMBER(K1759),SUMIFS(st_min,st_date,A1759,st_eq,B1759,st_po,C1759,st_type,"Non planifié"),"")</f>
        <v/>
      </c>
      <c r="O1759" s="55" t="str">
        <f>IF(ISNUMBER(K1759),M1759-N1759,"")</f>
        <v/>
      </c>
      <c r="P1759" s="55" t="str">
        <f>IF(COUNTA(A1759:I1759)=0,"",N(G1759)+N(H1759)+N(I1759))</f>
        <v/>
      </c>
      <c r="Q1759" s="56" t="str">
        <f>IF(COUNTA(A1759:I1759)=0,"",IF(N(IFERROR(INDEX(art_rate,MATCH(E1759,art_ref,0)),0))&gt;0,N(IFERROR(INDEX(art_rate,MATCH(E1759,art_ref,0)),0)),N(IFERROR(INDEX(po_rate,MATCH(C1759,po_code,0)),0))))</f>
        <v/>
      </c>
      <c r="R1759" s="55" t="str">
        <f>IF(AC1759=1,P1759*60/Q1759,"")</f>
        <v/>
      </c>
      <c r="S1759" s="55" t="str">
        <f>IF(AC1759=1,N(G1759)*60/Q1759,"")</f>
        <v/>
      </c>
      <c r="T1759" s="57" t="str">
        <f>IF(AC1759=1,O1759/M1759,"")</f>
        <v/>
      </c>
      <c r="U1759" s="57" t="str">
        <f>IF(AC1759=1,IF(O1759&gt;0,R1759/O1759,""),"")</f>
        <v/>
      </c>
      <c r="V1759" s="57" t="str">
        <f>IF(AC1759=1,IF(P1759&gt;0,N(G1759)/P1759,""),"")</f>
        <v/>
      </c>
      <c r="W1759" s="57" t="str">
        <f>IF(AC1759=1,S1759/M1759,"")</f>
        <v/>
      </c>
      <c r="X1759" s="57" t="str">
        <f>IF(AC1759=1,S1759/K1759,"")</f>
        <v/>
      </c>
      <c r="Y1759" s="58" t="str">
        <f>IF(W1759="","",IF(W1759&gt;=p_target,"Bon",IF(W1759&gt;=p_alert,"À surveiller","Faible")))</f>
        <v/>
      </c>
      <c r="Z1759" s="58" t="str">
        <f>IF(W1759="","",IF(MIN(IF(T1759="",1,T1759),IF(U1759="",1,U1759),IF(V1759="",1,V1759))&gt;=1,"Aucune",IF(IF(T1759="",1,T1759)&lt;=MIN(IF(U1759="",1,U1759),IF(V1759="",1,V1759)),"Disponibilité",IF(IF(U1759="",1,U1759)&lt;=IF(V1759="",1,V1759),"Performance","Qualité"))))</f>
        <v/>
      </c>
      <c r="AA1759" s="59" t="str">
        <f>IF(AC1759=1,N(H1759)*N(IFERROR(INDEX(art_cost,MATCH(E1759,art_ref,0)),0)),"")</f>
        <v/>
      </c>
      <c r="AB1759" s="58" t="str">
        <f>IF(COUNTA(A1759:I1759)=0,"",IF(N(A1759)&lt;=0,"Date manquante ou invalide",IF(B1759="","Équipe manquante",IF(ISNA(MATCH(B1759,eq_code,0)),"Équipe inconnue",IF(INDEX(eq_check,MATCH(B1759,eq_code,0))&lt;&gt;"OK","Équipe à corriger dans Paramètres",IF(C1759="","Poste manquant",IF(ISNA(MATCH(C1759,po_code,0)),"Poste inconnu",IF(AND(E1759&lt;&gt;"",ISNA(MATCH(E1759,art_ref,0))),"Article inconnu",IF(IF(E1759="",FALSE,INDEX(art_check,MATCH(E1759,art_ref,0))&lt;&gt;"OK"),"Article à corriger (feuille Articles)",IF(COUNTIFS(sj_date,A1759,sj_eq,B1759,sj_po,C1759)&gt;1,"Ligne en double (même jour, équipe et poste)",IF(OR(NOT(ISNUMBER(K1759)),N(K1759)&lt;=0,N(K1759)&gt;1440),"Temps d'ouverture invalide",IF(OR(AND(G1759&lt;&gt;"",NOT(ISNUMBER(G1759))),N(G1759)&lt;0,N(G1759)&lt;&gt;INT(N(G1759)),AND(H1759&lt;&gt;"",NOT(ISNUMBER(H1759))),N(H1759)&lt;0,N(H1759)&lt;&gt;INT(N(H1759)),AND(I1759&lt;&gt;"",NOT(ISNUMBER(I1759))),N(I1759)&lt;0,N(I1759)&lt;&gt;INT(N(I1759))),"Quantité invalide",IF(Q1759&lt;=0,"Cadence manquante (poste ou article)",IF(M1759&lt;=0,"Arrêts planifiés supérieurs au temps d'ouverture",IF(O1759&lt;0,"Arrêts supérieurs au temps requis",IF(AND(P1759&gt;0,O1759=0),"Pièces déclarées sans temps de marche",IF(AND(P1759=0,O1759&gt;0),"Aucune pièce déclarée",IF(P1759*60/Q1759&gt;O1759+0.001,"Cadence dépassée : vérifiez la cadence","OK"))))))))))))))))))</f>
        <v/>
      </c>
      <c r="AC1759">
        <f>IF(OR(AB1759="OK",AB1759="Aucune pièce déclarée",AB1759="Cadence dépassée : vérifiez la cadence"),1,0)</f>
        <v>0.0</v>
      </c>
      <c r="AD1759">
        <f>IF(AND(AC1759=1,A1759&gt;=p_from,A1759&lt;=p_to),1,0)</f>
        <v>0.0</v>
      </c>
      <c r="AE1759">
        <f>IF(AD1759=1,IF(COUNTIFS($A$6:A1759,A1759,$AD$6:AD1759,1)=1,1,0),0)</f>
        <v>0.0</v>
      </c>
      <c r="AF1759" t="str">
        <f>IF(AE1759=1,COUNTIFS(sj_first,1,sj_date,"&lt;"&amp;A1759)+1,"")</f>
        <v/>
      </c>
      <c r="AG1759" t="str">
        <f>IF(AND(AD1759=1,N(W1759)&lt;p_alert),ROUND(W1759,4),"")</f>
        <v/>
      </c>
      <c r="AH1759" t="str">
        <f>IF(AG1759="","",COUNTIF(sj_akey,"&lt;"&amp;AG1759)+COUNTIF($AG$6:AG1759,AG1759))</f>
        <v/>
      </c>
    </row>
    <row r="1760">
      <c r="A1760" s="51" t="n"/>
      <c r="B1760" s="52" t="n"/>
      <c r="C1760" s="52" t="n"/>
      <c r="D1760" s="53" t="n"/>
      <c r="E1760" s="53" t="n"/>
      <c r="F1760" s="54" t="n"/>
      <c r="G1760" s="54" t="n"/>
      <c r="H1760" s="54" t="n"/>
      <c r="I1760" s="54" t="n"/>
      <c r="J1760" s="53" t="n"/>
      <c r="K1760" s="55" t="str">
        <f>IF(COUNTA(A1760:I1760)=0,"",IF(F1760="",IFERROR(INDEX(eq_dur,MATCH(B1760,eq_code,0)),""),F1760))</f>
        <v/>
      </c>
      <c r="L1760" s="55" t="str">
        <f>IF(ISNUMBER(K1760),N(IFERROR(INDEX(eq_pause,MATCH(B1760,eq_code,0)),0))+SUMIFS(st_min,st_date,A1760,st_eq,B1760,st_po,C1760,st_type,"Planifié"),"")</f>
        <v/>
      </c>
      <c r="M1760" s="55" t="str">
        <f>IF(ISNUMBER(K1760),K1760-L1760,"")</f>
        <v/>
      </c>
      <c r="N1760" s="55" t="str">
        <f>IF(ISNUMBER(K1760),SUMIFS(st_min,st_date,A1760,st_eq,B1760,st_po,C1760,st_type,"Non planifié"),"")</f>
        <v/>
      </c>
      <c r="O1760" s="55" t="str">
        <f>IF(ISNUMBER(K1760),M1760-N1760,"")</f>
        <v/>
      </c>
      <c r="P1760" s="55" t="str">
        <f>IF(COUNTA(A1760:I1760)=0,"",N(G1760)+N(H1760)+N(I1760))</f>
        <v/>
      </c>
      <c r="Q1760" s="56" t="str">
        <f>IF(COUNTA(A1760:I1760)=0,"",IF(N(IFERROR(INDEX(art_rate,MATCH(E1760,art_ref,0)),0))&gt;0,N(IFERROR(INDEX(art_rate,MATCH(E1760,art_ref,0)),0)),N(IFERROR(INDEX(po_rate,MATCH(C1760,po_code,0)),0))))</f>
        <v/>
      </c>
      <c r="R1760" s="55" t="str">
        <f>IF(AC1760=1,P1760*60/Q1760,"")</f>
        <v/>
      </c>
      <c r="S1760" s="55" t="str">
        <f>IF(AC1760=1,N(G1760)*60/Q1760,"")</f>
        <v/>
      </c>
      <c r="T1760" s="57" t="str">
        <f>IF(AC1760=1,O1760/M1760,"")</f>
        <v/>
      </c>
      <c r="U1760" s="57" t="str">
        <f>IF(AC1760=1,IF(O1760&gt;0,R1760/O1760,""),"")</f>
        <v/>
      </c>
      <c r="V1760" s="57" t="str">
        <f>IF(AC1760=1,IF(P1760&gt;0,N(G1760)/P1760,""),"")</f>
        <v/>
      </c>
      <c r="W1760" s="57" t="str">
        <f>IF(AC1760=1,S1760/M1760,"")</f>
        <v/>
      </c>
      <c r="X1760" s="57" t="str">
        <f>IF(AC1760=1,S1760/K1760,"")</f>
        <v/>
      </c>
      <c r="Y1760" s="58" t="str">
        <f>IF(W1760="","",IF(W1760&gt;=p_target,"Bon",IF(W1760&gt;=p_alert,"À surveiller","Faible")))</f>
        <v/>
      </c>
      <c r="Z1760" s="58" t="str">
        <f>IF(W1760="","",IF(MIN(IF(T1760="",1,T1760),IF(U1760="",1,U1760),IF(V1760="",1,V1760))&gt;=1,"Aucune",IF(IF(T1760="",1,T1760)&lt;=MIN(IF(U1760="",1,U1760),IF(V1760="",1,V1760)),"Disponibilité",IF(IF(U1760="",1,U1760)&lt;=IF(V1760="",1,V1760),"Performance","Qualité"))))</f>
        <v/>
      </c>
      <c r="AA1760" s="59" t="str">
        <f>IF(AC1760=1,N(H1760)*N(IFERROR(INDEX(art_cost,MATCH(E1760,art_ref,0)),0)),"")</f>
        <v/>
      </c>
      <c r="AB1760" s="58" t="str">
        <f>IF(COUNTA(A1760:I1760)=0,"",IF(N(A1760)&lt;=0,"Date manquante ou invalide",IF(B1760="","Équipe manquante",IF(ISNA(MATCH(B1760,eq_code,0)),"Équipe inconnue",IF(INDEX(eq_check,MATCH(B1760,eq_code,0))&lt;&gt;"OK","Équipe à corriger dans Paramètres",IF(C1760="","Poste manquant",IF(ISNA(MATCH(C1760,po_code,0)),"Poste inconnu",IF(AND(E1760&lt;&gt;"",ISNA(MATCH(E1760,art_ref,0))),"Article inconnu",IF(IF(E1760="",FALSE,INDEX(art_check,MATCH(E1760,art_ref,0))&lt;&gt;"OK"),"Article à corriger (feuille Articles)",IF(COUNTIFS(sj_date,A1760,sj_eq,B1760,sj_po,C1760)&gt;1,"Ligne en double (même jour, équipe et poste)",IF(OR(NOT(ISNUMBER(K1760)),N(K1760)&lt;=0,N(K1760)&gt;1440),"Temps d'ouverture invalide",IF(OR(AND(G1760&lt;&gt;"",NOT(ISNUMBER(G1760))),N(G1760)&lt;0,N(G1760)&lt;&gt;INT(N(G1760)),AND(H1760&lt;&gt;"",NOT(ISNUMBER(H1760))),N(H1760)&lt;0,N(H1760)&lt;&gt;INT(N(H1760)),AND(I1760&lt;&gt;"",NOT(ISNUMBER(I1760))),N(I1760)&lt;0,N(I1760)&lt;&gt;INT(N(I1760))),"Quantité invalide",IF(Q1760&lt;=0,"Cadence manquante (poste ou article)",IF(M1760&lt;=0,"Arrêts planifiés supérieurs au temps d'ouverture",IF(O1760&lt;0,"Arrêts supérieurs au temps requis",IF(AND(P1760&gt;0,O1760=0),"Pièces déclarées sans temps de marche",IF(AND(P1760=0,O1760&gt;0),"Aucune pièce déclarée",IF(P1760*60/Q1760&gt;O1760+0.001,"Cadence dépassée : vérifiez la cadence","OK"))))))))))))))))))</f>
        <v/>
      </c>
      <c r="AC1760">
        <f>IF(OR(AB1760="OK",AB1760="Aucune pièce déclarée",AB1760="Cadence dépassée : vérifiez la cadence"),1,0)</f>
        <v>0.0</v>
      </c>
      <c r="AD1760">
        <f>IF(AND(AC1760=1,A1760&gt;=p_from,A1760&lt;=p_to),1,0)</f>
        <v>0.0</v>
      </c>
      <c r="AE1760">
        <f>IF(AD1760=1,IF(COUNTIFS($A$6:A1760,A1760,$AD$6:AD1760,1)=1,1,0),0)</f>
        <v>0.0</v>
      </c>
      <c r="AF1760" t="str">
        <f>IF(AE1760=1,COUNTIFS(sj_first,1,sj_date,"&lt;"&amp;A1760)+1,"")</f>
        <v/>
      </c>
      <c r="AG1760" t="str">
        <f>IF(AND(AD1760=1,N(W1760)&lt;p_alert),ROUND(W1760,4),"")</f>
        <v/>
      </c>
      <c r="AH1760" t="str">
        <f>IF(AG1760="","",COUNTIF(sj_akey,"&lt;"&amp;AG1760)+COUNTIF($AG$6:AG1760,AG1760))</f>
        <v/>
      </c>
    </row>
    <row r="1761">
      <c r="A1761" s="51" t="n"/>
      <c r="B1761" s="52" t="n"/>
      <c r="C1761" s="52" t="n"/>
      <c r="D1761" s="53" t="n"/>
      <c r="E1761" s="53" t="n"/>
      <c r="F1761" s="54" t="n"/>
      <c r="G1761" s="54" t="n"/>
      <c r="H1761" s="54" t="n"/>
      <c r="I1761" s="54" t="n"/>
      <c r="J1761" s="53" t="n"/>
      <c r="K1761" s="55" t="str">
        <f>IF(COUNTA(A1761:I1761)=0,"",IF(F1761="",IFERROR(INDEX(eq_dur,MATCH(B1761,eq_code,0)),""),F1761))</f>
        <v/>
      </c>
      <c r="L1761" s="55" t="str">
        <f>IF(ISNUMBER(K1761),N(IFERROR(INDEX(eq_pause,MATCH(B1761,eq_code,0)),0))+SUMIFS(st_min,st_date,A1761,st_eq,B1761,st_po,C1761,st_type,"Planifié"),"")</f>
        <v/>
      </c>
      <c r="M1761" s="55" t="str">
        <f>IF(ISNUMBER(K1761),K1761-L1761,"")</f>
        <v/>
      </c>
      <c r="N1761" s="55" t="str">
        <f>IF(ISNUMBER(K1761),SUMIFS(st_min,st_date,A1761,st_eq,B1761,st_po,C1761,st_type,"Non planifié"),"")</f>
        <v/>
      </c>
      <c r="O1761" s="55" t="str">
        <f>IF(ISNUMBER(K1761),M1761-N1761,"")</f>
        <v/>
      </c>
      <c r="P1761" s="55" t="str">
        <f>IF(COUNTA(A1761:I1761)=0,"",N(G1761)+N(H1761)+N(I1761))</f>
        <v/>
      </c>
      <c r="Q1761" s="56" t="str">
        <f>IF(COUNTA(A1761:I1761)=0,"",IF(N(IFERROR(INDEX(art_rate,MATCH(E1761,art_ref,0)),0))&gt;0,N(IFERROR(INDEX(art_rate,MATCH(E1761,art_ref,0)),0)),N(IFERROR(INDEX(po_rate,MATCH(C1761,po_code,0)),0))))</f>
        <v/>
      </c>
      <c r="R1761" s="55" t="str">
        <f>IF(AC1761=1,P1761*60/Q1761,"")</f>
        <v/>
      </c>
      <c r="S1761" s="55" t="str">
        <f>IF(AC1761=1,N(G1761)*60/Q1761,"")</f>
        <v/>
      </c>
      <c r="T1761" s="57" t="str">
        <f>IF(AC1761=1,O1761/M1761,"")</f>
        <v/>
      </c>
      <c r="U1761" s="57" t="str">
        <f>IF(AC1761=1,IF(O1761&gt;0,R1761/O1761,""),"")</f>
        <v/>
      </c>
      <c r="V1761" s="57" t="str">
        <f>IF(AC1761=1,IF(P1761&gt;0,N(G1761)/P1761,""),"")</f>
        <v/>
      </c>
      <c r="W1761" s="57" t="str">
        <f>IF(AC1761=1,S1761/M1761,"")</f>
        <v/>
      </c>
      <c r="X1761" s="57" t="str">
        <f>IF(AC1761=1,S1761/K1761,"")</f>
        <v/>
      </c>
      <c r="Y1761" s="58" t="str">
        <f>IF(W1761="","",IF(W1761&gt;=p_target,"Bon",IF(W1761&gt;=p_alert,"À surveiller","Faible")))</f>
        <v/>
      </c>
      <c r="Z1761" s="58" t="str">
        <f>IF(W1761="","",IF(MIN(IF(T1761="",1,T1761),IF(U1761="",1,U1761),IF(V1761="",1,V1761))&gt;=1,"Aucune",IF(IF(T1761="",1,T1761)&lt;=MIN(IF(U1761="",1,U1761),IF(V1761="",1,V1761)),"Disponibilité",IF(IF(U1761="",1,U1761)&lt;=IF(V1761="",1,V1761),"Performance","Qualité"))))</f>
        <v/>
      </c>
      <c r="AA1761" s="59" t="str">
        <f>IF(AC1761=1,N(H1761)*N(IFERROR(INDEX(art_cost,MATCH(E1761,art_ref,0)),0)),"")</f>
        <v/>
      </c>
      <c r="AB1761" s="58" t="str">
        <f>IF(COUNTA(A1761:I1761)=0,"",IF(N(A1761)&lt;=0,"Date manquante ou invalide",IF(B1761="","Équipe manquante",IF(ISNA(MATCH(B1761,eq_code,0)),"Équipe inconnue",IF(INDEX(eq_check,MATCH(B1761,eq_code,0))&lt;&gt;"OK","Équipe à corriger dans Paramètres",IF(C1761="","Poste manquant",IF(ISNA(MATCH(C1761,po_code,0)),"Poste inconnu",IF(AND(E1761&lt;&gt;"",ISNA(MATCH(E1761,art_ref,0))),"Article inconnu",IF(IF(E1761="",FALSE,INDEX(art_check,MATCH(E1761,art_ref,0))&lt;&gt;"OK"),"Article à corriger (feuille Articles)",IF(COUNTIFS(sj_date,A1761,sj_eq,B1761,sj_po,C1761)&gt;1,"Ligne en double (même jour, équipe et poste)",IF(OR(NOT(ISNUMBER(K1761)),N(K1761)&lt;=0,N(K1761)&gt;1440),"Temps d'ouverture invalide",IF(OR(AND(G1761&lt;&gt;"",NOT(ISNUMBER(G1761))),N(G1761)&lt;0,N(G1761)&lt;&gt;INT(N(G1761)),AND(H1761&lt;&gt;"",NOT(ISNUMBER(H1761))),N(H1761)&lt;0,N(H1761)&lt;&gt;INT(N(H1761)),AND(I1761&lt;&gt;"",NOT(ISNUMBER(I1761))),N(I1761)&lt;0,N(I1761)&lt;&gt;INT(N(I1761))),"Quantité invalide",IF(Q1761&lt;=0,"Cadence manquante (poste ou article)",IF(M1761&lt;=0,"Arrêts planifiés supérieurs au temps d'ouverture",IF(O1761&lt;0,"Arrêts supérieurs au temps requis",IF(AND(P1761&gt;0,O1761=0),"Pièces déclarées sans temps de marche",IF(AND(P1761=0,O1761&gt;0),"Aucune pièce déclarée",IF(P1761*60/Q1761&gt;O1761+0.001,"Cadence dépassée : vérifiez la cadence","OK"))))))))))))))))))</f>
        <v/>
      </c>
      <c r="AC1761">
        <f>IF(OR(AB1761="OK",AB1761="Aucune pièce déclarée",AB1761="Cadence dépassée : vérifiez la cadence"),1,0)</f>
        <v>0.0</v>
      </c>
      <c r="AD1761">
        <f>IF(AND(AC1761=1,A1761&gt;=p_from,A1761&lt;=p_to),1,0)</f>
        <v>0.0</v>
      </c>
      <c r="AE1761">
        <f>IF(AD1761=1,IF(COUNTIFS($A$6:A1761,A1761,$AD$6:AD1761,1)=1,1,0),0)</f>
        <v>0.0</v>
      </c>
      <c r="AF1761" t="str">
        <f>IF(AE1761=1,COUNTIFS(sj_first,1,sj_date,"&lt;"&amp;A1761)+1,"")</f>
        <v/>
      </c>
      <c r="AG1761" t="str">
        <f>IF(AND(AD1761=1,N(W1761)&lt;p_alert),ROUND(W1761,4),"")</f>
        <v/>
      </c>
      <c r="AH1761" t="str">
        <f>IF(AG1761="","",COUNTIF(sj_akey,"&lt;"&amp;AG1761)+COUNTIF($AG$6:AG1761,AG1761))</f>
        <v/>
      </c>
    </row>
    <row r="1762">
      <c r="A1762" s="51" t="n"/>
      <c r="B1762" s="52" t="n"/>
      <c r="C1762" s="52" t="n"/>
      <c r="D1762" s="53" t="n"/>
      <c r="E1762" s="53" t="n"/>
      <c r="F1762" s="54" t="n"/>
      <c r="G1762" s="54" t="n"/>
      <c r="H1762" s="54" t="n"/>
      <c r="I1762" s="54" t="n"/>
      <c r="J1762" s="53" t="n"/>
      <c r="K1762" s="55" t="str">
        <f>IF(COUNTA(A1762:I1762)=0,"",IF(F1762="",IFERROR(INDEX(eq_dur,MATCH(B1762,eq_code,0)),""),F1762))</f>
        <v/>
      </c>
      <c r="L1762" s="55" t="str">
        <f>IF(ISNUMBER(K1762),N(IFERROR(INDEX(eq_pause,MATCH(B1762,eq_code,0)),0))+SUMIFS(st_min,st_date,A1762,st_eq,B1762,st_po,C1762,st_type,"Planifié"),"")</f>
        <v/>
      </c>
      <c r="M1762" s="55" t="str">
        <f>IF(ISNUMBER(K1762),K1762-L1762,"")</f>
        <v/>
      </c>
      <c r="N1762" s="55" t="str">
        <f>IF(ISNUMBER(K1762),SUMIFS(st_min,st_date,A1762,st_eq,B1762,st_po,C1762,st_type,"Non planifié"),"")</f>
        <v/>
      </c>
      <c r="O1762" s="55" t="str">
        <f>IF(ISNUMBER(K1762),M1762-N1762,"")</f>
        <v/>
      </c>
      <c r="P1762" s="55" t="str">
        <f>IF(COUNTA(A1762:I1762)=0,"",N(G1762)+N(H1762)+N(I1762))</f>
        <v/>
      </c>
      <c r="Q1762" s="56" t="str">
        <f>IF(COUNTA(A1762:I1762)=0,"",IF(N(IFERROR(INDEX(art_rate,MATCH(E1762,art_ref,0)),0))&gt;0,N(IFERROR(INDEX(art_rate,MATCH(E1762,art_ref,0)),0)),N(IFERROR(INDEX(po_rate,MATCH(C1762,po_code,0)),0))))</f>
        <v/>
      </c>
      <c r="R1762" s="55" t="str">
        <f>IF(AC1762=1,P1762*60/Q1762,"")</f>
        <v/>
      </c>
      <c r="S1762" s="55" t="str">
        <f>IF(AC1762=1,N(G1762)*60/Q1762,"")</f>
        <v/>
      </c>
      <c r="T1762" s="57" t="str">
        <f>IF(AC1762=1,O1762/M1762,"")</f>
        <v/>
      </c>
      <c r="U1762" s="57" t="str">
        <f>IF(AC1762=1,IF(O1762&gt;0,R1762/O1762,""),"")</f>
        <v/>
      </c>
      <c r="V1762" s="57" t="str">
        <f>IF(AC1762=1,IF(P1762&gt;0,N(G1762)/P1762,""),"")</f>
        <v/>
      </c>
      <c r="W1762" s="57" t="str">
        <f>IF(AC1762=1,S1762/M1762,"")</f>
        <v/>
      </c>
      <c r="X1762" s="57" t="str">
        <f>IF(AC1762=1,S1762/K1762,"")</f>
        <v/>
      </c>
      <c r="Y1762" s="58" t="str">
        <f>IF(W1762="","",IF(W1762&gt;=p_target,"Bon",IF(W1762&gt;=p_alert,"À surveiller","Faible")))</f>
        <v/>
      </c>
      <c r="Z1762" s="58" t="str">
        <f>IF(W1762="","",IF(MIN(IF(T1762="",1,T1762),IF(U1762="",1,U1762),IF(V1762="",1,V1762))&gt;=1,"Aucune",IF(IF(T1762="",1,T1762)&lt;=MIN(IF(U1762="",1,U1762),IF(V1762="",1,V1762)),"Disponibilité",IF(IF(U1762="",1,U1762)&lt;=IF(V1762="",1,V1762),"Performance","Qualité"))))</f>
        <v/>
      </c>
      <c r="AA1762" s="59" t="str">
        <f>IF(AC1762=1,N(H1762)*N(IFERROR(INDEX(art_cost,MATCH(E1762,art_ref,0)),0)),"")</f>
        <v/>
      </c>
      <c r="AB1762" s="58" t="str">
        <f>IF(COUNTA(A1762:I1762)=0,"",IF(N(A1762)&lt;=0,"Date manquante ou invalide",IF(B1762="","Équipe manquante",IF(ISNA(MATCH(B1762,eq_code,0)),"Équipe inconnue",IF(INDEX(eq_check,MATCH(B1762,eq_code,0))&lt;&gt;"OK","Équipe à corriger dans Paramètres",IF(C1762="","Poste manquant",IF(ISNA(MATCH(C1762,po_code,0)),"Poste inconnu",IF(AND(E1762&lt;&gt;"",ISNA(MATCH(E1762,art_ref,0))),"Article inconnu",IF(IF(E1762="",FALSE,INDEX(art_check,MATCH(E1762,art_ref,0))&lt;&gt;"OK"),"Article à corriger (feuille Articles)",IF(COUNTIFS(sj_date,A1762,sj_eq,B1762,sj_po,C1762)&gt;1,"Ligne en double (même jour, équipe et poste)",IF(OR(NOT(ISNUMBER(K1762)),N(K1762)&lt;=0,N(K1762)&gt;1440),"Temps d'ouverture invalide",IF(OR(AND(G1762&lt;&gt;"",NOT(ISNUMBER(G1762))),N(G1762)&lt;0,N(G1762)&lt;&gt;INT(N(G1762)),AND(H1762&lt;&gt;"",NOT(ISNUMBER(H1762))),N(H1762)&lt;0,N(H1762)&lt;&gt;INT(N(H1762)),AND(I1762&lt;&gt;"",NOT(ISNUMBER(I1762))),N(I1762)&lt;0,N(I1762)&lt;&gt;INT(N(I1762))),"Quantité invalide",IF(Q1762&lt;=0,"Cadence manquante (poste ou article)",IF(M1762&lt;=0,"Arrêts planifiés supérieurs au temps d'ouverture",IF(O1762&lt;0,"Arrêts supérieurs au temps requis",IF(AND(P1762&gt;0,O1762=0),"Pièces déclarées sans temps de marche",IF(AND(P1762=0,O1762&gt;0),"Aucune pièce déclarée",IF(P1762*60/Q1762&gt;O1762+0.001,"Cadence dépassée : vérifiez la cadence","OK"))))))))))))))))))</f>
        <v/>
      </c>
      <c r="AC1762">
        <f>IF(OR(AB1762="OK",AB1762="Aucune pièce déclarée",AB1762="Cadence dépassée : vérifiez la cadence"),1,0)</f>
        <v>0.0</v>
      </c>
      <c r="AD1762">
        <f>IF(AND(AC1762=1,A1762&gt;=p_from,A1762&lt;=p_to),1,0)</f>
        <v>0.0</v>
      </c>
      <c r="AE1762">
        <f>IF(AD1762=1,IF(COUNTIFS($A$6:A1762,A1762,$AD$6:AD1762,1)=1,1,0),0)</f>
        <v>0.0</v>
      </c>
      <c r="AF1762" t="str">
        <f>IF(AE1762=1,COUNTIFS(sj_first,1,sj_date,"&lt;"&amp;A1762)+1,"")</f>
        <v/>
      </c>
      <c r="AG1762" t="str">
        <f>IF(AND(AD1762=1,N(W1762)&lt;p_alert),ROUND(W1762,4),"")</f>
        <v/>
      </c>
      <c r="AH1762" t="str">
        <f>IF(AG1762="","",COUNTIF(sj_akey,"&lt;"&amp;AG1762)+COUNTIF($AG$6:AG1762,AG1762))</f>
        <v/>
      </c>
    </row>
    <row r="1763">
      <c r="A1763" s="51" t="n"/>
      <c r="B1763" s="52" t="n"/>
      <c r="C1763" s="52" t="n"/>
      <c r="D1763" s="53" t="n"/>
      <c r="E1763" s="53" t="n"/>
      <c r="F1763" s="54" t="n"/>
      <c r="G1763" s="54" t="n"/>
      <c r="H1763" s="54" t="n"/>
      <c r="I1763" s="54" t="n"/>
      <c r="J1763" s="53" t="n"/>
      <c r="K1763" s="55" t="str">
        <f>IF(COUNTA(A1763:I1763)=0,"",IF(F1763="",IFERROR(INDEX(eq_dur,MATCH(B1763,eq_code,0)),""),F1763))</f>
        <v/>
      </c>
      <c r="L1763" s="55" t="str">
        <f>IF(ISNUMBER(K1763),N(IFERROR(INDEX(eq_pause,MATCH(B1763,eq_code,0)),0))+SUMIFS(st_min,st_date,A1763,st_eq,B1763,st_po,C1763,st_type,"Planifié"),"")</f>
        <v/>
      </c>
      <c r="M1763" s="55" t="str">
        <f>IF(ISNUMBER(K1763),K1763-L1763,"")</f>
        <v/>
      </c>
      <c r="N1763" s="55" t="str">
        <f>IF(ISNUMBER(K1763),SUMIFS(st_min,st_date,A1763,st_eq,B1763,st_po,C1763,st_type,"Non planifié"),"")</f>
        <v/>
      </c>
      <c r="O1763" s="55" t="str">
        <f>IF(ISNUMBER(K1763),M1763-N1763,"")</f>
        <v/>
      </c>
      <c r="P1763" s="55" t="str">
        <f>IF(COUNTA(A1763:I1763)=0,"",N(G1763)+N(H1763)+N(I1763))</f>
        <v/>
      </c>
      <c r="Q1763" s="56" t="str">
        <f>IF(COUNTA(A1763:I1763)=0,"",IF(N(IFERROR(INDEX(art_rate,MATCH(E1763,art_ref,0)),0))&gt;0,N(IFERROR(INDEX(art_rate,MATCH(E1763,art_ref,0)),0)),N(IFERROR(INDEX(po_rate,MATCH(C1763,po_code,0)),0))))</f>
        <v/>
      </c>
      <c r="R1763" s="55" t="str">
        <f>IF(AC1763=1,P1763*60/Q1763,"")</f>
        <v/>
      </c>
      <c r="S1763" s="55" t="str">
        <f>IF(AC1763=1,N(G1763)*60/Q1763,"")</f>
        <v/>
      </c>
      <c r="T1763" s="57" t="str">
        <f>IF(AC1763=1,O1763/M1763,"")</f>
        <v/>
      </c>
      <c r="U1763" s="57" t="str">
        <f>IF(AC1763=1,IF(O1763&gt;0,R1763/O1763,""),"")</f>
        <v/>
      </c>
      <c r="V1763" s="57" t="str">
        <f>IF(AC1763=1,IF(P1763&gt;0,N(G1763)/P1763,""),"")</f>
        <v/>
      </c>
      <c r="W1763" s="57" t="str">
        <f>IF(AC1763=1,S1763/M1763,"")</f>
        <v/>
      </c>
      <c r="X1763" s="57" t="str">
        <f>IF(AC1763=1,S1763/K1763,"")</f>
        <v/>
      </c>
      <c r="Y1763" s="58" t="str">
        <f>IF(W1763="","",IF(W1763&gt;=p_target,"Bon",IF(W1763&gt;=p_alert,"À surveiller","Faible")))</f>
        <v/>
      </c>
      <c r="Z1763" s="58" t="str">
        <f>IF(W1763="","",IF(MIN(IF(T1763="",1,T1763),IF(U1763="",1,U1763),IF(V1763="",1,V1763))&gt;=1,"Aucune",IF(IF(T1763="",1,T1763)&lt;=MIN(IF(U1763="",1,U1763),IF(V1763="",1,V1763)),"Disponibilité",IF(IF(U1763="",1,U1763)&lt;=IF(V1763="",1,V1763),"Performance","Qualité"))))</f>
        <v/>
      </c>
      <c r="AA1763" s="59" t="str">
        <f>IF(AC1763=1,N(H1763)*N(IFERROR(INDEX(art_cost,MATCH(E1763,art_ref,0)),0)),"")</f>
        <v/>
      </c>
      <c r="AB1763" s="58" t="str">
        <f>IF(COUNTA(A1763:I1763)=0,"",IF(N(A1763)&lt;=0,"Date manquante ou invalide",IF(B1763="","Équipe manquante",IF(ISNA(MATCH(B1763,eq_code,0)),"Équipe inconnue",IF(INDEX(eq_check,MATCH(B1763,eq_code,0))&lt;&gt;"OK","Équipe à corriger dans Paramètres",IF(C1763="","Poste manquant",IF(ISNA(MATCH(C1763,po_code,0)),"Poste inconnu",IF(AND(E1763&lt;&gt;"",ISNA(MATCH(E1763,art_ref,0))),"Article inconnu",IF(IF(E1763="",FALSE,INDEX(art_check,MATCH(E1763,art_ref,0))&lt;&gt;"OK"),"Article à corriger (feuille Articles)",IF(COUNTIFS(sj_date,A1763,sj_eq,B1763,sj_po,C1763)&gt;1,"Ligne en double (même jour, équipe et poste)",IF(OR(NOT(ISNUMBER(K1763)),N(K1763)&lt;=0,N(K1763)&gt;1440),"Temps d'ouverture invalide",IF(OR(AND(G1763&lt;&gt;"",NOT(ISNUMBER(G1763))),N(G1763)&lt;0,N(G1763)&lt;&gt;INT(N(G1763)),AND(H1763&lt;&gt;"",NOT(ISNUMBER(H1763))),N(H1763)&lt;0,N(H1763)&lt;&gt;INT(N(H1763)),AND(I1763&lt;&gt;"",NOT(ISNUMBER(I1763))),N(I1763)&lt;0,N(I1763)&lt;&gt;INT(N(I1763))),"Quantité invalide",IF(Q1763&lt;=0,"Cadence manquante (poste ou article)",IF(M1763&lt;=0,"Arrêts planifiés supérieurs au temps d'ouverture",IF(O1763&lt;0,"Arrêts supérieurs au temps requis",IF(AND(P1763&gt;0,O1763=0),"Pièces déclarées sans temps de marche",IF(AND(P1763=0,O1763&gt;0),"Aucune pièce déclarée",IF(P1763*60/Q1763&gt;O1763+0.001,"Cadence dépassée : vérifiez la cadence","OK"))))))))))))))))))</f>
        <v/>
      </c>
      <c r="AC1763">
        <f>IF(OR(AB1763="OK",AB1763="Aucune pièce déclarée",AB1763="Cadence dépassée : vérifiez la cadence"),1,0)</f>
        <v>0.0</v>
      </c>
      <c r="AD1763">
        <f>IF(AND(AC1763=1,A1763&gt;=p_from,A1763&lt;=p_to),1,0)</f>
        <v>0.0</v>
      </c>
      <c r="AE1763">
        <f>IF(AD1763=1,IF(COUNTIFS($A$6:A1763,A1763,$AD$6:AD1763,1)=1,1,0),0)</f>
        <v>0.0</v>
      </c>
      <c r="AF1763" t="str">
        <f>IF(AE1763=1,COUNTIFS(sj_first,1,sj_date,"&lt;"&amp;A1763)+1,"")</f>
        <v/>
      </c>
      <c r="AG1763" t="str">
        <f>IF(AND(AD1763=1,N(W1763)&lt;p_alert),ROUND(W1763,4),"")</f>
        <v/>
      </c>
      <c r="AH1763" t="str">
        <f>IF(AG1763="","",COUNTIF(sj_akey,"&lt;"&amp;AG1763)+COUNTIF($AG$6:AG1763,AG1763))</f>
        <v/>
      </c>
    </row>
    <row r="1764">
      <c r="A1764" s="51" t="n"/>
      <c r="B1764" s="52" t="n"/>
      <c r="C1764" s="52" t="n"/>
      <c r="D1764" s="53" t="n"/>
      <c r="E1764" s="53" t="n"/>
      <c r="F1764" s="54" t="n"/>
      <c r="G1764" s="54" t="n"/>
      <c r="H1764" s="54" t="n"/>
      <c r="I1764" s="54" t="n"/>
      <c r="J1764" s="53" t="n"/>
      <c r="K1764" s="55" t="str">
        <f>IF(COUNTA(A1764:I1764)=0,"",IF(F1764="",IFERROR(INDEX(eq_dur,MATCH(B1764,eq_code,0)),""),F1764))</f>
        <v/>
      </c>
      <c r="L1764" s="55" t="str">
        <f>IF(ISNUMBER(K1764),N(IFERROR(INDEX(eq_pause,MATCH(B1764,eq_code,0)),0))+SUMIFS(st_min,st_date,A1764,st_eq,B1764,st_po,C1764,st_type,"Planifié"),"")</f>
        <v/>
      </c>
      <c r="M1764" s="55" t="str">
        <f>IF(ISNUMBER(K1764),K1764-L1764,"")</f>
        <v/>
      </c>
      <c r="N1764" s="55" t="str">
        <f>IF(ISNUMBER(K1764),SUMIFS(st_min,st_date,A1764,st_eq,B1764,st_po,C1764,st_type,"Non planifié"),"")</f>
        <v/>
      </c>
      <c r="O1764" s="55" t="str">
        <f>IF(ISNUMBER(K1764),M1764-N1764,"")</f>
        <v/>
      </c>
      <c r="P1764" s="55" t="str">
        <f>IF(COUNTA(A1764:I1764)=0,"",N(G1764)+N(H1764)+N(I1764))</f>
        <v/>
      </c>
      <c r="Q1764" s="56" t="str">
        <f>IF(COUNTA(A1764:I1764)=0,"",IF(N(IFERROR(INDEX(art_rate,MATCH(E1764,art_ref,0)),0))&gt;0,N(IFERROR(INDEX(art_rate,MATCH(E1764,art_ref,0)),0)),N(IFERROR(INDEX(po_rate,MATCH(C1764,po_code,0)),0))))</f>
        <v/>
      </c>
      <c r="R1764" s="55" t="str">
        <f>IF(AC1764=1,P1764*60/Q1764,"")</f>
        <v/>
      </c>
      <c r="S1764" s="55" t="str">
        <f>IF(AC1764=1,N(G1764)*60/Q1764,"")</f>
        <v/>
      </c>
      <c r="T1764" s="57" t="str">
        <f>IF(AC1764=1,O1764/M1764,"")</f>
        <v/>
      </c>
      <c r="U1764" s="57" t="str">
        <f>IF(AC1764=1,IF(O1764&gt;0,R1764/O1764,""),"")</f>
        <v/>
      </c>
      <c r="V1764" s="57" t="str">
        <f>IF(AC1764=1,IF(P1764&gt;0,N(G1764)/P1764,""),"")</f>
        <v/>
      </c>
      <c r="W1764" s="57" t="str">
        <f>IF(AC1764=1,S1764/M1764,"")</f>
        <v/>
      </c>
      <c r="X1764" s="57" t="str">
        <f>IF(AC1764=1,S1764/K1764,"")</f>
        <v/>
      </c>
      <c r="Y1764" s="58" t="str">
        <f>IF(W1764="","",IF(W1764&gt;=p_target,"Bon",IF(W1764&gt;=p_alert,"À surveiller","Faible")))</f>
        <v/>
      </c>
      <c r="Z1764" s="58" t="str">
        <f>IF(W1764="","",IF(MIN(IF(T1764="",1,T1764),IF(U1764="",1,U1764),IF(V1764="",1,V1764))&gt;=1,"Aucune",IF(IF(T1764="",1,T1764)&lt;=MIN(IF(U1764="",1,U1764),IF(V1764="",1,V1764)),"Disponibilité",IF(IF(U1764="",1,U1764)&lt;=IF(V1764="",1,V1764),"Performance","Qualité"))))</f>
        <v/>
      </c>
      <c r="AA1764" s="59" t="str">
        <f>IF(AC1764=1,N(H1764)*N(IFERROR(INDEX(art_cost,MATCH(E1764,art_ref,0)),0)),"")</f>
        <v/>
      </c>
      <c r="AB1764" s="58" t="str">
        <f>IF(COUNTA(A1764:I1764)=0,"",IF(N(A1764)&lt;=0,"Date manquante ou invalide",IF(B1764="","Équipe manquante",IF(ISNA(MATCH(B1764,eq_code,0)),"Équipe inconnue",IF(INDEX(eq_check,MATCH(B1764,eq_code,0))&lt;&gt;"OK","Équipe à corriger dans Paramètres",IF(C1764="","Poste manquant",IF(ISNA(MATCH(C1764,po_code,0)),"Poste inconnu",IF(AND(E1764&lt;&gt;"",ISNA(MATCH(E1764,art_ref,0))),"Article inconnu",IF(IF(E1764="",FALSE,INDEX(art_check,MATCH(E1764,art_ref,0))&lt;&gt;"OK"),"Article à corriger (feuille Articles)",IF(COUNTIFS(sj_date,A1764,sj_eq,B1764,sj_po,C1764)&gt;1,"Ligne en double (même jour, équipe et poste)",IF(OR(NOT(ISNUMBER(K1764)),N(K1764)&lt;=0,N(K1764)&gt;1440),"Temps d'ouverture invalide",IF(OR(AND(G1764&lt;&gt;"",NOT(ISNUMBER(G1764))),N(G1764)&lt;0,N(G1764)&lt;&gt;INT(N(G1764)),AND(H1764&lt;&gt;"",NOT(ISNUMBER(H1764))),N(H1764)&lt;0,N(H1764)&lt;&gt;INT(N(H1764)),AND(I1764&lt;&gt;"",NOT(ISNUMBER(I1764))),N(I1764)&lt;0,N(I1764)&lt;&gt;INT(N(I1764))),"Quantité invalide",IF(Q1764&lt;=0,"Cadence manquante (poste ou article)",IF(M1764&lt;=0,"Arrêts planifiés supérieurs au temps d'ouverture",IF(O1764&lt;0,"Arrêts supérieurs au temps requis",IF(AND(P1764&gt;0,O1764=0),"Pièces déclarées sans temps de marche",IF(AND(P1764=0,O1764&gt;0),"Aucune pièce déclarée",IF(P1764*60/Q1764&gt;O1764+0.001,"Cadence dépassée : vérifiez la cadence","OK"))))))))))))))))))</f>
        <v/>
      </c>
      <c r="AC1764">
        <f>IF(OR(AB1764="OK",AB1764="Aucune pièce déclarée",AB1764="Cadence dépassée : vérifiez la cadence"),1,0)</f>
        <v>0.0</v>
      </c>
      <c r="AD1764">
        <f>IF(AND(AC1764=1,A1764&gt;=p_from,A1764&lt;=p_to),1,0)</f>
        <v>0.0</v>
      </c>
      <c r="AE1764">
        <f>IF(AD1764=1,IF(COUNTIFS($A$6:A1764,A1764,$AD$6:AD1764,1)=1,1,0),0)</f>
        <v>0.0</v>
      </c>
      <c r="AF1764" t="str">
        <f>IF(AE1764=1,COUNTIFS(sj_first,1,sj_date,"&lt;"&amp;A1764)+1,"")</f>
        <v/>
      </c>
      <c r="AG1764" t="str">
        <f>IF(AND(AD1764=1,N(W1764)&lt;p_alert),ROUND(W1764,4),"")</f>
        <v/>
      </c>
      <c r="AH1764" t="str">
        <f>IF(AG1764="","",COUNTIF(sj_akey,"&lt;"&amp;AG1764)+COUNTIF($AG$6:AG1764,AG1764))</f>
        <v/>
      </c>
    </row>
    <row r="1765">
      <c r="A1765" s="51" t="n"/>
      <c r="B1765" s="52" t="n"/>
      <c r="C1765" s="52" t="n"/>
      <c r="D1765" s="53" t="n"/>
      <c r="E1765" s="53" t="n"/>
      <c r="F1765" s="54" t="n"/>
      <c r="G1765" s="54" t="n"/>
      <c r="H1765" s="54" t="n"/>
      <c r="I1765" s="54" t="n"/>
      <c r="J1765" s="53" t="n"/>
      <c r="K1765" s="55" t="str">
        <f>IF(COUNTA(A1765:I1765)=0,"",IF(F1765="",IFERROR(INDEX(eq_dur,MATCH(B1765,eq_code,0)),""),F1765))</f>
        <v/>
      </c>
      <c r="L1765" s="55" t="str">
        <f>IF(ISNUMBER(K1765),N(IFERROR(INDEX(eq_pause,MATCH(B1765,eq_code,0)),0))+SUMIFS(st_min,st_date,A1765,st_eq,B1765,st_po,C1765,st_type,"Planifié"),"")</f>
        <v/>
      </c>
      <c r="M1765" s="55" t="str">
        <f>IF(ISNUMBER(K1765),K1765-L1765,"")</f>
        <v/>
      </c>
      <c r="N1765" s="55" t="str">
        <f>IF(ISNUMBER(K1765),SUMIFS(st_min,st_date,A1765,st_eq,B1765,st_po,C1765,st_type,"Non planifié"),"")</f>
        <v/>
      </c>
      <c r="O1765" s="55" t="str">
        <f>IF(ISNUMBER(K1765),M1765-N1765,"")</f>
        <v/>
      </c>
      <c r="P1765" s="55" t="str">
        <f>IF(COUNTA(A1765:I1765)=0,"",N(G1765)+N(H1765)+N(I1765))</f>
        <v/>
      </c>
      <c r="Q1765" s="56" t="str">
        <f>IF(COUNTA(A1765:I1765)=0,"",IF(N(IFERROR(INDEX(art_rate,MATCH(E1765,art_ref,0)),0))&gt;0,N(IFERROR(INDEX(art_rate,MATCH(E1765,art_ref,0)),0)),N(IFERROR(INDEX(po_rate,MATCH(C1765,po_code,0)),0))))</f>
        <v/>
      </c>
      <c r="R1765" s="55" t="str">
        <f>IF(AC1765=1,P1765*60/Q1765,"")</f>
        <v/>
      </c>
      <c r="S1765" s="55" t="str">
        <f>IF(AC1765=1,N(G1765)*60/Q1765,"")</f>
        <v/>
      </c>
      <c r="T1765" s="57" t="str">
        <f>IF(AC1765=1,O1765/M1765,"")</f>
        <v/>
      </c>
      <c r="U1765" s="57" t="str">
        <f>IF(AC1765=1,IF(O1765&gt;0,R1765/O1765,""),"")</f>
        <v/>
      </c>
      <c r="V1765" s="57" t="str">
        <f>IF(AC1765=1,IF(P1765&gt;0,N(G1765)/P1765,""),"")</f>
        <v/>
      </c>
      <c r="W1765" s="57" t="str">
        <f>IF(AC1765=1,S1765/M1765,"")</f>
        <v/>
      </c>
      <c r="X1765" s="57" t="str">
        <f>IF(AC1765=1,S1765/K1765,"")</f>
        <v/>
      </c>
      <c r="Y1765" s="58" t="str">
        <f>IF(W1765="","",IF(W1765&gt;=p_target,"Bon",IF(W1765&gt;=p_alert,"À surveiller","Faible")))</f>
        <v/>
      </c>
      <c r="Z1765" s="58" t="str">
        <f>IF(W1765="","",IF(MIN(IF(T1765="",1,T1765),IF(U1765="",1,U1765),IF(V1765="",1,V1765))&gt;=1,"Aucune",IF(IF(T1765="",1,T1765)&lt;=MIN(IF(U1765="",1,U1765),IF(V1765="",1,V1765)),"Disponibilité",IF(IF(U1765="",1,U1765)&lt;=IF(V1765="",1,V1765),"Performance","Qualité"))))</f>
        <v/>
      </c>
      <c r="AA1765" s="59" t="str">
        <f>IF(AC1765=1,N(H1765)*N(IFERROR(INDEX(art_cost,MATCH(E1765,art_ref,0)),0)),"")</f>
        <v/>
      </c>
      <c r="AB1765" s="58" t="str">
        <f>IF(COUNTA(A1765:I1765)=0,"",IF(N(A1765)&lt;=0,"Date manquante ou invalide",IF(B1765="","Équipe manquante",IF(ISNA(MATCH(B1765,eq_code,0)),"Équipe inconnue",IF(INDEX(eq_check,MATCH(B1765,eq_code,0))&lt;&gt;"OK","Équipe à corriger dans Paramètres",IF(C1765="","Poste manquant",IF(ISNA(MATCH(C1765,po_code,0)),"Poste inconnu",IF(AND(E1765&lt;&gt;"",ISNA(MATCH(E1765,art_ref,0))),"Article inconnu",IF(IF(E1765="",FALSE,INDEX(art_check,MATCH(E1765,art_ref,0))&lt;&gt;"OK"),"Article à corriger (feuille Articles)",IF(COUNTIFS(sj_date,A1765,sj_eq,B1765,sj_po,C1765)&gt;1,"Ligne en double (même jour, équipe et poste)",IF(OR(NOT(ISNUMBER(K1765)),N(K1765)&lt;=0,N(K1765)&gt;1440),"Temps d'ouverture invalide",IF(OR(AND(G1765&lt;&gt;"",NOT(ISNUMBER(G1765))),N(G1765)&lt;0,N(G1765)&lt;&gt;INT(N(G1765)),AND(H1765&lt;&gt;"",NOT(ISNUMBER(H1765))),N(H1765)&lt;0,N(H1765)&lt;&gt;INT(N(H1765)),AND(I1765&lt;&gt;"",NOT(ISNUMBER(I1765))),N(I1765)&lt;0,N(I1765)&lt;&gt;INT(N(I1765))),"Quantité invalide",IF(Q1765&lt;=0,"Cadence manquante (poste ou article)",IF(M1765&lt;=0,"Arrêts planifiés supérieurs au temps d'ouverture",IF(O1765&lt;0,"Arrêts supérieurs au temps requis",IF(AND(P1765&gt;0,O1765=0),"Pièces déclarées sans temps de marche",IF(AND(P1765=0,O1765&gt;0),"Aucune pièce déclarée",IF(P1765*60/Q1765&gt;O1765+0.001,"Cadence dépassée : vérifiez la cadence","OK"))))))))))))))))))</f>
        <v/>
      </c>
      <c r="AC1765">
        <f>IF(OR(AB1765="OK",AB1765="Aucune pièce déclarée",AB1765="Cadence dépassée : vérifiez la cadence"),1,0)</f>
        <v>0.0</v>
      </c>
      <c r="AD1765">
        <f>IF(AND(AC1765=1,A1765&gt;=p_from,A1765&lt;=p_to),1,0)</f>
        <v>0.0</v>
      </c>
      <c r="AE1765">
        <f>IF(AD1765=1,IF(COUNTIFS($A$6:A1765,A1765,$AD$6:AD1765,1)=1,1,0),0)</f>
        <v>0.0</v>
      </c>
      <c r="AF1765" t="str">
        <f>IF(AE1765=1,COUNTIFS(sj_first,1,sj_date,"&lt;"&amp;A1765)+1,"")</f>
        <v/>
      </c>
      <c r="AG1765" t="str">
        <f>IF(AND(AD1765=1,N(W1765)&lt;p_alert),ROUND(W1765,4),"")</f>
        <v/>
      </c>
      <c r="AH1765" t="str">
        <f>IF(AG1765="","",COUNTIF(sj_akey,"&lt;"&amp;AG1765)+COUNTIF($AG$6:AG1765,AG1765))</f>
        <v/>
      </c>
    </row>
    <row r="1766">
      <c r="A1766" s="51" t="n"/>
      <c r="B1766" s="52" t="n"/>
      <c r="C1766" s="52" t="n"/>
      <c r="D1766" s="53" t="n"/>
      <c r="E1766" s="53" t="n"/>
      <c r="F1766" s="54" t="n"/>
      <c r="G1766" s="54" t="n"/>
      <c r="H1766" s="54" t="n"/>
      <c r="I1766" s="54" t="n"/>
      <c r="J1766" s="53" t="n"/>
      <c r="K1766" s="55" t="str">
        <f>IF(COUNTA(A1766:I1766)=0,"",IF(F1766="",IFERROR(INDEX(eq_dur,MATCH(B1766,eq_code,0)),""),F1766))</f>
        <v/>
      </c>
      <c r="L1766" s="55" t="str">
        <f>IF(ISNUMBER(K1766),N(IFERROR(INDEX(eq_pause,MATCH(B1766,eq_code,0)),0))+SUMIFS(st_min,st_date,A1766,st_eq,B1766,st_po,C1766,st_type,"Planifié"),"")</f>
        <v/>
      </c>
      <c r="M1766" s="55" t="str">
        <f>IF(ISNUMBER(K1766),K1766-L1766,"")</f>
        <v/>
      </c>
      <c r="N1766" s="55" t="str">
        <f>IF(ISNUMBER(K1766),SUMIFS(st_min,st_date,A1766,st_eq,B1766,st_po,C1766,st_type,"Non planifié"),"")</f>
        <v/>
      </c>
      <c r="O1766" s="55" t="str">
        <f>IF(ISNUMBER(K1766),M1766-N1766,"")</f>
        <v/>
      </c>
      <c r="P1766" s="55" t="str">
        <f>IF(COUNTA(A1766:I1766)=0,"",N(G1766)+N(H1766)+N(I1766))</f>
        <v/>
      </c>
      <c r="Q1766" s="56" t="str">
        <f>IF(COUNTA(A1766:I1766)=0,"",IF(N(IFERROR(INDEX(art_rate,MATCH(E1766,art_ref,0)),0))&gt;0,N(IFERROR(INDEX(art_rate,MATCH(E1766,art_ref,0)),0)),N(IFERROR(INDEX(po_rate,MATCH(C1766,po_code,0)),0))))</f>
        <v/>
      </c>
      <c r="R1766" s="55" t="str">
        <f>IF(AC1766=1,P1766*60/Q1766,"")</f>
        <v/>
      </c>
      <c r="S1766" s="55" t="str">
        <f>IF(AC1766=1,N(G1766)*60/Q1766,"")</f>
        <v/>
      </c>
      <c r="T1766" s="57" t="str">
        <f>IF(AC1766=1,O1766/M1766,"")</f>
        <v/>
      </c>
      <c r="U1766" s="57" t="str">
        <f>IF(AC1766=1,IF(O1766&gt;0,R1766/O1766,""),"")</f>
        <v/>
      </c>
      <c r="V1766" s="57" t="str">
        <f>IF(AC1766=1,IF(P1766&gt;0,N(G1766)/P1766,""),"")</f>
        <v/>
      </c>
      <c r="W1766" s="57" t="str">
        <f>IF(AC1766=1,S1766/M1766,"")</f>
        <v/>
      </c>
      <c r="X1766" s="57" t="str">
        <f>IF(AC1766=1,S1766/K1766,"")</f>
        <v/>
      </c>
      <c r="Y1766" s="58" t="str">
        <f>IF(W1766="","",IF(W1766&gt;=p_target,"Bon",IF(W1766&gt;=p_alert,"À surveiller","Faible")))</f>
        <v/>
      </c>
      <c r="Z1766" s="58" t="str">
        <f>IF(W1766="","",IF(MIN(IF(T1766="",1,T1766),IF(U1766="",1,U1766),IF(V1766="",1,V1766))&gt;=1,"Aucune",IF(IF(T1766="",1,T1766)&lt;=MIN(IF(U1766="",1,U1766),IF(V1766="",1,V1766)),"Disponibilité",IF(IF(U1766="",1,U1766)&lt;=IF(V1766="",1,V1766),"Performance","Qualité"))))</f>
        <v/>
      </c>
      <c r="AA1766" s="59" t="str">
        <f>IF(AC1766=1,N(H1766)*N(IFERROR(INDEX(art_cost,MATCH(E1766,art_ref,0)),0)),"")</f>
        <v/>
      </c>
      <c r="AB1766" s="58" t="str">
        <f>IF(COUNTA(A1766:I1766)=0,"",IF(N(A1766)&lt;=0,"Date manquante ou invalide",IF(B1766="","Équipe manquante",IF(ISNA(MATCH(B1766,eq_code,0)),"Équipe inconnue",IF(INDEX(eq_check,MATCH(B1766,eq_code,0))&lt;&gt;"OK","Équipe à corriger dans Paramètres",IF(C1766="","Poste manquant",IF(ISNA(MATCH(C1766,po_code,0)),"Poste inconnu",IF(AND(E1766&lt;&gt;"",ISNA(MATCH(E1766,art_ref,0))),"Article inconnu",IF(IF(E1766="",FALSE,INDEX(art_check,MATCH(E1766,art_ref,0))&lt;&gt;"OK"),"Article à corriger (feuille Articles)",IF(COUNTIFS(sj_date,A1766,sj_eq,B1766,sj_po,C1766)&gt;1,"Ligne en double (même jour, équipe et poste)",IF(OR(NOT(ISNUMBER(K1766)),N(K1766)&lt;=0,N(K1766)&gt;1440),"Temps d'ouverture invalide",IF(OR(AND(G1766&lt;&gt;"",NOT(ISNUMBER(G1766))),N(G1766)&lt;0,N(G1766)&lt;&gt;INT(N(G1766)),AND(H1766&lt;&gt;"",NOT(ISNUMBER(H1766))),N(H1766)&lt;0,N(H1766)&lt;&gt;INT(N(H1766)),AND(I1766&lt;&gt;"",NOT(ISNUMBER(I1766))),N(I1766)&lt;0,N(I1766)&lt;&gt;INT(N(I1766))),"Quantité invalide",IF(Q1766&lt;=0,"Cadence manquante (poste ou article)",IF(M1766&lt;=0,"Arrêts planifiés supérieurs au temps d'ouverture",IF(O1766&lt;0,"Arrêts supérieurs au temps requis",IF(AND(P1766&gt;0,O1766=0),"Pièces déclarées sans temps de marche",IF(AND(P1766=0,O1766&gt;0),"Aucune pièce déclarée",IF(P1766*60/Q1766&gt;O1766+0.001,"Cadence dépassée : vérifiez la cadence","OK"))))))))))))))))))</f>
        <v/>
      </c>
      <c r="AC1766">
        <f>IF(OR(AB1766="OK",AB1766="Aucune pièce déclarée",AB1766="Cadence dépassée : vérifiez la cadence"),1,0)</f>
        <v>0.0</v>
      </c>
      <c r="AD1766">
        <f>IF(AND(AC1766=1,A1766&gt;=p_from,A1766&lt;=p_to),1,0)</f>
        <v>0.0</v>
      </c>
      <c r="AE1766">
        <f>IF(AD1766=1,IF(COUNTIFS($A$6:A1766,A1766,$AD$6:AD1766,1)=1,1,0),0)</f>
        <v>0.0</v>
      </c>
      <c r="AF1766" t="str">
        <f>IF(AE1766=1,COUNTIFS(sj_first,1,sj_date,"&lt;"&amp;A1766)+1,"")</f>
        <v/>
      </c>
      <c r="AG1766" t="str">
        <f>IF(AND(AD1766=1,N(W1766)&lt;p_alert),ROUND(W1766,4),"")</f>
        <v/>
      </c>
      <c r="AH1766" t="str">
        <f>IF(AG1766="","",COUNTIF(sj_akey,"&lt;"&amp;AG1766)+COUNTIF($AG$6:AG1766,AG1766))</f>
        <v/>
      </c>
    </row>
    <row r="1767">
      <c r="A1767" s="51" t="n"/>
      <c r="B1767" s="52" t="n"/>
      <c r="C1767" s="52" t="n"/>
      <c r="D1767" s="53" t="n"/>
      <c r="E1767" s="53" t="n"/>
      <c r="F1767" s="54" t="n"/>
      <c r="G1767" s="54" t="n"/>
      <c r="H1767" s="54" t="n"/>
      <c r="I1767" s="54" t="n"/>
      <c r="J1767" s="53" t="n"/>
      <c r="K1767" s="55" t="str">
        <f>IF(COUNTA(A1767:I1767)=0,"",IF(F1767="",IFERROR(INDEX(eq_dur,MATCH(B1767,eq_code,0)),""),F1767))</f>
        <v/>
      </c>
      <c r="L1767" s="55" t="str">
        <f>IF(ISNUMBER(K1767),N(IFERROR(INDEX(eq_pause,MATCH(B1767,eq_code,0)),0))+SUMIFS(st_min,st_date,A1767,st_eq,B1767,st_po,C1767,st_type,"Planifié"),"")</f>
        <v/>
      </c>
      <c r="M1767" s="55" t="str">
        <f>IF(ISNUMBER(K1767),K1767-L1767,"")</f>
        <v/>
      </c>
      <c r="N1767" s="55" t="str">
        <f>IF(ISNUMBER(K1767),SUMIFS(st_min,st_date,A1767,st_eq,B1767,st_po,C1767,st_type,"Non planifié"),"")</f>
        <v/>
      </c>
      <c r="O1767" s="55" t="str">
        <f>IF(ISNUMBER(K1767),M1767-N1767,"")</f>
        <v/>
      </c>
      <c r="P1767" s="55" t="str">
        <f>IF(COUNTA(A1767:I1767)=0,"",N(G1767)+N(H1767)+N(I1767))</f>
        <v/>
      </c>
      <c r="Q1767" s="56" t="str">
        <f>IF(COUNTA(A1767:I1767)=0,"",IF(N(IFERROR(INDEX(art_rate,MATCH(E1767,art_ref,0)),0))&gt;0,N(IFERROR(INDEX(art_rate,MATCH(E1767,art_ref,0)),0)),N(IFERROR(INDEX(po_rate,MATCH(C1767,po_code,0)),0))))</f>
        <v/>
      </c>
      <c r="R1767" s="55" t="str">
        <f>IF(AC1767=1,P1767*60/Q1767,"")</f>
        <v/>
      </c>
      <c r="S1767" s="55" t="str">
        <f>IF(AC1767=1,N(G1767)*60/Q1767,"")</f>
        <v/>
      </c>
      <c r="T1767" s="57" t="str">
        <f>IF(AC1767=1,O1767/M1767,"")</f>
        <v/>
      </c>
      <c r="U1767" s="57" t="str">
        <f>IF(AC1767=1,IF(O1767&gt;0,R1767/O1767,""),"")</f>
        <v/>
      </c>
      <c r="V1767" s="57" t="str">
        <f>IF(AC1767=1,IF(P1767&gt;0,N(G1767)/P1767,""),"")</f>
        <v/>
      </c>
      <c r="W1767" s="57" t="str">
        <f>IF(AC1767=1,S1767/M1767,"")</f>
        <v/>
      </c>
      <c r="X1767" s="57" t="str">
        <f>IF(AC1767=1,S1767/K1767,"")</f>
        <v/>
      </c>
      <c r="Y1767" s="58" t="str">
        <f>IF(W1767="","",IF(W1767&gt;=p_target,"Bon",IF(W1767&gt;=p_alert,"À surveiller","Faible")))</f>
        <v/>
      </c>
      <c r="Z1767" s="58" t="str">
        <f>IF(W1767="","",IF(MIN(IF(T1767="",1,T1767),IF(U1767="",1,U1767),IF(V1767="",1,V1767))&gt;=1,"Aucune",IF(IF(T1767="",1,T1767)&lt;=MIN(IF(U1767="",1,U1767),IF(V1767="",1,V1767)),"Disponibilité",IF(IF(U1767="",1,U1767)&lt;=IF(V1767="",1,V1767),"Performance","Qualité"))))</f>
        <v/>
      </c>
      <c r="AA1767" s="59" t="str">
        <f>IF(AC1767=1,N(H1767)*N(IFERROR(INDEX(art_cost,MATCH(E1767,art_ref,0)),0)),"")</f>
        <v/>
      </c>
      <c r="AB1767" s="58" t="str">
        <f>IF(COUNTA(A1767:I1767)=0,"",IF(N(A1767)&lt;=0,"Date manquante ou invalide",IF(B1767="","Équipe manquante",IF(ISNA(MATCH(B1767,eq_code,0)),"Équipe inconnue",IF(INDEX(eq_check,MATCH(B1767,eq_code,0))&lt;&gt;"OK","Équipe à corriger dans Paramètres",IF(C1767="","Poste manquant",IF(ISNA(MATCH(C1767,po_code,0)),"Poste inconnu",IF(AND(E1767&lt;&gt;"",ISNA(MATCH(E1767,art_ref,0))),"Article inconnu",IF(IF(E1767="",FALSE,INDEX(art_check,MATCH(E1767,art_ref,0))&lt;&gt;"OK"),"Article à corriger (feuille Articles)",IF(COUNTIFS(sj_date,A1767,sj_eq,B1767,sj_po,C1767)&gt;1,"Ligne en double (même jour, équipe et poste)",IF(OR(NOT(ISNUMBER(K1767)),N(K1767)&lt;=0,N(K1767)&gt;1440),"Temps d'ouverture invalide",IF(OR(AND(G1767&lt;&gt;"",NOT(ISNUMBER(G1767))),N(G1767)&lt;0,N(G1767)&lt;&gt;INT(N(G1767)),AND(H1767&lt;&gt;"",NOT(ISNUMBER(H1767))),N(H1767)&lt;0,N(H1767)&lt;&gt;INT(N(H1767)),AND(I1767&lt;&gt;"",NOT(ISNUMBER(I1767))),N(I1767)&lt;0,N(I1767)&lt;&gt;INT(N(I1767))),"Quantité invalide",IF(Q1767&lt;=0,"Cadence manquante (poste ou article)",IF(M1767&lt;=0,"Arrêts planifiés supérieurs au temps d'ouverture",IF(O1767&lt;0,"Arrêts supérieurs au temps requis",IF(AND(P1767&gt;0,O1767=0),"Pièces déclarées sans temps de marche",IF(AND(P1767=0,O1767&gt;0),"Aucune pièce déclarée",IF(P1767*60/Q1767&gt;O1767+0.001,"Cadence dépassée : vérifiez la cadence","OK"))))))))))))))))))</f>
        <v/>
      </c>
      <c r="AC1767">
        <f>IF(OR(AB1767="OK",AB1767="Aucune pièce déclarée",AB1767="Cadence dépassée : vérifiez la cadence"),1,0)</f>
        <v>0.0</v>
      </c>
      <c r="AD1767">
        <f>IF(AND(AC1767=1,A1767&gt;=p_from,A1767&lt;=p_to),1,0)</f>
        <v>0.0</v>
      </c>
      <c r="AE1767">
        <f>IF(AD1767=1,IF(COUNTIFS($A$6:A1767,A1767,$AD$6:AD1767,1)=1,1,0),0)</f>
        <v>0.0</v>
      </c>
      <c r="AF1767" t="str">
        <f>IF(AE1767=1,COUNTIFS(sj_first,1,sj_date,"&lt;"&amp;A1767)+1,"")</f>
        <v/>
      </c>
      <c r="AG1767" t="str">
        <f>IF(AND(AD1767=1,N(W1767)&lt;p_alert),ROUND(W1767,4),"")</f>
        <v/>
      </c>
      <c r="AH1767" t="str">
        <f>IF(AG1767="","",COUNTIF(sj_akey,"&lt;"&amp;AG1767)+COUNTIF($AG$6:AG1767,AG1767))</f>
        <v/>
      </c>
    </row>
    <row r="1768">
      <c r="A1768" s="51" t="n"/>
      <c r="B1768" s="52" t="n"/>
      <c r="C1768" s="52" t="n"/>
      <c r="D1768" s="53" t="n"/>
      <c r="E1768" s="53" t="n"/>
      <c r="F1768" s="54" t="n"/>
      <c r="G1768" s="54" t="n"/>
      <c r="H1768" s="54" t="n"/>
      <c r="I1768" s="54" t="n"/>
      <c r="J1768" s="53" t="n"/>
      <c r="K1768" s="55" t="str">
        <f>IF(COUNTA(A1768:I1768)=0,"",IF(F1768="",IFERROR(INDEX(eq_dur,MATCH(B1768,eq_code,0)),""),F1768))</f>
        <v/>
      </c>
      <c r="L1768" s="55" t="str">
        <f>IF(ISNUMBER(K1768),N(IFERROR(INDEX(eq_pause,MATCH(B1768,eq_code,0)),0))+SUMIFS(st_min,st_date,A1768,st_eq,B1768,st_po,C1768,st_type,"Planifié"),"")</f>
        <v/>
      </c>
      <c r="M1768" s="55" t="str">
        <f>IF(ISNUMBER(K1768),K1768-L1768,"")</f>
        <v/>
      </c>
      <c r="N1768" s="55" t="str">
        <f>IF(ISNUMBER(K1768),SUMIFS(st_min,st_date,A1768,st_eq,B1768,st_po,C1768,st_type,"Non planifié"),"")</f>
        <v/>
      </c>
      <c r="O1768" s="55" t="str">
        <f>IF(ISNUMBER(K1768),M1768-N1768,"")</f>
        <v/>
      </c>
      <c r="P1768" s="55" t="str">
        <f>IF(COUNTA(A1768:I1768)=0,"",N(G1768)+N(H1768)+N(I1768))</f>
        <v/>
      </c>
      <c r="Q1768" s="56" t="str">
        <f>IF(COUNTA(A1768:I1768)=0,"",IF(N(IFERROR(INDEX(art_rate,MATCH(E1768,art_ref,0)),0))&gt;0,N(IFERROR(INDEX(art_rate,MATCH(E1768,art_ref,0)),0)),N(IFERROR(INDEX(po_rate,MATCH(C1768,po_code,0)),0))))</f>
        <v/>
      </c>
      <c r="R1768" s="55" t="str">
        <f>IF(AC1768=1,P1768*60/Q1768,"")</f>
        <v/>
      </c>
      <c r="S1768" s="55" t="str">
        <f>IF(AC1768=1,N(G1768)*60/Q1768,"")</f>
        <v/>
      </c>
      <c r="T1768" s="57" t="str">
        <f>IF(AC1768=1,O1768/M1768,"")</f>
        <v/>
      </c>
      <c r="U1768" s="57" t="str">
        <f>IF(AC1768=1,IF(O1768&gt;0,R1768/O1768,""),"")</f>
        <v/>
      </c>
      <c r="V1768" s="57" t="str">
        <f>IF(AC1768=1,IF(P1768&gt;0,N(G1768)/P1768,""),"")</f>
        <v/>
      </c>
      <c r="W1768" s="57" t="str">
        <f>IF(AC1768=1,S1768/M1768,"")</f>
        <v/>
      </c>
      <c r="X1768" s="57" t="str">
        <f>IF(AC1768=1,S1768/K1768,"")</f>
        <v/>
      </c>
      <c r="Y1768" s="58" t="str">
        <f>IF(W1768="","",IF(W1768&gt;=p_target,"Bon",IF(W1768&gt;=p_alert,"À surveiller","Faible")))</f>
        <v/>
      </c>
      <c r="Z1768" s="58" t="str">
        <f>IF(W1768="","",IF(MIN(IF(T1768="",1,T1768),IF(U1768="",1,U1768),IF(V1768="",1,V1768))&gt;=1,"Aucune",IF(IF(T1768="",1,T1768)&lt;=MIN(IF(U1768="",1,U1768),IF(V1768="",1,V1768)),"Disponibilité",IF(IF(U1768="",1,U1768)&lt;=IF(V1768="",1,V1768),"Performance","Qualité"))))</f>
        <v/>
      </c>
      <c r="AA1768" s="59" t="str">
        <f>IF(AC1768=1,N(H1768)*N(IFERROR(INDEX(art_cost,MATCH(E1768,art_ref,0)),0)),"")</f>
        <v/>
      </c>
      <c r="AB1768" s="58" t="str">
        <f>IF(COUNTA(A1768:I1768)=0,"",IF(N(A1768)&lt;=0,"Date manquante ou invalide",IF(B1768="","Équipe manquante",IF(ISNA(MATCH(B1768,eq_code,0)),"Équipe inconnue",IF(INDEX(eq_check,MATCH(B1768,eq_code,0))&lt;&gt;"OK","Équipe à corriger dans Paramètres",IF(C1768="","Poste manquant",IF(ISNA(MATCH(C1768,po_code,0)),"Poste inconnu",IF(AND(E1768&lt;&gt;"",ISNA(MATCH(E1768,art_ref,0))),"Article inconnu",IF(IF(E1768="",FALSE,INDEX(art_check,MATCH(E1768,art_ref,0))&lt;&gt;"OK"),"Article à corriger (feuille Articles)",IF(COUNTIFS(sj_date,A1768,sj_eq,B1768,sj_po,C1768)&gt;1,"Ligne en double (même jour, équipe et poste)",IF(OR(NOT(ISNUMBER(K1768)),N(K1768)&lt;=0,N(K1768)&gt;1440),"Temps d'ouverture invalide",IF(OR(AND(G1768&lt;&gt;"",NOT(ISNUMBER(G1768))),N(G1768)&lt;0,N(G1768)&lt;&gt;INT(N(G1768)),AND(H1768&lt;&gt;"",NOT(ISNUMBER(H1768))),N(H1768)&lt;0,N(H1768)&lt;&gt;INT(N(H1768)),AND(I1768&lt;&gt;"",NOT(ISNUMBER(I1768))),N(I1768)&lt;0,N(I1768)&lt;&gt;INT(N(I1768))),"Quantité invalide",IF(Q1768&lt;=0,"Cadence manquante (poste ou article)",IF(M1768&lt;=0,"Arrêts planifiés supérieurs au temps d'ouverture",IF(O1768&lt;0,"Arrêts supérieurs au temps requis",IF(AND(P1768&gt;0,O1768=0),"Pièces déclarées sans temps de marche",IF(AND(P1768=0,O1768&gt;0),"Aucune pièce déclarée",IF(P1768*60/Q1768&gt;O1768+0.001,"Cadence dépassée : vérifiez la cadence","OK"))))))))))))))))))</f>
        <v/>
      </c>
      <c r="AC1768">
        <f>IF(OR(AB1768="OK",AB1768="Aucune pièce déclarée",AB1768="Cadence dépassée : vérifiez la cadence"),1,0)</f>
        <v>0.0</v>
      </c>
      <c r="AD1768">
        <f>IF(AND(AC1768=1,A1768&gt;=p_from,A1768&lt;=p_to),1,0)</f>
        <v>0.0</v>
      </c>
      <c r="AE1768">
        <f>IF(AD1768=1,IF(COUNTIFS($A$6:A1768,A1768,$AD$6:AD1768,1)=1,1,0),0)</f>
        <v>0.0</v>
      </c>
      <c r="AF1768" t="str">
        <f>IF(AE1768=1,COUNTIFS(sj_first,1,sj_date,"&lt;"&amp;A1768)+1,"")</f>
        <v/>
      </c>
      <c r="AG1768" t="str">
        <f>IF(AND(AD1768=1,N(W1768)&lt;p_alert),ROUND(W1768,4),"")</f>
        <v/>
      </c>
      <c r="AH1768" t="str">
        <f>IF(AG1768="","",COUNTIF(sj_akey,"&lt;"&amp;AG1768)+COUNTIF($AG$6:AG1768,AG1768))</f>
        <v/>
      </c>
    </row>
    <row r="1769">
      <c r="A1769" s="51" t="n"/>
      <c r="B1769" s="52" t="n"/>
      <c r="C1769" s="52" t="n"/>
      <c r="D1769" s="53" t="n"/>
      <c r="E1769" s="53" t="n"/>
      <c r="F1769" s="54" t="n"/>
      <c r="G1769" s="54" t="n"/>
      <c r="H1769" s="54" t="n"/>
      <c r="I1769" s="54" t="n"/>
      <c r="J1769" s="53" t="n"/>
      <c r="K1769" s="55" t="str">
        <f>IF(COUNTA(A1769:I1769)=0,"",IF(F1769="",IFERROR(INDEX(eq_dur,MATCH(B1769,eq_code,0)),""),F1769))</f>
        <v/>
      </c>
      <c r="L1769" s="55" t="str">
        <f>IF(ISNUMBER(K1769),N(IFERROR(INDEX(eq_pause,MATCH(B1769,eq_code,0)),0))+SUMIFS(st_min,st_date,A1769,st_eq,B1769,st_po,C1769,st_type,"Planifié"),"")</f>
        <v/>
      </c>
      <c r="M1769" s="55" t="str">
        <f>IF(ISNUMBER(K1769),K1769-L1769,"")</f>
        <v/>
      </c>
      <c r="N1769" s="55" t="str">
        <f>IF(ISNUMBER(K1769),SUMIFS(st_min,st_date,A1769,st_eq,B1769,st_po,C1769,st_type,"Non planifié"),"")</f>
        <v/>
      </c>
      <c r="O1769" s="55" t="str">
        <f>IF(ISNUMBER(K1769),M1769-N1769,"")</f>
        <v/>
      </c>
      <c r="P1769" s="55" t="str">
        <f>IF(COUNTA(A1769:I1769)=0,"",N(G1769)+N(H1769)+N(I1769))</f>
        <v/>
      </c>
      <c r="Q1769" s="56" t="str">
        <f>IF(COUNTA(A1769:I1769)=0,"",IF(N(IFERROR(INDEX(art_rate,MATCH(E1769,art_ref,0)),0))&gt;0,N(IFERROR(INDEX(art_rate,MATCH(E1769,art_ref,0)),0)),N(IFERROR(INDEX(po_rate,MATCH(C1769,po_code,0)),0))))</f>
        <v/>
      </c>
      <c r="R1769" s="55" t="str">
        <f>IF(AC1769=1,P1769*60/Q1769,"")</f>
        <v/>
      </c>
      <c r="S1769" s="55" t="str">
        <f>IF(AC1769=1,N(G1769)*60/Q1769,"")</f>
        <v/>
      </c>
      <c r="T1769" s="57" t="str">
        <f>IF(AC1769=1,O1769/M1769,"")</f>
        <v/>
      </c>
      <c r="U1769" s="57" t="str">
        <f>IF(AC1769=1,IF(O1769&gt;0,R1769/O1769,""),"")</f>
        <v/>
      </c>
      <c r="V1769" s="57" t="str">
        <f>IF(AC1769=1,IF(P1769&gt;0,N(G1769)/P1769,""),"")</f>
        <v/>
      </c>
      <c r="W1769" s="57" t="str">
        <f>IF(AC1769=1,S1769/M1769,"")</f>
        <v/>
      </c>
      <c r="X1769" s="57" t="str">
        <f>IF(AC1769=1,S1769/K1769,"")</f>
        <v/>
      </c>
      <c r="Y1769" s="58" t="str">
        <f>IF(W1769="","",IF(W1769&gt;=p_target,"Bon",IF(W1769&gt;=p_alert,"À surveiller","Faible")))</f>
        <v/>
      </c>
      <c r="Z1769" s="58" t="str">
        <f>IF(W1769="","",IF(MIN(IF(T1769="",1,T1769),IF(U1769="",1,U1769),IF(V1769="",1,V1769))&gt;=1,"Aucune",IF(IF(T1769="",1,T1769)&lt;=MIN(IF(U1769="",1,U1769),IF(V1769="",1,V1769)),"Disponibilité",IF(IF(U1769="",1,U1769)&lt;=IF(V1769="",1,V1769),"Performance","Qualité"))))</f>
        <v/>
      </c>
      <c r="AA1769" s="59" t="str">
        <f>IF(AC1769=1,N(H1769)*N(IFERROR(INDEX(art_cost,MATCH(E1769,art_ref,0)),0)),"")</f>
        <v/>
      </c>
      <c r="AB1769" s="58" t="str">
        <f>IF(COUNTA(A1769:I1769)=0,"",IF(N(A1769)&lt;=0,"Date manquante ou invalide",IF(B1769="","Équipe manquante",IF(ISNA(MATCH(B1769,eq_code,0)),"Équipe inconnue",IF(INDEX(eq_check,MATCH(B1769,eq_code,0))&lt;&gt;"OK","Équipe à corriger dans Paramètres",IF(C1769="","Poste manquant",IF(ISNA(MATCH(C1769,po_code,0)),"Poste inconnu",IF(AND(E1769&lt;&gt;"",ISNA(MATCH(E1769,art_ref,0))),"Article inconnu",IF(IF(E1769="",FALSE,INDEX(art_check,MATCH(E1769,art_ref,0))&lt;&gt;"OK"),"Article à corriger (feuille Articles)",IF(COUNTIFS(sj_date,A1769,sj_eq,B1769,sj_po,C1769)&gt;1,"Ligne en double (même jour, équipe et poste)",IF(OR(NOT(ISNUMBER(K1769)),N(K1769)&lt;=0,N(K1769)&gt;1440),"Temps d'ouverture invalide",IF(OR(AND(G1769&lt;&gt;"",NOT(ISNUMBER(G1769))),N(G1769)&lt;0,N(G1769)&lt;&gt;INT(N(G1769)),AND(H1769&lt;&gt;"",NOT(ISNUMBER(H1769))),N(H1769)&lt;0,N(H1769)&lt;&gt;INT(N(H1769)),AND(I1769&lt;&gt;"",NOT(ISNUMBER(I1769))),N(I1769)&lt;0,N(I1769)&lt;&gt;INT(N(I1769))),"Quantité invalide",IF(Q1769&lt;=0,"Cadence manquante (poste ou article)",IF(M1769&lt;=0,"Arrêts planifiés supérieurs au temps d'ouverture",IF(O1769&lt;0,"Arrêts supérieurs au temps requis",IF(AND(P1769&gt;0,O1769=0),"Pièces déclarées sans temps de marche",IF(AND(P1769=0,O1769&gt;0),"Aucune pièce déclarée",IF(P1769*60/Q1769&gt;O1769+0.001,"Cadence dépassée : vérifiez la cadence","OK"))))))))))))))))))</f>
        <v/>
      </c>
      <c r="AC1769">
        <f>IF(OR(AB1769="OK",AB1769="Aucune pièce déclarée",AB1769="Cadence dépassée : vérifiez la cadence"),1,0)</f>
        <v>0.0</v>
      </c>
      <c r="AD1769">
        <f>IF(AND(AC1769=1,A1769&gt;=p_from,A1769&lt;=p_to),1,0)</f>
        <v>0.0</v>
      </c>
      <c r="AE1769">
        <f>IF(AD1769=1,IF(COUNTIFS($A$6:A1769,A1769,$AD$6:AD1769,1)=1,1,0),0)</f>
        <v>0.0</v>
      </c>
      <c r="AF1769" t="str">
        <f>IF(AE1769=1,COUNTIFS(sj_first,1,sj_date,"&lt;"&amp;A1769)+1,"")</f>
        <v/>
      </c>
      <c r="AG1769" t="str">
        <f>IF(AND(AD1769=1,N(W1769)&lt;p_alert),ROUND(W1769,4),"")</f>
        <v/>
      </c>
      <c r="AH1769" t="str">
        <f>IF(AG1769="","",COUNTIF(sj_akey,"&lt;"&amp;AG1769)+COUNTIF($AG$6:AG1769,AG1769))</f>
        <v/>
      </c>
    </row>
    <row r="1770">
      <c r="A1770" s="51" t="n"/>
      <c r="B1770" s="52" t="n"/>
      <c r="C1770" s="52" t="n"/>
      <c r="D1770" s="53" t="n"/>
      <c r="E1770" s="53" t="n"/>
      <c r="F1770" s="54" t="n"/>
      <c r="G1770" s="54" t="n"/>
      <c r="H1770" s="54" t="n"/>
      <c r="I1770" s="54" t="n"/>
      <c r="J1770" s="53" t="n"/>
      <c r="K1770" s="55" t="str">
        <f>IF(COUNTA(A1770:I1770)=0,"",IF(F1770="",IFERROR(INDEX(eq_dur,MATCH(B1770,eq_code,0)),""),F1770))</f>
        <v/>
      </c>
      <c r="L1770" s="55" t="str">
        <f>IF(ISNUMBER(K1770),N(IFERROR(INDEX(eq_pause,MATCH(B1770,eq_code,0)),0))+SUMIFS(st_min,st_date,A1770,st_eq,B1770,st_po,C1770,st_type,"Planifié"),"")</f>
        <v/>
      </c>
      <c r="M1770" s="55" t="str">
        <f>IF(ISNUMBER(K1770),K1770-L1770,"")</f>
        <v/>
      </c>
      <c r="N1770" s="55" t="str">
        <f>IF(ISNUMBER(K1770),SUMIFS(st_min,st_date,A1770,st_eq,B1770,st_po,C1770,st_type,"Non planifié"),"")</f>
        <v/>
      </c>
      <c r="O1770" s="55" t="str">
        <f>IF(ISNUMBER(K1770),M1770-N1770,"")</f>
        <v/>
      </c>
      <c r="P1770" s="55" t="str">
        <f>IF(COUNTA(A1770:I1770)=0,"",N(G1770)+N(H1770)+N(I1770))</f>
        <v/>
      </c>
      <c r="Q1770" s="56" t="str">
        <f>IF(COUNTA(A1770:I1770)=0,"",IF(N(IFERROR(INDEX(art_rate,MATCH(E1770,art_ref,0)),0))&gt;0,N(IFERROR(INDEX(art_rate,MATCH(E1770,art_ref,0)),0)),N(IFERROR(INDEX(po_rate,MATCH(C1770,po_code,0)),0))))</f>
        <v/>
      </c>
      <c r="R1770" s="55" t="str">
        <f>IF(AC1770=1,P1770*60/Q1770,"")</f>
        <v/>
      </c>
      <c r="S1770" s="55" t="str">
        <f>IF(AC1770=1,N(G1770)*60/Q1770,"")</f>
        <v/>
      </c>
      <c r="T1770" s="57" t="str">
        <f>IF(AC1770=1,O1770/M1770,"")</f>
        <v/>
      </c>
      <c r="U1770" s="57" t="str">
        <f>IF(AC1770=1,IF(O1770&gt;0,R1770/O1770,""),"")</f>
        <v/>
      </c>
      <c r="V1770" s="57" t="str">
        <f>IF(AC1770=1,IF(P1770&gt;0,N(G1770)/P1770,""),"")</f>
        <v/>
      </c>
      <c r="W1770" s="57" t="str">
        <f>IF(AC1770=1,S1770/M1770,"")</f>
        <v/>
      </c>
      <c r="X1770" s="57" t="str">
        <f>IF(AC1770=1,S1770/K1770,"")</f>
        <v/>
      </c>
      <c r="Y1770" s="58" t="str">
        <f>IF(W1770="","",IF(W1770&gt;=p_target,"Bon",IF(W1770&gt;=p_alert,"À surveiller","Faible")))</f>
        <v/>
      </c>
      <c r="Z1770" s="58" t="str">
        <f>IF(W1770="","",IF(MIN(IF(T1770="",1,T1770),IF(U1770="",1,U1770),IF(V1770="",1,V1770))&gt;=1,"Aucune",IF(IF(T1770="",1,T1770)&lt;=MIN(IF(U1770="",1,U1770),IF(V1770="",1,V1770)),"Disponibilité",IF(IF(U1770="",1,U1770)&lt;=IF(V1770="",1,V1770),"Performance","Qualité"))))</f>
        <v/>
      </c>
      <c r="AA1770" s="59" t="str">
        <f>IF(AC1770=1,N(H1770)*N(IFERROR(INDEX(art_cost,MATCH(E1770,art_ref,0)),0)),"")</f>
        <v/>
      </c>
      <c r="AB1770" s="58" t="str">
        <f>IF(COUNTA(A1770:I1770)=0,"",IF(N(A1770)&lt;=0,"Date manquante ou invalide",IF(B1770="","Équipe manquante",IF(ISNA(MATCH(B1770,eq_code,0)),"Équipe inconnue",IF(INDEX(eq_check,MATCH(B1770,eq_code,0))&lt;&gt;"OK","Équipe à corriger dans Paramètres",IF(C1770="","Poste manquant",IF(ISNA(MATCH(C1770,po_code,0)),"Poste inconnu",IF(AND(E1770&lt;&gt;"",ISNA(MATCH(E1770,art_ref,0))),"Article inconnu",IF(IF(E1770="",FALSE,INDEX(art_check,MATCH(E1770,art_ref,0))&lt;&gt;"OK"),"Article à corriger (feuille Articles)",IF(COUNTIFS(sj_date,A1770,sj_eq,B1770,sj_po,C1770)&gt;1,"Ligne en double (même jour, équipe et poste)",IF(OR(NOT(ISNUMBER(K1770)),N(K1770)&lt;=0,N(K1770)&gt;1440),"Temps d'ouverture invalide",IF(OR(AND(G1770&lt;&gt;"",NOT(ISNUMBER(G1770))),N(G1770)&lt;0,N(G1770)&lt;&gt;INT(N(G1770)),AND(H1770&lt;&gt;"",NOT(ISNUMBER(H1770))),N(H1770)&lt;0,N(H1770)&lt;&gt;INT(N(H1770)),AND(I1770&lt;&gt;"",NOT(ISNUMBER(I1770))),N(I1770)&lt;0,N(I1770)&lt;&gt;INT(N(I1770))),"Quantité invalide",IF(Q1770&lt;=0,"Cadence manquante (poste ou article)",IF(M1770&lt;=0,"Arrêts planifiés supérieurs au temps d'ouverture",IF(O1770&lt;0,"Arrêts supérieurs au temps requis",IF(AND(P1770&gt;0,O1770=0),"Pièces déclarées sans temps de marche",IF(AND(P1770=0,O1770&gt;0),"Aucune pièce déclarée",IF(P1770*60/Q1770&gt;O1770+0.001,"Cadence dépassée : vérifiez la cadence","OK"))))))))))))))))))</f>
        <v/>
      </c>
      <c r="AC1770">
        <f>IF(OR(AB1770="OK",AB1770="Aucune pièce déclarée",AB1770="Cadence dépassée : vérifiez la cadence"),1,0)</f>
        <v>0.0</v>
      </c>
      <c r="AD1770">
        <f>IF(AND(AC1770=1,A1770&gt;=p_from,A1770&lt;=p_to),1,0)</f>
        <v>0.0</v>
      </c>
      <c r="AE1770">
        <f>IF(AD1770=1,IF(COUNTIFS($A$6:A1770,A1770,$AD$6:AD1770,1)=1,1,0),0)</f>
        <v>0.0</v>
      </c>
      <c r="AF1770" t="str">
        <f>IF(AE1770=1,COUNTIFS(sj_first,1,sj_date,"&lt;"&amp;A1770)+1,"")</f>
        <v/>
      </c>
      <c r="AG1770" t="str">
        <f>IF(AND(AD1770=1,N(W1770)&lt;p_alert),ROUND(W1770,4),"")</f>
        <v/>
      </c>
      <c r="AH1770" t="str">
        <f>IF(AG1770="","",COUNTIF(sj_akey,"&lt;"&amp;AG1770)+COUNTIF($AG$6:AG1770,AG1770))</f>
        <v/>
      </c>
    </row>
    <row r="1771">
      <c r="A1771" s="51" t="n"/>
      <c r="B1771" s="52" t="n"/>
      <c r="C1771" s="52" t="n"/>
      <c r="D1771" s="53" t="n"/>
      <c r="E1771" s="53" t="n"/>
      <c r="F1771" s="54" t="n"/>
      <c r="G1771" s="54" t="n"/>
      <c r="H1771" s="54" t="n"/>
      <c r="I1771" s="54" t="n"/>
      <c r="J1771" s="53" t="n"/>
      <c r="K1771" s="55" t="str">
        <f>IF(COUNTA(A1771:I1771)=0,"",IF(F1771="",IFERROR(INDEX(eq_dur,MATCH(B1771,eq_code,0)),""),F1771))</f>
        <v/>
      </c>
      <c r="L1771" s="55" t="str">
        <f>IF(ISNUMBER(K1771),N(IFERROR(INDEX(eq_pause,MATCH(B1771,eq_code,0)),0))+SUMIFS(st_min,st_date,A1771,st_eq,B1771,st_po,C1771,st_type,"Planifié"),"")</f>
        <v/>
      </c>
      <c r="M1771" s="55" t="str">
        <f>IF(ISNUMBER(K1771),K1771-L1771,"")</f>
        <v/>
      </c>
      <c r="N1771" s="55" t="str">
        <f>IF(ISNUMBER(K1771),SUMIFS(st_min,st_date,A1771,st_eq,B1771,st_po,C1771,st_type,"Non planifié"),"")</f>
        <v/>
      </c>
      <c r="O1771" s="55" t="str">
        <f>IF(ISNUMBER(K1771),M1771-N1771,"")</f>
        <v/>
      </c>
      <c r="P1771" s="55" t="str">
        <f>IF(COUNTA(A1771:I1771)=0,"",N(G1771)+N(H1771)+N(I1771))</f>
        <v/>
      </c>
      <c r="Q1771" s="56" t="str">
        <f>IF(COUNTA(A1771:I1771)=0,"",IF(N(IFERROR(INDEX(art_rate,MATCH(E1771,art_ref,0)),0))&gt;0,N(IFERROR(INDEX(art_rate,MATCH(E1771,art_ref,0)),0)),N(IFERROR(INDEX(po_rate,MATCH(C1771,po_code,0)),0))))</f>
        <v/>
      </c>
      <c r="R1771" s="55" t="str">
        <f>IF(AC1771=1,P1771*60/Q1771,"")</f>
        <v/>
      </c>
      <c r="S1771" s="55" t="str">
        <f>IF(AC1771=1,N(G1771)*60/Q1771,"")</f>
        <v/>
      </c>
      <c r="T1771" s="57" t="str">
        <f>IF(AC1771=1,O1771/M1771,"")</f>
        <v/>
      </c>
      <c r="U1771" s="57" t="str">
        <f>IF(AC1771=1,IF(O1771&gt;0,R1771/O1771,""),"")</f>
        <v/>
      </c>
      <c r="V1771" s="57" t="str">
        <f>IF(AC1771=1,IF(P1771&gt;0,N(G1771)/P1771,""),"")</f>
        <v/>
      </c>
      <c r="W1771" s="57" t="str">
        <f>IF(AC1771=1,S1771/M1771,"")</f>
        <v/>
      </c>
      <c r="X1771" s="57" t="str">
        <f>IF(AC1771=1,S1771/K1771,"")</f>
        <v/>
      </c>
      <c r="Y1771" s="58" t="str">
        <f>IF(W1771="","",IF(W1771&gt;=p_target,"Bon",IF(W1771&gt;=p_alert,"À surveiller","Faible")))</f>
        <v/>
      </c>
      <c r="Z1771" s="58" t="str">
        <f>IF(W1771="","",IF(MIN(IF(T1771="",1,T1771),IF(U1771="",1,U1771),IF(V1771="",1,V1771))&gt;=1,"Aucune",IF(IF(T1771="",1,T1771)&lt;=MIN(IF(U1771="",1,U1771),IF(V1771="",1,V1771)),"Disponibilité",IF(IF(U1771="",1,U1771)&lt;=IF(V1771="",1,V1771),"Performance","Qualité"))))</f>
        <v/>
      </c>
      <c r="AA1771" s="59" t="str">
        <f>IF(AC1771=1,N(H1771)*N(IFERROR(INDEX(art_cost,MATCH(E1771,art_ref,0)),0)),"")</f>
        <v/>
      </c>
      <c r="AB1771" s="58" t="str">
        <f>IF(COUNTA(A1771:I1771)=0,"",IF(N(A1771)&lt;=0,"Date manquante ou invalide",IF(B1771="","Équipe manquante",IF(ISNA(MATCH(B1771,eq_code,0)),"Équipe inconnue",IF(INDEX(eq_check,MATCH(B1771,eq_code,0))&lt;&gt;"OK","Équipe à corriger dans Paramètres",IF(C1771="","Poste manquant",IF(ISNA(MATCH(C1771,po_code,0)),"Poste inconnu",IF(AND(E1771&lt;&gt;"",ISNA(MATCH(E1771,art_ref,0))),"Article inconnu",IF(IF(E1771="",FALSE,INDEX(art_check,MATCH(E1771,art_ref,0))&lt;&gt;"OK"),"Article à corriger (feuille Articles)",IF(COUNTIFS(sj_date,A1771,sj_eq,B1771,sj_po,C1771)&gt;1,"Ligne en double (même jour, équipe et poste)",IF(OR(NOT(ISNUMBER(K1771)),N(K1771)&lt;=0,N(K1771)&gt;1440),"Temps d'ouverture invalide",IF(OR(AND(G1771&lt;&gt;"",NOT(ISNUMBER(G1771))),N(G1771)&lt;0,N(G1771)&lt;&gt;INT(N(G1771)),AND(H1771&lt;&gt;"",NOT(ISNUMBER(H1771))),N(H1771)&lt;0,N(H1771)&lt;&gt;INT(N(H1771)),AND(I1771&lt;&gt;"",NOT(ISNUMBER(I1771))),N(I1771)&lt;0,N(I1771)&lt;&gt;INT(N(I1771))),"Quantité invalide",IF(Q1771&lt;=0,"Cadence manquante (poste ou article)",IF(M1771&lt;=0,"Arrêts planifiés supérieurs au temps d'ouverture",IF(O1771&lt;0,"Arrêts supérieurs au temps requis",IF(AND(P1771&gt;0,O1771=0),"Pièces déclarées sans temps de marche",IF(AND(P1771=0,O1771&gt;0),"Aucune pièce déclarée",IF(P1771*60/Q1771&gt;O1771+0.001,"Cadence dépassée : vérifiez la cadence","OK"))))))))))))))))))</f>
        <v/>
      </c>
      <c r="AC1771">
        <f>IF(OR(AB1771="OK",AB1771="Aucune pièce déclarée",AB1771="Cadence dépassée : vérifiez la cadence"),1,0)</f>
        <v>0.0</v>
      </c>
      <c r="AD1771">
        <f>IF(AND(AC1771=1,A1771&gt;=p_from,A1771&lt;=p_to),1,0)</f>
        <v>0.0</v>
      </c>
      <c r="AE1771">
        <f>IF(AD1771=1,IF(COUNTIFS($A$6:A1771,A1771,$AD$6:AD1771,1)=1,1,0),0)</f>
        <v>0.0</v>
      </c>
      <c r="AF1771" t="str">
        <f>IF(AE1771=1,COUNTIFS(sj_first,1,sj_date,"&lt;"&amp;A1771)+1,"")</f>
        <v/>
      </c>
      <c r="AG1771" t="str">
        <f>IF(AND(AD1771=1,N(W1771)&lt;p_alert),ROUND(W1771,4),"")</f>
        <v/>
      </c>
      <c r="AH1771" t="str">
        <f>IF(AG1771="","",COUNTIF(sj_akey,"&lt;"&amp;AG1771)+COUNTIF($AG$6:AG1771,AG1771))</f>
        <v/>
      </c>
    </row>
    <row r="1772">
      <c r="A1772" s="51" t="n"/>
      <c r="B1772" s="52" t="n"/>
      <c r="C1772" s="52" t="n"/>
      <c r="D1772" s="53" t="n"/>
      <c r="E1772" s="53" t="n"/>
      <c r="F1772" s="54" t="n"/>
      <c r="G1772" s="54" t="n"/>
      <c r="H1772" s="54" t="n"/>
      <c r="I1772" s="54" t="n"/>
      <c r="J1772" s="53" t="n"/>
      <c r="K1772" s="55" t="str">
        <f>IF(COUNTA(A1772:I1772)=0,"",IF(F1772="",IFERROR(INDEX(eq_dur,MATCH(B1772,eq_code,0)),""),F1772))</f>
        <v/>
      </c>
      <c r="L1772" s="55" t="str">
        <f>IF(ISNUMBER(K1772),N(IFERROR(INDEX(eq_pause,MATCH(B1772,eq_code,0)),0))+SUMIFS(st_min,st_date,A1772,st_eq,B1772,st_po,C1772,st_type,"Planifié"),"")</f>
        <v/>
      </c>
      <c r="M1772" s="55" t="str">
        <f>IF(ISNUMBER(K1772),K1772-L1772,"")</f>
        <v/>
      </c>
      <c r="N1772" s="55" t="str">
        <f>IF(ISNUMBER(K1772),SUMIFS(st_min,st_date,A1772,st_eq,B1772,st_po,C1772,st_type,"Non planifié"),"")</f>
        <v/>
      </c>
      <c r="O1772" s="55" t="str">
        <f>IF(ISNUMBER(K1772),M1772-N1772,"")</f>
        <v/>
      </c>
      <c r="P1772" s="55" t="str">
        <f>IF(COUNTA(A1772:I1772)=0,"",N(G1772)+N(H1772)+N(I1772))</f>
        <v/>
      </c>
      <c r="Q1772" s="56" t="str">
        <f>IF(COUNTA(A1772:I1772)=0,"",IF(N(IFERROR(INDEX(art_rate,MATCH(E1772,art_ref,0)),0))&gt;0,N(IFERROR(INDEX(art_rate,MATCH(E1772,art_ref,0)),0)),N(IFERROR(INDEX(po_rate,MATCH(C1772,po_code,0)),0))))</f>
        <v/>
      </c>
      <c r="R1772" s="55" t="str">
        <f>IF(AC1772=1,P1772*60/Q1772,"")</f>
        <v/>
      </c>
      <c r="S1772" s="55" t="str">
        <f>IF(AC1772=1,N(G1772)*60/Q1772,"")</f>
        <v/>
      </c>
      <c r="T1772" s="57" t="str">
        <f>IF(AC1772=1,O1772/M1772,"")</f>
        <v/>
      </c>
      <c r="U1772" s="57" t="str">
        <f>IF(AC1772=1,IF(O1772&gt;0,R1772/O1772,""),"")</f>
        <v/>
      </c>
      <c r="V1772" s="57" t="str">
        <f>IF(AC1772=1,IF(P1772&gt;0,N(G1772)/P1772,""),"")</f>
        <v/>
      </c>
      <c r="W1772" s="57" t="str">
        <f>IF(AC1772=1,S1772/M1772,"")</f>
        <v/>
      </c>
      <c r="X1772" s="57" t="str">
        <f>IF(AC1772=1,S1772/K1772,"")</f>
        <v/>
      </c>
      <c r="Y1772" s="58" t="str">
        <f>IF(W1772="","",IF(W1772&gt;=p_target,"Bon",IF(W1772&gt;=p_alert,"À surveiller","Faible")))</f>
        <v/>
      </c>
      <c r="Z1772" s="58" t="str">
        <f>IF(W1772="","",IF(MIN(IF(T1772="",1,T1772),IF(U1772="",1,U1772),IF(V1772="",1,V1772))&gt;=1,"Aucune",IF(IF(T1772="",1,T1772)&lt;=MIN(IF(U1772="",1,U1772),IF(V1772="",1,V1772)),"Disponibilité",IF(IF(U1772="",1,U1772)&lt;=IF(V1772="",1,V1772),"Performance","Qualité"))))</f>
        <v/>
      </c>
      <c r="AA1772" s="59" t="str">
        <f>IF(AC1772=1,N(H1772)*N(IFERROR(INDEX(art_cost,MATCH(E1772,art_ref,0)),0)),"")</f>
        <v/>
      </c>
      <c r="AB1772" s="58" t="str">
        <f>IF(COUNTA(A1772:I1772)=0,"",IF(N(A1772)&lt;=0,"Date manquante ou invalide",IF(B1772="","Équipe manquante",IF(ISNA(MATCH(B1772,eq_code,0)),"Équipe inconnue",IF(INDEX(eq_check,MATCH(B1772,eq_code,0))&lt;&gt;"OK","Équipe à corriger dans Paramètres",IF(C1772="","Poste manquant",IF(ISNA(MATCH(C1772,po_code,0)),"Poste inconnu",IF(AND(E1772&lt;&gt;"",ISNA(MATCH(E1772,art_ref,0))),"Article inconnu",IF(IF(E1772="",FALSE,INDEX(art_check,MATCH(E1772,art_ref,0))&lt;&gt;"OK"),"Article à corriger (feuille Articles)",IF(COUNTIFS(sj_date,A1772,sj_eq,B1772,sj_po,C1772)&gt;1,"Ligne en double (même jour, équipe et poste)",IF(OR(NOT(ISNUMBER(K1772)),N(K1772)&lt;=0,N(K1772)&gt;1440),"Temps d'ouverture invalide",IF(OR(AND(G1772&lt;&gt;"",NOT(ISNUMBER(G1772))),N(G1772)&lt;0,N(G1772)&lt;&gt;INT(N(G1772)),AND(H1772&lt;&gt;"",NOT(ISNUMBER(H1772))),N(H1772)&lt;0,N(H1772)&lt;&gt;INT(N(H1772)),AND(I1772&lt;&gt;"",NOT(ISNUMBER(I1772))),N(I1772)&lt;0,N(I1772)&lt;&gt;INT(N(I1772))),"Quantité invalide",IF(Q1772&lt;=0,"Cadence manquante (poste ou article)",IF(M1772&lt;=0,"Arrêts planifiés supérieurs au temps d'ouverture",IF(O1772&lt;0,"Arrêts supérieurs au temps requis",IF(AND(P1772&gt;0,O1772=0),"Pièces déclarées sans temps de marche",IF(AND(P1772=0,O1772&gt;0),"Aucune pièce déclarée",IF(P1772*60/Q1772&gt;O1772+0.001,"Cadence dépassée : vérifiez la cadence","OK"))))))))))))))))))</f>
        <v/>
      </c>
      <c r="AC1772">
        <f>IF(OR(AB1772="OK",AB1772="Aucune pièce déclarée",AB1772="Cadence dépassée : vérifiez la cadence"),1,0)</f>
        <v>0.0</v>
      </c>
      <c r="AD1772">
        <f>IF(AND(AC1772=1,A1772&gt;=p_from,A1772&lt;=p_to),1,0)</f>
        <v>0.0</v>
      </c>
      <c r="AE1772">
        <f>IF(AD1772=1,IF(COUNTIFS($A$6:A1772,A1772,$AD$6:AD1772,1)=1,1,0),0)</f>
        <v>0.0</v>
      </c>
      <c r="AF1772" t="str">
        <f>IF(AE1772=1,COUNTIFS(sj_first,1,sj_date,"&lt;"&amp;A1772)+1,"")</f>
        <v/>
      </c>
      <c r="AG1772" t="str">
        <f>IF(AND(AD1772=1,N(W1772)&lt;p_alert),ROUND(W1772,4),"")</f>
        <v/>
      </c>
      <c r="AH1772" t="str">
        <f>IF(AG1772="","",COUNTIF(sj_akey,"&lt;"&amp;AG1772)+COUNTIF($AG$6:AG1772,AG1772))</f>
        <v/>
      </c>
    </row>
    <row r="1773">
      <c r="A1773" s="51" t="n"/>
      <c r="B1773" s="52" t="n"/>
      <c r="C1773" s="52" t="n"/>
      <c r="D1773" s="53" t="n"/>
      <c r="E1773" s="53" t="n"/>
      <c r="F1773" s="54" t="n"/>
      <c r="G1773" s="54" t="n"/>
      <c r="H1773" s="54" t="n"/>
      <c r="I1773" s="54" t="n"/>
      <c r="J1773" s="53" t="n"/>
      <c r="K1773" s="55" t="str">
        <f>IF(COUNTA(A1773:I1773)=0,"",IF(F1773="",IFERROR(INDEX(eq_dur,MATCH(B1773,eq_code,0)),""),F1773))</f>
        <v/>
      </c>
      <c r="L1773" s="55" t="str">
        <f>IF(ISNUMBER(K1773),N(IFERROR(INDEX(eq_pause,MATCH(B1773,eq_code,0)),0))+SUMIFS(st_min,st_date,A1773,st_eq,B1773,st_po,C1773,st_type,"Planifié"),"")</f>
        <v/>
      </c>
      <c r="M1773" s="55" t="str">
        <f>IF(ISNUMBER(K1773),K1773-L1773,"")</f>
        <v/>
      </c>
      <c r="N1773" s="55" t="str">
        <f>IF(ISNUMBER(K1773),SUMIFS(st_min,st_date,A1773,st_eq,B1773,st_po,C1773,st_type,"Non planifié"),"")</f>
        <v/>
      </c>
      <c r="O1773" s="55" t="str">
        <f>IF(ISNUMBER(K1773),M1773-N1773,"")</f>
        <v/>
      </c>
      <c r="P1773" s="55" t="str">
        <f>IF(COUNTA(A1773:I1773)=0,"",N(G1773)+N(H1773)+N(I1773))</f>
        <v/>
      </c>
      <c r="Q1773" s="56" t="str">
        <f>IF(COUNTA(A1773:I1773)=0,"",IF(N(IFERROR(INDEX(art_rate,MATCH(E1773,art_ref,0)),0))&gt;0,N(IFERROR(INDEX(art_rate,MATCH(E1773,art_ref,0)),0)),N(IFERROR(INDEX(po_rate,MATCH(C1773,po_code,0)),0))))</f>
        <v/>
      </c>
      <c r="R1773" s="55" t="str">
        <f>IF(AC1773=1,P1773*60/Q1773,"")</f>
        <v/>
      </c>
      <c r="S1773" s="55" t="str">
        <f>IF(AC1773=1,N(G1773)*60/Q1773,"")</f>
        <v/>
      </c>
      <c r="T1773" s="57" t="str">
        <f>IF(AC1773=1,O1773/M1773,"")</f>
        <v/>
      </c>
      <c r="U1773" s="57" t="str">
        <f>IF(AC1773=1,IF(O1773&gt;0,R1773/O1773,""),"")</f>
        <v/>
      </c>
      <c r="V1773" s="57" t="str">
        <f>IF(AC1773=1,IF(P1773&gt;0,N(G1773)/P1773,""),"")</f>
        <v/>
      </c>
      <c r="W1773" s="57" t="str">
        <f>IF(AC1773=1,S1773/M1773,"")</f>
        <v/>
      </c>
      <c r="X1773" s="57" t="str">
        <f>IF(AC1773=1,S1773/K1773,"")</f>
        <v/>
      </c>
      <c r="Y1773" s="58" t="str">
        <f>IF(W1773="","",IF(W1773&gt;=p_target,"Bon",IF(W1773&gt;=p_alert,"À surveiller","Faible")))</f>
        <v/>
      </c>
      <c r="Z1773" s="58" t="str">
        <f>IF(W1773="","",IF(MIN(IF(T1773="",1,T1773),IF(U1773="",1,U1773),IF(V1773="",1,V1773))&gt;=1,"Aucune",IF(IF(T1773="",1,T1773)&lt;=MIN(IF(U1773="",1,U1773),IF(V1773="",1,V1773)),"Disponibilité",IF(IF(U1773="",1,U1773)&lt;=IF(V1773="",1,V1773),"Performance","Qualité"))))</f>
        <v/>
      </c>
      <c r="AA1773" s="59" t="str">
        <f>IF(AC1773=1,N(H1773)*N(IFERROR(INDEX(art_cost,MATCH(E1773,art_ref,0)),0)),"")</f>
        <v/>
      </c>
      <c r="AB1773" s="58" t="str">
        <f>IF(COUNTA(A1773:I1773)=0,"",IF(N(A1773)&lt;=0,"Date manquante ou invalide",IF(B1773="","Équipe manquante",IF(ISNA(MATCH(B1773,eq_code,0)),"Équipe inconnue",IF(INDEX(eq_check,MATCH(B1773,eq_code,0))&lt;&gt;"OK","Équipe à corriger dans Paramètres",IF(C1773="","Poste manquant",IF(ISNA(MATCH(C1773,po_code,0)),"Poste inconnu",IF(AND(E1773&lt;&gt;"",ISNA(MATCH(E1773,art_ref,0))),"Article inconnu",IF(IF(E1773="",FALSE,INDEX(art_check,MATCH(E1773,art_ref,0))&lt;&gt;"OK"),"Article à corriger (feuille Articles)",IF(COUNTIFS(sj_date,A1773,sj_eq,B1773,sj_po,C1773)&gt;1,"Ligne en double (même jour, équipe et poste)",IF(OR(NOT(ISNUMBER(K1773)),N(K1773)&lt;=0,N(K1773)&gt;1440),"Temps d'ouverture invalide",IF(OR(AND(G1773&lt;&gt;"",NOT(ISNUMBER(G1773))),N(G1773)&lt;0,N(G1773)&lt;&gt;INT(N(G1773)),AND(H1773&lt;&gt;"",NOT(ISNUMBER(H1773))),N(H1773)&lt;0,N(H1773)&lt;&gt;INT(N(H1773)),AND(I1773&lt;&gt;"",NOT(ISNUMBER(I1773))),N(I1773)&lt;0,N(I1773)&lt;&gt;INT(N(I1773))),"Quantité invalide",IF(Q1773&lt;=0,"Cadence manquante (poste ou article)",IF(M1773&lt;=0,"Arrêts planifiés supérieurs au temps d'ouverture",IF(O1773&lt;0,"Arrêts supérieurs au temps requis",IF(AND(P1773&gt;0,O1773=0),"Pièces déclarées sans temps de marche",IF(AND(P1773=0,O1773&gt;0),"Aucune pièce déclarée",IF(P1773*60/Q1773&gt;O1773+0.001,"Cadence dépassée : vérifiez la cadence","OK"))))))))))))))))))</f>
        <v/>
      </c>
      <c r="AC1773">
        <f>IF(OR(AB1773="OK",AB1773="Aucune pièce déclarée",AB1773="Cadence dépassée : vérifiez la cadence"),1,0)</f>
        <v>0.0</v>
      </c>
      <c r="AD1773">
        <f>IF(AND(AC1773=1,A1773&gt;=p_from,A1773&lt;=p_to),1,0)</f>
        <v>0.0</v>
      </c>
      <c r="AE1773">
        <f>IF(AD1773=1,IF(COUNTIFS($A$6:A1773,A1773,$AD$6:AD1773,1)=1,1,0),0)</f>
        <v>0.0</v>
      </c>
      <c r="AF1773" t="str">
        <f>IF(AE1773=1,COUNTIFS(sj_first,1,sj_date,"&lt;"&amp;A1773)+1,"")</f>
        <v/>
      </c>
      <c r="AG1773" t="str">
        <f>IF(AND(AD1773=1,N(W1773)&lt;p_alert),ROUND(W1773,4),"")</f>
        <v/>
      </c>
      <c r="AH1773" t="str">
        <f>IF(AG1773="","",COUNTIF(sj_akey,"&lt;"&amp;AG1773)+COUNTIF($AG$6:AG1773,AG1773))</f>
        <v/>
      </c>
    </row>
    <row r="1774">
      <c r="A1774" s="51" t="n"/>
      <c r="B1774" s="52" t="n"/>
      <c r="C1774" s="52" t="n"/>
      <c r="D1774" s="53" t="n"/>
      <c r="E1774" s="53" t="n"/>
      <c r="F1774" s="54" t="n"/>
      <c r="G1774" s="54" t="n"/>
      <c r="H1774" s="54" t="n"/>
      <c r="I1774" s="54" t="n"/>
      <c r="J1774" s="53" t="n"/>
      <c r="K1774" s="55" t="str">
        <f>IF(COUNTA(A1774:I1774)=0,"",IF(F1774="",IFERROR(INDEX(eq_dur,MATCH(B1774,eq_code,0)),""),F1774))</f>
        <v/>
      </c>
      <c r="L1774" s="55" t="str">
        <f>IF(ISNUMBER(K1774),N(IFERROR(INDEX(eq_pause,MATCH(B1774,eq_code,0)),0))+SUMIFS(st_min,st_date,A1774,st_eq,B1774,st_po,C1774,st_type,"Planifié"),"")</f>
        <v/>
      </c>
      <c r="M1774" s="55" t="str">
        <f>IF(ISNUMBER(K1774),K1774-L1774,"")</f>
        <v/>
      </c>
      <c r="N1774" s="55" t="str">
        <f>IF(ISNUMBER(K1774),SUMIFS(st_min,st_date,A1774,st_eq,B1774,st_po,C1774,st_type,"Non planifié"),"")</f>
        <v/>
      </c>
      <c r="O1774" s="55" t="str">
        <f>IF(ISNUMBER(K1774),M1774-N1774,"")</f>
        <v/>
      </c>
      <c r="P1774" s="55" t="str">
        <f>IF(COUNTA(A1774:I1774)=0,"",N(G1774)+N(H1774)+N(I1774))</f>
        <v/>
      </c>
      <c r="Q1774" s="56" t="str">
        <f>IF(COUNTA(A1774:I1774)=0,"",IF(N(IFERROR(INDEX(art_rate,MATCH(E1774,art_ref,0)),0))&gt;0,N(IFERROR(INDEX(art_rate,MATCH(E1774,art_ref,0)),0)),N(IFERROR(INDEX(po_rate,MATCH(C1774,po_code,0)),0))))</f>
        <v/>
      </c>
      <c r="R1774" s="55" t="str">
        <f>IF(AC1774=1,P1774*60/Q1774,"")</f>
        <v/>
      </c>
      <c r="S1774" s="55" t="str">
        <f>IF(AC1774=1,N(G1774)*60/Q1774,"")</f>
        <v/>
      </c>
      <c r="T1774" s="57" t="str">
        <f>IF(AC1774=1,O1774/M1774,"")</f>
        <v/>
      </c>
      <c r="U1774" s="57" t="str">
        <f>IF(AC1774=1,IF(O1774&gt;0,R1774/O1774,""),"")</f>
        <v/>
      </c>
      <c r="V1774" s="57" t="str">
        <f>IF(AC1774=1,IF(P1774&gt;0,N(G1774)/P1774,""),"")</f>
        <v/>
      </c>
      <c r="W1774" s="57" t="str">
        <f>IF(AC1774=1,S1774/M1774,"")</f>
        <v/>
      </c>
      <c r="X1774" s="57" t="str">
        <f>IF(AC1774=1,S1774/K1774,"")</f>
        <v/>
      </c>
      <c r="Y1774" s="58" t="str">
        <f>IF(W1774="","",IF(W1774&gt;=p_target,"Bon",IF(W1774&gt;=p_alert,"À surveiller","Faible")))</f>
        <v/>
      </c>
      <c r="Z1774" s="58" t="str">
        <f>IF(W1774="","",IF(MIN(IF(T1774="",1,T1774),IF(U1774="",1,U1774),IF(V1774="",1,V1774))&gt;=1,"Aucune",IF(IF(T1774="",1,T1774)&lt;=MIN(IF(U1774="",1,U1774),IF(V1774="",1,V1774)),"Disponibilité",IF(IF(U1774="",1,U1774)&lt;=IF(V1774="",1,V1774),"Performance","Qualité"))))</f>
        <v/>
      </c>
      <c r="AA1774" s="59" t="str">
        <f>IF(AC1774=1,N(H1774)*N(IFERROR(INDEX(art_cost,MATCH(E1774,art_ref,0)),0)),"")</f>
        <v/>
      </c>
      <c r="AB1774" s="58" t="str">
        <f>IF(COUNTA(A1774:I1774)=0,"",IF(N(A1774)&lt;=0,"Date manquante ou invalide",IF(B1774="","Équipe manquante",IF(ISNA(MATCH(B1774,eq_code,0)),"Équipe inconnue",IF(INDEX(eq_check,MATCH(B1774,eq_code,0))&lt;&gt;"OK","Équipe à corriger dans Paramètres",IF(C1774="","Poste manquant",IF(ISNA(MATCH(C1774,po_code,0)),"Poste inconnu",IF(AND(E1774&lt;&gt;"",ISNA(MATCH(E1774,art_ref,0))),"Article inconnu",IF(IF(E1774="",FALSE,INDEX(art_check,MATCH(E1774,art_ref,0))&lt;&gt;"OK"),"Article à corriger (feuille Articles)",IF(COUNTIFS(sj_date,A1774,sj_eq,B1774,sj_po,C1774)&gt;1,"Ligne en double (même jour, équipe et poste)",IF(OR(NOT(ISNUMBER(K1774)),N(K1774)&lt;=0,N(K1774)&gt;1440),"Temps d'ouverture invalide",IF(OR(AND(G1774&lt;&gt;"",NOT(ISNUMBER(G1774))),N(G1774)&lt;0,N(G1774)&lt;&gt;INT(N(G1774)),AND(H1774&lt;&gt;"",NOT(ISNUMBER(H1774))),N(H1774)&lt;0,N(H1774)&lt;&gt;INT(N(H1774)),AND(I1774&lt;&gt;"",NOT(ISNUMBER(I1774))),N(I1774)&lt;0,N(I1774)&lt;&gt;INT(N(I1774))),"Quantité invalide",IF(Q1774&lt;=0,"Cadence manquante (poste ou article)",IF(M1774&lt;=0,"Arrêts planifiés supérieurs au temps d'ouverture",IF(O1774&lt;0,"Arrêts supérieurs au temps requis",IF(AND(P1774&gt;0,O1774=0),"Pièces déclarées sans temps de marche",IF(AND(P1774=0,O1774&gt;0),"Aucune pièce déclarée",IF(P1774*60/Q1774&gt;O1774+0.001,"Cadence dépassée : vérifiez la cadence","OK"))))))))))))))))))</f>
        <v/>
      </c>
      <c r="AC1774">
        <f>IF(OR(AB1774="OK",AB1774="Aucune pièce déclarée",AB1774="Cadence dépassée : vérifiez la cadence"),1,0)</f>
        <v>0.0</v>
      </c>
      <c r="AD1774">
        <f>IF(AND(AC1774=1,A1774&gt;=p_from,A1774&lt;=p_to),1,0)</f>
        <v>0.0</v>
      </c>
      <c r="AE1774">
        <f>IF(AD1774=1,IF(COUNTIFS($A$6:A1774,A1774,$AD$6:AD1774,1)=1,1,0),0)</f>
        <v>0.0</v>
      </c>
      <c r="AF1774" t="str">
        <f>IF(AE1774=1,COUNTIFS(sj_first,1,sj_date,"&lt;"&amp;A1774)+1,"")</f>
        <v/>
      </c>
      <c r="AG1774" t="str">
        <f>IF(AND(AD1774=1,N(W1774)&lt;p_alert),ROUND(W1774,4),"")</f>
        <v/>
      </c>
      <c r="AH1774" t="str">
        <f>IF(AG1774="","",COUNTIF(sj_akey,"&lt;"&amp;AG1774)+COUNTIF($AG$6:AG1774,AG1774))</f>
        <v/>
      </c>
    </row>
    <row r="1775">
      <c r="A1775" s="51" t="n"/>
      <c r="B1775" s="52" t="n"/>
      <c r="C1775" s="52" t="n"/>
      <c r="D1775" s="53" t="n"/>
      <c r="E1775" s="53" t="n"/>
      <c r="F1775" s="54" t="n"/>
      <c r="G1775" s="54" t="n"/>
      <c r="H1775" s="54" t="n"/>
      <c r="I1775" s="54" t="n"/>
      <c r="J1775" s="53" t="n"/>
      <c r="K1775" s="55" t="str">
        <f>IF(COUNTA(A1775:I1775)=0,"",IF(F1775="",IFERROR(INDEX(eq_dur,MATCH(B1775,eq_code,0)),""),F1775))</f>
        <v/>
      </c>
      <c r="L1775" s="55" t="str">
        <f>IF(ISNUMBER(K1775),N(IFERROR(INDEX(eq_pause,MATCH(B1775,eq_code,0)),0))+SUMIFS(st_min,st_date,A1775,st_eq,B1775,st_po,C1775,st_type,"Planifié"),"")</f>
        <v/>
      </c>
      <c r="M1775" s="55" t="str">
        <f>IF(ISNUMBER(K1775),K1775-L1775,"")</f>
        <v/>
      </c>
      <c r="N1775" s="55" t="str">
        <f>IF(ISNUMBER(K1775),SUMIFS(st_min,st_date,A1775,st_eq,B1775,st_po,C1775,st_type,"Non planifié"),"")</f>
        <v/>
      </c>
      <c r="O1775" s="55" t="str">
        <f>IF(ISNUMBER(K1775),M1775-N1775,"")</f>
        <v/>
      </c>
      <c r="P1775" s="55" t="str">
        <f>IF(COUNTA(A1775:I1775)=0,"",N(G1775)+N(H1775)+N(I1775))</f>
        <v/>
      </c>
      <c r="Q1775" s="56" t="str">
        <f>IF(COUNTA(A1775:I1775)=0,"",IF(N(IFERROR(INDEX(art_rate,MATCH(E1775,art_ref,0)),0))&gt;0,N(IFERROR(INDEX(art_rate,MATCH(E1775,art_ref,0)),0)),N(IFERROR(INDEX(po_rate,MATCH(C1775,po_code,0)),0))))</f>
        <v/>
      </c>
      <c r="R1775" s="55" t="str">
        <f>IF(AC1775=1,P1775*60/Q1775,"")</f>
        <v/>
      </c>
      <c r="S1775" s="55" t="str">
        <f>IF(AC1775=1,N(G1775)*60/Q1775,"")</f>
        <v/>
      </c>
      <c r="T1775" s="57" t="str">
        <f>IF(AC1775=1,O1775/M1775,"")</f>
        <v/>
      </c>
      <c r="U1775" s="57" t="str">
        <f>IF(AC1775=1,IF(O1775&gt;0,R1775/O1775,""),"")</f>
        <v/>
      </c>
      <c r="V1775" s="57" t="str">
        <f>IF(AC1775=1,IF(P1775&gt;0,N(G1775)/P1775,""),"")</f>
        <v/>
      </c>
      <c r="W1775" s="57" t="str">
        <f>IF(AC1775=1,S1775/M1775,"")</f>
        <v/>
      </c>
      <c r="X1775" s="57" t="str">
        <f>IF(AC1775=1,S1775/K1775,"")</f>
        <v/>
      </c>
      <c r="Y1775" s="58" t="str">
        <f>IF(W1775="","",IF(W1775&gt;=p_target,"Bon",IF(W1775&gt;=p_alert,"À surveiller","Faible")))</f>
        <v/>
      </c>
      <c r="Z1775" s="58" t="str">
        <f>IF(W1775="","",IF(MIN(IF(T1775="",1,T1775),IF(U1775="",1,U1775),IF(V1775="",1,V1775))&gt;=1,"Aucune",IF(IF(T1775="",1,T1775)&lt;=MIN(IF(U1775="",1,U1775),IF(V1775="",1,V1775)),"Disponibilité",IF(IF(U1775="",1,U1775)&lt;=IF(V1775="",1,V1775),"Performance","Qualité"))))</f>
        <v/>
      </c>
      <c r="AA1775" s="59" t="str">
        <f>IF(AC1775=1,N(H1775)*N(IFERROR(INDEX(art_cost,MATCH(E1775,art_ref,0)),0)),"")</f>
        <v/>
      </c>
      <c r="AB1775" s="58" t="str">
        <f>IF(COUNTA(A1775:I1775)=0,"",IF(N(A1775)&lt;=0,"Date manquante ou invalide",IF(B1775="","Équipe manquante",IF(ISNA(MATCH(B1775,eq_code,0)),"Équipe inconnue",IF(INDEX(eq_check,MATCH(B1775,eq_code,0))&lt;&gt;"OK","Équipe à corriger dans Paramètres",IF(C1775="","Poste manquant",IF(ISNA(MATCH(C1775,po_code,0)),"Poste inconnu",IF(AND(E1775&lt;&gt;"",ISNA(MATCH(E1775,art_ref,0))),"Article inconnu",IF(IF(E1775="",FALSE,INDEX(art_check,MATCH(E1775,art_ref,0))&lt;&gt;"OK"),"Article à corriger (feuille Articles)",IF(COUNTIFS(sj_date,A1775,sj_eq,B1775,sj_po,C1775)&gt;1,"Ligne en double (même jour, équipe et poste)",IF(OR(NOT(ISNUMBER(K1775)),N(K1775)&lt;=0,N(K1775)&gt;1440),"Temps d'ouverture invalide",IF(OR(AND(G1775&lt;&gt;"",NOT(ISNUMBER(G1775))),N(G1775)&lt;0,N(G1775)&lt;&gt;INT(N(G1775)),AND(H1775&lt;&gt;"",NOT(ISNUMBER(H1775))),N(H1775)&lt;0,N(H1775)&lt;&gt;INT(N(H1775)),AND(I1775&lt;&gt;"",NOT(ISNUMBER(I1775))),N(I1775)&lt;0,N(I1775)&lt;&gt;INT(N(I1775))),"Quantité invalide",IF(Q1775&lt;=0,"Cadence manquante (poste ou article)",IF(M1775&lt;=0,"Arrêts planifiés supérieurs au temps d'ouverture",IF(O1775&lt;0,"Arrêts supérieurs au temps requis",IF(AND(P1775&gt;0,O1775=0),"Pièces déclarées sans temps de marche",IF(AND(P1775=0,O1775&gt;0),"Aucune pièce déclarée",IF(P1775*60/Q1775&gt;O1775+0.001,"Cadence dépassée : vérifiez la cadence","OK"))))))))))))))))))</f>
        <v/>
      </c>
      <c r="AC1775">
        <f>IF(OR(AB1775="OK",AB1775="Aucune pièce déclarée",AB1775="Cadence dépassée : vérifiez la cadence"),1,0)</f>
        <v>0.0</v>
      </c>
      <c r="AD1775">
        <f>IF(AND(AC1775=1,A1775&gt;=p_from,A1775&lt;=p_to),1,0)</f>
        <v>0.0</v>
      </c>
      <c r="AE1775">
        <f>IF(AD1775=1,IF(COUNTIFS($A$6:A1775,A1775,$AD$6:AD1775,1)=1,1,0),0)</f>
        <v>0.0</v>
      </c>
      <c r="AF1775" t="str">
        <f>IF(AE1775=1,COUNTIFS(sj_first,1,sj_date,"&lt;"&amp;A1775)+1,"")</f>
        <v/>
      </c>
      <c r="AG1775" t="str">
        <f>IF(AND(AD1775=1,N(W1775)&lt;p_alert),ROUND(W1775,4),"")</f>
        <v/>
      </c>
      <c r="AH1775" t="str">
        <f>IF(AG1775="","",COUNTIF(sj_akey,"&lt;"&amp;AG1775)+COUNTIF($AG$6:AG1775,AG1775))</f>
        <v/>
      </c>
    </row>
    <row r="1776">
      <c r="A1776" s="51" t="n"/>
      <c r="B1776" s="52" t="n"/>
      <c r="C1776" s="52" t="n"/>
      <c r="D1776" s="53" t="n"/>
      <c r="E1776" s="53" t="n"/>
      <c r="F1776" s="54" t="n"/>
      <c r="G1776" s="54" t="n"/>
      <c r="H1776" s="54" t="n"/>
      <c r="I1776" s="54" t="n"/>
      <c r="J1776" s="53" t="n"/>
      <c r="K1776" s="55" t="str">
        <f>IF(COUNTA(A1776:I1776)=0,"",IF(F1776="",IFERROR(INDEX(eq_dur,MATCH(B1776,eq_code,0)),""),F1776))</f>
        <v/>
      </c>
      <c r="L1776" s="55" t="str">
        <f>IF(ISNUMBER(K1776),N(IFERROR(INDEX(eq_pause,MATCH(B1776,eq_code,0)),0))+SUMIFS(st_min,st_date,A1776,st_eq,B1776,st_po,C1776,st_type,"Planifié"),"")</f>
        <v/>
      </c>
      <c r="M1776" s="55" t="str">
        <f>IF(ISNUMBER(K1776),K1776-L1776,"")</f>
        <v/>
      </c>
      <c r="N1776" s="55" t="str">
        <f>IF(ISNUMBER(K1776),SUMIFS(st_min,st_date,A1776,st_eq,B1776,st_po,C1776,st_type,"Non planifié"),"")</f>
        <v/>
      </c>
      <c r="O1776" s="55" t="str">
        <f>IF(ISNUMBER(K1776),M1776-N1776,"")</f>
        <v/>
      </c>
      <c r="P1776" s="55" t="str">
        <f>IF(COUNTA(A1776:I1776)=0,"",N(G1776)+N(H1776)+N(I1776))</f>
        <v/>
      </c>
      <c r="Q1776" s="56" t="str">
        <f>IF(COUNTA(A1776:I1776)=0,"",IF(N(IFERROR(INDEX(art_rate,MATCH(E1776,art_ref,0)),0))&gt;0,N(IFERROR(INDEX(art_rate,MATCH(E1776,art_ref,0)),0)),N(IFERROR(INDEX(po_rate,MATCH(C1776,po_code,0)),0))))</f>
        <v/>
      </c>
      <c r="R1776" s="55" t="str">
        <f>IF(AC1776=1,P1776*60/Q1776,"")</f>
        <v/>
      </c>
      <c r="S1776" s="55" t="str">
        <f>IF(AC1776=1,N(G1776)*60/Q1776,"")</f>
        <v/>
      </c>
      <c r="T1776" s="57" t="str">
        <f>IF(AC1776=1,O1776/M1776,"")</f>
        <v/>
      </c>
      <c r="U1776" s="57" t="str">
        <f>IF(AC1776=1,IF(O1776&gt;0,R1776/O1776,""),"")</f>
        <v/>
      </c>
      <c r="V1776" s="57" t="str">
        <f>IF(AC1776=1,IF(P1776&gt;0,N(G1776)/P1776,""),"")</f>
        <v/>
      </c>
      <c r="W1776" s="57" t="str">
        <f>IF(AC1776=1,S1776/M1776,"")</f>
        <v/>
      </c>
      <c r="X1776" s="57" t="str">
        <f>IF(AC1776=1,S1776/K1776,"")</f>
        <v/>
      </c>
      <c r="Y1776" s="58" t="str">
        <f>IF(W1776="","",IF(W1776&gt;=p_target,"Bon",IF(W1776&gt;=p_alert,"À surveiller","Faible")))</f>
        <v/>
      </c>
      <c r="Z1776" s="58" t="str">
        <f>IF(W1776="","",IF(MIN(IF(T1776="",1,T1776),IF(U1776="",1,U1776),IF(V1776="",1,V1776))&gt;=1,"Aucune",IF(IF(T1776="",1,T1776)&lt;=MIN(IF(U1776="",1,U1776),IF(V1776="",1,V1776)),"Disponibilité",IF(IF(U1776="",1,U1776)&lt;=IF(V1776="",1,V1776),"Performance","Qualité"))))</f>
        <v/>
      </c>
      <c r="AA1776" s="59" t="str">
        <f>IF(AC1776=1,N(H1776)*N(IFERROR(INDEX(art_cost,MATCH(E1776,art_ref,0)),0)),"")</f>
        <v/>
      </c>
      <c r="AB1776" s="58" t="str">
        <f>IF(COUNTA(A1776:I1776)=0,"",IF(N(A1776)&lt;=0,"Date manquante ou invalide",IF(B1776="","Équipe manquante",IF(ISNA(MATCH(B1776,eq_code,0)),"Équipe inconnue",IF(INDEX(eq_check,MATCH(B1776,eq_code,0))&lt;&gt;"OK","Équipe à corriger dans Paramètres",IF(C1776="","Poste manquant",IF(ISNA(MATCH(C1776,po_code,0)),"Poste inconnu",IF(AND(E1776&lt;&gt;"",ISNA(MATCH(E1776,art_ref,0))),"Article inconnu",IF(IF(E1776="",FALSE,INDEX(art_check,MATCH(E1776,art_ref,0))&lt;&gt;"OK"),"Article à corriger (feuille Articles)",IF(COUNTIFS(sj_date,A1776,sj_eq,B1776,sj_po,C1776)&gt;1,"Ligne en double (même jour, équipe et poste)",IF(OR(NOT(ISNUMBER(K1776)),N(K1776)&lt;=0,N(K1776)&gt;1440),"Temps d'ouverture invalide",IF(OR(AND(G1776&lt;&gt;"",NOT(ISNUMBER(G1776))),N(G1776)&lt;0,N(G1776)&lt;&gt;INT(N(G1776)),AND(H1776&lt;&gt;"",NOT(ISNUMBER(H1776))),N(H1776)&lt;0,N(H1776)&lt;&gt;INT(N(H1776)),AND(I1776&lt;&gt;"",NOT(ISNUMBER(I1776))),N(I1776)&lt;0,N(I1776)&lt;&gt;INT(N(I1776))),"Quantité invalide",IF(Q1776&lt;=0,"Cadence manquante (poste ou article)",IF(M1776&lt;=0,"Arrêts planifiés supérieurs au temps d'ouverture",IF(O1776&lt;0,"Arrêts supérieurs au temps requis",IF(AND(P1776&gt;0,O1776=0),"Pièces déclarées sans temps de marche",IF(AND(P1776=0,O1776&gt;0),"Aucune pièce déclarée",IF(P1776*60/Q1776&gt;O1776+0.001,"Cadence dépassée : vérifiez la cadence","OK"))))))))))))))))))</f>
        <v/>
      </c>
      <c r="AC1776">
        <f>IF(OR(AB1776="OK",AB1776="Aucune pièce déclarée",AB1776="Cadence dépassée : vérifiez la cadence"),1,0)</f>
        <v>0.0</v>
      </c>
      <c r="AD1776">
        <f>IF(AND(AC1776=1,A1776&gt;=p_from,A1776&lt;=p_to),1,0)</f>
        <v>0.0</v>
      </c>
      <c r="AE1776">
        <f>IF(AD1776=1,IF(COUNTIFS($A$6:A1776,A1776,$AD$6:AD1776,1)=1,1,0),0)</f>
        <v>0.0</v>
      </c>
      <c r="AF1776" t="str">
        <f>IF(AE1776=1,COUNTIFS(sj_first,1,sj_date,"&lt;"&amp;A1776)+1,"")</f>
        <v/>
      </c>
      <c r="AG1776" t="str">
        <f>IF(AND(AD1776=1,N(W1776)&lt;p_alert),ROUND(W1776,4),"")</f>
        <v/>
      </c>
      <c r="AH1776" t="str">
        <f>IF(AG1776="","",COUNTIF(sj_akey,"&lt;"&amp;AG1776)+COUNTIF($AG$6:AG1776,AG1776))</f>
        <v/>
      </c>
    </row>
    <row r="1777">
      <c r="A1777" s="51" t="n"/>
      <c r="B1777" s="52" t="n"/>
      <c r="C1777" s="52" t="n"/>
      <c r="D1777" s="53" t="n"/>
      <c r="E1777" s="53" t="n"/>
      <c r="F1777" s="54" t="n"/>
      <c r="G1777" s="54" t="n"/>
      <c r="H1777" s="54" t="n"/>
      <c r="I1777" s="54" t="n"/>
      <c r="J1777" s="53" t="n"/>
      <c r="K1777" s="55" t="str">
        <f>IF(COUNTA(A1777:I1777)=0,"",IF(F1777="",IFERROR(INDEX(eq_dur,MATCH(B1777,eq_code,0)),""),F1777))</f>
        <v/>
      </c>
      <c r="L1777" s="55" t="str">
        <f>IF(ISNUMBER(K1777),N(IFERROR(INDEX(eq_pause,MATCH(B1777,eq_code,0)),0))+SUMIFS(st_min,st_date,A1777,st_eq,B1777,st_po,C1777,st_type,"Planifié"),"")</f>
        <v/>
      </c>
      <c r="M1777" s="55" t="str">
        <f>IF(ISNUMBER(K1777),K1777-L1777,"")</f>
        <v/>
      </c>
      <c r="N1777" s="55" t="str">
        <f>IF(ISNUMBER(K1777),SUMIFS(st_min,st_date,A1777,st_eq,B1777,st_po,C1777,st_type,"Non planifié"),"")</f>
        <v/>
      </c>
      <c r="O1777" s="55" t="str">
        <f>IF(ISNUMBER(K1777),M1777-N1777,"")</f>
        <v/>
      </c>
      <c r="P1777" s="55" t="str">
        <f>IF(COUNTA(A1777:I1777)=0,"",N(G1777)+N(H1777)+N(I1777))</f>
        <v/>
      </c>
      <c r="Q1777" s="56" t="str">
        <f>IF(COUNTA(A1777:I1777)=0,"",IF(N(IFERROR(INDEX(art_rate,MATCH(E1777,art_ref,0)),0))&gt;0,N(IFERROR(INDEX(art_rate,MATCH(E1777,art_ref,0)),0)),N(IFERROR(INDEX(po_rate,MATCH(C1777,po_code,0)),0))))</f>
        <v/>
      </c>
      <c r="R1777" s="55" t="str">
        <f>IF(AC1777=1,P1777*60/Q1777,"")</f>
        <v/>
      </c>
      <c r="S1777" s="55" t="str">
        <f>IF(AC1777=1,N(G1777)*60/Q1777,"")</f>
        <v/>
      </c>
      <c r="T1777" s="57" t="str">
        <f>IF(AC1777=1,O1777/M1777,"")</f>
        <v/>
      </c>
      <c r="U1777" s="57" t="str">
        <f>IF(AC1777=1,IF(O1777&gt;0,R1777/O1777,""),"")</f>
        <v/>
      </c>
      <c r="V1777" s="57" t="str">
        <f>IF(AC1777=1,IF(P1777&gt;0,N(G1777)/P1777,""),"")</f>
        <v/>
      </c>
      <c r="W1777" s="57" t="str">
        <f>IF(AC1777=1,S1777/M1777,"")</f>
        <v/>
      </c>
      <c r="X1777" s="57" t="str">
        <f>IF(AC1777=1,S1777/K1777,"")</f>
        <v/>
      </c>
      <c r="Y1777" s="58" t="str">
        <f>IF(W1777="","",IF(W1777&gt;=p_target,"Bon",IF(W1777&gt;=p_alert,"À surveiller","Faible")))</f>
        <v/>
      </c>
      <c r="Z1777" s="58" t="str">
        <f>IF(W1777="","",IF(MIN(IF(T1777="",1,T1777),IF(U1777="",1,U1777),IF(V1777="",1,V1777))&gt;=1,"Aucune",IF(IF(T1777="",1,T1777)&lt;=MIN(IF(U1777="",1,U1777),IF(V1777="",1,V1777)),"Disponibilité",IF(IF(U1777="",1,U1777)&lt;=IF(V1777="",1,V1777),"Performance","Qualité"))))</f>
        <v/>
      </c>
      <c r="AA1777" s="59" t="str">
        <f>IF(AC1777=1,N(H1777)*N(IFERROR(INDEX(art_cost,MATCH(E1777,art_ref,0)),0)),"")</f>
        <v/>
      </c>
      <c r="AB1777" s="58" t="str">
        <f>IF(COUNTA(A1777:I1777)=0,"",IF(N(A1777)&lt;=0,"Date manquante ou invalide",IF(B1777="","Équipe manquante",IF(ISNA(MATCH(B1777,eq_code,0)),"Équipe inconnue",IF(INDEX(eq_check,MATCH(B1777,eq_code,0))&lt;&gt;"OK","Équipe à corriger dans Paramètres",IF(C1777="","Poste manquant",IF(ISNA(MATCH(C1777,po_code,0)),"Poste inconnu",IF(AND(E1777&lt;&gt;"",ISNA(MATCH(E1777,art_ref,0))),"Article inconnu",IF(IF(E1777="",FALSE,INDEX(art_check,MATCH(E1777,art_ref,0))&lt;&gt;"OK"),"Article à corriger (feuille Articles)",IF(COUNTIFS(sj_date,A1777,sj_eq,B1777,sj_po,C1777)&gt;1,"Ligne en double (même jour, équipe et poste)",IF(OR(NOT(ISNUMBER(K1777)),N(K1777)&lt;=0,N(K1777)&gt;1440),"Temps d'ouverture invalide",IF(OR(AND(G1777&lt;&gt;"",NOT(ISNUMBER(G1777))),N(G1777)&lt;0,N(G1777)&lt;&gt;INT(N(G1777)),AND(H1777&lt;&gt;"",NOT(ISNUMBER(H1777))),N(H1777)&lt;0,N(H1777)&lt;&gt;INT(N(H1777)),AND(I1777&lt;&gt;"",NOT(ISNUMBER(I1777))),N(I1777)&lt;0,N(I1777)&lt;&gt;INT(N(I1777))),"Quantité invalide",IF(Q1777&lt;=0,"Cadence manquante (poste ou article)",IF(M1777&lt;=0,"Arrêts planifiés supérieurs au temps d'ouverture",IF(O1777&lt;0,"Arrêts supérieurs au temps requis",IF(AND(P1777&gt;0,O1777=0),"Pièces déclarées sans temps de marche",IF(AND(P1777=0,O1777&gt;0),"Aucune pièce déclarée",IF(P1777*60/Q1777&gt;O1777+0.001,"Cadence dépassée : vérifiez la cadence","OK"))))))))))))))))))</f>
        <v/>
      </c>
      <c r="AC1777">
        <f>IF(OR(AB1777="OK",AB1777="Aucune pièce déclarée",AB1777="Cadence dépassée : vérifiez la cadence"),1,0)</f>
        <v>0.0</v>
      </c>
      <c r="AD1777">
        <f>IF(AND(AC1777=1,A1777&gt;=p_from,A1777&lt;=p_to),1,0)</f>
        <v>0.0</v>
      </c>
      <c r="AE1777">
        <f>IF(AD1777=1,IF(COUNTIFS($A$6:A1777,A1777,$AD$6:AD1777,1)=1,1,0),0)</f>
        <v>0.0</v>
      </c>
      <c r="AF1777" t="str">
        <f>IF(AE1777=1,COUNTIFS(sj_first,1,sj_date,"&lt;"&amp;A1777)+1,"")</f>
        <v/>
      </c>
      <c r="AG1777" t="str">
        <f>IF(AND(AD1777=1,N(W1777)&lt;p_alert),ROUND(W1777,4),"")</f>
        <v/>
      </c>
      <c r="AH1777" t="str">
        <f>IF(AG1777="","",COUNTIF(sj_akey,"&lt;"&amp;AG1777)+COUNTIF($AG$6:AG1777,AG1777))</f>
        <v/>
      </c>
    </row>
    <row r="1778">
      <c r="A1778" s="51" t="n"/>
      <c r="B1778" s="52" t="n"/>
      <c r="C1778" s="52" t="n"/>
      <c r="D1778" s="53" t="n"/>
      <c r="E1778" s="53" t="n"/>
      <c r="F1778" s="54" t="n"/>
      <c r="G1778" s="54" t="n"/>
      <c r="H1778" s="54" t="n"/>
      <c r="I1778" s="54" t="n"/>
      <c r="J1778" s="53" t="n"/>
      <c r="K1778" s="55" t="str">
        <f>IF(COUNTA(A1778:I1778)=0,"",IF(F1778="",IFERROR(INDEX(eq_dur,MATCH(B1778,eq_code,0)),""),F1778))</f>
        <v/>
      </c>
      <c r="L1778" s="55" t="str">
        <f>IF(ISNUMBER(K1778),N(IFERROR(INDEX(eq_pause,MATCH(B1778,eq_code,0)),0))+SUMIFS(st_min,st_date,A1778,st_eq,B1778,st_po,C1778,st_type,"Planifié"),"")</f>
        <v/>
      </c>
      <c r="M1778" s="55" t="str">
        <f>IF(ISNUMBER(K1778),K1778-L1778,"")</f>
        <v/>
      </c>
      <c r="N1778" s="55" t="str">
        <f>IF(ISNUMBER(K1778),SUMIFS(st_min,st_date,A1778,st_eq,B1778,st_po,C1778,st_type,"Non planifié"),"")</f>
        <v/>
      </c>
      <c r="O1778" s="55" t="str">
        <f>IF(ISNUMBER(K1778),M1778-N1778,"")</f>
        <v/>
      </c>
      <c r="P1778" s="55" t="str">
        <f>IF(COUNTA(A1778:I1778)=0,"",N(G1778)+N(H1778)+N(I1778))</f>
        <v/>
      </c>
      <c r="Q1778" s="56" t="str">
        <f>IF(COUNTA(A1778:I1778)=0,"",IF(N(IFERROR(INDEX(art_rate,MATCH(E1778,art_ref,0)),0))&gt;0,N(IFERROR(INDEX(art_rate,MATCH(E1778,art_ref,0)),0)),N(IFERROR(INDEX(po_rate,MATCH(C1778,po_code,0)),0))))</f>
        <v/>
      </c>
      <c r="R1778" s="55" t="str">
        <f>IF(AC1778=1,P1778*60/Q1778,"")</f>
        <v/>
      </c>
      <c r="S1778" s="55" t="str">
        <f>IF(AC1778=1,N(G1778)*60/Q1778,"")</f>
        <v/>
      </c>
      <c r="T1778" s="57" t="str">
        <f>IF(AC1778=1,O1778/M1778,"")</f>
        <v/>
      </c>
      <c r="U1778" s="57" t="str">
        <f>IF(AC1778=1,IF(O1778&gt;0,R1778/O1778,""),"")</f>
        <v/>
      </c>
      <c r="V1778" s="57" t="str">
        <f>IF(AC1778=1,IF(P1778&gt;0,N(G1778)/P1778,""),"")</f>
        <v/>
      </c>
      <c r="W1778" s="57" t="str">
        <f>IF(AC1778=1,S1778/M1778,"")</f>
        <v/>
      </c>
      <c r="X1778" s="57" t="str">
        <f>IF(AC1778=1,S1778/K1778,"")</f>
        <v/>
      </c>
      <c r="Y1778" s="58" t="str">
        <f>IF(W1778="","",IF(W1778&gt;=p_target,"Bon",IF(W1778&gt;=p_alert,"À surveiller","Faible")))</f>
        <v/>
      </c>
      <c r="Z1778" s="58" t="str">
        <f>IF(W1778="","",IF(MIN(IF(T1778="",1,T1778),IF(U1778="",1,U1778),IF(V1778="",1,V1778))&gt;=1,"Aucune",IF(IF(T1778="",1,T1778)&lt;=MIN(IF(U1778="",1,U1778),IF(V1778="",1,V1778)),"Disponibilité",IF(IF(U1778="",1,U1778)&lt;=IF(V1778="",1,V1778),"Performance","Qualité"))))</f>
        <v/>
      </c>
      <c r="AA1778" s="59" t="str">
        <f>IF(AC1778=1,N(H1778)*N(IFERROR(INDEX(art_cost,MATCH(E1778,art_ref,0)),0)),"")</f>
        <v/>
      </c>
      <c r="AB1778" s="58" t="str">
        <f>IF(COUNTA(A1778:I1778)=0,"",IF(N(A1778)&lt;=0,"Date manquante ou invalide",IF(B1778="","Équipe manquante",IF(ISNA(MATCH(B1778,eq_code,0)),"Équipe inconnue",IF(INDEX(eq_check,MATCH(B1778,eq_code,0))&lt;&gt;"OK","Équipe à corriger dans Paramètres",IF(C1778="","Poste manquant",IF(ISNA(MATCH(C1778,po_code,0)),"Poste inconnu",IF(AND(E1778&lt;&gt;"",ISNA(MATCH(E1778,art_ref,0))),"Article inconnu",IF(IF(E1778="",FALSE,INDEX(art_check,MATCH(E1778,art_ref,0))&lt;&gt;"OK"),"Article à corriger (feuille Articles)",IF(COUNTIFS(sj_date,A1778,sj_eq,B1778,sj_po,C1778)&gt;1,"Ligne en double (même jour, équipe et poste)",IF(OR(NOT(ISNUMBER(K1778)),N(K1778)&lt;=0,N(K1778)&gt;1440),"Temps d'ouverture invalide",IF(OR(AND(G1778&lt;&gt;"",NOT(ISNUMBER(G1778))),N(G1778)&lt;0,N(G1778)&lt;&gt;INT(N(G1778)),AND(H1778&lt;&gt;"",NOT(ISNUMBER(H1778))),N(H1778)&lt;0,N(H1778)&lt;&gt;INT(N(H1778)),AND(I1778&lt;&gt;"",NOT(ISNUMBER(I1778))),N(I1778)&lt;0,N(I1778)&lt;&gt;INT(N(I1778))),"Quantité invalide",IF(Q1778&lt;=0,"Cadence manquante (poste ou article)",IF(M1778&lt;=0,"Arrêts planifiés supérieurs au temps d'ouverture",IF(O1778&lt;0,"Arrêts supérieurs au temps requis",IF(AND(P1778&gt;0,O1778=0),"Pièces déclarées sans temps de marche",IF(AND(P1778=0,O1778&gt;0),"Aucune pièce déclarée",IF(P1778*60/Q1778&gt;O1778+0.001,"Cadence dépassée : vérifiez la cadence","OK"))))))))))))))))))</f>
        <v/>
      </c>
      <c r="AC1778">
        <f>IF(OR(AB1778="OK",AB1778="Aucune pièce déclarée",AB1778="Cadence dépassée : vérifiez la cadence"),1,0)</f>
        <v>0.0</v>
      </c>
      <c r="AD1778">
        <f>IF(AND(AC1778=1,A1778&gt;=p_from,A1778&lt;=p_to),1,0)</f>
        <v>0.0</v>
      </c>
      <c r="AE1778">
        <f>IF(AD1778=1,IF(COUNTIFS($A$6:A1778,A1778,$AD$6:AD1778,1)=1,1,0),0)</f>
        <v>0.0</v>
      </c>
      <c r="AF1778" t="str">
        <f>IF(AE1778=1,COUNTIFS(sj_first,1,sj_date,"&lt;"&amp;A1778)+1,"")</f>
        <v/>
      </c>
      <c r="AG1778" t="str">
        <f>IF(AND(AD1778=1,N(W1778)&lt;p_alert),ROUND(W1778,4),"")</f>
        <v/>
      </c>
      <c r="AH1778" t="str">
        <f>IF(AG1778="","",COUNTIF(sj_akey,"&lt;"&amp;AG1778)+COUNTIF($AG$6:AG1778,AG1778))</f>
        <v/>
      </c>
    </row>
    <row r="1779">
      <c r="A1779" s="51" t="n"/>
      <c r="B1779" s="52" t="n"/>
      <c r="C1779" s="52" t="n"/>
      <c r="D1779" s="53" t="n"/>
      <c r="E1779" s="53" t="n"/>
      <c r="F1779" s="54" t="n"/>
      <c r="G1779" s="54" t="n"/>
      <c r="H1779" s="54" t="n"/>
      <c r="I1779" s="54" t="n"/>
      <c r="J1779" s="53" t="n"/>
      <c r="K1779" s="55" t="str">
        <f>IF(COUNTA(A1779:I1779)=0,"",IF(F1779="",IFERROR(INDEX(eq_dur,MATCH(B1779,eq_code,0)),""),F1779))</f>
        <v/>
      </c>
      <c r="L1779" s="55" t="str">
        <f>IF(ISNUMBER(K1779),N(IFERROR(INDEX(eq_pause,MATCH(B1779,eq_code,0)),0))+SUMIFS(st_min,st_date,A1779,st_eq,B1779,st_po,C1779,st_type,"Planifié"),"")</f>
        <v/>
      </c>
      <c r="M1779" s="55" t="str">
        <f>IF(ISNUMBER(K1779),K1779-L1779,"")</f>
        <v/>
      </c>
      <c r="N1779" s="55" t="str">
        <f>IF(ISNUMBER(K1779),SUMIFS(st_min,st_date,A1779,st_eq,B1779,st_po,C1779,st_type,"Non planifié"),"")</f>
        <v/>
      </c>
      <c r="O1779" s="55" t="str">
        <f>IF(ISNUMBER(K1779),M1779-N1779,"")</f>
        <v/>
      </c>
      <c r="P1779" s="55" t="str">
        <f>IF(COUNTA(A1779:I1779)=0,"",N(G1779)+N(H1779)+N(I1779))</f>
        <v/>
      </c>
      <c r="Q1779" s="56" t="str">
        <f>IF(COUNTA(A1779:I1779)=0,"",IF(N(IFERROR(INDEX(art_rate,MATCH(E1779,art_ref,0)),0))&gt;0,N(IFERROR(INDEX(art_rate,MATCH(E1779,art_ref,0)),0)),N(IFERROR(INDEX(po_rate,MATCH(C1779,po_code,0)),0))))</f>
        <v/>
      </c>
      <c r="R1779" s="55" t="str">
        <f>IF(AC1779=1,P1779*60/Q1779,"")</f>
        <v/>
      </c>
      <c r="S1779" s="55" t="str">
        <f>IF(AC1779=1,N(G1779)*60/Q1779,"")</f>
        <v/>
      </c>
      <c r="T1779" s="57" t="str">
        <f>IF(AC1779=1,O1779/M1779,"")</f>
        <v/>
      </c>
      <c r="U1779" s="57" t="str">
        <f>IF(AC1779=1,IF(O1779&gt;0,R1779/O1779,""),"")</f>
        <v/>
      </c>
      <c r="V1779" s="57" t="str">
        <f>IF(AC1779=1,IF(P1779&gt;0,N(G1779)/P1779,""),"")</f>
        <v/>
      </c>
      <c r="W1779" s="57" t="str">
        <f>IF(AC1779=1,S1779/M1779,"")</f>
        <v/>
      </c>
      <c r="X1779" s="57" t="str">
        <f>IF(AC1779=1,S1779/K1779,"")</f>
        <v/>
      </c>
      <c r="Y1779" s="58" t="str">
        <f>IF(W1779="","",IF(W1779&gt;=p_target,"Bon",IF(W1779&gt;=p_alert,"À surveiller","Faible")))</f>
        <v/>
      </c>
      <c r="Z1779" s="58" t="str">
        <f>IF(W1779="","",IF(MIN(IF(T1779="",1,T1779),IF(U1779="",1,U1779),IF(V1779="",1,V1779))&gt;=1,"Aucune",IF(IF(T1779="",1,T1779)&lt;=MIN(IF(U1779="",1,U1779),IF(V1779="",1,V1779)),"Disponibilité",IF(IF(U1779="",1,U1779)&lt;=IF(V1779="",1,V1779),"Performance","Qualité"))))</f>
        <v/>
      </c>
      <c r="AA1779" s="59" t="str">
        <f>IF(AC1779=1,N(H1779)*N(IFERROR(INDEX(art_cost,MATCH(E1779,art_ref,0)),0)),"")</f>
        <v/>
      </c>
      <c r="AB1779" s="58" t="str">
        <f>IF(COUNTA(A1779:I1779)=0,"",IF(N(A1779)&lt;=0,"Date manquante ou invalide",IF(B1779="","Équipe manquante",IF(ISNA(MATCH(B1779,eq_code,0)),"Équipe inconnue",IF(INDEX(eq_check,MATCH(B1779,eq_code,0))&lt;&gt;"OK","Équipe à corriger dans Paramètres",IF(C1779="","Poste manquant",IF(ISNA(MATCH(C1779,po_code,0)),"Poste inconnu",IF(AND(E1779&lt;&gt;"",ISNA(MATCH(E1779,art_ref,0))),"Article inconnu",IF(IF(E1779="",FALSE,INDEX(art_check,MATCH(E1779,art_ref,0))&lt;&gt;"OK"),"Article à corriger (feuille Articles)",IF(COUNTIFS(sj_date,A1779,sj_eq,B1779,sj_po,C1779)&gt;1,"Ligne en double (même jour, équipe et poste)",IF(OR(NOT(ISNUMBER(K1779)),N(K1779)&lt;=0,N(K1779)&gt;1440),"Temps d'ouverture invalide",IF(OR(AND(G1779&lt;&gt;"",NOT(ISNUMBER(G1779))),N(G1779)&lt;0,N(G1779)&lt;&gt;INT(N(G1779)),AND(H1779&lt;&gt;"",NOT(ISNUMBER(H1779))),N(H1779)&lt;0,N(H1779)&lt;&gt;INT(N(H1779)),AND(I1779&lt;&gt;"",NOT(ISNUMBER(I1779))),N(I1779)&lt;0,N(I1779)&lt;&gt;INT(N(I1779))),"Quantité invalide",IF(Q1779&lt;=0,"Cadence manquante (poste ou article)",IF(M1779&lt;=0,"Arrêts planifiés supérieurs au temps d'ouverture",IF(O1779&lt;0,"Arrêts supérieurs au temps requis",IF(AND(P1779&gt;0,O1779=0),"Pièces déclarées sans temps de marche",IF(AND(P1779=0,O1779&gt;0),"Aucune pièce déclarée",IF(P1779*60/Q1779&gt;O1779+0.001,"Cadence dépassée : vérifiez la cadence","OK"))))))))))))))))))</f>
        <v/>
      </c>
      <c r="AC1779">
        <f>IF(OR(AB1779="OK",AB1779="Aucune pièce déclarée",AB1779="Cadence dépassée : vérifiez la cadence"),1,0)</f>
        <v>0.0</v>
      </c>
      <c r="AD1779">
        <f>IF(AND(AC1779=1,A1779&gt;=p_from,A1779&lt;=p_to),1,0)</f>
        <v>0.0</v>
      </c>
      <c r="AE1779">
        <f>IF(AD1779=1,IF(COUNTIFS($A$6:A1779,A1779,$AD$6:AD1779,1)=1,1,0),0)</f>
        <v>0.0</v>
      </c>
      <c r="AF1779" t="str">
        <f>IF(AE1779=1,COUNTIFS(sj_first,1,sj_date,"&lt;"&amp;A1779)+1,"")</f>
        <v/>
      </c>
      <c r="AG1779" t="str">
        <f>IF(AND(AD1779=1,N(W1779)&lt;p_alert),ROUND(W1779,4),"")</f>
        <v/>
      </c>
      <c r="AH1779" t="str">
        <f>IF(AG1779="","",COUNTIF(sj_akey,"&lt;"&amp;AG1779)+COUNTIF($AG$6:AG1779,AG1779))</f>
        <v/>
      </c>
    </row>
    <row r="1780">
      <c r="A1780" s="51" t="n"/>
      <c r="B1780" s="52" t="n"/>
      <c r="C1780" s="52" t="n"/>
      <c r="D1780" s="53" t="n"/>
      <c r="E1780" s="53" t="n"/>
      <c r="F1780" s="54" t="n"/>
      <c r="G1780" s="54" t="n"/>
      <c r="H1780" s="54" t="n"/>
      <c r="I1780" s="54" t="n"/>
      <c r="J1780" s="53" t="n"/>
      <c r="K1780" s="55" t="str">
        <f>IF(COUNTA(A1780:I1780)=0,"",IF(F1780="",IFERROR(INDEX(eq_dur,MATCH(B1780,eq_code,0)),""),F1780))</f>
        <v/>
      </c>
      <c r="L1780" s="55" t="str">
        <f>IF(ISNUMBER(K1780),N(IFERROR(INDEX(eq_pause,MATCH(B1780,eq_code,0)),0))+SUMIFS(st_min,st_date,A1780,st_eq,B1780,st_po,C1780,st_type,"Planifié"),"")</f>
        <v/>
      </c>
      <c r="M1780" s="55" t="str">
        <f>IF(ISNUMBER(K1780),K1780-L1780,"")</f>
        <v/>
      </c>
      <c r="N1780" s="55" t="str">
        <f>IF(ISNUMBER(K1780),SUMIFS(st_min,st_date,A1780,st_eq,B1780,st_po,C1780,st_type,"Non planifié"),"")</f>
        <v/>
      </c>
      <c r="O1780" s="55" t="str">
        <f>IF(ISNUMBER(K1780),M1780-N1780,"")</f>
        <v/>
      </c>
      <c r="P1780" s="55" t="str">
        <f>IF(COUNTA(A1780:I1780)=0,"",N(G1780)+N(H1780)+N(I1780))</f>
        <v/>
      </c>
      <c r="Q1780" s="56" t="str">
        <f>IF(COUNTA(A1780:I1780)=0,"",IF(N(IFERROR(INDEX(art_rate,MATCH(E1780,art_ref,0)),0))&gt;0,N(IFERROR(INDEX(art_rate,MATCH(E1780,art_ref,0)),0)),N(IFERROR(INDEX(po_rate,MATCH(C1780,po_code,0)),0))))</f>
        <v/>
      </c>
      <c r="R1780" s="55" t="str">
        <f>IF(AC1780=1,P1780*60/Q1780,"")</f>
        <v/>
      </c>
      <c r="S1780" s="55" t="str">
        <f>IF(AC1780=1,N(G1780)*60/Q1780,"")</f>
        <v/>
      </c>
      <c r="T1780" s="57" t="str">
        <f>IF(AC1780=1,O1780/M1780,"")</f>
        <v/>
      </c>
      <c r="U1780" s="57" t="str">
        <f>IF(AC1780=1,IF(O1780&gt;0,R1780/O1780,""),"")</f>
        <v/>
      </c>
      <c r="V1780" s="57" t="str">
        <f>IF(AC1780=1,IF(P1780&gt;0,N(G1780)/P1780,""),"")</f>
        <v/>
      </c>
      <c r="W1780" s="57" t="str">
        <f>IF(AC1780=1,S1780/M1780,"")</f>
        <v/>
      </c>
      <c r="X1780" s="57" t="str">
        <f>IF(AC1780=1,S1780/K1780,"")</f>
        <v/>
      </c>
      <c r="Y1780" s="58" t="str">
        <f>IF(W1780="","",IF(W1780&gt;=p_target,"Bon",IF(W1780&gt;=p_alert,"À surveiller","Faible")))</f>
        <v/>
      </c>
      <c r="Z1780" s="58" t="str">
        <f>IF(W1780="","",IF(MIN(IF(T1780="",1,T1780),IF(U1780="",1,U1780),IF(V1780="",1,V1780))&gt;=1,"Aucune",IF(IF(T1780="",1,T1780)&lt;=MIN(IF(U1780="",1,U1780),IF(V1780="",1,V1780)),"Disponibilité",IF(IF(U1780="",1,U1780)&lt;=IF(V1780="",1,V1780),"Performance","Qualité"))))</f>
        <v/>
      </c>
      <c r="AA1780" s="59" t="str">
        <f>IF(AC1780=1,N(H1780)*N(IFERROR(INDEX(art_cost,MATCH(E1780,art_ref,0)),0)),"")</f>
        <v/>
      </c>
      <c r="AB1780" s="58" t="str">
        <f>IF(COUNTA(A1780:I1780)=0,"",IF(N(A1780)&lt;=0,"Date manquante ou invalide",IF(B1780="","Équipe manquante",IF(ISNA(MATCH(B1780,eq_code,0)),"Équipe inconnue",IF(INDEX(eq_check,MATCH(B1780,eq_code,0))&lt;&gt;"OK","Équipe à corriger dans Paramètres",IF(C1780="","Poste manquant",IF(ISNA(MATCH(C1780,po_code,0)),"Poste inconnu",IF(AND(E1780&lt;&gt;"",ISNA(MATCH(E1780,art_ref,0))),"Article inconnu",IF(IF(E1780="",FALSE,INDEX(art_check,MATCH(E1780,art_ref,0))&lt;&gt;"OK"),"Article à corriger (feuille Articles)",IF(COUNTIFS(sj_date,A1780,sj_eq,B1780,sj_po,C1780)&gt;1,"Ligne en double (même jour, équipe et poste)",IF(OR(NOT(ISNUMBER(K1780)),N(K1780)&lt;=0,N(K1780)&gt;1440),"Temps d'ouverture invalide",IF(OR(AND(G1780&lt;&gt;"",NOT(ISNUMBER(G1780))),N(G1780)&lt;0,N(G1780)&lt;&gt;INT(N(G1780)),AND(H1780&lt;&gt;"",NOT(ISNUMBER(H1780))),N(H1780)&lt;0,N(H1780)&lt;&gt;INT(N(H1780)),AND(I1780&lt;&gt;"",NOT(ISNUMBER(I1780))),N(I1780)&lt;0,N(I1780)&lt;&gt;INT(N(I1780))),"Quantité invalide",IF(Q1780&lt;=0,"Cadence manquante (poste ou article)",IF(M1780&lt;=0,"Arrêts planifiés supérieurs au temps d'ouverture",IF(O1780&lt;0,"Arrêts supérieurs au temps requis",IF(AND(P1780&gt;0,O1780=0),"Pièces déclarées sans temps de marche",IF(AND(P1780=0,O1780&gt;0),"Aucune pièce déclarée",IF(P1780*60/Q1780&gt;O1780+0.001,"Cadence dépassée : vérifiez la cadence","OK"))))))))))))))))))</f>
        <v/>
      </c>
      <c r="AC1780">
        <f>IF(OR(AB1780="OK",AB1780="Aucune pièce déclarée",AB1780="Cadence dépassée : vérifiez la cadence"),1,0)</f>
        <v>0.0</v>
      </c>
      <c r="AD1780">
        <f>IF(AND(AC1780=1,A1780&gt;=p_from,A1780&lt;=p_to),1,0)</f>
        <v>0.0</v>
      </c>
      <c r="AE1780">
        <f>IF(AD1780=1,IF(COUNTIFS($A$6:A1780,A1780,$AD$6:AD1780,1)=1,1,0),0)</f>
        <v>0.0</v>
      </c>
      <c r="AF1780" t="str">
        <f>IF(AE1780=1,COUNTIFS(sj_first,1,sj_date,"&lt;"&amp;A1780)+1,"")</f>
        <v/>
      </c>
      <c r="AG1780" t="str">
        <f>IF(AND(AD1780=1,N(W1780)&lt;p_alert),ROUND(W1780,4),"")</f>
        <v/>
      </c>
      <c r="AH1780" t="str">
        <f>IF(AG1780="","",COUNTIF(sj_akey,"&lt;"&amp;AG1780)+COUNTIF($AG$6:AG1780,AG1780))</f>
        <v/>
      </c>
    </row>
    <row r="1781">
      <c r="A1781" s="51" t="n"/>
      <c r="B1781" s="52" t="n"/>
      <c r="C1781" s="52" t="n"/>
      <c r="D1781" s="53" t="n"/>
      <c r="E1781" s="53" t="n"/>
      <c r="F1781" s="54" t="n"/>
      <c r="G1781" s="54" t="n"/>
      <c r="H1781" s="54" t="n"/>
      <c r="I1781" s="54" t="n"/>
      <c r="J1781" s="53" t="n"/>
      <c r="K1781" s="55" t="str">
        <f>IF(COUNTA(A1781:I1781)=0,"",IF(F1781="",IFERROR(INDEX(eq_dur,MATCH(B1781,eq_code,0)),""),F1781))</f>
        <v/>
      </c>
      <c r="L1781" s="55" t="str">
        <f>IF(ISNUMBER(K1781),N(IFERROR(INDEX(eq_pause,MATCH(B1781,eq_code,0)),0))+SUMIFS(st_min,st_date,A1781,st_eq,B1781,st_po,C1781,st_type,"Planifié"),"")</f>
        <v/>
      </c>
      <c r="M1781" s="55" t="str">
        <f>IF(ISNUMBER(K1781),K1781-L1781,"")</f>
        <v/>
      </c>
      <c r="N1781" s="55" t="str">
        <f>IF(ISNUMBER(K1781),SUMIFS(st_min,st_date,A1781,st_eq,B1781,st_po,C1781,st_type,"Non planifié"),"")</f>
        <v/>
      </c>
      <c r="O1781" s="55" t="str">
        <f>IF(ISNUMBER(K1781),M1781-N1781,"")</f>
        <v/>
      </c>
      <c r="P1781" s="55" t="str">
        <f>IF(COUNTA(A1781:I1781)=0,"",N(G1781)+N(H1781)+N(I1781))</f>
        <v/>
      </c>
      <c r="Q1781" s="56" t="str">
        <f>IF(COUNTA(A1781:I1781)=0,"",IF(N(IFERROR(INDEX(art_rate,MATCH(E1781,art_ref,0)),0))&gt;0,N(IFERROR(INDEX(art_rate,MATCH(E1781,art_ref,0)),0)),N(IFERROR(INDEX(po_rate,MATCH(C1781,po_code,0)),0))))</f>
        <v/>
      </c>
      <c r="R1781" s="55" t="str">
        <f>IF(AC1781=1,P1781*60/Q1781,"")</f>
        <v/>
      </c>
      <c r="S1781" s="55" t="str">
        <f>IF(AC1781=1,N(G1781)*60/Q1781,"")</f>
        <v/>
      </c>
      <c r="T1781" s="57" t="str">
        <f>IF(AC1781=1,O1781/M1781,"")</f>
        <v/>
      </c>
      <c r="U1781" s="57" t="str">
        <f>IF(AC1781=1,IF(O1781&gt;0,R1781/O1781,""),"")</f>
        <v/>
      </c>
      <c r="V1781" s="57" t="str">
        <f>IF(AC1781=1,IF(P1781&gt;0,N(G1781)/P1781,""),"")</f>
        <v/>
      </c>
      <c r="W1781" s="57" t="str">
        <f>IF(AC1781=1,S1781/M1781,"")</f>
        <v/>
      </c>
      <c r="X1781" s="57" t="str">
        <f>IF(AC1781=1,S1781/K1781,"")</f>
        <v/>
      </c>
      <c r="Y1781" s="58" t="str">
        <f>IF(W1781="","",IF(W1781&gt;=p_target,"Bon",IF(W1781&gt;=p_alert,"À surveiller","Faible")))</f>
        <v/>
      </c>
      <c r="Z1781" s="58" t="str">
        <f>IF(W1781="","",IF(MIN(IF(T1781="",1,T1781),IF(U1781="",1,U1781),IF(V1781="",1,V1781))&gt;=1,"Aucune",IF(IF(T1781="",1,T1781)&lt;=MIN(IF(U1781="",1,U1781),IF(V1781="",1,V1781)),"Disponibilité",IF(IF(U1781="",1,U1781)&lt;=IF(V1781="",1,V1781),"Performance","Qualité"))))</f>
        <v/>
      </c>
      <c r="AA1781" s="59" t="str">
        <f>IF(AC1781=1,N(H1781)*N(IFERROR(INDEX(art_cost,MATCH(E1781,art_ref,0)),0)),"")</f>
        <v/>
      </c>
      <c r="AB1781" s="58" t="str">
        <f>IF(COUNTA(A1781:I1781)=0,"",IF(N(A1781)&lt;=0,"Date manquante ou invalide",IF(B1781="","Équipe manquante",IF(ISNA(MATCH(B1781,eq_code,0)),"Équipe inconnue",IF(INDEX(eq_check,MATCH(B1781,eq_code,0))&lt;&gt;"OK","Équipe à corriger dans Paramètres",IF(C1781="","Poste manquant",IF(ISNA(MATCH(C1781,po_code,0)),"Poste inconnu",IF(AND(E1781&lt;&gt;"",ISNA(MATCH(E1781,art_ref,0))),"Article inconnu",IF(IF(E1781="",FALSE,INDEX(art_check,MATCH(E1781,art_ref,0))&lt;&gt;"OK"),"Article à corriger (feuille Articles)",IF(COUNTIFS(sj_date,A1781,sj_eq,B1781,sj_po,C1781)&gt;1,"Ligne en double (même jour, équipe et poste)",IF(OR(NOT(ISNUMBER(K1781)),N(K1781)&lt;=0,N(K1781)&gt;1440),"Temps d'ouverture invalide",IF(OR(AND(G1781&lt;&gt;"",NOT(ISNUMBER(G1781))),N(G1781)&lt;0,N(G1781)&lt;&gt;INT(N(G1781)),AND(H1781&lt;&gt;"",NOT(ISNUMBER(H1781))),N(H1781)&lt;0,N(H1781)&lt;&gt;INT(N(H1781)),AND(I1781&lt;&gt;"",NOT(ISNUMBER(I1781))),N(I1781)&lt;0,N(I1781)&lt;&gt;INT(N(I1781))),"Quantité invalide",IF(Q1781&lt;=0,"Cadence manquante (poste ou article)",IF(M1781&lt;=0,"Arrêts planifiés supérieurs au temps d'ouverture",IF(O1781&lt;0,"Arrêts supérieurs au temps requis",IF(AND(P1781&gt;0,O1781=0),"Pièces déclarées sans temps de marche",IF(AND(P1781=0,O1781&gt;0),"Aucune pièce déclarée",IF(P1781*60/Q1781&gt;O1781+0.001,"Cadence dépassée : vérifiez la cadence","OK"))))))))))))))))))</f>
        <v/>
      </c>
      <c r="AC1781">
        <f>IF(OR(AB1781="OK",AB1781="Aucune pièce déclarée",AB1781="Cadence dépassée : vérifiez la cadence"),1,0)</f>
        <v>0.0</v>
      </c>
      <c r="AD1781">
        <f>IF(AND(AC1781=1,A1781&gt;=p_from,A1781&lt;=p_to),1,0)</f>
        <v>0.0</v>
      </c>
      <c r="AE1781">
        <f>IF(AD1781=1,IF(COUNTIFS($A$6:A1781,A1781,$AD$6:AD1781,1)=1,1,0),0)</f>
        <v>0.0</v>
      </c>
      <c r="AF1781" t="str">
        <f>IF(AE1781=1,COUNTIFS(sj_first,1,sj_date,"&lt;"&amp;A1781)+1,"")</f>
        <v/>
      </c>
      <c r="AG1781" t="str">
        <f>IF(AND(AD1781=1,N(W1781)&lt;p_alert),ROUND(W1781,4),"")</f>
        <v/>
      </c>
      <c r="AH1781" t="str">
        <f>IF(AG1781="","",COUNTIF(sj_akey,"&lt;"&amp;AG1781)+COUNTIF($AG$6:AG1781,AG1781))</f>
        <v/>
      </c>
    </row>
    <row r="1782">
      <c r="A1782" s="51" t="n"/>
      <c r="B1782" s="52" t="n"/>
      <c r="C1782" s="52" t="n"/>
      <c r="D1782" s="53" t="n"/>
      <c r="E1782" s="53" t="n"/>
      <c r="F1782" s="54" t="n"/>
      <c r="G1782" s="54" t="n"/>
      <c r="H1782" s="54" t="n"/>
      <c r="I1782" s="54" t="n"/>
      <c r="J1782" s="53" t="n"/>
      <c r="K1782" s="55" t="str">
        <f>IF(COUNTA(A1782:I1782)=0,"",IF(F1782="",IFERROR(INDEX(eq_dur,MATCH(B1782,eq_code,0)),""),F1782))</f>
        <v/>
      </c>
      <c r="L1782" s="55" t="str">
        <f>IF(ISNUMBER(K1782),N(IFERROR(INDEX(eq_pause,MATCH(B1782,eq_code,0)),0))+SUMIFS(st_min,st_date,A1782,st_eq,B1782,st_po,C1782,st_type,"Planifié"),"")</f>
        <v/>
      </c>
      <c r="M1782" s="55" t="str">
        <f>IF(ISNUMBER(K1782),K1782-L1782,"")</f>
        <v/>
      </c>
      <c r="N1782" s="55" t="str">
        <f>IF(ISNUMBER(K1782),SUMIFS(st_min,st_date,A1782,st_eq,B1782,st_po,C1782,st_type,"Non planifié"),"")</f>
        <v/>
      </c>
      <c r="O1782" s="55" t="str">
        <f>IF(ISNUMBER(K1782),M1782-N1782,"")</f>
        <v/>
      </c>
      <c r="P1782" s="55" t="str">
        <f>IF(COUNTA(A1782:I1782)=0,"",N(G1782)+N(H1782)+N(I1782))</f>
        <v/>
      </c>
      <c r="Q1782" s="56" t="str">
        <f>IF(COUNTA(A1782:I1782)=0,"",IF(N(IFERROR(INDEX(art_rate,MATCH(E1782,art_ref,0)),0))&gt;0,N(IFERROR(INDEX(art_rate,MATCH(E1782,art_ref,0)),0)),N(IFERROR(INDEX(po_rate,MATCH(C1782,po_code,0)),0))))</f>
        <v/>
      </c>
      <c r="R1782" s="55" t="str">
        <f>IF(AC1782=1,P1782*60/Q1782,"")</f>
        <v/>
      </c>
      <c r="S1782" s="55" t="str">
        <f>IF(AC1782=1,N(G1782)*60/Q1782,"")</f>
        <v/>
      </c>
      <c r="T1782" s="57" t="str">
        <f>IF(AC1782=1,O1782/M1782,"")</f>
        <v/>
      </c>
      <c r="U1782" s="57" t="str">
        <f>IF(AC1782=1,IF(O1782&gt;0,R1782/O1782,""),"")</f>
        <v/>
      </c>
      <c r="V1782" s="57" t="str">
        <f>IF(AC1782=1,IF(P1782&gt;0,N(G1782)/P1782,""),"")</f>
        <v/>
      </c>
      <c r="W1782" s="57" t="str">
        <f>IF(AC1782=1,S1782/M1782,"")</f>
        <v/>
      </c>
      <c r="X1782" s="57" t="str">
        <f>IF(AC1782=1,S1782/K1782,"")</f>
        <v/>
      </c>
      <c r="Y1782" s="58" t="str">
        <f>IF(W1782="","",IF(W1782&gt;=p_target,"Bon",IF(W1782&gt;=p_alert,"À surveiller","Faible")))</f>
        <v/>
      </c>
      <c r="Z1782" s="58" t="str">
        <f>IF(W1782="","",IF(MIN(IF(T1782="",1,T1782),IF(U1782="",1,U1782),IF(V1782="",1,V1782))&gt;=1,"Aucune",IF(IF(T1782="",1,T1782)&lt;=MIN(IF(U1782="",1,U1782),IF(V1782="",1,V1782)),"Disponibilité",IF(IF(U1782="",1,U1782)&lt;=IF(V1782="",1,V1782),"Performance","Qualité"))))</f>
        <v/>
      </c>
      <c r="AA1782" s="59" t="str">
        <f>IF(AC1782=1,N(H1782)*N(IFERROR(INDEX(art_cost,MATCH(E1782,art_ref,0)),0)),"")</f>
        <v/>
      </c>
      <c r="AB1782" s="58" t="str">
        <f>IF(COUNTA(A1782:I1782)=0,"",IF(N(A1782)&lt;=0,"Date manquante ou invalide",IF(B1782="","Équipe manquante",IF(ISNA(MATCH(B1782,eq_code,0)),"Équipe inconnue",IF(INDEX(eq_check,MATCH(B1782,eq_code,0))&lt;&gt;"OK","Équipe à corriger dans Paramètres",IF(C1782="","Poste manquant",IF(ISNA(MATCH(C1782,po_code,0)),"Poste inconnu",IF(AND(E1782&lt;&gt;"",ISNA(MATCH(E1782,art_ref,0))),"Article inconnu",IF(IF(E1782="",FALSE,INDEX(art_check,MATCH(E1782,art_ref,0))&lt;&gt;"OK"),"Article à corriger (feuille Articles)",IF(COUNTIFS(sj_date,A1782,sj_eq,B1782,sj_po,C1782)&gt;1,"Ligne en double (même jour, équipe et poste)",IF(OR(NOT(ISNUMBER(K1782)),N(K1782)&lt;=0,N(K1782)&gt;1440),"Temps d'ouverture invalide",IF(OR(AND(G1782&lt;&gt;"",NOT(ISNUMBER(G1782))),N(G1782)&lt;0,N(G1782)&lt;&gt;INT(N(G1782)),AND(H1782&lt;&gt;"",NOT(ISNUMBER(H1782))),N(H1782)&lt;0,N(H1782)&lt;&gt;INT(N(H1782)),AND(I1782&lt;&gt;"",NOT(ISNUMBER(I1782))),N(I1782)&lt;0,N(I1782)&lt;&gt;INT(N(I1782))),"Quantité invalide",IF(Q1782&lt;=0,"Cadence manquante (poste ou article)",IF(M1782&lt;=0,"Arrêts planifiés supérieurs au temps d'ouverture",IF(O1782&lt;0,"Arrêts supérieurs au temps requis",IF(AND(P1782&gt;0,O1782=0),"Pièces déclarées sans temps de marche",IF(AND(P1782=0,O1782&gt;0),"Aucune pièce déclarée",IF(P1782*60/Q1782&gt;O1782+0.001,"Cadence dépassée : vérifiez la cadence","OK"))))))))))))))))))</f>
        <v/>
      </c>
      <c r="AC1782">
        <f>IF(OR(AB1782="OK",AB1782="Aucune pièce déclarée",AB1782="Cadence dépassée : vérifiez la cadence"),1,0)</f>
        <v>0.0</v>
      </c>
      <c r="AD1782">
        <f>IF(AND(AC1782=1,A1782&gt;=p_from,A1782&lt;=p_to),1,0)</f>
        <v>0.0</v>
      </c>
      <c r="AE1782">
        <f>IF(AD1782=1,IF(COUNTIFS($A$6:A1782,A1782,$AD$6:AD1782,1)=1,1,0),0)</f>
        <v>0.0</v>
      </c>
      <c r="AF1782" t="str">
        <f>IF(AE1782=1,COUNTIFS(sj_first,1,sj_date,"&lt;"&amp;A1782)+1,"")</f>
        <v/>
      </c>
      <c r="AG1782" t="str">
        <f>IF(AND(AD1782=1,N(W1782)&lt;p_alert),ROUND(W1782,4),"")</f>
        <v/>
      </c>
      <c r="AH1782" t="str">
        <f>IF(AG1782="","",COUNTIF(sj_akey,"&lt;"&amp;AG1782)+COUNTIF($AG$6:AG1782,AG1782))</f>
        <v/>
      </c>
    </row>
    <row r="1783">
      <c r="A1783" s="51" t="n"/>
      <c r="B1783" s="52" t="n"/>
      <c r="C1783" s="52" t="n"/>
      <c r="D1783" s="53" t="n"/>
      <c r="E1783" s="53" t="n"/>
      <c r="F1783" s="54" t="n"/>
      <c r="G1783" s="54" t="n"/>
      <c r="H1783" s="54" t="n"/>
      <c r="I1783" s="54" t="n"/>
      <c r="J1783" s="53" t="n"/>
      <c r="K1783" s="55" t="str">
        <f>IF(COUNTA(A1783:I1783)=0,"",IF(F1783="",IFERROR(INDEX(eq_dur,MATCH(B1783,eq_code,0)),""),F1783))</f>
        <v/>
      </c>
      <c r="L1783" s="55" t="str">
        <f>IF(ISNUMBER(K1783),N(IFERROR(INDEX(eq_pause,MATCH(B1783,eq_code,0)),0))+SUMIFS(st_min,st_date,A1783,st_eq,B1783,st_po,C1783,st_type,"Planifié"),"")</f>
        <v/>
      </c>
      <c r="M1783" s="55" t="str">
        <f>IF(ISNUMBER(K1783),K1783-L1783,"")</f>
        <v/>
      </c>
      <c r="N1783" s="55" t="str">
        <f>IF(ISNUMBER(K1783),SUMIFS(st_min,st_date,A1783,st_eq,B1783,st_po,C1783,st_type,"Non planifié"),"")</f>
        <v/>
      </c>
      <c r="O1783" s="55" t="str">
        <f>IF(ISNUMBER(K1783),M1783-N1783,"")</f>
        <v/>
      </c>
      <c r="P1783" s="55" t="str">
        <f>IF(COUNTA(A1783:I1783)=0,"",N(G1783)+N(H1783)+N(I1783))</f>
        <v/>
      </c>
      <c r="Q1783" s="56" t="str">
        <f>IF(COUNTA(A1783:I1783)=0,"",IF(N(IFERROR(INDEX(art_rate,MATCH(E1783,art_ref,0)),0))&gt;0,N(IFERROR(INDEX(art_rate,MATCH(E1783,art_ref,0)),0)),N(IFERROR(INDEX(po_rate,MATCH(C1783,po_code,0)),0))))</f>
        <v/>
      </c>
      <c r="R1783" s="55" t="str">
        <f>IF(AC1783=1,P1783*60/Q1783,"")</f>
        <v/>
      </c>
      <c r="S1783" s="55" t="str">
        <f>IF(AC1783=1,N(G1783)*60/Q1783,"")</f>
        <v/>
      </c>
      <c r="T1783" s="57" t="str">
        <f>IF(AC1783=1,O1783/M1783,"")</f>
        <v/>
      </c>
      <c r="U1783" s="57" t="str">
        <f>IF(AC1783=1,IF(O1783&gt;0,R1783/O1783,""),"")</f>
        <v/>
      </c>
      <c r="V1783" s="57" t="str">
        <f>IF(AC1783=1,IF(P1783&gt;0,N(G1783)/P1783,""),"")</f>
        <v/>
      </c>
      <c r="W1783" s="57" t="str">
        <f>IF(AC1783=1,S1783/M1783,"")</f>
        <v/>
      </c>
      <c r="X1783" s="57" t="str">
        <f>IF(AC1783=1,S1783/K1783,"")</f>
        <v/>
      </c>
      <c r="Y1783" s="58" t="str">
        <f>IF(W1783="","",IF(W1783&gt;=p_target,"Bon",IF(W1783&gt;=p_alert,"À surveiller","Faible")))</f>
        <v/>
      </c>
      <c r="Z1783" s="58" t="str">
        <f>IF(W1783="","",IF(MIN(IF(T1783="",1,T1783),IF(U1783="",1,U1783),IF(V1783="",1,V1783))&gt;=1,"Aucune",IF(IF(T1783="",1,T1783)&lt;=MIN(IF(U1783="",1,U1783),IF(V1783="",1,V1783)),"Disponibilité",IF(IF(U1783="",1,U1783)&lt;=IF(V1783="",1,V1783),"Performance","Qualité"))))</f>
        <v/>
      </c>
      <c r="AA1783" s="59" t="str">
        <f>IF(AC1783=1,N(H1783)*N(IFERROR(INDEX(art_cost,MATCH(E1783,art_ref,0)),0)),"")</f>
        <v/>
      </c>
      <c r="AB1783" s="58" t="str">
        <f>IF(COUNTA(A1783:I1783)=0,"",IF(N(A1783)&lt;=0,"Date manquante ou invalide",IF(B1783="","Équipe manquante",IF(ISNA(MATCH(B1783,eq_code,0)),"Équipe inconnue",IF(INDEX(eq_check,MATCH(B1783,eq_code,0))&lt;&gt;"OK","Équipe à corriger dans Paramètres",IF(C1783="","Poste manquant",IF(ISNA(MATCH(C1783,po_code,0)),"Poste inconnu",IF(AND(E1783&lt;&gt;"",ISNA(MATCH(E1783,art_ref,0))),"Article inconnu",IF(IF(E1783="",FALSE,INDEX(art_check,MATCH(E1783,art_ref,0))&lt;&gt;"OK"),"Article à corriger (feuille Articles)",IF(COUNTIFS(sj_date,A1783,sj_eq,B1783,sj_po,C1783)&gt;1,"Ligne en double (même jour, équipe et poste)",IF(OR(NOT(ISNUMBER(K1783)),N(K1783)&lt;=0,N(K1783)&gt;1440),"Temps d'ouverture invalide",IF(OR(AND(G1783&lt;&gt;"",NOT(ISNUMBER(G1783))),N(G1783)&lt;0,N(G1783)&lt;&gt;INT(N(G1783)),AND(H1783&lt;&gt;"",NOT(ISNUMBER(H1783))),N(H1783)&lt;0,N(H1783)&lt;&gt;INT(N(H1783)),AND(I1783&lt;&gt;"",NOT(ISNUMBER(I1783))),N(I1783)&lt;0,N(I1783)&lt;&gt;INT(N(I1783))),"Quantité invalide",IF(Q1783&lt;=0,"Cadence manquante (poste ou article)",IF(M1783&lt;=0,"Arrêts planifiés supérieurs au temps d'ouverture",IF(O1783&lt;0,"Arrêts supérieurs au temps requis",IF(AND(P1783&gt;0,O1783=0),"Pièces déclarées sans temps de marche",IF(AND(P1783=0,O1783&gt;0),"Aucune pièce déclarée",IF(P1783*60/Q1783&gt;O1783+0.001,"Cadence dépassée : vérifiez la cadence","OK"))))))))))))))))))</f>
        <v/>
      </c>
      <c r="AC1783">
        <f>IF(OR(AB1783="OK",AB1783="Aucune pièce déclarée",AB1783="Cadence dépassée : vérifiez la cadence"),1,0)</f>
        <v>0.0</v>
      </c>
      <c r="AD1783">
        <f>IF(AND(AC1783=1,A1783&gt;=p_from,A1783&lt;=p_to),1,0)</f>
        <v>0.0</v>
      </c>
      <c r="AE1783">
        <f>IF(AD1783=1,IF(COUNTIFS($A$6:A1783,A1783,$AD$6:AD1783,1)=1,1,0),0)</f>
        <v>0.0</v>
      </c>
      <c r="AF1783" t="str">
        <f>IF(AE1783=1,COUNTIFS(sj_first,1,sj_date,"&lt;"&amp;A1783)+1,"")</f>
        <v/>
      </c>
      <c r="AG1783" t="str">
        <f>IF(AND(AD1783=1,N(W1783)&lt;p_alert),ROUND(W1783,4),"")</f>
        <v/>
      </c>
      <c r="AH1783" t="str">
        <f>IF(AG1783="","",COUNTIF(sj_akey,"&lt;"&amp;AG1783)+COUNTIF($AG$6:AG1783,AG1783))</f>
        <v/>
      </c>
    </row>
    <row r="1784">
      <c r="A1784" s="51" t="n"/>
      <c r="B1784" s="52" t="n"/>
      <c r="C1784" s="52" t="n"/>
      <c r="D1784" s="53" t="n"/>
      <c r="E1784" s="53" t="n"/>
      <c r="F1784" s="54" t="n"/>
      <c r="G1784" s="54" t="n"/>
      <c r="H1784" s="54" t="n"/>
      <c r="I1784" s="54" t="n"/>
      <c r="J1784" s="53" t="n"/>
      <c r="K1784" s="55" t="str">
        <f>IF(COUNTA(A1784:I1784)=0,"",IF(F1784="",IFERROR(INDEX(eq_dur,MATCH(B1784,eq_code,0)),""),F1784))</f>
        <v/>
      </c>
      <c r="L1784" s="55" t="str">
        <f>IF(ISNUMBER(K1784),N(IFERROR(INDEX(eq_pause,MATCH(B1784,eq_code,0)),0))+SUMIFS(st_min,st_date,A1784,st_eq,B1784,st_po,C1784,st_type,"Planifié"),"")</f>
        <v/>
      </c>
      <c r="M1784" s="55" t="str">
        <f>IF(ISNUMBER(K1784),K1784-L1784,"")</f>
        <v/>
      </c>
      <c r="N1784" s="55" t="str">
        <f>IF(ISNUMBER(K1784),SUMIFS(st_min,st_date,A1784,st_eq,B1784,st_po,C1784,st_type,"Non planifié"),"")</f>
        <v/>
      </c>
      <c r="O1784" s="55" t="str">
        <f>IF(ISNUMBER(K1784),M1784-N1784,"")</f>
        <v/>
      </c>
      <c r="P1784" s="55" t="str">
        <f>IF(COUNTA(A1784:I1784)=0,"",N(G1784)+N(H1784)+N(I1784))</f>
        <v/>
      </c>
      <c r="Q1784" s="56" t="str">
        <f>IF(COUNTA(A1784:I1784)=0,"",IF(N(IFERROR(INDEX(art_rate,MATCH(E1784,art_ref,0)),0))&gt;0,N(IFERROR(INDEX(art_rate,MATCH(E1784,art_ref,0)),0)),N(IFERROR(INDEX(po_rate,MATCH(C1784,po_code,0)),0))))</f>
        <v/>
      </c>
      <c r="R1784" s="55" t="str">
        <f>IF(AC1784=1,P1784*60/Q1784,"")</f>
        <v/>
      </c>
      <c r="S1784" s="55" t="str">
        <f>IF(AC1784=1,N(G1784)*60/Q1784,"")</f>
        <v/>
      </c>
      <c r="T1784" s="57" t="str">
        <f>IF(AC1784=1,O1784/M1784,"")</f>
        <v/>
      </c>
      <c r="U1784" s="57" t="str">
        <f>IF(AC1784=1,IF(O1784&gt;0,R1784/O1784,""),"")</f>
        <v/>
      </c>
      <c r="V1784" s="57" t="str">
        <f>IF(AC1784=1,IF(P1784&gt;0,N(G1784)/P1784,""),"")</f>
        <v/>
      </c>
      <c r="W1784" s="57" t="str">
        <f>IF(AC1784=1,S1784/M1784,"")</f>
        <v/>
      </c>
      <c r="X1784" s="57" t="str">
        <f>IF(AC1784=1,S1784/K1784,"")</f>
        <v/>
      </c>
      <c r="Y1784" s="58" t="str">
        <f>IF(W1784="","",IF(W1784&gt;=p_target,"Bon",IF(W1784&gt;=p_alert,"À surveiller","Faible")))</f>
        <v/>
      </c>
      <c r="Z1784" s="58" t="str">
        <f>IF(W1784="","",IF(MIN(IF(T1784="",1,T1784),IF(U1784="",1,U1784),IF(V1784="",1,V1784))&gt;=1,"Aucune",IF(IF(T1784="",1,T1784)&lt;=MIN(IF(U1784="",1,U1784),IF(V1784="",1,V1784)),"Disponibilité",IF(IF(U1784="",1,U1784)&lt;=IF(V1784="",1,V1784),"Performance","Qualité"))))</f>
        <v/>
      </c>
      <c r="AA1784" s="59" t="str">
        <f>IF(AC1784=1,N(H1784)*N(IFERROR(INDEX(art_cost,MATCH(E1784,art_ref,0)),0)),"")</f>
        <v/>
      </c>
      <c r="AB1784" s="58" t="str">
        <f>IF(COUNTA(A1784:I1784)=0,"",IF(N(A1784)&lt;=0,"Date manquante ou invalide",IF(B1784="","Équipe manquante",IF(ISNA(MATCH(B1784,eq_code,0)),"Équipe inconnue",IF(INDEX(eq_check,MATCH(B1784,eq_code,0))&lt;&gt;"OK","Équipe à corriger dans Paramètres",IF(C1784="","Poste manquant",IF(ISNA(MATCH(C1784,po_code,0)),"Poste inconnu",IF(AND(E1784&lt;&gt;"",ISNA(MATCH(E1784,art_ref,0))),"Article inconnu",IF(IF(E1784="",FALSE,INDEX(art_check,MATCH(E1784,art_ref,0))&lt;&gt;"OK"),"Article à corriger (feuille Articles)",IF(COUNTIFS(sj_date,A1784,sj_eq,B1784,sj_po,C1784)&gt;1,"Ligne en double (même jour, équipe et poste)",IF(OR(NOT(ISNUMBER(K1784)),N(K1784)&lt;=0,N(K1784)&gt;1440),"Temps d'ouverture invalide",IF(OR(AND(G1784&lt;&gt;"",NOT(ISNUMBER(G1784))),N(G1784)&lt;0,N(G1784)&lt;&gt;INT(N(G1784)),AND(H1784&lt;&gt;"",NOT(ISNUMBER(H1784))),N(H1784)&lt;0,N(H1784)&lt;&gt;INT(N(H1784)),AND(I1784&lt;&gt;"",NOT(ISNUMBER(I1784))),N(I1784)&lt;0,N(I1784)&lt;&gt;INT(N(I1784))),"Quantité invalide",IF(Q1784&lt;=0,"Cadence manquante (poste ou article)",IF(M1784&lt;=0,"Arrêts planifiés supérieurs au temps d'ouverture",IF(O1784&lt;0,"Arrêts supérieurs au temps requis",IF(AND(P1784&gt;0,O1784=0),"Pièces déclarées sans temps de marche",IF(AND(P1784=0,O1784&gt;0),"Aucune pièce déclarée",IF(P1784*60/Q1784&gt;O1784+0.001,"Cadence dépassée : vérifiez la cadence","OK"))))))))))))))))))</f>
        <v/>
      </c>
      <c r="AC1784">
        <f>IF(OR(AB1784="OK",AB1784="Aucune pièce déclarée",AB1784="Cadence dépassée : vérifiez la cadence"),1,0)</f>
        <v>0.0</v>
      </c>
      <c r="AD1784">
        <f>IF(AND(AC1784=1,A1784&gt;=p_from,A1784&lt;=p_to),1,0)</f>
        <v>0.0</v>
      </c>
      <c r="AE1784">
        <f>IF(AD1784=1,IF(COUNTIFS($A$6:A1784,A1784,$AD$6:AD1784,1)=1,1,0),0)</f>
        <v>0.0</v>
      </c>
      <c r="AF1784" t="str">
        <f>IF(AE1784=1,COUNTIFS(sj_first,1,sj_date,"&lt;"&amp;A1784)+1,"")</f>
        <v/>
      </c>
      <c r="AG1784" t="str">
        <f>IF(AND(AD1784=1,N(W1784)&lt;p_alert),ROUND(W1784,4),"")</f>
        <v/>
      </c>
      <c r="AH1784" t="str">
        <f>IF(AG1784="","",COUNTIF(sj_akey,"&lt;"&amp;AG1784)+COUNTIF($AG$6:AG1784,AG1784))</f>
        <v/>
      </c>
    </row>
    <row r="1785">
      <c r="A1785" s="51" t="n"/>
      <c r="B1785" s="52" t="n"/>
      <c r="C1785" s="52" t="n"/>
      <c r="D1785" s="53" t="n"/>
      <c r="E1785" s="53" t="n"/>
      <c r="F1785" s="54" t="n"/>
      <c r="G1785" s="54" t="n"/>
      <c r="H1785" s="54" t="n"/>
      <c r="I1785" s="54" t="n"/>
      <c r="J1785" s="53" t="n"/>
      <c r="K1785" s="55" t="str">
        <f>IF(COUNTA(A1785:I1785)=0,"",IF(F1785="",IFERROR(INDEX(eq_dur,MATCH(B1785,eq_code,0)),""),F1785))</f>
        <v/>
      </c>
      <c r="L1785" s="55" t="str">
        <f>IF(ISNUMBER(K1785),N(IFERROR(INDEX(eq_pause,MATCH(B1785,eq_code,0)),0))+SUMIFS(st_min,st_date,A1785,st_eq,B1785,st_po,C1785,st_type,"Planifié"),"")</f>
        <v/>
      </c>
      <c r="M1785" s="55" t="str">
        <f>IF(ISNUMBER(K1785),K1785-L1785,"")</f>
        <v/>
      </c>
      <c r="N1785" s="55" t="str">
        <f>IF(ISNUMBER(K1785),SUMIFS(st_min,st_date,A1785,st_eq,B1785,st_po,C1785,st_type,"Non planifié"),"")</f>
        <v/>
      </c>
      <c r="O1785" s="55" t="str">
        <f>IF(ISNUMBER(K1785),M1785-N1785,"")</f>
        <v/>
      </c>
      <c r="P1785" s="55" t="str">
        <f>IF(COUNTA(A1785:I1785)=0,"",N(G1785)+N(H1785)+N(I1785))</f>
        <v/>
      </c>
      <c r="Q1785" s="56" t="str">
        <f>IF(COUNTA(A1785:I1785)=0,"",IF(N(IFERROR(INDEX(art_rate,MATCH(E1785,art_ref,0)),0))&gt;0,N(IFERROR(INDEX(art_rate,MATCH(E1785,art_ref,0)),0)),N(IFERROR(INDEX(po_rate,MATCH(C1785,po_code,0)),0))))</f>
        <v/>
      </c>
      <c r="R1785" s="55" t="str">
        <f>IF(AC1785=1,P1785*60/Q1785,"")</f>
        <v/>
      </c>
      <c r="S1785" s="55" t="str">
        <f>IF(AC1785=1,N(G1785)*60/Q1785,"")</f>
        <v/>
      </c>
      <c r="T1785" s="57" t="str">
        <f>IF(AC1785=1,O1785/M1785,"")</f>
        <v/>
      </c>
      <c r="U1785" s="57" t="str">
        <f>IF(AC1785=1,IF(O1785&gt;0,R1785/O1785,""),"")</f>
        <v/>
      </c>
      <c r="V1785" s="57" t="str">
        <f>IF(AC1785=1,IF(P1785&gt;0,N(G1785)/P1785,""),"")</f>
        <v/>
      </c>
      <c r="W1785" s="57" t="str">
        <f>IF(AC1785=1,S1785/M1785,"")</f>
        <v/>
      </c>
      <c r="X1785" s="57" t="str">
        <f>IF(AC1785=1,S1785/K1785,"")</f>
        <v/>
      </c>
      <c r="Y1785" s="58" t="str">
        <f>IF(W1785="","",IF(W1785&gt;=p_target,"Bon",IF(W1785&gt;=p_alert,"À surveiller","Faible")))</f>
        <v/>
      </c>
      <c r="Z1785" s="58" t="str">
        <f>IF(W1785="","",IF(MIN(IF(T1785="",1,T1785),IF(U1785="",1,U1785),IF(V1785="",1,V1785))&gt;=1,"Aucune",IF(IF(T1785="",1,T1785)&lt;=MIN(IF(U1785="",1,U1785),IF(V1785="",1,V1785)),"Disponibilité",IF(IF(U1785="",1,U1785)&lt;=IF(V1785="",1,V1785),"Performance","Qualité"))))</f>
        <v/>
      </c>
      <c r="AA1785" s="59" t="str">
        <f>IF(AC1785=1,N(H1785)*N(IFERROR(INDEX(art_cost,MATCH(E1785,art_ref,0)),0)),"")</f>
        <v/>
      </c>
      <c r="AB1785" s="58" t="str">
        <f>IF(COUNTA(A1785:I1785)=0,"",IF(N(A1785)&lt;=0,"Date manquante ou invalide",IF(B1785="","Équipe manquante",IF(ISNA(MATCH(B1785,eq_code,0)),"Équipe inconnue",IF(INDEX(eq_check,MATCH(B1785,eq_code,0))&lt;&gt;"OK","Équipe à corriger dans Paramètres",IF(C1785="","Poste manquant",IF(ISNA(MATCH(C1785,po_code,0)),"Poste inconnu",IF(AND(E1785&lt;&gt;"",ISNA(MATCH(E1785,art_ref,0))),"Article inconnu",IF(IF(E1785="",FALSE,INDEX(art_check,MATCH(E1785,art_ref,0))&lt;&gt;"OK"),"Article à corriger (feuille Articles)",IF(COUNTIFS(sj_date,A1785,sj_eq,B1785,sj_po,C1785)&gt;1,"Ligne en double (même jour, équipe et poste)",IF(OR(NOT(ISNUMBER(K1785)),N(K1785)&lt;=0,N(K1785)&gt;1440),"Temps d'ouverture invalide",IF(OR(AND(G1785&lt;&gt;"",NOT(ISNUMBER(G1785))),N(G1785)&lt;0,N(G1785)&lt;&gt;INT(N(G1785)),AND(H1785&lt;&gt;"",NOT(ISNUMBER(H1785))),N(H1785)&lt;0,N(H1785)&lt;&gt;INT(N(H1785)),AND(I1785&lt;&gt;"",NOT(ISNUMBER(I1785))),N(I1785)&lt;0,N(I1785)&lt;&gt;INT(N(I1785))),"Quantité invalide",IF(Q1785&lt;=0,"Cadence manquante (poste ou article)",IF(M1785&lt;=0,"Arrêts planifiés supérieurs au temps d'ouverture",IF(O1785&lt;0,"Arrêts supérieurs au temps requis",IF(AND(P1785&gt;0,O1785=0),"Pièces déclarées sans temps de marche",IF(AND(P1785=0,O1785&gt;0),"Aucune pièce déclarée",IF(P1785*60/Q1785&gt;O1785+0.001,"Cadence dépassée : vérifiez la cadence","OK"))))))))))))))))))</f>
        <v/>
      </c>
      <c r="AC1785">
        <f>IF(OR(AB1785="OK",AB1785="Aucune pièce déclarée",AB1785="Cadence dépassée : vérifiez la cadence"),1,0)</f>
        <v>0.0</v>
      </c>
      <c r="AD1785">
        <f>IF(AND(AC1785=1,A1785&gt;=p_from,A1785&lt;=p_to),1,0)</f>
        <v>0.0</v>
      </c>
      <c r="AE1785">
        <f>IF(AD1785=1,IF(COUNTIFS($A$6:A1785,A1785,$AD$6:AD1785,1)=1,1,0),0)</f>
        <v>0.0</v>
      </c>
      <c r="AF1785" t="str">
        <f>IF(AE1785=1,COUNTIFS(sj_first,1,sj_date,"&lt;"&amp;A1785)+1,"")</f>
        <v/>
      </c>
      <c r="AG1785" t="str">
        <f>IF(AND(AD1785=1,N(W1785)&lt;p_alert),ROUND(W1785,4),"")</f>
        <v/>
      </c>
      <c r="AH1785" t="str">
        <f>IF(AG1785="","",COUNTIF(sj_akey,"&lt;"&amp;AG1785)+COUNTIF($AG$6:AG1785,AG1785))</f>
        <v/>
      </c>
    </row>
    <row r="1786">
      <c r="A1786" s="51" t="n"/>
      <c r="B1786" s="52" t="n"/>
      <c r="C1786" s="52" t="n"/>
      <c r="D1786" s="53" t="n"/>
      <c r="E1786" s="53" t="n"/>
      <c r="F1786" s="54" t="n"/>
      <c r="G1786" s="54" t="n"/>
      <c r="H1786" s="54" t="n"/>
      <c r="I1786" s="54" t="n"/>
      <c r="J1786" s="53" t="n"/>
      <c r="K1786" s="55" t="str">
        <f>IF(COUNTA(A1786:I1786)=0,"",IF(F1786="",IFERROR(INDEX(eq_dur,MATCH(B1786,eq_code,0)),""),F1786))</f>
        <v/>
      </c>
      <c r="L1786" s="55" t="str">
        <f>IF(ISNUMBER(K1786),N(IFERROR(INDEX(eq_pause,MATCH(B1786,eq_code,0)),0))+SUMIFS(st_min,st_date,A1786,st_eq,B1786,st_po,C1786,st_type,"Planifié"),"")</f>
        <v/>
      </c>
      <c r="M1786" s="55" t="str">
        <f>IF(ISNUMBER(K1786),K1786-L1786,"")</f>
        <v/>
      </c>
      <c r="N1786" s="55" t="str">
        <f>IF(ISNUMBER(K1786),SUMIFS(st_min,st_date,A1786,st_eq,B1786,st_po,C1786,st_type,"Non planifié"),"")</f>
        <v/>
      </c>
      <c r="O1786" s="55" t="str">
        <f>IF(ISNUMBER(K1786),M1786-N1786,"")</f>
        <v/>
      </c>
      <c r="P1786" s="55" t="str">
        <f>IF(COUNTA(A1786:I1786)=0,"",N(G1786)+N(H1786)+N(I1786))</f>
        <v/>
      </c>
      <c r="Q1786" s="56" t="str">
        <f>IF(COUNTA(A1786:I1786)=0,"",IF(N(IFERROR(INDEX(art_rate,MATCH(E1786,art_ref,0)),0))&gt;0,N(IFERROR(INDEX(art_rate,MATCH(E1786,art_ref,0)),0)),N(IFERROR(INDEX(po_rate,MATCH(C1786,po_code,0)),0))))</f>
        <v/>
      </c>
      <c r="R1786" s="55" t="str">
        <f>IF(AC1786=1,P1786*60/Q1786,"")</f>
        <v/>
      </c>
      <c r="S1786" s="55" t="str">
        <f>IF(AC1786=1,N(G1786)*60/Q1786,"")</f>
        <v/>
      </c>
      <c r="T1786" s="57" t="str">
        <f>IF(AC1786=1,O1786/M1786,"")</f>
        <v/>
      </c>
      <c r="U1786" s="57" t="str">
        <f>IF(AC1786=1,IF(O1786&gt;0,R1786/O1786,""),"")</f>
        <v/>
      </c>
      <c r="V1786" s="57" t="str">
        <f>IF(AC1786=1,IF(P1786&gt;0,N(G1786)/P1786,""),"")</f>
        <v/>
      </c>
      <c r="W1786" s="57" t="str">
        <f>IF(AC1786=1,S1786/M1786,"")</f>
        <v/>
      </c>
      <c r="X1786" s="57" t="str">
        <f>IF(AC1786=1,S1786/K1786,"")</f>
        <v/>
      </c>
      <c r="Y1786" s="58" t="str">
        <f>IF(W1786="","",IF(W1786&gt;=p_target,"Bon",IF(W1786&gt;=p_alert,"À surveiller","Faible")))</f>
        <v/>
      </c>
      <c r="Z1786" s="58" t="str">
        <f>IF(W1786="","",IF(MIN(IF(T1786="",1,T1786),IF(U1786="",1,U1786),IF(V1786="",1,V1786))&gt;=1,"Aucune",IF(IF(T1786="",1,T1786)&lt;=MIN(IF(U1786="",1,U1786),IF(V1786="",1,V1786)),"Disponibilité",IF(IF(U1786="",1,U1786)&lt;=IF(V1786="",1,V1786),"Performance","Qualité"))))</f>
        <v/>
      </c>
      <c r="AA1786" s="59" t="str">
        <f>IF(AC1786=1,N(H1786)*N(IFERROR(INDEX(art_cost,MATCH(E1786,art_ref,0)),0)),"")</f>
        <v/>
      </c>
      <c r="AB1786" s="58" t="str">
        <f>IF(COUNTA(A1786:I1786)=0,"",IF(N(A1786)&lt;=0,"Date manquante ou invalide",IF(B1786="","Équipe manquante",IF(ISNA(MATCH(B1786,eq_code,0)),"Équipe inconnue",IF(INDEX(eq_check,MATCH(B1786,eq_code,0))&lt;&gt;"OK","Équipe à corriger dans Paramètres",IF(C1786="","Poste manquant",IF(ISNA(MATCH(C1786,po_code,0)),"Poste inconnu",IF(AND(E1786&lt;&gt;"",ISNA(MATCH(E1786,art_ref,0))),"Article inconnu",IF(IF(E1786="",FALSE,INDEX(art_check,MATCH(E1786,art_ref,0))&lt;&gt;"OK"),"Article à corriger (feuille Articles)",IF(COUNTIFS(sj_date,A1786,sj_eq,B1786,sj_po,C1786)&gt;1,"Ligne en double (même jour, équipe et poste)",IF(OR(NOT(ISNUMBER(K1786)),N(K1786)&lt;=0,N(K1786)&gt;1440),"Temps d'ouverture invalide",IF(OR(AND(G1786&lt;&gt;"",NOT(ISNUMBER(G1786))),N(G1786)&lt;0,N(G1786)&lt;&gt;INT(N(G1786)),AND(H1786&lt;&gt;"",NOT(ISNUMBER(H1786))),N(H1786)&lt;0,N(H1786)&lt;&gt;INT(N(H1786)),AND(I1786&lt;&gt;"",NOT(ISNUMBER(I1786))),N(I1786)&lt;0,N(I1786)&lt;&gt;INT(N(I1786))),"Quantité invalide",IF(Q1786&lt;=0,"Cadence manquante (poste ou article)",IF(M1786&lt;=0,"Arrêts planifiés supérieurs au temps d'ouverture",IF(O1786&lt;0,"Arrêts supérieurs au temps requis",IF(AND(P1786&gt;0,O1786=0),"Pièces déclarées sans temps de marche",IF(AND(P1786=0,O1786&gt;0),"Aucune pièce déclarée",IF(P1786*60/Q1786&gt;O1786+0.001,"Cadence dépassée : vérifiez la cadence","OK"))))))))))))))))))</f>
        <v/>
      </c>
      <c r="AC1786">
        <f>IF(OR(AB1786="OK",AB1786="Aucune pièce déclarée",AB1786="Cadence dépassée : vérifiez la cadence"),1,0)</f>
        <v>0.0</v>
      </c>
      <c r="AD1786">
        <f>IF(AND(AC1786=1,A1786&gt;=p_from,A1786&lt;=p_to),1,0)</f>
        <v>0.0</v>
      </c>
      <c r="AE1786">
        <f>IF(AD1786=1,IF(COUNTIFS($A$6:A1786,A1786,$AD$6:AD1786,1)=1,1,0),0)</f>
        <v>0.0</v>
      </c>
      <c r="AF1786" t="str">
        <f>IF(AE1786=1,COUNTIFS(sj_first,1,sj_date,"&lt;"&amp;A1786)+1,"")</f>
        <v/>
      </c>
      <c r="AG1786" t="str">
        <f>IF(AND(AD1786=1,N(W1786)&lt;p_alert),ROUND(W1786,4),"")</f>
        <v/>
      </c>
      <c r="AH1786" t="str">
        <f>IF(AG1786="","",COUNTIF(sj_akey,"&lt;"&amp;AG1786)+COUNTIF($AG$6:AG1786,AG1786))</f>
        <v/>
      </c>
    </row>
    <row r="1787">
      <c r="A1787" s="51" t="n"/>
      <c r="B1787" s="52" t="n"/>
      <c r="C1787" s="52" t="n"/>
      <c r="D1787" s="53" t="n"/>
      <c r="E1787" s="53" t="n"/>
      <c r="F1787" s="54" t="n"/>
      <c r="G1787" s="54" t="n"/>
      <c r="H1787" s="54" t="n"/>
      <c r="I1787" s="54" t="n"/>
      <c r="J1787" s="53" t="n"/>
      <c r="K1787" s="55" t="str">
        <f>IF(COUNTA(A1787:I1787)=0,"",IF(F1787="",IFERROR(INDEX(eq_dur,MATCH(B1787,eq_code,0)),""),F1787))</f>
        <v/>
      </c>
      <c r="L1787" s="55" t="str">
        <f>IF(ISNUMBER(K1787),N(IFERROR(INDEX(eq_pause,MATCH(B1787,eq_code,0)),0))+SUMIFS(st_min,st_date,A1787,st_eq,B1787,st_po,C1787,st_type,"Planifié"),"")</f>
        <v/>
      </c>
      <c r="M1787" s="55" t="str">
        <f>IF(ISNUMBER(K1787),K1787-L1787,"")</f>
        <v/>
      </c>
      <c r="N1787" s="55" t="str">
        <f>IF(ISNUMBER(K1787),SUMIFS(st_min,st_date,A1787,st_eq,B1787,st_po,C1787,st_type,"Non planifié"),"")</f>
        <v/>
      </c>
      <c r="O1787" s="55" t="str">
        <f>IF(ISNUMBER(K1787),M1787-N1787,"")</f>
        <v/>
      </c>
      <c r="P1787" s="55" t="str">
        <f>IF(COUNTA(A1787:I1787)=0,"",N(G1787)+N(H1787)+N(I1787))</f>
        <v/>
      </c>
      <c r="Q1787" s="56" t="str">
        <f>IF(COUNTA(A1787:I1787)=0,"",IF(N(IFERROR(INDEX(art_rate,MATCH(E1787,art_ref,0)),0))&gt;0,N(IFERROR(INDEX(art_rate,MATCH(E1787,art_ref,0)),0)),N(IFERROR(INDEX(po_rate,MATCH(C1787,po_code,0)),0))))</f>
        <v/>
      </c>
      <c r="R1787" s="55" t="str">
        <f>IF(AC1787=1,P1787*60/Q1787,"")</f>
        <v/>
      </c>
      <c r="S1787" s="55" t="str">
        <f>IF(AC1787=1,N(G1787)*60/Q1787,"")</f>
        <v/>
      </c>
      <c r="T1787" s="57" t="str">
        <f>IF(AC1787=1,O1787/M1787,"")</f>
        <v/>
      </c>
      <c r="U1787" s="57" t="str">
        <f>IF(AC1787=1,IF(O1787&gt;0,R1787/O1787,""),"")</f>
        <v/>
      </c>
      <c r="V1787" s="57" t="str">
        <f>IF(AC1787=1,IF(P1787&gt;0,N(G1787)/P1787,""),"")</f>
        <v/>
      </c>
      <c r="W1787" s="57" t="str">
        <f>IF(AC1787=1,S1787/M1787,"")</f>
        <v/>
      </c>
      <c r="X1787" s="57" t="str">
        <f>IF(AC1787=1,S1787/K1787,"")</f>
        <v/>
      </c>
      <c r="Y1787" s="58" t="str">
        <f>IF(W1787="","",IF(W1787&gt;=p_target,"Bon",IF(W1787&gt;=p_alert,"À surveiller","Faible")))</f>
        <v/>
      </c>
      <c r="Z1787" s="58" t="str">
        <f>IF(W1787="","",IF(MIN(IF(T1787="",1,T1787),IF(U1787="",1,U1787),IF(V1787="",1,V1787))&gt;=1,"Aucune",IF(IF(T1787="",1,T1787)&lt;=MIN(IF(U1787="",1,U1787),IF(V1787="",1,V1787)),"Disponibilité",IF(IF(U1787="",1,U1787)&lt;=IF(V1787="",1,V1787),"Performance","Qualité"))))</f>
        <v/>
      </c>
      <c r="AA1787" s="59" t="str">
        <f>IF(AC1787=1,N(H1787)*N(IFERROR(INDEX(art_cost,MATCH(E1787,art_ref,0)),0)),"")</f>
        <v/>
      </c>
      <c r="AB1787" s="58" t="str">
        <f>IF(COUNTA(A1787:I1787)=0,"",IF(N(A1787)&lt;=0,"Date manquante ou invalide",IF(B1787="","Équipe manquante",IF(ISNA(MATCH(B1787,eq_code,0)),"Équipe inconnue",IF(INDEX(eq_check,MATCH(B1787,eq_code,0))&lt;&gt;"OK","Équipe à corriger dans Paramètres",IF(C1787="","Poste manquant",IF(ISNA(MATCH(C1787,po_code,0)),"Poste inconnu",IF(AND(E1787&lt;&gt;"",ISNA(MATCH(E1787,art_ref,0))),"Article inconnu",IF(IF(E1787="",FALSE,INDEX(art_check,MATCH(E1787,art_ref,0))&lt;&gt;"OK"),"Article à corriger (feuille Articles)",IF(COUNTIFS(sj_date,A1787,sj_eq,B1787,sj_po,C1787)&gt;1,"Ligne en double (même jour, équipe et poste)",IF(OR(NOT(ISNUMBER(K1787)),N(K1787)&lt;=0,N(K1787)&gt;1440),"Temps d'ouverture invalide",IF(OR(AND(G1787&lt;&gt;"",NOT(ISNUMBER(G1787))),N(G1787)&lt;0,N(G1787)&lt;&gt;INT(N(G1787)),AND(H1787&lt;&gt;"",NOT(ISNUMBER(H1787))),N(H1787)&lt;0,N(H1787)&lt;&gt;INT(N(H1787)),AND(I1787&lt;&gt;"",NOT(ISNUMBER(I1787))),N(I1787)&lt;0,N(I1787)&lt;&gt;INT(N(I1787))),"Quantité invalide",IF(Q1787&lt;=0,"Cadence manquante (poste ou article)",IF(M1787&lt;=0,"Arrêts planifiés supérieurs au temps d'ouverture",IF(O1787&lt;0,"Arrêts supérieurs au temps requis",IF(AND(P1787&gt;0,O1787=0),"Pièces déclarées sans temps de marche",IF(AND(P1787=0,O1787&gt;0),"Aucune pièce déclarée",IF(P1787*60/Q1787&gt;O1787+0.001,"Cadence dépassée : vérifiez la cadence","OK"))))))))))))))))))</f>
        <v/>
      </c>
      <c r="AC1787">
        <f>IF(OR(AB1787="OK",AB1787="Aucune pièce déclarée",AB1787="Cadence dépassée : vérifiez la cadence"),1,0)</f>
        <v>0.0</v>
      </c>
      <c r="AD1787">
        <f>IF(AND(AC1787=1,A1787&gt;=p_from,A1787&lt;=p_to),1,0)</f>
        <v>0.0</v>
      </c>
      <c r="AE1787">
        <f>IF(AD1787=1,IF(COUNTIFS($A$6:A1787,A1787,$AD$6:AD1787,1)=1,1,0),0)</f>
        <v>0.0</v>
      </c>
      <c r="AF1787" t="str">
        <f>IF(AE1787=1,COUNTIFS(sj_first,1,sj_date,"&lt;"&amp;A1787)+1,"")</f>
        <v/>
      </c>
      <c r="AG1787" t="str">
        <f>IF(AND(AD1787=1,N(W1787)&lt;p_alert),ROUND(W1787,4),"")</f>
        <v/>
      </c>
      <c r="AH1787" t="str">
        <f>IF(AG1787="","",COUNTIF(sj_akey,"&lt;"&amp;AG1787)+COUNTIF($AG$6:AG1787,AG1787))</f>
        <v/>
      </c>
    </row>
    <row r="1788">
      <c r="A1788" s="51" t="n"/>
      <c r="B1788" s="52" t="n"/>
      <c r="C1788" s="52" t="n"/>
      <c r="D1788" s="53" t="n"/>
      <c r="E1788" s="53" t="n"/>
      <c r="F1788" s="54" t="n"/>
      <c r="G1788" s="54" t="n"/>
      <c r="H1788" s="54" t="n"/>
      <c r="I1788" s="54" t="n"/>
      <c r="J1788" s="53" t="n"/>
      <c r="K1788" s="55" t="str">
        <f>IF(COUNTA(A1788:I1788)=0,"",IF(F1788="",IFERROR(INDEX(eq_dur,MATCH(B1788,eq_code,0)),""),F1788))</f>
        <v/>
      </c>
      <c r="L1788" s="55" t="str">
        <f>IF(ISNUMBER(K1788),N(IFERROR(INDEX(eq_pause,MATCH(B1788,eq_code,0)),0))+SUMIFS(st_min,st_date,A1788,st_eq,B1788,st_po,C1788,st_type,"Planifié"),"")</f>
        <v/>
      </c>
      <c r="M1788" s="55" t="str">
        <f>IF(ISNUMBER(K1788),K1788-L1788,"")</f>
        <v/>
      </c>
      <c r="N1788" s="55" t="str">
        <f>IF(ISNUMBER(K1788),SUMIFS(st_min,st_date,A1788,st_eq,B1788,st_po,C1788,st_type,"Non planifié"),"")</f>
        <v/>
      </c>
      <c r="O1788" s="55" t="str">
        <f>IF(ISNUMBER(K1788),M1788-N1788,"")</f>
        <v/>
      </c>
      <c r="P1788" s="55" t="str">
        <f>IF(COUNTA(A1788:I1788)=0,"",N(G1788)+N(H1788)+N(I1788))</f>
        <v/>
      </c>
      <c r="Q1788" s="56" t="str">
        <f>IF(COUNTA(A1788:I1788)=0,"",IF(N(IFERROR(INDEX(art_rate,MATCH(E1788,art_ref,0)),0))&gt;0,N(IFERROR(INDEX(art_rate,MATCH(E1788,art_ref,0)),0)),N(IFERROR(INDEX(po_rate,MATCH(C1788,po_code,0)),0))))</f>
        <v/>
      </c>
      <c r="R1788" s="55" t="str">
        <f>IF(AC1788=1,P1788*60/Q1788,"")</f>
        <v/>
      </c>
      <c r="S1788" s="55" t="str">
        <f>IF(AC1788=1,N(G1788)*60/Q1788,"")</f>
        <v/>
      </c>
      <c r="T1788" s="57" t="str">
        <f>IF(AC1788=1,O1788/M1788,"")</f>
        <v/>
      </c>
      <c r="U1788" s="57" t="str">
        <f>IF(AC1788=1,IF(O1788&gt;0,R1788/O1788,""),"")</f>
        <v/>
      </c>
      <c r="V1788" s="57" t="str">
        <f>IF(AC1788=1,IF(P1788&gt;0,N(G1788)/P1788,""),"")</f>
        <v/>
      </c>
      <c r="W1788" s="57" t="str">
        <f>IF(AC1788=1,S1788/M1788,"")</f>
        <v/>
      </c>
      <c r="X1788" s="57" t="str">
        <f>IF(AC1788=1,S1788/K1788,"")</f>
        <v/>
      </c>
      <c r="Y1788" s="58" t="str">
        <f>IF(W1788="","",IF(W1788&gt;=p_target,"Bon",IF(W1788&gt;=p_alert,"À surveiller","Faible")))</f>
        <v/>
      </c>
      <c r="Z1788" s="58" t="str">
        <f>IF(W1788="","",IF(MIN(IF(T1788="",1,T1788),IF(U1788="",1,U1788),IF(V1788="",1,V1788))&gt;=1,"Aucune",IF(IF(T1788="",1,T1788)&lt;=MIN(IF(U1788="",1,U1788),IF(V1788="",1,V1788)),"Disponibilité",IF(IF(U1788="",1,U1788)&lt;=IF(V1788="",1,V1788),"Performance","Qualité"))))</f>
        <v/>
      </c>
      <c r="AA1788" s="59" t="str">
        <f>IF(AC1788=1,N(H1788)*N(IFERROR(INDEX(art_cost,MATCH(E1788,art_ref,0)),0)),"")</f>
        <v/>
      </c>
      <c r="AB1788" s="58" t="str">
        <f>IF(COUNTA(A1788:I1788)=0,"",IF(N(A1788)&lt;=0,"Date manquante ou invalide",IF(B1788="","Équipe manquante",IF(ISNA(MATCH(B1788,eq_code,0)),"Équipe inconnue",IF(INDEX(eq_check,MATCH(B1788,eq_code,0))&lt;&gt;"OK","Équipe à corriger dans Paramètres",IF(C1788="","Poste manquant",IF(ISNA(MATCH(C1788,po_code,0)),"Poste inconnu",IF(AND(E1788&lt;&gt;"",ISNA(MATCH(E1788,art_ref,0))),"Article inconnu",IF(IF(E1788="",FALSE,INDEX(art_check,MATCH(E1788,art_ref,0))&lt;&gt;"OK"),"Article à corriger (feuille Articles)",IF(COUNTIFS(sj_date,A1788,sj_eq,B1788,sj_po,C1788)&gt;1,"Ligne en double (même jour, équipe et poste)",IF(OR(NOT(ISNUMBER(K1788)),N(K1788)&lt;=0,N(K1788)&gt;1440),"Temps d'ouverture invalide",IF(OR(AND(G1788&lt;&gt;"",NOT(ISNUMBER(G1788))),N(G1788)&lt;0,N(G1788)&lt;&gt;INT(N(G1788)),AND(H1788&lt;&gt;"",NOT(ISNUMBER(H1788))),N(H1788)&lt;0,N(H1788)&lt;&gt;INT(N(H1788)),AND(I1788&lt;&gt;"",NOT(ISNUMBER(I1788))),N(I1788)&lt;0,N(I1788)&lt;&gt;INT(N(I1788))),"Quantité invalide",IF(Q1788&lt;=0,"Cadence manquante (poste ou article)",IF(M1788&lt;=0,"Arrêts planifiés supérieurs au temps d'ouverture",IF(O1788&lt;0,"Arrêts supérieurs au temps requis",IF(AND(P1788&gt;0,O1788=0),"Pièces déclarées sans temps de marche",IF(AND(P1788=0,O1788&gt;0),"Aucune pièce déclarée",IF(P1788*60/Q1788&gt;O1788+0.001,"Cadence dépassée : vérifiez la cadence","OK"))))))))))))))))))</f>
        <v/>
      </c>
      <c r="AC1788">
        <f>IF(OR(AB1788="OK",AB1788="Aucune pièce déclarée",AB1788="Cadence dépassée : vérifiez la cadence"),1,0)</f>
        <v>0.0</v>
      </c>
      <c r="AD1788">
        <f>IF(AND(AC1788=1,A1788&gt;=p_from,A1788&lt;=p_to),1,0)</f>
        <v>0.0</v>
      </c>
      <c r="AE1788">
        <f>IF(AD1788=1,IF(COUNTIFS($A$6:A1788,A1788,$AD$6:AD1788,1)=1,1,0),0)</f>
        <v>0.0</v>
      </c>
      <c r="AF1788" t="str">
        <f>IF(AE1788=1,COUNTIFS(sj_first,1,sj_date,"&lt;"&amp;A1788)+1,"")</f>
        <v/>
      </c>
      <c r="AG1788" t="str">
        <f>IF(AND(AD1788=1,N(W1788)&lt;p_alert),ROUND(W1788,4),"")</f>
        <v/>
      </c>
      <c r="AH1788" t="str">
        <f>IF(AG1788="","",COUNTIF(sj_akey,"&lt;"&amp;AG1788)+COUNTIF($AG$6:AG1788,AG1788))</f>
        <v/>
      </c>
    </row>
    <row r="1789">
      <c r="A1789" s="51" t="n"/>
      <c r="B1789" s="52" t="n"/>
      <c r="C1789" s="52" t="n"/>
      <c r="D1789" s="53" t="n"/>
      <c r="E1789" s="53" t="n"/>
      <c r="F1789" s="54" t="n"/>
      <c r="G1789" s="54" t="n"/>
      <c r="H1789" s="54" t="n"/>
      <c r="I1789" s="54" t="n"/>
      <c r="J1789" s="53" t="n"/>
      <c r="K1789" s="55" t="str">
        <f>IF(COUNTA(A1789:I1789)=0,"",IF(F1789="",IFERROR(INDEX(eq_dur,MATCH(B1789,eq_code,0)),""),F1789))</f>
        <v/>
      </c>
      <c r="L1789" s="55" t="str">
        <f>IF(ISNUMBER(K1789),N(IFERROR(INDEX(eq_pause,MATCH(B1789,eq_code,0)),0))+SUMIFS(st_min,st_date,A1789,st_eq,B1789,st_po,C1789,st_type,"Planifié"),"")</f>
        <v/>
      </c>
      <c r="M1789" s="55" t="str">
        <f>IF(ISNUMBER(K1789),K1789-L1789,"")</f>
        <v/>
      </c>
      <c r="N1789" s="55" t="str">
        <f>IF(ISNUMBER(K1789),SUMIFS(st_min,st_date,A1789,st_eq,B1789,st_po,C1789,st_type,"Non planifié"),"")</f>
        <v/>
      </c>
      <c r="O1789" s="55" t="str">
        <f>IF(ISNUMBER(K1789),M1789-N1789,"")</f>
        <v/>
      </c>
      <c r="P1789" s="55" t="str">
        <f>IF(COUNTA(A1789:I1789)=0,"",N(G1789)+N(H1789)+N(I1789))</f>
        <v/>
      </c>
      <c r="Q1789" s="56" t="str">
        <f>IF(COUNTA(A1789:I1789)=0,"",IF(N(IFERROR(INDEX(art_rate,MATCH(E1789,art_ref,0)),0))&gt;0,N(IFERROR(INDEX(art_rate,MATCH(E1789,art_ref,0)),0)),N(IFERROR(INDEX(po_rate,MATCH(C1789,po_code,0)),0))))</f>
        <v/>
      </c>
      <c r="R1789" s="55" t="str">
        <f>IF(AC1789=1,P1789*60/Q1789,"")</f>
        <v/>
      </c>
      <c r="S1789" s="55" t="str">
        <f>IF(AC1789=1,N(G1789)*60/Q1789,"")</f>
        <v/>
      </c>
      <c r="T1789" s="57" t="str">
        <f>IF(AC1789=1,O1789/M1789,"")</f>
        <v/>
      </c>
      <c r="U1789" s="57" t="str">
        <f>IF(AC1789=1,IF(O1789&gt;0,R1789/O1789,""),"")</f>
        <v/>
      </c>
      <c r="V1789" s="57" t="str">
        <f>IF(AC1789=1,IF(P1789&gt;0,N(G1789)/P1789,""),"")</f>
        <v/>
      </c>
      <c r="W1789" s="57" t="str">
        <f>IF(AC1789=1,S1789/M1789,"")</f>
        <v/>
      </c>
      <c r="X1789" s="57" t="str">
        <f>IF(AC1789=1,S1789/K1789,"")</f>
        <v/>
      </c>
      <c r="Y1789" s="58" t="str">
        <f>IF(W1789="","",IF(W1789&gt;=p_target,"Bon",IF(W1789&gt;=p_alert,"À surveiller","Faible")))</f>
        <v/>
      </c>
      <c r="Z1789" s="58" t="str">
        <f>IF(W1789="","",IF(MIN(IF(T1789="",1,T1789),IF(U1789="",1,U1789),IF(V1789="",1,V1789))&gt;=1,"Aucune",IF(IF(T1789="",1,T1789)&lt;=MIN(IF(U1789="",1,U1789),IF(V1789="",1,V1789)),"Disponibilité",IF(IF(U1789="",1,U1789)&lt;=IF(V1789="",1,V1789),"Performance","Qualité"))))</f>
        <v/>
      </c>
      <c r="AA1789" s="59" t="str">
        <f>IF(AC1789=1,N(H1789)*N(IFERROR(INDEX(art_cost,MATCH(E1789,art_ref,0)),0)),"")</f>
        <v/>
      </c>
      <c r="AB1789" s="58" t="str">
        <f>IF(COUNTA(A1789:I1789)=0,"",IF(N(A1789)&lt;=0,"Date manquante ou invalide",IF(B1789="","Équipe manquante",IF(ISNA(MATCH(B1789,eq_code,0)),"Équipe inconnue",IF(INDEX(eq_check,MATCH(B1789,eq_code,0))&lt;&gt;"OK","Équipe à corriger dans Paramètres",IF(C1789="","Poste manquant",IF(ISNA(MATCH(C1789,po_code,0)),"Poste inconnu",IF(AND(E1789&lt;&gt;"",ISNA(MATCH(E1789,art_ref,0))),"Article inconnu",IF(IF(E1789="",FALSE,INDEX(art_check,MATCH(E1789,art_ref,0))&lt;&gt;"OK"),"Article à corriger (feuille Articles)",IF(COUNTIFS(sj_date,A1789,sj_eq,B1789,sj_po,C1789)&gt;1,"Ligne en double (même jour, équipe et poste)",IF(OR(NOT(ISNUMBER(K1789)),N(K1789)&lt;=0,N(K1789)&gt;1440),"Temps d'ouverture invalide",IF(OR(AND(G1789&lt;&gt;"",NOT(ISNUMBER(G1789))),N(G1789)&lt;0,N(G1789)&lt;&gt;INT(N(G1789)),AND(H1789&lt;&gt;"",NOT(ISNUMBER(H1789))),N(H1789)&lt;0,N(H1789)&lt;&gt;INT(N(H1789)),AND(I1789&lt;&gt;"",NOT(ISNUMBER(I1789))),N(I1789)&lt;0,N(I1789)&lt;&gt;INT(N(I1789))),"Quantité invalide",IF(Q1789&lt;=0,"Cadence manquante (poste ou article)",IF(M1789&lt;=0,"Arrêts planifiés supérieurs au temps d'ouverture",IF(O1789&lt;0,"Arrêts supérieurs au temps requis",IF(AND(P1789&gt;0,O1789=0),"Pièces déclarées sans temps de marche",IF(AND(P1789=0,O1789&gt;0),"Aucune pièce déclarée",IF(P1789*60/Q1789&gt;O1789+0.001,"Cadence dépassée : vérifiez la cadence","OK"))))))))))))))))))</f>
        <v/>
      </c>
      <c r="AC1789">
        <f>IF(OR(AB1789="OK",AB1789="Aucune pièce déclarée",AB1789="Cadence dépassée : vérifiez la cadence"),1,0)</f>
        <v>0.0</v>
      </c>
      <c r="AD1789">
        <f>IF(AND(AC1789=1,A1789&gt;=p_from,A1789&lt;=p_to),1,0)</f>
        <v>0.0</v>
      </c>
      <c r="AE1789">
        <f>IF(AD1789=1,IF(COUNTIFS($A$6:A1789,A1789,$AD$6:AD1789,1)=1,1,0),0)</f>
        <v>0.0</v>
      </c>
      <c r="AF1789" t="str">
        <f>IF(AE1789=1,COUNTIFS(sj_first,1,sj_date,"&lt;"&amp;A1789)+1,"")</f>
        <v/>
      </c>
      <c r="AG1789" t="str">
        <f>IF(AND(AD1789=1,N(W1789)&lt;p_alert),ROUND(W1789,4),"")</f>
        <v/>
      </c>
      <c r="AH1789" t="str">
        <f>IF(AG1789="","",COUNTIF(sj_akey,"&lt;"&amp;AG1789)+COUNTIF($AG$6:AG1789,AG1789))</f>
        <v/>
      </c>
    </row>
    <row r="1790">
      <c r="A1790" s="51" t="n"/>
      <c r="B1790" s="52" t="n"/>
      <c r="C1790" s="52" t="n"/>
      <c r="D1790" s="53" t="n"/>
      <c r="E1790" s="53" t="n"/>
      <c r="F1790" s="54" t="n"/>
      <c r="G1790" s="54" t="n"/>
      <c r="H1790" s="54" t="n"/>
      <c r="I1790" s="54" t="n"/>
      <c r="J1790" s="53" t="n"/>
      <c r="K1790" s="55" t="str">
        <f>IF(COUNTA(A1790:I1790)=0,"",IF(F1790="",IFERROR(INDEX(eq_dur,MATCH(B1790,eq_code,0)),""),F1790))</f>
        <v/>
      </c>
      <c r="L1790" s="55" t="str">
        <f>IF(ISNUMBER(K1790),N(IFERROR(INDEX(eq_pause,MATCH(B1790,eq_code,0)),0))+SUMIFS(st_min,st_date,A1790,st_eq,B1790,st_po,C1790,st_type,"Planifié"),"")</f>
        <v/>
      </c>
      <c r="M1790" s="55" t="str">
        <f>IF(ISNUMBER(K1790),K1790-L1790,"")</f>
        <v/>
      </c>
      <c r="N1790" s="55" t="str">
        <f>IF(ISNUMBER(K1790),SUMIFS(st_min,st_date,A1790,st_eq,B1790,st_po,C1790,st_type,"Non planifié"),"")</f>
        <v/>
      </c>
      <c r="O1790" s="55" t="str">
        <f>IF(ISNUMBER(K1790),M1790-N1790,"")</f>
        <v/>
      </c>
      <c r="P1790" s="55" t="str">
        <f>IF(COUNTA(A1790:I1790)=0,"",N(G1790)+N(H1790)+N(I1790))</f>
        <v/>
      </c>
      <c r="Q1790" s="56" t="str">
        <f>IF(COUNTA(A1790:I1790)=0,"",IF(N(IFERROR(INDEX(art_rate,MATCH(E1790,art_ref,0)),0))&gt;0,N(IFERROR(INDEX(art_rate,MATCH(E1790,art_ref,0)),0)),N(IFERROR(INDEX(po_rate,MATCH(C1790,po_code,0)),0))))</f>
        <v/>
      </c>
      <c r="R1790" s="55" t="str">
        <f>IF(AC1790=1,P1790*60/Q1790,"")</f>
        <v/>
      </c>
      <c r="S1790" s="55" t="str">
        <f>IF(AC1790=1,N(G1790)*60/Q1790,"")</f>
        <v/>
      </c>
      <c r="T1790" s="57" t="str">
        <f>IF(AC1790=1,O1790/M1790,"")</f>
        <v/>
      </c>
      <c r="U1790" s="57" t="str">
        <f>IF(AC1790=1,IF(O1790&gt;0,R1790/O1790,""),"")</f>
        <v/>
      </c>
      <c r="V1790" s="57" t="str">
        <f>IF(AC1790=1,IF(P1790&gt;0,N(G1790)/P1790,""),"")</f>
        <v/>
      </c>
      <c r="W1790" s="57" t="str">
        <f>IF(AC1790=1,S1790/M1790,"")</f>
        <v/>
      </c>
      <c r="X1790" s="57" t="str">
        <f>IF(AC1790=1,S1790/K1790,"")</f>
        <v/>
      </c>
      <c r="Y1790" s="58" t="str">
        <f>IF(W1790="","",IF(W1790&gt;=p_target,"Bon",IF(W1790&gt;=p_alert,"À surveiller","Faible")))</f>
        <v/>
      </c>
      <c r="Z1790" s="58" t="str">
        <f>IF(W1790="","",IF(MIN(IF(T1790="",1,T1790),IF(U1790="",1,U1790),IF(V1790="",1,V1790))&gt;=1,"Aucune",IF(IF(T1790="",1,T1790)&lt;=MIN(IF(U1790="",1,U1790),IF(V1790="",1,V1790)),"Disponibilité",IF(IF(U1790="",1,U1790)&lt;=IF(V1790="",1,V1790),"Performance","Qualité"))))</f>
        <v/>
      </c>
      <c r="AA1790" s="59" t="str">
        <f>IF(AC1790=1,N(H1790)*N(IFERROR(INDEX(art_cost,MATCH(E1790,art_ref,0)),0)),"")</f>
        <v/>
      </c>
      <c r="AB1790" s="58" t="str">
        <f>IF(COUNTA(A1790:I1790)=0,"",IF(N(A1790)&lt;=0,"Date manquante ou invalide",IF(B1790="","Équipe manquante",IF(ISNA(MATCH(B1790,eq_code,0)),"Équipe inconnue",IF(INDEX(eq_check,MATCH(B1790,eq_code,0))&lt;&gt;"OK","Équipe à corriger dans Paramètres",IF(C1790="","Poste manquant",IF(ISNA(MATCH(C1790,po_code,0)),"Poste inconnu",IF(AND(E1790&lt;&gt;"",ISNA(MATCH(E1790,art_ref,0))),"Article inconnu",IF(IF(E1790="",FALSE,INDEX(art_check,MATCH(E1790,art_ref,0))&lt;&gt;"OK"),"Article à corriger (feuille Articles)",IF(COUNTIFS(sj_date,A1790,sj_eq,B1790,sj_po,C1790)&gt;1,"Ligne en double (même jour, équipe et poste)",IF(OR(NOT(ISNUMBER(K1790)),N(K1790)&lt;=0,N(K1790)&gt;1440),"Temps d'ouverture invalide",IF(OR(AND(G1790&lt;&gt;"",NOT(ISNUMBER(G1790))),N(G1790)&lt;0,N(G1790)&lt;&gt;INT(N(G1790)),AND(H1790&lt;&gt;"",NOT(ISNUMBER(H1790))),N(H1790)&lt;0,N(H1790)&lt;&gt;INT(N(H1790)),AND(I1790&lt;&gt;"",NOT(ISNUMBER(I1790))),N(I1790)&lt;0,N(I1790)&lt;&gt;INT(N(I1790))),"Quantité invalide",IF(Q1790&lt;=0,"Cadence manquante (poste ou article)",IF(M1790&lt;=0,"Arrêts planifiés supérieurs au temps d'ouverture",IF(O1790&lt;0,"Arrêts supérieurs au temps requis",IF(AND(P1790&gt;0,O1790=0),"Pièces déclarées sans temps de marche",IF(AND(P1790=0,O1790&gt;0),"Aucune pièce déclarée",IF(P1790*60/Q1790&gt;O1790+0.001,"Cadence dépassée : vérifiez la cadence","OK"))))))))))))))))))</f>
        <v/>
      </c>
      <c r="AC1790">
        <f>IF(OR(AB1790="OK",AB1790="Aucune pièce déclarée",AB1790="Cadence dépassée : vérifiez la cadence"),1,0)</f>
        <v>0.0</v>
      </c>
      <c r="AD1790">
        <f>IF(AND(AC1790=1,A1790&gt;=p_from,A1790&lt;=p_to),1,0)</f>
        <v>0.0</v>
      </c>
      <c r="AE1790">
        <f>IF(AD1790=1,IF(COUNTIFS($A$6:A1790,A1790,$AD$6:AD1790,1)=1,1,0),0)</f>
        <v>0.0</v>
      </c>
      <c r="AF1790" t="str">
        <f>IF(AE1790=1,COUNTIFS(sj_first,1,sj_date,"&lt;"&amp;A1790)+1,"")</f>
        <v/>
      </c>
      <c r="AG1790" t="str">
        <f>IF(AND(AD1790=1,N(W1790)&lt;p_alert),ROUND(W1790,4),"")</f>
        <v/>
      </c>
      <c r="AH1790" t="str">
        <f>IF(AG1790="","",COUNTIF(sj_akey,"&lt;"&amp;AG1790)+COUNTIF($AG$6:AG1790,AG1790))</f>
        <v/>
      </c>
    </row>
    <row r="1791">
      <c r="A1791" s="51" t="n"/>
      <c r="B1791" s="52" t="n"/>
      <c r="C1791" s="52" t="n"/>
      <c r="D1791" s="53" t="n"/>
      <c r="E1791" s="53" t="n"/>
      <c r="F1791" s="54" t="n"/>
      <c r="G1791" s="54" t="n"/>
      <c r="H1791" s="54" t="n"/>
      <c r="I1791" s="54" t="n"/>
      <c r="J1791" s="53" t="n"/>
      <c r="K1791" s="55" t="str">
        <f>IF(COUNTA(A1791:I1791)=0,"",IF(F1791="",IFERROR(INDEX(eq_dur,MATCH(B1791,eq_code,0)),""),F1791))</f>
        <v/>
      </c>
      <c r="L1791" s="55" t="str">
        <f>IF(ISNUMBER(K1791),N(IFERROR(INDEX(eq_pause,MATCH(B1791,eq_code,0)),0))+SUMIFS(st_min,st_date,A1791,st_eq,B1791,st_po,C1791,st_type,"Planifié"),"")</f>
        <v/>
      </c>
      <c r="M1791" s="55" t="str">
        <f>IF(ISNUMBER(K1791),K1791-L1791,"")</f>
        <v/>
      </c>
      <c r="N1791" s="55" t="str">
        <f>IF(ISNUMBER(K1791),SUMIFS(st_min,st_date,A1791,st_eq,B1791,st_po,C1791,st_type,"Non planifié"),"")</f>
        <v/>
      </c>
      <c r="O1791" s="55" t="str">
        <f>IF(ISNUMBER(K1791),M1791-N1791,"")</f>
        <v/>
      </c>
      <c r="P1791" s="55" t="str">
        <f>IF(COUNTA(A1791:I1791)=0,"",N(G1791)+N(H1791)+N(I1791))</f>
        <v/>
      </c>
      <c r="Q1791" s="56" t="str">
        <f>IF(COUNTA(A1791:I1791)=0,"",IF(N(IFERROR(INDEX(art_rate,MATCH(E1791,art_ref,0)),0))&gt;0,N(IFERROR(INDEX(art_rate,MATCH(E1791,art_ref,0)),0)),N(IFERROR(INDEX(po_rate,MATCH(C1791,po_code,0)),0))))</f>
        <v/>
      </c>
      <c r="R1791" s="55" t="str">
        <f>IF(AC1791=1,P1791*60/Q1791,"")</f>
        <v/>
      </c>
      <c r="S1791" s="55" t="str">
        <f>IF(AC1791=1,N(G1791)*60/Q1791,"")</f>
        <v/>
      </c>
      <c r="T1791" s="57" t="str">
        <f>IF(AC1791=1,O1791/M1791,"")</f>
        <v/>
      </c>
      <c r="U1791" s="57" t="str">
        <f>IF(AC1791=1,IF(O1791&gt;0,R1791/O1791,""),"")</f>
        <v/>
      </c>
      <c r="V1791" s="57" t="str">
        <f>IF(AC1791=1,IF(P1791&gt;0,N(G1791)/P1791,""),"")</f>
        <v/>
      </c>
      <c r="W1791" s="57" t="str">
        <f>IF(AC1791=1,S1791/M1791,"")</f>
        <v/>
      </c>
      <c r="X1791" s="57" t="str">
        <f>IF(AC1791=1,S1791/K1791,"")</f>
        <v/>
      </c>
      <c r="Y1791" s="58" t="str">
        <f>IF(W1791="","",IF(W1791&gt;=p_target,"Bon",IF(W1791&gt;=p_alert,"À surveiller","Faible")))</f>
        <v/>
      </c>
      <c r="Z1791" s="58" t="str">
        <f>IF(W1791="","",IF(MIN(IF(T1791="",1,T1791),IF(U1791="",1,U1791),IF(V1791="",1,V1791))&gt;=1,"Aucune",IF(IF(T1791="",1,T1791)&lt;=MIN(IF(U1791="",1,U1791),IF(V1791="",1,V1791)),"Disponibilité",IF(IF(U1791="",1,U1791)&lt;=IF(V1791="",1,V1791),"Performance","Qualité"))))</f>
        <v/>
      </c>
      <c r="AA1791" s="59" t="str">
        <f>IF(AC1791=1,N(H1791)*N(IFERROR(INDEX(art_cost,MATCH(E1791,art_ref,0)),0)),"")</f>
        <v/>
      </c>
      <c r="AB1791" s="58" t="str">
        <f>IF(COUNTA(A1791:I1791)=0,"",IF(N(A1791)&lt;=0,"Date manquante ou invalide",IF(B1791="","Équipe manquante",IF(ISNA(MATCH(B1791,eq_code,0)),"Équipe inconnue",IF(INDEX(eq_check,MATCH(B1791,eq_code,0))&lt;&gt;"OK","Équipe à corriger dans Paramètres",IF(C1791="","Poste manquant",IF(ISNA(MATCH(C1791,po_code,0)),"Poste inconnu",IF(AND(E1791&lt;&gt;"",ISNA(MATCH(E1791,art_ref,0))),"Article inconnu",IF(IF(E1791="",FALSE,INDEX(art_check,MATCH(E1791,art_ref,0))&lt;&gt;"OK"),"Article à corriger (feuille Articles)",IF(COUNTIFS(sj_date,A1791,sj_eq,B1791,sj_po,C1791)&gt;1,"Ligne en double (même jour, équipe et poste)",IF(OR(NOT(ISNUMBER(K1791)),N(K1791)&lt;=0,N(K1791)&gt;1440),"Temps d'ouverture invalide",IF(OR(AND(G1791&lt;&gt;"",NOT(ISNUMBER(G1791))),N(G1791)&lt;0,N(G1791)&lt;&gt;INT(N(G1791)),AND(H1791&lt;&gt;"",NOT(ISNUMBER(H1791))),N(H1791)&lt;0,N(H1791)&lt;&gt;INT(N(H1791)),AND(I1791&lt;&gt;"",NOT(ISNUMBER(I1791))),N(I1791)&lt;0,N(I1791)&lt;&gt;INT(N(I1791))),"Quantité invalide",IF(Q1791&lt;=0,"Cadence manquante (poste ou article)",IF(M1791&lt;=0,"Arrêts planifiés supérieurs au temps d'ouverture",IF(O1791&lt;0,"Arrêts supérieurs au temps requis",IF(AND(P1791&gt;0,O1791=0),"Pièces déclarées sans temps de marche",IF(AND(P1791=0,O1791&gt;0),"Aucune pièce déclarée",IF(P1791*60/Q1791&gt;O1791+0.001,"Cadence dépassée : vérifiez la cadence","OK"))))))))))))))))))</f>
        <v/>
      </c>
      <c r="AC1791">
        <f>IF(OR(AB1791="OK",AB1791="Aucune pièce déclarée",AB1791="Cadence dépassée : vérifiez la cadence"),1,0)</f>
        <v>0.0</v>
      </c>
      <c r="AD1791">
        <f>IF(AND(AC1791=1,A1791&gt;=p_from,A1791&lt;=p_to),1,0)</f>
        <v>0.0</v>
      </c>
      <c r="AE1791">
        <f>IF(AD1791=1,IF(COUNTIFS($A$6:A1791,A1791,$AD$6:AD1791,1)=1,1,0),0)</f>
        <v>0.0</v>
      </c>
      <c r="AF1791" t="str">
        <f>IF(AE1791=1,COUNTIFS(sj_first,1,sj_date,"&lt;"&amp;A1791)+1,"")</f>
        <v/>
      </c>
      <c r="AG1791" t="str">
        <f>IF(AND(AD1791=1,N(W1791)&lt;p_alert),ROUND(W1791,4),"")</f>
        <v/>
      </c>
      <c r="AH1791" t="str">
        <f>IF(AG1791="","",COUNTIF(sj_akey,"&lt;"&amp;AG1791)+COUNTIF($AG$6:AG1791,AG1791))</f>
        <v/>
      </c>
    </row>
    <row r="1792">
      <c r="A1792" s="51" t="n"/>
      <c r="B1792" s="52" t="n"/>
      <c r="C1792" s="52" t="n"/>
      <c r="D1792" s="53" t="n"/>
      <c r="E1792" s="53" t="n"/>
      <c r="F1792" s="54" t="n"/>
      <c r="G1792" s="54" t="n"/>
      <c r="H1792" s="54" t="n"/>
      <c r="I1792" s="54" t="n"/>
      <c r="J1792" s="53" t="n"/>
      <c r="K1792" s="55" t="str">
        <f>IF(COUNTA(A1792:I1792)=0,"",IF(F1792="",IFERROR(INDEX(eq_dur,MATCH(B1792,eq_code,0)),""),F1792))</f>
        <v/>
      </c>
      <c r="L1792" s="55" t="str">
        <f>IF(ISNUMBER(K1792),N(IFERROR(INDEX(eq_pause,MATCH(B1792,eq_code,0)),0))+SUMIFS(st_min,st_date,A1792,st_eq,B1792,st_po,C1792,st_type,"Planifié"),"")</f>
        <v/>
      </c>
      <c r="M1792" s="55" t="str">
        <f>IF(ISNUMBER(K1792),K1792-L1792,"")</f>
        <v/>
      </c>
      <c r="N1792" s="55" t="str">
        <f>IF(ISNUMBER(K1792),SUMIFS(st_min,st_date,A1792,st_eq,B1792,st_po,C1792,st_type,"Non planifié"),"")</f>
        <v/>
      </c>
      <c r="O1792" s="55" t="str">
        <f>IF(ISNUMBER(K1792),M1792-N1792,"")</f>
        <v/>
      </c>
      <c r="P1792" s="55" t="str">
        <f>IF(COUNTA(A1792:I1792)=0,"",N(G1792)+N(H1792)+N(I1792))</f>
        <v/>
      </c>
      <c r="Q1792" s="56" t="str">
        <f>IF(COUNTA(A1792:I1792)=0,"",IF(N(IFERROR(INDEX(art_rate,MATCH(E1792,art_ref,0)),0))&gt;0,N(IFERROR(INDEX(art_rate,MATCH(E1792,art_ref,0)),0)),N(IFERROR(INDEX(po_rate,MATCH(C1792,po_code,0)),0))))</f>
        <v/>
      </c>
      <c r="R1792" s="55" t="str">
        <f>IF(AC1792=1,P1792*60/Q1792,"")</f>
        <v/>
      </c>
      <c r="S1792" s="55" t="str">
        <f>IF(AC1792=1,N(G1792)*60/Q1792,"")</f>
        <v/>
      </c>
      <c r="T1792" s="57" t="str">
        <f>IF(AC1792=1,O1792/M1792,"")</f>
        <v/>
      </c>
      <c r="U1792" s="57" t="str">
        <f>IF(AC1792=1,IF(O1792&gt;0,R1792/O1792,""),"")</f>
        <v/>
      </c>
      <c r="V1792" s="57" t="str">
        <f>IF(AC1792=1,IF(P1792&gt;0,N(G1792)/P1792,""),"")</f>
        <v/>
      </c>
      <c r="W1792" s="57" t="str">
        <f>IF(AC1792=1,S1792/M1792,"")</f>
        <v/>
      </c>
      <c r="X1792" s="57" t="str">
        <f>IF(AC1792=1,S1792/K1792,"")</f>
        <v/>
      </c>
      <c r="Y1792" s="58" t="str">
        <f>IF(W1792="","",IF(W1792&gt;=p_target,"Bon",IF(W1792&gt;=p_alert,"À surveiller","Faible")))</f>
        <v/>
      </c>
      <c r="Z1792" s="58" t="str">
        <f>IF(W1792="","",IF(MIN(IF(T1792="",1,T1792),IF(U1792="",1,U1792),IF(V1792="",1,V1792))&gt;=1,"Aucune",IF(IF(T1792="",1,T1792)&lt;=MIN(IF(U1792="",1,U1792),IF(V1792="",1,V1792)),"Disponibilité",IF(IF(U1792="",1,U1792)&lt;=IF(V1792="",1,V1792),"Performance","Qualité"))))</f>
        <v/>
      </c>
      <c r="AA1792" s="59" t="str">
        <f>IF(AC1792=1,N(H1792)*N(IFERROR(INDEX(art_cost,MATCH(E1792,art_ref,0)),0)),"")</f>
        <v/>
      </c>
      <c r="AB1792" s="58" t="str">
        <f>IF(COUNTA(A1792:I1792)=0,"",IF(N(A1792)&lt;=0,"Date manquante ou invalide",IF(B1792="","Équipe manquante",IF(ISNA(MATCH(B1792,eq_code,0)),"Équipe inconnue",IF(INDEX(eq_check,MATCH(B1792,eq_code,0))&lt;&gt;"OK","Équipe à corriger dans Paramètres",IF(C1792="","Poste manquant",IF(ISNA(MATCH(C1792,po_code,0)),"Poste inconnu",IF(AND(E1792&lt;&gt;"",ISNA(MATCH(E1792,art_ref,0))),"Article inconnu",IF(IF(E1792="",FALSE,INDEX(art_check,MATCH(E1792,art_ref,0))&lt;&gt;"OK"),"Article à corriger (feuille Articles)",IF(COUNTIFS(sj_date,A1792,sj_eq,B1792,sj_po,C1792)&gt;1,"Ligne en double (même jour, équipe et poste)",IF(OR(NOT(ISNUMBER(K1792)),N(K1792)&lt;=0,N(K1792)&gt;1440),"Temps d'ouverture invalide",IF(OR(AND(G1792&lt;&gt;"",NOT(ISNUMBER(G1792))),N(G1792)&lt;0,N(G1792)&lt;&gt;INT(N(G1792)),AND(H1792&lt;&gt;"",NOT(ISNUMBER(H1792))),N(H1792)&lt;0,N(H1792)&lt;&gt;INT(N(H1792)),AND(I1792&lt;&gt;"",NOT(ISNUMBER(I1792))),N(I1792)&lt;0,N(I1792)&lt;&gt;INT(N(I1792))),"Quantité invalide",IF(Q1792&lt;=0,"Cadence manquante (poste ou article)",IF(M1792&lt;=0,"Arrêts planifiés supérieurs au temps d'ouverture",IF(O1792&lt;0,"Arrêts supérieurs au temps requis",IF(AND(P1792&gt;0,O1792=0),"Pièces déclarées sans temps de marche",IF(AND(P1792=0,O1792&gt;0),"Aucune pièce déclarée",IF(P1792*60/Q1792&gt;O1792+0.001,"Cadence dépassée : vérifiez la cadence","OK"))))))))))))))))))</f>
        <v/>
      </c>
      <c r="AC1792">
        <f>IF(OR(AB1792="OK",AB1792="Aucune pièce déclarée",AB1792="Cadence dépassée : vérifiez la cadence"),1,0)</f>
        <v>0.0</v>
      </c>
      <c r="AD1792">
        <f>IF(AND(AC1792=1,A1792&gt;=p_from,A1792&lt;=p_to),1,0)</f>
        <v>0.0</v>
      </c>
      <c r="AE1792">
        <f>IF(AD1792=1,IF(COUNTIFS($A$6:A1792,A1792,$AD$6:AD1792,1)=1,1,0),0)</f>
        <v>0.0</v>
      </c>
      <c r="AF1792" t="str">
        <f>IF(AE1792=1,COUNTIFS(sj_first,1,sj_date,"&lt;"&amp;A1792)+1,"")</f>
        <v/>
      </c>
      <c r="AG1792" t="str">
        <f>IF(AND(AD1792=1,N(W1792)&lt;p_alert),ROUND(W1792,4),"")</f>
        <v/>
      </c>
      <c r="AH1792" t="str">
        <f>IF(AG1792="","",COUNTIF(sj_akey,"&lt;"&amp;AG1792)+COUNTIF($AG$6:AG1792,AG1792))</f>
        <v/>
      </c>
    </row>
    <row r="1793">
      <c r="A1793" s="51" t="n"/>
      <c r="B1793" s="52" t="n"/>
      <c r="C1793" s="52" t="n"/>
      <c r="D1793" s="53" t="n"/>
      <c r="E1793" s="53" t="n"/>
      <c r="F1793" s="54" t="n"/>
      <c r="G1793" s="54" t="n"/>
      <c r="H1793" s="54" t="n"/>
      <c r="I1793" s="54" t="n"/>
      <c r="J1793" s="53" t="n"/>
      <c r="K1793" s="55" t="str">
        <f>IF(COUNTA(A1793:I1793)=0,"",IF(F1793="",IFERROR(INDEX(eq_dur,MATCH(B1793,eq_code,0)),""),F1793))</f>
        <v/>
      </c>
      <c r="L1793" s="55" t="str">
        <f>IF(ISNUMBER(K1793),N(IFERROR(INDEX(eq_pause,MATCH(B1793,eq_code,0)),0))+SUMIFS(st_min,st_date,A1793,st_eq,B1793,st_po,C1793,st_type,"Planifié"),"")</f>
        <v/>
      </c>
      <c r="M1793" s="55" t="str">
        <f>IF(ISNUMBER(K1793),K1793-L1793,"")</f>
        <v/>
      </c>
      <c r="N1793" s="55" t="str">
        <f>IF(ISNUMBER(K1793),SUMIFS(st_min,st_date,A1793,st_eq,B1793,st_po,C1793,st_type,"Non planifié"),"")</f>
        <v/>
      </c>
      <c r="O1793" s="55" t="str">
        <f>IF(ISNUMBER(K1793),M1793-N1793,"")</f>
        <v/>
      </c>
      <c r="P1793" s="55" t="str">
        <f>IF(COUNTA(A1793:I1793)=0,"",N(G1793)+N(H1793)+N(I1793))</f>
        <v/>
      </c>
      <c r="Q1793" s="56" t="str">
        <f>IF(COUNTA(A1793:I1793)=0,"",IF(N(IFERROR(INDEX(art_rate,MATCH(E1793,art_ref,0)),0))&gt;0,N(IFERROR(INDEX(art_rate,MATCH(E1793,art_ref,0)),0)),N(IFERROR(INDEX(po_rate,MATCH(C1793,po_code,0)),0))))</f>
        <v/>
      </c>
      <c r="R1793" s="55" t="str">
        <f>IF(AC1793=1,P1793*60/Q1793,"")</f>
        <v/>
      </c>
      <c r="S1793" s="55" t="str">
        <f>IF(AC1793=1,N(G1793)*60/Q1793,"")</f>
        <v/>
      </c>
      <c r="T1793" s="57" t="str">
        <f>IF(AC1793=1,O1793/M1793,"")</f>
        <v/>
      </c>
      <c r="U1793" s="57" t="str">
        <f>IF(AC1793=1,IF(O1793&gt;0,R1793/O1793,""),"")</f>
        <v/>
      </c>
      <c r="V1793" s="57" t="str">
        <f>IF(AC1793=1,IF(P1793&gt;0,N(G1793)/P1793,""),"")</f>
        <v/>
      </c>
      <c r="W1793" s="57" t="str">
        <f>IF(AC1793=1,S1793/M1793,"")</f>
        <v/>
      </c>
      <c r="X1793" s="57" t="str">
        <f>IF(AC1793=1,S1793/K1793,"")</f>
        <v/>
      </c>
      <c r="Y1793" s="58" t="str">
        <f>IF(W1793="","",IF(W1793&gt;=p_target,"Bon",IF(W1793&gt;=p_alert,"À surveiller","Faible")))</f>
        <v/>
      </c>
      <c r="Z1793" s="58" t="str">
        <f>IF(W1793="","",IF(MIN(IF(T1793="",1,T1793),IF(U1793="",1,U1793),IF(V1793="",1,V1793))&gt;=1,"Aucune",IF(IF(T1793="",1,T1793)&lt;=MIN(IF(U1793="",1,U1793),IF(V1793="",1,V1793)),"Disponibilité",IF(IF(U1793="",1,U1793)&lt;=IF(V1793="",1,V1793),"Performance","Qualité"))))</f>
        <v/>
      </c>
      <c r="AA1793" s="59" t="str">
        <f>IF(AC1793=1,N(H1793)*N(IFERROR(INDEX(art_cost,MATCH(E1793,art_ref,0)),0)),"")</f>
        <v/>
      </c>
      <c r="AB1793" s="58" t="str">
        <f>IF(COUNTA(A1793:I1793)=0,"",IF(N(A1793)&lt;=0,"Date manquante ou invalide",IF(B1793="","Équipe manquante",IF(ISNA(MATCH(B1793,eq_code,0)),"Équipe inconnue",IF(INDEX(eq_check,MATCH(B1793,eq_code,0))&lt;&gt;"OK","Équipe à corriger dans Paramètres",IF(C1793="","Poste manquant",IF(ISNA(MATCH(C1793,po_code,0)),"Poste inconnu",IF(AND(E1793&lt;&gt;"",ISNA(MATCH(E1793,art_ref,0))),"Article inconnu",IF(IF(E1793="",FALSE,INDEX(art_check,MATCH(E1793,art_ref,0))&lt;&gt;"OK"),"Article à corriger (feuille Articles)",IF(COUNTIFS(sj_date,A1793,sj_eq,B1793,sj_po,C1793)&gt;1,"Ligne en double (même jour, équipe et poste)",IF(OR(NOT(ISNUMBER(K1793)),N(K1793)&lt;=0,N(K1793)&gt;1440),"Temps d'ouverture invalide",IF(OR(AND(G1793&lt;&gt;"",NOT(ISNUMBER(G1793))),N(G1793)&lt;0,N(G1793)&lt;&gt;INT(N(G1793)),AND(H1793&lt;&gt;"",NOT(ISNUMBER(H1793))),N(H1793)&lt;0,N(H1793)&lt;&gt;INT(N(H1793)),AND(I1793&lt;&gt;"",NOT(ISNUMBER(I1793))),N(I1793)&lt;0,N(I1793)&lt;&gt;INT(N(I1793))),"Quantité invalide",IF(Q1793&lt;=0,"Cadence manquante (poste ou article)",IF(M1793&lt;=0,"Arrêts planifiés supérieurs au temps d'ouverture",IF(O1793&lt;0,"Arrêts supérieurs au temps requis",IF(AND(P1793&gt;0,O1793=0),"Pièces déclarées sans temps de marche",IF(AND(P1793=0,O1793&gt;0),"Aucune pièce déclarée",IF(P1793*60/Q1793&gt;O1793+0.001,"Cadence dépassée : vérifiez la cadence","OK"))))))))))))))))))</f>
        <v/>
      </c>
      <c r="AC1793">
        <f>IF(OR(AB1793="OK",AB1793="Aucune pièce déclarée",AB1793="Cadence dépassée : vérifiez la cadence"),1,0)</f>
        <v>0.0</v>
      </c>
      <c r="AD1793">
        <f>IF(AND(AC1793=1,A1793&gt;=p_from,A1793&lt;=p_to),1,0)</f>
        <v>0.0</v>
      </c>
      <c r="AE1793">
        <f>IF(AD1793=1,IF(COUNTIFS($A$6:A1793,A1793,$AD$6:AD1793,1)=1,1,0),0)</f>
        <v>0.0</v>
      </c>
      <c r="AF1793" t="str">
        <f>IF(AE1793=1,COUNTIFS(sj_first,1,sj_date,"&lt;"&amp;A1793)+1,"")</f>
        <v/>
      </c>
      <c r="AG1793" t="str">
        <f>IF(AND(AD1793=1,N(W1793)&lt;p_alert),ROUND(W1793,4),"")</f>
        <v/>
      </c>
      <c r="AH1793" t="str">
        <f>IF(AG1793="","",COUNTIF(sj_akey,"&lt;"&amp;AG1793)+COUNTIF($AG$6:AG1793,AG1793))</f>
        <v/>
      </c>
    </row>
    <row r="1794">
      <c r="A1794" s="51" t="n"/>
      <c r="B1794" s="52" t="n"/>
      <c r="C1794" s="52" t="n"/>
      <c r="D1794" s="53" t="n"/>
      <c r="E1794" s="53" t="n"/>
      <c r="F1794" s="54" t="n"/>
      <c r="G1794" s="54" t="n"/>
      <c r="H1794" s="54" t="n"/>
      <c r="I1794" s="54" t="n"/>
      <c r="J1794" s="53" t="n"/>
      <c r="K1794" s="55" t="str">
        <f>IF(COUNTA(A1794:I1794)=0,"",IF(F1794="",IFERROR(INDEX(eq_dur,MATCH(B1794,eq_code,0)),""),F1794))</f>
        <v/>
      </c>
      <c r="L1794" s="55" t="str">
        <f>IF(ISNUMBER(K1794),N(IFERROR(INDEX(eq_pause,MATCH(B1794,eq_code,0)),0))+SUMIFS(st_min,st_date,A1794,st_eq,B1794,st_po,C1794,st_type,"Planifié"),"")</f>
        <v/>
      </c>
      <c r="M1794" s="55" t="str">
        <f>IF(ISNUMBER(K1794),K1794-L1794,"")</f>
        <v/>
      </c>
      <c r="N1794" s="55" t="str">
        <f>IF(ISNUMBER(K1794),SUMIFS(st_min,st_date,A1794,st_eq,B1794,st_po,C1794,st_type,"Non planifié"),"")</f>
        <v/>
      </c>
      <c r="O1794" s="55" t="str">
        <f>IF(ISNUMBER(K1794),M1794-N1794,"")</f>
        <v/>
      </c>
      <c r="P1794" s="55" t="str">
        <f>IF(COUNTA(A1794:I1794)=0,"",N(G1794)+N(H1794)+N(I1794))</f>
        <v/>
      </c>
      <c r="Q1794" s="56" t="str">
        <f>IF(COUNTA(A1794:I1794)=0,"",IF(N(IFERROR(INDEX(art_rate,MATCH(E1794,art_ref,0)),0))&gt;0,N(IFERROR(INDEX(art_rate,MATCH(E1794,art_ref,0)),0)),N(IFERROR(INDEX(po_rate,MATCH(C1794,po_code,0)),0))))</f>
        <v/>
      </c>
      <c r="R1794" s="55" t="str">
        <f>IF(AC1794=1,P1794*60/Q1794,"")</f>
        <v/>
      </c>
      <c r="S1794" s="55" t="str">
        <f>IF(AC1794=1,N(G1794)*60/Q1794,"")</f>
        <v/>
      </c>
      <c r="T1794" s="57" t="str">
        <f>IF(AC1794=1,O1794/M1794,"")</f>
        <v/>
      </c>
      <c r="U1794" s="57" t="str">
        <f>IF(AC1794=1,IF(O1794&gt;0,R1794/O1794,""),"")</f>
        <v/>
      </c>
      <c r="V1794" s="57" t="str">
        <f>IF(AC1794=1,IF(P1794&gt;0,N(G1794)/P1794,""),"")</f>
        <v/>
      </c>
      <c r="W1794" s="57" t="str">
        <f>IF(AC1794=1,S1794/M1794,"")</f>
        <v/>
      </c>
      <c r="X1794" s="57" t="str">
        <f>IF(AC1794=1,S1794/K1794,"")</f>
        <v/>
      </c>
      <c r="Y1794" s="58" t="str">
        <f>IF(W1794="","",IF(W1794&gt;=p_target,"Bon",IF(W1794&gt;=p_alert,"À surveiller","Faible")))</f>
        <v/>
      </c>
      <c r="Z1794" s="58" t="str">
        <f>IF(W1794="","",IF(MIN(IF(T1794="",1,T1794),IF(U1794="",1,U1794),IF(V1794="",1,V1794))&gt;=1,"Aucune",IF(IF(T1794="",1,T1794)&lt;=MIN(IF(U1794="",1,U1794),IF(V1794="",1,V1794)),"Disponibilité",IF(IF(U1794="",1,U1794)&lt;=IF(V1794="",1,V1794),"Performance","Qualité"))))</f>
        <v/>
      </c>
      <c r="AA1794" s="59" t="str">
        <f>IF(AC1794=1,N(H1794)*N(IFERROR(INDEX(art_cost,MATCH(E1794,art_ref,0)),0)),"")</f>
        <v/>
      </c>
      <c r="AB1794" s="58" t="str">
        <f>IF(COUNTA(A1794:I1794)=0,"",IF(N(A1794)&lt;=0,"Date manquante ou invalide",IF(B1794="","Équipe manquante",IF(ISNA(MATCH(B1794,eq_code,0)),"Équipe inconnue",IF(INDEX(eq_check,MATCH(B1794,eq_code,0))&lt;&gt;"OK","Équipe à corriger dans Paramètres",IF(C1794="","Poste manquant",IF(ISNA(MATCH(C1794,po_code,0)),"Poste inconnu",IF(AND(E1794&lt;&gt;"",ISNA(MATCH(E1794,art_ref,0))),"Article inconnu",IF(IF(E1794="",FALSE,INDEX(art_check,MATCH(E1794,art_ref,0))&lt;&gt;"OK"),"Article à corriger (feuille Articles)",IF(COUNTIFS(sj_date,A1794,sj_eq,B1794,sj_po,C1794)&gt;1,"Ligne en double (même jour, équipe et poste)",IF(OR(NOT(ISNUMBER(K1794)),N(K1794)&lt;=0,N(K1794)&gt;1440),"Temps d'ouverture invalide",IF(OR(AND(G1794&lt;&gt;"",NOT(ISNUMBER(G1794))),N(G1794)&lt;0,N(G1794)&lt;&gt;INT(N(G1794)),AND(H1794&lt;&gt;"",NOT(ISNUMBER(H1794))),N(H1794)&lt;0,N(H1794)&lt;&gt;INT(N(H1794)),AND(I1794&lt;&gt;"",NOT(ISNUMBER(I1794))),N(I1794)&lt;0,N(I1794)&lt;&gt;INT(N(I1794))),"Quantité invalide",IF(Q1794&lt;=0,"Cadence manquante (poste ou article)",IF(M1794&lt;=0,"Arrêts planifiés supérieurs au temps d'ouverture",IF(O1794&lt;0,"Arrêts supérieurs au temps requis",IF(AND(P1794&gt;0,O1794=0),"Pièces déclarées sans temps de marche",IF(AND(P1794=0,O1794&gt;0),"Aucune pièce déclarée",IF(P1794*60/Q1794&gt;O1794+0.001,"Cadence dépassée : vérifiez la cadence","OK"))))))))))))))))))</f>
        <v/>
      </c>
      <c r="AC1794">
        <f>IF(OR(AB1794="OK",AB1794="Aucune pièce déclarée",AB1794="Cadence dépassée : vérifiez la cadence"),1,0)</f>
        <v>0.0</v>
      </c>
      <c r="AD1794">
        <f>IF(AND(AC1794=1,A1794&gt;=p_from,A1794&lt;=p_to),1,0)</f>
        <v>0.0</v>
      </c>
      <c r="AE1794">
        <f>IF(AD1794=1,IF(COUNTIFS($A$6:A1794,A1794,$AD$6:AD1794,1)=1,1,0),0)</f>
        <v>0.0</v>
      </c>
      <c r="AF1794" t="str">
        <f>IF(AE1794=1,COUNTIFS(sj_first,1,sj_date,"&lt;"&amp;A1794)+1,"")</f>
        <v/>
      </c>
      <c r="AG1794" t="str">
        <f>IF(AND(AD1794=1,N(W1794)&lt;p_alert),ROUND(W1794,4),"")</f>
        <v/>
      </c>
      <c r="AH1794" t="str">
        <f>IF(AG1794="","",COUNTIF(sj_akey,"&lt;"&amp;AG1794)+COUNTIF($AG$6:AG1794,AG1794))</f>
        <v/>
      </c>
    </row>
    <row r="1795">
      <c r="A1795" s="51" t="n"/>
      <c r="B1795" s="52" t="n"/>
      <c r="C1795" s="52" t="n"/>
      <c r="D1795" s="53" t="n"/>
      <c r="E1795" s="53" t="n"/>
      <c r="F1795" s="54" t="n"/>
      <c r="G1795" s="54" t="n"/>
      <c r="H1795" s="54" t="n"/>
      <c r="I1795" s="54" t="n"/>
      <c r="J1795" s="53" t="n"/>
      <c r="K1795" s="55" t="str">
        <f>IF(COUNTA(A1795:I1795)=0,"",IF(F1795="",IFERROR(INDEX(eq_dur,MATCH(B1795,eq_code,0)),""),F1795))</f>
        <v/>
      </c>
      <c r="L1795" s="55" t="str">
        <f>IF(ISNUMBER(K1795),N(IFERROR(INDEX(eq_pause,MATCH(B1795,eq_code,0)),0))+SUMIFS(st_min,st_date,A1795,st_eq,B1795,st_po,C1795,st_type,"Planifié"),"")</f>
        <v/>
      </c>
      <c r="M1795" s="55" t="str">
        <f>IF(ISNUMBER(K1795),K1795-L1795,"")</f>
        <v/>
      </c>
      <c r="N1795" s="55" t="str">
        <f>IF(ISNUMBER(K1795),SUMIFS(st_min,st_date,A1795,st_eq,B1795,st_po,C1795,st_type,"Non planifié"),"")</f>
        <v/>
      </c>
      <c r="O1795" s="55" t="str">
        <f>IF(ISNUMBER(K1795),M1795-N1795,"")</f>
        <v/>
      </c>
      <c r="P1795" s="55" t="str">
        <f>IF(COUNTA(A1795:I1795)=0,"",N(G1795)+N(H1795)+N(I1795))</f>
        <v/>
      </c>
      <c r="Q1795" s="56" t="str">
        <f>IF(COUNTA(A1795:I1795)=0,"",IF(N(IFERROR(INDEX(art_rate,MATCH(E1795,art_ref,0)),0))&gt;0,N(IFERROR(INDEX(art_rate,MATCH(E1795,art_ref,0)),0)),N(IFERROR(INDEX(po_rate,MATCH(C1795,po_code,0)),0))))</f>
        <v/>
      </c>
      <c r="R1795" s="55" t="str">
        <f>IF(AC1795=1,P1795*60/Q1795,"")</f>
        <v/>
      </c>
      <c r="S1795" s="55" t="str">
        <f>IF(AC1795=1,N(G1795)*60/Q1795,"")</f>
        <v/>
      </c>
      <c r="T1795" s="57" t="str">
        <f>IF(AC1795=1,O1795/M1795,"")</f>
        <v/>
      </c>
      <c r="U1795" s="57" t="str">
        <f>IF(AC1795=1,IF(O1795&gt;0,R1795/O1795,""),"")</f>
        <v/>
      </c>
      <c r="V1795" s="57" t="str">
        <f>IF(AC1795=1,IF(P1795&gt;0,N(G1795)/P1795,""),"")</f>
        <v/>
      </c>
      <c r="W1795" s="57" t="str">
        <f>IF(AC1795=1,S1795/M1795,"")</f>
        <v/>
      </c>
      <c r="X1795" s="57" t="str">
        <f>IF(AC1795=1,S1795/K1795,"")</f>
        <v/>
      </c>
      <c r="Y1795" s="58" t="str">
        <f>IF(W1795="","",IF(W1795&gt;=p_target,"Bon",IF(W1795&gt;=p_alert,"À surveiller","Faible")))</f>
        <v/>
      </c>
      <c r="Z1795" s="58" t="str">
        <f>IF(W1795="","",IF(MIN(IF(T1795="",1,T1795),IF(U1795="",1,U1795),IF(V1795="",1,V1795))&gt;=1,"Aucune",IF(IF(T1795="",1,T1795)&lt;=MIN(IF(U1795="",1,U1795),IF(V1795="",1,V1795)),"Disponibilité",IF(IF(U1795="",1,U1795)&lt;=IF(V1795="",1,V1795),"Performance","Qualité"))))</f>
        <v/>
      </c>
      <c r="AA1795" s="59" t="str">
        <f>IF(AC1795=1,N(H1795)*N(IFERROR(INDEX(art_cost,MATCH(E1795,art_ref,0)),0)),"")</f>
        <v/>
      </c>
      <c r="AB1795" s="58" t="str">
        <f>IF(COUNTA(A1795:I1795)=0,"",IF(N(A1795)&lt;=0,"Date manquante ou invalide",IF(B1795="","Équipe manquante",IF(ISNA(MATCH(B1795,eq_code,0)),"Équipe inconnue",IF(INDEX(eq_check,MATCH(B1795,eq_code,0))&lt;&gt;"OK","Équipe à corriger dans Paramètres",IF(C1795="","Poste manquant",IF(ISNA(MATCH(C1795,po_code,0)),"Poste inconnu",IF(AND(E1795&lt;&gt;"",ISNA(MATCH(E1795,art_ref,0))),"Article inconnu",IF(IF(E1795="",FALSE,INDEX(art_check,MATCH(E1795,art_ref,0))&lt;&gt;"OK"),"Article à corriger (feuille Articles)",IF(COUNTIFS(sj_date,A1795,sj_eq,B1795,sj_po,C1795)&gt;1,"Ligne en double (même jour, équipe et poste)",IF(OR(NOT(ISNUMBER(K1795)),N(K1795)&lt;=0,N(K1795)&gt;1440),"Temps d'ouverture invalide",IF(OR(AND(G1795&lt;&gt;"",NOT(ISNUMBER(G1795))),N(G1795)&lt;0,N(G1795)&lt;&gt;INT(N(G1795)),AND(H1795&lt;&gt;"",NOT(ISNUMBER(H1795))),N(H1795)&lt;0,N(H1795)&lt;&gt;INT(N(H1795)),AND(I1795&lt;&gt;"",NOT(ISNUMBER(I1795))),N(I1795)&lt;0,N(I1795)&lt;&gt;INT(N(I1795))),"Quantité invalide",IF(Q1795&lt;=0,"Cadence manquante (poste ou article)",IF(M1795&lt;=0,"Arrêts planifiés supérieurs au temps d'ouverture",IF(O1795&lt;0,"Arrêts supérieurs au temps requis",IF(AND(P1795&gt;0,O1795=0),"Pièces déclarées sans temps de marche",IF(AND(P1795=0,O1795&gt;0),"Aucune pièce déclarée",IF(P1795*60/Q1795&gt;O1795+0.001,"Cadence dépassée : vérifiez la cadence","OK"))))))))))))))))))</f>
        <v/>
      </c>
      <c r="AC1795">
        <f>IF(OR(AB1795="OK",AB1795="Aucune pièce déclarée",AB1795="Cadence dépassée : vérifiez la cadence"),1,0)</f>
        <v>0.0</v>
      </c>
      <c r="AD1795">
        <f>IF(AND(AC1795=1,A1795&gt;=p_from,A1795&lt;=p_to),1,0)</f>
        <v>0.0</v>
      </c>
      <c r="AE1795">
        <f>IF(AD1795=1,IF(COUNTIFS($A$6:A1795,A1795,$AD$6:AD1795,1)=1,1,0),0)</f>
        <v>0.0</v>
      </c>
      <c r="AF1795" t="str">
        <f>IF(AE1795=1,COUNTIFS(sj_first,1,sj_date,"&lt;"&amp;A1795)+1,"")</f>
        <v/>
      </c>
      <c r="AG1795" t="str">
        <f>IF(AND(AD1795=1,N(W1795)&lt;p_alert),ROUND(W1795,4),"")</f>
        <v/>
      </c>
      <c r="AH1795" t="str">
        <f>IF(AG1795="","",COUNTIF(sj_akey,"&lt;"&amp;AG1795)+COUNTIF($AG$6:AG1795,AG1795))</f>
        <v/>
      </c>
    </row>
    <row r="1796">
      <c r="A1796" s="51" t="n"/>
      <c r="B1796" s="52" t="n"/>
      <c r="C1796" s="52" t="n"/>
      <c r="D1796" s="53" t="n"/>
      <c r="E1796" s="53" t="n"/>
      <c r="F1796" s="54" t="n"/>
      <c r="G1796" s="54" t="n"/>
      <c r="H1796" s="54" t="n"/>
      <c r="I1796" s="54" t="n"/>
      <c r="J1796" s="53" t="n"/>
      <c r="K1796" s="55" t="str">
        <f>IF(COUNTA(A1796:I1796)=0,"",IF(F1796="",IFERROR(INDEX(eq_dur,MATCH(B1796,eq_code,0)),""),F1796))</f>
        <v/>
      </c>
      <c r="L1796" s="55" t="str">
        <f>IF(ISNUMBER(K1796),N(IFERROR(INDEX(eq_pause,MATCH(B1796,eq_code,0)),0))+SUMIFS(st_min,st_date,A1796,st_eq,B1796,st_po,C1796,st_type,"Planifié"),"")</f>
        <v/>
      </c>
      <c r="M1796" s="55" t="str">
        <f>IF(ISNUMBER(K1796),K1796-L1796,"")</f>
        <v/>
      </c>
      <c r="N1796" s="55" t="str">
        <f>IF(ISNUMBER(K1796),SUMIFS(st_min,st_date,A1796,st_eq,B1796,st_po,C1796,st_type,"Non planifié"),"")</f>
        <v/>
      </c>
      <c r="O1796" s="55" t="str">
        <f>IF(ISNUMBER(K1796),M1796-N1796,"")</f>
        <v/>
      </c>
      <c r="P1796" s="55" t="str">
        <f>IF(COUNTA(A1796:I1796)=0,"",N(G1796)+N(H1796)+N(I1796))</f>
        <v/>
      </c>
      <c r="Q1796" s="56" t="str">
        <f>IF(COUNTA(A1796:I1796)=0,"",IF(N(IFERROR(INDEX(art_rate,MATCH(E1796,art_ref,0)),0))&gt;0,N(IFERROR(INDEX(art_rate,MATCH(E1796,art_ref,0)),0)),N(IFERROR(INDEX(po_rate,MATCH(C1796,po_code,0)),0))))</f>
        <v/>
      </c>
      <c r="R1796" s="55" t="str">
        <f>IF(AC1796=1,P1796*60/Q1796,"")</f>
        <v/>
      </c>
      <c r="S1796" s="55" t="str">
        <f>IF(AC1796=1,N(G1796)*60/Q1796,"")</f>
        <v/>
      </c>
      <c r="T1796" s="57" t="str">
        <f>IF(AC1796=1,O1796/M1796,"")</f>
        <v/>
      </c>
      <c r="U1796" s="57" t="str">
        <f>IF(AC1796=1,IF(O1796&gt;0,R1796/O1796,""),"")</f>
        <v/>
      </c>
      <c r="V1796" s="57" t="str">
        <f>IF(AC1796=1,IF(P1796&gt;0,N(G1796)/P1796,""),"")</f>
        <v/>
      </c>
      <c r="W1796" s="57" t="str">
        <f>IF(AC1796=1,S1796/M1796,"")</f>
        <v/>
      </c>
      <c r="X1796" s="57" t="str">
        <f>IF(AC1796=1,S1796/K1796,"")</f>
        <v/>
      </c>
      <c r="Y1796" s="58" t="str">
        <f>IF(W1796="","",IF(W1796&gt;=p_target,"Bon",IF(W1796&gt;=p_alert,"À surveiller","Faible")))</f>
        <v/>
      </c>
      <c r="Z1796" s="58" t="str">
        <f>IF(W1796="","",IF(MIN(IF(T1796="",1,T1796),IF(U1796="",1,U1796),IF(V1796="",1,V1796))&gt;=1,"Aucune",IF(IF(T1796="",1,T1796)&lt;=MIN(IF(U1796="",1,U1796),IF(V1796="",1,V1796)),"Disponibilité",IF(IF(U1796="",1,U1796)&lt;=IF(V1796="",1,V1796),"Performance","Qualité"))))</f>
        <v/>
      </c>
      <c r="AA1796" s="59" t="str">
        <f>IF(AC1796=1,N(H1796)*N(IFERROR(INDEX(art_cost,MATCH(E1796,art_ref,0)),0)),"")</f>
        <v/>
      </c>
      <c r="AB1796" s="58" t="str">
        <f>IF(COUNTA(A1796:I1796)=0,"",IF(N(A1796)&lt;=0,"Date manquante ou invalide",IF(B1796="","Équipe manquante",IF(ISNA(MATCH(B1796,eq_code,0)),"Équipe inconnue",IF(INDEX(eq_check,MATCH(B1796,eq_code,0))&lt;&gt;"OK","Équipe à corriger dans Paramètres",IF(C1796="","Poste manquant",IF(ISNA(MATCH(C1796,po_code,0)),"Poste inconnu",IF(AND(E1796&lt;&gt;"",ISNA(MATCH(E1796,art_ref,0))),"Article inconnu",IF(IF(E1796="",FALSE,INDEX(art_check,MATCH(E1796,art_ref,0))&lt;&gt;"OK"),"Article à corriger (feuille Articles)",IF(COUNTIFS(sj_date,A1796,sj_eq,B1796,sj_po,C1796)&gt;1,"Ligne en double (même jour, équipe et poste)",IF(OR(NOT(ISNUMBER(K1796)),N(K1796)&lt;=0,N(K1796)&gt;1440),"Temps d'ouverture invalide",IF(OR(AND(G1796&lt;&gt;"",NOT(ISNUMBER(G1796))),N(G1796)&lt;0,N(G1796)&lt;&gt;INT(N(G1796)),AND(H1796&lt;&gt;"",NOT(ISNUMBER(H1796))),N(H1796)&lt;0,N(H1796)&lt;&gt;INT(N(H1796)),AND(I1796&lt;&gt;"",NOT(ISNUMBER(I1796))),N(I1796)&lt;0,N(I1796)&lt;&gt;INT(N(I1796))),"Quantité invalide",IF(Q1796&lt;=0,"Cadence manquante (poste ou article)",IF(M1796&lt;=0,"Arrêts planifiés supérieurs au temps d'ouverture",IF(O1796&lt;0,"Arrêts supérieurs au temps requis",IF(AND(P1796&gt;0,O1796=0),"Pièces déclarées sans temps de marche",IF(AND(P1796=0,O1796&gt;0),"Aucune pièce déclarée",IF(P1796*60/Q1796&gt;O1796+0.001,"Cadence dépassée : vérifiez la cadence","OK"))))))))))))))))))</f>
        <v/>
      </c>
      <c r="AC1796">
        <f>IF(OR(AB1796="OK",AB1796="Aucune pièce déclarée",AB1796="Cadence dépassée : vérifiez la cadence"),1,0)</f>
        <v>0.0</v>
      </c>
      <c r="AD1796">
        <f>IF(AND(AC1796=1,A1796&gt;=p_from,A1796&lt;=p_to),1,0)</f>
        <v>0.0</v>
      </c>
      <c r="AE1796">
        <f>IF(AD1796=1,IF(COUNTIFS($A$6:A1796,A1796,$AD$6:AD1796,1)=1,1,0),0)</f>
        <v>0.0</v>
      </c>
      <c r="AF1796" t="str">
        <f>IF(AE1796=1,COUNTIFS(sj_first,1,sj_date,"&lt;"&amp;A1796)+1,"")</f>
        <v/>
      </c>
      <c r="AG1796" t="str">
        <f>IF(AND(AD1796=1,N(W1796)&lt;p_alert),ROUND(W1796,4),"")</f>
        <v/>
      </c>
      <c r="AH1796" t="str">
        <f>IF(AG1796="","",COUNTIF(sj_akey,"&lt;"&amp;AG1796)+COUNTIF($AG$6:AG1796,AG1796))</f>
        <v/>
      </c>
    </row>
    <row r="1797">
      <c r="A1797" s="51" t="n"/>
      <c r="B1797" s="52" t="n"/>
      <c r="C1797" s="52" t="n"/>
      <c r="D1797" s="53" t="n"/>
      <c r="E1797" s="53" t="n"/>
      <c r="F1797" s="54" t="n"/>
      <c r="G1797" s="54" t="n"/>
      <c r="H1797" s="54" t="n"/>
      <c r="I1797" s="54" t="n"/>
      <c r="J1797" s="53" t="n"/>
      <c r="K1797" s="55" t="str">
        <f>IF(COUNTA(A1797:I1797)=0,"",IF(F1797="",IFERROR(INDEX(eq_dur,MATCH(B1797,eq_code,0)),""),F1797))</f>
        <v/>
      </c>
      <c r="L1797" s="55" t="str">
        <f>IF(ISNUMBER(K1797),N(IFERROR(INDEX(eq_pause,MATCH(B1797,eq_code,0)),0))+SUMIFS(st_min,st_date,A1797,st_eq,B1797,st_po,C1797,st_type,"Planifié"),"")</f>
        <v/>
      </c>
      <c r="M1797" s="55" t="str">
        <f>IF(ISNUMBER(K1797),K1797-L1797,"")</f>
        <v/>
      </c>
      <c r="N1797" s="55" t="str">
        <f>IF(ISNUMBER(K1797),SUMIFS(st_min,st_date,A1797,st_eq,B1797,st_po,C1797,st_type,"Non planifié"),"")</f>
        <v/>
      </c>
      <c r="O1797" s="55" t="str">
        <f>IF(ISNUMBER(K1797),M1797-N1797,"")</f>
        <v/>
      </c>
      <c r="P1797" s="55" t="str">
        <f>IF(COUNTA(A1797:I1797)=0,"",N(G1797)+N(H1797)+N(I1797))</f>
        <v/>
      </c>
      <c r="Q1797" s="56" t="str">
        <f>IF(COUNTA(A1797:I1797)=0,"",IF(N(IFERROR(INDEX(art_rate,MATCH(E1797,art_ref,0)),0))&gt;0,N(IFERROR(INDEX(art_rate,MATCH(E1797,art_ref,0)),0)),N(IFERROR(INDEX(po_rate,MATCH(C1797,po_code,0)),0))))</f>
        <v/>
      </c>
      <c r="R1797" s="55" t="str">
        <f>IF(AC1797=1,P1797*60/Q1797,"")</f>
        <v/>
      </c>
      <c r="S1797" s="55" t="str">
        <f>IF(AC1797=1,N(G1797)*60/Q1797,"")</f>
        <v/>
      </c>
      <c r="T1797" s="57" t="str">
        <f>IF(AC1797=1,O1797/M1797,"")</f>
        <v/>
      </c>
      <c r="U1797" s="57" t="str">
        <f>IF(AC1797=1,IF(O1797&gt;0,R1797/O1797,""),"")</f>
        <v/>
      </c>
      <c r="V1797" s="57" t="str">
        <f>IF(AC1797=1,IF(P1797&gt;0,N(G1797)/P1797,""),"")</f>
        <v/>
      </c>
      <c r="W1797" s="57" t="str">
        <f>IF(AC1797=1,S1797/M1797,"")</f>
        <v/>
      </c>
      <c r="X1797" s="57" t="str">
        <f>IF(AC1797=1,S1797/K1797,"")</f>
        <v/>
      </c>
      <c r="Y1797" s="58" t="str">
        <f>IF(W1797="","",IF(W1797&gt;=p_target,"Bon",IF(W1797&gt;=p_alert,"À surveiller","Faible")))</f>
        <v/>
      </c>
      <c r="Z1797" s="58" t="str">
        <f>IF(W1797="","",IF(MIN(IF(T1797="",1,T1797),IF(U1797="",1,U1797),IF(V1797="",1,V1797))&gt;=1,"Aucune",IF(IF(T1797="",1,T1797)&lt;=MIN(IF(U1797="",1,U1797),IF(V1797="",1,V1797)),"Disponibilité",IF(IF(U1797="",1,U1797)&lt;=IF(V1797="",1,V1797),"Performance","Qualité"))))</f>
        <v/>
      </c>
      <c r="AA1797" s="59" t="str">
        <f>IF(AC1797=1,N(H1797)*N(IFERROR(INDEX(art_cost,MATCH(E1797,art_ref,0)),0)),"")</f>
        <v/>
      </c>
      <c r="AB1797" s="58" t="str">
        <f>IF(COUNTA(A1797:I1797)=0,"",IF(N(A1797)&lt;=0,"Date manquante ou invalide",IF(B1797="","Équipe manquante",IF(ISNA(MATCH(B1797,eq_code,0)),"Équipe inconnue",IF(INDEX(eq_check,MATCH(B1797,eq_code,0))&lt;&gt;"OK","Équipe à corriger dans Paramètres",IF(C1797="","Poste manquant",IF(ISNA(MATCH(C1797,po_code,0)),"Poste inconnu",IF(AND(E1797&lt;&gt;"",ISNA(MATCH(E1797,art_ref,0))),"Article inconnu",IF(IF(E1797="",FALSE,INDEX(art_check,MATCH(E1797,art_ref,0))&lt;&gt;"OK"),"Article à corriger (feuille Articles)",IF(COUNTIFS(sj_date,A1797,sj_eq,B1797,sj_po,C1797)&gt;1,"Ligne en double (même jour, équipe et poste)",IF(OR(NOT(ISNUMBER(K1797)),N(K1797)&lt;=0,N(K1797)&gt;1440),"Temps d'ouverture invalide",IF(OR(AND(G1797&lt;&gt;"",NOT(ISNUMBER(G1797))),N(G1797)&lt;0,N(G1797)&lt;&gt;INT(N(G1797)),AND(H1797&lt;&gt;"",NOT(ISNUMBER(H1797))),N(H1797)&lt;0,N(H1797)&lt;&gt;INT(N(H1797)),AND(I1797&lt;&gt;"",NOT(ISNUMBER(I1797))),N(I1797)&lt;0,N(I1797)&lt;&gt;INT(N(I1797))),"Quantité invalide",IF(Q1797&lt;=0,"Cadence manquante (poste ou article)",IF(M1797&lt;=0,"Arrêts planifiés supérieurs au temps d'ouverture",IF(O1797&lt;0,"Arrêts supérieurs au temps requis",IF(AND(P1797&gt;0,O1797=0),"Pièces déclarées sans temps de marche",IF(AND(P1797=0,O1797&gt;0),"Aucune pièce déclarée",IF(P1797*60/Q1797&gt;O1797+0.001,"Cadence dépassée : vérifiez la cadence","OK"))))))))))))))))))</f>
        <v/>
      </c>
      <c r="AC1797">
        <f>IF(OR(AB1797="OK",AB1797="Aucune pièce déclarée",AB1797="Cadence dépassée : vérifiez la cadence"),1,0)</f>
        <v>0.0</v>
      </c>
      <c r="AD1797">
        <f>IF(AND(AC1797=1,A1797&gt;=p_from,A1797&lt;=p_to),1,0)</f>
        <v>0.0</v>
      </c>
      <c r="AE1797">
        <f>IF(AD1797=1,IF(COUNTIFS($A$6:A1797,A1797,$AD$6:AD1797,1)=1,1,0),0)</f>
        <v>0.0</v>
      </c>
      <c r="AF1797" t="str">
        <f>IF(AE1797=1,COUNTIFS(sj_first,1,sj_date,"&lt;"&amp;A1797)+1,"")</f>
        <v/>
      </c>
      <c r="AG1797" t="str">
        <f>IF(AND(AD1797=1,N(W1797)&lt;p_alert),ROUND(W1797,4),"")</f>
        <v/>
      </c>
      <c r="AH1797" t="str">
        <f>IF(AG1797="","",COUNTIF(sj_akey,"&lt;"&amp;AG1797)+COUNTIF($AG$6:AG1797,AG1797))</f>
        <v/>
      </c>
    </row>
    <row r="1798">
      <c r="A1798" s="51" t="n"/>
      <c r="B1798" s="52" t="n"/>
      <c r="C1798" s="52" t="n"/>
      <c r="D1798" s="53" t="n"/>
      <c r="E1798" s="53" t="n"/>
      <c r="F1798" s="54" t="n"/>
      <c r="G1798" s="54" t="n"/>
      <c r="H1798" s="54" t="n"/>
      <c r="I1798" s="54" t="n"/>
      <c r="J1798" s="53" t="n"/>
      <c r="K1798" s="55" t="str">
        <f>IF(COUNTA(A1798:I1798)=0,"",IF(F1798="",IFERROR(INDEX(eq_dur,MATCH(B1798,eq_code,0)),""),F1798))</f>
        <v/>
      </c>
      <c r="L1798" s="55" t="str">
        <f>IF(ISNUMBER(K1798),N(IFERROR(INDEX(eq_pause,MATCH(B1798,eq_code,0)),0))+SUMIFS(st_min,st_date,A1798,st_eq,B1798,st_po,C1798,st_type,"Planifié"),"")</f>
        <v/>
      </c>
      <c r="M1798" s="55" t="str">
        <f>IF(ISNUMBER(K1798),K1798-L1798,"")</f>
        <v/>
      </c>
      <c r="N1798" s="55" t="str">
        <f>IF(ISNUMBER(K1798),SUMIFS(st_min,st_date,A1798,st_eq,B1798,st_po,C1798,st_type,"Non planifié"),"")</f>
        <v/>
      </c>
      <c r="O1798" s="55" t="str">
        <f>IF(ISNUMBER(K1798),M1798-N1798,"")</f>
        <v/>
      </c>
      <c r="P1798" s="55" t="str">
        <f>IF(COUNTA(A1798:I1798)=0,"",N(G1798)+N(H1798)+N(I1798))</f>
        <v/>
      </c>
      <c r="Q1798" s="56" t="str">
        <f>IF(COUNTA(A1798:I1798)=0,"",IF(N(IFERROR(INDEX(art_rate,MATCH(E1798,art_ref,0)),0))&gt;0,N(IFERROR(INDEX(art_rate,MATCH(E1798,art_ref,0)),0)),N(IFERROR(INDEX(po_rate,MATCH(C1798,po_code,0)),0))))</f>
        <v/>
      </c>
      <c r="R1798" s="55" t="str">
        <f>IF(AC1798=1,P1798*60/Q1798,"")</f>
        <v/>
      </c>
      <c r="S1798" s="55" t="str">
        <f>IF(AC1798=1,N(G1798)*60/Q1798,"")</f>
        <v/>
      </c>
      <c r="T1798" s="57" t="str">
        <f>IF(AC1798=1,O1798/M1798,"")</f>
        <v/>
      </c>
      <c r="U1798" s="57" t="str">
        <f>IF(AC1798=1,IF(O1798&gt;0,R1798/O1798,""),"")</f>
        <v/>
      </c>
      <c r="V1798" s="57" t="str">
        <f>IF(AC1798=1,IF(P1798&gt;0,N(G1798)/P1798,""),"")</f>
        <v/>
      </c>
      <c r="W1798" s="57" t="str">
        <f>IF(AC1798=1,S1798/M1798,"")</f>
        <v/>
      </c>
      <c r="X1798" s="57" t="str">
        <f>IF(AC1798=1,S1798/K1798,"")</f>
        <v/>
      </c>
      <c r="Y1798" s="58" t="str">
        <f>IF(W1798="","",IF(W1798&gt;=p_target,"Bon",IF(W1798&gt;=p_alert,"À surveiller","Faible")))</f>
        <v/>
      </c>
      <c r="Z1798" s="58" t="str">
        <f>IF(W1798="","",IF(MIN(IF(T1798="",1,T1798),IF(U1798="",1,U1798),IF(V1798="",1,V1798))&gt;=1,"Aucune",IF(IF(T1798="",1,T1798)&lt;=MIN(IF(U1798="",1,U1798),IF(V1798="",1,V1798)),"Disponibilité",IF(IF(U1798="",1,U1798)&lt;=IF(V1798="",1,V1798),"Performance","Qualité"))))</f>
        <v/>
      </c>
      <c r="AA1798" s="59" t="str">
        <f>IF(AC1798=1,N(H1798)*N(IFERROR(INDEX(art_cost,MATCH(E1798,art_ref,0)),0)),"")</f>
        <v/>
      </c>
      <c r="AB1798" s="58" t="str">
        <f>IF(COUNTA(A1798:I1798)=0,"",IF(N(A1798)&lt;=0,"Date manquante ou invalide",IF(B1798="","Équipe manquante",IF(ISNA(MATCH(B1798,eq_code,0)),"Équipe inconnue",IF(INDEX(eq_check,MATCH(B1798,eq_code,0))&lt;&gt;"OK","Équipe à corriger dans Paramètres",IF(C1798="","Poste manquant",IF(ISNA(MATCH(C1798,po_code,0)),"Poste inconnu",IF(AND(E1798&lt;&gt;"",ISNA(MATCH(E1798,art_ref,0))),"Article inconnu",IF(IF(E1798="",FALSE,INDEX(art_check,MATCH(E1798,art_ref,0))&lt;&gt;"OK"),"Article à corriger (feuille Articles)",IF(COUNTIFS(sj_date,A1798,sj_eq,B1798,sj_po,C1798)&gt;1,"Ligne en double (même jour, équipe et poste)",IF(OR(NOT(ISNUMBER(K1798)),N(K1798)&lt;=0,N(K1798)&gt;1440),"Temps d'ouverture invalide",IF(OR(AND(G1798&lt;&gt;"",NOT(ISNUMBER(G1798))),N(G1798)&lt;0,N(G1798)&lt;&gt;INT(N(G1798)),AND(H1798&lt;&gt;"",NOT(ISNUMBER(H1798))),N(H1798)&lt;0,N(H1798)&lt;&gt;INT(N(H1798)),AND(I1798&lt;&gt;"",NOT(ISNUMBER(I1798))),N(I1798)&lt;0,N(I1798)&lt;&gt;INT(N(I1798))),"Quantité invalide",IF(Q1798&lt;=0,"Cadence manquante (poste ou article)",IF(M1798&lt;=0,"Arrêts planifiés supérieurs au temps d'ouverture",IF(O1798&lt;0,"Arrêts supérieurs au temps requis",IF(AND(P1798&gt;0,O1798=0),"Pièces déclarées sans temps de marche",IF(AND(P1798=0,O1798&gt;0),"Aucune pièce déclarée",IF(P1798*60/Q1798&gt;O1798+0.001,"Cadence dépassée : vérifiez la cadence","OK"))))))))))))))))))</f>
        <v/>
      </c>
      <c r="AC1798">
        <f>IF(OR(AB1798="OK",AB1798="Aucune pièce déclarée",AB1798="Cadence dépassée : vérifiez la cadence"),1,0)</f>
        <v>0.0</v>
      </c>
      <c r="AD1798">
        <f>IF(AND(AC1798=1,A1798&gt;=p_from,A1798&lt;=p_to),1,0)</f>
        <v>0.0</v>
      </c>
      <c r="AE1798">
        <f>IF(AD1798=1,IF(COUNTIFS($A$6:A1798,A1798,$AD$6:AD1798,1)=1,1,0),0)</f>
        <v>0.0</v>
      </c>
      <c r="AF1798" t="str">
        <f>IF(AE1798=1,COUNTIFS(sj_first,1,sj_date,"&lt;"&amp;A1798)+1,"")</f>
        <v/>
      </c>
      <c r="AG1798" t="str">
        <f>IF(AND(AD1798=1,N(W1798)&lt;p_alert),ROUND(W1798,4),"")</f>
        <v/>
      </c>
      <c r="AH1798" t="str">
        <f>IF(AG1798="","",COUNTIF(sj_akey,"&lt;"&amp;AG1798)+COUNTIF($AG$6:AG1798,AG1798))</f>
        <v/>
      </c>
    </row>
    <row r="1799">
      <c r="A1799" s="51" t="n"/>
      <c r="B1799" s="52" t="n"/>
      <c r="C1799" s="52" t="n"/>
      <c r="D1799" s="53" t="n"/>
      <c r="E1799" s="53" t="n"/>
      <c r="F1799" s="54" t="n"/>
      <c r="G1799" s="54" t="n"/>
      <c r="H1799" s="54" t="n"/>
      <c r="I1799" s="54" t="n"/>
      <c r="J1799" s="53" t="n"/>
      <c r="K1799" s="55" t="str">
        <f>IF(COUNTA(A1799:I1799)=0,"",IF(F1799="",IFERROR(INDEX(eq_dur,MATCH(B1799,eq_code,0)),""),F1799))</f>
        <v/>
      </c>
      <c r="L1799" s="55" t="str">
        <f>IF(ISNUMBER(K1799),N(IFERROR(INDEX(eq_pause,MATCH(B1799,eq_code,0)),0))+SUMIFS(st_min,st_date,A1799,st_eq,B1799,st_po,C1799,st_type,"Planifié"),"")</f>
        <v/>
      </c>
      <c r="M1799" s="55" t="str">
        <f>IF(ISNUMBER(K1799),K1799-L1799,"")</f>
        <v/>
      </c>
      <c r="N1799" s="55" t="str">
        <f>IF(ISNUMBER(K1799),SUMIFS(st_min,st_date,A1799,st_eq,B1799,st_po,C1799,st_type,"Non planifié"),"")</f>
        <v/>
      </c>
      <c r="O1799" s="55" t="str">
        <f>IF(ISNUMBER(K1799),M1799-N1799,"")</f>
        <v/>
      </c>
      <c r="P1799" s="55" t="str">
        <f>IF(COUNTA(A1799:I1799)=0,"",N(G1799)+N(H1799)+N(I1799))</f>
        <v/>
      </c>
      <c r="Q1799" s="56" t="str">
        <f>IF(COUNTA(A1799:I1799)=0,"",IF(N(IFERROR(INDEX(art_rate,MATCH(E1799,art_ref,0)),0))&gt;0,N(IFERROR(INDEX(art_rate,MATCH(E1799,art_ref,0)),0)),N(IFERROR(INDEX(po_rate,MATCH(C1799,po_code,0)),0))))</f>
        <v/>
      </c>
      <c r="R1799" s="55" t="str">
        <f>IF(AC1799=1,P1799*60/Q1799,"")</f>
        <v/>
      </c>
      <c r="S1799" s="55" t="str">
        <f>IF(AC1799=1,N(G1799)*60/Q1799,"")</f>
        <v/>
      </c>
      <c r="T1799" s="57" t="str">
        <f>IF(AC1799=1,O1799/M1799,"")</f>
        <v/>
      </c>
      <c r="U1799" s="57" t="str">
        <f>IF(AC1799=1,IF(O1799&gt;0,R1799/O1799,""),"")</f>
        <v/>
      </c>
      <c r="V1799" s="57" t="str">
        <f>IF(AC1799=1,IF(P1799&gt;0,N(G1799)/P1799,""),"")</f>
        <v/>
      </c>
      <c r="W1799" s="57" t="str">
        <f>IF(AC1799=1,S1799/M1799,"")</f>
        <v/>
      </c>
      <c r="X1799" s="57" t="str">
        <f>IF(AC1799=1,S1799/K1799,"")</f>
        <v/>
      </c>
      <c r="Y1799" s="58" t="str">
        <f>IF(W1799="","",IF(W1799&gt;=p_target,"Bon",IF(W1799&gt;=p_alert,"À surveiller","Faible")))</f>
        <v/>
      </c>
      <c r="Z1799" s="58" t="str">
        <f>IF(W1799="","",IF(MIN(IF(T1799="",1,T1799),IF(U1799="",1,U1799),IF(V1799="",1,V1799))&gt;=1,"Aucune",IF(IF(T1799="",1,T1799)&lt;=MIN(IF(U1799="",1,U1799),IF(V1799="",1,V1799)),"Disponibilité",IF(IF(U1799="",1,U1799)&lt;=IF(V1799="",1,V1799),"Performance","Qualité"))))</f>
        <v/>
      </c>
      <c r="AA1799" s="59" t="str">
        <f>IF(AC1799=1,N(H1799)*N(IFERROR(INDEX(art_cost,MATCH(E1799,art_ref,0)),0)),"")</f>
        <v/>
      </c>
      <c r="AB1799" s="58" t="str">
        <f>IF(COUNTA(A1799:I1799)=0,"",IF(N(A1799)&lt;=0,"Date manquante ou invalide",IF(B1799="","Équipe manquante",IF(ISNA(MATCH(B1799,eq_code,0)),"Équipe inconnue",IF(INDEX(eq_check,MATCH(B1799,eq_code,0))&lt;&gt;"OK","Équipe à corriger dans Paramètres",IF(C1799="","Poste manquant",IF(ISNA(MATCH(C1799,po_code,0)),"Poste inconnu",IF(AND(E1799&lt;&gt;"",ISNA(MATCH(E1799,art_ref,0))),"Article inconnu",IF(IF(E1799="",FALSE,INDEX(art_check,MATCH(E1799,art_ref,0))&lt;&gt;"OK"),"Article à corriger (feuille Articles)",IF(COUNTIFS(sj_date,A1799,sj_eq,B1799,sj_po,C1799)&gt;1,"Ligne en double (même jour, équipe et poste)",IF(OR(NOT(ISNUMBER(K1799)),N(K1799)&lt;=0,N(K1799)&gt;1440),"Temps d'ouverture invalide",IF(OR(AND(G1799&lt;&gt;"",NOT(ISNUMBER(G1799))),N(G1799)&lt;0,N(G1799)&lt;&gt;INT(N(G1799)),AND(H1799&lt;&gt;"",NOT(ISNUMBER(H1799))),N(H1799)&lt;0,N(H1799)&lt;&gt;INT(N(H1799)),AND(I1799&lt;&gt;"",NOT(ISNUMBER(I1799))),N(I1799)&lt;0,N(I1799)&lt;&gt;INT(N(I1799))),"Quantité invalide",IF(Q1799&lt;=0,"Cadence manquante (poste ou article)",IF(M1799&lt;=0,"Arrêts planifiés supérieurs au temps d'ouverture",IF(O1799&lt;0,"Arrêts supérieurs au temps requis",IF(AND(P1799&gt;0,O1799=0),"Pièces déclarées sans temps de marche",IF(AND(P1799=0,O1799&gt;0),"Aucune pièce déclarée",IF(P1799*60/Q1799&gt;O1799+0.001,"Cadence dépassée : vérifiez la cadence","OK"))))))))))))))))))</f>
        <v/>
      </c>
      <c r="AC1799">
        <f>IF(OR(AB1799="OK",AB1799="Aucune pièce déclarée",AB1799="Cadence dépassée : vérifiez la cadence"),1,0)</f>
        <v>0.0</v>
      </c>
      <c r="AD1799">
        <f>IF(AND(AC1799=1,A1799&gt;=p_from,A1799&lt;=p_to),1,0)</f>
        <v>0.0</v>
      </c>
      <c r="AE1799">
        <f>IF(AD1799=1,IF(COUNTIFS($A$6:A1799,A1799,$AD$6:AD1799,1)=1,1,0),0)</f>
        <v>0.0</v>
      </c>
      <c r="AF1799" t="str">
        <f>IF(AE1799=1,COUNTIFS(sj_first,1,sj_date,"&lt;"&amp;A1799)+1,"")</f>
        <v/>
      </c>
      <c r="AG1799" t="str">
        <f>IF(AND(AD1799=1,N(W1799)&lt;p_alert),ROUND(W1799,4),"")</f>
        <v/>
      </c>
      <c r="AH1799" t="str">
        <f>IF(AG1799="","",COUNTIF(sj_akey,"&lt;"&amp;AG1799)+COUNTIF($AG$6:AG1799,AG1799))</f>
        <v/>
      </c>
    </row>
    <row r="1800">
      <c r="A1800" s="51" t="n"/>
      <c r="B1800" s="52" t="n"/>
      <c r="C1800" s="52" t="n"/>
      <c r="D1800" s="53" t="n"/>
      <c r="E1800" s="53" t="n"/>
      <c r="F1800" s="54" t="n"/>
      <c r="G1800" s="54" t="n"/>
      <c r="H1800" s="54" t="n"/>
      <c r="I1800" s="54" t="n"/>
      <c r="J1800" s="53" t="n"/>
      <c r="K1800" s="55" t="str">
        <f>IF(COUNTA(A1800:I1800)=0,"",IF(F1800="",IFERROR(INDEX(eq_dur,MATCH(B1800,eq_code,0)),""),F1800))</f>
        <v/>
      </c>
      <c r="L1800" s="55" t="str">
        <f>IF(ISNUMBER(K1800),N(IFERROR(INDEX(eq_pause,MATCH(B1800,eq_code,0)),0))+SUMIFS(st_min,st_date,A1800,st_eq,B1800,st_po,C1800,st_type,"Planifié"),"")</f>
        <v/>
      </c>
      <c r="M1800" s="55" t="str">
        <f>IF(ISNUMBER(K1800),K1800-L1800,"")</f>
        <v/>
      </c>
      <c r="N1800" s="55" t="str">
        <f>IF(ISNUMBER(K1800),SUMIFS(st_min,st_date,A1800,st_eq,B1800,st_po,C1800,st_type,"Non planifié"),"")</f>
        <v/>
      </c>
      <c r="O1800" s="55" t="str">
        <f>IF(ISNUMBER(K1800),M1800-N1800,"")</f>
        <v/>
      </c>
      <c r="P1800" s="55" t="str">
        <f>IF(COUNTA(A1800:I1800)=0,"",N(G1800)+N(H1800)+N(I1800))</f>
        <v/>
      </c>
      <c r="Q1800" s="56" t="str">
        <f>IF(COUNTA(A1800:I1800)=0,"",IF(N(IFERROR(INDEX(art_rate,MATCH(E1800,art_ref,0)),0))&gt;0,N(IFERROR(INDEX(art_rate,MATCH(E1800,art_ref,0)),0)),N(IFERROR(INDEX(po_rate,MATCH(C1800,po_code,0)),0))))</f>
        <v/>
      </c>
      <c r="R1800" s="55" t="str">
        <f>IF(AC1800=1,P1800*60/Q1800,"")</f>
        <v/>
      </c>
      <c r="S1800" s="55" t="str">
        <f>IF(AC1800=1,N(G1800)*60/Q1800,"")</f>
        <v/>
      </c>
      <c r="T1800" s="57" t="str">
        <f>IF(AC1800=1,O1800/M1800,"")</f>
        <v/>
      </c>
      <c r="U1800" s="57" t="str">
        <f>IF(AC1800=1,IF(O1800&gt;0,R1800/O1800,""),"")</f>
        <v/>
      </c>
      <c r="V1800" s="57" t="str">
        <f>IF(AC1800=1,IF(P1800&gt;0,N(G1800)/P1800,""),"")</f>
        <v/>
      </c>
      <c r="W1800" s="57" t="str">
        <f>IF(AC1800=1,S1800/M1800,"")</f>
        <v/>
      </c>
      <c r="X1800" s="57" t="str">
        <f>IF(AC1800=1,S1800/K1800,"")</f>
        <v/>
      </c>
      <c r="Y1800" s="58" t="str">
        <f>IF(W1800="","",IF(W1800&gt;=p_target,"Bon",IF(W1800&gt;=p_alert,"À surveiller","Faible")))</f>
        <v/>
      </c>
      <c r="Z1800" s="58" t="str">
        <f>IF(W1800="","",IF(MIN(IF(T1800="",1,T1800),IF(U1800="",1,U1800),IF(V1800="",1,V1800))&gt;=1,"Aucune",IF(IF(T1800="",1,T1800)&lt;=MIN(IF(U1800="",1,U1800),IF(V1800="",1,V1800)),"Disponibilité",IF(IF(U1800="",1,U1800)&lt;=IF(V1800="",1,V1800),"Performance","Qualité"))))</f>
        <v/>
      </c>
      <c r="AA1800" s="59" t="str">
        <f>IF(AC1800=1,N(H1800)*N(IFERROR(INDEX(art_cost,MATCH(E1800,art_ref,0)),0)),"")</f>
        <v/>
      </c>
      <c r="AB1800" s="58" t="str">
        <f>IF(COUNTA(A1800:I1800)=0,"",IF(N(A1800)&lt;=0,"Date manquante ou invalide",IF(B1800="","Équipe manquante",IF(ISNA(MATCH(B1800,eq_code,0)),"Équipe inconnue",IF(INDEX(eq_check,MATCH(B1800,eq_code,0))&lt;&gt;"OK","Équipe à corriger dans Paramètres",IF(C1800="","Poste manquant",IF(ISNA(MATCH(C1800,po_code,0)),"Poste inconnu",IF(AND(E1800&lt;&gt;"",ISNA(MATCH(E1800,art_ref,0))),"Article inconnu",IF(IF(E1800="",FALSE,INDEX(art_check,MATCH(E1800,art_ref,0))&lt;&gt;"OK"),"Article à corriger (feuille Articles)",IF(COUNTIFS(sj_date,A1800,sj_eq,B1800,sj_po,C1800)&gt;1,"Ligne en double (même jour, équipe et poste)",IF(OR(NOT(ISNUMBER(K1800)),N(K1800)&lt;=0,N(K1800)&gt;1440),"Temps d'ouverture invalide",IF(OR(AND(G1800&lt;&gt;"",NOT(ISNUMBER(G1800))),N(G1800)&lt;0,N(G1800)&lt;&gt;INT(N(G1800)),AND(H1800&lt;&gt;"",NOT(ISNUMBER(H1800))),N(H1800)&lt;0,N(H1800)&lt;&gt;INT(N(H1800)),AND(I1800&lt;&gt;"",NOT(ISNUMBER(I1800))),N(I1800)&lt;0,N(I1800)&lt;&gt;INT(N(I1800))),"Quantité invalide",IF(Q1800&lt;=0,"Cadence manquante (poste ou article)",IF(M1800&lt;=0,"Arrêts planifiés supérieurs au temps d'ouverture",IF(O1800&lt;0,"Arrêts supérieurs au temps requis",IF(AND(P1800&gt;0,O1800=0),"Pièces déclarées sans temps de marche",IF(AND(P1800=0,O1800&gt;0),"Aucune pièce déclarée",IF(P1800*60/Q1800&gt;O1800+0.001,"Cadence dépassée : vérifiez la cadence","OK"))))))))))))))))))</f>
        <v/>
      </c>
      <c r="AC1800">
        <f>IF(OR(AB1800="OK",AB1800="Aucune pièce déclarée",AB1800="Cadence dépassée : vérifiez la cadence"),1,0)</f>
        <v>0.0</v>
      </c>
      <c r="AD1800">
        <f>IF(AND(AC1800=1,A1800&gt;=p_from,A1800&lt;=p_to),1,0)</f>
        <v>0.0</v>
      </c>
      <c r="AE1800">
        <f>IF(AD1800=1,IF(COUNTIFS($A$6:A1800,A1800,$AD$6:AD1800,1)=1,1,0),0)</f>
        <v>0.0</v>
      </c>
      <c r="AF1800" t="str">
        <f>IF(AE1800=1,COUNTIFS(sj_first,1,sj_date,"&lt;"&amp;A1800)+1,"")</f>
        <v/>
      </c>
      <c r="AG1800" t="str">
        <f>IF(AND(AD1800=1,N(W1800)&lt;p_alert),ROUND(W1800,4),"")</f>
        <v/>
      </c>
      <c r="AH1800" t="str">
        <f>IF(AG1800="","",COUNTIF(sj_akey,"&lt;"&amp;AG1800)+COUNTIF($AG$6:AG1800,AG1800))</f>
        <v/>
      </c>
    </row>
    <row r="1801">
      <c r="A1801" s="51" t="n"/>
      <c r="B1801" s="52" t="n"/>
      <c r="C1801" s="52" t="n"/>
      <c r="D1801" s="53" t="n"/>
      <c r="E1801" s="53" t="n"/>
      <c r="F1801" s="54" t="n"/>
      <c r="G1801" s="54" t="n"/>
      <c r="H1801" s="54" t="n"/>
      <c r="I1801" s="54" t="n"/>
      <c r="J1801" s="53" t="n"/>
      <c r="K1801" s="55" t="str">
        <f>IF(COUNTA(A1801:I1801)=0,"",IF(F1801="",IFERROR(INDEX(eq_dur,MATCH(B1801,eq_code,0)),""),F1801))</f>
        <v/>
      </c>
      <c r="L1801" s="55" t="str">
        <f>IF(ISNUMBER(K1801),N(IFERROR(INDEX(eq_pause,MATCH(B1801,eq_code,0)),0))+SUMIFS(st_min,st_date,A1801,st_eq,B1801,st_po,C1801,st_type,"Planifié"),"")</f>
        <v/>
      </c>
      <c r="M1801" s="55" t="str">
        <f>IF(ISNUMBER(K1801),K1801-L1801,"")</f>
        <v/>
      </c>
      <c r="N1801" s="55" t="str">
        <f>IF(ISNUMBER(K1801),SUMIFS(st_min,st_date,A1801,st_eq,B1801,st_po,C1801,st_type,"Non planifié"),"")</f>
        <v/>
      </c>
      <c r="O1801" s="55" t="str">
        <f>IF(ISNUMBER(K1801),M1801-N1801,"")</f>
        <v/>
      </c>
      <c r="P1801" s="55" t="str">
        <f>IF(COUNTA(A1801:I1801)=0,"",N(G1801)+N(H1801)+N(I1801))</f>
        <v/>
      </c>
      <c r="Q1801" s="56" t="str">
        <f>IF(COUNTA(A1801:I1801)=0,"",IF(N(IFERROR(INDEX(art_rate,MATCH(E1801,art_ref,0)),0))&gt;0,N(IFERROR(INDEX(art_rate,MATCH(E1801,art_ref,0)),0)),N(IFERROR(INDEX(po_rate,MATCH(C1801,po_code,0)),0))))</f>
        <v/>
      </c>
      <c r="R1801" s="55" t="str">
        <f>IF(AC1801=1,P1801*60/Q1801,"")</f>
        <v/>
      </c>
      <c r="S1801" s="55" t="str">
        <f>IF(AC1801=1,N(G1801)*60/Q1801,"")</f>
        <v/>
      </c>
      <c r="T1801" s="57" t="str">
        <f>IF(AC1801=1,O1801/M1801,"")</f>
        <v/>
      </c>
      <c r="U1801" s="57" t="str">
        <f>IF(AC1801=1,IF(O1801&gt;0,R1801/O1801,""),"")</f>
        <v/>
      </c>
      <c r="V1801" s="57" t="str">
        <f>IF(AC1801=1,IF(P1801&gt;0,N(G1801)/P1801,""),"")</f>
        <v/>
      </c>
      <c r="W1801" s="57" t="str">
        <f>IF(AC1801=1,S1801/M1801,"")</f>
        <v/>
      </c>
      <c r="X1801" s="57" t="str">
        <f>IF(AC1801=1,S1801/K1801,"")</f>
        <v/>
      </c>
      <c r="Y1801" s="58" t="str">
        <f>IF(W1801="","",IF(W1801&gt;=p_target,"Bon",IF(W1801&gt;=p_alert,"À surveiller","Faible")))</f>
        <v/>
      </c>
      <c r="Z1801" s="58" t="str">
        <f>IF(W1801="","",IF(MIN(IF(T1801="",1,T1801),IF(U1801="",1,U1801),IF(V1801="",1,V1801))&gt;=1,"Aucune",IF(IF(T1801="",1,T1801)&lt;=MIN(IF(U1801="",1,U1801),IF(V1801="",1,V1801)),"Disponibilité",IF(IF(U1801="",1,U1801)&lt;=IF(V1801="",1,V1801),"Performance","Qualité"))))</f>
        <v/>
      </c>
      <c r="AA1801" s="59" t="str">
        <f>IF(AC1801=1,N(H1801)*N(IFERROR(INDEX(art_cost,MATCH(E1801,art_ref,0)),0)),"")</f>
        <v/>
      </c>
      <c r="AB1801" s="58" t="str">
        <f>IF(COUNTA(A1801:I1801)=0,"",IF(N(A1801)&lt;=0,"Date manquante ou invalide",IF(B1801="","Équipe manquante",IF(ISNA(MATCH(B1801,eq_code,0)),"Équipe inconnue",IF(INDEX(eq_check,MATCH(B1801,eq_code,0))&lt;&gt;"OK","Équipe à corriger dans Paramètres",IF(C1801="","Poste manquant",IF(ISNA(MATCH(C1801,po_code,0)),"Poste inconnu",IF(AND(E1801&lt;&gt;"",ISNA(MATCH(E1801,art_ref,0))),"Article inconnu",IF(IF(E1801="",FALSE,INDEX(art_check,MATCH(E1801,art_ref,0))&lt;&gt;"OK"),"Article à corriger (feuille Articles)",IF(COUNTIFS(sj_date,A1801,sj_eq,B1801,sj_po,C1801)&gt;1,"Ligne en double (même jour, équipe et poste)",IF(OR(NOT(ISNUMBER(K1801)),N(K1801)&lt;=0,N(K1801)&gt;1440),"Temps d'ouverture invalide",IF(OR(AND(G1801&lt;&gt;"",NOT(ISNUMBER(G1801))),N(G1801)&lt;0,N(G1801)&lt;&gt;INT(N(G1801)),AND(H1801&lt;&gt;"",NOT(ISNUMBER(H1801))),N(H1801)&lt;0,N(H1801)&lt;&gt;INT(N(H1801)),AND(I1801&lt;&gt;"",NOT(ISNUMBER(I1801))),N(I1801)&lt;0,N(I1801)&lt;&gt;INT(N(I1801))),"Quantité invalide",IF(Q1801&lt;=0,"Cadence manquante (poste ou article)",IF(M1801&lt;=0,"Arrêts planifiés supérieurs au temps d'ouverture",IF(O1801&lt;0,"Arrêts supérieurs au temps requis",IF(AND(P1801&gt;0,O1801=0),"Pièces déclarées sans temps de marche",IF(AND(P1801=0,O1801&gt;0),"Aucune pièce déclarée",IF(P1801*60/Q1801&gt;O1801+0.001,"Cadence dépassée : vérifiez la cadence","OK"))))))))))))))))))</f>
        <v/>
      </c>
      <c r="AC1801">
        <f>IF(OR(AB1801="OK",AB1801="Aucune pièce déclarée",AB1801="Cadence dépassée : vérifiez la cadence"),1,0)</f>
        <v>0.0</v>
      </c>
      <c r="AD1801">
        <f>IF(AND(AC1801=1,A1801&gt;=p_from,A1801&lt;=p_to),1,0)</f>
        <v>0.0</v>
      </c>
      <c r="AE1801">
        <f>IF(AD1801=1,IF(COUNTIFS($A$6:A1801,A1801,$AD$6:AD1801,1)=1,1,0),0)</f>
        <v>0.0</v>
      </c>
      <c r="AF1801" t="str">
        <f>IF(AE1801=1,COUNTIFS(sj_first,1,sj_date,"&lt;"&amp;A1801)+1,"")</f>
        <v/>
      </c>
      <c r="AG1801" t="str">
        <f>IF(AND(AD1801=1,N(W1801)&lt;p_alert),ROUND(W1801,4),"")</f>
        <v/>
      </c>
      <c r="AH1801" t="str">
        <f>IF(AG1801="","",COUNTIF(sj_akey,"&lt;"&amp;AG1801)+COUNTIF($AG$6:AG1801,AG1801))</f>
        <v/>
      </c>
    </row>
    <row r="1802">
      <c r="A1802" s="51" t="n"/>
      <c r="B1802" s="52" t="n"/>
      <c r="C1802" s="52" t="n"/>
      <c r="D1802" s="53" t="n"/>
      <c r="E1802" s="53" t="n"/>
      <c r="F1802" s="54" t="n"/>
      <c r="G1802" s="54" t="n"/>
      <c r="H1802" s="54" t="n"/>
      <c r="I1802" s="54" t="n"/>
      <c r="J1802" s="53" t="n"/>
      <c r="K1802" s="55" t="str">
        <f>IF(COUNTA(A1802:I1802)=0,"",IF(F1802="",IFERROR(INDEX(eq_dur,MATCH(B1802,eq_code,0)),""),F1802))</f>
        <v/>
      </c>
      <c r="L1802" s="55" t="str">
        <f>IF(ISNUMBER(K1802),N(IFERROR(INDEX(eq_pause,MATCH(B1802,eq_code,0)),0))+SUMIFS(st_min,st_date,A1802,st_eq,B1802,st_po,C1802,st_type,"Planifié"),"")</f>
        <v/>
      </c>
      <c r="M1802" s="55" t="str">
        <f>IF(ISNUMBER(K1802),K1802-L1802,"")</f>
        <v/>
      </c>
      <c r="N1802" s="55" t="str">
        <f>IF(ISNUMBER(K1802),SUMIFS(st_min,st_date,A1802,st_eq,B1802,st_po,C1802,st_type,"Non planifié"),"")</f>
        <v/>
      </c>
      <c r="O1802" s="55" t="str">
        <f>IF(ISNUMBER(K1802),M1802-N1802,"")</f>
        <v/>
      </c>
      <c r="P1802" s="55" t="str">
        <f>IF(COUNTA(A1802:I1802)=0,"",N(G1802)+N(H1802)+N(I1802))</f>
        <v/>
      </c>
      <c r="Q1802" s="56" t="str">
        <f>IF(COUNTA(A1802:I1802)=0,"",IF(N(IFERROR(INDEX(art_rate,MATCH(E1802,art_ref,0)),0))&gt;0,N(IFERROR(INDEX(art_rate,MATCH(E1802,art_ref,0)),0)),N(IFERROR(INDEX(po_rate,MATCH(C1802,po_code,0)),0))))</f>
        <v/>
      </c>
      <c r="R1802" s="55" t="str">
        <f>IF(AC1802=1,P1802*60/Q1802,"")</f>
        <v/>
      </c>
      <c r="S1802" s="55" t="str">
        <f>IF(AC1802=1,N(G1802)*60/Q1802,"")</f>
        <v/>
      </c>
      <c r="T1802" s="57" t="str">
        <f>IF(AC1802=1,O1802/M1802,"")</f>
        <v/>
      </c>
      <c r="U1802" s="57" t="str">
        <f>IF(AC1802=1,IF(O1802&gt;0,R1802/O1802,""),"")</f>
        <v/>
      </c>
      <c r="V1802" s="57" t="str">
        <f>IF(AC1802=1,IF(P1802&gt;0,N(G1802)/P1802,""),"")</f>
        <v/>
      </c>
      <c r="W1802" s="57" t="str">
        <f>IF(AC1802=1,S1802/M1802,"")</f>
        <v/>
      </c>
      <c r="X1802" s="57" t="str">
        <f>IF(AC1802=1,S1802/K1802,"")</f>
        <v/>
      </c>
      <c r="Y1802" s="58" t="str">
        <f>IF(W1802="","",IF(W1802&gt;=p_target,"Bon",IF(W1802&gt;=p_alert,"À surveiller","Faible")))</f>
        <v/>
      </c>
      <c r="Z1802" s="58" t="str">
        <f>IF(W1802="","",IF(MIN(IF(T1802="",1,T1802),IF(U1802="",1,U1802),IF(V1802="",1,V1802))&gt;=1,"Aucune",IF(IF(T1802="",1,T1802)&lt;=MIN(IF(U1802="",1,U1802),IF(V1802="",1,V1802)),"Disponibilité",IF(IF(U1802="",1,U1802)&lt;=IF(V1802="",1,V1802),"Performance","Qualité"))))</f>
        <v/>
      </c>
      <c r="AA1802" s="59" t="str">
        <f>IF(AC1802=1,N(H1802)*N(IFERROR(INDEX(art_cost,MATCH(E1802,art_ref,0)),0)),"")</f>
        <v/>
      </c>
      <c r="AB1802" s="58" t="str">
        <f>IF(COUNTA(A1802:I1802)=0,"",IF(N(A1802)&lt;=0,"Date manquante ou invalide",IF(B1802="","Équipe manquante",IF(ISNA(MATCH(B1802,eq_code,0)),"Équipe inconnue",IF(INDEX(eq_check,MATCH(B1802,eq_code,0))&lt;&gt;"OK","Équipe à corriger dans Paramètres",IF(C1802="","Poste manquant",IF(ISNA(MATCH(C1802,po_code,0)),"Poste inconnu",IF(AND(E1802&lt;&gt;"",ISNA(MATCH(E1802,art_ref,0))),"Article inconnu",IF(IF(E1802="",FALSE,INDEX(art_check,MATCH(E1802,art_ref,0))&lt;&gt;"OK"),"Article à corriger (feuille Articles)",IF(COUNTIFS(sj_date,A1802,sj_eq,B1802,sj_po,C1802)&gt;1,"Ligne en double (même jour, équipe et poste)",IF(OR(NOT(ISNUMBER(K1802)),N(K1802)&lt;=0,N(K1802)&gt;1440),"Temps d'ouverture invalide",IF(OR(AND(G1802&lt;&gt;"",NOT(ISNUMBER(G1802))),N(G1802)&lt;0,N(G1802)&lt;&gt;INT(N(G1802)),AND(H1802&lt;&gt;"",NOT(ISNUMBER(H1802))),N(H1802)&lt;0,N(H1802)&lt;&gt;INT(N(H1802)),AND(I1802&lt;&gt;"",NOT(ISNUMBER(I1802))),N(I1802)&lt;0,N(I1802)&lt;&gt;INT(N(I1802))),"Quantité invalide",IF(Q1802&lt;=0,"Cadence manquante (poste ou article)",IF(M1802&lt;=0,"Arrêts planifiés supérieurs au temps d'ouverture",IF(O1802&lt;0,"Arrêts supérieurs au temps requis",IF(AND(P1802&gt;0,O1802=0),"Pièces déclarées sans temps de marche",IF(AND(P1802=0,O1802&gt;0),"Aucune pièce déclarée",IF(P1802*60/Q1802&gt;O1802+0.001,"Cadence dépassée : vérifiez la cadence","OK"))))))))))))))))))</f>
        <v/>
      </c>
      <c r="AC1802">
        <f>IF(OR(AB1802="OK",AB1802="Aucune pièce déclarée",AB1802="Cadence dépassée : vérifiez la cadence"),1,0)</f>
        <v>0.0</v>
      </c>
      <c r="AD1802">
        <f>IF(AND(AC1802=1,A1802&gt;=p_from,A1802&lt;=p_to),1,0)</f>
        <v>0.0</v>
      </c>
      <c r="AE1802">
        <f>IF(AD1802=1,IF(COUNTIFS($A$6:A1802,A1802,$AD$6:AD1802,1)=1,1,0),0)</f>
        <v>0.0</v>
      </c>
      <c r="AF1802" t="str">
        <f>IF(AE1802=1,COUNTIFS(sj_first,1,sj_date,"&lt;"&amp;A1802)+1,"")</f>
        <v/>
      </c>
      <c r="AG1802" t="str">
        <f>IF(AND(AD1802=1,N(W1802)&lt;p_alert),ROUND(W1802,4),"")</f>
        <v/>
      </c>
      <c r="AH1802" t="str">
        <f>IF(AG1802="","",COUNTIF(sj_akey,"&lt;"&amp;AG1802)+COUNTIF($AG$6:AG1802,AG1802))</f>
        <v/>
      </c>
    </row>
    <row r="1803">
      <c r="A1803" s="51" t="n"/>
      <c r="B1803" s="52" t="n"/>
      <c r="C1803" s="52" t="n"/>
      <c r="D1803" s="53" t="n"/>
      <c r="E1803" s="53" t="n"/>
      <c r="F1803" s="54" t="n"/>
      <c r="G1803" s="54" t="n"/>
      <c r="H1803" s="54" t="n"/>
      <c r="I1803" s="54" t="n"/>
      <c r="J1803" s="53" t="n"/>
      <c r="K1803" s="55" t="str">
        <f>IF(COUNTA(A1803:I1803)=0,"",IF(F1803="",IFERROR(INDEX(eq_dur,MATCH(B1803,eq_code,0)),""),F1803))</f>
        <v/>
      </c>
      <c r="L1803" s="55" t="str">
        <f>IF(ISNUMBER(K1803),N(IFERROR(INDEX(eq_pause,MATCH(B1803,eq_code,0)),0))+SUMIFS(st_min,st_date,A1803,st_eq,B1803,st_po,C1803,st_type,"Planifié"),"")</f>
        <v/>
      </c>
      <c r="M1803" s="55" t="str">
        <f>IF(ISNUMBER(K1803),K1803-L1803,"")</f>
        <v/>
      </c>
      <c r="N1803" s="55" t="str">
        <f>IF(ISNUMBER(K1803),SUMIFS(st_min,st_date,A1803,st_eq,B1803,st_po,C1803,st_type,"Non planifié"),"")</f>
        <v/>
      </c>
      <c r="O1803" s="55" t="str">
        <f>IF(ISNUMBER(K1803),M1803-N1803,"")</f>
        <v/>
      </c>
      <c r="P1803" s="55" t="str">
        <f>IF(COUNTA(A1803:I1803)=0,"",N(G1803)+N(H1803)+N(I1803))</f>
        <v/>
      </c>
      <c r="Q1803" s="56" t="str">
        <f>IF(COUNTA(A1803:I1803)=0,"",IF(N(IFERROR(INDEX(art_rate,MATCH(E1803,art_ref,0)),0))&gt;0,N(IFERROR(INDEX(art_rate,MATCH(E1803,art_ref,0)),0)),N(IFERROR(INDEX(po_rate,MATCH(C1803,po_code,0)),0))))</f>
        <v/>
      </c>
      <c r="R1803" s="55" t="str">
        <f>IF(AC1803=1,P1803*60/Q1803,"")</f>
        <v/>
      </c>
      <c r="S1803" s="55" t="str">
        <f>IF(AC1803=1,N(G1803)*60/Q1803,"")</f>
        <v/>
      </c>
      <c r="T1803" s="57" t="str">
        <f>IF(AC1803=1,O1803/M1803,"")</f>
        <v/>
      </c>
      <c r="U1803" s="57" t="str">
        <f>IF(AC1803=1,IF(O1803&gt;0,R1803/O1803,""),"")</f>
        <v/>
      </c>
      <c r="V1803" s="57" t="str">
        <f>IF(AC1803=1,IF(P1803&gt;0,N(G1803)/P1803,""),"")</f>
        <v/>
      </c>
      <c r="W1803" s="57" t="str">
        <f>IF(AC1803=1,S1803/M1803,"")</f>
        <v/>
      </c>
      <c r="X1803" s="57" t="str">
        <f>IF(AC1803=1,S1803/K1803,"")</f>
        <v/>
      </c>
      <c r="Y1803" s="58" t="str">
        <f>IF(W1803="","",IF(W1803&gt;=p_target,"Bon",IF(W1803&gt;=p_alert,"À surveiller","Faible")))</f>
        <v/>
      </c>
      <c r="Z1803" s="58" t="str">
        <f>IF(W1803="","",IF(MIN(IF(T1803="",1,T1803),IF(U1803="",1,U1803),IF(V1803="",1,V1803))&gt;=1,"Aucune",IF(IF(T1803="",1,T1803)&lt;=MIN(IF(U1803="",1,U1803),IF(V1803="",1,V1803)),"Disponibilité",IF(IF(U1803="",1,U1803)&lt;=IF(V1803="",1,V1803),"Performance","Qualité"))))</f>
        <v/>
      </c>
      <c r="AA1803" s="59" t="str">
        <f>IF(AC1803=1,N(H1803)*N(IFERROR(INDEX(art_cost,MATCH(E1803,art_ref,0)),0)),"")</f>
        <v/>
      </c>
      <c r="AB1803" s="58" t="str">
        <f>IF(COUNTA(A1803:I1803)=0,"",IF(N(A1803)&lt;=0,"Date manquante ou invalide",IF(B1803="","Équipe manquante",IF(ISNA(MATCH(B1803,eq_code,0)),"Équipe inconnue",IF(INDEX(eq_check,MATCH(B1803,eq_code,0))&lt;&gt;"OK","Équipe à corriger dans Paramètres",IF(C1803="","Poste manquant",IF(ISNA(MATCH(C1803,po_code,0)),"Poste inconnu",IF(AND(E1803&lt;&gt;"",ISNA(MATCH(E1803,art_ref,0))),"Article inconnu",IF(IF(E1803="",FALSE,INDEX(art_check,MATCH(E1803,art_ref,0))&lt;&gt;"OK"),"Article à corriger (feuille Articles)",IF(COUNTIFS(sj_date,A1803,sj_eq,B1803,sj_po,C1803)&gt;1,"Ligne en double (même jour, équipe et poste)",IF(OR(NOT(ISNUMBER(K1803)),N(K1803)&lt;=0,N(K1803)&gt;1440),"Temps d'ouverture invalide",IF(OR(AND(G1803&lt;&gt;"",NOT(ISNUMBER(G1803))),N(G1803)&lt;0,N(G1803)&lt;&gt;INT(N(G1803)),AND(H1803&lt;&gt;"",NOT(ISNUMBER(H1803))),N(H1803)&lt;0,N(H1803)&lt;&gt;INT(N(H1803)),AND(I1803&lt;&gt;"",NOT(ISNUMBER(I1803))),N(I1803)&lt;0,N(I1803)&lt;&gt;INT(N(I1803))),"Quantité invalide",IF(Q1803&lt;=0,"Cadence manquante (poste ou article)",IF(M1803&lt;=0,"Arrêts planifiés supérieurs au temps d'ouverture",IF(O1803&lt;0,"Arrêts supérieurs au temps requis",IF(AND(P1803&gt;0,O1803=0),"Pièces déclarées sans temps de marche",IF(AND(P1803=0,O1803&gt;0),"Aucune pièce déclarée",IF(P1803*60/Q1803&gt;O1803+0.001,"Cadence dépassée : vérifiez la cadence","OK"))))))))))))))))))</f>
        <v/>
      </c>
      <c r="AC1803">
        <f>IF(OR(AB1803="OK",AB1803="Aucune pièce déclarée",AB1803="Cadence dépassée : vérifiez la cadence"),1,0)</f>
        <v>0.0</v>
      </c>
      <c r="AD1803">
        <f>IF(AND(AC1803=1,A1803&gt;=p_from,A1803&lt;=p_to),1,0)</f>
        <v>0.0</v>
      </c>
      <c r="AE1803">
        <f>IF(AD1803=1,IF(COUNTIFS($A$6:A1803,A1803,$AD$6:AD1803,1)=1,1,0),0)</f>
        <v>0.0</v>
      </c>
      <c r="AF1803" t="str">
        <f>IF(AE1803=1,COUNTIFS(sj_first,1,sj_date,"&lt;"&amp;A1803)+1,"")</f>
        <v/>
      </c>
      <c r="AG1803" t="str">
        <f>IF(AND(AD1803=1,N(W1803)&lt;p_alert),ROUND(W1803,4),"")</f>
        <v/>
      </c>
      <c r="AH1803" t="str">
        <f>IF(AG1803="","",COUNTIF(sj_akey,"&lt;"&amp;AG1803)+COUNTIF($AG$6:AG1803,AG1803))</f>
        <v/>
      </c>
    </row>
    <row r="1804">
      <c r="A1804" s="51" t="n"/>
      <c r="B1804" s="52" t="n"/>
      <c r="C1804" s="52" t="n"/>
      <c r="D1804" s="53" t="n"/>
      <c r="E1804" s="53" t="n"/>
      <c r="F1804" s="54" t="n"/>
      <c r="G1804" s="54" t="n"/>
      <c r="H1804" s="54" t="n"/>
      <c r="I1804" s="54" t="n"/>
      <c r="J1804" s="53" t="n"/>
      <c r="K1804" s="55" t="str">
        <f>IF(COUNTA(A1804:I1804)=0,"",IF(F1804="",IFERROR(INDEX(eq_dur,MATCH(B1804,eq_code,0)),""),F1804))</f>
        <v/>
      </c>
      <c r="L1804" s="55" t="str">
        <f>IF(ISNUMBER(K1804),N(IFERROR(INDEX(eq_pause,MATCH(B1804,eq_code,0)),0))+SUMIFS(st_min,st_date,A1804,st_eq,B1804,st_po,C1804,st_type,"Planifié"),"")</f>
        <v/>
      </c>
      <c r="M1804" s="55" t="str">
        <f>IF(ISNUMBER(K1804),K1804-L1804,"")</f>
        <v/>
      </c>
      <c r="N1804" s="55" t="str">
        <f>IF(ISNUMBER(K1804),SUMIFS(st_min,st_date,A1804,st_eq,B1804,st_po,C1804,st_type,"Non planifié"),"")</f>
        <v/>
      </c>
      <c r="O1804" s="55" t="str">
        <f>IF(ISNUMBER(K1804),M1804-N1804,"")</f>
        <v/>
      </c>
      <c r="P1804" s="55" t="str">
        <f>IF(COUNTA(A1804:I1804)=0,"",N(G1804)+N(H1804)+N(I1804))</f>
        <v/>
      </c>
      <c r="Q1804" s="56" t="str">
        <f>IF(COUNTA(A1804:I1804)=0,"",IF(N(IFERROR(INDEX(art_rate,MATCH(E1804,art_ref,0)),0))&gt;0,N(IFERROR(INDEX(art_rate,MATCH(E1804,art_ref,0)),0)),N(IFERROR(INDEX(po_rate,MATCH(C1804,po_code,0)),0))))</f>
        <v/>
      </c>
      <c r="R1804" s="55" t="str">
        <f>IF(AC1804=1,P1804*60/Q1804,"")</f>
        <v/>
      </c>
      <c r="S1804" s="55" t="str">
        <f>IF(AC1804=1,N(G1804)*60/Q1804,"")</f>
        <v/>
      </c>
      <c r="T1804" s="57" t="str">
        <f>IF(AC1804=1,O1804/M1804,"")</f>
        <v/>
      </c>
      <c r="U1804" s="57" t="str">
        <f>IF(AC1804=1,IF(O1804&gt;0,R1804/O1804,""),"")</f>
        <v/>
      </c>
      <c r="V1804" s="57" t="str">
        <f>IF(AC1804=1,IF(P1804&gt;0,N(G1804)/P1804,""),"")</f>
        <v/>
      </c>
      <c r="W1804" s="57" t="str">
        <f>IF(AC1804=1,S1804/M1804,"")</f>
        <v/>
      </c>
      <c r="X1804" s="57" t="str">
        <f>IF(AC1804=1,S1804/K1804,"")</f>
        <v/>
      </c>
      <c r="Y1804" s="58" t="str">
        <f>IF(W1804="","",IF(W1804&gt;=p_target,"Bon",IF(W1804&gt;=p_alert,"À surveiller","Faible")))</f>
        <v/>
      </c>
      <c r="Z1804" s="58" t="str">
        <f>IF(W1804="","",IF(MIN(IF(T1804="",1,T1804),IF(U1804="",1,U1804),IF(V1804="",1,V1804))&gt;=1,"Aucune",IF(IF(T1804="",1,T1804)&lt;=MIN(IF(U1804="",1,U1804),IF(V1804="",1,V1804)),"Disponibilité",IF(IF(U1804="",1,U1804)&lt;=IF(V1804="",1,V1804),"Performance","Qualité"))))</f>
        <v/>
      </c>
      <c r="AA1804" s="59" t="str">
        <f>IF(AC1804=1,N(H1804)*N(IFERROR(INDEX(art_cost,MATCH(E1804,art_ref,0)),0)),"")</f>
        <v/>
      </c>
      <c r="AB1804" s="58" t="str">
        <f>IF(COUNTA(A1804:I1804)=0,"",IF(N(A1804)&lt;=0,"Date manquante ou invalide",IF(B1804="","Équipe manquante",IF(ISNA(MATCH(B1804,eq_code,0)),"Équipe inconnue",IF(INDEX(eq_check,MATCH(B1804,eq_code,0))&lt;&gt;"OK","Équipe à corriger dans Paramètres",IF(C1804="","Poste manquant",IF(ISNA(MATCH(C1804,po_code,0)),"Poste inconnu",IF(AND(E1804&lt;&gt;"",ISNA(MATCH(E1804,art_ref,0))),"Article inconnu",IF(IF(E1804="",FALSE,INDEX(art_check,MATCH(E1804,art_ref,0))&lt;&gt;"OK"),"Article à corriger (feuille Articles)",IF(COUNTIFS(sj_date,A1804,sj_eq,B1804,sj_po,C1804)&gt;1,"Ligne en double (même jour, équipe et poste)",IF(OR(NOT(ISNUMBER(K1804)),N(K1804)&lt;=0,N(K1804)&gt;1440),"Temps d'ouverture invalide",IF(OR(AND(G1804&lt;&gt;"",NOT(ISNUMBER(G1804))),N(G1804)&lt;0,N(G1804)&lt;&gt;INT(N(G1804)),AND(H1804&lt;&gt;"",NOT(ISNUMBER(H1804))),N(H1804)&lt;0,N(H1804)&lt;&gt;INT(N(H1804)),AND(I1804&lt;&gt;"",NOT(ISNUMBER(I1804))),N(I1804)&lt;0,N(I1804)&lt;&gt;INT(N(I1804))),"Quantité invalide",IF(Q1804&lt;=0,"Cadence manquante (poste ou article)",IF(M1804&lt;=0,"Arrêts planifiés supérieurs au temps d'ouverture",IF(O1804&lt;0,"Arrêts supérieurs au temps requis",IF(AND(P1804&gt;0,O1804=0),"Pièces déclarées sans temps de marche",IF(AND(P1804=0,O1804&gt;0),"Aucune pièce déclarée",IF(P1804*60/Q1804&gt;O1804+0.001,"Cadence dépassée : vérifiez la cadence","OK"))))))))))))))))))</f>
        <v/>
      </c>
      <c r="AC1804">
        <f>IF(OR(AB1804="OK",AB1804="Aucune pièce déclarée",AB1804="Cadence dépassée : vérifiez la cadence"),1,0)</f>
        <v>0.0</v>
      </c>
      <c r="AD1804">
        <f>IF(AND(AC1804=1,A1804&gt;=p_from,A1804&lt;=p_to),1,0)</f>
        <v>0.0</v>
      </c>
      <c r="AE1804">
        <f>IF(AD1804=1,IF(COUNTIFS($A$6:A1804,A1804,$AD$6:AD1804,1)=1,1,0),0)</f>
        <v>0.0</v>
      </c>
      <c r="AF1804" t="str">
        <f>IF(AE1804=1,COUNTIFS(sj_first,1,sj_date,"&lt;"&amp;A1804)+1,"")</f>
        <v/>
      </c>
      <c r="AG1804" t="str">
        <f>IF(AND(AD1804=1,N(W1804)&lt;p_alert),ROUND(W1804,4),"")</f>
        <v/>
      </c>
      <c r="AH1804" t="str">
        <f>IF(AG1804="","",COUNTIF(sj_akey,"&lt;"&amp;AG1804)+COUNTIF($AG$6:AG1804,AG1804))</f>
        <v/>
      </c>
    </row>
    <row r="1805">
      <c r="A1805" s="51" t="n"/>
      <c r="B1805" s="52" t="n"/>
      <c r="C1805" s="52" t="n"/>
      <c r="D1805" s="53" t="n"/>
      <c r="E1805" s="53" t="n"/>
      <c r="F1805" s="54" t="n"/>
      <c r="G1805" s="54" t="n"/>
      <c r="H1805" s="54" t="n"/>
      <c r="I1805" s="54" t="n"/>
      <c r="J1805" s="53" t="n"/>
      <c r="K1805" s="55" t="str">
        <f>IF(COUNTA(A1805:I1805)=0,"",IF(F1805="",IFERROR(INDEX(eq_dur,MATCH(B1805,eq_code,0)),""),F1805))</f>
        <v/>
      </c>
      <c r="L1805" s="55" t="str">
        <f>IF(ISNUMBER(K1805),N(IFERROR(INDEX(eq_pause,MATCH(B1805,eq_code,0)),0))+SUMIFS(st_min,st_date,A1805,st_eq,B1805,st_po,C1805,st_type,"Planifié"),"")</f>
        <v/>
      </c>
      <c r="M1805" s="55" t="str">
        <f>IF(ISNUMBER(K1805),K1805-L1805,"")</f>
        <v/>
      </c>
      <c r="N1805" s="55" t="str">
        <f>IF(ISNUMBER(K1805),SUMIFS(st_min,st_date,A1805,st_eq,B1805,st_po,C1805,st_type,"Non planifié"),"")</f>
        <v/>
      </c>
      <c r="O1805" s="55" t="str">
        <f>IF(ISNUMBER(K1805),M1805-N1805,"")</f>
        <v/>
      </c>
      <c r="P1805" s="55" t="str">
        <f>IF(COUNTA(A1805:I1805)=0,"",N(G1805)+N(H1805)+N(I1805))</f>
        <v/>
      </c>
      <c r="Q1805" s="56" t="str">
        <f>IF(COUNTA(A1805:I1805)=0,"",IF(N(IFERROR(INDEX(art_rate,MATCH(E1805,art_ref,0)),0))&gt;0,N(IFERROR(INDEX(art_rate,MATCH(E1805,art_ref,0)),0)),N(IFERROR(INDEX(po_rate,MATCH(C1805,po_code,0)),0))))</f>
        <v/>
      </c>
      <c r="R1805" s="55" t="str">
        <f>IF(AC1805=1,P1805*60/Q1805,"")</f>
        <v/>
      </c>
      <c r="S1805" s="55" t="str">
        <f>IF(AC1805=1,N(G1805)*60/Q1805,"")</f>
        <v/>
      </c>
      <c r="T1805" s="57" t="str">
        <f>IF(AC1805=1,O1805/M1805,"")</f>
        <v/>
      </c>
      <c r="U1805" s="57" t="str">
        <f>IF(AC1805=1,IF(O1805&gt;0,R1805/O1805,""),"")</f>
        <v/>
      </c>
      <c r="V1805" s="57" t="str">
        <f>IF(AC1805=1,IF(P1805&gt;0,N(G1805)/P1805,""),"")</f>
        <v/>
      </c>
      <c r="W1805" s="57" t="str">
        <f>IF(AC1805=1,S1805/M1805,"")</f>
        <v/>
      </c>
      <c r="X1805" s="57" t="str">
        <f>IF(AC1805=1,S1805/K1805,"")</f>
        <v/>
      </c>
      <c r="Y1805" s="58" t="str">
        <f>IF(W1805="","",IF(W1805&gt;=p_target,"Bon",IF(W1805&gt;=p_alert,"À surveiller","Faible")))</f>
        <v/>
      </c>
      <c r="Z1805" s="58" t="str">
        <f>IF(W1805="","",IF(MIN(IF(T1805="",1,T1805),IF(U1805="",1,U1805),IF(V1805="",1,V1805))&gt;=1,"Aucune",IF(IF(T1805="",1,T1805)&lt;=MIN(IF(U1805="",1,U1805),IF(V1805="",1,V1805)),"Disponibilité",IF(IF(U1805="",1,U1805)&lt;=IF(V1805="",1,V1805),"Performance","Qualité"))))</f>
        <v/>
      </c>
      <c r="AA1805" s="59" t="str">
        <f>IF(AC1805=1,N(H1805)*N(IFERROR(INDEX(art_cost,MATCH(E1805,art_ref,0)),0)),"")</f>
        <v/>
      </c>
      <c r="AB1805" s="58" t="str">
        <f>IF(COUNTA(A1805:I1805)=0,"",IF(N(A1805)&lt;=0,"Date manquante ou invalide",IF(B1805="","Équipe manquante",IF(ISNA(MATCH(B1805,eq_code,0)),"Équipe inconnue",IF(INDEX(eq_check,MATCH(B1805,eq_code,0))&lt;&gt;"OK","Équipe à corriger dans Paramètres",IF(C1805="","Poste manquant",IF(ISNA(MATCH(C1805,po_code,0)),"Poste inconnu",IF(AND(E1805&lt;&gt;"",ISNA(MATCH(E1805,art_ref,0))),"Article inconnu",IF(IF(E1805="",FALSE,INDEX(art_check,MATCH(E1805,art_ref,0))&lt;&gt;"OK"),"Article à corriger (feuille Articles)",IF(COUNTIFS(sj_date,A1805,sj_eq,B1805,sj_po,C1805)&gt;1,"Ligne en double (même jour, équipe et poste)",IF(OR(NOT(ISNUMBER(K1805)),N(K1805)&lt;=0,N(K1805)&gt;1440),"Temps d'ouverture invalide",IF(OR(AND(G1805&lt;&gt;"",NOT(ISNUMBER(G1805))),N(G1805)&lt;0,N(G1805)&lt;&gt;INT(N(G1805)),AND(H1805&lt;&gt;"",NOT(ISNUMBER(H1805))),N(H1805)&lt;0,N(H1805)&lt;&gt;INT(N(H1805)),AND(I1805&lt;&gt;"",NOT(ISNUMBER(I1805))),N(I1805)&lt;0,N(I1805)&lt;&gt;INT(N(I1805))),"Quantité invalide",IF(Q1805&lt;=0,"Cadence manquante (poste ou article)",IF(M1805&lt;=0,"Arrêts planifiés supérieurs au temps d'ouverture",IF(O1805&lt;0,"Arrêts supérieurs au temps requis",IF(AND(P1805&gt;0,O1805=0),"Pièces déclarées sans temps de marche",IF(AND(P1805=0,O1805&gt;0),"Aucune pièce déclarée",IF(P1805*60/Q1805&gt;O1805+0.001,"Cadence dépassée : vérifiez la cadence","OK"))))))))))))))))))</f>
        <v/>
      </c>
      <c r="AC1805">
        <f>IF(OR(AB1805="OK",AB1805="Aucune pièce déclarée",AB1805="Cadence dépassée : vérifiez la cadence"),1,0)</f>
        <v>0.0</v>
      </c>
      <c r="AD1805">
        <f>IF(AND(AC1805=1,A1805&gt;=p_from,A1805&lt;=p_to),1,0)</f>
        <v>0.0</v>
      </c>
      <c r="AE1805">
        <f>IF(AD1805=1,IF(COUNTIFS($A$6:A1805,A1805,$AD$6:AD1805,1)=1,1,0),0)</f>
        <v>0.0</v>
      </c>
      <c r="AF1805" t="str">
        <f>IF(AE1805=1,COUNTIFS(sj_first,1,sj_date,"&lt;"&amp;A1805)+1,"")</f>
        <v/>
      </c>
      <c r="AG1805" t="str">
        <f>IF(AND(AD1805=1,N(W1805)&lt;p_alert),ROUND(W1805,4),"")</f>
        <v/>
      </c>
      <c r="AH1805" t="str">
        <f>IF(AG1805="","",COUNTIF(sj_akey,"&lt;"&amp;AG1805)+COUNTIF($AG$6:AG1805,AG1805))</f>
        <v/>
      </c>
    </row>
    <row r="1806">
      <c r="A1806" s="51" t="n"/>
      <c r="B1806" s="52" t="n"/>
      <c r="C1806" s="52" t="n"/>
      <c r="D1806" s="53" t="n"/>
      <c r="E1806" s="53" t="n"/>
      <c r="F1806" s="54" t="n"/>
      <c r="G1806" s="54" t="n"/>
      <c r="H1806" s="54" t="n"/>
      <c r="I1806" s="54" t="n"/>
      <c r="J1806" s="53" t="n"/>
      <c r="K1806" s="55" t="str">
        <f>IF(COUNTA(A1806:I1806)=0,"",IF(F1806="",IFERROR(INDEX(eq_dur,MATCH(B1806,eq_code,0)),""),F1806))</f>
        <v/>
      </c>
      <c r="L1806" s="55" t="str">
        <f>IF(ISNUMBER(K1806),N(IFERROR(INDEX(eq_pause,MATCH(B1806,eq_code,0)),0))+SUMIFS(st_min,st_date,A1806,st_eq,B1806,st_po,C1806,st_type,"Planifié"),"")</f>
        <v/>
      </c>
      <c r="M1806" s="55" t="str">
        <f>IF(ISNUMBER(K1806),K1806-L1806,"")</f>
        <v/>
      </c>
      <c r="N1806" s="55" t="str">
        <f>IF(ISNUMBER(K1806),SUMIFS(st_min,st_date,A1806,st_eq,B1806,st_po,C1806,st_type,"Non planifié"),"")</f>
        <v/>
      </c>
      <c r="O1806" s="55" t="str">
        <f>IF(ISNUMBER(K1806),M1806-N1806,"")</f>
        <v/>
      </c>
      <c r="P1806" s="55" t="str">
        <f>IF(COUNTA(A1806:I1806)=0,"",N(G1806)+N(H1806)+N(I1806))</f>
        <v/>
      </c>
      <c r="Q1806" s="56" t="str">
        <f>IF(COUNTA(A1806:I1806)=0,"",IF(N(IFERROR(INDEX(art_rate,MATCH(E1806,art_ref,0)),0))&gt;0,N(IFERROR(INDEX(art_rate,MATCH(E1806,art_ref,0)),0)),N(IFERROR(INDEX(po_rate,MATCH(C1806,po_code,0)),0))))</f>
        <v/>
      </c>
      <c r="R1806" s="55" t="str">
        <f>IF(AC1806=1,P1806*60/Q1806,"")</f>
        <v/>
      </c>
      <c r="S1806" s="55" t="str">
        <f>IF(AC1806=1,N(G1806)*60/Q1806,"")</f>
        <v/>
      </c>
      <c r="T1806" s="57" t="str">
        <f>IF(AC1806=1,O1806/M1806,"")</f>
        <v/>
      </c>
      <c r="U1806" s="57" t="str">
        <f>IF(AC1806=1,IF(O1806&gt;0,R1806/O1806,""),"")</f>
        <v/>
      </c>
      <c r="V1806" s="57" t="str">
        <f>IF(AC1806=1,IF(P1806&gt;0,N(G1806)/P1806,""),"")</f>
        <v/>
      </c>
      <c r="W1806" s="57" t="str">
        <f>IF(AC1806=1,S1806/M1806,"")</f>
        <v/>
      </c>
      <c r="X1806" s="57" t="str">
        <f>IF(AC1806=1,S1806/K1806,"")</f>
        <v/>
      </c>
      <c r="Y1806" s="58" t="str">
        <f>IF(W1806="","",IF(W1806&gt;=p_target,"Bon",IF(W1806&gt;=p_alert,"À surveiller","Faible")))</f>
        <v/>
      </c>
      <c r="Z1806" s="58" t="str">
        <f>IF(W1806="","",IF(MIN(IF(T1806="",1,T1806),IF(U1806="",1,U1806),IF(V1806="",1,V1806))&gt;=1,"Aucune",IF(IF(T1806="",1,T1806)&lt;=MIN(IF(U1806="",1,U1806),IF(V1806="",1,V1806)),"Disponibilité",IF(IF(U1806="",1,U1806)&lt;=IF(V1806="",1,V1806),"Performance","Qualité"))))</f>
        <v/>
      </c>
      <c r="AA1806" s="59" t="str">
        <f>IF(AC1806=1,N(H1806)*N(IFERROR(INDEX(art_cost,MATCH(E1806,art_ref,0)),0)),"")</f>
        <v/>
      </c>
      <c r="AB1806" s="58" t="str">
        <f>IF(COUNTA(A1806:I1806)=0,"",IF(N(A1806)&lt;=0,"Date manquante ou invalide",IF(B1806="","Équipe manquante",IF(ISNA(MATCH(B1806,eq_code,0)),"Équipe inconnue",IF(INDEX(eq_check,MATCH(B1806,eq_code,0))&lt;&gt;"OK","Équipe à corriger dans Paramètres",IF(C1806="","Poste manquant",IF(ISNA(MATCH(C1806,po_code,0)),"Poste inconnu",IF(AND(E1806&lt;&gt;"",ISNA(MATCH(E1806,art_ref,0))),"Article inconnu",IF(IF(E1806="",FALSE,INDEX(art_check,MATCH(E1806,art_ref,0))&lt;&gt;"OK"),"Article à corriger (feuille Articles)",IF(COUNTIFS(sj_date,A1806,sj_eq,B1806,sj_po,C1806)&gt;1,"Ligne en double (même jour, équipe et poste)",IF(OR(NOT(ISNUMBER(K1806)),N(K1806)&lt;=0,N(K1806)&gt;1440),"Temps d'ouverture invalide",IF(OR(AND(G1806&lt;&gt;"",NOT(ISNUMBER(G1806))),N(G1806)&lt;0,N(G1806)&lt;&gt;INT(N(G1806)),AND(H1806&lt;&gt;"",NOT(ISNUMBER(H1806))),N(H1806)&lt;0,N(H1806)&lt;&gt;INT(N(H1806)),AND(I1806&lt;&gt;"",NOT(ISNUMBER(I1806))),N(I1806)&lt;0,N(I1806)&lt;&gt;INT(N(I1806))),"Quantité invalide",IF(Q1806&lt;=0,"Cadence manquante (poste ou article)",IF(M1806&lt;=0,"Arrêts planifiés supérieurs au temps d'ouverture",IF(O1806&lt;0,"Arrêts supérieurs au temps requis",IF(AND(P1806&gt;0,O1806=0),"Pièces déclarées sans temps de marche",IF(AND(P1806=0,O1806&gt;0),"Aucune pièce déclarée",IF(P1806*60/Q1806&gt;O1806+0.001,"Cadence dépassée : vérifiez la cadence","OK"))))))))))))))))))</f>
        <v/>
      </c>
      <c r="AC1806">
        <f>IF(OR(AB1806="OK",AB1806="Aucune pièce déclarée",AB1806="Cadence dépassée : vérifiez la cadence"),1,0)</f>
        <v>0.0</v>
      </c>
      <c r="AD1806">
        <f>IF(AND(AC1806=1,A1806&gt;=p_from,A1806&lt;=p_to),1,0)</f>
        <v>0.0</v>
      </c>
      <c r="AE1806">
        <f>IF(AD1806=1,IF(COUNTIFS($A$6:A1806,A1806,$AD$6:AD1806,1)=1,1,0),0)</f>
        <v>0.0</v>
      </c>
      <c r="AF1806" t="str">
        <f>IF(AE1806=1,COUNTIFS(sj_first,1,sj_date,"&lt;"&amp;A1806)+1,"")</f>
        <v/>
      </c>
      <c r="AG1806" t="str">
        <f>IF(AND(AD1806=1,N(W1806)&lt;p_alert),ROUND(W1806,4),"")</f>
        <v/>
      </c>
      <c r="AH1806" t="str">
        <f>IF(AG1806="","",COUNTIF(sj_akey,"&lt;"&amp;AG1806)+COUNTIF($AG$6:AG1806,AG1806))</f>
        <v/>
      </c>
    </row>
    <row r="1807">
      <c r="A1807" s="51" t="n"/>
      <c r="B1807" s="52" t="n"/>
      <c r="C1807" s="52" t="n"/>
      <c r="D1807" s="53" t="n"/>
      <c r="E1807" s="53" t="n"/>
      <c r="F1807" s="54" t="n"/>
      <c r="G1807" s="54" t="n"/>
      <c r="H1807" s="54" t="n"/>
      <c r="I1807" s="54" t="n"/>
      <c r="J1807" s="53" t="n"/>
      <c r="K1807" s="55" t="str">
        <f>IF(COUNTA(A1807:I1807)=0,"",IF(F1807="",IFERROR(INDEX(eq_dur,MATCH(B1807,eq_code,0)),""),F1807))</f>
        <v/>
      </c>
      <c r="L1807" s="55" t="str">
        <f>IF(ISNUMBER(K1807),N(IFERROR(INDEX(eq_pause,MATCH(B1807,eq_code,0)),0))+SUMIFS(st_min,st_date,A1807,st_eq,B1807,st_po,C1807,st_type,"Planifié"),"")</f>
        <v/>
      </c>
      <c r="M1807" s="55" t="str">
        <f>IF(ISNUMBER(K1807),K1807-L1807,"")</f>
        <v/>
      </c>
      <c r="N1807" s="55" t="str">
        <f>IF(ISNUMBER(K1807),SUMIFS(st_min,st_date,A1807,st_eq,B1807,st_po,C1807,st_type,"Non planifié"),"")</f>
        <v/>
      </c>
      <c r="O1807" s="55" t="str">
        <f>IF(ISNUMBER(K1807),M1807-N1807,"")</f>
        <v/>
      </c>
      <c r="P1807" s="55" t="str">
        <f>IF(COUNTA(A1807:I1807)=0,"",N(G1807)+N(H1807)+N(I1807))</f>
        <v/>
      </c>
      <c r="Q1807" s="56" t="str">
        <f>IF(COUNTA(A1807:I1807)=0,"",IF(N(IFERROR(INDEX(art_rate,MATCH(E1807,art_ref,0)),0))&gt;0,N(IFERROR(INDEX(art_rate,MATCH(E1807,art_ref,0)),0)),N(IFERROR(INDEX(po_rate,MATCH(C1807,po_code,0)),0))))</f>
        <v/>
      </c>
      <c r="R1807" s="55" t="str">
        <f>IF(AC1807=1,P1807*60/Q1807,"")</f>
        <v/>
      </c>
      <c r="S1807" s="55" t="str">
        <f>IF(AC1807=1,N(G1807)*60/Q1807,"")</f>
        <v/>
      </c>
      <c r="T1807" s="57" t="str">
        <f>IF(AC1807=1,O1807/M1807,"")</f>
        <v/>
      </c>
      <c r="U1807" s="57" t="str">
        <f>IF(AC1807=1,IF(O1807&gt;0,R1807/O1807,""),"")</f>
        <v/>
      </c>
      <c r="V1807" s="57" t="str">
        <f>IF(AC1807=1,IF(P1807&gt;0,N(G1807)/P1807,""),"")</f>
        <v/>
      </c>
      <c r="W1807" s="57" t="str">
        <f>IF(AC1807=1,S1807/M1807,"")</f>
        <v/>
      </c>
      <c r="X1807" s="57" t="str">
        <f>IF(AC1807=1,S1807/K1807,"")</f>
        <v/>
      </c>
      <c r="Y1807" s="58" t="str">
        <f>IF(W1807="","",IF(W1807&gt;=p_target,"Bon",IF(W1807&gt;=p_alert,"À surveiller","Faible")))</f>
        <v/>
      </c>
      <c r="Z1807" s="58" t="str">
        <f>IF(W1807="","",IF(MIN(IF(T1807="",1,T1807),IF(U1807="",1,U1807),IF(V1807="",1,V1807))&gt;=1,"Aucune",IF(IF(T1807="",1,T1807)&lt;=MIN(IF(U1807="",1,U1807),IF(V1807="",1,V1807)),"Disponibilité",IF(IF(U1807="",1,U1807)&lt;=IF(V1807="",1,V1807),"Performance","Qualité"))))</f>
        <v/>
      </c>
      <c r="AA1807" s="59" t="str">
        <f>IF(AC1807=1,N(H1807)*N(IFERROR(INDEX(art_cost,MATCH(E1807,art_ref,0)),0)),"")</f>
        <v/>
      </c>
      <c r="AB1807" s="58" t="str">
        <f>IF(COUNTA(A1807:I1807)=0,"",IF(N(A1807)&lt;=0,"Date manquante ou invalide",IF(B1807="","Équipe manquante",IF(ISNA(MATCH(B1807,eq_code,0)),"Équipe inconnue",IF(INDEX(eq_check,MATCH(B1807,eq_code,0))&lt;&gt;"OK","Équipe à corriger dans Paramètres",IF(C1807="","Poste manquant",IF(ISNA(MATCH(C1807,po_code,0)),"Poste inconnu",IF(AND(E1807&lt;&gt;"",ISNA(MATCH(E1807,art_ref,0))),"Article inconnu",IF(IF(E1807="",FALSE,INDEX(art_check,MATCH(E1807,art_ref,0))&lt;&gt;"OK"),"Article à corriger (feuille Articles)",IF(COUNTIFS(sj_date,A1807,sj_eq,B1807,sj_po,C1807)&gt;1,"Ligne en double (même jour, équipe et poste)",IF(OR(NOT(ISNUMBER(K1807)),N(K1807)&lt;=0,N(K1807)&gt;1440),"Temps d'ouverture invalide",IF(OR(AND(G1807&lt;&gt;"",NOT(ISNUMBER(G1807))),N(G1807)&lt;0,N(G1807)&lt;&gt;INT(N(G1807)),AND(H1807&lt;&gt;"",NOT(ISNUMBER(H1807))),N(H1807)&lt;0,N(H1807)&lt;&gt;INT(N(H1807)),AND(I1807&lt;&gt;"",NOT(ISNUMBER(I1807))),N(I1807)&lt;0,N(I1807)&lt;&gt;INT(N(I1807))),"Quantité invalide",IF(Q1807&lt;=0,"Cadence manquante (poste ou article)",IF(M1807&lt;=0,"Arrêts planifiés supérieurs au temps d'ouverture",IF(O1807&lt;0,"Arrêts supérieurs au temps requis",IF(AND(P1807&gt;0,O1807=0),"Pièces déclarées sans temps de marche",IF(AND(P1807=0,O1807&gt;0),"Aucune pièce déclarée",IF(P1807*60/Q1807&gt;O1807+0.001,"Cadence dépassée : vérifiez la cadence","OK"))))))))))))))))))</f>
        <v/>
      </c>
      <c r="AC1807">
        <f>IF(OR(AB1807="OK",AB1807="Aucune pièce déclarée",AB1807="Cadence dépassée : vérifiez la cadence"),1,0)</f>
        <v>0.0</v>
      </c>
      <c r="AD1807">
        <f>IF(AND(AC1807=1,A1807&gt;=p_from,A1807&lt;=p_to),1,0)</f>
        <v>0.0</v>
      </c>
      <c r="AE1807">
        <f>IF(AD1807=1,IF(COUNTIFS($A$6:A1807,A1807,$AD$6:AD1807,1)=1,1,0),0)</f>
        <v>0.0</v>
      </c>
      <c r="AF1807" t="str">
        <f>IF(AE1807=1,COUNTIFS(sj_first,1,sj_date,"&lt;"&amp;A1807)+1,"")</f>
        <v/>
      </c>
      <c r="AG1807" t="str">
        <f>IF(AND(AD1807=1,N(W1807)&lt;p_alert),ROUND(W1807,4),"")</f>
        <v/>
      </c>
      <c r="AH1807" t="str">
        <f>IF(AG1807="","",COUNTIF(sj_akey,"&lt;"&amp;AG1807)+COUNTIF($AG$6:AG1807,AG1807))</f>
        <v/>
      </c>
    </row>
    <row r="1808">
      <c r="A1808" s="51" t="n"/>
      <c r="B1808" s="52" t="n"/>
      <c r="C1808" s="52" t="n"/>
      <c r="D1808" s="53" t="n"/>
      <c r="E1808" s="53" t="n"/>
      <c r="F1808" s="54" t="n"/>
      <c r="G1808" s="54" t="n"/>
      <c r="H1808" s="54" t="n"/>
      <c r="I1808" s="54" t="n"/>
      <c r="J1808" s="53" t="n"/>
      <c r="K1808" s="55" t="str">
        <f>IF(COUNTA(A1808:I1808)=0,"",IF(F1808="",IFERROR(INDEX(eq_dur,MATCH(B1808,eq_code,0)),""),F1808))</f>
        <v/>
      </c>
      <c r="L1808" s="55" t="str">
        <f>IF(ISNUMBER(K1808),N(IFERROR(INDEX(eq_pause,MATCH(B1808,eq_code,0)),0))+SUMIFS(st_min,st_date,A1808,st_eq,B1808,st_po,C1808,st_type,"Planifié"),"")</f>
        <v/>
      </c>
      <c r="M1808" s="55" t="str">
        <f>IF(ISNUMBER(K1808),K1808-L1808,"")</f>
        <v/>
      </c>
      <c r="N1808" s="55" t="str">
        <f>IF(ISNUMBER(K1808),SUMIFS(st_min,st_date,A1808,st_eq,B1808,st_po,C1808,st_type,"Non planifié"),"")</f>
        <v/>
      </c>
      <c r="O1808" s="55" t="str">
        <f>IF(ISNUMBER(K1808),M1808-N1808,"")</f>
        <v/>
      </c>
      <c r="P1808" s="55" t="str">
        <f>IF(COUNTA(A1808:I1808)=0,"",N(G1808)+N(H1808)+N(I1808))</f>
        <v/>
      </c>
      <c r="Q1808" s="56" t="str">
        <f>IF(COUNTA(A1808:I1808)=0,"",IF(N(IFERROR(INDEX(art_rate,MATCH(E1808,art_ref,0)),0))&gt;0,N(IFERROR(INDEX(art_rate,MATCH(E1808,art_ref,0)),0)),N(IFERROR(INDEX(po_rate,MATCH(C1808,po_code,0)),0))))</f>
        <v/>
      </c>
      <c r="R1808" s="55" t="str">
        <f>IF(AC1808=1,P1808*60/Q1808,"")</f>
        <v/>
      </c>
      <c r="S1808" s="55" t="str">
        <f>IF(AC1808=1,N(G1808)*60/Q1808,"")</f>
        <v/>
      </c>
      <c r="T1808" s="57" t="str">
        <f>IF(AC1808=1,O1808/M1808,"")</f>
        <v/>
      </c>
      <c r="U1808" s="57" t="str">
        <f>IF(AC1808=1,IF(O1808&gt;0,R1808/O1808,""),"")</f>
        <v/>
      </c>
      <c r="V1808" s="57" t="str">
        <f>IF(AC1808=1,IF(P1808&gt;0,N(G1808)/P1808,""),"")</f>
        <v/>
      </c>
      <c r="W1808" s="57" t="str">
        <f>IF(AC1808=1,S1808/M1808,"")</f>
        <v/>
      </c>
      <c r="X1808" s="57" t="str">
        <f>IF(AC1808=1,S1808/K1808,"")</f>
        <v/>
      </c>
      <c r="Y1808" s="58" t="str">
        <f>IF(W1808="","",IF(W1808&gt;=p_target,"Bon",IF(W1808&gt;=p_alert,"À surveiller","Faible")))</f>
        <v/>
      </c>
      <c r="Z1808" s="58" t="str">
        <f>IF(W1808="","",IF(MIN(IF(T1808="",1,T1808),IF(U1808="",1,U1808),IF(V1808="",1,V1808))&gt;=1,"Aucune",IF(IF(T1808="",1,T1808)&lt;=MIN(IF(U1808="",1,U1808),IF(V1808="",1,V1808)),"Disponibilité",IF(IF(U1808="",1,U1808)&lt;=IF(V1808="",1,V1808),"Performance","Qualité"))))</f>
        <v/>
      </c>
      <c r="AA1808" s="59" t="str">
        <f>IF(AC1808=1,N(H1808)*N(IFERROR(INDEX(art_cost,MATCH(E1808,art_ref,0)),0)),"")</f>
        <v/>
      </c>
      <c r="AB1808" s="58" t="str">
        <f>IF(COUNTA(A1808:I1808)=0,"",IF(N(A1808)&lt;=0,"Date manquante ou invalide",IF(B1808="","Équipe manquante",IF(ISNA(MATCH(B1808,eq_code,0)),"Équipe inconnue",IF(INDEX(eq_check,MATCH(B1808,eq_code,0))&lt;&gt;"OK","Équipe à corriger dans Paramètres",IF(C1808="","Poste manquant",IF(ISNA(MATCH(C1808,po_code,0)),"Poste inconnu",IF(AND(E1808&lt;&gt;"",ISNA(MATCH(E1808,art_ref,0))),"Article inconnu",IF(IF(E1808="",FALSE,INDEX(art_check,MATCH(E1808,art_ref,0))&lt;&gt;"OK"),"Article à corriger (feuille Articles)",IF(COUNTIFS(sj_date,A1808,sj_eq,B1808,sj_po,C1808)&gt;1,"Ligne en double (même jour, équipe et poste)",IF(OR(NOT(ISNUMBER(K1808)),N(K1808)&lt;=0,N(K1808)&gt;1440),"Temps d'ouverture invalide",IF(OR(AND(G1808&lt;&gt;"",NOT(ISNUMBER(G1808))),N(G1808)&lt;0,N(G1808)&lt;&gt;INT(N(G1808)),AND(H1808&lt;&gt;"",NOT(ISNUMBER(H1808))),N(H1808)&lt;0,N(H1808)&lt;&gt;INT(N(H1808)),AND(I1808&lt;&gt;"",NOT(ISNUMBER(I1808))),N(I1808)&lt;0,N(I1808)&lt;&gt;INT(N(I1808))),"Quantité invalide",IF(Q1808&lt;=0,"Cadence manquante (poste ou article)",IF(M1808&lt;=0,"Arrêts planifiés supérieurs au temps d'ouverture",IF(O1808&lt;0,"Arrêts supérieurs au temps requis",IF(AND(P1808&gt;0,O1808=0),"Pièces déclarées sans temps de marche",IF(AND(P1808=0,O1808&gt;0),"Aucune pièce déclarée",IF(P1808*60/Q1808&gt;O1808+0.001,"Cadence dépassée : vérifiez la cadence","OK"))))))))))))))))))</f>
        <v/>
      </c>
      <c r="AC1808">
        <f>IF(OR(AB1808="OK",AB1808="Aucune pièce déclarée",AB1808="Cadence dépassée : vérifiez la cadence"),1,0)</f>
        <v>0.0</v>
      </c>
      <c r="AD1808">
        <f>IF(AND(AC1808=1,A1808&gt;=p_from,A1808&lt;=p_to),1,0)</f>
        <v>0.0</v>
      </c>
      <c r="AE1808">
        <f>IF(AD1808=1,IF(COUNTIFS($A$6:A1808,A1808,$AD$6:AD1808,1)=1,1,0),0)</f>
        <v>0.0</v>
      </c>
      <c r="AF1808" t="str">
        <f>IF(AE1808=1,COUNTIFS(sj_first,1,sj_date,"&lt;"&amp;A1808)+1,"")</f>
        <v/>
      </c>
      <c r="AG1808" t="str">
        <f>IF(AND(AD1808=1,N(W1808)&lt;p_alert),ROUND(W1808,4),"")</f>
        <v/>
      </c>
      <c r="AH1808" t="str">
        <f>IF(AG1808="","",COUNTIF(sj_akey,"&lt;"&amp;AG1808)+COUNTIF($AG$6:AG1808,AG1808))</f>
        <v/>
      </c>
    </row>
    <row r="1809">
      <c r="A1809" s="51" t="n"/>
      <c r="B1809" s="52" t="n"/>
      <c r="C1809" s="52" t="n"/>
      <c r="D1809" s="53" t="n"/>
      <c r="E1809" s="53" t="n"/>
      <c r="F1809" s="54" t="n"/>
      <c r="G1809" s="54" t="n"/>
      <c r="H1809" s="54" t="n"/>
      <c r="I1809" s="54" t="n"/>
      <c r="J1809" s="53" t="n"/>
      <c r="K1809" s="55" t="str">
        <f>IF(COUNTA(A1809:I1809)=0,"",IF(F1809="",IFERROR(INDEX(eq_dur,MATCH(B1809,eq_code,0)),""),F1809))</f>
        <v/>
      </c>
      <c r="L1809" s="55" t="str">
        <f>IF(ISNUMBER(K1809),N(IFERROR(INDEX(eq_pause,MATCH(B1809,eq_code,0)),0))+SUMIFS(st_min,st_date,A1809,st_eq,B1809,st_po,C1809,st_type,"Planifié"),"")</f>
        <v/>
      </c>
      <c r="M1809" s="55" t="str">
        <f>IF(ISNUMBER(K1809),K1809-L1809,"")</f>
        <v/>
      </c>
      <c r="N1809" s="55" t="str">
        <f>IF(ISNUMBER(K1809),SUMIFS(st_min,st_date,A1809,st_eq,B1809,st_po,C1809,st_type,"Non planifié"),"")</f>
        <v/>
      </c>
      <c r="O1809" s="55" t="str">
        <f>IF(ISNUMBER(K1809),M1809-N1809,"")</f>
        <v/>
      </c>
      <c r="P1809" s="55" t="str">
        <f>IF(COUNTA(A1809:I1809)=0,"",N(G1809)+N(H1809)+N(I1809))</f>
        <v/>
      </c>
      <c r="Q1809" s="56" t="str">
        <f>IF(COUNTA(A1809:I1809)=0,"",IF(N(IFERROR(INDEX(art_rate,MATCH(E1809,art_ref,0)),0))&gt;0,N(IFERROR(INDEX(art_rate,MATCH(E1809,art_ref,0)),0)),N(IFERROR(INDEX(po_rate,MATCH(C1809,po_code,0)),0))))</f>
        <v/>
      </c>
      <c r="R1809" s="55" t="str">
        <f>IF(AC1809=1,P1809*60/Q1809,"")</f>
        <v/>
      </c>
      <c r="S1809" s="55" t="str">
        <f>IF(AC1809=1,N(G1809)*60/Q1809,"")</f>
        <v/>
      </c>
      <c r="T1809" s="57" t="str">
        <f>IF(AC1809=1,O1809/M1809,"")</f>
        <v/>
      </c>
      <c r="U1809" s="57" t="str">
        <f>IF(AC1809=1,IF(O1809&gt;0,R1809/O1809,""),"")</f>
        <v/>
      </c>
      <c r="V1809" s="57" t="str">
        <f>IF(AC1809=1,IF(P1809&gt;0,N(G1809)/P1809,""),"")</f>
        <v/>
      </c>
      <c r="W1809" s="57" t="str">
        <f>IF(AC1809=1,S1809/M1809,"")</f>
        <v/>
      </c>
      <c r="X1809" s="57" t="str">
        <f>IF(AC1809=1,S1809/K1809,"")</f>
        <v/>
      </c>
      <c r="Y1809" s="58" t="str">
        <f>IF(W1809="","",IF(W1809&gt;=p_target,"Bon",IF(W1809&gt;=p_alert,"À surveiller","Faible")))</f>
        <v/>
      </c>
      <c r="Z1809" s="58" t="str">
        <f>IF(W1809="","",IF(MIN(IF(T1809="",1,T1809),IF(U1809="",1,U1809),IF(V1809="",1,V1809))&gt;=1,"Aucune",IF(IF(T1809="",1,T1809)&lt;=MIN(IF(U1809="",1,U1809),IF(V1809="",1,V1809)),"Disponibilité",IF(IF(U1809="",1,U1809)&lt;=IF(V1809="",1,V1809),"Performance","Qualité"))))</f>
        <v/>
      </c>
      <c r="AA1809" s="59" t="str">
        <f>IF(AC1809=1,N(H1809)*N(IFERROR(INDEX(art_cost,MATCH(E1809,art_ref,0)),0)),"")</f>
        <v/>
      </c>
      <c r="AB1809" s="58" t="str">
        <f>IF(COUNTA(A1809:I1809)=0,"",IF(N(A1809)&lt;=0,"Date manquante ou invalide",IF(B1809="","Équipe manquante",IF(ISNA(MATCH(B1809,eq_code,0)),"Équipe inconnue",IF(INDEX(eq_check,MATCH(B1809,eq_code,0))&lt;&gt;"OK","Équipe à corriger dans Paramètres",IF(C1809="","Poste manquant",IF(ISNA(MATCH(C1809,po_code,0)),"Poste inconnu",IF(AND(E1809&lt;&gt;"",ISNA(MATCH(E1809,art_ref,0))),"Article inconnu",IF(IF(E1809="",FALSE,INDEX(art_check,MATCH(E1809,art_ref,0))&lt;&gt;"OK"),"Article à corriger (feuille Articles)",IF(COUNTIFS(sj_date,A1809,sj_eq,B1809,sj_po,C1809)&gt;1,"Ligne en double (même jour, équipe et poste)",IF(OR(NOT(ISNUMBER(K1809)),N(K1809)&lt;=0,N(K1809)&gt;1440),"Temps d'ouverture invalide",IF(OR(AND(G1809&lt;&gt;"",NOT(ISNUMBER(G1809))),N(G1809)&lt;0,N(G1809)&lt;&gt;INT(N(G1809)),AND(H1809&lt;&gt;"",NOT(ISNUMBER(H1809))),N(H1809)&lt;0,N(H1809)&lt;&gt;INT(N(H1809)),AND(I1809&lt;&gt;"",NOT(ISNUMBER(I1809))),N(I1809)&lt;0,N(I1809)&lt;&gt;INT(N(I1809))),"Quantité invalide",IF(Q1809&lt;=0,"Cadence manquante (poste ou article)",IF(M1809&lt;=0,"Arrêts planifiés supérieurs au temps d'ouverture",IF(O1809&lt;0,"Arrêts supérieurs au temps requis",IF(AND(P1809&gt;0,O1809=0),"Pièces déclarées sans temps de marche",IF(AND(P1809=0,O1809&gt;0),"Aucune pièce déclarée",IF(P1809*60/Q1809&gt;O1809+0.001,"Cadence dépassée : vérifiez la cadence","OK"))))))))))))))))))</f>
        <v/>
      </c>
      <c r="AC1809">
        <f>IF(OR(AB1809="OK",AB1809="Aucune pièce déclarée",AB1809="Cadence dépassée : vérifiez la cadence"),1,0)</f>
        <v>0.0</v>
      </c>
      <c r="AD1809">
        <f>IF(AND(AC1809=1,A1809&gt;=p_from,A1809&lt;=p_to),1,0)</f>
        <v>0.0</v>
      </c>
      <c r="AE1809">
        <f>IF(AD1809=1,IF(COUNTIFS($A$6:A1809,A1809,$AD$6:AD1809,1)=1,1,0),0)</f>
        <v>0.0</v>
      </c>
      <c r="AF1809" t="str">
        <f>IF(AE1809=1,COUNTIFS(sj_first,1,sj_date,"&lt;"&amp;A1809)+1,"")</f>
        <v/>
      </c>
      <c r="AG1809" t="str">
        <f>IF(AND(AD1809=1,N(W1809)&lt;p_alert),ROUND(W1809,4),"")</f>
        <v/>
      </c>
      <c r="AH1809" t="str">
        <f>IF(AG1809="","",COUNTIF(sj_akey,"&lt;"&amp;AG1809)+COUNTIF($AG$6:AG1809,AG1809))</f>
        <v/>
      </c>
    </row>
    <row r="1810">
      <c r="A1810" s="51" t="n"/>
      <c r="B1810" s="52" t="n"/>
      <c r="C1810" s="52" t="n"/>
      <c r="D1810" s="53" t="n"/>
      <c r="E1810" s="53" t="n"/>
      <c r="F1810" s="54" t="n"/>
      <c r="G1810" s="54" t="n"/>
      <c r="H1810" s="54" t="n"/>
      <c r="I1810" s="54" t="n"/>
      <c r="J1810" s="53" t="n"/>
      <c r="K1810" s="55" t="str">
        <f>IF(COUNTA(A1810:I1810)=0,"",IF(F1810="",IFERROR(INDEX(eq_dur,MATCH(B1810,eq_code,0)),""),F1810))</f>
        <v/>
      </c>
      <c r="L1810" s="55" t="str">
        <f>IF(ISNUMBER(K1810),N(IFERROR(INDEX(eq_pause,MATCH(B1810,eq_code,0)),0))+SUMIFS(st_min,st_date,A1810,st_eq,B1810,st_po,C1810,st_type,"Planifié"),"")</f>
        <v/>
      </c>
      <c r="M1810" s="55" t="str">
        <f>IF(ISNUMBER(K1810),K1810-L1810,"")</f>
        <v/>
      </c>
      <c r="N1810" s="55" t="str">
        <f>IF(ISNUMBER(K1810),SUMIFS(st_min,st_date,A1810,st_eq,B1810,st_po,C1810,st_type,"Non planifié"),"")</f>
        <v/>
      </c>
      <c r="O1810" s="55" t="str">
        <f>IF(ISNUMBER(K1810),M1810-N1810,"")</f>
        <v/>
      </c>
      <c r="P1810" s="55" t="str">
        <f>IF(COUNTA(A1810:I1810)=0,"",N(G1810)+N(H1810)+N(I1810))</f>
        <v/>
      </c>
      <c r="Q1810" s="56" t="str">
        <f>IF(COUNTA(A1810:I1810)=0,"",IF(N(IFERROR(INDEX(art_rate,MATCH(E1810,art_ref,0)),0))&gt;0,N(IFERROR(INDEX(art_rate,MATCH(E1810,art_ref,0)),0)),N(IFERROR(INDEX(po_rate,MATCH(C1810,po_code,0)),0))))</f>
        <v/>
      </c>
      <c r="R1810" s="55" t="str">
        <f>IF(AC1810=1,P1810*60/Q1810,"")</f>
        <v/>
      </c>
      <c r="S1810" s="55" t="str">
        <f>IF(AC1810=1,N(G1810)*60/Q1810,"")</f>
        <v/>
      </c>
      <c r="T1810" s="57" t="str">
        <f>IF(AC1810=1,O1810/M1810,"")</f>
        <v/>
      </c>
      <c r="U1810" s="57" t="str">
        <f>IF(AC1810=1,IF(O1810&gt;0,R1810/O1810,""),"")</f>
        <v/>
      </c>
      <c r="V1810" s="57" t="str">
        <f>IF(AC1810=1,IF(P1810&gt;0,N(G1810)/P1810,""),"")</f>
        <v/>
      </c>
      <c r="W1810" s="57" t="str">
        <f>IF(AC1810=1,S1810/M1810,"")</f>
        <v/>
      </c>
      <c r="X1810" s="57" t="str">
        <f>IF(AC1810=1,S1810/K1810,"")</f>
        <v/>
      </c>
      <c r="Y1810" s="58" t="str">
        <f>IF(W1810="","",IF(W1810&gt;=p_target,"Bon",IF(W1810&gt;=p_alert,"À surveiller","Faible")))</f>
        <v/>
      </c>
      <c r="Z1810" s="58" t="str">
        <f>IF(W1810="","",IF(MIN(IF(T1810="",1,T1810),IF(U1810="",1,U1810),IF(V1810="",1,V1810))&gt;=1,"Aucune",IF(IF(T1810="",1,T1810)&lt;=MIN(IF(U1810="",1,U1810),IF(V1810="",1,V1810)),"Disponibilité",IF(IF(U1810="",1,U1810)&lt;=IF(V1810="",1,V1810),"Performance","Qualité"))))</f>
        <v/>
      </c>
      <c r="AA1810" s="59" t="str">
        <f>IF(AC1810=1,N(H1810)*N(IFERROR(INDEX(art_cost,MATCH(E1810,art_ref,0)),0)),"")</f>
        <v/>
      </c>
      <c r="AB1810" s="58" t="str">
        <f>IF(COUNTA(A1810:I1810)=0,"",IF(N(A1810)&lt;=0,"Date manquante ou invalide",IF(B1810="","Équipe manquante",IF(ISNA(MATCH(B1810,eq_code,0)),"Équipe inconnue",IF(INDEX(eq_check,MATCH(B1810,eq_code,0))&lt;&gt;"OK","Équipe à corriger dans Paramètres",IF(C1810="","Poste manquant",IF(ISNA(MATCH(C1810,po_code,0)),"Poste inconnu",IF(AND(E1810&lt;&gt;"",ISNA(MATCH(E1810,art_ref,0))),"Article inconnu",IF(IF(E1810="",FALSE,INDEX(art_check,MATCH(E1810,art_ref,0))&lt;&gt;"OK"),"Article à corriger (feuille Articles)",IF(COUNTIFS(sj_date,A1810,sj_eq,B1810,sj_po,C1810)&gt;1,"Ligne en double (même jour, équipe et poste)",IF(OR(NOT(ISNUMBER(K1810)),N(K1810)&lt;=0,N(K1810)&gt;1440),"Temps d'ouverture invalide",IF(OR(AND(G1810&lt;&gt;"",NOT(ISNUMBER(G1810))),N(G1810)&lt;0,N(G1810)&lt;&gt;INT(N(G1810)),AND(H1810&lt;&gt;"",NOT(ISNUMBER(H1810))),N(H1810)&lt;0,N(H1810)&lt;&gt;INT(N(H1810)),AND(I1810&lt;&gt;"",NOT(ISNUMBER(I1810))),N(I1810)&lt;0,N(I1810)&lt;&gt;INT(N(I1810))),"Quantité invalide",IF(Q1810&lt;=0,"Cadence manquante (poste ou article)",IF(M1810&lt;=0,"Arrêts planifiés supérieurs au temps d'ouverture",IF(O1810&lt;0,"Arrêts supérieurs au temps requis",IF(AND(P1810&gt;0,O1810=0),"Pièces déclarées sans temps de marche",IF(AND(P1810=0,O1810&gt;0),"Aucune pièce déclarée",IF(P1810*60/Q1810&gt;O1810+0.001,"Cadence dépassée : vérifiez la cadence","OK"))))))))))))))))))</f>
        <v/>
      </c>
      <c r="AC1810">
        <f>IF(OR(AB1810="OK",AB1810="Aucune pièce déclarée",AB1810="Cadence dépassée : vérifiez la cadence"),1,0)</f>
        <v>0.0</v>
      </c>
      <c r="AD1810">
        <f>IF(AND(AC1810=1,A1810&gt;=p_from,A1810&lt;=p_to),1,0)</f>
        <v>0.0</v>
      </c>
      <c r="AE1810">
        <f>IF(AD1810=1,IF(COUNTIFS($A$6:A1810,A1810,$AD$6:AD1810,1)=1,1,0),0)</f>
        <v>0.0</v>
      </c>
      <c r="AF1810" t="str">
        <f>IF(AE1810=1,COUNTIFS(sj_first,1,sj_date,"&lt;"&amp;A1810)+1,"")</f>
        <v/>
      </c>
      <c r="AG1810" t="str">
        <f>IF(AND(AD1810=1,N(W1810)&lt;p_alert),ROUND(W1810,4),"")</f>
        <v/>
      </c>
      <c r="AH1810" t="str">
        <f>IF(AG1810="","",COUNTIF(sj_akey,"&lt;"&amp;AG1810)+COUNTIF($AG$6:AG1810,AG1810))</f>
        <v/>
      </c>
    </row>
    <row r="1811">
      <c r="A1811" s="51" t="n"/>
      <c r="B1811" s="52" t="n"/>
      <c r="C1811" s="52" t="n"/>
      <c r="D1811" s="53" t="n"/>
      <c r="E1811" s="53" t="n"/>
      <c r="F1811" s="54" t="n"/>
      <c r="G1811" s="54" t="n"/>
      <c r="H1811" s="54" t="n"/>
      <c r="I1811" s="54" t="n"/>
      <c r="J1811" s="53" t="n"/>
      <c r="K1811" s="55" t="str">
        <f>IF(COUNTA(A1811:I1811)=0,"",IF(F1811="",IFERROR(INDEX(eq_dur,MATCH(B1811,eq_code,0)),""),F1811))</f>
        <v/>
      </c>
      <c r="L1811" s="55" t="str">
        <f>IF(ISNUMBER(K1811),N(IFERROR(INDEX(eq_pause,MATCH(B1811,eq_code,0)),0))+SUMIFS(st_min,st_date,A1811,st_eq,B1811,st_po,C1811,st_type,"Planifié"),"")</f>
        <v/>
      </c>
      <c r="M1811" s="55" t="str">
        <f>IF(ISNUMBER(K1811),K1811-L1811,"")</f>
        <v/>
      </c>
      <c r="N1811" s="55" t="str">
        <f>IF(ISNUMBER(K1811),SUMIFS(st_min,st_date,A1811,st_eq,B1811,st_po,C1811,st_type,"Non planifié"),"")</f>
        <v/>
      </c>
      <c r="O1811" s="55" t="str">
        <f>IF(ISNUMBER(K1811),M1811-N1811,"")</f>
        <v/>
      </c>
      <c r="P1811" s="55" t="str">
        <f>IF(COUNTA(A1811:I1811)=0,"",N(G1811)+N(H1811)+N(I1811))</f>
        <v/>
      </c>
      <c r="Q1811" s="56" t="str">
        <f>IF(COUNTA(A1811:I1811)=0,"",IF(N(IFERROR(INDEX(art_rate,MATCH(E1811,art_ref,0)),0))&gt;0,N(IFERROR(INDEX(art_rate,MATCH(E1811,art_ref,0)),0)),N(IFERROR(INDEX(po_rate,MATCH(C1811,po_code,0)),0))))</f>
        <v/>
      </c>
      <c r="R1811" s="55" t="str">
        <f>IF(AC1811=1,P1811*60/Q1811,"")</f>
        <v/>
      </c>
      <c r="S1811" s="55" t="str">
        <f>IF(AC1811=1,N(G1811)*60/Q1811,"")</f>
        <v/>
      </c>
      <c r="T1811" s="57" t="str">
        <f>IF(AC1811=1,O1811/M1811,"")</f>
        <v/>
      </c>
      <c r="U1811" s="57" t="str">
        <f>IF(AC1811=1,IF(O1811&gt;0,R1811/O1811,""),"")</f>
        <v/>
      </c>
      <c r="V1811" s="57" t="str">
        <f>IF(AC1811=1,IF(P1811&gt;0,N(G1811)/P1811,""),"")</f>
        <v/>
      </c>
      <c r="W1811" s="57" t="str">
        <f>IF(AC1811=1,S1811/M1811,"")</f>
        <v/>
      </c>
      <c r="X1811" s="57" t="str">
        <f>IF(AC1811=1,S1811/K1811,"")</f>
        <v/>
      </c>
      <c r="Y1811" s="58" t="str">
        <f>IF(W1811="","",IF(W1811&gt;=p_target,"Bon",IF(W1811&gt;=p_alert,"À surveiller","Faible")))</f>
        <v/>
      </c>
      <c r="Z1811" s="58" t="str">
        <f>IF(W1811="","",IF(MIN(IF(T1811="",1,T1811),IF(U1811="",1,U1811),IF(V1811="",1,V1811))&gt;=1,"Aucune",IF(IF(T1811="",1,T1811)&lt;=MIN(IF(U1811="",1,U1811),IF(V1811="",1,V1811)),"Disponibilité",IF(IF(U1811="",1,U1811)&lt;=IF(V1811="",1,V1811),"Performance","Qualité"))))</f>
        <v/>
      </c>
      <c r="AA1811" s="59" t="str">
        <f>IF(AC1811=1,N(H1811)*N(IFERROR(INDEX(art_cost,MATCH(E1811,art_ref,0)),0)),"")</f>
        <v/>
      </c>
      <c r="AB1811" s="58" t="str">
        <f>IF(COUNTA(A1811:I1811)=0,"",IF(N(A1811)&lt;=0,"Date manquante ou invalide",IF(B1811="","Équipe manquante",IF(ISNA(MATCH(B1811,eq_code,0)),"Équipe inconnue",IF(INDEX(eq_check,MATCH(B1811,eq_code,0))&lt;&gt;"OK","Équipe à corriger dans Paramètres",IF(C1811="","Poste manquant",IF(ISNA(MATCH(C1811,po_code,0)),"Poste inconnu",IF(AND(E1811&lt;&gt;"",ISNA(MATCH(E1811,art_ref,0))),"Article inconnu",IF(IF(E1811="",FALSE,INDEX(art_check,MATCH(E1811,art_ref,0))&lt;&gt;"OK"),"Article à corriger (feuille Articles)",IF(COUNTIFS(sj_date,A1811,sj_eq,B1811,sj_po,C1811)&gt;1,"Ligne en double (même jour, équipe et poste)",IF(OR(NOT(ISNUMBER(K1811)),N(K1811)&lt;=0,N(K1811)&gt;1440),"Temps d'ouverture invalide",IF(OR(AND(G1811&lt;&gt;"",NOT(ISNUMBER(G1811))),N(G1811)&lt;0,N(G1811)&lt;&gt;INT(N(G1811)),AND(H1811&lt;&gt;"",NOT(ISNUMBER(H1811))),N(H1811)&lt;0,N(H1811)&lt;&gt;INT(N(H1811)),AND(I1811&lt;&gt;"",NOT(ISNUMBER(I1811))),N(I1811)&lt;0,N(I1811)&lt;&gt;INT(N(I1811))),"Quantité invalide",IF(Q1811&lt;=0,"Cadence manquante (poste ou article)",IF(M1811&lt;=0,"Arrêts planifiés supérieurs au temps d'ouverture",IF(O1811&lt;0,"Arrêts supérieurs au temps requis",IF(AND(P1811&gt;0,O1811=0),"Pièces déclarées sans temps de marche",IF(AND(P1811=0,O1811&gt;0),"Aucune pièce déclarée",IF(P1811*60/Q1811&gt;O1811+0.001,"Cadence dépassée : vérifiez la cadence","OK"))))))))))))))))))</f>
        <v/>
      </c>
      <c r="AC1811">
        <f>IF(OR(AB1811="OK",AB1811="Aucune pièce déclarée",AB1811="Cadence dépassée : vérifiez la cadence"),1,0)</f>
        <v>0.0</v>
      </c>
      <c r="AD1811">
        <f>IF(AND(AC1811=1,A1811&gt;=p_from,A1811&lt;=p_to),1,0)</f>
        <v>0.0</v>
      </c>
      <c r="AE1811">
        <f>IF(AD1811=1,IF(COUNTIFS($A$6:A1811,A1811,$AD$6:AD1811,1)=1,1,0),0)</f>
        <v>0.0</v>
      </c>
      <c r="AF1811" t="str">
        <f>IF(AE1811=1,COUNTIFS(sj_first,1,sj_date,"&lt;"&amp;A1811)+1,"")</f>
        <v/>
      </c>
      <c r="AG1811" t="str">
        <f>IF(AND(AD1811=1,N(W1811)&lt;p_alert),ROUND(W1811,4),"")</f>
        <v/>
      </c>
      <c r="AH1811" t="str">
        <f>IF(AG1811="","",COUNTIF(sj_akey,"&lt;"&amp;AG1811)+COUNTIF($AG$6:AG1811,AG1811))</f>
        <v/>
      </c>
    </row>
    <row r="1812">
      <c r="A1812" s="51" t="n"/>
      <c r="B1812" s="52" t="n"/>
      <c r="C1812" s="52" t="n"/>
      <c r="D1812" s="53" t="n"/>
      <c r="E1812" s="53" t="n"/>
      <c r="F1812" s="54" t="n"/>
      <c r="G1812" s="54" t="n"/>
      <c r="H1812" s="54" t="n"/>
      <c r="I1812" s="54" t="n"/>
      <c r="J1812" s="53" t="n"/>
      <c r="K1812" s="55" t="str">
        <f>IF(COUNTA(A1812:I1812)=0,"",IF(F1812="",IFERROR(INDEX(eq_dur,MATCH(B1812,eq_code,0)),""),F1812))</f>
        <v/>
      </c>
      <c r="L1812" s="55" t="str">
        <f>IF(ISNUMBER(K1812),N(IFERROR(INDEX(eq_pause,MATCH(B1812,eq_code,0)),0))+SUMIFS(st_min,st_date,A1812,st_eq,B1812,st_po,C1812,st_type,"Planifié"),"")</f>
        <v/>
      </c>
      <c r="M1812" s="55" t="str">
        <f>IF(ISNUMBER(K1812),K1812-L1812,"")</f>
        <v/>
      </c>
      <c r="N1812" s="55" t="str">
        <f>IF(ISNUMBER(K1812),SUMIFS(st_min,st_date,A1812,st_eq,B1812,st_po,C1812,st_type,"Non planifié"),"")</f>
        <v/>
      </c>
      <c r="O1812" s="55" t="str">
        <f>IF(ISNUMBER(K1812),M1812-N1812,"")</f>
        <v/>
      </c>
      <c r="P1812" s="55" t="str">
        <f>IF(COUNTA(A1812:I1812)=0,"",N(G1812)+N(H1812)+N(I1812))</f>
        <v/>
      </c>
      <c r="Q1812" s="56" t="str">
        <f>IF(COUNTA(A1812:I1812)=0,"",IF(N(IFERROR(INDEX(art_rate,MATCH(E1812,art_ref,0)),0))&gt;0,N(IFERROR(INDEX(art_rate,MATCH(E1812,art_ref,0)),0)),N(IFERROR(INDEX(po_rate,MATCH(C1812,po_code,0)),0))))</f>
        <v/>
      </c>
      <c r="R1812" s="55" t="str">
        <f>IF(AC1812=1,P1812*60/Q1812,"")</f>
        <v/>
      </c>
      <c r="S1812" s="55" t="str">
        <f>IF(AC1812=1,N(G1812)*60/Q1812,"")</f>
        <v/>
      </c>
      <c r="T1812" s="57" t="str">
        <f>IF(AC1812=1,O1812/M1812,"")</f>
        <v/>
      </c>
      <c r="U1812" s="57" t="str">
        <f>IF(AC1812=1,IF(O1812&gt;0,R1812/O1812,""),"")</f>
        <v/>
      </c>
      <c r="V1812" s="57" t="str">
        <f>IF(AC1812=1,IF(P1812&gt;0,N(G1812)/P1812,""),"")</f>
        <v/>
      </c>
      <c r="W1812" s="57" t="str">
        <f>IF(AC1812=1,S1812/M1812,"")</f>
        <v/>
      </c>
      <c r="X1812" s="57" t="str">
        <f>IF(AC1812=1,S1812/K1812,"")</f>
        <v/>
      </c>
      <c r="Y1812" s="58" t="str">
        <f>IF(W1812="","",IF(W1812&gt;=p_target,"Bon",IF(W1812&gt;=p_alert,"À surveiller","Faible")))</f>
        <v/>
      </c>
      <c r="Z1812" s="58" t="str">
        <f>IF(W1812="","",IF(MIN(IF(T1812="",1,T1812),IF(U1812="",1,U1812),IF(V1812="",1,V1812))&gt;=1,"Aucune",IF(IF(T1812="",1,T1812)&lt;=MIN(IF(U1812="",1,U1812),IF(V1812="",1,V1812)),"Disponibilité",IF(IF(U1812="",1,U1812)&lt;=IF(V1812="",1,V1812),"Performance","Qualité"))))</f>
        <v/>
      </c>
      <c r="AA1812" s="59" t="str">
        <f>IF(AC1812=1,N(H1812)*N(IFERROR(INDEX(art_cost,MATCH(E1812,art_ref,0)),0)),"")</f>
        <v/>
      </c>
      <c r="AB1812" s="58" t="str">
        <f>IF(COUNTA(A1812:I1812)=0,"",IF(N(A1812)&lt;=0,"Date manquante ou invalide",IF(B1812="","Équipe manquante",IF(ISNA(MATCH(B1812,eq_code,0)),"Équipe inconnue",IF(INDEX(eq_check,MATCH(B1812,eq_code,0))&lt;&gt;"OK","Équipe à corriger dans Paramètres",IF(C1812="","Poste manquant",IF(ISNA(MATCH(C1812,po_code,0)),"Poste inconnu",IF(AND(E1812&lt;&gt;"",ISNA(MATCH(E1812,art_ref,0))),"Article inconnu",IF(IF(E1812="",FALSE,INDEX(art_check,MATCH(E1812,art_ref,0))&lt;&gt;"OK"),"Article à corriger (feuille Articles)",IF(COUNTIFS(sj_date,A1812,sj_eq,B1812,sj_po,C1812)&gt;1,"Ligne en double (même jour, équipe et poste)",IF(OR(NOT(ISNUMBER(K1812)),N(K1812)&lt;=0,N(K1812)&gt;1440),"Temps d'ouverture invalide",IF(OR(AND(G1812&lt;&gt;"",NOT(ISNUMBER(G1812))),N(G1812)&lt;0,N(G1812)&lt;&gt;INT(N(G1812)),AND(H1812&lt;&gt;"",NOT(ISNUMBER(H1812))),N(H1812)&lt;0,N(H1812)&lt;&gt;INT(N(H1812)),AND(I1812&lt;&gt;"",NOT(ISNUMBER(I1812))),N(I1812)&lt;0,N(I1812)&lt;&gt;INT(N(I1812))),"Quantité invalide",IF(Q1812&lt;=0,"Cadence manquante (poste ou article)",IF(M1812&lt;=0,"Arrêts planifiés supérieurs au temps d'ouverture",IF(O1812&lt;0,"Arrêts supérieurs au temps requis",IF(AND(P1812&gt;0,O1812=0),"Pièces déclarées sans temps de marche",IF(AND(P1812=0,O1812&gt;0),"Aucune pièce déclarée",IF(P1812*60/Q1812&gt;O1812+0.001,"Cadence dépassée : vérifiez la cadence","OK"))))))))))))))))))</f>
        <v/>
      </c>
      <c r="AC1812">
        <f>IF(OR(AB1812="OK",AB1812="Aucune pièce déclarée",AB1812="Cadence dépassée : vérifiez la cadence"),1,0)</f>
        <v>0.0</v>
      </c>
      <c r="AD1812">
        <f>IF(AND(AC1812=1,A1812&gt;=p_from,A1812&lt;=p_to),1,0)</f>
        <v>0.0</v>
      </c>
      <c r="AE1812">
        <f>IF(AD1812=1,IF(COUNTIFS($A$6:A1812,A1812,$AD$6:AD1812,1)=1,1,0),0)</f>
        <v>0.0</v>
      </c>
      <c r="AF1812" t="str">
        <f>IF(AE1812=1,COUNTIFS(sj_first,1,sj_date,"&lt;"&amp;A1812)+1,"")</f>
        <v/>
      </c>
      <c r="AG1812" t="str">
        <f>IF(AND(AD1812=1,N(W1812)&lt;p_alert),ROUND(W1812,4),"")</f>
        <v/>
      </c>
      <c r="AH1812" t="str">
        <f>IF(AG1812="","",COUNTIF(sj_akey,"&lt;"&amp;AG1812)+COUNTIF($AG$6:AG1812,AG1812))</f>
        <v/>
      </c>
    </row>
    <row r="1813">
      <c r="A1813" s="51" t="n"/>
      <c r="B1813" s="52" t="n"/>
      <c r="C1813" s="52" t="n"/>
      <c r="D1813" s="53" t="n"/>
      <c r="E1813" s="53" t="n"/>
      <c r="F1813" s="54" t="n"/>
      <c r="G1813" s="54" t="n"/>
      <c r="H1813" s="54" t="n"/>
      <c r="I1813" s="54" t="n"/>
      <c r="J1813" s="53" t="n"/>
      <c r="K1813" s="55" t="str">
        <f>IF(COUNTA(A1813:I1813)=0,"",IF(F1813="",IFERROR(INDEX(eq_dur,MATCH(B1813,eq_code,0)),""),F1813))</f>
        <v/>
      </c>
      <c r="L1813" s="55" t="str">
        <f>IF(ISNUMBER(K1813),N(IFERROR(INDEX(eq_pause,MATCH(B1813,eq_code,0)),0))+SUMIFS(st_min,st_date,A1813,st_eq,B1813,st_po,C1813,st_type,"Planifié"),"")</f>
        <v/>
      </c>
      <c r="M1813" s="55" t="str">
        <f>IF(ISNUMBER(K1813),K1813-L1813,"")</f>
        <v/>
      </c>
      <c r="N1813" s="55" t="str">
        <f>IF(ISNUMBER(K1813),SUMIFS(st_min,st_date,A1813,st_eq,B1813,st_po,C1813,st_type,"Non planifié"),"")</f>
        <v/>
      </c>
      <c r="O1813" s="55" t="str">
        <f>IF(ISNUMBER(K1813),M1813-N1813,"")</f>
        <v/>
      </c>
      <c r="P1813" s="55" t="str">
        <f>IF(COUNTA(A1813:I1813)=0,"",N(G1813)+N(H1813)+N(I1813))</f>
        <v/>
      </c>
      <c r="Q1813" s="56" t="str">
        <f>IF(COUNTA(A1813:I1813)=0,"",IF(N(IFERROR(INDEX(art_rate,MATCH(E1813,art_ref,0)),0))&gt;0,N(IFERROR(INDEX(art_rate,MATCH(E1813,art_ref,0)),0)),N(IFERROR(INDEX(po_rate,MATCH(C1813,po_code,0)),0))))</f>
        <v/>
      </c>
      <c r="R1813" s="55" t="str">
        <f>IF(AC1813=1,P1813*60/Q1813,"")</f>
        <v/>
      </c>
      <c r="S1813" s="55" t="str">
        <f>IF(AC1813=1,N(G1813)*60/Q1813,"")</f>
        <v/>
      </c>
      <c r="T1813" s="57" t="str">
        <f>IF(AC1813=1,O1813/M1813,"")</f>
        <v/>
      </c>
      <c r="U1813" s="57" t="str">
        <f>IF(AC1813=1,IF(O1813&gt;0,R1813/O1813,""),"")</f>
        <v/>
      </c>
      <c r="V1813" s="57" t="str">
        <f>IF(AC1813=1,IF(P1813&gt;0,N(G1813)/P1813,""),"")</f>
        <v/>
      </c>
      <c r="W1813" s="57" t="str">
        <f>IF(AC1813=1,S1813/M1813,"")</f>
        <v/>
      </c>
      <c r="X1813" s="57" t="str">
        <f>IF(AC1813=1,S1813/K1813,"")</f>
        <v/>
      </c>
      <c r="Y1813" s="58" t="str">
        <f>IF(W1813="","",IF(W1813&gt;=p_target,"Bon",IF(W1813&gt;=p_alert,"À surveiller","Faible")))</f>
        <v/>
      </c>
      <c r="Z1813" s="58" t="str">
        <f>IF(W1813="","",IF(MIN(IF(T1813="",1,T1813),IF(U1813="",1,U1813),IF(V1813="",1,V1813))&gt;=1,"Aucune",IF(IF(T1813="",1,T1813)&lt;=MIN(IF(U1813="",1,U1813),IF(V1813="",1,V1813)),"Disponibilité",IF(IF(U1813="",1,U1813)&lt;=IF(V1813="",1,V1813),"Performance","Qualité"))))</f>
        <v/>
      </c>
      <c r="AA1813" s="59" t="str">
        <f>IF(AC1813=1,N(H1813)*N(IFERROR(INDEX(art_cost,MATCH(E1813,art_ref,0)),0)),"")</f>
        <v/>
      </c>
      <c r="AB1813" s="58" t="str">
        <f>IF(COUNTA(A1813:I1813)=0,"",IF(N(A1813)&lt;=0,"Date manquante ou invalide",IF(B1813="","Équipe manquante",IF(ISNA(MATCH(B1813,eq_code,0)),"Équipe inconnue",IF(INDEX(eq_check,MATCH(B1813,eq_code,0))&lt;&gt;"OK","Équipe à corriger dans Paramètres",IF(C1813="","Poste manquant",IF(ISNA(MATCH(C1813,po_code,0)),"Poste inconnu",IF(AND(E1813&lt;&gt;"",ISNA(MATCH(E1813,art_ref,0))),"Article inconnu",IF(IF(E1813="",FALSE,INDEX(art_check,MATCH(E1813,art_ref,0))&lt;&gt;"OK"),"Article à corriger (feuille Articles)",IF(COUNTIFS(sj_date,A1813,sj_eq,B1813,sj_po,C1813)&gt;1,"Ligne en double (même jour, équipe et poste)",IF(OR(NOT(ISNUMBER(K1813)),N(K1813)&lt;=0,N(K1813)&gt;1440),"Temps d'ouverture invalide",IF(OR(AND(G1813&lt;&gt;"",NOT(ISNUMBER(G1813))),N(G1813)&lt;0,N(G1813)&lt;&gt;INT(N(G1813)),AND(H1813&lt;&gt;"",NOT(ISNUMBER(H1813))),N(H1813)&lt;0,N(H1813)&lt;&gt;INT(N(H1813)),AND(I1813&lt;&gt;"",NOT(ISNUMBER(I1813))),N(I1813)&lt;0,N(I1813)&lt;&gt;INT(N(I1813))),"Quantité invalide",IF(Q1813&lt;=0,"Cadence manquante (poste ou article)",IF(M1813&lt;=0,"Arrêts planifiés supérieurs au temps d'ouverture",IF(O1813&lt;0,"Arrêts supérieurs au temps requis",IF(AND(P1813&gt;0,O1813=0),"Pièces déclarées sans temps de marche",IF(AND(P1813=0,O1813&gt;0),"Aucune pièce déclarée",IF(P1813*60/Q1813&gt;O1813+0.001,"Cadence dépassée : vérifiez la cadence","OK"))))))))))))))))))</f>
        <v/>
      </c>
      <c r="AC1813">
        <f>IF(OR(AB1813="OK",AB1813="Aucune pièce déclarée",AB1813="Cadence dépassée : vérifiez la cadence"),1,0)</f>
        <v>0.0</v>
      </c>
      <c r="AD1813">
        <f>IF(AND(AC1813=1,A1813&gt;=p_from,A1813&lt;=p_to),1,0)</f>
        <v>0.0</v>
      </c>
      <c r="AE1813">
        <f>IF(AD1813=1,IF(COUNTIFS($A$6:A1813,A1813,$AD$6:AD1813,1)=1,1,0),0)</f>
        <v>0.0</v>
      </c>
      <c r="AF1813" t="str">
        <f>IF(AE1813=1,COUNTIFS(sj_first,1,sj_date,"&lt;"&amp;A1813)+1,"")</f>
        <v/>
      </c>
      <c r="AG1813" t="str">
        <f>IF(AND(AD1813=1,N(W1813)&lt;p_alert),ROUND(W1813,4),"")</f>
        <v/>
      </c>
      <c r="AH1813" t="str">
        <f>IF(AG1813="","",COUNTIF(sj_akey,"&lt;"&amp;AG1813)+COUNTIF($AG$6:AG1813,AG1813))</f>
        <v/>
      </c>
    </row>
    <row r="1814">
      <c r="A1814" s="51" t="n"/>
      <c r="B1814" s="52" t="n"/>
      <c r="C1814" s="52" t="n"/>
      <c r="D1814" s="53" t="n"/>
      <c r="E1814" s="53" t="n"/>
      <c r="F1814" s="54" t="n"/>
      <c r="G1814" s="54" t="n"/>
      <c r="H1814" s="54" t="n"/>
      <c r="I1814" s="54" t="n"/>
      <c r="J1814" s="53" t="n"/>
      <c r="K1814" s="55" t="str">
        <f>IF(COUNTA(A1814:I1814)=0,"",IF(F1814="",IFERROR(INDEX(eq_dur,MATCH(B1814,eq_code,0)),""),F1814))</f>
        <v/>
      </c>
      <c r="L1814" s="55" t="str">
        <f>IF(ISNUMBER(K1814),N(IFERROR(INDEX(eq_pause,MATCH(B1814,eq_code,0)),0))+SUMIFS(st_min,st_date,A1814,st_eq,B1814,st_po,C1814,st_type,"Planifié"),"")</f>
        <v/>
      </c>
      <c r="M1814" s="55" t="str">
        <f>IF(ISNUMBER(K1814),K1814-L1814,"")</f>
        <v/>
      </c>
      <c r="N1814" s="55" t="str">
        <f>IF(ISNUMBER(K1814),SUMIFS(st_min,st_date,A1814,st_eq,B1814,st_po,C1814,st_type,"Non planifié"),"")</f>
        <v/>
      </c>
      <c r="O1814" s="55" t="str">
        <f>IF(ISNUMBER(K1814),M1814-N1814,"")</f>
        <v/>
      </c>
      <c r="P1814" s="55" t="str">
        <f>IF(COUNTA(A1814:I1814)=0,"",N(G1814)+N(H1814)+N(I1814))</f>
        <v/>
      </c>
      <c r="Q1814" s="56" t="str">
        <f>IF(COUNTA(A1814:I1814)=0,"",IF(N(IFERROR(INDEX(art_rate,MATCH(E1814,art_ref,0)),0))&gt;0,N(IFERROR(INDEX(art_rate,MATCH(E1814,art_ref,0)),0)),N(IFERROR(INDEX(po_rate,MATCH(C1814,po_code,0)),0))))</f>
        <v/>
      </c>
      <c r="R1814" s="55" t="str">
        <f>IF(AC1814=1,P1814*60/Q1814,"")</f>
        <v/>
      </c>
      <c r="S1814" s="55" t="str">
        <f>IF(AC1814=1,N(G1814)*60/Q1814,"")</f>
        <v/>
      </c>
      <c r="T1814" s="57" t="str">
        <f>IF(AC1814=1,O1814/M1814,"")</f>
        <v/>
      </c>
      <c r="U1814" s="57" t="str">
        <f>IF(AC1814=1,IF(O1814&gt;0,R1814/O1814,""),"")</f>
        <v/>
      </c>
      <c r="V1814" s="57" t="str">
        <f>IF(AC1814=1,IF(P1814&gt;0,N(G1814)/P1814,""),"")</f>
        <v/>
      </c>
      <c r="W1814" s="57" t="str">
        <f>IF(AC1814=1,S1814/M1814,"")</f>
        <v/>
      </c>
      <c r="X1814" s="57" t="str">
        <f>IF(AC1814=1,S1814/K1814,"")</f>
        <v/>
      </c>
      <c r="Y1814" s="58" t="str">
        <f>IF(W1814="","",IF(W1814&gt;=p_target,"Bon",IF(W1814&gt;=p_alert,"À surveiller","Faible")))</f>
        <v/>
      </c>
      <c r="Z1814" s="58" t="str">
        <f>IF(W1814="","",IF(MIN(IF(T1814="",1,T1814),IF(U1814="",1,U1814),IF(V1814="",1,V1814))&gt;=1,"Aucune",IF(IF(T1814="",1,T1814)&lt;=MIN(IF(U1814="",1,U1814),IF(V1814="",1,V1814)),"Disponibilité",IF(IF(U1814="",1,U1814)&lt;=IF(V1814="",1,V1814),"Performance","Qualité"))))</f>
        <v/>
      </c>
      <c r="AA1814" s="59" t="str">
        <f>IF(AC1814=1,N(H1814)*N(IFERROR(INDEX(art_cost,MATCH(E1814,art_ref,0)),0)),"")</f>
        <v/>
      </c>
      <c r="AB1814" s="58" t="str">
        <f>IF(COUNTA(A1814:I1814)=0,"",IF(N(A1814)&lt;=0,"Date manquante ou invalide",IF(B1814="","Équipe manquante",IF(ISNA(MATCH(B1814,eq_code,0)),"Équipe inconnue",IF(INDEX(eq_check,MATCH(B1814,eq_code,0))&lt;&gt;"OK","Équipe à corriger dans Paramètres",IF(C1814="","Poste manquant",IF(ISNA(MATCH(C1814,po_code,0)),"Poste inconnu",IF(AND(E1814&lt;&gt;"",ISNA(MATCH(E1814,art_ref,0))),"Article inconnu",IF(IF(E1814="",FALSE,INDEX(art_check,MATCH(E1814,art_ref,0))&lt;&gt;"OK"),"Article à corriger (feuille Articles)",IF(COUNTIFS(sj_date,A1814,sj_eq,B1814,sj_po,C1814)&gt;1,"Ligne en double (même jour, équipe et poste)",IF(OR(NOT(ISNUMBER(K1814)),N(K1814)&lt;=0,N(K1814)&gt;1440),"Temps d'ouverture invalide",IF(OR(AND(G1814&lt;&gt;"",NOT(ISNUMBER(G1814))),N(G1814)&lt;0,N(G1814)&lt;&gt;INT(N(G1814)),AND(H1814&lt;&gt;"",NOT(ISNUMBER(H1814))),N(H1814)&lt;0,N(H1814)&lt;&gt;INT(N(H1814)),AND(I1814&lt;&gt;"",NOT(ISNUMBER(I1814))),N(I1814)&lt;0,N(I1814)&lt;&gt;INT(N(I1814))),"Quantité invalide",IF(Q1814&lt;=0,"Cadence manquante (poste ou article)",IF(M1814&lt;=0,"Arrêts planifiés supérieurs au temps d'ouverture",IF(O1814&lt;0,"Arrêts supérieurs au temps requis",IF(AND(P1814&gt;0,O1814=0),"Pièces déclarées sans temps de marche",IF(AND(P1814=0,O1814&gt;0),"Aucune pièce déclarée",IF(P1814*60/Q1814&gt;O1814+0.001,"Cadence dépassée : vérifiez la cadence","OK"))))))))))))))))))</f>
        <v/>
      </c>
      <c r="AC1814">
        <f>IF(OR(AB1814="OK",AB1814="Aucune pièce déclarée",AB1814="Cadence dépassée : vérifiez la cadence"),1,0)</f>
        <v>0.0</v>
      </c>
      <c r="AD1814">
        <f>IF(AND(AC1814=1,A1814&gt;=p_from,A1814&lt;=p_to),1,0)</f>
        <v>0.0</v>
      </c>
      <c r="AE1814">
        <f>IF(AD1814=1,IF(COUNTIFS($A$6:A1814,A1814,$AD$6:AD1814,1)=1,1,0),0)</f>
        <v>0.0</v>
      </c>
      <c r="AF1814" t="str">
        <f>IF(AE1814=1,COUNTIFS(sj_first,1,sj_date,"&lt;"&amp;A1814)+1,"")</f>
        <v/>
      </c>
      <c r="AG1814" t="str">
        <f>IF(AND(AD1814=1,N(W1814)&lt;p_alert),ROUND(W1814,4),"")</f>
        <v/>
      </c>
      <c r="AH1814" t="str">
        <f>IF(AG1814="","",COUNTIF(sj_akey,"&lt;"&amp;AG1814)+COUNTIF($AG$6:AG1814,AG1814))</f>
        <v/>
      </c>
    </row>
    <row r="1815">
      <c r="A1815" s="51" t="n"/>
      <c r="B1815" s="52" t="n"/>
      <c r="C1815" s="52" t="n"/>
      <c r="D1815" s="53" t="n"/>
      <c r="E1815" s="53" t="n"/>
      <c r="F1815" s="54" t="n"/>
      <c r="G1815" s="54" t="n"/>
      <c r="H1815" s="54" t="n"/>
      <c r="I1815" s="54" t="n"/>
      <c r="J1815" s="53" t="n"/>
      <c r="K1815" s="55" t="str">
        <f>IF(COUNTA(A1815:I1815)=0,"",IF(F1815="",IFERROR(INDEX(eq_dur,MATCH(B1815,eq_code,0)),""),F1815))</f>
        <v/>
      </c>
      <c r="L1815" s="55" t="str">
        <f>IF(ISNUMBER(K1815),N(IFERROR(INDEX(eq_pause,MATCH(B1815,eq_code,0)),0))+SUMIFS(st_min,st_date,A1815,st_eq,B1815,st_po,C1815,st_type,"Planifié"),"")</f>
        <v/>
      </c>
      <c r="M1815" s="55" t="str">
        <f>IF(ISNUMBER(K1815),K1815-L1815,"")</f>
        <v/>
      </c>
      <c r="N1815" s="55" t="str">
        <f>IF(ISNUMBER(K1815),SUMIFS(st_min,st_date,A1815,st_eq,B1815,st_po,C1815,st_type,"Non planifié"),"")</f>
        <v/>
      </c>
      <c r="O1815" s="55" t="str">
        <f>IF(ISNUMBER(K1815),M1815-N1815,"")</f>
        <v/>
      </c>
      <c r="P1815" s="55" t="str">
        <f>IF(COUNTA(A1815:I1815)=0,"",N(G1815)+N(H1815)+N(I1815))</f>
        <v/>
      </c>
      <c r="Q1815" s="56" t="str">
        <f>IF(COUNTA(A1815:I1815)=0,"",IF(N(IFERROR(INDEX(art_rate,MATCH(E1815,art_ref,0)),0))&gt;0,N(IFERROR(INDEX(art_rate,MATCH(E1815,art_ref,0)),0)),N(IFERROR(INDEX(po_rate,MATCH(C1815,po_code,0)),0))))</f>
        <v/>
      </c>
      <c r="R1815" s="55" t="str">
        <f>IF(AC1815=1,P1815*60/Q1815,"")</f>
        <v/>
      </c>
      <c r="S1815" s="55" t="str">
        <f>IF(AC1815=1,N(G1815)*60/Q1815,"")</f>
        <v/>
      </c>
      <c r="T1815" s="57" t="str">
        <f>IF(AC1815=1,O1815/M1815,"")</f>
        <v/>
      </c>
      <c r="U1815" s="57" t="str">
        <f>IF(AC1815=1,IF(O1815&gt;0,R1815/O1815,""),"")</f>
        <v/>
      </c>
      <c r="V1815" s="57" t="str">
        <f>IF(AC1815=1,IF(P1815&gt;0,N(G1815)/P1815,""),"")</f>
        <v/>
      </c>
      <c r="W1815" s="57" t="str">
        <f>IF(AC1815=1,S1815/M1815,"")</f>
        <v/>
      </c>
      <c r="X1815" s="57" t="str">
        <f>IF(AC1815=1,S1815/K1815,"")</f>
        <v/>
      </c>
      <c r="Y1815" s="58" t="str">
        <f>IF(W1815="","",IF(W1815&gt;=p_target,"Bon",IF(W1815&gt;=p_alert,"À surveiller","Faible")))</f>
        <v/>
      </c>
      <c r="Z1815" s="58" t="str">
        <f>IF(W1815="","",IF(MIN(IF(T1815="",1,T1815),IF(U1815="",1,U1815),IF(V1815="",1,V1815))&gt;=1,"Aucune",IF(IF(T1815="",1,T1815)&lt;=MIN(IF(U1815="",1,U1815),IF(V1815="",1,V1815)),"Disponibilité",IF(IF(U1815="",1,U1815)&lt;=IF(V1815="",1,V1815),"Performance","Qualité"))))</f>
        <v/>
      </c>
      <c r="AA1815" s="59" t="str">
        <f>IF(AC1815=1,N(H1815)*N(IFERROR(INDEX(art_cost,MATCH(E1815,art_ref,0)),0)),"")</f>
        <v/>
      </c>
      <c r="AB1815" s="58" t="str">
        <f>IF(COUNTA(A1815:I1815)=0,"",IF(N(A1815)&lt;=0,"Date manquante ou invalide",IF(B1815="","Équipe manquante",IF(ISNA(MATCH(B1815,eq_code,0)),"Équipe inconnue",IF(INDEX(eq_check,MATCH(B1815,eq_code,0))&lt;&gt;"OK","Équipe à corriger dans Paramètres",IF(C1815="","Poste manquant",IF(ISNA(MATCH(C1815,po_code,0)),"Poste inconnu",IF(AND(E1815&lt;&gt;"",ISNA(MATCH(E1815,art_ref,0))),"Article inconnu",IF(IF(E1815="",FALSE,INDEX(art_check,MATCH(E1815,art_ref,0))&lt;&gt;"OK"),"Article à corriger (feuille Articles)",IF(COUNTIFS(sj_date,A1815,sj_eq,B1815,sj_po,C1815)&gt;1,"Ligne en double (même jour, équipe et poste)",IF(OR(NOT(ISNUMBER(K1815)),N(K1815)&lt;=0,N(K1815)&gt;1440),"Temps d'ouverture invalide",IF(OR(AND(G1815&lt;&gt;"",NOT(ISNUMBER(G1815))),N(G1815)&lt;0,N(G1815)&lt;&gt;INT(N(G1815)),AND(H1815&lt;&gt;"",NOT(ISNUMBER(H1815))),N(H1815)&lt;0,N(H1815)&lt;&gt;INT(N(H1815)),AND(I1815&lt;&gt;"",NOT(ISNUMBER(I1815))),N(I1815)&lt;0,N(I1815)&lt;&gt;INT(N(I1815))),"Quantité invalide",IF(Q1815&lt;=0,"Cadence manquante (poste ou article)",IF(M1815&lt;=0,"Arrêts planifiés supérieurs au temps d'ouverture",IF(O1815&lt;0,"Arrêts supérieurs au temps requis",IF(AND(P1815&gt;0,O1815=0),"Pièces déclarées sans temps de marche",IF(AND(P1815=0,O1815&gt;0),"Aucune pièce déclarée",IF(P1815*60/Q1815&gt;O1815+0.001,"Cadence dépassée : vérifiez la cadence","OK"))))))))))))))))))</f>
        <v/>
      </c>
      <c r="AC1815">
        <f>IF(OR(AB1815="OK",AB1815="Aucune pièce déclarée",AB1815="Cadence dépassée : vérifiez la cadence"),1,0)</f>
        <v>0.0</v>
      </c>
      <c r="AD1815">
        <f>IF(AND(AC1815=1,A1815&gt;=p_from,A1815&lt;=p_to),1,0)</f>
        <v>0.0</v>
      </c>
      <c r="AE1815">
        <f>IF(AD1815=1,IF(COUNTIFS($A$6:A1815,A1815,$AD$6:AD1815,1)=1,1,0),0)</f>
        <v>0.0</v>
      </c>
      <c r="AF1815" t="str">
        <f>IF(AE1815=1,COUNTIFS(sj_first,1,sj_date,"&lt;"&amp;A1815)+1,"")</f>
        <v/>
      </c>
      <c r="AG1815" t="str">
        <f>IF(AND(AD1815=1,N(W1815)&lt;p_alert),ROUND(W1815,4),"")</f>
        <v/>
      </c>
      <c r="AH1815" t="str">
        <f>IF(AG1815="","",COUNTIF(sj_akey,"&lt;"&amp;AG1815)+COUNTIF($AG$6:AG1815,AG1815))</f>
        <v/>
      </c>
    </row>
    <row r="1816">
      <c r="A1816" s="51" t="n"/>
      <c r="B1816" s="52" t="n"/>
      <c r="C1816" s="52" t="n"/>
      <c r="D1816" s="53" t="n"/>
      <c r="E1816" s="53" t="n"/>
      <c r="F1816" s="54" t="n"/>
      <c r="G1816" s="54" t="n"/>
      <c r="H1816" s="54" t="n"/>
      <c r="I1816" s="54" t="n"/>
      <c r="J1816" s="53" t="n"/>
      <c r="K1816" s="55" t="str">
        <f>IF(COUNTA(A1816:I1816)=0,"",IF(F1816="",IFERROR(INDEX(eq_dur,MATCH(B1816,eq_code,0)),""),F1816))</f>
        <v/>
      </c>
      <c r="L1816" s="55" t="str">
        <f>IF(ISNUMBER(K1816),N(IFERROR(INDEX(eq_pause,MATCH(B1816,eq_code,0)),0))+SUMIFS(st_min,st_date,A1816,st_eq,B1816,st_po,C1816,st_type,"Planifié"),"")</f>
        <v/>
      </c>
      <c r="M1816" s="55" t="str">
        <f>IF(ISNUMBER(K1816),K1816-L1816,"")</f>
        <v/>
      </c>
      <c r="N1816" s="55" t="str">
        <f>IF(ISNUMBER(K1816),SUMIFS(st_min,st_date,A1816,st_eq,B1816,st_po,C1816,st_type,"Non planifié"),"")</f>
        <v/>
      </c>
      <c r="O1816" s="55" t="str">
        <f>IF(ISNUMBER(K1816),M1816-N1816,"")</f>
        <v/>
      </c>
      <c r="P1816" s="55" t="str">
        <f>IF(COUNTA(A1816:I1816)=0,"",N(G1816)+N(H1816)+N(I1816))</f>
        <v/>
      </c>
      <c r="Q1816" s="56" t="str">
        <f>IF(COUNTA(A1816:I1816)=0,"",IF(N(IFERROR(INDEX(art_rate,MATCH(E1816,art_ref,0)),0))&gt;0,N(IFERROR(INDEX(art_rate,MATCH(E1816,art_ref,0)),0)),N(IFERROR(INDEX(po_rate,MATCH(C1816,po_code,0)),0))))</f>
        <v/>
      </c>
      <c r="R1816" s="55" t="str">
        <f>IF(AC1816=1,P1816*60/Q1816,"")</f>
        <v/>
      </c>
      <c r="S1816" s="55" t="str">
        <f>IF(AC1816=1,N(G1816)*60/Q1816,"")</f>
        <v/>
      </c>
      <c r="T1816" s="57" t="str">
        <f>IF(AC1816=1,O1816/M1816,"")</f>
        <v/>
      </c>
      <c r="U1816" s="57" t="str">
        <f>IF(AC1816=1,IF(O1816&gt;0,R1816/O1816,""),"")</f>
        <v/>
      </c>
      <c r="V1816" s="57" t="str">
        <f>IF(AC1816=1,IF(P1816&gt;0,N(G1816)/P1816,""),"")</f>
        <v/>
      </c>
      <c r="W1816" s="57" t="str">
        <f>IF(AC1816=1,S1816/M1816,"")</f>
        <v/>
      </c>
      <c r="X1816" s="57" t="str">
        <f>IF(AC1816=1,S1816/K1816,"")</f>
        <v/>
      </c>
      <c r="Y1816" s="58" t="str">
        <f>IF(W1816="","",IF(W1816&gt;=p_target,"Bon",IF(W1816&gt;=p_alert,"À surveiller","Faible")))</f>
        <v/>
      </c>
      <c r="Z1816" s="58" t="str">
        <f>IF(W1816="","",IF(MIN(IF(T1816="",1,T1816),IF(U1816="",1,U1816),IF(V1816="",1,V1816))&gt;=1,"Aucune",IF(IF(T1816="",1,T1816)&lt;=MIN(IF(U1816="",1,U1816),IF(V1816="",1,V1816)),"Disponibilité",IF(IF(U1816="",1,U1816)&lt;=IF(V1816="",1,V1816),"Performance","Qualité"))))</f>
        <v/>
      </c>
      <c r="AA1816" s="59" t="str">
        <f>IF(AC1816=1,N(H1816)*N(IFERROR(INDEX(art_cost,MATCH(E1816,art_ref,0)),0)),"")</f>
        <v/>
      </c>
      <c r="AB1816" s="58" t="str">
        <f>IF(COUNTA(A1816:I1816)=0,"",IF(N(A1816)&lt;=0,"Date manquante ou invalide",IF(B1816="","Équipe manquante",IF(ISNA(MATCH(B1816,eq_code,0)),"Équipe inconnue",IF(INDEX(eq_check,MATCH(B1816,eq_code,0))&lt;&gt;"OK","Équipe à corriger dans Paramètres",IF(C1816="","Poste manquant",IF(ISNA(MATCH(C1816,po_code,0)),"Poste inconnu",IF(AND(E1816&lt;&gt;"",ISNA(MATCH(E1816,art_ref,0))),"Article inconnu",IF(IF(E1816="",FALSE,INDEX(art_check,MATCH(E1816,art_ref,0))&lt;&gt;"OK"),"Article à corriger (feuille Articles)",IF(COUNTIFS(sj_date,A1816,sj_eq,B1816,sj_po,C1816)&gt;1,"Ligne en double (même jour, équipe et poste)",IF(OR(NOT(ISNUMBER(K1816)),N(K1816)&lt;=0,N(K1816)&gt;1440),"Temps d'ouverture invalide",IF(OR(AND(G1816&lt;&gt;"",NOT(ISNUMBER(G1816))),N(G1816)&lt;0,N(G1816)&lt;&gt;INT(N(G1816)),AND(H1816&lt;&gt;"",NOT(ISNUMBER(H1816))),N(H1816)&lt;0,N(H1816)&lt;&gt;INT(N(H1816)),AND(I1816&lt;&gt;"",NOT(ISNUMBER(I1816))),N(I1816)&lt;0,N(I1816)&lt;&gt;INT(N(I1816))),"Quantité invalide",IF(Q1816&lt;=0,"Cadence manquante (poste ou article)",IF(M1816&lt;=0,"Arrêts planifiés supérieurs au temps d'ouverture",IF(O1816&lt;0,"Arrêts supérieurs au temps requis",IF(AND(P1816&gt;0,O1816=0),"Pièces déclarées sans temps de marche",IF(AND(P1816=0,O1816&gt;0),"Aucune pièce déclarée",IF(P1816*60/Q1816&gt;O1816+0.001,"Cadence dépassée : vérifiez la cadence","OK"))))))))))))))))))</f>
        <v/>
      </c>
      <c r="AC1816">
        <f>IF(OR(AB1816="OK",AB1816="Aucune pièce déclarée",AB1816="Cadence dépassée : vérifiez la cadence"),1,0)</f>
        <v>0.0</v>
      </c>
      <c r="AD1816">
        <f>IF(AND(AC1816=1,A1816&gt;=p_from,A1816&lt;=p_to),1,0)</f>
        <v>0.0</v>
      </c>
      <c r="AE1816">
        <f>IF(AD1816=1,IF(COUNTIFS($A$6:A1816,A1816,$AD$6:AD1816,1)=1,1,0),0)</f>
        <v>0.0</v>
      </c>
      <c r="AF1816" t="str">
        <f>IF(AE1816=1,COUNTIFS(sj_first,1,sj_date,"&lt;"&amp;A1816)+1,"")</f>
        <v/>
      </c>
      <c r="AG1816" t="str">
        <f>IF(AND(AD1816=1,N(W1816)&lt;p_alert),ROUND(W1816,4),"")</f>
        <v/>
      </c>
      <c r="AH1816" t="str">
        <f>IF(AG1816="","",COUNTIF(sj_akey,"&lt;"&amp;AG1816)+COUNTIF($AG$6:AG1816,AG1816))</f>
        <v/>
      </c>
    </row>
    <row r="1817">
      <c r="A1817" s="51" t="n"/>
      <c r="B1817" s="52" t="n"/>
      <c r="C1817" s="52" t="n"/>
      <c r="D1817" s="53" t="n"/>
      <c r="E1817" s="53" t="n"/>
      <c r="F1817" s="54" t="n"/>
      <c r="G1817" s="54" t="n"/>
      <c r="H1817" s="54" t="n"/>
      <c r="I1817" s="54" t="n"/>
      <c r="J1817" s="53" t="n"/>
      <c r="K1817" s="55" t="str">
        <f>IF(COUNTA(A1817:I1817)=0,"",IF(F1817="",IFERROR(INDEX(eq_dur,MATCH(B1817,eq_code,0)),""),F1817))</f>
        <v/>
      </c>
      <c r="L1817" s="55" t="str">
        <f>IF(ISNUMBER(K1817),N(IFERROR(INDEX(eq_pause,MATCH(B1817,eq_code,0)),0))+SUMIFS(st_min,st_date,A1817,st_eq,B1817,st_po,C1817,st_type,"Planifié"),"")</f>
        <v/>
      </c>
      <c r="M1817" s="55" t="str">
        <f>IF(ISNUMBER(K1817),K1817-L1817,"")</f>
        <v/>
      </c>
      <c r="N1817" s="55" t="str">
        <f>IF(ISNUMBER(K1817),SUMIFS(st_min,st_date,A1817,st_eq,B1817,st_po,C1817,st_type,"Non planifié"),"")</f>
        <v/>
      </c>
      <c r="O1817" s="55" t="str">
        <f>IF(ISNUMBER(K1817),M1817-N1817,"")</f>
        <v/>
      </c>
      <c r="P1817" s="55" t="str">
        <f>IF(COUNTA(A1817:I1817)=0,"",N(G1817)+N(H1817)+N(I1817))</f>
        <v/>
      </c>
      <c r="Q1817" s="56" t="str">
        <f>IF(COUNTA(A1817:I1817)=0,"",IF(N(IFERROR(INDEX(art_rate,MATCH(E1817,art_ref,0)),0))&gt;0,N(IFERROR(INDEX(art_rate,MATCH(E1817,art_ref,0)),0)),N(IFERROR(INDEX(po_rate,MATCH(C1817,po_code,0)),0))))</f>
        <v/>
      </c>
      <c r="R1817" s="55" t="str">
        <f>IF(AC1817=1,P1817*60/Q1817,"")</f>
        <v/>
      </c>
      <c r="S1817" s="55" t="str">
        <f>IF(AC1817=1,N(G1817)*60/Q1817,"")</f>
        <v/>
      </c>
      <c r="T1817" s="57" t="str">
        <f>IF(AC1817=1,O1817/M1817,"")</f>
        <v/>
      </c>
      <c r="U1817" s="57" t="str">
        <f>IF(AC1817=1,IF(O1817&gt;0,R1817/O1817,""),"")</f>
        <v/>
      </c>
      <c r="V1817" s="57" t="str">
        <f>IF(AC1817=1,IF(P1817&gt;0,N(G1817)/P1817,""),"")</f>
        <v/>
      </c>
      <c r="W1817" s="57" t="str">
        <f>IF(AC1817=1,S1817/M1817,"")</f>
        <v/>
      </c>
      <c r="X1817" s="57" t="str">
        <f>IF(AC1817=1,S1817/K1817,"")</f>
        <v/>
      </c>
      <c r="Y1817" s="58" t="str">
        <f>IF(W1817="","",IF(W1817&gt;=p_target,"Bon",IF(W1817&gt;=p_alert,"À surveiller","Faible")))</f>
        <v/>
      </c>
      <c r="Z1817" s="58" t="str">
        <f>IF(W1817="","",IF(MIN(IF(T1817="",1,T1817),IF(U1817="",1,U1817),IF(V1817="",1,V1817))&gt;=1,"Aucune",IF(IF(T1817="",1,T1817)&lt;=MIN(IF(U1817="",1,U1817),IF(V1817="",1,V1817)),"Disponibilité",IF(IF(U1817="",1,U1817)&lt;=IF(V1817="",1,V1817),"Performance","Qualité"))))</f>
        <v/>
      </c>
      <c r="AA1817" s="59" t="str">
        <f>IF(AC1817=1,N(H1817)*N(IFERROR(INDEX(art_cost,MATCH(E1817,art_ref,0)),0)),"")</f>
        <v/>
      </c>
      <c r="AB1817" s="58" t="str">
        <f>IF(COUNTA(A1817:I1817)=0,"",IF(N(A1817)&lt;=0,"Date manquante ou invalide",IF(B1817="","Équipe manquante",IF(ISNA(MATCH(B1817,eq_code,0)),"Équipe inconnue",IF(INDEX(eq_check,MATCH(B1817,eq_code,0))&lt;&gt;"OK","Équipe à corriger dans Paramètres",IF(C1817="","Poste manquant",IF(ISNA(MATCH(C1817,po_code,0)),"Poste inconnu",IF(AND(E1817&lt;&gt;"",ISNA(MATCH(E1817,art_ref,0))),"Article inconnu",IF(IF(E1817="",FALSE,INDEX(art_check,MATCH(E1817,art_ref,0))&lt;&gt;"OK"),"Article à corriger (feuille Articles)",IF(COUNTIFS(sj_date,A1817,sj_eq,B1817,sj_po,C1817)&gt;1,"Ligne en double (même jour, équipe et poste)",IF(OR(NOT(ISNUMBER(K1817)),N(K1817)&lt;=0,N(K1817)&gt;1440),"Temps d'ouverture invalide",IF(OR(AND(G1817&lt;&gt;"",NOT(ISNUMBER(G1817))),N(G1817)&lt;0,N(G1817)&lt;&gt;INT(N(G1817)),AND(H1817&lt;&gt;"",NOT(ISNUMBER(H1817))),N(H1817)&lt;0,N(H1817)&lt;&gt;INT(N(H1817)),AND(I1817&lt;&gt;"",NOT(ISNUMBER(I1817))),N(I1817)&lt;0,N(I1817)&lt;&gt;INT(N(I1817))),"Quantité invalide",IF(Q1817&lt;=0,"Cadence manquante (poste ou article)",IF(M1817&lt;=0,"Arrêts planifiés supérieurs au temps d'ouverture",IF(O1817&lt;0,"Arrêts supérieurs au temps requis",IF(AND(P1817&gt;0,O1817=0),"Pièces déclarées sans temps de marche",IF(AND(P1817=0,O1817&gt;0),"Aucune pièce déclarée",IF(P1817*60/Q1817&gt;O1817+0.001,"Cadence dépassée : vérifiez la cadence","OK"))))))))))))))))))</f>
        <v/>
      </c>
      <c r="AC1817">
        <f>IF(OR(AB1817="OK",AB1817="Aucune pièce déclarée",AB1817="Cadence dépassée : vérifiez la cadence"),1,0)</f>
        <v>0.0</v>
      </c>
      <c r="AD1817">
        <f>IF(AND(AC1817=1,A1817&gt;=p_from,A1817&lt;=p_to),1,0)</f>
        <v>0.0</v>
      </c>
      <c r="AE1817">
        <f>IF(AD1817=1,IF(COUNTIFS($A$6:A1817,A1817,$AD$6:AD1817,1)=1,1,0),0)</f>
        <v>0.0</v>
      </c>
      <c r="AF1817" t="str">
        <f>IF(AE1817=1,COUNTIFS(sj_first,1,sj_date,"&lt;"&amp;A1817)+1,"")</f>
        <v/>
      </c>
      <c r="AG1817" t="str">
        <f>IF(AND(AD1817=1,N(W1817)&lt;p_alert),ROUND(W1817,4),"")</f>
        <v/>
      </c>
      <c r="AH1817" t="str">
        <f>IF(AG1817="","",COUNTIF(sj_akey,"&lt;"&amp;AG1817)+COUNTIF($AG$6:AG1817,AG1817))</f>
        <v/>
      </c>
    </row>
    <row r="1818">
      <c r="A1818" s="51" t="n"/>
      <c r="B1818" s="52" t="n"/>
      <c r="C1818" s="52" t="n"/>
      <c r="D1818" s="53" t="n"/>
      <c r="E1818" s="53" t="n"/>
      <c r="F1818" s="54" t="n"/>
      <c r="G1818" s="54" t="n"/>
      <c r="H1818" s="54" t="n"/>
      <c r="I1818" s="54" t="n"/>
      <c r="J1818" s="53" t="n"/>
      <c r="K1818" s="55" t="str">
        <f>IF(COUNTA(A1818:I1818)=0,"",IF(F1818="",IFERROR(INDEX(eq_dur,MATCH(B1818,eq_code,0)),""),F1818))</f>
        <v/>
      </c>
      <c r="L1818" s="55" t="str">
        <f>IF(ISNUMBER(K1818),N(IFERROR(INDEX(eq_pause,MATCH(B1818,eq_code,0)),0))+SUMIFS(st_min,st_date,A1818,st_eq,B1818,st_po,C1818,st_type,"Planifié"),"")</f>
        <v/>
      </c>
      <c r="M1818" s="55" t="str">
        <f>IF(ISNUMBER(K1818),K1818-L1818,"")</f>
        <v/>
      </c>
      <c r="N1818" s="55" t="str">
        <f>IF(ISNUMBER(K1818),SUMIFS(st_min,st_date,A1818,st_eq,B1818,st_po,C1818,st_type,"Non planifié"),"")</f>
        <v/>
      </c>
      <c r="O1818" s="55" t="str">
        <f>IF(ISNUMBER(K1818),M1818-N1818,"")</f>
        <v/>
      </c>
      <c r="P1818" s="55" t="str">
        <f>IF(COUNTA(A1818:I1818)=0,"",N(G1818)+N(H1818)+N(I1818))</f>
        <v/>
      </c>
      <c r="Q1818" s="56" t="str">
        <f>IF(COUNTA(A1818:I1818)=0,"",IF(N(IFERROR(INDEX(art_rate,MATCH(E1818,art_ref,0)),0))&gt;0,N(IFERROR(INDEX(art_rate,MATCH(E1818,art_ref,0)),0)),N(IFERROR(INDEX(po_rate,MATCH(C1818,po_code,0)),0))))</f>
        <v/>
      </c>
      <c r="R1818" s="55" t="str">
        <f>IF(AC1818=1,P1818*60/Q1818,"")</f>
        <v/>
      </c>
      <c r="S1818" s="55" t="str">
        <f>IF(AC1818=1,N(G1818)*60/Q1818,"")</f>
        <v/>
      </c>
      <c r="T1818" s="57" t="str">
        <f>IF(AC1818=1,O1818/M1818,"")</f>
        <v/>
      </c>
      <c r="U1818" s="57" t="str">
        <f>IF(AC1818=1,IF(O1818&gt;0,R1818/O1818,""),"")</f>
        <v/>
      </c>
      <c r="V1818" s="57" t="str">
        <f>IF(AC1818=1,IF(P1818&gt;0,N(G1818)/P1818,""),"")</f>
        <v/>
      </c>
      <c r="W1818" s="57" t="str">
        <f>IF(AC1818=1,S1818/M1818,"")</f>
        <v/>
      </c>
      <c r="X1818" s="57" t="str">
        <f>IF(AC1818=1,S1818/K1818,"")</f>
        <v/>
      </c>
      <c r="Y1818" s="58" t="str">
        <f>IF(W1818="","",IF(W1818&gt;=p_target,"Bon",IF(W1818&gt;=p_alert,"À surveiller","Faible")))</f>
        <v/>
      </c>
      <c r="Z1818" s="58" t="str">
        <f>IF(W1818="","",IF(MIN(IF(T1818="",1,T1818),IF(U1818="",1,U1818),IF(V1818="",1,V1818))&gt;=1,"Aucune",IF(IF(T1818="",1,T1818)&lt;=MIN(IF(U1818="",1,U1818),IF(V1818="",1,V1818)),"Disponibilité",IF(IF(U1818="",1,U1818)&lt;=IF(V1818="",1,V1818),"Performance","Qualité"))))</f>
        <v/>
      </c>
      <c r="AA1818" s="59" t="str">
        <f>IF(AC1818=1,N(H1818)*N(IFERROR(INDEX(art_cost,MATCH(E1818,art_ref,0)),0)),"")</f>
        <v/>
      </c>
      <c r="AB1818" s="58" t="str">
        <f>IF(COUNTA(A1818:I1818)=0,"",IF(N(A1818)&lt;=0,"Date manquante ou invalide",IF(B1818="","Équipe manquante",IF(ISNA(MATCH(B1818,eq_code,0)),"Équipe inconnue",IF(INDEX(eq_check,MATCH(B1818,eq_code,0))&lt;&gt;"OK","Équipe à corriger dans Paramètres",IF(C1818="","Poste manquant",IF(ISNA(MATCH(C1818,po_code,0)),"Poste inconnu",IF(AND(E1818&lt;&gt;"",ISNA(MATCH(E1818,art_ref,0))),"Article inconnu",IF(IF(E1818="",FALSE,INDEX(art_check,MATCH(E1818,art_ref,0))&lt;&gt;"OK"),"Article à corriger (feuille Articles)",IF(COUNTIFS(sj_date,A1818,sj_eq,B1818,sj_po,C1818)&gt;1,"Ligne en double (même jour, équipe et poste)",IF(OR(NOT(ISNUMBER(K1818)),N(K1818)&lt;=0,N(K1818)&gt;1440),"Temps d'ouverture invalide",IF(OR(AND(G1818&lt;&gt;"",NOT(ISNUMBER(G1818))),N(G1818)&lt;0,N(G1818)&lt;&gt;INT(N(G1818)),AND(H1818&lt;&gt;"",NOT(ISNUMBER(H1818))),N(H1818)&lt;0,N(H1818)&lt;&gt;INT(N(H1818)),AND(I1818&lt;&gt;"",NOT(ISNUMBER(I1818))),N(I1818)&lt;0,N(I1818)&lt;&gt;INT(N(I1818))),"Quantité invalide",IF(Q1818&lt;=0,"Cadence manquante (poste ou article)",IF(M1818&lt;=0,"Arrêts planifiés supérieurs au temps d'ouverture",IF(O1818&lt;0,"Arrêts supérieurs au temps requis",IF(AND(P1818&gt;0,O1818=0),"Pièces déclarées sans temps de marche",IF(AND(P1818=0,O1818&gt;0),"Aucune pièce déclarée",IF(P1818*60/Q1818&gt;O1818+0.001,"Cadence dépassée : vérifiez la cadence","OK"))))))))))))))))))</f>
        <v/>
      </c>
      <c r="AC1818">
        <f>IF(OR(AB1818="OK",AB1818="Aucune pièce déclarée",AB1818="Cadence dépassée : vérifiez la cadence"),1,0)</f>
        <v>0.0</v>
      </c>
      <c r="AD1818">
        <f>IF(AND(AC1818=1,A1818&gt;=p_from,A1818&lt;=p_to),1,0)</f>
        <v>0.0</v>
      </c>
      <c r="AE1818">
        <f>IF(AD1818=1,IF(COUNTIFS($A$6:A1818,A1818,$AD$6:AD1818,1)=1,1,0),0)</f>
        <v>0.0</v>
      </c>
      <c r="AF1818" t="str">
        <f>IF(AE1818=1,COUNTIFS(sj_first,1,sj_date,"&lt;"&amp;A1818)+1,"")</f>
        <v/>
      </c>
      <c r="AG1818" t="str">
        <f>IF(AND(AD1818=1,N(W1818)&lt;p_alert),ROUND(W1818,4),"")</f>
        <v/>
      </c>
      <c r="AH1818" t="str">
        <f>IF(AG1818="","",COUNTIF(sj_akey,"&lt;"&amp;AG1818)+COUNTIF($AG$6:AG1818,AG1818))</f>
        <v/>
      </c>
    </row>
    <row r="1819">
      <c r="A1819" s="51" t="n"/>
      <c r="B1819" s="52" t="n"/>
      <c r="C1819" s="52" t="n"/>
      <c r="D1819" s="53" t="n"/>
      <c r="E1819" s="53" t="n"/>
      <c r="F1819" s="54" t="n"/>
      <c r="G1819" s="54" t="n"/>
      <c r="H1819" s="54" t="n"/>
      <c r="I1819" s="54" t="n"/>
      <c r="J1819" s="53" t="n"/>
      <c r="K1819" s="55" t="str">
        <f>IF(COUNTA(A1819:I1819)=0,"",IF(F1819="",IFERROR(INDEX(eq_dur,MATCH(B1819,eq_code,0)),""),F1819))</f>
        <v/>
      </c>
      <c r="L1819" s="55" t="str">
        <f>IF(ISNUMBER(K1819),N(IFERROR(INDEX(eq_pause,MATCH(B1819,eq_code,0)),0))+SUMIFS(st_min,st_date,A1819,st_eq,B1819,st_po,C1819,st_type,"Planifié"),"")</f>
        <v/>
      </c>
      <c r="M1819" s="55" t="str">
        <f>IF(ISNUMBER(K1819),K1819-L1819,"")</f>
        <v/>
      </c>
      <c r="N1819" s="55" t="str">
        <f>IF(ISNUMBER(K1819),SUMIFS(st_min,st_date,A1819,st_eq,B1819,st_po,C1819,st_type,"Non planifié"),"")</f>
        <v/>
      </c>
      <c r="O1819" s="55" t="str">
        <f>IF(ISNUMBER(K1819),M1819-N1819,"")</f>
        <v/>
      </c>
      <c r="P1819" s="55" t="str">
        <f>IF(COUNTA(A1819:I1819)=0,"",N(G1819)+N(H1819)+N(I1819))</f>
        <v/>
      </c>
      <c r="Q1819" s="56" t="str">
        <f>IF(COUNTA(A1819:I1819)=0,"",IF(N(IFERROR(INDEX(art_rate,MATCH(E1819,art_ref,0)),0))&gt;0,N(IFERROR(INDEX(art_rate,MATCH(E1819,art_ref,0)),0)),N(IFERROR(INDEX(po_rate,MATCH(C1819,po_code,0)),0))))</f>
        <v/>
      </c>
      <c r="R1819" s="55" t="str">
        <f>IF(AC1819=1,P1819*60/Q1819,"")</f>
        <v/>
      </c>
      <c r="S1819" s="55" t="str">
        <f>IF(AC1819=1,N(G1819)*60/Q1819,"")</f>
        <v/>
      </c>
      <c r="T1819" s="57" t="str">
        <f>IF(AC1819=1,O1819/M1819,"")</f>
        <v/>
      </c>
      <c r="U1819" s="57" t="str">
        <f>IF(AC1819=1,IF(O1819&gt;0,R1819/O1819,""),"")</f>
        <v/>
      </c>
      <c r="V1819" s="57" t="str">
        <f>IF(AC1819=1,IF(P1819&gt;0,N(G1819)/P1819,""),"")</f>
        <v/>
      </c>
      <c r="W1819" s="57" t="str">
        <f>IF(AC1819=1,S1819/M1819,"")</f>
        <v/>
      </c>
      <c r="X1819" s="57" t="str">
        <f>IF(AC1819=1,S1819/K1819,"")</f>
        <v/>
      </c>
      <c r="Y1819" s="58" t="str">
        <f>IF(W1819="","",IF(W1819&gt;=p_target,"Bon",IF(W1819&gt;=p_alert,"À surveiller","Faible")))</f>
        <v/>
      </c>
      <c r="Z1819" s="58" t="str">
        <f>IF(W1819="","",IF(MIN(IF(T1819="",1,T1819),IF(U1819="",1,U1819),IF(V1819="",1,V1819))&gt;=1,"Aucune",IF(IF(T1819="",1,T1819)&lt;=MIN(IF(U1819="",1,U1819),IF(V1819="",1,V1819)),"Disponibilité",IF(IF(U1819="",1,U1819)&lt;=IF(V1819="",1,V1819),"Performance","Qualité"))))</f>
        <v/>
      </c>
      <c r="AA1819" s="59" t="str">
        <f>IF(AC1819=1,N(H1819)*N(IFERROR(INDEX(art_cost,MATCH(E1819,art_ref,0)),0)),"")</f>
        <v/>
      </c>
      <c r="AB1819" s="58" t="str">
        <f>IF(COUNTA(A1819:I1819)=0,"",IF(N(A1819)&lt;=0,"Date manquante ou invalide",IF(B1819="","Équipe manquante",IF(ISNA(MATCH(B1819,eq_code,0)),"Équipe inconnue",IF(INDEX(eq_check,MATCH(B1819,eq_code,0))&lt;&gt;"OK","Équipe à corriger dans Paramètres",IF(C1819="","Poste manquant",IF(ISNA(MATCH(C1819,po_code,0)),"Poste inconnu",IF(AND(E1819&lt;&gt;"",ISNA(MATCH(E1819,art_ref,0))),"Article inconnu",IF(IF(E1819="",FALSE,INDEX(art_check,MATCH(E1819,art_ref,0))&lt;&gt;"OK"),"Article à corriger (feuille Articles)",IF(COUNTIFS(sj_date,A1819,sj_eq,B1819,sj_po,C1819)&gt;1,"Ligne en double (même jour, équipe et poste)",IF(OR(NOT(ISNUMBER(K1819)),N(K1819)&lt;=0,N(K1819)&gt;1440),"Temps d'ouverture invalide",IF(OR(AND(G1819&lt;&gt;"",NOT(ISNUMBER(G1819))),N(G1819)&lt;0,N(G1819)&lt;&gt;INT(N(G1819)),AND(H1819&lt;&gt;"",NOT(ISNUMBER(H1819))),N(H1819)&lt;0,N(H1819)&lt;&gt;INT(N(H1819)),AND(I1819&lt;&gt;"",NOT(ISNUMBER(I1819))),N(I1819)&lt;0,N(I1819)&lt;&gt;INT(N(I1819))),"Quantité invalide",IF(Q1819&lt;=0,"Cadence manquante (poste ou article)",IF(M1819&lt;=0,"Arrêts planifiés supérieurs au temps d'ouverture",IF(O1819&lt;0,"Arrêts supérieurs au temps requis",IF(AND(P1819&gt;0,O1819=0),"Pièces déclarées sans temps de marche",IF(AND(P1819=0,O1819&gt;0),"Aucune pièce déclarée",IF(P1819*60/Q1819&gt;O1819+0.001,"Cadence dépassée : vérifiez la cadence","OK"))))))))))))))))))</f>
        <v/>
      </c>
      <c r="AC1819">
        <f>IF(OR(AB1819="OK",AB1819="Aucune pièce déclarée",AB1819="Cadence dépassée : vérifiez la cadence"),1,0)</f>
        <v>0.0</v>
      </c>
      <c r="AD1819">
        <f>IF(AND(AC1819=1,A1819&gt;=p_from,A1819&lt;=p_to),1,0)</f>
        <v>0.0</v>
      </c>
      <c r="AE1819">
        <f>IF(AD1819=1,IF(COUNTIFS($A$6:A1819,A1819,$AD$6:AD1819,1)=1,1,0),0)</f>
        <v>0.0</v>
      </c>
      <c r="AF1819" t="str">
        <f>IF(AE1819=1,COUNTIFS(sj_first,1,sj_date,"&lt;"&amp;A1819)+1,"")</f>
        <v/>
      </c>
      <c r="AG1819" t="str">
        <f>IF(AND(AD1819=1,N(W1819)&lt;p_alert),ROUND(W1819,4),"")</f>
        <v/>
      </c>
      <c r="AH1819" t="str">
        <f>IF(AG1819="","",COUNTIF(sj_akey,"&lt;"&amp;AG1819)+COUNTIF($AG$6:AG1819,AG1819))</f>
        <v/>
      </c>
    </row>
    <row r="1820">
      <c r="A1820" s="51" t="n"/>
      <c r="B1820" s="52" t="n"/>
      <c r="C1820" s="52" t="n"/>
      <c r="D1820" s="53" t="n"/>
      <c r="E1820" s="53" t="n"/>
      <c r="F1820" s="54" t="n"/>
      <c r="G1820" s="54" t="n"/>
      <c r="H1820" s="54" t="n"/>
      <c r="I1820" s="54" t="n"/>
      <c r="J1820" s="53" t="n"/>
      <c r="K1820" s="55" t="str">
        <f>IF(COUNTA(A1820:I1820)=0,"",IF(F1820="",IFERROR(INDEX(eq_dur,MATCH(B1820,eq_code,0)),""),F1820))</f>
        <v/>
      </c>
      <c r="L1820" s="55" t="str">
        <f>IF(ISNUMBER(K1820),N(IFERROR(INDEX(eq_pause,MATCH(B1820,eq_code,0)),0))+SUMIFS(st_min,st_date,A1820,st_eq,B1820,st_po,C1820,st_type,"Planifié"),"")</f>
        <v/>
      </c>
      <c r="M1820" s="55" t="str">
        <f>IF(ISNUMBER(K1820),K1820-L1820,"")</f>
        <v/>
      </c>
      <c r="N1820" s="55" t="str">
        <f>IF(ISNUMBER(K1820),SUMIFS(st_min,st_date,A1820,st_eq,B1820,st_po,C1820,st_type,"Non planifié"),"")</f>
        <v/>
      </c>
      <c r="O1820" s="55" t="str">
        <f>IF(ISNUMBER(K1820),M1820-N1820,"")</f>
        <v/>
      </c>
      <c r="P1820" s="55" t="str">
        <f>IF(COUNTA(A1820:I1820)=0,"",N(G1820)+N(H1820)+N(I1820))</f>
        <v/>
      </c>
      <c r="Q1820" s="56" t="str">
        <f>IF(COUNTA(A1820:I1820)=0,"",IF(N(IFERROR(INDEX(art_rate,MATCH(E1820,art_ref,0)),0))&gt;0,N(IFERROR(INDEX(art_rate,MATCH(E1820,art_ref,0)),0)),N(IFERROR(INDEX(po_rate,MATCH(C1820,po_code,0)),0))))</f>
        <v/>
      </c>
      <c r="R1820" s="55" t="str">
        <f>IF(AC1820=1,P1820*60/Q1820,"")</f>
        <v/>
      </c>
      <c r="S1820" s="55" t="str">
        <f>IF(AC1820=1,N(G1820)*60/Q1820,"")</f>
        <v/>
      </c>
      <c r="T1820" s="57" t="str">
        <f>IF(AC1820=1,O1820/M1820,"")</f>
        <v/>
      </c>
      <c r="U1820" s="57" t="str">
        <f>IF(AC1820=1,IF(O1820&gt;0,R1820/O1820,""),"")</f>
        <v/>
      </c>
      <c r="V1820" s="57" t="str">
        <f>IF(AC1820=1,IF(P1820&gt;0,N(G1820)/P1820,""),"")</f>
        <v/>
      </c>
      <c r="W1820" s="57" t="str">
        <f>IF(AC1820=1,S1820/M1820,"")</f>
        <v/>
      </c>
      <c r="X1820" s="57" t="str">
        <f>IF(AC1820=1,S1820/K1820,"")</f>
        <v/>
      </c>
      <c r="Y1820" s="58" t="str">
        <f>IF(W1820="","",IF(W1820&gt;=p_target,"Bon",IF(W1820&gt;=p_alert,"À surveiller","Faible")))</f>
        <v/>
      </c>
      <c r="Z1820" s="58" t="str">
        <f>IF(W1820="","",IF(MIN(IF(T1820="",1,T1820),IF(U1820="",1,U1820),IF(V1820="",1,V1820))&gt;=1,"Aucune",IF(IF(T1820="",1,T1820)&lt;=MIN(IF(U1820="",1,U1820),IF(V1820="",1,V1820)),"Disponibilité",IF(IF(U1820="",1,U1820)&lt;=IF(V1820="",1,V1820),"Performance","Qualité"))))</f>
        <v/>
      </c>
      <c r="AA1820" s="59" t="str">
        <f>IF(AC1820=1,N(H1820)*N(IFERROR(INDEX(art_cost,MATCH(E1820,art_ref,0)),0)),"")</f>
        <v/>
      </c>
      <c r="AB1820" s="58" t="str">
        <f>IF(COUNTA(A1820:I1820)=0,"",IF(N(A1820)&lt;=0,"Date manquante ou invalide",IF(B1820="","Équipe manquante",IF(ISNA(MATCH(B1820,eq_code,0)),"Équipe inconnue",IF(INDEX(eq_check,MATCH(B1820,eq_code,0))&lt;&gt;"OK","Équipe à corriger dans Paramètres",IF(C1820="","Poste manquant",IF(ISNA(MATCH(C1820,po_code,0)),"Poste inconnu",IF(AND(E1820&lt;&gt;"",ISNA(MATCH(E1820,art_ref,0))),"Article inconnu",IF(IF(E1820="",FALSE,INDEX(art_check,MATCH(E1820,art_ref,0))&lt;&gt;"OK"),"Article à corriger (feuille Articles)",IF(COUNTIFS(sj_date,A1820,sj_eq,B1820,sj_po,C1820)&gt;1,"Ligne en double (même jour, équipe et poste)",IF(OR(NOT(ISNUMBER(K1820)),N(K1820)&lt;=0,N(K1820)&gt;1440),"Temps d'ouverture invalide",IF(OR(AND(G1820&lt;&gt;"",NOT(ISNUMBER(G1820))),N(G1820)&lt;0,N(G1820)&lt;&gt;INT(N(G1820)),AND(H1820&lt;&gt;"",NOT(ISNUMBER(H1820))),N(H1820)&lt;0,N(H1820)&lt;&gt;INT(N(H1820)),AND(I1820&lt;&gt;"",NOT(ISNUMBER(I1820))),N(I1820)&lt;0,N(I1820)&lt;&gt;INT(N(I1820))),"Quantité invalide",IF(Q1820&lt;=0,"Cadence manquante (poste ou article)",IF(M1820&lt;=0,"Arrêts planifiés supérieurs au temps d'ouverture",IF(O1820&lt;0,"Arrêts supérieurs au temps requis",IF(AND(P1820&gt;0,O1820=0),"Pièces déclarées sans temps de marche",IF(AND(P1820=0,O1820&gt;0),"Aucune pièce déclarée",IF(P1820*60/Q1820&gt;O1820+0.001,"Cadence dépassée : vérifiez la cadence","OK"))))))))))))))))))</f>
        <v/>
      </c>
      <c r="AC1820">
        <f>IF(OR(AB1820="OK",AB1820="Aucune pièce déclarée",AB1820="Cadence dépassée : vérifiez la cadence"),1,0)</f>
        <v>0.0</v>
      </c>
      <c r="AD1820">
        <f>IF(AND(AC1820=1,A1820&gt;=p_from,A1820&lt;=p_to),1,0)</f>
        <v>0.0</v>
      </c>
      <c r="AE1820">
        <f>IF(AD1820=1,IF(COUNTIFS($A$6:A1820,A1820,$AD$6:AD1820,1)=1,1,0),0)</f>
        <v>0.0</v>
      </c>
      <c r="AF1820" t="str">
        <f>IF(AE1820=1,COUNTIFS(sj_first,1,sj_date,"&lt;"&amp;A1820)+1,"")</f>
        <v/>
      </c>
      <c r="AG1820" t="str">
        <f>IF(AND(AD1820=1,N(W1820)&lt;p_alert),ROUND(W1820,4),"")</f>
        <v/>
      </c>
      <c r="AH1820" t="str">
        <f>IF(AG1820="","",COUNTIF(sj_akey,"&lt;"&amp;AG1820)+COUNTIF($AG$6:AG1820,AG1820))</f>
        <v/>
      </c>
    </row>
    <row r="1821">
      <c r="A1821" s="51" t="n"/>
      <c r="B1821" s="52" t="n"/>
      <c r="C1821" s="52" t="n"/>
      <c r="D1821" s="53" t="n"/>
      <c r="E1821" s="53" t="n"/>
      <c r="F1821" s="54" t="n"/>
      <c r="G1821" s="54" t="n"/>
      <c r="H1821" s="54" t="n"/>
      <c r="I1821" s="54" t="n"/>
      <c r="J1821" s="53" t="n"/>
      <c r="K1821" s="55" t="str">
        <f>IF(COUNTA(A1821:I1821)=0,"",IF(F1821="",IFERROR(INDEX(eq_dur,MATCH(B1821,eq_code,0)),""),F1821))</f>
        <v/>
      </c>
      <c r="L1821" s="55" t="str">
        <f>IF(ISNUMBER(K1821),N(IFERROR(INDEX(eq_pause,MATCH(B1821,eq_code,0)),0))+SUMIFS(st_min,st_date,A1821,st_eq,B1821,st_po,C1821,st_type,"Planifié"),"")</f>
        <v/>
      </c>
      <c r="M1821" s="55" t="str">
        <f>IF(ISNUMBER(K1821),K1821-L1821,"")</f>
        <v/>
      </c>
      <c r="N1821" s="55" t="str">
        <f>IF(ISNUMBER(K1821),SUMIFS(st_min,st_date,A1821,st_eq,B1821,st_po,C1821,st_type,"Non planifié"),"")</f>
        <v/>
      </c>
      <c r="O1821" s="55" t="str">
        <f>IF(ISNUMBER(K1821),M1821-N1821,"")</f>
        <v/>
      </c>
      <c r="P1821" s="55" t="str">
        <f>IF(COUNTA(A1821:I1821)=0,"",N(G1821)+N(H1821)+N(I1821))</f>
        <v/>
      </c>
      <c r="Q1821" s="56" t="str">
        <f>IF(COUNTA(A1821:I1821)=0,"",IF(N(IFERROR(INDEX(art_rate,MATCH(E1821,art_ref,0)),0))&gt;0,N(IFERROR(INDEX(art_rate,MATCH(E1821,art_ref,0)),0)),N(IFERROR(INDEX(po_rate,MATCH(C1821,po_code,0)),0))))</f>
        <v/>
      </c>
      <c r="R1821" s="55" t="str">
        <f>IF(AC1821=1,P1821*60/Q1821,"")</f>
        <v/>
      </c>
      <c r="S1821" s="55" t="str">
        <f>IF(AC1821=1,N(G1821)*60/Q1821,"")</f>
        <v/>
      </c>
      <c r="T1821" s="57" t="str">
        <f>IF(AC1821=1,O1821/M1821,"")</f>
        <v/>
      </c>
      <c r="U1821" s="57" t="str">
        <f>IF(AC1821=1,IF(O1821&gt;0,R1821/O1821,""),"")</f>
        <v/>
      </c>
      <c r="V1821" s="57" t="str">
        <f>IF(AC1821=1,IF(P1821&gt;0,N(G1821)/P1821,""),"")</f>
        <v/>
      </c>
      <c r="W1821" s="57" t="str">
        <f>IF(AC1821=1,S1821/M1821,"")</f>
        <v/>
      </c>
      <c r="X1821" s="57" t="str">
        <f>IF(AC1821=1,S1821/K1821,"")</f>
        <v/>
      </c>
      <c r="Y1821" s="58" t="str">
        <f>IF(W1821="","",IF(W1821&gt;=p_target,"Bon",IF(W1821&gt;=p_alert,"À surveiller","Faible")))</f>
        <v/>
      </c>
      <c r="Z1821" s="58" t="str">
        <f>IF(W1821="","",IF(MIN(IF(T1821="",1,T1821),IF(U1821="",1,U1821),IF(V1821="",1,V1821))&gt;=1,"Aucune",IF(IF(T1821="",1,T1821)&lt;=MIN(IF(U1821="",1,U1821),IF(V1821="",1,V1821)),"Disponibilité",IF(IF(U1821="",1,U1821)&lt;=IF(V1821="",1,V1821),"Performance","Qualité"))))</f>
        <v/>
      </c>
      <c r="AA1821" s="59" t="str">
        <f>IF(AC1821=1,N(H1821)*N(IFERROR(INDEX(art_cost,MATCH(E1821,art_ref,0)),0)),"")</f>
        <v/>
      </c>
      <c r="AB1821" s="58" t="str">
        <f>IF(COUNTA(A1821:I1821)=0,"",IF(N(A1821)&lt;=0,"Date manquante ou invalide",IF(B1821="","Équipe manquante",IF(ISNA(MATCH(B1821,eq_code,0)),"Équipe inconnue",IF(INDEX(eq_check,MATCH(B1821,eq_code,0))&lt;&gt;"OK","Équipe à corriger dans Paramètres",IF(C1821="","Poste manquant",IF(ISNA(MATCH(C1821,po_code,0)),"Poste inconnu",IF(AND(E1821&lt;&gt;"",ISNA(MATCH(E1821,art_ref,0))),"Article inconnu",IF(IF(E1821="",FALSE,INDEX(art_check,MATCH(E1821,art_ref,0))&lt;&gt;"OK"),"Article à corriger (feuille Articles)",IF(COUNTIFS(sj_date,A1821,sj_eq,B1821,sj_po,C1821)&gt;1,"Ligne en double (même jour, équipe et poste)",IF(OR(NOT(ISNUMBER(K1821)),N(K1821)&lt;=0,N(K1821)&gt;1440),"Temps d'ouverture invalide",IF(OR(AND(G1821&lt;&gt;"",NOT(ISNUMBER(G1821))),N(G1821)&lt;0,N(G1821)&lt;&gt;INT(N(G1821)),AND(H1821&lt;&gt;"",NOT(ISNUMBER(H1821))),N(H1821)&lt;0,N(H1821)&lt;&gt;INT(N(H1821)),AND(I1821&lt;&gt;"",NOT(ISNUMBER(I1821))),N(I1821)&lt;0,N(I1821)&lt;&gt;INT(N(I1821))),"Quantité invalide",IF(Q1821&lt;=0,"Cadence manquante (poste ou article)",IF(M1821&lt;=0,"Arrêts planifiés supérieurs au temps d'ouverture",IF(O1821&lt;0,"Arrêts supérieurs au temps requis",IF(AND(P1821&gt;0,O1821=0),"Pièces déclarées sans temps de marche",IF(AND(P1821=0,O1821&gt;0),"Aucune pièce déclarée",IF(P1821*60/Q1821&gt;O1821+0.001,"Cadence dépassée : vérifiez la cadence","OK"))))))))))))))))))</f>
        <v/>
      </c>
      <c r="AC1821">
        <f>IF(OR(AB1821="OK",AB1821="Aucune pièce déclarée",AB1821="Cadence dépassée : vérifiez la cadence"),1,0)</f>
        <v>0.0</v>
      </c>
      <c r="AD1821">
        <f>IF(AND(AC1821=1,A1821&gt;=p_from,A1821&lt;=p_to),1,0)</f>
        <v>0.0</v>
      </c>
      <c r="AE1821">
        <f>IF(AD1821=1,IF(COUNTIFS($A$6:A1821,A1821,$AD$6:AD1821,1)=1,1,0),0)</f>
        <v>0.0</v>
      </c>
      <c r="AF1821" t="str">
        <f>IF(AE1821=1,COUNTIFS(sj_first,1,sj_date,"&lt;"&amp;A1821)+1,"")</f>
        <v/>
      </c>
      <c r="AG1821" t="str">
        <f>IF(AND(AD1821=1,N(W1821)&lt;p_alert),ROUND(W1821,4),"")</f>
        <v/>
      </c>
      <c r="AH1821" t="str">
        <f>IF(AG1821="","",COUNTIF(sj_akey,"&lt;"&amp;AG1821)+COUNTIF($AG$6:AG1821,AG1821))</f>
        <v/>
      </c>
    </row>
    <row r="1822">
      <c r="A1822" s="51" t="n"/>
      <c r="B1822" s="52" t="n"/>
      <c r="C1822" s="52" t="n"/>
      <c r="D1822" s="53" t="n"/>
      <c r="E1822" s="53" t="n"/>
      <c r="F1822" s="54" t="n"/>
      <c r="G1822" s="54" t="n"/>
      <c r="H1822" s="54" t="n"/>
      <c r="I1822" s="54" t="n"/>
      <c r="J1822" s="53" t="n"/>
      <c r="K1822" s="55" t="str">
        <f>IF(COUNTA(A1822:I1822)=0,"",IF(F1822="",IFERROR(INDEX(eq_dur,MATCH(B1822,eq_code,0)),""),F1822))</f>
        <v/>
      </c>
      <c r="L1822" s="55" t="str">
        <f>IF(ISNUMBER(K1822),N(IFERROR(INDEX(eq_pause,MATCH(B1822,eq_code,0)),0))+SUMIFS(st_min,st_date,A1822,st_eq,B1822,st_po,C1822,st_type,"Planifié"),"")</f>
        <v/>
      </c>
      <c r="M1822" s="55" t="str">
        <f>IF(ISNUMBER(K1822),K1822-L1822,"")</f>
        <v/>
      </c>
      <c r="N1822" s="55" t="str">
        <f>IF(ISNUMBER(K1822),SUMIFS(st_min,st_date,A1822,st_eq,B1822,st_po,C1822,st_type,"Non planifié"),"")</f>
        <v/>
      </c>
      <c r="O1822" s="55" t="str">
        <f>IF(ISNUMBER(K1822),M1822-N1822,"")</f>
        <v/>
      </c>
      <c r="P1822" s="55" t="str">
        <f>IF(COUNTA(A1822:I1822)=0,"",N(G1822)+N(H1822)+N(I1822))</f>
        <v/>
      </c>
      <c r="Q1822" s="56" t="str">
        <f>IF(COUNTA(A1822:I1822)=0,"",IF(N(IFERROR(INDEX(art_rate,MATCH(E1822,art_ref,0)),0))&gt;0,N(IFERROR(INDEX(art_rate,MATCH(E1822,art_ref,0)),0)),N(IFERROR(INDEX(po_rate,MATCH(C1822,po_code,0)),0))))</f>
        <v/>
      </c>
      <c r="R1822" s="55" t="str">
        <f>IF(AC1822=1,P1822*60/Q1822,"")</f>
        <v/>
      </c>
      <c r="S1822" s="55" t="str">
        <f>IF(AC1822=1,N(G1822)*60/Q1822,"")</f>
        <v/>
      </c>
      <c r="T1822" s="57" t="str">
        <f>IF(AC1822=1,O1822/M1822,"")</f>
        <v/>
      </c>
      <c r="U1822" s="57" t="str">
        <f>IF(AC1822=1,IF(O1822&gt;0,R1822/O1822,""),"")</f>
        <v/>
      </c>
      <c r="V1822" s="57" t="str">
        <f>IF(AC1822=1,IF(P1822&gt;0,N(G1822)/P1822,""),"")</f>
        <v/>
      </c>
      <c r="W1822" s="57" t="str">
        <f>IF(AC1822=1,S1822/M1822,"")</f>
        <v/>
      </c>
      <c r="X1822" s="57" t="str">
        <f>IF(AC1822=1,S1822/K1822,"")</f>
        <v/>
      </c>
      <c r="Y1822" s="58" t="str">
        <f>IF(W1822="","",IF(W1822&gt;=p_target,"Bon",IF(W1822&gt;=p_alert,"À surveiller","Faible")))</f>
        <v/>
      </c>
      <c r="Z1822" s="58" t="str">
        <f>IF(W1822="","",IF(MIN(IF(T1822="",1,T1822),IF(U1822="",1,U1822),IF(V1822="",1,V1822))&gt;=1,"Aucune",IF(IF(T1822="",1,T1822)&lt;=MIN(IF(U1822="",1,U1822),IF(V1822="",1,V1822)),"Disponibilité",IF(IF(U1822="",1,U1822)&lt;=IF(V1822="",1,V1822),"Performance","Qualité"))))</f>
        <v/>
      </c>
      <c r="AA1822" s="59" t="str">
        <f>IF(AC1822=1,N(H1822)*N(IFERROR(INDEX(art_cost,MATCH(E1822,art_ref,0)),0)),"")</f>
        <v/>
      </c>
      <c r="AB1822" s="58" t="str">
        <f>IF(COUNTA(A1822:I1822)=0,"",IF(N(A1822)&lt;=0,"Date manquante ou invalide",IF(B1822="","Équipe manquante",IF(ISNA(MATCH(B1822,eq_code,0)),"Équipe inconnue",IF(INDEX(eq_check,MATCH(B1822,eq_code,0))&lt;&gt;"OK","Équipe à corriger dans Paramètres",IF(C1822="","Poste manquant",IF(ISNA(MATCH(C1822,po_code,0)),"Poste inconnu",IF(AND(E1822&lt;&gt;"",ISNA(MATCH(E1822,art_ref,0))),"Article inconnu",IF(IF(E1822="",FALSE,INDEX(art_check,MATCH(E1822,art_ref,0))&lt;&gt;"OK"),"Article à corriger (feuille Articles)",IF(COUNTIFS(sj_date,A1822,sj_eq,B1822,sj_po,C1822)&gt;1,"Ligne en double (même jour, équipe et poste)",IF(OR(NOT(ISNUMBER(K1822)),N(K1822)&lt;=0,N(K1822)&gt;1440),"Temps d'ouverture invalide",IF(OR(AND(G1822&lt;&gt;"",NOT(ISNUMBER(G1822))),N(G1822)&lt;0,N(G1822)&lt;&gt;INT(N(G1822)),AND(H1822&lt;&gt;"",NOT(ISNUMBER(H1822))),N(H1822)&lt;0,N(H1822)&lt;&gt;INT(N(H1822)),AND(I1822&lt;&gt;"",NOT(ISNUMBER(I1822))),N(I1822)&lt;0,N(I1822)&lt;&gt;INT(N(I1822))),"Quantité invalide",IF(Q1822&lt;=0,"Cadence manquante (poste ou article)",IF(M1822&lt;=0,"Arrêts planifiés supérieurs au temps d'ouverture",IF(O1822&lt;0,"Arrêts supérieurs au temps requis",IF(AND(P1822&gt;0,O1822=0),"Pièces déclarées sans temps de marche",IF(AND(P1822=0,O1822&gt;0),"Aucune pièce déclarée",IF(P1822*60/Q1822&gt;O1822+0.001,"Cadence dépassée : vérifiez la cadence","OK"))))))))))))))))))</f>
        <v/>
      </c>
      <c r="AC1822">
        <f>IF(OR(AB1822="OK",AB1822="Aucune pièce déclarée",AB1822="Cadence dépassée : vérifiez la cadence"),1,0)</f>
        <v>0.0</v>
      </c>
      <c r="AD1822">
        <f>IF(AND(AC1822=1,A1822&gt;=p_from,A1822&lt;=p_to),1,0)</f>
        <v>0.0</v>
      </c>
      <c r="AE1822">
        <f>IF(AD1822=1,IF(COUNTIFS($A$6:A1822,A1822,$AD$6:AD1822,1)=1,1,0),0)</f>
        <v>0.0</v>
      </c>
      <c r="AF1822" t="str">
        <f>IF(AE1822=1,COUNTIFS(sj_first,1,sj_date,"&lt;"&amp;A1822)+1,"")</f>
        <v/>
      </c>
      <c r="AG1822" t="str">
        <f>IF(AND(AD1822=1,N(W1822)&lt;p_alert),ROUND(W1822,4),"")</f>
        <v/>
      </c>
      <c r="AH1822" t="str">
        <f>IF(AG1822="","",COUNTIF(sj_akey,"&lt;"&amp;AG1822)+COUNTIF($AG$6:AG1822,AG1822))</f>
        <v/>
      </c>
    </row>
    <row r="1823">
      <c r="A1823" s="51" t="n"/>
      <c r="B1823" s="52" t="n"/>
      <c r="C1823" s="52" t="n"/>
      <c r="D1823" s="53" t="n"/>
      <c r="E1823" s="53" t="n"/>
      <c r="F1823" s="54" t="n"/>
      <c r="G1823" s="54" t="n"/>
      <c r="H1823" s="54" t="n"/>
      <c r="I1823" s="54" t="n"/>
      <c r="J1823" s="53" t="n"/>
      <c r="K1823" s="55" t="str">
        <f>IF(COUNTA(A1823:I1823)=0,"",IF(F1823="",IFERROR(INDEX(eq_dur,MATCH(B1823,eq_code,0)),""),F1823))</f>
        <v/>
      </c>
      <c r="L1823" s="55" t="str">
        <f>IF(ISNUMBER(K1823),N(IFERROR(INDEX(eq_pause,MATCH(B1823,eq_code,0)),0))+SUMIFS(st_min,st_date,A1823,st_eq,B1823,st_po,C1823,st_type,"Planifié"),"")</f>
        <v/>
      </c>
      <c r="M1823" s="55" t="str">
        <f>IF(ISNUMBER(K1823),K1823-L1823,"")</f>
        <v/>
      </c>
      <c r="N1823" s="55" t="str">
        <f>IF(ISNUMBER(K1823),SUMIFS(st_min,st_date,A1823,st_eq,B1823,st_po,C1823,st_type,"Non planifié"),"")</f>
        <v/>
      </c>
      <c r="O1823" s="55" t="str">
        <f>IF(ISNUMBER(K1823),M1823-N1823,"")</f>
        <v/>
      </c>
      <c r="P1823" s="55" t="str">
        <f>IF(COUNTA(A1823:I1823)=0,"",N(G1823)+N(H1823)+N(I1823))</f>
        <v/>
      </c>
      <c r="Q1823" s="56" t="str">
        <f>IF(COUNTA(A1823:I1823)=0,"",IF(N(IFERROR(INDEX(art_rate,MATCH(E1823,art_ref,0)),0))&gt;0,N(IFERROR(INDEX(art_rate,MATCH(E1823,art_ref,0)),0)),N(IFERROR(INDEX(po_rate,MATCH(C1823,po_code,0)),0))))</f>
        <v/>
      </c>
      <c r="R1823" s="55" t="str">
        <f>IF(AC1823=1,P1823*60/Q1823,"")</f>
        <v/>
      </c>
      <c r="S1823" s="55" t="str">
        <f>IF(AC1823=1,N(G1823)*60/Q1823,"")</f>
        <v/>
      </c>
      <c r="T1823" s="57" t="str">
        <f>IF(AC1823=1,O1823/M1823,"")</f>
        <v/>
      </c>
      <c r="U1823" s="57" t="str">
        <f>IF(AC1823=1,IF(O1823&gt;0,R1823/O1823,""),"")</f>
        <v/>
      </c>
      <c r="V1823" s="57" t="str">
        <f>IF(AC1823=1,IF(P1823&gt;0,N(G1823)/P1823,""),"")</f>
        <v/>
      </c>
      <c r="W1823" s="57" t="str">
        <f>IF(AC1823=1,S1823/M1823,"")</f>
        <v/>
      </c>
      <c r="X1823" s="57" t="str">
        <f>IF(AC1823=1,S1823/K1823,"")</f>
        <v/>
      </c>
      <c r="Y1823" s="58" t="str">
        <f>IF(W1823="","",IF(W1823&gt;=p_target,"Bon",IF(W1823&gt;=p_alert,"À surveiller","Faible")))</f>
        <v/>
      </c>
      <c r="Z1823" s="58" t="str">
        <f>IF(W1823="","",IF(MIN(IF(T1823="",1,T1823),IF(U1823="",1,U1823),IF(V1823="",1,V1823))&gt;=1,"Aucune",IF(IF(T1823="",1,T1823)&lt;=MIN(IF(U1823="",1,U1823),IF(V1823="",1,V1823)),"Disponibilité",IF(IF(U1823="",1,U1823)&lt;=IF(V1823="",1,V1823),"Performance","Qualité"))))</f>
        <v/>
      </c>
      <c r="AA1823" s="59" t="str">
        <f>IF(AC1823=1,N(H1823)*N(IFERROR(INDEX(art_cost,MATCH(E1823,art_ref,0)),0)),"")</f>
        <v/>
      </c>
      <c r="AB1823" s="58" t="str">
        <f>IF(COUNTA(A1823:I1823)=0,"",IF(N(A1823)&lt;=0,"Date manquante ou invalide",IF(B1823="","Équipe manquante",IF(ISNA(MATCH(B1823,eq_code,0)),"Équipe inconnue",IF(INDEX(eq_check,MATCH(B1823,eq_code,0))&lt;&gt;"OK","Équipe à corriger dans Paramètres",IF(C1823="","Poste manquant",IF(ISNA(MATCH(C1823,po_code,0)),"Poste inconnu",IF(AND(E1823&lt;&gt;"",ISNA(MATCH(E1823,art_ref,0))),"Article inconnu",IF(IF(E1823="",FALSE,INDEX(art_check,MATCH(E1823,art_ref,0))&lt;&gt;"OK"),"Article à corriger (feuille Articles)",IF(COUNTIFS(sj_date,A1823,sj_eq,B1823,sj_po,C1823)&gt;1,"Ligne en double (même jour, équipe et poste)",IF(OR(NOT(ISNUMBER(K1823)),N(K1823)&lt;=0,N(K1823)&gt;1440),"Temps d'ouverture invalide",IF(OR(AND(G1823&lt;&gt;"",NOT(ISNUMBER(G1823))),N(G1823)&lt;0,N(G1823)&lt;&gt;INT(N(G1823)),AND(H1823&lt;&gt;"",NOT(ISNUMBER(H1823))),N(H1823)&lt;0,N(H1823)&lt;&gt;INT(N(H1823)),AND(I1823&lt;&gt;"",NOT(ISNUMBER(I1823))),N(I1823)&lt;0,N(I1823)&lt;&gt;INT(N(I1823))),"Quantité invalide",IF(Q1823&lt;=0,"Cadence manquante (poste ou article)",IF(M1823&lt;=0,"Arrêts planifiés supérieurs au temps d'ouverture",IF(O1823&lt;0,"Arrêts supérieurs au temps requis",IF(AND(P1823&gt;0,O1823=0),"Pièces déclarées sans temps de marche",IF(AND(P1823=0,O1823&gt;0),"Aucune pièce déclarée",IF(P1823*60/Q1823&gt;O1823+0.001,"Cadence dépassée : vérifiez la cadence","OK"))))))))))))))))))</f>
        <v/>
      </c>
      <c r="AC1823">
        <f>IF(OR(AB1823="OK",AB1823="Aucune pièce déclarée",AB1823="Cadence dépassée : vérifiez la cadence"),1,0)</f>
        <v>0.0</v>
      </c>
      <c r="AD1823">
        <f>IF(AND(AC1823=1,A1823&gt;=p_from,A1823&lt;=p_to),1,0)</f>
        <v>0.0</v>
      </c>
      <c r="AE1823">
        <f>IF(AD1823=1,IF(COUNTIFS($A$6:A1823,A1823,$AD$6:AD1823,1)=1,1,0),0)</f>
        <v>0.0</v>
      </c>
      <c r="AF1823" t="str">
        <f>IF(AE1823=1,COUNTIFS(sj_first,1,sj_date,"&lt;"&amp;A1823)+1,"")</f>
        <v/>
      </c>
      <c r="AG1823" t="str">
        <f>IF(AND(AD1823=1,N(W1823)&lt;p_alert),ROUND(W1823,4),"")</f>
        <v/>
      </c>
      <c r="AH1823" t="str">
        <f>IF(AG1823="","",COUNTIF(sj_akey,"&lt;"&amp;AG1823)+COUNTIF($AG$6:AG1823,AG1823))</f>
        <v/>
      </c>
    </row>
    <row r="1824">
      <c r="A1824" s="51" t="n"/>
      <c r="B1824" s="52" t="n"/>
      <c r="C1824" s="52" t="n"/>
      <c r="D1824" s="53" t="n"/>
      <c r="E1824" s="53" t="n"/>
      <c r="F1824" s="54" t="n"/>
      <c r="G1824" s="54" t="n"/>
      <c r="H1824" s="54" t="n"/>
      <c r="I1824" s="54" t="n"/>
      <c r="J1824" s="53" t="n"/>
      <c r="K1824" s="55" t="str">
        <f>IF(COUNTA(A1824:I1824)=0,"",IF(F1824="",IFERROR(INDEX(eq_dur,MATCH(B1824,eq_code,0)),""),F1824))</f>
        <v/>
      </c>
      <c r="L1824" s="55" t="str">
        <f>IF(ISNUMBER(K1824),N(IFERROR(INDEX(eq_pause,MATCH(B1824,eq_code,0)),0))+SUMIFS(st_min,st_date,A1824,st_eq,B1824,st_po,C1824,st_type,"Planifié"),"")</f>
        <v/>
      </c>
      <c r="M1824" s="55" t="str">
        <f>IF(ISNUMBER(K1824),K1824-L1824,"")</f>
        <v/>
      </c>
      <c r="N1824" s="55" t="str">
        <f>IF(ISNUMBER(K1824),SUMIFS(st_min,st_date,A1824,st_eq,B1824,st_po,C1824,st_type,"Non planifié"),"")</f>
        <v/>
      </c>
      <c r="O1824" s="55" t="str">
        <f>IF(ISNUMBER(K1824),M1824-N1824,"")</f>
        <v/>
      </c>
      <c r="P1824" s="55" t="str">
        <f>IF(COUNTA(A1824:I1824)=0,"",N(G1824)+N(H1824)+N(I1824))</f>
        <v/>
      </c>
      <c r="Q1824" s="56" t="str">
        <f>IF(COUNTA(A1824:I1824)=0,"",IF(N(IFERROR(INDEX(art_rate,MATCH(E1824,art_ref,0)),0))&gt;0,N(IFERROR(INDEX(art_rate,MATCH(E1824,art_ref,0)),0)),N(IFERROR(INDEX(po_rate,MATCH(C1824,po_code,0)),0))))</f>
        <v/>
      </c>
      <c r="R1824" s="55" t="str">
        <f>IF(AC1824=1,P1824*60/Q1824,"")</f>
        <v/>
      </c>
      <c r="S1824" s="55" t="str">
        <f>IF(AC1824=1,N(G1824)*60/Q1824,"")</f>
        <v/>
      </c>
      <c r="T1824" s="57" t="str">
        <f>IF(AC1824=1,O1824/M1824,"")</f>
        <v/>
      </c>
      <c r="U1824" s="57" t="str">
        <f>IF(AC1824=1,IF(O1824&gt;0,R1824/O1824,""),"")</f>
        <v/>
      </c>
      <c r="V1824" s="57" t="str">
        <f>IF(AC1824=1,IF(P1824&gt;0,N(G1824)/P1824,""),"")</f>
        <v/>
      </c>
      <c r="W1824" s="57" t="str">
        <f>IF(AC1824=1,S1824/M1824,"")</f>
        <v/>
      </c>
      <c r="X1824" s="57" t="str">
        <f>IF(AC1824=1,S1824/K1824,"")</f>
        <v/>
      </c>
      <c r="Y1824" s="58" t="str">
        <f>IF(W1824="","",IF(W1824&gt;=p_target,"Bon",IF(W1824&gt;=p_alert,"À surveiller","Faible")))</f>
        <v/>
      </c>
      <c r="Z1824" s="58" t="str">
        <f>IF(W1824="","",IF(MIN(IF(T1824="",1,T1824),IF(U1824="",1,U1824),IF(V1824="",1,V1824))&gt;=1,"Aucune",IF(IF(T1824="",1,T1824)&lt;=MIN(IF(U1824="",1,U1824),IF(V1824="",1,V1824)),"Disponibilité",IF(IF(U1824="",1,U1824)&lt;=IF(V1824="",1,V1824),"Performance","Qualité"))))</f>
        <v/>
      </c>
      <c r="AA1824" s="59" t="str">
        <f>IF(AC1824=1,N(H1824)*N(IFERROR(INDEX(art_cost,MATCH(E1824,art_ref,0)),0)),"")</f>
        <v/>
      </c>
      <c r="AB1824" s="58" t="str">
        <f>IF(COUNTA(A1824:I1824)=0,"",IF(N(A1824)&lt;=0,"Date manquante ou invalide",IF(B1824="","Équipe manquante",IF(ISNA(MATCH(B1824,eq_code,0)),"Équipe inconnue",IF(INDEX(eq_check,MATCH(B1824,eq_code,0))&lt;&gt;"OK","Équipe à corriger dans Paramètres",IF(C1824="","Poste manquant",IF(ISNA(MATCH(C1824,po_code,0)),"Poste inconnu",IF(AND(E1824&lt;&gt;"",ISNA(MATCH(E1824,art_ref,0))),"Article inconnu",IF(IF(E1824="",FALSE,INDEX(art_check,MATCH(E1824,art_ref,0))&lt;&gt;"OK"),"Article à corriger (feuille Articles)",IF(COUNTIFS(sj_date,A1824,sj_eq,B1824,sj_po,C1824)&gt;1,"Ligne en double (même jour, équipe et poste)",IF(OR(NOT(ISNUMBER(K1824)),N(K1824)&lt;=0,N(K1824)&gt;1440),"Temps d'ouverture invalide",IF(OR(AND(G1824&lt;&gt;"",NOT(ISNUMBER(G1824))),N(G1824)&lt;0,N(G1824)&lt;&gt;INT(N(G1824)),AND(H1824&lt;&gt;"",NOT(ISNUMBER(H1824))),N(H1824)&lt;0,N(H1824)&lt;&gt;INT(N(H1824)),AND(I1824&lt;&gt;"",NOT(ISNUMBER(I1824))),N(I1824)&lt;0,N(I1824)&lt;&gt;INT(N(I1824))),"Quantité invalide",IF(Q1824&lt;=0,"Cadence manquante (poste ou article)",IF(M1824&lt;=0,"Arrêts planifiés supérieurs au temps d'ouverture",IF(O1824&lt;0,"Arrêts supérieurs au temps requis",IF(AND(P1824&gt;0,O1824=0),"Pièces déclarées sans temps de marche",IF(AND(P1824=0,O1824&gt;0),"Aucune pièce déclarée",IF(P1824*60/Q1824&gt;O1824+0.001,"Cadence dépassée : vérifiez la cadence","OK"))))))))))))))))))</f>
        <v/>
      </c>
      <c r="AC1824">
        <f>IF(OR(AB1824="OK",AB1824="Aucune pièce déclarée",AB1824="Cadence dépassée : vérifiez la cadence"),1,0)</f>
        <v>0.0</v>
      </c>
      <c r="AD1824">
        <f>IF(AND(AC1824=1,A1824&gt;=p_from,A1824&lt;=p_to),1,0)</f>
        <v>0.0</v>
      </c>
      <c r="AE1824">
        <f>IF(AD1824=1,IF(COUNTIFS($A$6:A1824,A1824,$AD$6:AD1824,1)=1,1,0),0)</f>
        <v>0.0</v>
      </c>
      <c r="AF1824" t="str">
        <f>IF(AE1824=1,COUNTIFS(sj_first,1,sj_date,"&lt;"&amp;A1824)+1,"")</f>
        <v/>
      </c>
      <c r="AG1824" t="str">
        <f>IF(AND(AD1824=1,N(W1824)&lt;p_alert),ROUND(W1824,4),"")</f>
        <v/>
      </c>
      <c r="AH1824" t="str">
        <f>IF(AG1824="","",COUNTIF(sj_akey,"&lt;"&amp;AG1824)+COUNTIF($AG$6:AG1824,AG1824))</f>
        <v/>
      </c>
    </row>
    <row r="1825">
      <c r="A1825" s="51" t="n"/>
      <c r="B1825" s="52" t="n"/>
      <c r="C1825" s="52" t="n"/>
      <c r="D1825" s="53" t="n"/>
      <c r="E1825" s="53" t="n"/>
      <c r="F1825" s="54" t="n"/>
      <c r="G1825" s="54" t="n"/>
      <c r="H1825" s="54" t="n"/>
      <c r="I1825" s="54" t="n"/>
      <c r="J1825" s="53" t="n"/>
      <c r="K1825" s="55" t="str">
        <f>IF(COUNTA(A1825:I1825)=0,"",IF(F1825="",IFERROR(INDEX(eq_dur,MATCH(B1825,eq_code,0)),""),F1825))</f>
        <v/>
      </c>
      <c r="L1825" s="55" t="str">
        <f>IF(ISNUMBER(K1825),N(IFERROR(INDEX(eq_pause,MATCH(B1825,eq_code,0)),0))+SUMIFS(st_min,st_date,A1825,st_eq,B1825,st_po,C1825,st_type,"Planifié"),"")</f>
        <v/>
      </c>
      <c r="M1825" s="55" t="str">
        <f>IF(ISNUMBER(K1825),K1825-L1825,"")</f>
        <v/>
      </c>
      <c r="N1825" s="55" t="str">
        <f>IF(ISNUMBER(K1825),SUMIFS(st_min,st_date,A1825,st_eq,B1825,st_po,C1825,st_type,"Non planifié"),"")</f>
        <v/>
      </c>
      <c r="O1825" s="55" t="str">
        <f>IF(ISNUMBER(K1825),M1825-N1825,"")</f>
        <v/>
      </c>
      <c r="P1825" s="55" t="str">
        <f>IF(COUNTA(A1825:I1825)=0,"",N(G1825)+N(H1825)+N(I1825))</f>
        <v/>
      </c>
      <c r="Q1825" s="56" t="str">
        <f>IF(COUNTA(A1825:I1825)=0,"",IF(N(IFERROR(INDEX(art_rate,MATCH(E1825,art_ref,0)),0))&gt;0,N(IFERROR(INDEX(art_rate,MATCH(E1825,art_ref,0)),0)),N(IFERROR(INDEX(po_rate,MATCH(C1825,po_code,0)),0))))</f>
        <v/>
      </c>
      <c r="R1825" s="55" t="str">
        <f>IF(AC1825=1,P1825*60/Q1825,"")</f>
        <v/>
      </c>
      <c r="S1825" s="55" t="str">
        <f>IF(AC1825=1,N(G1825)*60/Q1825,"")</f>
        <v/>
      </c>
      <c r="T1825" s="57" t="str">
        <f>IF(AC1825=1,O1825/M1825,"")</f>
        <v/>
      </c>
      <c r="U1825" s="57" t="str">
        <f>IF(AC1825=1,IF(O1825&gt;0,R1825/O1825,""),"")</f>
        <v/>
      </c>
      <c r="V1825" s="57" t="str">
        <f>IF(AC1825=1,IF(P1825&gt;0,N(G1825)/P1825,""),"")</f>
        <v/>
      </c>
      <c r="W1825" s="57" t="str">
        <f>IF(AC1825=1,S1825/M1825,"")</f>
        <v/>
      </c>
      <c r="X1825" s="57" t="str">
        <f>IF(AC1825=1,S1825/K1825,"")</f>
        <v/>
      </c>
      <c r="Y1825" s="58" t="str">
        <f>IF(W1825="","",IF(W1825&gt;=p_target,"Bon",IF(W1825&gt;=p_alert,"À surveiller","Faible")))</f>
        <v/>
      </c>
      <c r="Z1825" s="58" t="str">
        <f>IF(W1825="","",IF(MIN(IF(T1825="",1,T1825),IF(U1825="",1,U1825),IF(V1825="",1,V1825))&gt;=1,"Aucune",IF(IF(T1825="",1,T1825)&lt;=MIN(IF(U1825="",1,U1825),IF(V1825="",1,V1825)),"Disponibilité",IF(IF(U1825="",1,U1825)&lt;=IF(V1825="",1,V1825),"Performance","Qualité"))))</f>
        <v/>
      </c>
      <c r="AA1825" s="59" t="str">
        <f>IF(AC1825=1,N(H1825)*N(IFERROR(INDEX(art_cost,MATCH(E1825,art_ref,0)),0)),"")</f>
        <v/>
      </c>
      <c r="AB1825" s="58" t="str">
        <f>IF(COUNTA(A1825:I1825)=0,"",IF(N(A1825)&lt;=0,"Date manquante ou invalide",IF(B1825="","Équipe manquante",IF(ISNA(MATCH(B1825,eq_code,0)),"Équipe inconnue",IF(INDEX(eq_check,MATCH(B1825,eq_code,0))&lt;&gt;"OK","Équipe à corriger dans Paramètres",IF(C1825="","Poste manquant",IF(ISNA(MATCH(C1825,po_code,0)),"Poste inconnu",IF(AND(E1825&lt;&gt;"",ISNA(MATCH(E1825,art_ref,0))),"Article inconnu",IF(IF(E1825="",FALSE,INDEX(art_check,MATCH(E1825,art_ref,0))&lt;&gt;"OK"),"Article à corriger (feuille Articles)",IF(COUNTIFS(sj_date,A1825,sj_eq,B1825,sj_po,C1825)&gt;1,"Ligne en double (même jour, équipe et poste)",IF(OR(NOT(ISNUMBER(K1825)),N(K1825)&lt;=0,N(K1825)&gt;1440),"Temps d'ouverture invalide",IF(OR(AND(G1825&lt;&gt;"",NOT(ISNUMBER(G1825))),N(G1825)&lt;0,N(G1825)&lt;&gt;INT(N(G1825)),AND(H1825&lt;&gt;"",NOT(ISNUMBER(H1825))),N(H1825)&lt;0,N(H1825)&lt;&gt;INT(N(H1825)),AND(I1825&lt;&gt;"",NOT(ISNUMBER(I1825))),N(I1825)&lt;0,N(I1825)&lt;&gt;INT(N(I1825))),"Quantité invalide",IF(Q1825&lt;=0,"Cadence manquante (poste ou article)",IF(M1825&lt;=0,"Arrêts planifiés supérieurs au temps d'ouverture",IF(O1825&lt;0,"Arrêts supérieurs au temps requis",IF(AND(P1825&gt;0,O1825=0),"Pièces déclarées sans temps de marche",IF(AND(P1825=0,O1825&gt;0),"Aucune pièce déclarée",IF(P1825*60/Q1825&gt;O1825+0.001,"Cadence dépassée : vérifiez la cadence","OK"))))))))))))))))))</f>
        <v/>
      </c>
      <c r="AC1825">
        <f>IF(OR(AB1825="OK",AB1825="Aucune pièce déclarée",AB1825="Cadence dépassée : vérifiez la cadence"),1,0)</f>
        <v>0.0</v>
      </c>
      <c r="AD1825">
        <f>IF(AND(AC1825=1,A1825&gt;=p_from,A1825&lt;=p_to),1,0)</f>
        <v>0.0</v>
      </c>
      <c r="AE1825">
        <f>IF(AD1825=1,IF(COUNTIFS($A$6:A1825,A1825,$AD$6:AD1825,1)=1,1,0),0)</f>
        <v>0.0</v>
      </c>
      <c r="AF1825" t="str">
        <f>IF(AE1825=1,COUNTIFS(sj_first,1,sj_date,"&lt;"&amp;A1825)+1,"")</f>
        <v/>
      </c>
      <c r="AG1825" t="str">
        <f>IF(AND(AD1825=1,N(W1825)&lt;p_alert),ROUND(W1825,4),"")</f>
        <v/>
      </c>
      <c r="AH1825" t="str">
        <f>IF(AG1825="","",COUNTIF(sj_akey,"&lt;"&amp;AG1825)+COUNTIF($AG$6:AG1825,AG1825))</f>
        <v/>
      </c>
    </row>
    <row r="1826">
      <c r="A1826" s="51" t="n"/>
      <c r="B1826" s="52" t="n"/>
      <c r="C1826" s="52" t="n"/>
      <c r="D1826" s="53" t="n"/>
      <c r="E1826" s="53" t="n"/>
      <c r="F1826" s="54" t="n"/>
      <c r="G1826" s="54" t="n"/>
      <c r="H1826" s="54" t="n"/>
      <c r="I1826" s="54" t="n"/>
      <c r="J1826" s="53" t="n"/>
      <c r="K1826" s="55" t="str">
        <f>IF(COUNTA(A1826:I1826)=0,"",IF(F1826="",IFERROR(INDEX(eq_dur,MATCH(B1826,eq_code,0)),""),F1826))</f>
        <v/>
      </c>
      <c r="L1826" s="55" t="str">
        <f>IF(ISNUMBER(K1826),N(IFERROR(INDEX(eq_pause,MATCH(B1826,eq_code,0)),0))+SUMIFS(st_min,st_date,A1826,st_eq,B1826,st_po,C1826,st_type,"Planifié"),"")</f>
        <v/>
      </c>
      <c r="M1826" s="55" t="str">
        <f>IF(ISNUMBER(K1826),K1826-L1826,"")</f>
        <v/>
      </c>
      <c r="N1826" s="55" t="str">
        <f>IF(ISNUMBER(K1826),SUMIFS(st_min,st_date,A1826,st_eq,B1826,st_po,C1826,st_type,"Non planifié"),"")</f>
        <v/>
      </c>
      <c r="O1826" s="55" t="str">
        <f>IF(ISNUMBER(K1826),M1826-N1826,"")</f>
        <v/>
      </c>
      <c r="P1826" s="55" t="str">
        <f>IF(COUNTA(A1826:I1826)=0,"",N(G1826)+N(H1826)+N(I1826))</f>
        <v/>
      </c>
      <c r="Q1826" s="56" t="str">
        <f>IF(COUNTA(A1826:I1826)=0,"",IF(N(IFERROR(INDEX(art_rate,MATCH(E1826,art_ref,0)),0))&gt;0,N(IFERROR(INDEX(art_rate,MATCH(E1826,art_ref,0)),0)),N(IFERROR(INDEX(po_rate,MATCH(C1826,po_code,0)),0))))</f>
        <v/>
      </c>
      <c r="R1826" s="55" t="str">
        <f>IF(AC1826=1,P1826*60/Q1826,"")</f>
        <v/>
      </c>
      <c r="S1826" s="55" t="str">
        <f>IF(AC1826=1,N(G1826)*60/Q1826,"")</f>
        <v/>
      </c>
      <c r="T1826" s="57" t="str">
        <f>IF(AC1826=1,O1826/M1826,"")</f>
        <v/>
      </c>
      <c r="U1826" s="57" t="str">
        <f>IF(AC1826=1,IF(O1826&gt;0,R1826/O1826,""),"")</f>
        <v/>
      </c>
      <c r="V1826" s="57" t="str">
        <f>IF(AC1826=1,IF(P1826&gt;0,N(G1826)/P1826,""),"")</f>
        <v/>
      </c>
      <c r="W1826" s="57" t="str">
        <f>IF(AC1826=1,S1826/M1826,"")</f>
        <v/>
      </c>
      <c r="X1826" s="57" t="str">
        <f>IF(AC1826=1,S1826/K1826,"")</f>
        <v/>
      </c>
      <c r="Y1826" s="58" t="str">
        <f>IF(W1826="","",IF(W1826&gt;=p_target,"Bon",IF(W1826&gt;=p_alert,"À surveiller","Faible")))</f>
        <v/>
      </c>
      <c r="Z1826" s="58" t="str">
        <f>IF(W1826="","",IF(MIN(IF(T1826="",1,T1826),IF(U1826="",1,U1826),IF(V1826="",1,V1826))&gt;=1,"Aucune",IF(IF(T1826="",1,T1826)&lt;=MIN(IF(U1826="",1,U1826),IF(V1826="",1,V1826)),"Disponibilité",IF(IF(U1826="",1,U1826)&lt;=IF(V1826="",1,V1826),"Performance","Qualité"))))</f>
        <v/>
      </c>
      <c r="AA1826" s="59" t="str">
        <f>IF(AC1826=1,N(H1826)*N(IFERROR(INDEX(art_cost,MATCH(E1826,art_ref,0)),0)),"")</f>
        <v/>
      </c>
      <c r="AB1826" s="58" t="str">
        <f>IF(COUNTA(A1826:I1826)=0,"",IF(N(A1826)&lt;=0,"Date manquante ou invalide",IF(B1826="","Équipe manquante",IF(ISNA(MATCH(B1826,eq_code,0)),"Équipe inconnue",IF(INDEX(eq_check,MATCH(B1826,eq_code,0))&lt;&gt;"OK","Équipe à corriger dans Paramètres",IF(C1826="","Poste manquant",IF(ISNA(MATCH(C1826,po_code,0)),"Poste inconnu",IF(AND(E1826&lt;&gt;"",ISNA(MATCH(E1826,art_ref,0))),"Article inconnu",IF(IF(E1826="",FALSE,INDEX(art_check,MATCH(E1826,art_ref,0))&lt;&gt;"OK"),"Article à corriger (feuille Articles)",IF(COUNTIFS(sj_date,A1826,sj_eq,B1826,sj_po,C1826)&gt;1,"Ligne en double (même jour, équipe et poste)",IF(OR(NOT(ISNUMBER(K1826)),N(K1826)&lt;=0,N(K1826)&gt;1440),"Temps d'ouverture invalide",IF(OR(AND(G1826&lt;&gt;"",NOT(ISNUMBER(G1826))),N(G1826)&lt;0,N(G1826)&lt;&gt;INT(N(G1826)),AND(H1826&lt;&gt;"",NOT(ISNUMBER(H1826))),N(H1826)&lt;0,N(H1826)&lt;&gt;INT(N(H1826)),AND(I1826&lt;&gt;"",NOT(ISNUMBER(I1826))),N(I1826)&lt;0,N(I1826)&lt;&gt;INT(N(I1826))),"Quantité invalide",IF(Q1826&lt;=0,"Cadence manquante (poste ou article)",IF(M1826&lt;=0,"Arrêts planifiés supérieurs au temps d'ouverture",IF(O1826&lt;0,"Arrêts supérieurs au temps requis",IF(AND(P1826&gt;0,O1826=0),"Pièces déclarées sans temps de marche",IF(AND(P1826=0,O1826&gt;0),"Aucune pièce déclarée",IF(P1826*60/Q1826&gt;O1826+0.001,"Cadence dépassée : vérifiez la cadence","OK"))))))))))))))))))</f>
        <v/>
      </c>
      <c r="AC1826">
        <f>IF(OR(AB1826="OK",AB1826="Aucune pièce déclarée",AB1826="Cadence dépassée : vérifiez la cadence"),1,0)</f>
        <v>0.0</v>
      </c>
      <c r="AD1826">
        <f>IF(AND(AC1826=1,A1826&gt;=p_from,A1826&lt;=p_to),1,0)</f>
        <v>0.0</v>
      </c>
      <c r="AE1826">
        <f>IF(AD1826=1,IF(COUNTIFS($A$6:A1826,A1826,$AD$6:AD1826,1)=1,1,0),0)</f>
        <v>0.0</v>
      </c>
      <c r="AF1826" t="str">
        <f>IF(AE1826=1,COUNTIFS(sj_first,1,sj_date,"&lt;"&amp;A1826)+1,"")</f>
        <v/>
      </c>
      <c r="AG1826" t="str">
        <f>IF(AND(AD1826=1,N(W1826)&lt;p_alert),ROUND(W1826,4),"")</f>
        <v/>
      </c>
      <c r="AH1826" t="str">
        <f>IF(AG1826="","",COUNTIF(sj_akey,"&lt;"&amp;AG1826)+COUNTIF($AG$6:AG1826,AG1826))</f>
        <v/>
      </c>
    </row>
    <row r="1827">
      <c r="A1827" s="51" t="n"/>
      <c r="B1827" s="52" t="n"/>
      <c r="C1827" s="52" t="n"/>
      <c r="D1827" s="53" t="n"/>
      <c r="E1827" s="53" t="n"/>
      <c r="F1827" s="54" t="n"/>
      <c r="G1827" s="54" t="n"/>
      <c r="H1827" s="54" t="n"/>
      <c r="I1827" s="54" t="n"/>
      <c r="J1827" s="53" t="n"/>
      <c r="K1827" s="55" t="str">
        <f>IF(COUNTA(A1827:I1827)=0,"",IF(F1827="",IFERROR(INDEX(eq_dur,MATCH(B1827,eq_code,0)),""),F1827))</f>
        <v/>
      </c>
      <c r="L1827" s="55" t="str">
        <f>IF(ISNUMBER(K1827),N(IFERROR(INDEX(eq_pause,MATCH(B1827,eq_code,0)),0))+SUMIFS(st_min,st_date,A1827,st_eq,B1827,st_po,C1827,st_type,"Planifié"),"")</f>
        <v/>
      </c>
      <c r="M1827" s="55" t="str">
        <f>IF(ISNUMBER(K1827),K1827-L1827,"")</f>
        <v/>
      </c>
      <c r="N1827" s="55" t="str">
        <f>IF(ISNUMBER(K1827),SUMIFS(st_min,st_date,A1827,st_eq,B1827,st_po,C1827,st_type,"Non planifié"),"")</f>
        <v/>
      </c>
      <c r="O1827" s="55" t="str">
        <f>IF(ISNUMBER(K1827),M1827-N1827,"")</f>
        <v/>
      </c>
      <c r="P1827" s="55" t="str">
        <f>IF(COUNTA(A1827:I1827)=0,"",N(G1827)+N(H1827)+N(I1827))</f>
        <v/>
      </c>
      <c r="Q1827" s="56" t="str">
        <f>IF(COUNTA(A1827:I1827)=0,"",IF(N(IFERROR(INDEX(art_rate,MATCH(E1827,art_ref,0)),0))&gt;0,N(IFERROR(INDEX(art_rate,MATCH(E1827,art_ref,0)),0)),N(IFERROR(INDEX(po_rate,MATCH(C1827,po_code,0)),0))))</f>
        <v/>
      </c>
      <c r="R1827" s="55" t="str">
        <f>IF(AC1827=1,P1827*60/Q1827,"")</f>
        <v/>
      </c>
      <c r="S1827" s="55" t="str">
        <f>IF(AC1827=1,N(G1827)*60/Q1827,"")</f>
        <v/>
      </c>
      <c r="T1827" s="57" t="str">
        <f>IF(AC1827=1,O1827/M1827,"")</f>
        <v/>
      </c>
      <c r="U1827" s="57" t="str">
        <f>IF(AC1827=1,IF(O1827&gt;0,R1827/O1827,""),"")</f>
        <v/>
      </c>
      <c r="V1827" s="57" t="str">
        <f>IF(AC1827=1,IF(P1827&gt;0,N(G1827)/P1827,""),"")</f>
        <v/>
      </c>
      <c r="W1827" s="57" t="str">
        <f>IF(AC1827=1,S1827/M1827,"")</f>
        <v/>
      </c>
      <c r="X1827" s="57" t="str">
        <f>IF(AC1827=1,S1827/K1827,"")</f>
        <v/>
      </c>
      <c r="Y1827" s="58" t="str">
        <f>IF(W1827="","",IF(W1827&gt;=p_target,"Bon",IF(W1827&gt;=p_alert,"À surveiller","Faible")))</f>
        <v/>
      </c>
      <c r="Z1827" s="58" t="str">
        <f>IF(W1827="","",IF(MIN(IF(T1827="",1,T1827),IF(U1827="",1,U1827),IF(V1827="",1,V1827))&gt;=1,"Aucune",IF(IF(T1827="",1,T1827)&lt;=MIN(IF(U1827="",1,U1827),IF(V1827="",1,V1827)),"Disponibilité",IF(IF(U1827="",1,U1827)&lt;=IF(V1827="",1,V1827),"Performance","Qualité"))))</f>
        <v/>
      </c>
      <c r="AA1827" s="59" t="str">
        <f>IF(AC1827=1,N(H1827)*N(IFERROR(INDEX(art_cost,MATCH(E1827,art_ref,0)),0)),"")</f>
        <v/>
      </c>
      <c r="AB1827" s="58" t="str">
        <f>IF(COUNTA(A1827:I1827)=0,"",IF(N(A1827)&lt;=0,"Date manquante ou invalide",IF(B1827="","Équipe manquante",IF(ISNA(MATCH(B1827,eq_code,0)),"Équipe inconnue",IF(INDEX(eq_check,MATCH(B1827,eq_code,0))&lt;&gt;"OK","Équipe à corriger dans Paramètres",IF(C1827="","Poste manquant",IF(ISNA(MATCH(C1827,po_code,0)),"Poste inconnu",IF(AND(E1827&lt;&gt;"",ISNA(MATCH(E1827,art_ref,0))),"Article inconnu",IF(IF(E1827="",FALSE,INDEX(art_check,MATCH(E1827,art_ref,0))&lt;&gt;"OK"),"Article à corriger (feuille Articles)",IF(COUNTIFS(sj_date,A1827,sj_eq,B1827,sj_po,C1827)&gt;1,"Ligne en double (même jour, équipe et poste)",IF(OR(NOT(ISNUMBER(K1827)),N(K1827)&lt;=0,N(K1827)&gt;1440),"Temps d'ouverture invalide",IF(OR(AND(G1827&lt;&gt;"",NOT(ISNUMBER(G1827))),N(G1827)&lt;0,N(G1827)&lt;&gt;INT(N(G1827)),AND(H1827&lt;&gt;"",NOT(ISNUMBER(H1827))),N(H1827)&lt;0,N(H1827)&lt;&gt;INT(N(H1827)),AND(I1827&lt;&gt;"",NOT(ISNUMBER(I1827))),N(I1827)&lt;0,N(I1827)&lt;&gt;INT(N(I1827))),"Quantité invalide",IF(Q1827&lt;=0,"Cadence manquante (poste ou article)",IF(M1827&lt;=0,"Arrêts planifiés supérieurs au temps d'ouverture",IF(O1827&lt;0,"Arrêts supérieurs au temps requis",IF(AND(P1827&gt;0,O1827=0),"Pièces déclarées sans temps de marche",IF(AND(P1827=0,O1827&gt;0),"Aucune pièce déclarée",IF(P1827*60/Q1827&gt;O1827+0.001,"Cadence dépassée : vérifiez la cadence","OK"))))))))))))))))))</f>
        <v/>
      </c>
      <c r="AC1827">
        <f>IF(OR(AB1827="OK",AB1827="Aucune pièce déclarée",AB1827="Cadence dépassée : vérifiez la cadence"),1,0)</f>
        <v>0.0</v>
      </c>
      <c r="AD1827">
        <f>IF(AND(AC1827=1,A1827&gt;=p_from,A1827&lt;=p_to),1,0)</f>
        <v>0.0</v>
      </c>
      <c r="AE1827">
        <f>IF(AD1827=1,IF(COUNTIFS($A$6:A1827,A1827,$AD$6:AD1827,1)=1,1,0),0)</f>
        <v>0.0</v>
      </c>
      <c r="AF1827" t="str">
        <f>IF(AE1827=1,COUNTIFS(sj_first,1,sj_date,"&lt;"&amp;A1827)+1,"")</f>
        <v/>
      </c>
      <c r="AG1827" t="str">
        <f>IF(AND(AD1827=1,N(W1827)&lt;p_alert),ROUND(W1827,4),"")</f>
        <v/>
      </c>
      <c r="AH1827" t="str">
        <f>IF(AG1827="","",COUNTIF(sj_akey,"&lt;"&amp;AG1827)+COUNTIF($AG$6:AG1827,AG1827))</f>
        <v/>
      </c>
    </row>
    <row r="1828">
      <c r="A1828" s="51" t="n"/>
      <c r="B1828" s="52" t="n"/>
      <c r="C1828" s="52" t="n"/>
      <c r="D1828" s="53" t="n"/>
      <c r="E1828" s="53" t="n"/>
      <c r="F1828" s="54" t="n"/>
      <c r="G1828" s="54" t="n"/>
      <c r="H1828" s="54" t="n"/>
      <c r="I1828" s="54" t="n"/>
      <c r="J1828" s="53" t="n"/>
      <c r="K1828" s="55" t="str">
        <f>IF(COUNTA(A1828:I1828)=0,"",IF(F1828="",IFERROR(INDEX(eq_dur,MATCH(B1828,eq_code,0)),""),F1828))</f>
        <v/>
      </c>
      <c r="L1828" s="55" t="str">
        <f>IF(ISNUMBER(K1828),N(IFERROR(INDEX(eq_pause,MATCH(B1828,eq_code,0)),0))+SUMIFS(st_min,st_date,A1828,st_eq,B1828,st_po,C1828,st_type,"Planifié"),"")</f>
        <v/>
      </c>
      <c r="M1828" s="55" t="str">
        <f>IF(ISNUMBER(K1828),K1828-L1828,"")</f>
        <v/>
      </c>
      <c r="N1828" s="55" t="str">
        <f>IF(ISNUMBER(K1828),SUMIFS(st_min,st_date,A1828,st_eq,B1828,st_po,C1828,st_type,"Non planifié"),"")</f>
        <v/>
      </c>
      <c r="O1828" s="55" t="str">
        <f>IF(ISNUMBER(K1828),M1828-N1828,"")</f>
        <v/>
      </c>
      <c r="P1828" s="55" t="str">
        <f>IF(COUNTA(A1828:I1828)=0,"",N(G1828)+N(H1828)+N(I1828))</f>
        <v/>
      </c>
      <c r="Q1828" s="56" t="str">
        <f>IF(COUNTA(A1828:I1828)=0,"",IF(N(IFERROR(INDEX(art_rate,MATCH(E1828,art_ref,0)),0))&gt;0,N(IFERROR(INDEX(art_rate,MATCH(E1828,art_ref,0)),0)),N(IFERROR(INDEX(po_rate,MATCH(C1828,po_code,0)),0))))</f>
        <v/>
      </c>
      <c r="R1828" s="55" t="str">
        <f>IF(AC1828=1,P1828*60/Q1828,"")</f>
        <v/>
      </c>
      <c r="S1828" s="55" t="str">
        <f>IF(AC1828=1,N(G1828)*60/Q1828,"")</f>
        <v/>
      </c>
      <c r="T1828" s="57" t="str">
        <f>IF(AC1828=1,O1828/M1828,"")</f>
        <v/>
      </c>
      <c r="U1828" s="57" t="str">
        <f>IF(AC1828=1,IF(O1828&gt;0,R1828/O1828,""),"")</f>
        <v/>
      </c>
      <c r="V1828" s="57" t="str">
        <f>IF(AC1828=1,IF(P1828&gt;0,N(G1828)/P1828,""),"")</f>
        <v/>
      </c>
      <c r="W1828" s="57" t="str">
        <f>IF(AC1828=1,S1828/M1828,"")</f>
        <v/>
      </c>
      <c r="X1828" s="57" t="str">
        <f>IF(AC1828=1,S1828/K1828,"")</f>
        <v/>
      </c>
      <c r="Y1828" s="58" t="str">
        <f>IF(W1828="","",IF(W1828&gt;=p_target,"Bon",IF(W1828&gt;=p_alert,"À surveiller","Faible")))</f>
        <v/>
      </c>
      <c r="Z1828" s="58" t="str">
        <f>IF(W1828="","",IF(MIN(IF(T1828="",1,T1828),IF(U1828="",1,U1828),IF(V1828="",1,V1828))&gt;=1,"Aucune",IF(IF(T1828="",1,T1828)&lt;=MIN(IF(U1828="",1,U1828),IF(V1828="",1,V1828)),"Disponibilité",IF(IF(U1828="",1,U1828)&lt;=IF(V1828="",1,V1828),"Performance","Qualité"))))</f>
        <v/>
      </c>
      <c r="AA1828" s="59" t="str">
        <f>IF(AC1828=1,N(H1828)*N(IFERROR(INDEX(art_cost,MATCH(E1828,art_ref,0)),0)),"")</f>
        <v/>
      </c>
      <c r="AB1828" s="58" t="str">
        <f>IF(COUNTA(A1828:I1828)=0,"",IF(N(A1828)&lt;=0,"Date manquante ou invalide",IF(B1828="","Équipe manquante",IF(ISNA(MATCH(B1828,eq_code,0)),"Équipe inconnue",IF(INDEX(eq_check,MATCH(B1828,eq_code,0))&lt;&gt;"OK","Équipe à corriger dans Paramètres",IF(C1828="","Poste manquant",IF(ISNA(MATCH(C1828,po_code,0)),"Poste inconnu",IF(AND(E1828&lt;&gt;"",ISNA(MATCH(E1828,art_ref,0))),"Article inconnu",IF(IF(E1828="",FALSE,INDEX(art_check,MATCH(E1828,art_ref,0))&lt;&gt;"OK"),"Article à corriger (feuille Articles)",IF(COUNTIFS(sj_date,A1828,sj_eq,B1828,sj_po,C1828)&gt;1,"Ligne en double (même jour, équipe et poste)",IF(OR(NOT(ISNUMBER(K1828)),N(K1828)&lt;=0,N(K1828)&gt;1440),"Temps d'ouverture invalide",IF(OR(AND(G1828&lt;&gt;"",NOT(ISNUMBER(G1828))),N(G1828)&lt;0,N(G1828)&lt;&gt;INT(N(G1828)),AND(H1828&lt;&gt;"",NOT(ISNUMBER(H1828))),N(H1828)&lt;0,N(H1828)&lt;&gt;INT(N(H1828)),AND(I1828&lt;&gt;"",NOT(ISNUMBER(I1828))),N(I1828)&lt;0,N(I1828)&lt;&gt;INT(N(I1828))),"Quantité invalide",IF(Q1828&lt;=0,"Cadence manquante (poste ou article)",IF(M1828&lt;=0,"Arrêts planifiés supérieurs au temps d'ouverture",IF(O1828&lt;0,"Arrêts supérieurs au temps requis",IF(AND(P1828&gt;0,O1828=0),"Pièces déclarées sans temps de marche",IF(AND(P1828=0,O1828&gt;0),"Aucune pièce déclarée",IF(P1828*60/Q1828&gt;O1828+0.001,"Cadence dépassée : vérifiez la cadence","OK"))))))))))))))))))</f>
        <v/>
      </c>
      <c r="AC1828">
        <f>IF(OR(AB1828="OK",AB1828="Aucune pièce déclarée",AB1828="Cadence dépassée : vérifiez la cadence"),1,0)</f>
        <v>0.0</v>
      </c>
      <c r="AD1828">
        <f>IF(AND(AC1828=1,A1828&gt;=p_from,A1828&lt;=p_to),1,0)</f>
        <v>0.0</v>
      </c>
      <c r="AE1828">
        <f>IF(AD1828=1,IF(COUNTIFS($A$6:A1828,A1828,$AD$6:AD1828,1)=1,1,0),0)</f>
        <v>0.0</v>
      </c>
      <c r="AF1828" t="str">
        <f>IF(AE1828=1,COUNTIFS(sj_first,1,sj_date,"&lt;"&amp;A1828)+1,"")</f>
        <v/>
      </c>
      <c r="AG1828" t="str">
        <f>IF(AND(AD1828=1,N(W1828)&lt;p_alert),ROUND(W1828,4),"")</f>
        <v/>
      </c>
      <c r="AH1828" t="str">
        <f>IF(AG1828="","",COUNTIF(sj_akey,"&lt;"&amp;AG1828)+COUNTIF($AG$6:AG1828,AG1828))</f>
        <v/>
      </c>
    </row>
    <row r="1829">
      <c r="A1829" s="51" t="n"/>
      <c r="B1829" s="52" t="n"/>
      <c r="C1829" s="52" t="n"/>
      <c r="D1829" s="53" t="n"/>
      <c r="E1829" s="53" t="n"/>
      <c r="F1829" s="54" t="n"/>
      <c r="G1829" s="54" t="n"/>
      <c r="H1829" s="54" t="n"/>
      <c r="I1829" s="54" t="n"/>
      <c r="J1829" s="53" t="n"/>
      <c r="K1829" s="55" t="str">
        <f>IF(COUNTA(A1829:I1829)=0,"",IF(F1829="",IFERROR(INDEX(eq_dur,MATCH(B1829,eq_code,0)),""),F1829))</f>
        <v/>
      </c>
      <c r="L1829" s="55" t="str">
        <f>IF(ISNUMBER(K1829),N(IFERROR(INDEX(eq_pause,MATCH(B1829,eq_code,0)),0))+SUMIFS(st_min,st_date,A1829,st_eq,B1829,st_po,C1829,st_type,"Planifié"),"")</f>
        <v/>
      </c>
      <c r="M1829" s="55" t="str">
        <f>IF(ISNUMBER(K1829),K1829-L1829,"")</f>
        <v/>
      </c>
      <c r="N1829" s="55" t="str">
        <f>IF(ISNUMBER(K1829),SUMIFS(st_min,st_date,A1829,st_eq,B1829,st_po,C1829,st_type,"Non planifié"),"")</f>
        <v/>
      </c>
      <c r="O1829" s="55" t="str">
        <f>IF(ISNUMBER(K1829),M1829-N1829,"")</f>
        <v/>
      </c>
      <c r="P1829" s="55" t="str">
        <f>IF(COUNTA(A1829:I1829)=0,"",N(G1829)+N(H1829)+N(I1829))</f>
        <v/>
      </c>
      <c r="Q1829" s="56" t="str">
        <f>IF(COUNTA(A1829:I1829)=0,"",IF(N(IFERROR(INDEX(art_rate,MATCH(E1829,art_ref,0)),0))&gt;0,N(IFERROR(INDEX(art_rate,MATCH(E1829,art_ref,0)),0)),N(IFERROR(INDEX(po_rate,MATCH(C1829,po_code,0)),0))))</f>
        <v/>
      </c>
      <c r="R1829" s="55" t="str">
        <f>IF(AC1829=1,P1829*60/Q1829,"")</f>
        <v/>
      </c>
      <c r="S1829" s="55" t="str">
        <f>IF(AC1829=1,N(G1829)*60/Q1829,"")</f>
        <v/>
      </c>
      <c r="T1829" s="57" t="str">
        <f>IF(AC1829=1,O1829/M1829,"")</f>
        <v/>
      </c>
      <c r="U1829" s="57" t="str">
        <f>IF(AC1829=1,IF(O1829&gt;0,R1829/O1829,""),"")</f>
        <v/>
      </c>
      <c r="V1829" s="57" t="str">
        <f>IF(AC1829=1,IF(P1829&gt;0,N(G1829)/P1829,""),"")</f>
        <v/>
      </c>
      <c r="W1829" s="57" t="str">
        <f>IF(AC1829=1,S1829/M1829,"")</f>
        <v/>
      </c>
      <c r="X1829" s="57" t="str">
        <f>IF(AC1829=1,S1829/K1829,"")</f>
        <v/>
      </c>
      <c r="Y1829" s="58" t="str">
        <f>IF(W1829="","",IF(W1829&gt;=p_target,"Bon",IF(W1829&gt;=p_alert,"À surveiller","Faible")))</f>
        <v/>
      </c>
      <c r="Z1829" s="58" t="str">
        <f>IF(W1829="","",IF(MIN(IF(T1829="",1,T1829),IF(U1829="",1,U1829),IF(V1829="",1,V1829))&gt;=1,"Aucune",IF(IF(T1829="",1,T1829)&lt;=MIN(IF(U1829="",1,U1829),IF(V1829="",1,V1829)),"Disponibilité",IF(IF(U1829="",1,U1829)&lt;=IF(V1829="",1,V1829),"Performance","Qualité"))))</f>
        <v/>
      </c>
      <c r="AA1829" s="59" t="str">
        <f>IF(AC1829=1,N(H1829)*N(IFERROR(INDEX(art_cost,MATCH(E1829,art_ref,0)),0)),"")</f>
        <v/>
      </c>
      <c r="AB1829" s="58" t="str">
        <f>IF(COUNTA(A1829:I1829)=0,"",IF(N(A1829)&lt;=0,"Date manquante ou invalide",IF(B1829="","Équipe manquante",IF(ISNA(MATCH(B1829,eq_code,0)),"Équipe inconnue",IF(INDEX(eq_check,MATCH(B1829,eq_code,0))&lt;&gt;"OK","Équipe à corriger dans Paramètres",IF(C1829="","Poste manquant",IF(ISNA(MATCH(C1829,po_code,0)),"Poste inconnu",IF(AND(E1829&lt;&gt;"",ISNA(MATCH(E1829,art_ref,0))),"Article inconnu",IF(IF(E1829="",FALSE,INDEX(art_check,MATCH(E1829,art_ref,0))&lt;&gt;"OK"),"Article à corriger (feuille Articles)",IF(COUNTIFS(sj_date,A1829,sj_eq,B1829,sj_po,C1829)&gt;1,"Ligne en double (même jour, équipe et poste)",IF(OR(NOT(ISNUMBER(K1829)),N(K1829)&lt;=0,N(K1829)&gt;1440),"Temps d'ouverture invalide",IF(OR(AND(G1829&lt;&gt;"",NOT(ISNUMBER(G1829))),N(G1829)&lt;0,N(G1829)&lt;&gt;INT(N(G1829)),AND(H1829&lt;&gt;"",NOT(ISNUMBER(H1829))),N(H1829)&lt;0,N(H1829)&lt;&gt;INT(N(H1829)),AND(I1829&lt;&gt;"",NOT(ISNUMBER(I1829))),N(I1829)&lt;0,N(I1829)&lt;&gt;INT(N(I1829))),"Quantité invalide",IF(Q1829&lt;=0,"Cadence manquante (poste ou article)",IF(M1829&lt;=0,"Arrêts planifiés supérieurs au temps d'ouverture",IF(O1829&lt;0,"Arrêts supérieurs au temps requis",IF(AND(P1829&gt;0,O1829=0),"Pièces déclarées sans temps de marche",IF(AND(P1829=0,O1829&gt;0),"Aucune pièce déclarée",IF(P1829*60/Q1829&gt;O1829+0.001,"Cadence dépassée : vérifiez la cadence","OK"))))))))))))))))))</f>
        <v/>
      </c>
      <c r="AC1829">
        <f>IF(OR(AB1829="OK",AB1829="Aucune pièce déclarée",AB1829="Cadence dépassée : vérifiez la cadence"),1,0)</f>
        <v>0.0</v>
      </c>
      <c r="AD1829">
        <f>IF(AND(AC1829=1,A1829&gt;=p_from,A1829&lt;=p_to),1,0)</f>
        <v>0.0</v>
      </c>
      <c r="AE1829">
        <f>IF(AD1829=1,IF(COUNTIFS($A$6:A1829,A1829,$AD$6:AD1829,1)=1,1,0),0)</f>
        <v>0.0</v>
      </c>
      <c r="AF1829" t="str">
        <f>IF(AE1829=1,COUNTIFS(sj_first,1,sj_date,"&lt;"&amp;A1829)+1,"")</f>
        <v/>
      </c>
      <c r="AG1829" t="str">
        <f>IF(AND(AD1829=1,N(W1829)&lt;p_alert),ROUND(W1829,4),"")</f>
        <v/>
      </c>
      <c r="AH1829" t="str">
        <f>IF(AG1829="","",COUNTIF(sj_akey,"&lt;"&amp;AG1829)+COUNTIF($AG$6:AG1829,AG1829))</f>
        <v/>
      </c>
    </row>
    <row r="1830">
      <c r="A1830" s="51" t="n"/>
      <c r="B1830" s="52" t="n"/>
      <c r="C1830" s="52" t="n"/>
      <c r="D1830" s="53" t="n"/>
      <c r="E1830" s="53" t="n"/>
      <c r="F1830" s="54" t="n"/>
      <c r="G1830" s="54" t="n"/>
      <c r="H1830" s="54" t="n"/>
      <c r="I1830" s="54" t="n"/>
      <c r="J1830" s="53" t="n"/>
      <c r="K1830" s="55" t="str">
        <f>IF(COUNTA(A1830:I1830)=0,"",IF(F1830="",IFERROR(INDEX(eq_dur,MATCH(B1830,eq_code,0)),""),F1830))</f>
        <v/>
      </c>
      <c r="L1830" s="55" t="str">
        <f>IF(ISNUMBER(K1830),N(IFERROR(INDEX(eq_pause,MATCH(B1830,eq_code,0)),0))+SUMIFS(st_min,st_date,A1830,st_eq,B1830,st_po,C1830,st_type,"Planifié"),"")</f>
        <v/>
      </c>
      <c r="M1830" s="55" t="str">
        <f>IF(ISNUMBER(K1830),K1830-L1830,"")</f>
        <v/>
      </c>
      <c r="N1830" s="55" t="str">
        <f>IF(ISNUMBER(K1830),SUMIFS(st_min,st_date,A1830,st_eq,B1830,st_po,C1830,st_type,"Non planifié"),"")</f>
        <v/>
      </c>
      <c r="O1830" s="55" t="str">
        <f>IF(ISNUMBER(K1830),M1830-N1830,"")</f>
        <v/>
      </c>
      <c r="P1830" s="55" t="str">
        <f>IF(COUNTA(A1830:I1830)=0,"",N(G1830)+N(H1830)+N(I1830))</f>
        <v/>
      </c>
      <c r="Q1830" s="56" t="str">
        <f>IF(COUNTA(A1830:I1830)=0,"",IF(N(IFERROR(INDEX(art_rate,MATCH(E1830,art_ref,0)),0))&gt;0,N(IFERROR(INDEX(art_rate,MATCH(E1830,art_ref,0)),0)),N(IFERROR(INDEX(po_rate,MATCH(C1830,po_code,0)),0))))</f>
        <v/>
      </c>
      <c r="R1830" s="55" t="str">
        <f>IF(AC1830=1,P1830*60/Q1830,"")</f>
        <v/>
      </c>
      <c r="S1830" s="55" t="str">
        <f>IF(AC1830=1,N(G1830)*60/Q1830,"")</f>
        <v/>
      </c>
      <c r="T1830" s="57" t="str">
        <f>IF(AC1830=1,O1830/M1830,"")</f>
        <v/>
      </c>
      <c r="U1830" s="57" t="str">
        <f>IF(AC1830=1,IF(O1830&gt;0,R1830/O1830,""),"")</f>
        <v/>
      </c>
      <c r="V1830" s="57" t="str">
        <f>IF(AC1830=1,IF(P1830&gt;0,N(G1830)/P1830,""),"")</f>
        <v/>
      </c>
      <c r="W1830" s="57" t="str">
        <f>IF(AC1830=1,S1830/M1830,"")</f>
        <v/>
      </c>
      <c r="X1830" s="57" t="str">
        <f>IF(AC1830=1,S1830/K1830,"")</f>
        <v/>
      </c>
      <c r="Y1830" s="58" t="str">
        <f>IF(W1830="","",IF(W1830&gt;=p_target,"Bon",IF(W1830&gt;=p_alert,"À surveiller","Faible")))</f>
        <v/>
      </c>
      <c r="Z1830" s="58" t="str">
        <f>IF(W1830="","",IF(MIN(IF(T1830="",1,T1830),IF(U1830="",1,U1830),IF(V1830="",1,V1830))&gt;=1,"Aucune",IF(IF(T1830="",1,T1830)&lt;=MIN(IF(U1830="",1,U1830),IF(V1830="",1,V1830)),"Disponibilité",IF(IF(U1830="",1,U1830)&lt;=IF(V1830="",1,V1830),"Performance","Qualité"))))</f>
        <v/>
      </c>
      <c r="AA1830" s="59" t="str">
        <f>IF(AC1830=1,N(H1830)*N(IFERROR(INDEX(art_cost,MATCH(E1830,art_ref,0)),0)),"")</f>
        <v/>
      </c>
      <c r="AB1830" s="58" t="str">
        <f>IF(COUNTA(A1830:I1830)=0,"",IF(N(A1830)&lt;=0,"Date manquante ou invalide",IF(B1830="","Équipe manquante",IF(ISNA(MATCH(B1830,eq_code,0)),"Équipe inconnue",IF(INDEX(eq_check,MATCH(B1830,eq_code,0))&lt;&gt;"OK","Équipe à corriger dans Paramètres",IF(C1830="","Poste manquant",IF(ISNA(MATCH(C1830,po_code,0)),"Poste inconnu",IF(AND(E1830&lt;&gt;"",ISNA(MATCH(E1830,art_ref,0))),"Article inconnu",IF(IF(E1830="",FALSE,INDEX(art_check,MATCH(E1830,art_ref,0))&lt;&gt;"OK"),"Article à corriger (feuille Articles)",IF(COUNTIFS(sj_date,A1830,sj_eq,B1830,sj_po,C1830)&gt;1,"Ligne en double (même jour, équipe et poste)",IF(OR(NOT(ISNUMBER(K1830)),N(K1830)&lt;=0,N(K1830)&gt;1440),"Temps d'ouverture invalide",IF(OR(AND(G1830&lt;&gt;"",NOT(ISNUMBER(G1830))),N(G1830)&lt;0,N(G1830)&lt;&gt;INT(N(G1830)),AND(H1830&lt;&gt;"",NOT(ISNUMBER(H1830))),N(H1830)&lt;0,N(H1830)&lt;&gt;INT(N(H1830)),AND(I1830&lt;&gt;"",NOT(ISNUMBER(I1830))),N(I1830)&lt;0,N(I1830)&lt;&gt;INT(N(I1830))),"Quantité invalide",IF(Q1830&lt;=0,"Cadence manquante (poste ou article)",IF(M1830&lt;=0,"Arrêts planifiés supérieurs au temps d'ouverture",IF(O1830&lt;0,"Arrêts supérieurs au temps requis",IF(AND(P1830&gt;0,O1830=0),"Pièces déclarées sans temps de marche",IF(AND(P1830=0,O1830&gt;0),"Aucune pièce déclarée",IF(P1830*60/Q1830&gt;O1830+0.001,"Cadence dépassée : vérifiez la cadence","OK"))))))))))))))))))</f>
        <v/>
      </c>
      <c r="AC1830">
        <f>IF(OR(AB1830="OK",AB1830="Aucune pièce déclarée",AB1830="Cadence dépassée : vérifiez la cadence"),1,0)</f>
        <v>0.0</v>
      </c>
      <c r="AD1830">
        <f>IF(AND(AC1830=1,A1830&gt;=p_from,A1830&lt;=p_to),1,0)</f>
        <v>0.0</v>
      </c>
      <c r="AE1830">
        <f>IF(AD1830=1,IF(COUNTIFS($A$6:A1830,A1830,$AD$6:AD1830,1)=1,1,0),0)</f>
        <v>0.0</v>
      </c>
      <c r="AF1830" t="str">
        <f>IF(AE1830=1,COUNTIFS(sj_first,1,sj_date,"&lt;"&amp;A1830)+1,"")</f>
        <v/>
      </c>
      <c r="AG1830" t="str">
        <f>IF(AND(AD1830=1,N(W1830)&lt;p_alert),ROUND(W1830,4),"")</f>
        <v/>
      </c>
      <c r="AH1830" t="str">
        <f>IF(AG1830="","",COUNTIF(sj_akey,"&lt;"&amp;AG1830)+COUNTIF($AG$6:AG1830,AG1830))</f>
        <v/>
      </c>
    </row>
    <row r="1831">
      <c r="A1831" s="51" t="n"/>
      <c r="B1831" s="52" t="n"/>
      <c r="C1831" s="52" t="n"/>
      <c r="D1831" s="53" t="n"/>
      <c r="E1831" s="53" t="n"/>
      <c r="F1831" s="54" t="n"/>
      <c r="G1831" s="54" t="n"/>
      <c r="H1831" s="54" t="n"/>
      <c r="I1831" s="54" t="n"/>
      <c r="J1831" s="53" t="n"/>
      <c r="K1831" s="55" t="str">
        <f>IF(COUNTA(A1831:I1831)=0,"",IF(F1831="",IFERROR(INDEX(eq_dur,MATCH(B1831,eq_code,0)),""),F1831))</f>
        <v/>
      </c>
      <c r="L1831" s="55" t="str">
        <f>IF(ISNUMBER(K1831),N(IFERROR(INDEX(eq_pause,MATCH(B1831,eq_code,0)),0))+SUMIFS(st_min,st_date,A1831,st_eq,B1831,st_po,C1831,st_type,"Planifié"),"")</f>
        <v/>
      </c>
      <c r="M1831" s="55" t="str">
        <f>IF(ISNUMBER(K1831),K1831-L1831,"")</f>
        <v/>
      </c>
      <c r="N1831" s="55" t="str">
        <f>IF(ISNUMBER(K1831),SUMIFS(st_min,st_date,A1831,st_eq,B1831,st_po,C1831,st_type,"Non planifié"),"")</f>
        <v/>
      </c>
      <c r="O1831" s="55" t="str">
        <f>IF(ISNUMBER(K1831),M1831-N1831,"")</f>
        <v/>
      </c>
      <c r="P1831" s="55" t="str">
        <f>IF(COUNTA(A1831:I1831)=0,"",N(G1831)+N(H1831)+N(I1831))</f>
        <v/>
      </c>
      <c r="Q1831" s="56" t="str">
        <f>IF(COUNTA(A1831:I1831)=0,"",IF(N(IFERROR(INDEX(art_rate,MATCH(E1831,art_ref,0)),0))&gt;0,N(IFERROR(INDEX(art_rate,MATCH(E1831,art_ref,0)),0)),N(IFERROR(INDEX(po_rate,MATCH(C1831,po_code,0)),0))))</f>
        <v/>
      </c>
      <c r="R1831" s="55" t="str">
        <f>IF(AC1831=1,P1831*60/Q1831,"")</f>
        <v/>
      </c>
      <c r="S1831" s="55" t="str">
        <f>IF(AC1831=1,N(G1831)*60/Q1831,"")</f>
        <v/>
      </c>
      <c r="T1831" s="57" t="str">
        <f>IF(AC1831=1,O1831/M1831,"")</f>
        <v/>
      </c>
      <c r="U1831" s="57" t="str">
        <f>IF(AC1831=1,IF(O1831&gt;0,R1831/O1831,""),"")</f>
        <v/>
      </c>
      <c r="V1831" s="57" t="str">
        <f>IF(AC1831=1,IF(P1831&gt;0,N(G1831)/P1831,""),"")</f>
        <v/>
      </c>
      <c r="W1831" s="57" t="str">
        <f>IF(AC1831=1,S1831/M1831,"")</f>
        <v/>
      </c>
      <c r="X1831" s="57" t="str">
        <f>IF(AC1831=1,S1831/K1831,"")</f>
        <v/>
      </c>
      <c r="Y1831" s="58" t="str">
        <f>IF(W1831="","",IF(W1831&gt;=p_target,"Bon",IF(W1831&gt;=p_alert,"À surveiller","Faible")))</f>
        <v/>
      </c>
      <c r="Z1831" s="58" t="str">
        <f>IF(W1831="","",IF(MIN(IF(T1831="",1,T1831),IF(U1831="",1,U1831),IF(V1831="",1,V1831))&gt;=1,"Aucune",IF(IF(T1831="",1,T1831)&lt;=MIN(IF(U1831="",1,U1831),IF(V1831="",1,V1831)),"Disponibilité",IF(IF(U1831="",1,U1831)&lt;=IF(V1831="",1,V1831),"Performance","Qualité"))))</f>
        <v/>
      </c>
      <c r="AA1831" s="59" t="str">
        <f>IF(AC1831=1,N(H1831)*N(IFERROR(INDEX(art_cost,MATCH(E1831,art_ref,0)),0)),"")</f>
        <v/>
      </c>
      <c r="AB1831" s="58" t="str">
        <f>IF(COUNTA(A1831:I1831)=0,"",IF(N(A1831)&lt;=0,"Date manquante ou invalide",IF(B1831="","Équipe manquante",IF(ISNA(MATCH(B1831,eq_code,0)),"Équipe inconnue",IF(INDEX(eq_check,MATCH(B1831,eq_code,0))&lt;&gt;"OK","Équipe à corriger dans Paramètres",IF(C1831="","Poste manquant",IF(ISNA(MATCH(C1831,po_code,0)),"Poste inconnu",IF(AND(E1831&lt;&gt;"",ISNA(MATCH(E1831,art_ref,0))),"Article inconnu",IF(IF(E1831="",FALSE,INDEX(art_check,MATCH(E1831,art_ref,0))&lt;&gt;"OK"),"Article à corriger (feuille Articles)",IF(COUNTIFS(sj_date,A1831,sj_eq,B1831,sj_po,C1831)&gt;1,"Ligne en double (même jour, équipe et poste)",IF(OR(NOT(ISNUMBER(K1831)),N(K1831)&lt;=0,N(K1831)&gt;1440),"Temps d'ouverture invalide",IF(OR(AND(G1831&lt;&gt;"",NOT(ISNUMBER(G1831))),N(G1831)&lt;0,N(G1831)&lt;&gt;INT(N(G1831)),AND(H1831&lt;&gt;"",NOT(ISNUMBER(H1831))),N(H1831)&lt;0,N(H1831)&lt;&gt;INT(N(H1831)),AND(I1831&lt;&gt;"",NOT(ISNUMBER(I1831))),N(I1831)&lt;0,N(I1831)&lt;&gt;INT(N(I1831))),"Quantité invalide",IF(Q1831&lt;=0,"Cadence manquante (poste ou article)",IF(M1831&lt;=0,"Arrêts planifiés supérieurs au temps d'ouverture",IF(O1831&lt;0,"Arrêts supérieurs au temps requis",IF(AND(P1831&gt;0,O1831=0),"Pièces déclarées sans temps de marche",IF(AND(P1831=0,O1831&gt;0),"Aucune pièce déclarée",IF(P1831*60/Q1831&gt;O1831+0.001,"Cadence dépassée : vérifiez la cadence","OK"))))))))))))))))))</f>
        <v/>
      </c>
      <c r="AC1831">
        <f>IF(OR(AB1831="OK",AB1831="Aucune pièce déclarée",AB1831="Cadence dépassée : vérifiez la cadence"),1,0)</f>
        <v>0.0</v>
      </c>
      <c r="AD1831">
        <f>IF(AND(AC1831=1,A1831&gt;=p_from,A1831&lt;=p_to),1,0)</f>
        <v>0.0</v>
      </c>
      <c r="AE1831">
        <f>IF(AD1831=1,IF(COUNTIFS($A$6:A1831,A1831,$AD$6:AD1831,1)=1,1,0),0)</f>
        <v>0.0</v>
      </c>
      <c r="AF1831" t="str">
        <f>IF(AE1831=1,COUNTIFS(sj_first,1,sj_date,"&lt;"&amp;A1831)+1,"")</f>
        <v/>
      </c>
      <c r="AG1831" t="str">
        <f>IF(AND(AD1831=1,N(W1831)&lt;p_alert),ROUND(W1831,4),"")</f>
        <v/>
      </c>
      <c r="AH1831" t="str">
        <f>IF(AG1831="","",COUNTIF(sj_akey,"&lt;"&amp;AG1831)+COUNTIF($AG$6:AG1831,AG1831))</f>
        <v/>
      </c>
    </row>
    <row r="1832">
      <c r="A1832" s="51" t="n"/>
      <c r="B1832" s="52" t="n"/>
      <c r="C1832" s="52" t="n"/>
      <c r="D1832" s="53" t="n"/>
      <c r="E1832" s="53" t="n"/>
      <c r="F1832" s="54" t="n"/>
      <c r="G1832" s="54" t="n"/>
      <c r="H1832" s="54" t="n"/>
      <c r="I1832" s="54" t="n"/>
      <c r="J1832" s="53" t="n"/>
      <c r="K1832" s="55" t="str">
        <f>IF(COUNTA(A1832:I1832)=0,"",IF(F1832="",IFERROR(INDEX(eq_dur,MATCH(B1832,eq_code,0)),""),F1832))</f>
        <v/>
      </c>
      <c r="L1832" s="55" t="str">
        <f>IF(ISNUMBER(K1832),N(IFERROR(INDEX(eq_pause,MATCH(B1832,eq_code,0)),0))+SUMIFS(st_min,st_date,A1832,st_eq,B1832,st_po,C1832,st_type,"Planifié"),"")</f>
        <v/>
      </c>
      <c r="M1832" s="55" t="str">
        <f>IF(ISNUMBER(K1832),K1832-L1832,"")</f>
        <v/>
      </c>
      <c r="N1832" s="55" t="str">
        <f>IF(ISNUMBER(K1832),SUMIFS(st_min,st_date,A1832,st_eq,B1832,st_po,C1832,st_type,"Non planifié"),"")</f>
        <v/>
      </c>
      <c r="O1832" s="55" t="str">
        <f>IF(ISNUMBER(K1832),M1832-N1832,"")</f>
        <v/>
      </c>
      <c r="P1832" s="55" t="str">
        <f>IF(COUNTA(A1832:I1832)=0,"",N(G1832)+N(H1832)+N(I1832))</f>
        <v/>
      </c>
      <c r="Q1832" s="56" t="str">
        <f>IF(COUNTA(A1832:I1832)=0,"",IF(N(IFERROR(INDEX(art_rate,MATCH(E1832,art_ref,0)),0))&gt;0,N(IFERROR(INDEX(art_rate,MATCH(E1832,art_ref,0)),0)),N(IFERROR(INDEX(po_rate,MATCH(C1832,po_code,0)),0))))</f>
        <v/>
      </c>
      <c r="R1832" s="55" t="str">
        <f>IF(AC1832=1,P1832*60/Q1832,"")</f>
        <v/>
      </c>
      <c r="S1832" s="55" t="str">
        <f>IF(AC1832=1,N(G1832)*60/Q1832,"")</f>
        <v/>
      </c>
      <c r="T1832" s="57" t="str">
        <f>IF(AC1832=1,O1832/M1832,"")</f>
        <v/>
      </c>
      <c r="U1832" s="57" t="str">
        <f>IF(AC1832=1,IF(O1832&gt;0,R1832/O1832,""),"")</f>
        <v/>
      </c>
      <c r="V1832" s="57" t="str">
        <f>IF(AC1832=1,IF(P1832&gt;0,N(G1832)/P1832,""),"")</f>
        <v/>
      </c>
      <c r="W1832" s="57" t="str">
        <f>IF(AC1832=1,S1832/M1832,"")</f>
        <v/>
      </c>
      <c r="X1832" s="57" t="str">
        <f>IF(AC1832=1,S1832/K1832,"")</f>
        <v/>
      </c>
      <c r="Y1832" s="58" t="str">
        <f>IF(W1832="","",IF(W1832&gt;=p_target,"Bon",IF(W1832&gt;=p_alert,"À surveiller","Faible")))</f>
        <v/>
      </c>
      <c r="Z1832" s="58" t="str">
        <f>IF(W1832="","",IF(MIN(IF(T1832="",1,T1832),IF(U1832="",1,U1832),IF(V1832="",1,V1832))&gt;=1,"Aucune",IF(IF(T1832="",1,T1832)&lt;=MIN(IF(U1832="",1,U1832),IF(V1832="",1,V1832)),"Disponibilité",IF(IF(U1832="",1,U1832)&lt;=IF(V1832="",1,V1832),"Performance","Qualité"))))</f>
        <v/>
      </c>
      <c r="AA1832" s="59" t="str">
        <f>IF(AC1832=1,N(H1832)*N(IFERROR(INDEX(art_cost,MATCH(E1832,art_ref,0)),0)),"")</f>
        <v/>
      </c>
      <c r="AB1832" s="58" t="str">
        <f>IF(COUNTA(A1832:I1832)=0,"",IF(N(A1832)&lt;=0,"Date manquante ou invalide",IF(B1832="","Équipe manquante",IF(ISNA(MATCH(B1832,eq_code,0)),"Équipe inconnue",IF(INDEX(eq_check,MATCH(B1832,eq_code,0))&lt;&gt;"OK","Équipe à corriger dans Paramètres",IF(C1832="","Poste manquant",IF(ISNA(MATCH(C1832,po_code,0)),"Poste inconnu",IF(AND(E1832&lt;&gt;"",ISNA(MATCH(E1832,art_ref,0))),"Article inconnu",IF(IF(E1832="",FALSE,INDEX(art_check,MATCH(E1832,art_ref,0))&lt;&gt;"OK"),"Article à corriger (feuille Articles)",IF(COUNTIFS(sj_date,A1832,sj_eq,B1832,sj_po,C1832)&gt;1,"Ligne en double (même jour, équipe et poste)",IF(OR(NOT(ISNUMBER(K1832)),N(K1832)&lt;=0,N(K1832)&gt;1440),"Temps d'ouverture invalide",IF(OR(AND(G1832&lt;&gt;"",NOT(ISNUMBER(G1832))),N(G1832)&lt;0,N(G1832)&lt;&gt;INT(N(G1832)),AND(H1832&lt;&gt;"",NOT(ISNUMBER(H1832))),N(H1832)&lt;0,N(H1832)&lt;&gt;INT(N(H1832)),AND(I1832&lt;&gt;"",NOT(ISNUMBER(I1832))),N(I1832)&lt;0,N(I1832)&lt;&gt;INT(N(I1832))),"Quantité invalide",IF(Q1832&lt;=0,"Cadence manquante (poste ou article)",IF(M1832&lt;=0,"Arrêts planifiés supérieurs au temps d'ouverture",IF(O1832&lt;0,"Arrêts supérieurs au temps requis",IF(AND(P1832&gt;0,O1832=0),"Pièces déclarées sans temps de marche",IF(AND(P1832=0,O1832&gt;0),"Aucune pièce déclarée",IF(P1832*60/Q1832&gt;O1832+0.001,"Cadence dépassée : vérifiez la cadence","OK"))))))))))))))))))</f>
        <v/>
      </c>
      <c r="AC1832">
        <f>IF(OR(AB1832="OK",AB1832="Aucune pièce déclarée",AB1832="Cadence dépassée : vérifiez la cadence"),1,0)</f>
        <v>0.0</v>
      </c>
      <c r="AD1832">
        <f>IF(AND(AC1832=1,A1832&gt;=p_from,A1832&lt;=p_to),1,0)</f>
        <v>0.0</v>
      </c>
      <c r="AE1832">
        <f>IF(AD1832=1,IF(COUNTIFS($A$6:A1832,A1832,$AD$6:AD1832,1)=1,1,0),0)</f>
        <v>0.0</v>
      </c>
      <c r="AF1832" t="str">
        <f>IF(AE1832=1,COUNTIFS(sj_first,1,sj_date,"&lt;"&amp;A1832)+1,"")</f>
        <v/>
      </c>
      <c r="AG1832" t="str">
        <f>IF(AND(AD1832=1,N(W1832)&lt;p_alert),ROUND(W1832,4),"")</f>
        <v/>
      </c>
      <c r="AH1832" t="str">
        <f>IF(AG1832="","",COUNTIF(sj_akey,"&lt;"&amp;AG1832)+COUNTIF($AG$6:AG1832,AG1832))</f>
        <v/>
      </c>
    </row>
    <row r="1833">
      <c r="A1833" s="51" t="n"/>
      <c r="B1833" s="52" t="n"/>
      <c r="C1833" s="52" t="n"/>
      <c r="D1833" s="53" t="n"/>
      <c r="E1833" s="53" t="n"/>
      <c r="F1833" s="54" t="n"/>
      <c r="G1833" s="54" t="n"/>
      <c r="H1833" s="54" t="n"/>
      <c r="I1833" s="54" t="n"/>
      <c r="J1833" s="53" t="n"/>
      <c r="K1833" s="55" t="str">
        <f>IF(COUNTA(A1833:I1833)=0,"",IF(F1833="",IFERROR(INDEX(eq_dur,MATCH(B1833,eq_code,0)),""),F1833))</f>
        <v/>
      </c>
      <c r="L1833" s="55" t="str">
        <f>IF(ISNUMBER(K1833),N(IFERROR(INDEX(eq_pause,MATCH(B1833,eq_code,0)),0))+SUMIFS(st_min,st_date,A1833,st_eq,B1833,st_po,C1833,st_type,"Planifié"),"")</f>
        <v/>
      </c>
      <c r="M1833" s="55" t="str">
        <f>IF(ISNUMBER(K1833),K1833-L1833,"")</f>
        <v/>
      </c>
      <c r="N1833" s="55" t="str">
        <f>IF(ISNUMBER(K1833),SUMIFS(st_min,st_date,A1833,st_eq,B1833,st_po,C1833,st_type,"Non planifié"),"")</f>
        <v/>
      </c>
      <c r="O1833" s="55" t="str">
        <f>IF(ISNUMBER(K1833),M1833-N1833,"")</f>
        <v/>
      </c>
      <c r="P1833" s="55" t="str">
        <f>IF(COUNTA(A1833:I1833)=0,"",N(G1833)+N(H1833)+N(I1833))</f>
        <v/>
      </c>
      <c r="Q1833" s="56" t="str">
        <f>IF(COUNTA(A1833:I1833)=0,"",IF(N(IFERROR(INDEX(art_rate,MATCH(E1833,art_ref,0)),0))&gt;0,N(IFERROR(INDEX(art_rate,MATCH(E1833,art_ref,0)),0)),N(IFERROR(INDEX(po_rate,MATCH(C1833,po_code,0)),0))))</f>
        <v/>
      </c>
      <c r="R1833" s="55" t="str">
        <f>IF(AC1833=1,P1833*60/Q1833,"")</f>
        <v/>
      </c>
      <c r="S1833" s="55" t="str">
        <f>IF(AC1833=1,N(G1833)*60/Q1833,"")</f>
        <v/>
      </c>
      <c r="T1833" s="57" t="str">
        <f>IF(AC1833=1,O1833/M1833,"")</f>
        <v/>
      </c>
      <c r="U1833" s="57" t="str">
        <f>IF(AC1833=1,IF(O1833&gt;0,R1833/O1833,""),"")</f>
        <v/>
      </c>
      <c r="V1833" s="57" t="str">
        <f>IF(AC1833=1,IF(P1833&gt;0,N(G1833)/P1833,""),"")</f>
        <v/>
      </c>
      <c r="W1833" s="57" t="str">
        <f>IF(AC1833=1,S1833/M1833,"")</f>
        <v/>
      </c>
      <c r="X1833" s="57" t="str">
        <f>IF(AC1833=1,S1833/K1833,"")</f>
        <v/>
      </c>
      <c r="Y1833" s="58" t="str">
        <f>IF(W1833="","",IF(W1833&gt;=p_target,"Bon",IF(W1833&gt;=p_alert,"À surveiller","Faible")))</f>
        <v/>
      </c>
      <c r="Z1833" s="58" t="str">
        <f>IF(W1833="","",IF(MIN(IF(T1833="",1,T1833),IF(U1833="",1,U1833),IF(V1833="",1,V1833))&gt;=1,"Aucune",IF(IF(T1833="",1,T1833)&lt;=MIN(IF(U1833="",1,U1833),IF(V1833="",1,V1833)),"Disponibilité",IF(IF(U1833="",1,U1833)&lt;=IF(V1833="",1,V1833),"Performance","Qualité"))))</f>
        <v/>
      </c>
      <c r="AA1833" s="59" t="str">
        <f>IF(AC1833=1,N(H1833)*N(IFERROR(INDEX(art_cost,MATCH(E1833,art_ref,0)),0)),"")</f>
        <v/>
      </c>
      <c r="AB1833" s="58" t="str">
        <f>IF(COUNTA(A1833:I1833)=0,"",IF(N(A1833)&lt;=0,"Date manquante ou invalide",IF(B1833="","Équipe manquante",IF(ISNA(MATCH(B1833,eq_code,0)),"Équipe inconnue",IF(INDEX(eq_check,MATCH(B1833,eq_code,0))&lt;&gt;"OK","Équipe à corriger dans Paramètres",IF(C1833="","Poste manquant",IF(ISNA(MATCH(C1833,po_code,0)),"Poste inconnu",IF(AND(E1833&lt;&gt;"",ISNA(MATCH(E1833,art_ref,0))),"Article inconnu",IF(IF(E1833="",FALSE,INDEX(art_check,MATCH(E1833,art_ref,0))&lt;&gt;"OK"),"Article à corriger (feuille Articles)",IF(COUNTIFS(sj_date,A1833,sj_eq,B1833,sj_po,C1833)&gt;1,"Ligne en double (même jour, équipe et poste)",IF(OR(NOT(ISNUMBER(K1833)),N(K1833)&lt;=0,N(K1833)&gt;1440),"Temps d'ouverture invalide",IF(OR(AND(G1833&lt;&gt;"",NOT(ISNUMBER(G1833))),N(G1833)&lt;0,N(G1833)&lt;&gt;INT(N(G1833)),AND(H1833&lt;&gt;"",NOT(ISNUMBER(H1833))),N(H1833)&lt;0,N(H1833)&lt;&gt;INT(N(H1833)),AND(I1833&lt;&gt;"",NOT(ISNUMBER(I1833))),N(I1833)&lt;0,N(I1833)&lt;&gt;INT(N(I1833))),"Quantité invalide",IF(Q1833&lt;=0,"Cadence manquante (poste ou article)",IF(M1833&lt;=0,"Arrêts planifiés supérieurs au temps d'ouverture",IF(O1833&lt;0,"Arrêts supérieurs au temps requis",IF(AND(P1833&gt;0,O1833=0),"Pièces déclarées sans temps de marche",IF(AND(P1833=0,O1833&gt;0),"Aucune pièce déclarée",IF(P1833*60/Q1833&gt;O1833+0.001,"Cadence dépassée : vérifiez la cadence","OK"))))))))))))))))))</f>
        <v/>
      </c>
      <c r="AC1833">
        <f>IF(OR(AB1833="OK",AB1833="Aucune pièce déclarée",AB1833="Cadence dépassée : vérifiez la cadence"),1,0)</f>
        <v>0.0</v>
      </c>
      <c r="AD1833">
        <f>IF(AND(AC1833=1,A1833&gt;=p_from,A1833&lt;=p_to),1,0)</f>
        <v>0.0</v>
      </c>
      <c r="AE1833">
        <f>IF(AD1833=1,IF(COUNTIFS($A$6:A1833,A1833,$AD$6:AD1833,1)=1,1,0),0)</f>
        <v>0.0</v>
      </c>
      <c r="AF1833" t="str">
        <f>IF(AE1833=1,COUNTIFS(sj_first,1,sj_date,"&lt;"&amp;A1833)+1,"")</f>
        <v/>
      </c>
      <c r="AG1833" t="str">
        <f>IF(AND(AD1833=1,N(W1833)&lt;p_alert),ROUND(W1833,4),"")</f>
        <v/>
      </c>
      <c r="AH1833" t="str">
        <f>IF(AG1833="","",COUNTIF(sj_akey,"&lt;"&amp;AG1833)+COUNTIF($AG$6:AG1833,AG1833))</f>
        <v/>
      </c>
    </row>
    <row r="1834">
      <c r="A1834" s="51" t="n"/>
      <c r="B1834" s="52" t="n"/>
      <c r="C1834" s="52" t="n"/>
      <c r="D1834" s="53" t="n"/>
      <c r="E1834" s="53" t="n"/>
      <c r="F1834" s="54" t="n"/>
      <c r="G1834" s="54" t="n"/>
      <c r="H1834" s="54" t="n"/>
      <c r="I1834" s="54" t="n"/>
      <c r="J1834" s="53" t="n"/>
      <c r="K1834" s="55" t="str">
        <f>IF(COUNTA(A1834:I1834)=0,"",IF(F1834="",IFERROR(INDEX(eq_dur,MATCH(B1834,eq_code,0)),""),F1834))</f>
        <v/>
      </c>
      <c r="L1834" s="55" t="str">
        <f>IF(ISNUMBER(K1834),N(IFERROR(INDEX(eq_pause,MATCH(B1834,eq_code,0)),0))+SUMIFS(st_min,st_date,A1834,st_eq,B1834,st_po,C1834,st_type,"Planifié"),"")</f>
        <v/>
      </c>
      <c r="M1834" s="55" t="str">
        <f>IF(ISNUMBER(K1834),K1834-L1834,"")</f>
        <v/>
      </c>
      <c r="N1834" s="55" t="str">
        <f>IF(ISNUMBER(K1834),SUMIFS(st_min,st_date,A1834,st_eq,B1834,st_po,C1834,st_type,"Non planifié"),"")</f>
        <v/>
      </c>
      <c r="O1834" s="55" t="str">
        <f>IF(ISNUMBER(K1834),M1834-N1834,"")</f>
        <v/>
      </c>
      <c r="P1834" s="55" t="str">
        <f>IF(COUNTA(A1834:I1834)=0,"",N(G1834)+N(H1834)+N(I1834))</f>
        <v/>
      </c>
      <c r="Q1834" s="56" t="str">
        <f>IF(COUNTA(A1834:I1834)=0,"",IF(N(IFERROR(INDEX(art_rate,MATCH(E1834,art_ref,0)),0))&gt;0,N(IFERROR(INDEX(art_rate,MATCH(E1834,art_ref,0)),0)),N(IFERROR(INDEX(po_rate,MATCH(C1834,po_code,0)),0))))</f>
        <v/>
      </c>
      <c r="R1834" s="55" t="str">
        <f>IF(AC1834=1,P1834*60/Q1834,"")</f>
        <v/>
      </c>
      <c r="S1834" s="55" t="str">
        <f>IF(AC1834=1,N(G1834)*60/Q1834,"")</f>
        <v/>
      </c>
      <c r="T1834" s="57" t="str">
        <f>IF(AC1834=1,O1834/M1834,"")</f>
        <v/>
      </c>
      <c r="U1834" s="57" t="str">
        <f>IF(AC1834=1,IF(O1834&gt;0,R1834/O1834,""),"")</f>
        <v/>
      </c>
      <c r="V1834" s="57" t="str">
        <f>IF(AC1834=1,IF(P1834&gt;0,N(G1834)/P1834,""),"")</f>
        <v/>
      </c>
      <c r="W1834" s="57" t="str">
        <f>IF(AC1834=1,S1834/M1834,"")</f>
        <v/>
      </c>
      <c r="X1834" s="57" t="str">
        <f>IF(AC1834=1,S1834/K1834,"")</f>
        <v/>
      </c>
      <c r="Y1834" s="58" t="str">
        <f>IF(W1834="","",IF(W1834&gt;=p_target,"Bon",IF(W1834&gt;=p_alert,"À surveiller","Faible")))</f>
        <v/>
      </c>
      <c r="Z1834" s="58" t="str">
        <f>IF(W1834="","",IF(MIN(IF(T1834="",1,T1834),IF(U1834="",1,U1834),IF(V1834="",1,V1834))&gt;=1,"Aucune",IF(IF(T1834="",1,T1834)&lt;=MIN(IF(U1834="",1,U1834),IF(V1834="",1,V1834)),"Disponibilité",IF(IF(U1834="",1,U1834)&lt;=IF(V1834="",1,V1834),"Performance","Qualité"))))</f>
        <v/>
      </c>
      <c r="AA1834" s="59" t="str">
        <f>IF(AC1834=1,N(H1834)*N(IFERROR(INDEX(art_cost,MATCH(E1834,art_ref,0)),0)),"")</f>
        <v/>
      </c>
      <c r="AB1834" s="58" t="str">
        <f>IF(COUNTA(A1834:I1834)=0,"",IF(N(A1834)&lt;=0,"Date manquante ou invalide",IF(B1834="","Équipe manquante",IF(ISNA(MATCH(B1834,eq_code,0)),"Équipe inconnue",IF(INDEX(eq_check,MATCH(B1834,eq_code,0))&lt;&gt;"OK","Équipe à corriger dans Paramètres",IF(C1834="","Poste manquant",IF(ISNA(MATCH(C1834,po_code,0)),"Poste inconnu",IF(AND(E1834&lt;&gt;"",ISNA(MATCH(E1834,art_ref,0))),"Article inconnu",IF(IF(E1834="",FALSE,INDEX(art_check,MATCH(E1834,art_ref,0))&lt;&gt;"OK"),"Article à corriger (feuille Articles)",IF(COUNTIFS(sj_date,A1834,sj_eq,B1834,sj_po,C1834)&gt;1,"Ligne en double (même jour, équipe et poste)",IF(OR(NOT(ISNUMBER(K1834)),N(K1834)&lt;=0,N(K1834)&gt;1440),"Temps d'ouverture invalide",IF(OR(AND(G1834&lt;&gt;"",NOT(ISNUMBER(G1834))),N(G1834)&lt;0,N(G1834)&lt;&gt;INT(N(G1834)),AND(H1834&lt;&gt;"",NOT(ISNUMBER(H1834))),N(H1834)&lt;0,N(H1834)&lt;&gt;INT(N(H1834)),AND(I1834&lt;&gt;"",NOT(ISNUMBER(I1834))),N(I1834)&lt;0,N(I1834)&lt;&gt;INT(N(I1834))),"Quantité invalide",IF(Q1834&lt;=0,"Cadence manquante (poste ou article)",IF(M1834&lt;=0,"Arrêts planifiés supérieurs au temps d'ouverture",IF(O1834&lt;0,"Arrêts supérieurs au temps requis",IF(AND(P1834&gt;0,O1834=0),"Pièces déclarées sans temps de marche",IF(AND(P1834=0,O1834&gt;0),"Aucune pièce déclarée",IF(P1834*60/Q1834&gt;O1834+0.001,"Cadence dépassée : vérifiez la cadence","OK"))))))))))))))))))</f>
        <v/>
      </c>
      <c r="AC1834">
        <f>IF(OR(AB1834="OK",AB1834="Aucune pièce déclarée",AB1834="Cadence dépassée : vérifiez la cadence"),1,0)</f>
        <v>0.0</v>
      </c>
      <c r="AD1834">
        <f>IF(AND(AC1834=1,A1834&gt;=p_from,A1834&lt;=p_to),1,0)</f>
        <v>0.0</v>
      </c>
      <c r="AE1834">
        <f>IF(AD1834=1,IF(COUNTIFS($A$6:A1834,A1834,$AD$6:AD1834,1)=1,1,0),0)</f>
        <v>0.0</v>
      </c>
      <c r="AF1834" t="str">
        <f>IF(AE1834=1,COUNTIFS(sj_first,1,sj_date,"&lt;"&amp;A1834)+1,"")</f>
        <v/>
      </c>
      <c r="AG1834" t="str">
        <f>IF(AND(AD1834=1,N(W1834)&lt;p_alert),ROUND(W1834,4),"")</f>
        <v/>
      </c>
      <c r="AH1834" t="str">
        <f>IF(AG1834="","",COUNTIF(sj_akey,"&lt;"&amp;AG1834)+COUNTIF($AG$6:AG1834,AG1834))</f>
        <v/>
      </c>
    </row>
    <row r="1835">
      <c r="A1835" s="51" t="n"/>
      <c r="B1835" s="52" t="n"/>
      <c r="C1835" s="52" t="n"/>
      <c r="D1835" s="53" t="n"/>
      <c r="E1835" s="53" t="n"/>
      <c r="F1835" s="54" t="n"/>
      <c r="G1835" s="54" t="n"/>
      <c r="H1835" s="54" t="n"/>
      <c r="I1835" s="54" t="n"/>
      <c r="J1835" s="53" t="n"/>
      <c r="K1835" s="55" t="str">
        <f>IF(COUNTA(A1835:I1835)=0,"",IF(F1835="",IFERROR(INDEX(eq_dur,MATCH(B1835,eq_code,0)),""),F1835))</f>
        <v/>
      </c>
      <c r="L1835" s="55" t="str">
        <f>IF(ISNUMBER(K1835),N(IFERROR(INDEX(eq_pause,MATCH(B1835,eq_code,0)),0))+SUMIFS(st_min,st_date,A1835,st_eq,B1835,st_po,C1835,st_type,"Planifié"),"")</f>
        <v/>
      </c>
      <c r="M1835" s="55" t="str">
        <f>IF(ISNUMBER(K1835),K1835-L1835,"")</f>
        <v/>
      </c>
      <c r="N1835" s="55" t="str">
        <f>IF(ISNUMBER(K1835),SUMIFS(st_min,st_date,A1835,st_eq,B1835,st_po,C1835,st_type,"Non planifié"),"")</f>
        <v/>
      </c>
      <c r="O1835" s="55" t="str">
        <f>IF(ISNUMBER(K1835),M1835-N1835,"")</f>
        <v/>
      </c>
      <c r="P1835" s="55" t="str">
        <f>IF(COUNTA(A1835:I1835)=0,"",N(G1835)+N(H1835)+N(I1835))</f>
        <v/>
      </c>
      <c r="Q1835" s="56" t="str">
        <f>IF(COUNTA(A1835:I1835)=0,"",IF(N(IFERROR(INDEX(art_rate,MATCH(E1835,art_ref,0)),0))&gt;0,N(IFERROR(INDEX(art_rate,MATCH(E1835,art_ref,0)),0)),N(IFERROR(INDEX(po_rate,MATCH(C1835,po_code,0)),0))))</f>
        <v/>
      </c>
      <c r="R1835" s="55" t="str">
        <f>IF(AC1835=1,P1835*60/Q1835,"")</f>
        <v/>
      </c>
      <c r="S1835" s="55" t="str">
        <f>IF(AC1835=1,N(G1835)*60/Q1835,"")</f>
        <v/>
      </c>
      <c r="T1835" s="57" t="str">
        <f>IF(AC1835=1,O1835/M1835,"")</f>
        <v/>
      </c>
      <c r="U1835" s="57" t="str">
        <f>IF(AC1835=1,IF(O1835&gt;0,R1835/O1835,""),"")</f>
        <v/>
      </c>
      <c r="V1835" s="57" t="str">
        <f>IF(AC1835=1,IF(P1835&gt;0,N(G1835)/P1835,""),"")</f>
        <v/>
      </c>
      <c r="W1835" s="57" t="str">
        <f>IF(AC1835=1,S1835/M1835,"")</f>
        <v/>
      </c>
      <c r="X1835" s="57" t="str">
        <f>IF(AC1835=1,S1835/K1835,"")</f>
        <v/>
      </c>
      <c r="Y1835" s="58" t="str">
        <f>IF(W1835="","",IF(W1835&gt;=p_target,"Bon",IF(W1835&gt;=p_alert,"À surveiller","Faible")))</f>
        <v/>
      </c>
      <c r="Z1835" s="58" t="str">
        <f>IF(W1835="","",IF(MIN(IF(T1835="",1,T1835),IF(U1835="",1,U1835),IF(V1835="",1,V1835))&gt;=1,"Aucune",IF(IF(T1835="",1,T1835)&lt;=MIN(IF(U1835="",1,U1835),IF(V1835="",1,V1835)),"Disponibilité",IF(IF(U1835="",1,U1835)&lt;=IF(V1835="",1,V1835),"Performance","Qualité"))))</f>
        <v/>
      </c>
      <c r="AA1835" s="59" t="str">
        <f>IF(AC1835=1,N(H1835)*N(IFERROR(INDEX(art_cost,MATCH(E1835,art_ref,0)),0)),"")</f>
        <v/>
      </c>
      <c r="AB1835" s="58" t="str">
        <f>IF(COUNTA(A1835:I1835)=0,"",IF(N(A1835)&lt;=0,"Date manquante ou invalide",IF(B1835="","Équipe manquante",IF(ISNA(MATCH(B1835,eq_code,0)),"Équipe inconnue",IF(INDEX(eq_check,MATCH(B1835,eq_code,0))&lt;&gt;"OK","Équipe à corriger dans Paramètres",IF(C1835="","Poste manquant",IF(ISNA(MATCH(C1835,po_code,0)),"Poste inconnu",IF(AND(E1835&lt;&gt;"",ISNA(MATCH(E1835,art_ref,0))),"Article inconnu",IF(IF(E1835="",FALSE,INDEX(art_check,MATCH(E1835,art_ref,0))&lt;&gt;"OK"),"Article à corriger (feuille Articles)",IF(COUNTIFS(sj_date,A1835,sj_eq,B1835,sj_po,C1835)&gt;1,"Ligne en double (même jour, équipe et poste)",IF(OR(NOT(ISNUMBER(K1835)),N(K1835)&lt;=0,N(K1835)&gt;1440),"Temps d'ouverture invalide",IF(OR(AND(G1835&lt;&gt;"",NOT(ISNUMBER(G1835))),N(G1835)&lt;0,N(G1835)&lt;&gt;INT(N(G1835)),AND(H1835&lt;&gt;"",NOT(ISNUMBER(H1835))),N(H1835)&lt;0,N(H1835)&lt;&gt;INT(N(H1835)),AND(I1835&lt;&gt;"",NOT(ISNUMBER(I1835))),N(I1835)&lt;0,N(I1835)&lt;&gt;INT(N(I1835))),"Quantité invalide",IF(Q1835&lt;=0,"Cadence manquante (poste ou article)",IF(M1835&lt;=0,"Arrêts planifiés supérieurs au temps d'ouverture",IF(O1835&lt;0,"Arrêts supérieurs au temps requis",IF(AND(P1835&gt;0,O1835=0),"Pièces déclarées sans temps de marche",IF(AND(P1835=0,O1835&gt;0),"Aucune pièce déclarée",IF(P1835*60/Q1835&gt;O1835+0.001,"Cadence dépassée : vérifiez la cadence","OK"))))))))))))))))))</f>
        <v/>
      </c>
      <c r="AC1835">
        <f>IF(OR(AB1835="OK",AB1835="Aucune pièce déclarée",AB1835="Cadence dépassée : vérifiez la cadence"),1,0)</f>
        <v>0.0</v>
      </c>
      <c r="AD1835">
        <f>IF(AND(AC1835=1,A1835&gt;=p_from,A1835&lt;=p_to),1,0)</f>
        <v>0.0</v>
      </c>
      <c r="AE1835">
        <f>IF(AD1835=1,IF(COUNTIFS($A$6:A1835,A1835,$AD$6:AD1835,1)=1,1,0),0)</f>
        <v>0.0</v>
      </c>
      <c r="AF1835" t="str">
        <f>IF(AE1835=1,COUNTIFS(sj_first,1,sj_date,"&lt;"&amp;A1835)+1,"")</f>
        <v/>
      </c>
      <c r="AG1835" t="str">
        <f>IF(AND(AD1835=1,N(W1835)&lt;p_alert),ROUND(W1835,4),"")</f>
        <v/>
      </c>
      <c r="AH1835" t="str">
        <f>IF(AG1835="","",COUNTIF(sj_akey,"&lt;"&amp;AG1835)+COUNTIF($AG$6:AG1835,AG1835))</f>
        <v/>
      </c>
    </row>
    <row r="1836">
      <c r="A1836" s="51" t="n"/>
      <c r="B1836" s="52" t="n"/>
      <c r="C1836" s="52" t="n"/>
      <c r="D1836" s="53" t="n"/>
      <c r="E1836" s="53" t="n"/>
      <c r="F1836" s="54" t="n"/>
      <c r="G1836" s="54" t="n"/>
      <c r="H1836" s="54" t="n"/>
      <c r="I1836" s="54" t="n"/>
      <c r="J1836" s="53" t="n"/>
      <c r="K1836" s="55" t="str">
        <f>IF(COUNTA(A1836:I1836)=0,"",IF(F1836="",IFERROR(INDEX(eq_dur,MATCH(B1836,eq_code,0)),""),F1836))</f>
        <v/>
      </c>
      <c r="L1836" s="55" t="str">
        <f>IF(ISNUMBER(K1836),N(IFERROR(INDEX(eq_pause,MATCH(B1836,eq_code,0)),0))+SUMIFS(st_min,st_date,A1836,st_eq,B1836,st_po,C1836,st_type,"Planifié"),"")</f>
        <v/>
      </c>
      <c r="M1836" s="55" t="str">
        <f>IF(ISNUMBER(K1836),K1836-L1836,"")</f>
        <v/>
      </c>
      <c r="N1836" s="55" t="str">
        <f>IF(ISNUMBER(K1836),SUMIFS(st_min,st_date,A1836,st_eq,B1836,st_po,C1836,st_type,"Non planifié"),"")</f>
        <v/>
      </c>
      <c r="O1836" s="55" t="str">
        <f>IF(ISNUMBER(K1836),M1836-N1836,"")</f>
        <v/>
      </c>
      <c r="P1836" s="55" t="str">
        <f>IF(COUNTA(A1836:I1836)=0,"",N(G1836)+N(H1836)+N(I1836))</f>
        <v/>
      </c>
      <c r="Q1836" s="56" t="str">
        <f>IF(COUNTA(A1836:I1836)=0,"",IF(N(IFERROR(INDEX(art_rate,MATCH(E1836,art_ref,0)),0))&gt;0,N(IFERROR(INDEX(art_rate,MATCH(E1836,art_ref,0)),0)),N(IFERROR(INDEX(po_rate,MATCH(C1836,po_code,0)),0))))</f>
        <v/>
      </c>
      <c r="R1836" s="55" t="str">
        <f>IF(AC1836=1,P1836*60/Q1836,"")</f>
        <v/>
      </c>
      <c r="S1836" s="55" t="str">
        <f>IF(AC1836=1,N(G1836)*60/Q1836,"")</f>
        <v/>
      </c>
      <c r="T1836" s="57" t="str">
        <f>IF(AC1836=1,O1836/M1836,"")</f>
        <v/>
      </c>
      <c r="U1836" s="57" t="str">
        <f>IF(AC1836=1,IF(O1836&gt;0,R1836/O1836,""),"")</f>
        <v/>
      </c>
      <c r="V1836" s="57" t="str">
        <f>IF(AC1836=1,IF(P1836&gt;0,N(G1836)/P1836,""),"")</f>
        <v/>
      </c>
      <c r="W1836" s="57" t="str">
        <f>IF(AC1836=1,S1836/M1836,"")</f>
        <v/>
      </c>
      <c r="X1836" s="57" t="str">
        <f>IF(AC1836=1,S1836/K1836,"")</f>
        <v/>
      </c>
      <c r="Y1836" s="58" t="str">
        <f>IF(W1836="","",IF(W1836&gt;=p_target,"Bon",IF(W1836&gt;=p_alert,"À surveiller","Faible")))</f>
        <v/>
      </c>
      <c r="Z1836" s="58" t="str">
        <f>IF(W1836="","",IF(MIN(IF(T1836="",1,T1836),IF(U1836="",1,U1836),IF(V1836="",1,V1836))&gt;=1,"Aucune",IF(IF(T1836="",1,T1836)&lt;=MIN(IF(U1836="",1,U1836),IF(V1836="",1,V1836)),"Disponibilité",IF(IF(U1836="",1,U1836)&lt;=IF(V1836="",1,V1836),"Performance","Qualité"))))</f>
        <v/>
      </c>
      <c r="AA1836" s="59" t="str">
        <f>IF(AC1836=1,N(H1836)*N(IFERROR(INDEX(art_cost,MATCH(E1836,art_ref,0)),0)),"")</f>
        <v/>
      </c>
      <c r="AB1836" s="58" t="str">
        <f>IF(COUNTA(A1836:I1836)=0,"",IF(N(A1836)&lt;=0,"Date manquante ou invalide",IF(B1836="","Équipe manquante",IF(ISNA(MATCH(B1836,eq_code,0)),"Équipe inconnue",IF(INDEX(eq_check,MATCH(B1836,eq_code,0))&lt;&gt;"OK","Équipe à corriger dans Paramètres",IF(C1836="","Poste manquant",IF(ISNA(MATCH(C1836,po_code,0)),"Poste inconnu",IF(AND(E1836&lt;&gt;"",ISNA(MATCH(E1836,art_ref,0))),"Article inconnu",IF(IF(E1836="",FALSE,INDEX(art_check,MATCH(E1836,art_ref,0))&lt;&gt;"OK"),"Article à corriger (feuille Articles)",IF(COUNTIFS(sj_date,A1836,sj_eq,B1836,sj_po,C1836)&gt;1,"Ligne en double (même jour, équipe et poste)",IF(OR(NOT(ISNUMBER(K1836)),N(K1836)&lt;=0,N(K1836)&gt;1440),"Temps d'ouverture invalide",IF(OR(AND(G1836&lt;&gt;"",NOT(ISNUMBER(G1836))),N(G1836)&lt;0,N(G1836)&lt;&gt;INT(N(G1836)),AND(H1836&lt;&gt;"",NOT(ISNUMBER(H1836))),N(H1836)&lt;0,N(H1836)&lt;&gt;INT(N(H1836)),AND(I1836&lt;&gt;"",NOT(ISNUMBER(I1836))),N(I1836)&lt;0,N(I1836)&lt;&gt;INT(N(I1836))),"Quantité invalide",IF(Q1836&lt;=0,"Cadence manquante (poste ou article)",IF(M1836&lt;=0,"Arrêts planifiés supérieurs au temps d'ouverture",IF(O1836&lt;0,"Arrêts supérieurs au temps requis",IF(AND(P1836&gt;0,O1836=0),"Pièces déclarées sans temps de marche",IF(AND(P1836=0,O1836&gt;0),"Aucune pièce déclarée",IF(P1836*60/Q1836&gt;O1836+0.001,"Cadence dépassée : vérifiez la cadence","OK"))))))))))))))))))</f>
        <v/>
      </c>
      <c r="AC1836">
        <f>IF(OR(AB1836="OK",AB1836="Aucune pièce déclarée",AB1836="Cadence dépassée : vérifiez la cadence"),1,0)</f>
        <v>0.0</v>
      </c>
      <c r="AD1836">
        <f>IF(AND(AC1836=1,A1836&gt;=p_from,A1836&lt;=p_to),1,0)</f>
        <v>0.0</v>
      </c>
      <c r="AE1836">
        <f>IF(AD1836=1,IF(COUNTIFS($A$6:A1836,A1836,$AD$6:AD1836,1)=1,1,0),0)</f>
        <v>0.0</v>
      </c>
      <c r="AF1836" t="str">
        <f>IF(AE1836=1,COUNTIFS(sj_first,1,sj_date,"&lt;"&amp;A1836)+1,"")</f>
        <v/>
      </c>
      <c r="AG1836" t="str">
        <f>IF(AND(AD1836=1,N(W1836)&lt;p_alert),ROUND(W1836,4),"")</f>
        <v/>
      </c>
      <c r="AH1836" t="str">
        <f>IF(AG1836="","",COUNTIF(sj_akey,"&lt;"&amp;AG1836)+COUNTIF($AG$6:AG1836,AG1836))</f>
        <v/>
      </c>
    </row>
    <row r="1837">
      <c r="A1837" s="51" t="n"/>
      <c r="B1837" s="52" t="n"/>
      <c r="C1837" s="52" t="n"/>
      <c r="D1837" s="53" t="n"/>
      <c r="E1837" s="53" t="n"/>
      <c r="F1837" s="54" t="n"/>
      <c r="G1837" s="54" t="n"/>
      <c r="H1837" s="54" t="n"/>
      <c r="I1837" s="54" t="n"/>
      <c r="J1837" s="53" t="n"/>
      <c r="K1837" s="55" t="str">
        <f>IF(COUNTA(A1837:I1837)=0,"",IF(F1837="",IFERROR(INDEX(eq_dur,MATCH(B1837,eq_code,0)),""),F1837))</f>
        <v/>
      </c>
      <c r="L1837" s="55" t="str">
        <f>IF(ISNUMBER(K1837),N(IFERROR(INDEX(eq_pause,MATCH(B1837,eq_code,0)),0))+SUMIFS(st_min,st_date,A1837,st_eq,B1837,st_po,C1837,st_type,"Planifié"),"")</f>
        <v/>
      </c>
      <c r="M1837" s="55" t="str">
        <f>IF(ISNUMBER(K1837),K1837-L1837,"")</f>
        <v/>
      </c>
      <c r="N1837" s="55" t="str">
        <f>IF(ISNUMBER(K1837),SUMIFS(st_min,st_date,A1837,st_eq,B1837,st_po,C1837,st_type,"Non planifié"),"")</f>
        <v/>
      </c>
      <c r="O1837" s="55" t="str">
        <f>IF(ISNUMBER(K1837),M1837-N1837,"")</f>
        <v/>
      </c>
      <c r="P1837" s="55" t="str">
        <f>IF(COUNTA(A1837:I1837)=0,"",N(G1837)+N(H1837)+N(I1837))</f>
        <v/>
      </c>
      <c r="Q1837" s="56" t="str">
        <f>IF(COUNTA(A1837:I1837)=0,"",IF(N(IFERROR(INDEX(art_rate,MATCH(E1837,art_ref,0)),0))&gt;0,N(IFERROR(INDEX(art_rate,MATCH(E1837,art_ref,0)),0)),N(IFERROR(INDEX(po_rate,MATCH(C1837,po_code,0)),0))))</f>
        <v/>
      </c>
      <c r="R1837" s="55" t="str">
        <f>IF(AC1837=1,P1837*60/Q1837,"")</f>
        <v/>
      </c>
      <c r="S1837" s="55" t="str">
        <f>IF(AC1837=1,N(G1837)*60/Q1837,"")</f>
        <v/>
      </c>
      <c r="T1837" s="57" t="str">
        <f>IF(AC1837=1,O1837/M1837,"")</f>
        <v/>
      </c>
      <c r="U1837" s="57" t="str">
        <f>IF(AC1837=1,IF(O1837&gt;0,R1837/O1837,""),"")</f>
        <v/>
      </c>
      <c r="V1837" s="57" t="str">
        <f>IF(AC1837=1,IF(P1837&gt;0,N(G1837)/P1837,""),"")</f>
        <v/>
      </c>
      <c r="W1837" s="57" t="str">
        <f>IF(AC1837=1,S1837/M1837,"")</f>
        <v/>
      </c>
      <c r="X1837" s="57" t="str">
        <f>IF(AC1837=1,S1837/K1837,"")</f>
        <v/>
      </c>
      <c r="Y1837" s="58" t="str">
        <f>IF(W1837="","",IF(W1837&gt;=p_target,"Bon",IF(W1837&gt;=p_alert,"À surveiller","Faible")))</f>
        <v/>
      </c>
      <c r="Z1837" s="58" t="str">
        <f>IF(W1837="","",IF(MIN(IF(T1837="",1,T1837),IF(U1837="",1,U1837),IF(V1837="",1,V1837))&gt;=1,"Aucune",IF(IF(T1837="",1,T1837)&lt;=MIN(IF(U1837="",1,U1837),IF(V1837="",1,V1837)),"Disponibilité",IF(IF(U1837="",1,U1837)&lt;=IF(V1837="",1,V1837),"Performance","Qualité"))))</f>
        <v/>
      </c>
      <c r="AA1837" s="59" t="str">
        <f>IF(AC1837=1,N(H1837)*N(IFERROR(INDEX(art_cost,MATCH(E1837,art_ref,0)),0)),"")</f>
        <v/>
      </c>
      <c r="AB1837" s="58" t="str">
        <f>IF(COUNTA(A1837:I1837)=0,"",IF(N(A1837)&lt;=0,"Date manquante ou invalide",IF(B1837="","Équipe manquante",IF(ISNA(MATCH(B1837,eq_code,0)),"Équipe inconnue",IF(INDEX(eq_check,MATCH(B1837,eq_code,0))&lt;&gt;"OK","Équipe à corriger dans Paramètres",IF(C1837="","Poste manquant",IF(ISNA(MATCH(C1837,po_code,0)),"Poste inconnu",IF(AND(E1837&lt;&gt;"",ISNA(MATCH(E1837,art_ref,0))),"Article inconnu",IF(IF(E1837="",FALSE,INDEX(art_check,MATCH(E1837,art_ref,0))&lt;&gt;"OK"),"Article à corriger (feuille Articles)",IF(COUNTIFS(sj_date,A1837,sj_eq,B1837,sj_po,C1837)&gt;1,"Ligne en double (même jour, équipe et poste)",IF(OR(NOT(ISNUMBER(K1837)),N(K1837)&lt;=0,N(K1837)&gt;1440),"Temps d'ouverture invalide",IF(OR(AND(G1837&lt;&gt;"",NOT(ISNUMBER(G1837))),N(G1837)&lt;0,N(G1837)&lt;&gt;INT(N(G1837)),AND(H1837&lt;&gt;"",NOT(ISNUMBER(H1837))),N(H1837)&lt;0,N(H1837)&lt;&gt;INT(N(H1837)),AND(I1837&lt;&gt;"",NOT(ISNUMBER(I1837))),N(I1837)&lt;0,N(I1837)&lt;&gt;INT(N(I1837))),"Quantité invalide",IF(Q1837&lt;=0,"Cadence manquante (poste ou article)",IF(M1837&lt;=0,"Arrêts planifiés supérieurs au temps d'ouverture",IF(O1837&lt;0,"Arrêts supérieurs au temps requis",IF(AND(P1837&gt;0,O1837=0),"Pièces déclarées sans temps de marche",IF(AND(P1837=0,O1837&gt;0),"Aucune pièce déclarée",IF(P1837*60/Q1837&gt;O1837+0.001,"Cadence dépassée : vérifiez la cadence","OK"))))))))))))))))))</f>
        <v/>
      </c>
      <c r="AC1837">
        <f>IF(OR(AB1837="OK",AB1837="Aucune pièce déclarée",AB1837="Cadence dépassée : vérifiez la cadence"),1,0)</f>
        <v>0.0</v>
      </c>
      <c r="AD1837">
        <f>IF(AND(AC1837=1,A1837&gt;=p_from,A1837&lt;=p_to),1,0)</f>
        <v>0.0</v>
      </c>
      <c r="AE1837">
        <f>IF(AD1837=1,IF(COUNTIFS($A$6:A1837,A1837,$AD$6:AD1837,1)=1,1,0),0)</f>
        <v>0.0</v>
      </c>
      <c r="AF1837" t="str">
        <f>IF(AE1837=1,COUNTIFS(sj_first,1,sj_date,"&lt;"&amp;A1837)+1,"")</f>
        <v/>
      </c>
      <c r="AG1837" t="str">
        <f>IF(AND(AD1837=1,N(W1837)&lt;p_alert),ROUND(W1837,4),"")</f>
        <v/>
      </c>
      <c r="AH1837" t="str">
        <f>IF(AG1837="","",COUNTIF(sj_akey,"&lt;"&amp;AG1837)+COUNTIF($AG$6:AG1837,AG1837))</f>
        <v/>
      </c>
    </row>
    <row r="1838">
      <c r="A1838" s="51" t="n"/>
      <c r="B1838" s="52" t="n"/>
      <c r="C1838" s="52" t="n"/>
      <c r="D1838" s="53" t="n"/>
      <c r="E1838" s="53" t="n"/>
      <c r="F1838" s="54" t="n"/>
      <c r="G1838" s="54" t="n"/>
      <c r="H1838" s="54" t="n"/>
      <c r="I1838" s="54" t="n"/>
      <c r="J1838" s="53" t="n"/>
      <c r="K1838" s="55" t="str">
        <f>IF(COUNTA(A1838:I1838)=0,"",IF(F1838="",IFERROR(INDEX(eq_dur,MATCH(B1838,eq_code,0)),""),F1838))</f>
        <v/>
      </c>
      <c r="L1838" s="55" t="str">
        <f>IF(ISNUMBER(K1838),N(IFERROR(INDEX(eq_pause,MATCH(B1838,eq_code,0)),0))+SUMIFS(st_min,st_date,A1838,st_eq,B1838,st_po,C1838,st_type,"Planifié"),"")</f>
        <v/>
      </c>
      <c r="M1838" s="55" t="str">
        <f>IF(ISNUMBER(K1838),K1838-L1838,"")</f>
        <v/>
      </c>
      <c r="N1838" s="55" t="str">
        <f>IF(ISNUMBER(K1838),SUMIFS(st_min,st_date,A1838,st_eq,B1838,st_po,C1838,st_type,"Non planifié"),"")</f>
        <v/>
      </c>
      <c r="O1838" s="55" t="str">
        <f>IF(ISNUMBER(K1838),M1838-N1838,"")</f>
        <v/>
      </c>
      <c r="P1838" s="55" t="str">
        <f>IF(COUNTA(A1838:I1838)=0,"",N(G1838)+N(H1838)+N(I1838))</f>
        <v/>
      </c>
      <c r="Q1838" s="56" t="str">
        <f>IF(COUNTA(A1838:I1838)=0,"",IF(N(IFERROR(INDEX(art_rate,MATCH(E1838,art_ref,0)),0))&gt;0,N(IFERROR(INDEX(art_rate,MATCH(E1838,art_ref,0)),0)),N(IFERROR(INDEX(po_rate,MATCH(C1838,po_code,0)),0))))</f>
        <v/>
      </c>
      <c r="R1838" s="55" t="str">
        <f>IF(AC1838=1,P1838*60/Q1838,"")</f>
        <v/>
      </c>
      <c r="S1838" s="55" t="str">
        <f>IF(AC1838=1,N(G1838)*60/Q1838,"")</f>
        <v/>
      </c>
      <c r="T1838" s="57" t="str">
        <f>IF(AC1838=1,O1838/M1838,"")</f>
        <v/>
      </c>
      <c r="U1838" s="57" t="str">
        <f>IF(AC1838=1,IF(O1838&gt;0,R1838/O1838,""),"")</f>
        <v/>
      </c>
      <c r="V1838" s="57" t="str">
        <f>IF(AC1838=1,IF(P1838&gt;0,N(G1838)/P1838,""),"")</f>
        <v/>
      </c>
      <c r="W1838" s="57" t="str">
        <f>IF(AC1838=1,S1838/M1838,"")</f>
        <v/>
      </c>
      <c r="X1838" s="57" t="str">
        <f>IF(AC1838=1,S1838/K1838,"")</f>
        <v/>
      </c>
      <c r="Y1838" s="58" t="str">
        <f>IF(W1838="","",IF(W1838&gt;=p_target,"Bon",IF(W1838&gt;=p_alert,"À surveiller","Faible")))</f>
        <v/>
      </c>
      <c r="Z1838" s="58" t="str">
        <f>IF(W1838="","",IF(MIN(IF(T1838="",1,T1838),IF(U1838="",1,U1838),IF(V1838="",1,V1838))&gt;=1,"Aucune",IF(IF(T1838="",1,T1838)&lt;=MIN(IF(U1838="",1,U1838),IF(V1838="",1,V1838)),"Disponibilité",IF(IF(U1838="",1,U1838)&lt;=IF(V1838="",1,V1838),"Performance","Qualité"))))</f>
        <v/>
      </c>
      <c r="AA1838" s="59" t="str">
        <f>IF(AC1838=1,N(H1838)*N(IFERROR(INDEX(art_cost,MATCH(E1838,art_ref,0)),0)),"")</f>
        <v/>
      </c>
      <c r="AB1838" s="58" t="str">
        <f>IF(COUNTA(A1838:I1838)=0,"",IF(N(A1838)&lt;=0,"Date manquante ou invalide",IF(B1838="","Équipe manquante",IF(ISNA(MATCH(B1838,eq_code,0)),"Équipe inconnue",IF(INDEX(eq_check,MATCH(B1838,eq_code,0))&lt;&gt;"OK","Équipe à corriger dans Paramètres",IF(C1838="","Poste manquant",IF(ISNA(MATCH(C1838,po_code,0)),"Poste inconnu",IF(AND(E1838&lt;&gt;"",ISNA(MATCH(E1838,art_ref,0))),"Article inconnu",IF(IF(E1838="",FALSE,INDEX(art_check,MATCH(E1838,art_ref,0))&lt;&gt;"OK"),"Article à corriger (feuille Articles)",IF(COUNTIFS(sj_date,A1838,sj_eq,B1838,sj_po,C1838)&gt;1,"Ligne en double (même jour, équipe et poste)",IF(OR(NOT(ISNUMBER(K1838)),N(K1838)&lt;=0,N(K1838)&gt;1440),"Temps d'ouverture invalide",IF(OR(AND(G1838&lt;&gt;"",NOT(ISNUMBER(G1838))),N(G1838)&lt;0,N(G1838)&lt;&gt;INT(N(G1838)),AND(H1838&lt;&gt;"",NOT(ISNUMBER(H1838))),N(H1838)&lt;0,N(H1838)&lt;&gt;INT(N(H1838)),AND(I1838&lt;&gt;"",NOT(ISNUMBER(I1838))),N(I1838)&lt;0,N(I1838)&lt;&gt;INT(N(I1838))),"Quantité invalide",IF(Q1838&lt;=0,"Cadence manquante (poste ou article)",IF(M1838&lt;=0,"Arrêts planifiés supérieurs au temps d'ouverture",IF(O1838&lt;0,"Arrêts supérieurs au temps requis",IF(AND(P1838&gt;0,O1838=0),"Pièces déclarées sans temps de marche",IF(AND(P1838=0,O1838&gt;0),"Aucune pièce déclarée",IF(P1838*60/Q1838&gt;O1838+0.001,"Cadence dépassée : vérifiez la cadence","OK"))))))))))))))))))</f>
        <v/>
      </c>
      <c r="AC1838">
        <f>IF(OR(AB1838="OK",AB1838="Aucune pièce déclarée",AB1838="Cadence dépassée : vérifiez la cadence"),1,0)</f>
        <v>0.0</v>
      </c>
      <c r="AD1838">
        <f>IF(AND(AC1838=1,A1838&gt;=p_from,A1838&lt;=p_to),1,0)</f>
        <v>0.0</v>
      </c>
      <c r="AE1838">
        <f>IF(AD1838=1,IF(COUNTIFS($A$6:A1838,A1838,$AD$6:AD1838,1)=1,1,0),0)</f>
        <v>0.0</v>
      </c>
      <c r="AF1838" t="str">
        <f>IF(AE1838=1,COUNTIFS(sj_first,1,sj_date,"&lt;"&amp;A1838)+1,"")</f>
        <v/>
      </c>
      <c r="AG1838" t="str">
        <f>IF(AND(AD1838=1,N(W1838)&lt;p_alert),ROUND(W1838,4),"")</f>
        <v/>
      </c>
      <c r="AH1838" t="str">
        <f>IF(AG1838="","",COUNTIF(sj_akey,"&lt;"&amp;AG1838)+COUNTIF($AG$6:AG1838,AG1838))</f>
        <v/>
      </c>
    </row>
    <row r="1839">
      <c r="A1839" s="51" t="n"/>
      <c r="B1839" s="52" t="n"/>
      <c r="C1839" s="52" t="n"/>
      <c r="D1839" s="53" t="n"/>
      <c r="E1839" s="53" t="n"/>
      <c r="F1839" s="54" t="n"/>
      <c r="G1839" s="54" t="n"/>
      <c r="H1839" s="54" t="n"/>
      <c r="I1839" s="54" t="n"/>
      <c r="J1839" s="53" t="n"/>
      <c r="K1839" s="55" t="str">
        <f>IF(COUNTA(A1839:I1839)=0,"",IF(F1839="",IFERROR(INDEX(eq_dur,MATCH(B1839,eq_code,0)),""),F1839))</f>
        <v/>
      </c>
      <c r="L1839" s="55" t="str">
        <f>IF(ISNUMBER(K1839),N(IFERROR(INDEX(eq_pause,MATCH(B1839,eq_code,0)),0))+SUMIFS(st_min,st_date,A1839,st_eq,B1839,st_po,C1839,st_type,"Planifié"),"")</f>
        <v/>
      </c>
      <c r="M1839" s="55" t="str">
        <f>IF(ISNUMBER(K1839),K1839-L1839,"")</f>
        <v/>
      </c>
      <c r="N1839" s="55" t="str">
        <f>IF(ISNUMBER(K1839),SUMIFS(st_min,st_date,A1839,st_eq,B1839,st_po,C1839,st_type,"Non planifié"),"")</f>
        <v/>
      </c>
      <c r="O1839" s="55" t="str">
        <f>IF(ISNUMBER(K1839),M1839-N1839,"")</f>
        <v/>
      </c>
      <c r="P1839" s="55" t="str">
        <f>IF(COUNTA(A1839:I1839)=0,"",N(G1839)+N(H1839)+N(I1839))</f>
        <v/>
      </c>
      <c r="Q1839" s="56" t="str">
        <f>IF(COUNTA(A1839:I1839)=0,"",IF(N(IFERROR(INDEX(art_rate,MATCH(E1839,art_ref,0)),0))&gt;0,N(IFERROR(INDEX(art_rate,MATCH(E1839,art_ref,0)),0)),N(IFERROR(INDEX(po_rate,MATCH(C1839,po_code,0)),0))))</f>
        <v/>
      </c>
      <c r="R1839" s="55" t="str">
        <f>IF(AC1839=1,P1839*60/Q1839,"")</f>
        <v/>
      </c>
      <c r="S1839" s="55" t="str">
        <f>IF(AC1839=1,N(G1839)*60/Q1839,"")</f>
        <v/>
      </c>
      <c r="T1839" s="57" t="str">
        <f>IF(AC1839=1,O1839/M1839,"")</f>
        <v/>
      </c>
      <c r="U1839" s="57" t="str">
        <f>IF(AC1839=1,IF(O1839&gt;0,R1839/O1839,""),"")</f>
        <v/>
      </c>
      <c r="V1839" s="57" t="str">
        <f>IF(AC1839=1,IF(P1839&gt;0,N(G1839)/P1839,""),"")</f>
        <v/>
      </c>
      <c r="W1839" s="57" t="str">
        <f>IF(AC1839=1,S1839/M1839,"")</f>
        <v/>
      </c>
      <c r="X1839" s="57" t="str">
        <f>IF(AC1839=1,S1839/K1839,"")</f>
        <v/>
      </c>
      <c r="Y1839" s="58" t="str">
        <f>IF(W1839="","",IF(W1839&gt;=p_target,"Bon",IF(W1839&gt;=p_alert,"À surveiller","Faible")))</f>
        <v/>
      </c>
      <c r="Z1839" s="58" t="str">
        <f>IF(W1839="","",IF(MIN(IF(T1839="",1,T1839),IF(U1839="",1,U1839),IF(V1839="",1,V1839))&gt;=1,"Aucune",IF(IF(T1839="",1,T1839)&lt;=MIN(IF(U1839="",1,U1839),IF(V1839="",1,V1839)),"Disponibilité",IF(IF(U1839="",1,U1839)&lt;=IF(V1839="",1,V1839),"Performance","Qualité"))))</f>
        <v/>
      </c>
      <c r="AA1839" s="59" t="str">
        <f>IF(AC1839=1,N(H1839)*N(IFERROR(INDEX(art_cost,MATCH(E1839,art_ref,0)),0)),"")</f>
        <v/>
      </c>
      <c r="AB1839" s="58" t="str">
        <f>IF(COUNTA(A1839:I1839)=0,"",IF(N(A1839)&lt;=0,"Date manquante ou invalide",IF(B1839="","Équipe manquante",IF(ISNA(MATCH(B1839,eq_code,0)),"Équipe inconnue",IF(INDEX(eq_check,MATCH(B1839,eq_code,0))&lt;&gt;"OK","Équipe à corriger dans Paramètres",IF(C1839="","Poste manquant",IF(ISNA(MATCH(C1839,po_code,0)),"Poste inconnu",IF(AND(E1839&lt;&gt;"",ISNA(MATCH(E1839,art_ref,0))),"Article inconnu",IF(IF(E1839="",FALSE,INDEX(art_check,MATCH(E1839,art_ref,0))&lt;&gt;"OK"),"Article à corriger (feuille Articles)",IF(COUNTIFS(sj_date,A1839,sj_eq,B1839,sj_po,C1839)&gt;1,"Ligne en double (même jour, équipe et poste)",IF(OR(NOT(ISNUMBER(K1839)),N(K1839)&lt;=0,N(K1839)&gt;1440),"Temps d'ouverture invalide",IF(OR(AND(G1839&lt;&gt;"",NOT(ISNUMBER(G1839))),N(G1839)&lt;0,N(G1839)&lt;&gt;INT(N(G1839)),AND(H1839&lt;&gt;"",NOT(ISNUMBER(H1839))),N(H1839)&lt;0,N(H1839)&lt;&gt;INT(N(H1839)),AND(I1839&lt;&gt;"",NOT(ISNUMBER(I1839))),N(I1839)&lt;0,N(I1839)&lt;&gt;INT(N(I1839))),"Quantité invalide",IF(Q1839&lt;=0,"Cadence manquante (poste ou article)",IF(M1839&lt;=0,"Arrêts planifiés supérieurs au temps d'ouverture",IF(O1839&lt;0,"Arrêts supérieurs au temps requis",IF(AND(P1839&gt;0,O1839=0),"Pièces déclarées sans temps de marche",IF(AND(P1839=0,O1839&gt;0),"Aucune pièce déclarée",IF(P1839*60/Q1839&gt;O1839+0.001,"Cadence dépassée : vérifiez la cadence","OK"))))))))))))))))))</f>
        <v/>
      </c>
      <c r="AC1839">
        <f>IF(OR(AB1839="OK",AB1839="Aucune pièce déclarée",AB1839="Cadence dépassée : vérifiez la cadence"),1,0)</f>
        <v>0.0</v>
      </c>
      <c r="AD1839">
        <f>IF(AND(AC1839=1,A1839&gt;=p_from,A1839&lt;=p_to),1,0)</f>
        <v>0.0</v>
      </c>
      <c r="AE1839">
        <f>IF(AD1839=1,IF(COUNTIFS($A$6:A1839,A1839,$AD$6:AD1839,1)=1,1,0),0)</f>
        <v>0.0</v>
      </c>
      <c r="AF1839" t="str">
        <f>IF(AE1839=1,COUNTIFS(sj_first,1,sj_date,"&lt;"&amp;A1839)+1,"")</f>
        <v/>
      </c>
      <c r="AG1839" t="str">
        <f>IF(AND(AD1839=1,N(W1839)&lt;p_alert),ROUND(W1839,4),"")</f>
        <v/>
      </c>
      <c r="AH1839" t="str">
        <f>IF(AG1839="","",COUNTIF(sj_akey,"&lt;"&amp;AG1839)+COUNTIF($AG$6:AG1839,AG1839))</f>
        <v/>
      </c>
    </row>
    <row r="1840">
      <c r="A1840" s="51" t="n"/>
      <c r="B1840" s="52" t="n"/>
      <c r="C1840" s="52" t="n"/>
      <c r="D1840" s="53" t="n"/>
      <c r="E1840" s="53" t="n"/>
      <c r="F1840" s="54" t="n"/>
      <c r="G1840" s="54" t="n"/>
      <c r="H1840" s="54" t="n"/>
      <c r="I1840" s="54" t="n"/>
      <c r="J1840" s="53" t="n"/>
      <c r="K1840" s="55" t="str">
        <f>IF(COUNTA(A1840:I1840)=0,"",IF(F1840="",IFERROR(INDEX(eq_dur,MATCH(B1840,eq_code,0)),""),F1840))</f>
        <v/>
      </c>
      <c r="L1840" s="55" t="str">
        <f>IF(ISNUMBER(K1840),N(IFERROR(INDEX(eq_pause,MATCH(B1840,eq_code,0)),0))+SUMIFS(st_min,st_date,A1840,st_eq,B1840,st_po,C1840,st_type,"Planifié"),"")</f>
        <v/>
      </c>
      <c r="M1840" s="55" t="str">
        <f>IF(ISNUMBER(K1840),K1840-L1840,"")</f>
        <v/>
      </c>
      <c r="N1840" s="55" t="str">
        <f>IF(ISNUMBER(K1840),SUMIFS(st_min,st_date,A1840,st_eq,B1840,st_po,C1840,st_type,"Non planifié"),"")</f>
        <v/>
      </c>
      <c r="O1840" s="55" t="str">
        <f>IF(ISNUMBER(K1840),M1840-N1840,"")</f>
        <v/>
      </c>
      <c r="P1840" s="55" t="str">
        <f>IF(COUNTA(A1840:I1840)=0,"",N(G1840)+N(H1840)+N(I1840))</f>
        <v/>
      </c>
      <c r="Q1840" s="56" t="str">
        <f>IF(COUNTA(A1840:I1840)=0,"",IF(N(IFERROR(INDEX(art_rate,MATCH(E1840,art_ref,0)),0))&gt;0,N(IFERROR(INDEX(art_rate,MATCH(E1840,art_ref,0)),0)),N(IFERROR(INDEX(po_rate,MATCH(C1840,po_code,0)),0))))</f>
        <v/>
      </c>
      <c r="R1840" s="55" t="str">
        <f>IF(AC1840=1,P1840*60/Q1840,"")</f>
        <v/>
      </c>
      <c r="S1840" s="55" t="str">
        <f>IF(AC1840=1,N(G1840)*60/Q1840,"")</f>
        <v/>
      </c>
      <c r="T1840" s="57" t="str">
        <f>IF(AC1840=1,O1840/M1840,"")</f>
        <v/>
      </c>
      <c r="U1840" s="57" t="str">
        <f>IF(AC1840=1,IF(O1840&gt;0,R1840/O1840,""),"")</f>
        <v/>
      </c>
      <c r="V1840" s="57" t="str">
        <f>IF(AC1840=1,IF(P1840&gt;0,N(G1840)/P1840,""),"")</f>
        <v/>
      </c>
      <c r="W1840" s="57" t="str">
        <f>IF(AC1840=1,S1840/M1840,"")</f>
        <v/>
      </c>
      <c r="X1840" s="57" t="str">
        <f>IF(AC1840=1,S1840/K1840,"")</f>
        <v/>
      </c>
      <c r="Y1840" s="58" t="str">
        <f>IF(W1840="","",IF(W1840&gt;=p_target,"Bon",IF(W1840&gt;=p_alert,"À surveiller","Faible")))</f>
        <v/>
      </c>
      <c r="Z1840" s="58" t="str">
        <f>IF(W1840="","",IF(MIN(IF(T1840="",1,T1840),IF(U1840="",1,U1840),IF(V1840="",1,V1840))&gt;=1,"Aucune",IF(IF(T1840="",1,T1840)&lt;=MIN(IF(U1840="",1,U1840),IF(V1840="",1,V1840)),"Disponibilité",IF(IF(U1840="",1,U1840)&lt;=IF(V1840="",1,V1840),"Performance","Qualité"))))</f>
        <v/>
      </c>
      <c r="AA1840" s="59" t="str">
        <f>IF(AC1840=1,N(H1840)*N(IFERROR(INDEX(art_cost,MATCH(E1840,art_ref,0)),0)),"")</f>
        <v/>
      </c>
      <c r="AB1840" s="58" t="str">
        <f>IF(COUNTA(A1840:I1840)=0,"",IF(N(A1840)&lt;=0,"Date manquante ou invalide",IF(B1840="","Équipe manquante",IF(ISNA(MATCH(B1840,eq_code,0)),"Équipe inconnue",IF(INDEX(eq_check,MATCH(B1840,eq_code,0))&lt;&gt;"OK","Équipe à corriger dans Paramètres",IF(C1840="","Poste manquant",IF(ISNA(MATCH(C1840,po_code,0)),"Poste inconnu",IF(AND(E1840&lt;&gt;"",ISNA(MATCH(E1840,art_ref,0))),"Article inconnu",IF(IF(E1840="",FALSE,INDEX(art_check,MATCH(E1840,art_ref,0))&lt;&gt;"OK"),"Article à corriger (feuille Articles)",IF(COUNTIFS(sj_date,A1840,sj_eq,B1840,sj_po,C1840)&gt;1,"Ligne en double (même jour, équipe et poste)",IF(OR(NOT(ISNUMBER(K1840)),N(K1840)&lt;=0,N(K1840)&gt;1440),"Temps d'ouverture invalide",IF(OR(AND(G1840&lt;&gt;"",NOT(ISNUMBER(G1840))),N(G1840)&lt;0,N(G1840)&lt;&gt;INT(N(G1840)),AND(H1840&lt;&gt;"",NOT(ISNUMBER(H1840))),N(H1840)&lt;0,N(H1840)&lt;&gt;INT(N(H1840)),AND(I1840&lt;&gt;"",NOT(ISNUMBER(I1840))),N(I1840)&lt;0,N(I1840)&lt;&gt;INT(N(I1840))),"Quantité invalide",IF(Q1840&lt;=0,"Cadence manquante (poste ou article)",IF(M1840&lt;=0,"Arrêts planifiés supérieurs au temps d'ouverture",IF(O1840&lt;0,"Arrêts supérieurs au temps requis",IF(AND(P1840&gt;0,O1840=0),"Pièces déclarées sans temps de marche",IF(AND(P1840=0,O1840&gt;0),"Aucune pièce déclarée",IF(P1840*60/Q1840&gt;O1840+0.001,"Cadence dépassée : vérifiez la cadence","OK"))))))))))))))))))</f>
        <v/>
      </c>
      <c r="AC1840">
        <f>IF(OR(AB1840="OK",AB1840="Aucune pièce déclarée",AB1840="Cadence dépassée : vérifiez la cadence"),1,0)</f>
        <v>0.0</v>
      </c>
      <c r="AD1840">
        <f>IF(AND(AC1840=1,A1840&gt;=p_from,A1840&lt;=p_to),1,0)</f>
        <v>0.0</v>
      </c>
      <c r="AE1840">
        <f>IF(AD1840=1,IF(COUNTIFS($A$6:A1840,A1840,$AD$6:AD1840,1)=1,1,0),0)</f>
        <v>0.0</v>
      </c>
      <c r="AF1840" t="str">
        <f>IF(AE1840=1,COUNTIFS(sj_first,1,sj_date,"&lt;"&amp;A1840)+1,"")</f>
        <v/>
      </c>
      <c r="AG1840" t="str">
        <f>IF(AND(AD1840=1,N(W1840)&lt;p_alert),ROUND(W1840,4),"")</f>
        <v/>
      </c>
      <c r="AH1840" t="str">
        <f>IF(AG1840="","",COUNTIF(sj_akey,"&lt;"&amp;AG1840)+COUNTIF($AG$6:AG1840,AG1840))</f>
        <v/>
      </c>
    </row>
    <row r="1841">
      <c r="A1841" s="51" t="n"/>
      <c r="B1841" s="52" t="n"/>
      <c r="C1841" s="52" t="n"/>
      <c r="D1841" s="53" t="n"/>
      <c r="E1841" s="53" t="n"/>
      <c r="F1841" s="54" t="n"/>
      <c r="G1841" s="54" t="n"/>
      <c r="H1841" s="54" t="n"/>
      <c r="I1841" s="54" t="n"/>
      <c r="J1841" s="53" t="n"/>
      <c r="K1841" s="55" t="str">
        <f>IF(COUNTA(A1841:I1841)=0,"",IF(F1841="",IFERROR(INDEX(eq_dur,MATCH(B1841,eq_code,0)),""),F1841))</f>
        <v/>
      </c>
      <c r="L1841" s="55" t="str">
        <f>IF(ISNUMBER(K1841),N(IFERROR(INDEX(eq_pause,MATCH(B1841,eq_code,0)),0))+SUMIFS(st_min,st_date,A1841,st_eq,B1841,st_po,C1841,st_type,"Planifié"),"")</f>
        <v/>
      </c>
      <c r="M1841" s="55" t="str">
        <f>IF(ISNUMBER(K1841),K1841-L1841,"")</f>
        <v/>
      </c>
      <c r="N1841" s="55" t="str">
        <f>IF(ISNUMBER(K1841),SUMIFS(st_min,st_date,A1841,st_eq,B1841,st_po,C1841,st_type,"Non planifié"),"")</f>
        <v/>
      </c>
      <c r="O1841" s="55" t="str">
        <f>IF(ISNUMBER(K1841),M1841-N1841,"")</f>
        <v/>
      </c>
      <c r="P1841" s="55" t="str">
        <f>IF(COUNTA(A1841:I1841)=0,"",N(G1841)+N(H1841)+N(I1841))</f>
        <v/>
      </c>
      <c r="Q1841" s="56" t="str">
        <f>IF(COUNTA(A1841:I1841)=0,"",IF(N(IFERROR(INDEX(art_rate,MATCH(E1841,art_ref,0)),0))&gt;0,N(IFERROR(INDEX(art_rate,MATCH(E1841,art_ref,0)),0)),N(IFERROR(INDEX(po_rate,MATCH(C1841,po_code,0)),0))))</f>
        <v/>
      </c>
      <c r="R1841" s="55" t="str">
        <f>IF(AC1841=1,P1841*60/Q1841,"")</f>
        <v/>
      </c>
      <c r="S1841" s="55" t="str">
        <f>IF(AC1841=1,N(G1841)*60/Q1841,"")</f>
        <v/>
      </c>
      <c r="T1841" s="57" t="str">
        <f>IF(AC1841=1,O1841/M1841,"")</f>
        <v/>
      </c>
      <c r="U1841" s="57" t="str">
        <f>IF(AC1841=1,IF(O1841&gt;0,R1841/O1841,""),"")</f>
        <v/>
      </c>
      <c r="V1841" s="57" t="str">
        <f>IF(AC1841=1,IF(P1841&gt;0,N(G1841)/P1841,""),"")</f>
        <v/>
      </c>
      <c r="W1841" s="57" t="str">
        <f>IF(AC1841=1,S1841/M1841,"")</f>
        <v/>
      </c>
      <c r="X1841" s="57" t="str">
        <f>IF(AC1841=1,S1841/K1841,"")</f>
        <v/>
      </c>
      <c r="Y1841" s="58" t="str">
        <f>IF(W1841="","",IF(W1841&gt;=p_target,"Bon",IF(W1841&gt;=p_alert,"À surveiller","Faible")))</f>
        <v/>
      </c>
      <c r="Z1841" s="58" t="str">
        <f>IF(W1841="","",IF(MIN(IF(T1841="",1,T1841),IF(U1841="",1,U1841),IF(V1841="",1,V1841))&gt;=1,"Aucune",IF(IF(T1841="",1,T1841)&lt;=MIN(IF(U1841="",1,U1841),IF(V1841="",1,V1841)),"Disponibilité",IF(IF(U1841="",1,U1841)&lt;=IF(V1841="",1,V1841),"Performance","Qualité"))))</f>
        <v/>
      </c>
      <c r="AA1841" s="59" t="str">
        <f>IF(AC1841=1,N(H1841)*N(IFERROR(INDEX(art_cost,MATCH(E1841,art_ref,0)),0)),"")</f>
        <v/>
      </c>
      <c r="AB1841" s="58" t="str">
        <f>IF(COUNTA(A1841:I1841)=0,"",IF(N(A1841)&lt;=0,"Date manquante ou invalide",IF(B1841="","Équipe manquante",IF(ISNA(MATCH(B1841,eq_code,0)),"Équipe inconnue",IF(INDEX(eq_check,MATCH(B1841,eq_code,0))&lt;&gt;"OK","Équipe à corriger dans Paramètres",IF(C1841="","Poste manquant",IF(ISNA(MATCH(C1841,po_code,0)),"Poste inconnu",IF(AND(E1841&lt;&gt;"",ISNA(MATCH(E1841,art_ref,0))),"Article inconnu",IF(IF(E1841="",FALSE,INDEX(art_check,MATCH(E1841,art_ref,0))&lt;&gt;"OK"),"Article à corriger (feuille Articles)",IF(COUNTIFS(sj_date,A1841,sj_eq,B1841,sj_po,C1841)&gt;1,"Ligne en double (même jour, équipe et poste)",IF(OR(NOT(ISNUMBER(K1841)),N(K1841)&lt;=0,N(K1841)&gt;1440),"Temps d'ouverture invalide",IF(OR(AND(G1841&lt;&gt;"",NOT(ISNUMBER(G1841))),N(G1841)&lt;0,N(G1841)&lt;&gt;INT(N(G1841)),AND(H1841&lt;&gt;"",NOT(ISNUMBER(H1841))),N(H1841)&lt;0,N(H1841)&lt;&gt;INT(N(H1841)),AND(I1841&lt;&gt;"",NOT(ISNUMBER(I1841))),N(I1841)&lt;0,N(I1841)&lt;&gt;INT(N(I1841))),"Quantité invalide",IF(Q1841&lt;=0,"Cadence manquante (poste ou article)",IF(M1841&lt;=0,"Arrêts planifiés supérieurs au temps d'ouverture",IF(O1841&lt;0,"Arrêts supérieurs au temps requis",IF(AND(P1841&gt;0,O1841=0),"Pièces déclarées sans temps de marche",IF(AND(P1841=0,O1841&gt;0),"Aucune pièce déclarée",IF(P1841*60/Q1841&gt;O1841+0.001,"Cadence dépassée : vérifiez la cadence","OK"))))))))))))))))))</f>
        <v/>
      </c>
      <c r="AC1841">
        <f>IF(OR(AB1841="OK",AB1841="Aucune pièce déclarée",AB1841="Cadence dépassée : vérifiez la cadence"),1,0)</f>
        <v>0.0</v>
      </c>
      <c r="AD1841">
        <f>IF(AND(AC1841=1,A1841&gt;=p_from,A1841&lt;=p_to),1,0)</f>
        <v>0.0</v>
      </c>
      <c r="AE1841">
        <f>IF(AD1841=1,IF(COUNTIFS($A$6:A1841,A1841,$AD$6:AD1841,1)=1,1,0),0)</f>
        <v>0.0</v>
      </c>
      <c r="AF1841" t="str">
        <f>IF(AE1841=1,COUNTIFS(sj_first,1,sj_date,"&lt;"&amp;A1841)+1,"")</f>
        <v/>
      </c>
      <c r="AG1841" t="str">
        <f>IF(AND(AD1841=1,N(W1841)&lt;p_alert),ROUND(W1841,4),"")</f>
        <v/>
      </c>
      <c r="AH1841" t="str">
        <f>IF(AG1841="","",COUNTIF(sj_akey,"&lt;"&amp;AG1841)+COUNTIF($AG$6:AG1841,AG1841))</f>
        <v/>
      </c>
    </row>
    <row r="1842">
      <c r="A1842" s="51" t="n"/>
      <c r="B1842" s="52" t="n"/>
      <c r="C1842" s="52" t="n"/>
      <c r="D1842" s="53" t="n"/>
      <c r="E1842" s="53" t="n"/>
      <c r="F1842" s="54" t="n"/>
      <c r="G1842" s="54" t="n"/>
      <c r="H1842" s="54" t="n"/>
      <c r="I1842" s="54" t="n"/>
      <c r="J1842" s="53" t="n"/>
      <c r="K1842" s="55" t="str">
        <f>IF(COUNTA(A1842:I1842)=0,"",IF(F1842="",IFERROR(INDEX(eq_dur,MATCH(B1842,eq_code,0)),""),F1842))</f>
        <v/>
      </c>
      <c r="L1842" s="55" t="str">
        <f>IF(ISNUMBER(K1842),N(IFERROR(INDEX(eq_pause,MATCH(B1842,eq_code,0)),0))+SUMIFS(st_min,st_date,A1842,st_eq,B1842,st_po,C1842,st_type,"Planifié"),"")</f>
        <v/>
      </c>
      <c r="M1842" s="55" t="str">
        <f>IF(ISNUMBER(K1842),K1842-L1842,"")</f>
        <v/>
      </c>
      <c r="N1842" s="55" t="str">
        <f>IF(ISNUMBER(K1842),SUMIFS(st_min,st_date,A1842,st_eq,B1842,st_po,C1842,st_type,"Non planifié"),"")</f>
        <v/>
      </c>
      <c r="O1842" s="55" t="str">
        <f>IF(ISNUMBER(K1842),M1842-N1842,"")</f>
        <v/>
      </c>
      <c r="P1842" s="55" t="str">
        <f>IF(COUNTA(A1842:I1842)=0,"",N(G1842)+N(H1842)+N(I1842))</f>
        <v/>
      </c>
      <c r="Q1842" s="56" t="str">
        <f>IF(COUNTA(A1842:I1842)=0,"",IF(N(IFERROR(INDEX(art_rate,MATCH(E1842,art_ref,0)),0))&gt;0,N(IFERROR(INDEX(art_rate,MATCH(E1842,art_ref,0)),0)),N(IFERROR(INDEX(po_rate,MATCH(C1842,po_code,0)),0))))</f>
        <v/>
      </c>
      <c r="R1842" s="55" t="str">
        <f>IF(AC1842=1,P1842*60/Q1842,"")</f>
        <v/>
      </c>
      <c r="S1842" s="55" t="str">
        <f>IF(AC1842=1,N(G1842)*60/Q1842,"")</f>
        <v/>
      </c>
      <c r="T1842" s="57" t="str">
        <f>IF(AC1842=1,O1842/M1842,"")</f>
        <v/>
      </c>
      <c r="U1842" s="57" t="str">
        <f>IF(AC1842=1,IF(O1842&gt;0,R1842/O1842,""),"")</f>
        <v/>
      </c>
      <c r="V1842" s="57" t="str">
        <f>IF(AC1842=1,IF(P1842&gt;0,N(G1842)/P1842,""),"")</f>
        <v/>
      </c>
      <c r="W1842" s="57" t="str">
        <f>IF(AC1842=1,S1842/M1842,"")</f>
        <v/>
      </c>
      <c r="X1842" s="57" t="str">
        <f>IF(AC1842=1,S1842/K1842,"")</f>
        <v/>
      </c>
      <c r="Y1842" s="58" t="str">
        <f>IF(W1842="","",IF(W1842&gt;=p_target,"Bon",IF(W1842&gt;=p_alert,"À surveiller","Faible")))</f>
        <v/>
      </c>
      <c r="Z1842" s="58" t="str">
        <f>IF(W1842="","",IF(MIN(IF(T1842="",1,T1842),IF(U1842="",1,U1842),IF(V1842="",1,V1842))&gt;=1,"Aucune",IF(IF(T1842="",1,T1842)&lt;=MIN(IF(U1842="",1,U1842),IF(V1842="",1,V1842)),"Disponibilité",IF(IF(U1842="",1,U1842)&lt;=IF(V1842="",1,V1842),"Performance","Qualité"))))</f>
        <v/>
      </c>
      <c r="AA1842" s="59" t="str">
        <f>IF(AC1842=1,N(H1842)*N(IFERROR(INDEX(art_cost,MATCH(E1842,art_ref,0)),0)),"")</f>
        <v/>
      </c>
      <c r="AB1842" s="58" t="str">
        <f>IF(COUNTA(A1842:I1842)=0,"",IF(N(A1842)&lt;=0,"Date manquante ou invalide",IF(B1842="","Équipe manquante",IF(ISNA(MATCH(B1842,eq_code,0)),"Équipe inconnue",IF(INDEX(eq_check,MATCH(B1842,eq_code,0))&lt;&gt;"OK","Équipe à corriger dans Paramètres",IF(C1842="","Poste manquant",IF(ISNA(MATCH(C1842,po_code,0)),"Poste inconnu",IF(AND(E1842&lt;&gt;"",ISNA(MATCH(E1842,art_ref,0))),"Article inconnu",IF(IF(E1842="",FALSE,INDEX(art_check,MATCH(E1842,art_ref,0))&lt;&gt;"OK"),"Article à corriger (feuille Articles)",IF(COUNTIFS(sj_date,A1842,sj_eq,B1842,sj_po,C1842)&gt;1,"Ligne en double (même jour, équipe et poste)",IF(OR(NOT(ISNUMBER(K1842)),N(K1842)&lt;=0,N(K1842)&gt;1440),"Temps d'ouverture invalide",IF(OR(AND(G1842&lt;&gt;"",NOT(ISNUMBER(G1842))),N(G1842)&lt;0,N(G1842)&lt;&gt;INT(N(G1842)),AND(H1842&lt;&gt;"",NOT(ISNUMBER(H1842))),N(H1842)&lt;0,N(H1842)&lt;&gt;INT(N(H1842)),AND(I1842&lt;&gt;"",NOT(ISNUMBER(I1842))),N(I1842)&lt;0,N(I1842)&lt;&gt;INT(N(I1842))),"Quantité invalide",IF(Q1842&lt;=0,"Cadence manquante (poste ou article)",IF(M1842&lt;=0,"Arrêts planifiés supérieurs au temps d'ouverture",IF(O1842&lt;0,"Arrêts supérieurs au temps requis",IF(AND(P1842&gt;0,O1842=0),"Pièces déclarées sans temps de marche",IF(AND(P1842=0,O1842&gt;0),"Aucune pièce déclarée",IF(P1842*60/Q1842&gt;O1842+0.001,"Cadence dépassée : vérifiez la cadence","OK"))))))))))))))))))</f>
        <v/>
      </c>
      <c r="AC1842">
        <f>IF(OR(AB1842="OK",AB1842="Aucune pièce déclarée",AB1842="Cadence dépassée : vérifiez la cadence"),1,0)</f>
        <v>0.0</v>
      </c>
      <c r="AD1842">
        <f>IF(AND(AC1842=1,A1842&gt;=p_from,A1842&lt;=p_to),1,0)</f>
        <v>0.0</v>
      </c>
      <c r="AE1842">
        <f>IF(AD1842=1,IF(COUNTIFS($A$6:A1842,A1842,$AD$6:AD1842,1)=1,1,0),0)</f>
        <v>0.0</v>
      </c>
      <c r="AF1842" t="str">
        <f>IF(AE1842=1,COUNTIFS(sj_first,1,sj_date,"&lt;"&amp;A1842)+1,"")</f>
        <v/>
      </c>
      <c r="AG1842" t="str">
        <f>IF(AND(AD1842=1,N(W1842)&lt;p_alert),ROUND(W1842,4),"")</f>
        <v/>
      </c>
      <c r="AH1842" t="str">
        <f>IF(AG1842="","",COUNTIF(sj_akey,"&lt;"&amp;AG1842)+COUNTIF($AG$6:AG1842,AG1842))</f>
        <v/>
      </c>
    </row>
    <row r="1843">
      <c r="A1843" s="51" t="n"/>
      <c r="B1843" s="52" t="n"/>
      <c r="C1843" s="52" t="n"/>
      <c r="D1843" s="53" t="n"/>
      <c r="E1843" s="53" t="n"/>
      <c r="F1843" s="54" t="n"/>
      <c r="G1843" s="54" t="n"/>
      <c r="H1843" s="54" t="n"/>
      <c r="I1843" s="54" t="n"/>
      <c r="J1843" s="53" t="n"/>
      <c r="K1843" s="55" t="str">
        <f>IF(COUNTA(A1843:I1843)=0,"",IF(F1843="",IFERROR(INDEX(eq_dur,MATCH(B1843,eq_code,0)),""),F1843))</f>
        <v/>
      </c>
      <c r="L1843" s="55" t="str">
        <f>IF(ISNUMBER(K1843),N(IFERROR(INDEX(eq_pause,MATCH(B1843,eq_code,0)),0))+SUMIFS(st_min,st_date,A1843,st_eq,B1843,st_po,C1843,st_type,"Planifié"),"")</f>
        <v/>
      </c>
      <c r="M1843" s="55" t="str">
        <f>IF(ISNUMBER(K1843),K1843-L1843,"")</f>
        <v/>
      </c>
      <c r="N1843" s="55" t="str">
        <f>IF(ISNUMBER(K1843),SUMIFS(st_min,st_date,A1843,st_eq,B1843,st_po,C1843,st_type,"Non planifié"),"")</f>
        <v/>
      </c>
      <c r="O1843" s="55" t="str">
        <f>IF(ISNUMBER(K1843),M1843-N1843,"")</f>
        <v/>
      </c>
      <c r="P1843" s="55" t="str">
        <f>IF(COUNTA(A1843:I1843)=0,"",N(G1843)+N(H1843)+N(I1843))</f>
        <v/>
      </c>
      <c r="Q1843" s="56" t="str">
        <f>IF(COUNTA(A1843:I1843)=0,"",IF(N(IFERROR(INDEX(art_rate,MATCH(E1843,art_ref,0)),0))&gt;0,N(IFERROR(INDEX(art_rate,MATCH(E1843,art_ref,0)),0)),N(IFERROR(INDEX(po_rate,MATCH(C1843,po_code,0)),0))))</f>
        <v/>
      </c>
      <c r="R1843" s="55" t="str">
        <f>IF(AC1843=1,P1843*60/Q1843,"")</f>
        <v/>
      </c>
      <c r="S1843" s="55" t="str">
        <f>IF(AC1843=1,N(G1843)*60/Q1843,"")</f>
        <v/>
      </c>
      <c r="T1843" s="57" t="str">
        <f>IF(AC1843=1,O1843/M1843,"")</f>
        <v/>
      </c>
      <c r="U1843" s="57" t="str">
        <f>IF(AC1843=1,IF(O1843&gt;0,R1843/O1843,""),"")</f>
        <v/>
      </c>
      <c r="V1843" s="57" t="str">
        <f>IF(AC1843=1,IF(P1843&gt;0,N(G1843)/P1843,""),"")</f>
        <v/>
      </c>
      <c r="W1843" s="57" t="str">
        <f>IF(AC1843=1,S1843/M1843,"")</f>
        <v/>
      </c>
      <c r="X1843" s="57" t="str">
        <f>IF(AC1843=1,S1843/K1843,"")</f>
        <v/>
      </c>
      <c r="Y1843" s="58" t="str">
        <f>IF(W1843="","",IF(W1843&gt;=p_target,"Bon",IF(W1843&gt;=p_alert,"À surveiller","Faible")))</f>
        <v/>
      </c>
      <c r="Z1843" s="58" t="str">
        <f>IF(W1843="","",IF(MIN(IF(T1843="",1,T1843),IF(U1843="",1,U1843),IF(V1843="",1,V1843))&gt;=1,"Aucune",IF(IF(T1843="",1,T1843)&lt;=MIN(IF(U1843="",1,U1843),IF(V1843="",1,V1843)),"Disponibilité",IF(IF(U1843="",1,U1843)&lt;=IF(V1843="",1,V1843),"Performance","Qualité"))))</f>
        <v/>
      </c>
      <c r="AA1843" s="59" t="str">
        <f>IF(AC1843=1,N(H1843)*N(IFERROR(INDEX(art_cost,MATCH(E1843,art_ref,0)),0)),"")</f>
        <v/>
      </c>
      <c r="AB1843" s="58" t="str">
        <f>IF(COUNTA(A1843:I1843)=0,"",IF(N(A1843)&lt;=0,"Date manquante ou invalide",IF(B1843="","Équipe manquante",IF(ISNA(MATCH(B1843,eq_code,0)),"Équipe inconnue",IF(INDEX(eq_check,MATCH(B1843,eq_code,0))&lt;&gt;"OK","Équipe à corriger dans Paramètres",IF(C1843="","Poste manquant",IF(ISNA(MATCH(C1843,po_code,0)),"Poste inconnu",IF(AND(E1843&lt;&gt;"",ISNA(MATCH(E1843,art_ref,0))),"Article inconnu",IF(IF(E1843="",FALSE,INDEX(art_check,MATCH(E1843,art_ref,0))&lt;&gt;"OK"),"Article à corriger (feuille Articles)",IF(COUNTIFS(sj_date,A1843,sj_eq,B1843,sj_po,C1843)&gt;1,"Ligne en double (même jour, équipe et poste)",IF(OR(NOT(ISNUMBER(K1843)),N(K1843)&lt;=0,N(K1843)&gt;1440),"Temps d'ouverture invalide",IF(OR(AND(G1843&lt;&gt;"",NOT(ISNUMBER(G1843))),N(G1843)&lt;0,N(G1843)&lt;&gt;INT(N(G1843)),AND(H1843&lt;&gt;"",NOT(ISNUMBER(H1843))),N(H1843)&lt;0,N(H1843)&lt;&gt;INT(N(H1843)),AND(I1843&lt;&gt;"",NOT(ISNUMBER(I1843))),N(I1843)&lt;0,N(I1843)&lt;&gt;INT(N(I1843))),"Quantité invalide",IF(Q1843&lt;=0,"Cadence manquante (poste ou article)",IF(M1843&lt;=0,"Arrêts planifiés supérieurs au temps d'ouverture",IF(O1843&lt;0,"Arrêts supérieurs au temps requis",IF(AND(P1843&gt;0,O1843=0),"Pièces déclarées sans temps de marche",IF(AND(P1843=0,O1843&gt;0),"Aucune pièce déclarée",IF(P1843*60/Q1843&gt;O1843+0.001,"Cadence dépassée : vérifiez la cadence","OK"))))))))))))))))))</f>
        <v/>
      </c>
      <c r="AC1843">
        <f>IF(OR(AB1843="OK",AB1843="Aucune pièce déclarée",AB1843="Cadence dépassée : vérifiez la cadence"),1,0)</f>
        <v>0.0</v>
      </c>
      <c r="AD1843">
        <f>IF(AND(AC1843=1,A1843&gt;=p_from,A1843&lt;=p_to),1,0)</f>
        <v>0.0</v>
      </c>
      <c r="AE1843">
        <f>IF(AD1843=1,IF(COUNTIFS($A$6:A1843,A1843,$AD$6:AD1843,1)=1,1,0),0)</f>
        <v>0.0</v>
      </c>
      <c r="AF1843" t="str">
        <f>IF(AE1843=1,COUNTIFS(sj_first,1,sj_date,"&lt;"&amp;A1843)+1,"")</f>
        <v/>
      </c>
      <c r="AG1843" t="str">
        <f>IF(AND(AD1843=1,N(W1843)&lt;p_alert),ROUND(W1843,4),"")</f>
        <v/>
      </c>
      <c r="AH1843" t="str">
        <f>IF(AG1843="","",COUNTIF(sj_akey,"&lt;"&amp;AG1843)+COUNTIF($AG$6:AG1843,AG1843))</f>
        <v/>
      </c>
    </row>
    <row r="1844">
      <c r="A1844" s="51" t="n"/>
      <c r="B1844" s="52" t="n"/>
      <c r="C1844" s="52" t="n"/>
      <c r="D1844" s="53" t="n"/>
      <c r="E1844" s="53" t="n"/>
      <c r="F1844" s="54" t="n"/>
      <c r="G1844" s="54" t="n"/>
      <c r="H1844" s="54" t="n"/>
      <c r="I1844" s="54" t="n"/>
      <c r="J1844" s="53" t="n"/>
      <c r="K1844" s="55" t="str">
        <f>IF(COUNTA(A1844:I1844)=0,"",IF(F1844="",IFERROR(INDEX(eq_dur,MATCH(B1844,eq_code,0)),""),F1844))</f>
        <v/>
      </c>
      <c r="L1844" s="55" t="str">
        <f>IF(ISNUMBER(K1844),N(IFERROR(INDEX(eq_pause,MATCH(B1844,eq_code,0)),0))+SUMIFS(st_min,st_date,A1844,st_eq,B1844,st_po,C1844,st_type,"Planifié"),"")</f>
        <v/>
      </c>
      <c r="M1844" s="55" t="str">
        <f>IF(ISNUMBER(K1844),K1844-L1844,"")</f>
        <v/>
      </c>
      <c r="N1844" s="55" t="str">
        <f>IF(ISNUMBER(K1844),SUMIFS(st_min,st_date,A1844,st_eq,B1844,st_po,C1844,st_type,"Non planifié"),"")</f>
        <v/>
      </c>
      <c r="O1844" s="55" t="str">
        <f>IF(ISNUMBER(K1844),M1844-N1844,"")</f>
        <v/>
      </c>
      <c r="P1844" s="55" t="str">
        <f>IF(COUNTA(A1844:I1844)=0,"",N(G1844)+N(H1844)+N(I1844))</f>
        <v/>
      </c>
      <c r="Q1844" s="56" t="str">
        <f>IF(COUNTA(A1844:I1844)=0,"",IF(N(IFERROR(INDEX(art_rate,MATCH(E1844,art_ref,0)),0))&gt;0,N(IFERROR(INDEX(art_rate,MATCH(E1844,art_ref,0)),0)),N(IFERROR(INDEX(po_rate,MATCH(C1844,po_code,0)),0))))</f>
        <v/>
      </c>
      <c r="R1844" s="55" t="str">
        <f>IF(AC1844=1,P1844*60/Q1844,"")</f>
        <v/>
      </c>
      <c r="S1844" s="55" t="str">
        <f>IF(AC1844=1,N(G1844)*60/Q1844,"")</f>
        <v/>
      </c>
      <c r="T1844" s="57" t="str">
        <f>IF(AC1844=1,O1844/M1844,"")</f>
        <v/>
      </c>
      <c r="U1844" s="57" t="str">
        <f>IF(AC1844=1,IF(O1844&gt;0,R1844/O1844,""),"")</f>
        <v/>
      </c>
      <c r="V1844" s="57" t="str">
        <f>IF(AC1844=1,IF(P1844&gt;0,N(G1844)/P1844,""),"")</f>
        <v/>
      </c>
      <c r="W1844" s="57" t="str">
        <f>IF(AC1844=1,S1844/M1844,"")</f>
        <v/>
      </c>
      <c r="X1844" s="57" t="str">
        <f>IF(AC1844=1,S1844/K1844,"")</f>
        <v/>
      </c>
      <c r="Y1844" s="58" t="str">
        <f>IF(W1844="","",IF(W1844&gt;=p_target,"Bon",IF(W1844&gt;=p_alert,"À surveiller","Faible")))</f>
        <v/>
      </c>
      <c r="Z1844" s="58" t="str">
        <f>IF(W1844="","",IF(MIN(IF(T1844="",1,T1844),IF(U1844="",1,U1844),IF(V1844="",1,V1844))&gt;=1,"Aucune",IF(IF(T1844="",1,T1844)&lt;=MIN(IF(U1844="",1,U1844),IF(V1844="",1,V1844)),"Disponibilité",IF(IF(U1844="",1,U1844)&lt;=IF(V1844="",1,V1844),"Performance","Qualité"))))</f>
        <v/>
      </c>
      <c r="AA1844" s="59" t="str">
        <f>IF(AC1844=1,N(H1844)*N(IFERROR(INDEX(art_cost,MATCH(E1844,art_ref,0)),0)),"")</f>
        <v/>
      </c>
      <c r="AB1844" s="58" t="str">
        <f>IF(COUNTA(A1844:I1844)=0,"",IF(N(A1844)&lt;=0,"Date manquante ou invalide",IF(B1844="","Équipe manquante",IF(ISNA(MATCH(B1844,eq_code,0)),"Équipe inconnue",IF(INDEX(eq_check,MATCH(B1844,eq_code,0))&lt;&gt;"OK","Équipe à corriger dans Paramètres",IF(C1844="","Poste manquant",IF(ISNA(MATCH(C1844,po_code,0)),"Poste inconnu",IF(AND(E1844&lt;&gt;"",ISNA(MATCH(E1844,art_ref,0))),"Article inconnu",IF(IF(E1844="",FALSE,INDEX(art_check,MATCH(E1844,art_ref,0))&lt;&gt;"OK"),"Article à corriger (feuille Articles)",IF(COUNTIFS(sj_date,A1844,sj_eq,B1844,sj_po,C1844)&gt;1,"Ligne en double (même jour, équipe et poste)",IF(OR(NOT(ISNUMBER(K1844)),N(K1844)&lt;=0,N(K1844)&gt;1440),"Temps d'ouverture invalide",IF(OR(AND(G1844&lt;&gt;"",NOT(ISNUMBER(G1844))),N(G1844)&lt;0,N(G1844)&lt;&gt;INT(N(G1844)),AND(H1844&lt;&gt;"",NOT(ISNUMBER(H1844))),N(H1844)&lt;0,N(H1844)&lt;&gt;INT(N(H1844)),AND(I1844&lt;&gt;"",NOT(ISNUMBER(I1844))),N(I1844)&lt;0,N(I1844)&lt;&gt;INT(N(I1844))),"Quantité invalide",IF(Q1844&lt;=0,"Cadence manquante (poste ou article)",IF(M1844&lt;=0,"Arrêts planifiés supérieurs au temps d'ouverture",IF(O1844&lt;0,"Arrêts supérieurs au temps requis",IF(AND(P1844&gt;0,O1844=0),"Pièces déclarées sans temps de marche",IF(AND(P1844=0,O1844&gt;0),"Aucune pièce déclarée",IF(P1844*60/Q1844&gt;O1844+0.001,"Cadence dépassée : vérifiez la cadence","OK"))))))))))))))))))</f>
        <v/>
      </c>
      <c r="AC1844">
        <f>IF(OR(AB1844="OK",AB1844="Aucune pièce déclarée",AB1844="Cadence dépassée : vérifiez la cadence"),1,0)</f>
        <v>0.0</v>
      </c>
      <c r="AD1844">
        <f>IF(AND(AC1844=1,A1844&gt;=p_from,A1844&lt;=p_to),1,0)</f>
        <v>0.0</v>
      </c>
      <c r="AE1844">
        <f>IF(AD1844=1,IF(COUNTIFS($A$6:A1844,A1844,$AD$6:AD1844,1)=1,1,0),0)</f>
        <v>0.0</v>
      </c>
      <c r="AF1844" t="str">
        <f>IF(AE1844=1,COUNTIFS(sj_first,1,sj_date,"&lt;"&amp;A1844)+1,"")</f>
        <v/>
      </c>
      <c r="AG1844" t="str">
        <f>IF(AND(AD1844=1,N(W1844)&lt;p_alert),ROUND(W1844,4),"")</f>
        <v/>
      </c>
      <c r="AH1844" t="str">
        <f>IF(AG1844="","",COUNTIF(sj_akey,"&lt;"&amp;AG1844)+COUNTIF($AG$6:AG1844,AG1844))</f>
        <v/>
      </c>
    </row>
    <row r="1845">
      <c r="A1845" s="51" t="n"/>
      <c r="B1845" s="52" t="n"/>
      <c r="C1845" s="52" t="n"/>
      <c r="D1845" s="53" t="n"/>
      <c r="E1845" s="53" t="n"/>
      <c r="F1845" s="54" t="n"/>
      <c r="G1845" s="54" t="n"/>
      <c r="H1845" s="54" t="n"/>
      <c r="I1845" s="54" t="n"/>
      <c r="J1845" s="53" t="n"/>
      <c r="K1845" s="55" t="str">
        <f>IF(COUNTA(A1845:I1845)=0,"",IF(F1845="",IFERROR(INDEX(eq_dur,MATCH(B1845,eq_code,0)),""),F1845))</f>
        <v/>
      </c>
      <c r="L1845" s="55" t="str">
        <f>IF(ISNUMBER(K1845),N(IFERROR(INDEX(eq_pause,MATCH(B1845,eq_code,0)),0))+SUMIFS(st_min,st_date,A1845,st_eq,B1845,st_po,C1845,st_type,"Planifié"),"")</f>
        <v/>
      </c>
      <c r="M1845" s="55" t="str">
        <f>IF(ISNUMBER(K1845),K1845-L1845,"")</f>
        <v/>
      </c>
      <c r="N1845" s="55" t="str">
        <f>IF(ISNUMBER(K1845),SUMIFS(st_min,st_date,A1845,st_eq,B1845,st_po,C1845,st_type,"Non planifié"),"")</f>
        <v/>
      </c>
      <c r="O1845" s="55" t="str">
        <f>IF(ISNUMBER(K1845),M1845-N1845,"")</f>
        <v/>
      </c>
      <c r="P1845" s="55" t="str">
        <f>IF(COUNTA(A1845:I1845)=0,"",N(G1845)+N(H1845)+N(I1845))</f>
        <v/>
      </c>
      <c r="Q1845" s="56" t="str">
        <f>IF(COUNTA(A1845:I1845)=0,"",IF(N(IFERROR(INDEX(art_rate,MATCH(E1845,art_ref,0)),0))&gt;0,N(IFERROR(INDEX(art_rate,MATCH(E1845,art_ref,0)),0)),N(IFERROR(INDEX(po_rate,MATCH(C1845,po_code,0)),0))))</f>
        <v/>
      </c>
      <c r="R1845" s="55" t="str">
        <f>IF(AC1845=1,P1845*60/Q1845,"")</f>
        <v/>
      </c>
      <c r="S1845" s="55" t="str">
        <f>IF(AC1845=1,N(G1845)*60/Q1845,"")</f>
        <v/>
      </c>
      <c r="T1845" s="57" t="str">
        <f>IF(AC1845=1,O1845/M1845,"")</f>
        <v/>
      </c>
      <c r="U1845" s="57" t="str">
        <f>IF(AC1845=1,IF(O1845&gt;0,R1845/O1845,""),"")</f>
        <v/>
      </c>
      <c r="V1845" s="57" t="str">
        <f>IF(AC1845=1,IF(P1845&gt;0,N(G1845)/P1845,""),"")</f>
        <v/>
      </c>
      <c r="W1845" s="57" t="str">
        <f>IF(AC1845=1,S1845/M1845,"")</f>
        <v/>
      </c>
      <c r="X1845" s="57" t="str">
        <f>IF(AC1845=1,S1845/K1845,"")</f>
        <v/>
      </c>
      <c r="Y1845" s="58" t="str">
        <f>IF(W1845="","",IF(W1845&gt;=p_target,"Bon",IF(W1845&gt;=p_alert,"À surveiller","Faible")))</f>
        <v/>
      </c>
      <c r="Z1845" s="58" t="str">
        <f>IF(W1845="","",IF(MIN(IF(T1845="",1,T1845),IF(U1845="",1,U1845),IF(V1845="",1,V1845))&gt;=1,"Aucune",IF(IF(T1845="",1,T1845)&lt;=MIN(IF(U1845="",1,U1845),IF(V1845="",1,V1845)),"Disponibilité",IF(IF(U1845="",1,U1845)&lt;=IF(V1845="",1,V1845),"Performance","Qualité"))))</f>
        <v/>
      </c>
      <c r="AA1845" s="59" t="str">
        <f>IF(AC1845=1,N(H1845)*N(IFERROR(INDEX(art_cost,MATCH(E1845,art_ref,0)),0)),"")</f>
        <v/>
      </c>
      <c r="AB1845" s="58" t="str">
        <f>IF(COUNTA(A1845:I1845)=0,"",IF(N(A1845)&lt;=0,"Date manquante ou invalide",IF(B1845="","Équipe manquante",IF(ISNA(MATCH(B1845,eq_code,0)),"Équipe inconnue",IF(INDEX(eq_check,MATCH(B1845,eq_code,0))&lt;&gt;"OK","Équipe à corriger dans Paramètres",IF(C1845="","Poste manquant",IF(ISNA(MATCH(C1845,po_code,0)),"Poste inconnu",IF(AND(E1845&lt;&gt;"",ISNA(MATCH(E1845,art_ref,0))),"Article inconnu",IF(IF(E1845="",FALSE,INDEX(art_check,MATCH(E1845,art_ref,0))&lt;&gt;"OK"),"Article à corriger (feuille Articles)",IF(COUNTIFS(sj_date,A1845,sj_eq,B1845,sj_po,C1845)&gt;1,"Ligne en double (même jour, équipe et poste)",IF(OR(NOT(ISNUMBER(K1845)),N(K1845)&lt;=0,N(K1845)&gt;1440),"Temps d'ouverture invalide",IF(OR(AND(G1845&lt;&gt;"",NOT(ISNUMBER(G1845))),N(G1845)&lt;0,N(G1845)&lt;&gt;INT(N(G1845)),AND(H1845&lt;&gt;"",NOT(ISNUMBER(H1845))),N(H1845)&lt;0,N(H1845)&lt;&gt;INT(N(H1845)),AND(I1845&lt;&gt;"",NOT(ISNUMBER(I1845))),N(I1845)&lt;0,N(I1845)&lt;&gt;INT(N(I1845))),"Quantité invalide",IF(Q1845&lt;=0,"Cadence manquante (poste ou article)",IF(M1845&lt;=0,"Arrêts planifiés supérieurs au temps d'ouverture",IF(O1845&lt;0,"Arrêts supérieurs au temps requis",IF(AND(P1845&gt;0,O1845=0),"Pièces déclarées sans temps de marche",IF(AND(P1845=0,O1845&gt;0),"Aucune pièce déclarée",IF(P1845*60/Q1845&gt;O1845+0.001,"Cadence dépassée : vérifiez la cadence","OK"))))))))))))))))))</f>
        <v/>
      </c>
      <c r="AC1845">
        <f>IF(OR(AB1845="OK",AB1845="Aucune pièce déclarée",AB1845="Cadence dépassée : vérifiez la cadence"),1,0)</f>
        <v>0.0</v>
      </c>
      <c r="AD1845">
        <f>IF(AND(AC1845=1,A1845&gt;=p_from,A1845&lt;=p_to),1,0)</f>
        <v>0.0</v>
      </c>
      <c r="AE1845">
        <f>IF(AD1845=1,IF(COUNTIFS($A$6:A1845,A1845,$AD$6:AD1845,1)=1,1,0),0)</f>
        <v>0.0</v>
      </c>
      <c r="AF1845" t="str">
        <f>IF(AE1845=1,COUNTIFS(sj_first,1,sj_date,"&lt;"&amp;A1845)+1,"")</f>
        <v/>
      </c>
      <c r="AG1845" t="str">
        <f>IF(AND(AD1845=1,N(W1845)&lt;p_alert),ROUND(W1845,4),"")</f>
        <v/>
      </c>
      <c r="AH1845" t="str">
        <f>IF(AG1845="","",COUNTIF(sj_akey,"&lt;"&amp;AG1845)+COUNTIF($AG$6:AG1845,AG1845))</f>
        <v/>
      </c>
    </row>
    <row r="1846">
      <c r="A1846" s="51" t="n"/>
      <c r="B1846" s="52" t="n"/>
      <c r="C1846" s="52" t="n"/>
      <c r="D1846" s="53" t="n"/>
      <c r="E1846" s="53" t="n"/>
      <c r="F1846" s="54" t="n"/>
      <c r="G1846" s="54" t="n"/>
      <c r="H1846" s="54" t="n"/>
      <c r="I1846" s="54" t="n"/>
      <c r="J1846" s="53" t="n"/>
      <c r="K1846" s="55" t="str">
        <f>IF(COUNTA(A1846:I1846)=0,"",IF(F1846="",IFERROR(INDEX(eq_dur,MATCH(B1846,eq_code,0)),""),F1846))</f>
        <v/>
      </c>
      <c r="L1846" s="55" t="str">
        <f>IF(ISNUMBER(K1846),N(IFERROR(INDEX(eq_pause,MATCH(B1846,eq_code,0)),0))+SUMIFS(st_min,st_date,A1846,st_eq,B1846,st_po,C1846,st_type,"Planifié"),"")</f>
        <v/>
      </c>
      <c r="M1846" s="55" t="str">
        <f>IF(ISNUMBER(K1846),K1846-L1846,"")</f>
        <v/>
      </c>
      <c r="N1846" s="55" t="str">
        <f>IF(ISNUMBER(K1846),SUMIFS(st_min,st_date,A1846,st_eq,B1846,st_po,C1846,st_type,"Non planifié"),"")</f>
        <v/>
      </c>
      <c r="O1846" s="55" t="str">
        <f>IF(ISNUMBER(K1846),M1846-N1846,"")</f>
        <v/>
      </c>
      <c r="P1846" s="55" t="str">
        <f>IF(COUNTA(A1846:I1846)=0,"",N(G1846)+N(H1846)+N(I1846))</f>
        <v/>
      </c>
      <c r="Q1846" s="56" t="str">
        <f>IF(COUNTA(A1846:I1846)=0,"",IF(N(IFERROR(INDEX(art_rate,MATCH(E1846,art_ref,0)),0))&gt;0,N(IFERROR(INDEX(art_rate,MATCH(E1846,art_ref,0)),0)),N(IFERROR(INDEX(po_rate,MATCH(C1846,po_code,0)),0))))</f>
        <v/>
      </c>
      <c r="R1846" s="55" t="str">
        <f>IF(AC1846=1,P1846*60/Q1846,"")</f>
        <v/>
      </c>
      <c r="S1846" s="55" t="str">
        <f>IF(AC1846=1,N(G1846)*60/Q1846,"")</f>
        <v/>
      </c>
      <c r="T1846" s="57" t="str">
        <f>IF(AC1846=1,O1846/M1846,"")</f>
        <v/>
      </c>
      <c r="U1846" s="57" t="str">
        <f>IF(AC1846=1,IF(O1846&gt;0,R1846/O1846,""),"")</f>
        <v/>
      </c>
      <c r="V1846" s="57" t="str">
        <f>IF(AC1846=1,IF(P1846&gt;0,N(G1846)/P1846,""),"")</f>
        <v/>
      </c>
      <c r="W1846" s="57" t="str">
        <f>IF(AC1846=1,S1846/M1846,"")</f>
        <v/>
      </c>
      <c r="X1846" s="57" t="str">
        <f>IF(AC1846=1,S1846/K1846,"")</f>
        <v/>
      </c>
      <c r="Y1846" s="58" t="str">
        <f>IF(W1846="","",IF(W1846&gt;=p_target,"Bon",IF(W1846&gt;=p_alert,"À surveiller","Faible")))</f>
        <v/>
      </c>
      <c r="Z1846" s="58" t="str">
        <f>IF(W1846="","",IF(MIN(IF(T1846="",1,T1846),IF(U1846="",1,U1846),IF(V1846="",1,V1846))&gt;=1,"Aucune",IF(IF(T1846="",1,T1846)&lt;=MIN(IF(U1846="",1,U1846),IF(V1846="",1,V1846)),"Disponibilité",IF(IF(U1846="",1,U1846)&lt;=IF(V1846="",1,V1846),"Performance","Qualité"))))</f>
        <v/>
      </c>
      <c r="AA1846" s="59" t="str">
        <f>IF(AC1846=1,N(H1846)*N(IFERROR(INDEX(art_cost,MATCH(E1846,art_ref,0)),0)),"")</f>
        <v/>
      </c>
      <c r="AB1846" s="58" t="str">
        <f>IF(COUNTA(A1846:I1846)=0,"",IF(N(A1846)&lt;=0,"Date manquante ou invalide",IF(B1846="","Équipe manquante",IF(ISNA(MATCH(B1846,eq_code,0)),"Équipe inconnue",IF(INDEX(eq_check,MATCH(B1846,eq_code,0))&lt;&gt;"OK","Équipe à corriger dans Paramètres",IF(C1846="","Poste manquant",IF(ISNA(MATCH(C1846,po_code,0)),"Poste inconnu",IF(AND(E1846&lt;&gt;"",ISNA(MATCH(E1846,art_ref,0))),"Article inconnu",IF(IF(E1846="",FALSE,INDEX(art_check,MATCH(E1846,art_ref,0))&lt;&gt;"OK"),"Article à corriger (feuille Articles)",IF(COUNTIFS(sj_date,A1846,sj_eq,B1846,sj_po,C1846)&gt;1,"Ligne en double (même jour, équipe et poste)",IF(OR(NOT(ISNUMBER(K1846)),N(K1846)&lt;=0,N(K1846)&gt;1440),"Temps d'ouverture invalide",IF(OR(AND(G1846&lt;&gt;"",NOT(ISNUMBER(G1846))),N(G1846)&lt;0,N(G1846)&lt;&gt;INT(N(G1846)),AND(H1846&lt;&gt;"",NOT(ISNUMBER(H1846))),N(H1846)&lt;0,N(H1846)&lt;&gt;INT(N(H1846)),AND(I1846&lt;&gt;"",NOT(ISNUMBER(I1846))),N(I1846)&lt;0,N(I1846)&lt;&gt;INT(N(I1846))),"Quantité invalide",IF(Q1846&lt;=0,"Cadence manquante (poste ou article)",IF(M1846&lt;=0,"Arrêts planifiés supérieurs au temps d'ouverture",IF(O1846&lt;0,"Arrêts supérieurs au temps requis",IF(AND(P1846&gt;0,O1846=0),"Pièces déclarées sans temps de marche",IF(AND(P1846=0,O1846&gt;0),"Aucune pièce déclarée",IF(P1846*60/Q1846&gt;O1846+0.001,"Cadence dépassée : vérifiez la cadence","OK"))))))))))))))))))</f>
        <v/>
      </c>
      <c r="AC1846">
        <f>IF(OR(AB1846="OK",AB1846="Aucune pièce déclarée",AB1846="Cadence dépassée : vérifiez la cadence"),1,0)</f>
        <v>0.0</v>
      </c>
      <c r="AD1846">
        <f>IF(AND(AC1846=1,A1846&gt;=p_from,A1846&lt;=p_to),1,0)</f>
        <v>0.0</v>
      </c>
      <c r="AE1846">
        <f>IF(AD1846=1,IF(COUNTIFS($A$6:A1846,A1846,$AD$6:AD1846,1)=1,1,0),0)</f>
        <v>0.0</v>
      </c>
      <c r="AF1846" t="str">
        <f>IF(AE1846=1,COUNTIFS(sj_first,1,sj_date,"&lt;"&amp;A1846)+1,"")</f>
        <v/>
      </c>
      <c r="AG1846" t="str">
        <f>IF(AND(AD1846=1,N(W1846)&lt;p_alert),ROUND(W1846,4),"")</f>
        <v/>
      </c>
      <c r="AH1846" t="str">
        <f>IF(AG1846="","",COUNTIF(sj_akey,"&lt;"&amp;AG1846)+COUNTIF($AG$6:AG1846,AG1846))</f>
        <v/>
      </c>
    </row>
    <row r="1847">
      <c r="A1847" s="51" t="n"/>
      <c r="B1847" s="52" t="n"/>
      <c r="C1847" s="52" t="n"/>
      <c r="D1847" s="53" t="n"/>
      <c r="E1847" s="53" t="n"/>
      <c r="F1847" s="54" t="n"/>
      <c r="G1847" s="54" t="n"/>
      <c r="H1847" s="54" t="n"/>
      <c r="I1847" s="54" t="n"/>
      <c r="J1847" s="53" t="n"/>
      <c r="K1847" s="55" t="str">
        <f>IF(COUNTA(A1847:I1847)=0,"",IF(F1847="",IFERROR(INDEX(eq_dur,MATCH(B1847,eq_code,0)),""),F1847))</f>
        <v/>
      </c>
      <c r="L1847" s="55" t="str">
        <f>IF(ISNUMBER(K1847),N(IFERROR(INDEX(eq_pause,MATCH(B1847,eq_code,0)),0))+SUMIFS(st_min,st_date,A1847,st_eq,B1847,st_po,C1847,st_type,"Planifié"),"")</f>
        <v/>
      </c>
      <c r="M1847" s="55" t="str">
        <f>IF(ISNUMBER(K1847),K1847-L1847,"")</f>
        <v/>
      </c>
      <c r="N1847" s="55" t="str">
        <f>IF(ISNUMBER(K1847),SUMIFS(st_min,st_date,A1847,st_eq,B1847,st_po,C1847,st_type,"Non planifié"),"")</f>
        <v/>
      </c>
      <c r="O1847" s="55" t="str">
        <f>IF(ISNUMBER(K1847),M1847-N1847,"")</f>
        <v/>
      </c>
      <c r="P1847" s="55" t="str">
        <f>IF(COUNTA(A1847:I1847)=0,"",N(G1847)+N(H1847)+N(I1847))</f>
        <v/>
      </c>
      <c r="Q1847" s="56" t="str">
        <f>IF(COUNTA(A1847:I1847)=0,"",IF(N(IFERROR(INDEX(art_rate,MATCH(E1847,art_ref,0)),0))&gt;0,N(IFERROR(INDEX(art_rate,MATCH(E1847,art_ref,0)),0)),N(IFERROR(INDEX(po_rate,MATCH(C1847,po_code,0)),0))))</f>
        <v/>
      </c>
      <c r="R1847" s="55" t="str">
        <f>IF(AC1847=1,P1847*60/Q1847,"")</f>
        <v/>
      </c>
      <c r="S1847" s="55" t="str">
        <f>IF(AC1847=1,N(G1847)*60/Q1847,"")</f>
        <v/>
      </c>
      <c r="T1847" s="57" t="str">
        <f>IF(AC1847=1,O1847/M1847,"")</f>
        <v/>
      </c>
      <c r="U1847" s="57" t="str">
        <f>IF(AC1847=1,IF(O1847&gt;0,R1847/O1847,""),"")</f>
        <v/>
      </c>
      <c r="V1847" s="57" t="str">
        <f>IF(AC1847=1,IF(P1847&gt;0,N(G1847)/P1847,""),"")</f>
        <v/>
      </c>
      <c r="W1847" s="57" t="str">
        <f>IF(AC1847=1,S1847/M1847,"")</f>
        <v/>
      </c>
      <c r="X1847" s="57" t="str">
        <f>IF(AC1847=1,S1847/K1847,"")</f>
        <v/>
      </c>
      <c r="Y1847" s="58" t="str">
        <f>IF(W1847="","",IF(W1847&gt;=p_target,"Bon",IF(W1847&gt;=p_alert,"À surveiller","Faible")))</f>
        <v/>
      </c>
      <c r="Z1847" s="58" t="str">
        <f>IF(W1847="","",IF(MIN(IF(T1847="",1,T1847),IF(U1847="",1,U1847),IF(V1847="",1,V1847))&gt;=1,"Aucune",IF(IF(T1847="",1,T1847)&lt;=MIN(IF(U1847="",1,U1847),IF(V1847="",1,V1847)),"Disponibilité",IF(IF(U1847="",1,U1847)&lt;=IF(V1847="",1,V1847),"Performance","Qualité"))))</f>
        <v/>
      </c>
      <c r="AA1847" s="59" t="str">
        <f>IF(AC1847=1,N(H1847)*N(IFERROR(INDEX(art_cost,MATCH(E1847,art_ref,0)),0)),"")</f>
        <v/>
      </c>
      <c r="AB1847" s="58" t="str">
        <f>IF(COUNTA(A1847:I1847)=0,"",IF(N(A1847)&lt;=0,"Date manquante ou invalide",IF(B1847="","Équipe manquante",IF(ISNA(MATCH(B1847,eq_code,0)),"Équipe inconnue",IF(INDEX(eq_check,MATCH(B1847,eq_code,0))&lt;&gt;"OK","Équipe à corriger dans Paramètres",IF(C1847="","Poste manquant",IF(ISNA(MATCH(C1847,po_code,0)),"Poste inconnu",IF(AND(E1847&lt;&gt;"",ISNA(MATCH(E1847,art_ref,0))),"Article inconnu",IF(IF(E1847="",FALSE,INDEX(art_check,MATCH(E1847,art_ref,0))&lt;&gt;"OK"),"Article à corriger (feuille Articles)",IF(COUNTIFS(sj_date,A1847,sj_eq,B1847,sj_po,C1847)&gt;1,"Ligne en double (même jour, équipe et poste)",IF(OR(NOT(ISNUMBER(K1847)),N(K1847)&lt;=0,N(K1847)&gt;1440),"Temps d'ouverture invalide",IF(OR(AND(G1847&lt;&gt;"",NOT(ISNUMBER(G1847))),N(G1847)&lt;0,N(G1847)&lt;&gt;INT(N(G1847)),AND(H1847&lt;&gt;"",NOT(ISNUMBER(H1847))),N(H1847)&lt;0,N(H1847)&lt;&gt;INT(N(H1847)),AND(I1847&lt;&gt;"",NOT(ISNUMBER(I1847))),N(I1847)&lt;0,N(I1847)&lt;&gt;INT(N(I1847))),"Quantité invalide",IF(Q1847&lt;=0,"Cadence manquante (poste ou article)",IF(M1847&lt;=0,"Arrêts planifiés supérieurs au temps d'ouverture",IF(O1847&lt;0,"Arrêts supérieurs au temps requis",IF(AND(P1847&gt;0,O1847=0),"Pièces déclarées sans temps de marche",IF(AND(P1847=0,O1847&gt;0),"Aucune pièce déclarée",IF(P1847*60/Q1847&gt;O1847+0.001,"Cadence dépassée : vérifiez la cadence","OK"))))))))))))))))))</f>
        <v/>
      </c>
      <c r="AC1847">
        <f>IF(OR(AB1847="OK",AB1847="Aucune pièce déclarée",AB1847="Cadence dépassée : vérifiez la cadence"),1,0)</f>
        <v>0.0</v>
      </c>
      <c r="AD1847">
        <f>IF(AND(AC1847=1,A1847&gt;=p_from,A1847&lt;=p_to),1,0)</f>
        <v>0.0</v>
      </c>
      <c r="AE1847">
        <f>IF(AD1847=1,IF(COUNTIFS($A$6:A1847,A1847,$AD$6:AD1847,1)=1,1,0),0)</f>
        <v>0.0</v>
      </c>
      <c r="AF1847" t="str">
        <f>IF(AE1847=1,COUNTIFS(sj_first,1,sj_date,"&lt;"&amp;A1847)+1,"")</f>
        <v/>
      </c>
      <c r="AG1847" t="str">
        <f>IF(AND(AD1847=1,N(W1847)&lt;p_alert),ROUND(W1847,4),"")</f>
        <v/>
      </c>
      <c r="AH1847" t="str">
        <f>IF(AG1847="","",COUNTIF(sj_akey,"&lt;"&amp;AG1847)+COUNTIF($AG$6:AG1847,AG1847))</f>
        <v/>
      </c>
    </row>
    <row r="1848">
      <c r="A1848" s="51" t="n"/>
      <c r="B1848" s="52" t="n"/>
      <c r="C1848" s="52" t="n"/>
      <c r="D1848" s="53" t="n"/>
      <c r="E1848" s="53" t="n"/>
      <c r="F1848" s="54" t="n"/>
      <c r="G1848" s="54" t="n"/>
      <c r="H1848" s="54" t="n"/>
      <c r="I1848" s="54" t="n"/>
      <c r="J1848" s="53" t="n"/>
      <c r="K1848" s="55" t="str">
        <f>IF(COUNTA(A1848:I1848)=0,"",IF(F1848="",IFERROR(INDEX(eq_dur,MATCH(B1848,eq_code,0)),""),F1848))</f>
        <v/>
      </c>
      <c r="L1848" s="55" t="str">
        <f>IF(ISNUMBER(K1848),N(IFERROR(INDEX(eq_pause,MATCH(B1848,eq_code,0)),0))+SUMIFS(st_min,st_date,A1848,st_eq,B1848,st_po,C1848,st_type,"Planifié"),"")</f>
        <v/>
      </c>
      <c r="M1848" s="55" t="str">
        <f>IF(ISNUMBER(K1848),K1848-L1848,"")</f>
        <v/>
      </c>
      <c r="N1848" s="55" t="str">
        <f>IF(ISNUMBER(K1848),SUMIFS(st_min,st_date,A1848,st_eq,B1848,st_po,C1848,st_type,"Non planifié"),"")</f>
        <v/>
      </c>
      <c r="O1848" s="55" t="str">
        <f>IF(ISNUMBER(K1848),M1848-N1848,"")</f>
        <v/>
      </c>
      <c r="P1848" s="55" t="str">
        <f>IF(COUNTA(A1848:I1848)=0,"",N(G1848)+N(H1848)+N(I1848))</f>
        <v/>
      </c>
      <c r="Q1848" s="56" t="str">
        <f>IF(COUNTA(A1848:I1848)=0,"",IF(N(IFERROR(INDEX(art_rate,MATCH(E1848,art_ref,0)),0))&gt;0,N(IFERROR(INDEX(art_rate,MATCH(E1848,art_ref,0)),0)),N(IFERROR(INDEX(po_rate,MATCH(C1848,po_code,0)),0))))</f>
        <v/>
      </c>
      <c r="R1848" s="55" t="str">
        <f>IF(AC1848=1,P1848*60/Q1848,"")</f>
        <v/>
      </c>
      <c r="S1848" s="55" t="str">
        <f>IF(AC1848=1,N(G1848)*60/Q1848,"")</f>
        <v/>
      </c>
      <c r="T1848" s="57" t="str">
        <f>IF(AC1848=1,O1848/M1848,"")</f>
        <v/>
      </c>
      <c r="U1848" s="57" t="str">
        <f>IF(AC1848=1,IF(O1848&gt;0,R1848/O1848,""),"")</f>
        <v/>
      </c>
      <c r="V1848" s="57" t="str">
        <f>IF(AC1848=1,IF(P1848&gt;0,N(G1848)/P1848,""),"")</f>
        <v/>
      </c>
      <c r="W1848" s="57" t="str">
        <f>IF(AC1848=1,S1848/M1848,"")</f>
        <v/>
      </c>
      <c r="X1848" s="57" t="str">
        <f>IF(AC1848=1,S1848/K1848,"")</f>
        <v/>
      </c>
      <c r="Y1848" s="58" t="str">
        <f>IF(W1848="","",IF(W1848&gt;=p_target,"Bon",IF(W1848&gt;=p_alert,"À surveiller","Faible")))</f>
        <v/>
      </c>
      <c r="Z1848" s="58" t="str">
        <f>IF(W1848="","",IF(MIN(IF(T1848="",1,T1848),IF(U1848="",1,U1848),IF(V1848="",1,V1848))&gt;=1,"Aucune",IF(IF(T1848="",1,T1848)&lt;=MIN(IF(U1848="",1,U1848),IF(V1848="",1,V1848)),"Disponibilité",IF(IF(U1848="",1,U1848)&lt;=IF(V1848="",1,V1848),"Performance","Qualité"))))</f>
        <v/>
      </c>
      <c r="AA1848" s="59" t="str">
        <f>IF(AC1848=1,N(H1848)*N(IFERROR(INDEX(art_cost,MATCH(E1848,art_ref,0)),0)),"")</f>
        <v/>
      </c>
      <c r="AB1848" s="58" t="str">
        <f>IF(COUNTA(A1848:I1848)=0,"",IF(N(A1848)&lt;=0,"Date manquante ou invalide",IF(B1848="","Équipe manquante",IF(ISNA(MATCH(B1848,eq_code,0)),"Équipe inconnue",IF(INDEX(eq_check,MATCH(B1848,eq_code,0))&lt;&gt;"OK","Équipe à corriger dans Paramètres",IF(C1848="","Poste manquant",IF(ISNA(MATCH(C1848,po_code,0)),"Poste inconnu",IF(AND(E1848&lt;&gt;"",ISNA(MATCH(E1848,art_ref,0))),"Article inconnu",IF(IF(E1848="",FALSE,INDEX(art_check,MATCH(E1848,art_ref,0))&lt;&gt;"OK"),"Article à corriger (feuille Articles)",IF(COUNTIFS(sj_date,A1848,sj_eq,B1848,sj_po,C1848)&gt;1,"Ligne en double (même jour, équipe et poste)",IF(OR(NOT(ISNUMBER(K1848)),N(K1848)&lt;=0,N(K1848)&gt;1440),"Temps d'ouverture invalide",IF(OR(AND(G1848&lt;&gt;"",NOT(ISNUMBER(G1848))),N(G1848)&lt;0,N(G1848)&lt;&gt;INT(N(G1848)),AND(H1848&lt;&gt;"",NOT(ISNUMBER(H1848))),N(H1848)&lt;0,N(H1848)&lt;&gt;INT(N(H1848)),AND(I1848&lt;&gt;"",NOT(ISNUMBER(I1848))),N(I1848)&lt;0,N(I1848)&lt;&gt;INT(N(I1848))),"Quantité invalide",IF(Q1848&lt;=0,"Cadence manquante (poste ou article)",IF(M1848&lt;=0,"Arrêts planifiés supérieurs au temps d'ouverture",IF(O1848&lt;0,"Arrêts supérieurs au temps requis",IF(AND(P1848&gt;0,O1848=0),"Pièces déclarées sans temps de marche",IF(AND(P1848=0,O1848&gt;0),"Aucune pièce déclarée",IF(P1848*60/Q1848&gt;O1848+0.001,"Cadence dépassée : vérifiez la cadence","OK"))))))))))))))))))</f>
        <v/>
      </c>
      <c r="AC1848">
        <f>IF(OR(AB1848="OK",AB1848="Aucune pièce déclarée",AB1848="Cadence dépassée : vérifiez la cadence"),1,0)</f>
        <v>0.0</v>
      </c>
      <c r="AD1848">
        <f>IF(AND(AC1848=1,A1848&gt;=p_from,A1848&lt;=p_to),1,0)</f>
        <v>0.0</v>
      </c>
      <c r="AE1848">
        <f>IF(AD1848=1,IF(COUNTIFS($A$6:A1848,A1848,$AD$6:AD1848,1)=1,1,0),0)</f>
        <v>0.0</v>
      </c>
      <c r="AF1848" t="str">
        <f>IF(AE1848=1,COUNTIFS(sj_first,1,sj_date,"&lt;"&amp;A1848)+1,"")</f>
        <v/>
      </c>
      <c r="AG1848" t="str">
        <f>IF(AND(AD1848=1,N(W1848)&lt;p_alert),ROUND(W1848,4),"")</f>
        <v/>
      </c>
      <c r="AH1848" t="str">
        <f>IF(AG1848="","",COUNTIF(sj_akey,"&lt;"&amp;AG1848)+COUNTIF($AG$6:AG1848,AG1848))</f>
        <v/>
      </c>
    </row>
    <row r="1849">
      <c r="A1849" s="51" t="n"/>
      <c r="B1849" s="52" t="n"/>
      <c r="C1849" s="52" t="n"/>
      <c r="D1849" s="53" t="n"/>
      <c r="E1849" s="53" t="n"/>
      <c r="F1849" s="54" t="n"/>
      <c r="G1849" s="54" t="n"/>
      <c r="H1849" s="54" t="n"/>
      <c r="I1849" s="54" t="n"/>
      <c r="J1849" s="53" t="n"/>
      <c r="K1849" s="55" t="str">
        <f>IF(COUNTA(A1849:I1849)=0,"",IF(F1849="",IFERROR(INDEX(eq_dur,MATCH(B1849,eq_code,0)),""),F1849))</f>
        <v/>
      </c>
      <c r="L1849" s="55" t="str">
        <f>IF(ISNUMBER(K1849),N(IFERROR(INDEX(eq_pause,MATCH(B1849,eq_code,0)),0))+SUMIFS(st_min,st_date,A1849,st_eq,B1849,st_po,C1849,st_type,"Planifié"),"")</f>
        <v/>
      </c>
      <c r="M1849" s="55" t="str">
        <f>IF(ISNUMBER(K1849),K1849-L1849,"")</f>
        <v/>
      </c>
      <c r="N1849" s="55" t="str">
        <f>IF(ISNUMBER(K1849),SUMIFS(st_min,st_date,A1849,st_eq,B1849,st_po,C1849,st_type,"Non planifié"),"")</f>
        <v/>
      </c>
      <c r="O1849" s="55" t="str">
        <f>IF(ISNUMBER(K1849),M1849-N1849,"")</f>
        <v/>
      </c>
      <c r="P1849" s="55" t="str">
        <f>IF(COUNTA(A1849:I1849)=0,"",N(G1849)+N(H1849)+N(I1849))</f>
        <v/>
      </c>
      <c r="Q1849" s="56" t="str">
        <f>IF(COUNTA(A1849:I1849)=0,"",IF(N(IFERROR(INDEX(art_rate,MATCH(E1849,art_ref,0)),0))&gt;0,N(IFERROR(INDEX(art_rate,MATCH(E1849,art_ref,0)),0)),N(IFERROR(INDEX(po_rate,MATCH(C1849,po_code,0)),0))))</f>
        <v/>
      </c>
      <c r="R1849" s="55" t="str">
        <f>IF(AC1849=1,P1849*60/Q1849,"")</f>
        <v/>
      </c>
      <c r="S1849" s="55" t="str">
        <f>IF(AC1849=1,N(G1849)*60/Q1849,"")</f>
        <v/>
      </c>
      <c r="T1849" s="57" t="str">
        <f>IF(AC1849=1,O1849/M1849,"")</f>
        <v/>
      </c>
      <c r="U1849" s="57" t="str">
        <f>IF(AC1849=1,IF(O1849&gt;0,R1849/O1849,""),"")</f>
        <v/>
      </c>
      <c r="V1849" s="57" t="str">
        <f>IF(AC1849=1,IF(P1849&gt;0,N(G1849)/P1849,""),"")</f>
        <v/>
      </c>
      <c r="W1849" s="57" t="str">
        <f>IF(AC1849=1,S1849/M1849,"")</f>
        <v/>
      </c>
      <c r="X1849" s="57" t="str">
        <f>IF(AC1849=1,S1849/K1849,"")</f>
        <v/>
      </c>
      <c r="Y1849" s="58" t="str">
        <f>IF(W1849="","",IF(W1849&gt;=p_target,"Bon",IF(W1849&gt;=p_alert,"À surveiller","Faible")))</f>
        <v/>
      </c>
      <c r="Z1849" s="58" t="str">
        <f>IF(W1849="","",IF(MIN(IF(T1849="",1,T1849),IF(U1849="",1,U1849),IF(V1849="",1,V1849))&gt;=1,"Aucune",IF(IF(T1849="",1,T1849)&lt;=MIN(IF(U1849="",1,U1849),IF(V1849="",1,V1849)),"Disponibilité",IF(IF(U1849="",1,U1849)&lt;=IF(V1849="",1,V1849),"Performance","Qualité"))))</f>
        <v/>
      </c>
      <c r="AA1849" s="59" t="str">
        <f>IF(AC1849=1,N(H1849)*N(IFERROR(INDEX(art_cost,MATCH(E1849,art_ref,0)),0)),"")</f>
        <v/>
      </c>
      <c r="AB1849" s="58" t="str">
        <f>IF(COUNTA(A1849:I1849)=0,"",IF(N(A1849)&lt;=0,"Date manquante ou invalide",IF(B1849="","Équipe manquante",IF(ISNA(MATCH(B1849,eq_code,0)),"Équipe inconnue",IF(INDEX(eq_check,MATCH(B1849,eq_code,0))&lt;&gt;"OK","Équipe à corriger dans Paramètres",IF(C1849="","Poste manquant",IF(ISNA(MATCH(C1849,po_code,0)),"Poste inconnu",IF(AND(E1849&lt;&gt;"",ISNA(MATCH(E1849,art_ref,0))),"Article inconnu",IF(IF(E1849="",FALSE,INDEX(art_check,MATCH(E1849,art_ref,0))&lt;&gt;"OK"),"Article à corriger (feuille Articles)",IF(COUNTIFS(sj_date,A1849,sj_eq,B1849,sj_po,C1849)&gt;1,"Ligne en double (même jour, équipe et poste)",IF(OR(NOT(ISNUMBER(K1849)),N(K1849)&lt;=0,N(K1849)&gt;1440),"Temps d'ouverture invalide",IF(OR(AND(G1849&lt;&gt;"",NOT(ISNUMBER(G1849))),N(G1849)&lt;0,N(G1849)&lt;&gt;INT(N(G1849)),AND(H1849&lt;&gt;"",NOT(ISNUMBER(H1849))),N(H1849)&lt;0,N(H1849)&lt;&gt;INT(N(H1849)),AND(I1849&lt;&gt;"",NOT(ISNUMBER(I1849))),N(I1849)&lt;0,N(I1849)&lt;&gt;INT(N(I1849))),"Quantité invalide",IF(Q1849&lt;=0,"Cadence manquante (poste ou article)",IF(M1849&lt;=0,"Arrêts planifiés supérieurs au temps d'ouverture",IF(O1849&lt;0,"Arrêts supérieurs au temps requis",IF(AND(P1849&gt;0,O1849=0),"Pièces déclarées sans temps de marche",IF(AND(P1849=0,O1849&gt;0),"Aucune pièce déclarée",IF(P1849*60/Q1849&gt;O1849+0.001,"Cadence dépassée : vérifiez la cadence","OK"))))))))))))))))))</f>
        <v/>
      </c>
      <c r="AC1849">
        <f>IF(OR(AB1849="OK",AB1849="Aucune pièce déclarée",AB1849="Cadence dépassée : vérifiez la cadence"),1,0)</f>
        <v>0.0</v>
      </c>
      <c r="AD1849">
        <f>IF(AND(AC1849=1,A1849&gt;=p_from,A1849&lt;=p_to),1,0)</f>
        <v>0.0</v>
      </c>
      <c r="AE1849">
        <f>IF(AD1849=1,IF(COUNTIFS($A$6:A1849,A1849,$AD$6:AD1849,1)=1,1,0),0)</f>
        <v>0.0</v>
      </c>
      <c r="AF1849" t="str">
        <f>IF(AE1849=1,COUNTIFS(sj_first,1,sj_date,"&lt;"&amp;A1849)+1,"")</f>
        <v/>
      </c>
      <c r="AG1849" t="str">
        <f>IF(AND(AD1849=1,N(W1849)&lt;p_alert),ROUND(W1849,4),"")</f>
        <v/>
      </c>
      <c r="AH1849" t="str">
        <f>IF(AG1849="","",COUNTIF(sj_akey,"&lt;"&amp;AG1849)+COUNTIF($AG$6:AG1849,AG1849))</f>
        <v/>
      </c>
    </row>
    <row r="1850">
      <c r="A1850" s="51" t="n"/>
      <c r="B1850" s="52" t="n"/>
      <c r="C1850" s="52" t="n"/>
      <c r="D1850" s="53" t="n"/>
      <c r="E1850" s="53" t="n"/>
      <c r="F1850" s="54" t="n"/>
      <c r="G1850" s="54" t="n"/>
      <c r="H1850" s="54" t="n"/>
      <c r="I1850" s="54" t="n"/>
      <c r="J1850" s="53" t="n"/>
      <c r="K1850" s="55" t="str">
        <f>IF(COUNTA(A1850:I1850)=0,"",IF(F1850="",IFERROR(INDEX(eq_dur,MATCH(B1850,eq_code,0)),""),F1850))</f>
        <v/>
      </c>
      <c r="L1850" s="55" t="str">
        <f>IF(ISNUMBER(K1850),N(IFERROR(INDEX(eq_pause,MATCH(B1850,eq_code,0)),0))+SUMIFS(st_min,st_date,A1850,st_eq,B1850,st_po,C1850,st_type,"Planifié"),"")</f>
        <v/>
      </c>
      <c r="M1850" s="55" t="str">
        <f>IF(ISNUMBER(K1850),K1850-L1850,"")</f>
        <v/>
      </c>
      <c r="N1850" s="55" t="str">
        <f>IF(ISNUMBER(K1850),SUMIFS(st_min,st_date,A1850,st_eq,B1850,st_po,C1850,st_type,"Non planifié"),"")</f>
        <v/>
      </c>
      <c r="O1850" s="55" t="str">
        <f>IF(ISNUMBER(K1850),M1850-N1850,"")</f>
        <v/>
      </c>
      <c r="P1850" s="55" t="str">
        <f>IF(COUNTA(A1850:I1850)=0,"",N(G1850)+N(H1850)+N(I1850))</f>
        <v/>
      </c>
      <c r="Q1850" s="56" t="str">
        <f>IF(COUNTA(A1850:I1850)=0,"",IF(N(IFERROR(INDEX(art_rate,MATCH(E1850,art_ref,0)),0))&gt;0,N(IFERROR(INDEX(art_rate,MATCH(E1850,art_ref,0)),0)),N(IFERROR(INDEX(po_rate,MATCH(C1850,po_code,0)),0))))</f>
        <v/>
      </c>
      <c r="R1850" s="55" t="str">
        <f>IF(AC1850=1,P1850*60/Q1850,"")</f>
        <v/>
      </c>
      <c r="S1850" s="55" t="str">
        <f>IF(AC1850=1,N(G1850)*60/Q1850,"")</f>
        <v/>
      </c>
      <c r="T1850" s="57" t="str">
        <f>IF(AC1850=1,O1850/M1850,"")</f>
        <v/>
      </c>
      <c r="U1850" s="57" t="str">
        <f>IF(AC1850=1,IF(O1850&gt;0,R1850/O1850,""),"")</f>
        <v/>
      </c>
      <c r="V1850" s="57" t="str">
        <f>IF(AC1850=1,IF(P1850&gt;0,N(G1850)/P1850,""),"")</f>
        <v/>
      </c>
      <c r="W1850" s="57" t="str">
        <f>IF(AC1850=1,S1850/M1850,"")</f>
        <v/>
      </c>
      <c r="X1850" s="57" t="str">
        <f>IF(AC1850=1,S1850/K1850,"")</f>
        <v/>
      </c>
      <c r="Y1850" s="58" t="str">
        <f>IF(W1850="","",IF(W1850&gt;=p_target,"Bon",IF(W1850&gt;=p_alert,"À surveiller","Faible")))</f>
        <v/>
      </c>
      <c r="Z1850" s="58" t="str">
        <f>IF(W1850="","",IF(MIN(IF(T1850="",1,T1850),IF(U1850="",1,U1850),IF(V1850="",1,V1850))&gt;=1,"Aucune",IF(IF(T1850="",1,T1850)&lt;=MIN(IF(U1850="",1,U1850),IF(V1850="",1,V1850)),"Disponibilité",IF(IF(U1850="",1,U1850)&lt;=IF(V1850="",1,V1850),"Performance","Qualité"))))</f>
        <v/>
      </c>
      <c r="AA1850" s="59" t="str">
        <f>IF(AC1850=1,N(H1850)*N(IFERROR(INDEX(art_cost,MATCH(E1850,art_ref,0)),0)),"")</f>
        <v/>
      </c>
      <c r="AB1850" s="58" t="str">
        <f>IF(COUNTA(A1850:I1850)=0,"",IF(N(A1850)&lt;=0,"Date manquante ou invalide",IF(B1850="","Équipe manquante",IF(ISNA(MATCH(B1850,eq_code,0)),"Équipe inconnue",IF(INDEX(eq_check,MATCH(B1850,eq_code,0))&lt;&gt;"OK","Équipe à corriger dans Paramètres",IF(C1850="","Poste manquant",IF(ISNA(MATCH(C1850,po_code,0)),"Poste inconnu",IF(AND(E1850&lt;&gt;"",ISNA(MATCH(E1850,art_ref,0))),"Article inconnu",IF(IF(E1850="",FALSE,INDEX(art_check,MATCH(E1850,art_ref,0))&lt;&gt;"OK"),"Article à corriger (feuille Articles)",IF(COUNTIFS(sj_date,A1850,sj_eq,B1850,sj_po,C1850)&gt;1,"Ligne en double (même jour, équipe et poste)",IF(OR(NOT(ISNUMBER(K1850)),N(K1850)&lt;=0,N(K1850)&gt;1440),"Temps d'ouverture invalide",IF(OR(AND(G1850&lt;&gt;"",NOT(ISNUMBER(G1850))),N(G1850)&lt;0,N(G1850)&lt;&gt;INT(N(G1850)),AND(H1850&lt;&gt;"",NOT(ISNUMBER(H1850))),N(H1850)&lt;0,N(H1850)&lt;&gt;INT(N(H1850)),AND(I1850&lt;&gt;"",NOT(ISNUMBER(I1850))),N(I1850)&lt;0,N(I1850)&lt;&gt;INT(N(I1850))),"Quantité invalide",IF(Q1850&lt;=0,"Cadence manquante (poste ou article)",IF(M1850&lt;=0,"Arrêts planifiés supérieurs au temps d'ouverture",IF(O1850&lt;0,"Arrêts supérieurs au temps requis",IF(AND(P1850&gt;0,O1850=0),"Pièces déclarées sans temps de marche",IF(AND(P1850=0,O1850&gt;0),"Aucune pièce déclarée",IF(P1850*60/Q1850&gt;O1850+0.001,"Cadence dépassée : vérifiez la cadence","OK"))))))))))))))))))</f>
        <v/>
      </c>
      <c r="AC1850">
        <f>IF(OR(AB1850="OK",AB1850="Aucune pièce déclarée",AB1850="Cadence dépassée : vérifiez la cadence"),1,0)</f>
        <v>0.0</v>
      </c>
      <c r="AD1850">
        <f>IF(AND(AC1850=1,A1850&gt;=p_from,A1850&lt;=p_to),1,0)</f>
        <v>0.0</v>
      </c>
      <c r="AE1850">
        <f>IF(AD1850=1,IF(COUNTIFS($A$6:A1850,A1850,$AD$6:AD1850,1)=1,1,0),0)</f>
        <v>0.0</v>
      </c>
      <c r="AF1850" t="str">
        <f>IF(AE1850=1,COUNTIFS(sj_first,1,sj_date,"&lt;"&amp;A1850)+1,"")</f>
        <v/>
      </c>
      <c r="AG1850" t="str">
        <f>IF(AND(AD1850=1,N(W1850)&lt;p_alert),ROUND(W1850,4),"")</f>
        <v/>
      </c>
      <c r="AH1850" t="str">
        <f>IF(AG1850="","",COUNTIF(sj_akey,"&lt;"&amp;AG1850)+COUNTIF($AG$6:AG1850,AG1850))</f>
        <v/>
      </c>
    </row>
    <row r="1851">
      <c r="A1851" s="51" t="n"/>
      <c r="B1851" s="52" t="n"/>
      <c r="C1851" s="52" t="n"/>
      <c r="D1851" s="53" t="n"/>
      <c r="E1851" s="53" t="n"/>
      <c r="F1851" s="54" t="n"/>
      <c r="G1851" s="54" t="n"/>
      <c r="H1851" s="54" t="n"/>
      <c r="I1851" s="54" t="n"/>
      <c r="J1851" s="53" t="n"/>
      <c r="K1851" s="55" t="str">
        <f>IF(COUNTA(A1851:I1851)=0,"",IF(F1851="",IFERROR(INDEX(eq_dur,MATCH(B1851,eq_code,0)),""),F1851))</f>
        <v/>
      </c>
      <c r="L1851" s="55" t="str">
        <f>IF(ISNUMBER(K1851),N(IFERROR(INDEX(eq_pause,MATCH(B1851,eq_code,0)),0))+SUMIFS(st_min,st_date,A1851,st_eq,B1851,st_po,C1851,st_type,"Planifié"),"")</f>
        <v/>
      </c>
      <c r="M1851" s="55" t="str">
        <f>IF(ISNUMBER(K1851),K1851-L1851,"")</f>
        <v/>
      </c>
      <c r="N1851" s="55" t="str">
        <f>IF(ISNUMBER(K1851),SUMIFS(st_min,st_date,A1851,st_eq,B1851,st_po,C1851,st_type,"Non planifié"),"")</f>
        <v/>
      </c>
      <c r="O1851" s="55" t="str">
        <f>IF(ISNUMBER(K1851),M1851-N1851,"")</f>
        <v/>
      </c>
      <c r="P1851" s="55" t="str">
        <f>IF(COUNTA(A1851:I1851)=0,"",N(G1851)+N(H1851)+N(I1851))</f>
        <v/>
      </c>
      <c r="Q1851" s="56" t="str">
        <f>IF(COUNTA(A1851:I1851)=0,"",IF(N(IFERROR(INDEX(art_rate,MATCH(E1851,art_ref,0)),0))&gt;0,N(IFERROR(INDEX(art_rate,MATCH(E1851,art_ref,0)),0)),N(IFERROR(INDEX(po_rate,MATCH(C1851,po_code,0)),0))))</f>
        <v/>
      </c>
      <c r="R1851" s="55" t="str">
        <f>IF(AC1851=1,P1851*60/Q1851,"")</f>
        <v/>
      </c>
      <c r="S1851" s="55" t="str">
        <f>IF(AC1851=1,N(G1851)*60/Q1851,"")</f>
        <v/>
      </c>
      <c r="T1851" s="57" t="str">
        <f>IF(AC1851=1,O1851/M1851,"")</f>
        <v/>
      </c>
      <c r="U1851" s="57" t="str">
        <f>IF(AC1851=1,IF(O1851&gt;0,R1851/O1851,""),"")</f>
        <v/>
      </c>
      <c r="V1851" s="57" t="str">
        <f>IF(AC1851=1,IF(P1851&gt;0,N(G1851)/P1851,""),"")</f>
        <v/>
      </c>
      <c r="W1851" s="57" t="str">
        <f>IF(AC1851=1,S1851/M1851,"")</f>
        <v/>
      </c>
      <c r="X1851" s="57" t="str">
        <f>IF(AC1851=1,S1851/K1851,"")</f>
        <v/>
      </c>
      <c r="Y1851" s="58" t="str">
        <f>IF(W1851="","",IF(W1851&gt;=p_target,"Bon",IF(W1851&gt;=p_alert,"À surveiller","Faible")))</f>
        <v/>
      </c>
      <c r="Z1851" s="58" t="str">
        <f>IF(W1851="","",IF(MIN(IF(T1851="",1,T1851),IF(U1851="",1,U1851),IF(V1851="",1,V1851))&gt;=1,"Aucune",IF(IF(T1851="",1,T1851)&lt;=MIN(IF(U1851="",1,U1851),IF(V1851="",1,V1851)),"Disponibilité",IF(IF(U1851="",1,U1851)&lt;=IF(V1851="",1,V1851),"Performance","Qualité"))))</f>
        <v/>
      </c>
      <c r="AA1851" s="59" t="str">
        <f>IF(AC1851=1,N(H1851)*N(IFERROR(INDEX(art_cost,MATCH(E1851,art_ref,0)),0)),"")</f>
        <v/>
      </c>
      <c r="AB1851" s="58" t="str">
        <f>IF(COUNTA(A1851:I1851)=0,"",IF(N(A1851)&lt;=0,"Date manquante ou invalide",IF(B1851="","Équipe manquante",IF(ISNA(MATCH(B1851,eq_code,0)),"Équipe inconnue",IF(INDEX(eq_check,MATCH(B1851,eq_code,0))&lt;&gt;"OK","Équipe à corriger dans Paramètres",IF(C1851="","Poste manquant",IF(ISNA(MATCH(C1851,po_code,0)),"Poste inconnu",IF(AND(E1851&lt;&gt;"",ISNA(MATCH(E1851,art_ref,0))),"Article inconnu",IF(IF(E1851="",FALSE,INDEX(art_check,MATCH(E1851,art_ref,0))&lt;&gt;"OK"),"Article à corriger (feuille Articles)",IF(COUNTIFS(sj_date,A1851,sj_eq,B1851,sj_po,C1851)&gt;1,"Ligne en double (même jour, équipe et poste)",IF(OR(NOT(ISNUMBER(K1851)),N(K1851)&lt;=0,N(K1851)&gt;1440),"Temps d'ouverture invalide",IF(OR(AND(G1851&lt;&gt;"",NOT(ISNUMBER(G1851))),N(G1851)&lt;0,N(G1851)&lt;&gt;INT(N(G1851)),AND(H1851&lt;&gt;"",NOT(ISNUMBER(H1851))),N(H1851)&lt;0,N(H1851)&lt;&gt;INT(N(H1851)),AND(I1851&lt;&gt;"",NOT(ISNUMBER(I1851))),N(I1851)&lt;0,N(I1851)&lt;&gt;INT(N(I1851))),"Quantité invalide",IF(Q1851&lt;=0,"Cadence manquante (poste ou article)",IF(M1851&lt;=0,"Arrêts planifiés supérieurs au temps d'ouverture",IF(O1851&lt;0,"Arrêts supérieurs au temps requis",IF(AND(P1851&gt;0,O1851=0),"Pièces déclarées sans temps de marche",IF(AND(P1851=0,O1851&gt;0),"Aucune pièce déclarée",IF(P1851*60/Q1851&gt;O1851+0.001,"Cadence dépassée : vérifiez la cadence","OK"))))))))))))))))))</f>
        <v/>
      </c>
      <c r="AC1851">
        <f>IF(OR(AB1851="OK",AB1851="Aucune pièce déclarée",AB1851="Cadence dépassée : vérifiez la cadence"),1,0)</f>
        <v>0.0</v>
      </c>
      <c r="AD1851">
        <f>IF(AND(AC1851=1,A1851&gt;=p_from,A1851&lt;=p_to),1,0)</f>
        <v>0.0</v>
      </c>
      <c r="AE1851">
        <f>IF(AD1851=1,IF(COUNTIFS($A$6:A1851,A1851,$AD$6:AD1851,1)=1,1,0),0)</f>
        <v>0.0</v>
      </c>
      <c r="AF1851" t="str">
        <f>IF(AE1851=1,COUNTIFS(sj_first,1,sj_date,"&lt;"&amp;A1851)+1,"")</f>
        <v/>
      </c>
      <c r="AG1851" t="str">
        <f>IF(AND(AD1851=1,N(W1851)&lt;p_alert),ROUND(W1851,4),"")</f>
        <v/>
      </c>
      <c r="AH1851" t="str">
        <f>IF(AG1851="","",COUNTIF(sj_akey,"&lt;"&amp;AG1851)+COUNTIF($AG$6:AG1851,AG1851))</f>
        <v/>
      </c>
    </row>
    <row r="1852">
      <c r="A1852" s="51" t="n"/>
      <c r="B1852" s="52" t="n"/>
      <c r="C1852" s="52" t="n"/>
      <c r="D1852" s="53" t="n"/>
      <c r="E1852" s="53" t="n"/>
      <c r="F1852" s="54" t="n"/>
      <c r="G1852" s="54" t="n"/>
      <c r="H1852" s="54" t="n"/>
      <c r="I1852" s="54" t="n"/>
      <c r="J1852" s="53" t="n"/>
      <c r="K1852" s="55" t="str">
        <f>IF(COUNTA(A1852:I1852)=0,"",IF(F1852="",IFERROR(INDEX(eq_dur,MATCH(B1852,eq_code,0)),""),F1852))</f>
        <v/>
      </c>
      <c r="L1852" s="55" t="str">
        <f>IF(ISNUMBER(K1852),N(IFERROR(INDEX(eq_pause,MATCH(B1852,eq_code,0)),0))+SUMIFS(st_min,st_date,A1852,st_eq,B1852,st_po,C1852,st_type,"Planifié"),"")</f>
        <v/>
      </c>
      <c r="M1852" s="55" t="str">
        <f>IF(ISNUMBER(K1852),K1852-L1852,"")</f>
        <v/>
      </c>
      <c r="N1852" s="55" t="str">
        <f>IF(ISNUMBER(K1852),SUMIFS(st_min,st_date,A1852,st_eq,B1852,st_po,C1852,st_type,"Non planifié"),"")</f>
        <v/>
      </c>
      <c r="O1852" s="55" t="str">
        <f>IF(ISNUMBER(K1852),M1852-N1852,"")</f>
        <v/>
      </c>
      <c r="P1852" s="55" t="str">
        <f>IF(COUNTA(A1852:I1852)=0,"",N(G1852)+N(H1852)+N(I1852))</f>
        <v/>
      </c>
      <c r="Q1852" s="56" t="str">
        <f>IF(COUNTA(A1852:I1852)=0,"",IF(N(IFERROR(INDEX(art_rate,MATCH(E1852,art_ref,0)),0))&gt;0,N(IFERROR(INDEX(art_rate,MATCH(E1852,art_ref,0)),0)),N(IFERROR(INDEX(po_rate,MATCH(C1852,po_code,0)),0))))</f>
        <v/>
      </c>
      <c r="R1852" s="55" t="str">
        <f>IF(AC1852=1,P1852*60/Q1852,"")</f>
        <v/>
      </c>
      <c r="S1852" s="55" t="str">
        <f>IF(AC1852=1,N(G1852)*60/Q1852,"")</f>
        <v/>
      </c>
      <c r="T1852" s="57" t="str">
        <f>IF(AC1852=1,O1852/M1852,"")</f>
        <v/>
      </c>
      <c r="U1852" s="57" t="str">
        <f>IF(AC1852=1,IF(O1852&gt;0,R1852/O1852,""),"")</f>
        <v/>
      </c>
      <c r="V1852" s="57" t="str">
        <f>IF(AC1852=1,IF(P1852&gt;0,N(G1852)/P1852,""),"")</f>
        <v/>
      </c>
      <c r="W1852" s="57" t="str">
        <f>IF(AC1852=1,S1852/M1852,"")</f>
        <v/>
      </c>
      <c r="X1852" s="57" t="str">
        <f>IF(AC1852=1,S1852/K1852,"")</f>
        <v/>
      </c>
      <c r="Y1852" s="58" t="str">
        <f>IF(W1852="","",IF(W1852&gt;=p_target,"Bon",IF(W1852&gt;=p_alert,"À surveiller","Faible")))</f>
        <v/>
      </c>
      <c r="Z1852" s="58" t="str">
        <f>IF(W1852="","",IF(MIN(IF(T1852="",1,T1852),IF(U1852="",1,U1852),IF(V1852="",1,V1852))&gt;=1,"Aucune",IF(IF(T1852="",1,T1852)&lt;=MIN(IF(U1852="",1,U1852),IF(V1852="",1,V1852)),"Disponibilité",IF(IF(U1852="",1,U1852)&lt;=IF(V1852="",1,V1852),"Performance","Qualité"))))</f>
        <v/>
      </c>
      <c r="AA1852" s="59" t="str">
        <f>IF(AC1852=1,N(H1852)*N(IFERROR(INDEX(art_cost,MATCH(E1852,art_ref,0)),0)),"")</f>
        <v/>
      </c>
      <c r="AB1852" s="58" t="str">
        <f>IF(COUNTA(A1852:I1852)=0,"",IF(N(A1852)&lt;=0,"Date manquante ou invalide",IF(B1852="","Équipe manquante",IF(ISNA(MATCH(B1852,eq_code,0)),"Équipe inconnue",IF(INDEX(eq_check,MATCH(B1852,eq_code,0))&lt;&gt;"OK","Équipe à corriger dans Paramètres",IF(C1852="","Poste manquant",IF(ISNA(MATCH(C1852,po_code,0)),"Poste inconnu",IF(AND(E1852&lt;&gt;"",ISNA(MATCH(E1852,art_ref,0))),"Article inconnu",IF(IF(E1852="",FALSE,INDEX(art_check,MATCH(E1852,art_ref,0))&lt;&gt;"OK"),"Article à corriger (feuille Articles)",IF(COUNTIFS(sj_date,A1852,sj_eq,B1852,sj_po,C1852)&gt;1,"Ligne en double (même jour, équipe et poste)",IF(OR(NOT(ISNUMBER(K1852)),N(K1852)&lt;=0,N(K1852)&gt;1440),"Temps d'ouverture invalide",IF(OR(AND(G1852&lt;&gt;"",NOT(ISNUMBER(G1852))),N(G1852)&lt;0,N(G1852)&lt;&gt;INT(N(G1852)),AND(H1852&lt;&gt;"",NOT(ISNUMBER(H1852))),N(H1852)&lt;0,N(H1852)&lt;&gt;INT(N(H1852)),AND(I1852&lt;&gt;"",NOT(ISNUMBER(I1852))),N(I1852)&lt;0,N(I1852)&lt;&gt;INT(N(I1852))),"Quantité invalide",IF(Q1852&lt;=0,"Cadence manquante (poste ou article)",IF(M1852&lt;=0,"Arrêts planifiés supérieurs au temps d'ouverture",IF(O1852&lt;0,"Arrêts supérieurs au temps requis",IF(AND(P1852&gt;0,O1852=0),"Pièces déclarées sans temps de marche",IF(AND(P1852=0,O1852&gt;0),"Aucune pièce déclarée",IF(P1852*60/Q1852&gt;O1852+0.001,"Cadence dépassée : vérifiez la cadence","OK"))))))))))))))))))</f>
        <v/>
      </c>
      <c r="AC1852">
        <f>IF(OR(AB1852="OK",AB1852="Aucune pièce déclarée",AB1852="Cadence dépassée : vérifiez la cadence"),1,0)</f>
        <v>0.0</v>
      </c>
      <c r="AD1852">
        <f>IF(AND(AC1852=1,A1852&gt;=p_from,A1852&lt;=p_to),1,0)</f>
        <v>0.0</v>
      </c>
      <c r="AE1852">
        <f>IF(AD1852=1,IF(COUNTIFS($A$6:A1852,A1852,$AD$6:AD1852,1)=1,1,0),0)</f>
        <v>0.0</v>
      </c>
      <c r="AF1852" t="str">
        <f>IF(AE1852=1,COUNTIFS(sj_first,1,sj_date,"&lt;"&amp;A1852)+1,"")</f>
        <v/>
      </c>
      <c r="AG1852" t="str">
        <f>IF(AND(AD1852=1,N(W1852)&lt;p_alert),ROUND(W1852,4),"")</f>
        <v/>
      </c>
      <c r="AH1852" t="str">
        <f>IF(AG1852="","",COUNTIF(sj_akey,"&lt;"&amp;AG1852)+COUNTIF($AG$6:AG1852,AG1852))</f>
        <v/>
      </c>
    </row>
    <row r="1853">
      <c r="A1853" s="51" t="n"/>
      <c r="B1853" s="52" t="n"/>
      <c r="C1853" s="52" t="n"/>
      <c r="D1853" s="53" t="n"/>
      <c r="E1853" s="53" t="n"/>
      <c r="F1853" s="54" t="n"/>
      <c r="G1853" s="54" t="n"/>
      <c r="H1853" s="54" t="n"/>
      <c r="I1853" s="54" t="n"/>
      <c r="J1853" s="53" t="n"/>
      <c r="K1853" s="55" t="str">
        <f>IF(COUNTA(A1853:I1853)=0,"",IF(F1853="",IFERROR(INDEX(eq_dur,MATCH(B1853,eq_code,0)),""),F1853))</f>
        <v/>
      </c>
      <c r="L1853" s="55" t="str">
        <f>IF(ISNUMBER(K1853),N(IFERROR(INDEX(eq_pause,MATCH(B1853,eq_code,0)),0))+SUMIFS(st_min,st_date,A1853,st_eq,B1853,st_po,C1853,st_type,"Planifié"),"")</f>
        <v/>
      </c>
      <c r="M1853" s="55" t="str">
        <f>IF(ISNUMBER(K1853),K1853-L1853,"")</f>
        <v/>
      </c>
      <c r="N1853" s="55" t="str">
        <f>IF(ISNUMBER(K1853),SUMIFS(st_min,st_date,A1853,st_eq,B1853,st_po,C1853,st_type,"Non planifié"),"")</f>
        <v/>
      </c>
      <c r="O1853" s="55" t="str">
        <f>IF(ISNUMBER(K1853),M1853-N1853,"")</f>
        <v/>
      </c>
      <c r="P1853" s="55" t="str">
        <f>IF(COUNTA(A1853:I1853)=0,"",N(G1853)+N(H1853)+N(I1853))</f>
        <v/>
      </c>
      <c r="Q1853" s="56" t="str">
        <f>IF(COUNTA(A1853:I1853)=0,"",IF(N(IFERROR(INDEX(art_rate,MATCH(E1853,art_ref,0)),0))&gt;0,N(IFERROR(INDEX(art_rate,MATCH(E1853,art_ref,0)),0)),N(IFERROR(INDEX(po_rate,MATCH(C1853,po_code,0)),0))))</f>
        <v/>
      </c>
      <c r="R1853" s="55" t="str">
        <f>IF(AC1853=1,P1853*60/Q1853,"")</f>
        <v/>
      </c>
      <c r="S1853" s="55" t="str">
        <f>IF(AC1853=1,N(G1853)*60/Q1853,"")</f>
        <v/>
      </c>
      <c r="T1853" s="57" t="str">
        <f>IF(AC1853=1,O1853/M1853,"")</f>
        <v/>
      </c>
      <c r="U1853" s="57" t="str">
        <f>IF(AC1853=1,IF(O1853&gt;0,R1853/O1853,""),"")</f>
        <v/>
      </c>
      <c r="V1853" s="57" t="str">
        <f>IF(AC1853=1,IF(P1853&gt;0,N(G1853)/P1853,""),"")</f>
        <v/>
      </c>
      <c r="W1853" s="57" t="str">
        <f>IF(AC1853=1,S1853/M1853,"")</f>
        <v/>
      </c>
      <c r="X1853" s="57" t="str">
        <f>IF(AC1853=1,S1853/K1853,"")</f>
        <v/>
      </c>
      <c r="Y1853" s="58" t="str">
        <f>IF(W1853="","",IF(W1853&gt;=p_target,"Bon",IF(W1853&gt;=p_alert,"À surveiller","Faible")))</f>
        <v/>
      </c>
      <c r="Z1853" s="58" t="str">
        <f>IF(W1853="","",IF(MIN(IF(T1853="",1,T1853),IF(U1853="",1,U1853),IF(V1853="",1,V1853))&gt;=1,"Aucune",IF(IF(T1853="",1,T1853)&lt;=MIN(IF(U1853="",1,U1853),IF(V1853="",1,V1853)),"Disponibilité",IF(IF(U1853="",1,U1853)&lt;=IF(V1853="",1,V1853),"Performance","Qualité"))))</f>
        <v/>
      </c>
      <c r="AA1853" s="59" t="str">
        <f>IF(AC1853=1,N(H1853)*N(IFERROR(INDEX(art_cost,MATCH(E1853,art_ref,0)),0)),"")</f>
        <v/>
      </c>
      <c r="AB1853" s="58" t="str">
        <f>IF(COUNTA(A1853:I1853)=0,"",IF(N(A1853)&lt;=0,"Date manquante ou invalide",IF(B1853="","Équipe manquante",IF(ISNA(MATCH(B1853,eq_code,0)),"Équipe inconnue",IF(INDEX(eq_check,MATCH(B1853,eq_code,0))&lt;&gt;"OK","Équipe à corriger dans Paramètres",IF(C1853="","Poste manquant",IF(ISNA(MATCH(C1853,po_code,0)),"Poste inconnu",IF(AND(E1853&lt;&gt;"",ISNA(MATCH(E1853,art_ref,0))),"Article inconnu",IF(IF(E1853="",FALSE,INDEX(art_check,MATCH(E1853,art_ref,0))&lt;&gt;"OK"),"Article à corriger (feuille Articles)",IF(COUNTIFS(sj_date,A1853,sj_eq,B1853,sj_po,C1853)&gt;1,"Ligne en double (même jour, équipe et poste)",IF(OR(NOT(ISNUMBER(K1853)),N(K1853)&lt;=0,N(K1853)&gt;1440),"Temps d'ouverture invalide",IF(OR(AND(G1853&lt;&gt;"",NOT(ISNUMBER(G1853))),N(G1853)&lt;0,N(G1853)&lt;&gt;INT(N(G1853)),AND(H1853&lt;&gt;"",NOT(ISNUMBER(H1853))),N(H1853)&lt;0,N(H1853)&lt;&gt;INT(N(H1853)),AND(I1853&lt;&gt;"",NOT(ISNUMBER(I1853))),N(I1853)&lt;0,N(I1853)&lt;&gt;INT(N(I1853))),"Quantité invalide",IF(Q1853&lt;=0,"Cadence manquante (poste ou article)",IF(M1853&lt;=0,"Arrêts planifiés supérieurs au temps d'ouverture",IF(O1853&lt;0,"Arrêts supérieurs au temps requis",IF(AND(P1853&gt;0,O1853=0),"Pièces déclarées sans temps de marche",IF(AND(P1853=0,O1853&gt;0),"Aucune pièce déclarée",IF(P1853*60/Q1853&gt;O1853+0.001,"Cadence dépassée : vérifiez la cadence","OK"))))))))))))))))))</f>
        <v/>
      </c>
      <c r="AC1853">
        <f>IF(OR(AB1853="OK",AB1853="Aucune pièce déclarée",AB1853="Cadence dépassée : vérifiez la cadence"),1,0)</f>
        <v>0.0</v>
      </c>
      <c r="AD1853">
        <f>IF(AND(AC1853=1,A1853&gt;=p_from,A1853&lt;=p_to),1,0)</f>
        <v>0.0</v>
      </c>
      <c r="AE1853">
        <f>IF(AD1853=1,IF(COUNTIFS($A$6:A1853,A1853,$AD$6:AD1853,1)=1,1,0),0)</f>
        <v>0.0</v>
      </c>
      <c r="AF1853" t="str">
        <f>IF(AE1853=1,COUNTIFS(sj_first,1,sj_date,"&lt;"&amp;A1853)+1,"")</f>
        <v/>
      </c>
      <c r="AG1853" t="str">
        <f>IF(AND(AD1853=1,N(W1853)&lt;p_alert),ROUND(W1853,4),"")</f>
        <v/>
      </c>
      <c r="AH1853" t="str">
        <f>IF(AG1853="","",COUNTIF(sj_akey,"&lt;"&amp;AG1853)+COUNTIF($AG$6:AG1853,AG1853))</f>
        <v/>
      </c>
    </row>
    <row r="1854">
      <c r="A1854" s="51" t="n"/>
      <c r="B1854" s="52" t="n"/>
      <c r="C1854" s="52" t="n"/>
      <c r="D1854" s="53" t="n"/>
      <c r="E1854" s="53" t="n"/>
      <c r="F1854" s="54" t="n"/>
      <c r="G1854" s="54" t="n"/>
      <c r="H1854" s="54" t="n"/>
      <c r="I1854" s="54" t="n"/>
      <c r="J1854" s="53" t="n"/>
      <c r="K1854" s="55" t="str">
        <f>IF(COUNTA(A1854:I1854)=0,"",IF(F1854="",IFERROR(INDEX(eq_dur,MATCH(B1854,eq_code,0)),""),F1854))</f>
        <v/>
      </c>
      <c r="L1854" s="55" t="str">
        <f>IF(ISNUMBER(K1854),N(IFERROR(INDEX(eq_pause,MATCH(B1854,eq_code,0)),0))+SUMIFS(st_min,st_date,A1854,st_eq,B1854,st_po,C1854,st_type,"Planifié"),"")</f>
        <v/>
      </c>
      <c r="M1854" s="55" t="str">
        <f>IF(ISNUMBER(K1854),K1854-L1854,"")</f>
        <v/>
      </c>
      <c r="N1854" s="55" t="str">
        <f>IF(ISNUMBER(K1854),SUMIFS(st_min,st_date,A1854,st_eq,B1854,st_po,C1854,st_type,"Non planifié"),"")</f>
        <v/>
      </c>
      <c r="O1854" s="55" t="str">
        <f>IF(ISNUMBER(K1854),M1854-N1854,"")</f>
        <v/>
      </c>
      <c r="P1854" s="55" t="str">
        <f>IF(COUNTA(A1854:I1854)=0,"",N(G1854)+N(H1854)+N(I1854))</f>
        <v/>
      </c>
      <c r="Q1854" s="56" t="str">
        <f>IF(COUNTA(A1854:I1854)=0,"",IF(N(IFERROR(INDEX(art_rate,MATCH(E1854,art_ref,0)),0))&gt;0,N(IFERROR(INDEX(art_rate,MATCH(E1854,art_ref,0)),0)),N(IFERROR(INDEX(po_rate,MATCH(C1854,po_code,0)),0))))</f>
        <v/>
      </c>
      <c r="R1854" s="55" t="str">
        <f>IF(AC1854=1,P1854*60/Q1854,"")</f>
        <v/>
      </c>
      <c r="S1854" s="55" t="str">
        <f>IF(AC1854=1,N(G1854)*60/Q1854,"")</f>
        <v/>
      </c>
      <c r="T1854" s="57" t="str">
        <f>IF(AC1854=1,O1854/M1854,"")</f>
        <v/>
      </c>
      <c r="U1854" s="57" t="str">
        <f>IF(AC1854=1,IF(O1854&gt;0,R1854/O1854,""),"")</f>
        <v/>
      </c>
      <c r="V1854" s="57" t="str">
        <f>IF(AC1854=1,IF(P1854&gt;0,N(G1854)/P1854,""),"")</f>
        <v/>
      </c>
      <c r="W1854" s="57" t="str">
        <f>IF(AC1854=1,S1854/M1854,"")</f>
        <v/>
      </c>
      <c r="X1854" s="57" t="str">
        <f>IF(AC1854=1,S1854/K1854,"")</f>
        <v/>
      </c>
      <c r="Y1854" s="58" t="str">
        <f>IF(W1854="","",IF(W1854&gt;=p_target,"Bon",IF(W1854&gt;=p_alert,"À surveiller","Faible")))</f>
        <v/>
      </c>
      <c r="Z1854" s="58" t="str">
        <f>IF(W1854="","",IF(MIN(IF(T1854="",1,T1854),IF(U1854="",1,U1854),IF(V1854="",1,V1854))&gt;=1,"Aucune",IF(IF(T1854="",1,T1854)&lt;=MIN(IF(U1854="",1,U1854),IF(V1854="",1,V1854)),"Disponibilité",IF(IF(U1854="",1,U1854)&lt;=IF(V1854="",1,V1854),"Performance","Qualité"))))</f>
        <v/>
      </c>
      <c r="AA1854" s="59" t="str">
        <f>IF(AC1854=1,N(H1854)*N(IFERROR(INDEX(art_cost,MATCH(E1854,art_ref,0)),0)),"")</f>
        <v/>
      </c>
      <c r="AB1854" s="58" t="str">
        <f>IF(COUNTA(A1854:I1854)=0,"",IF(N(A1854)&lt;=0,"Date manquante ou invalide",IF(B1854="","Équipe manquante",IF(ISNA(MATCH(B1854,eq_code,0)),"Équipe inconnue",IF(INDEX(eq_check,MATCH(B1854,eq_code,0))&lt;&gt;"OK","Équipe à corriger dans Paramètres",IF(C1854="","Poste manquant",IF(ISNA(MATCH(C1854,po_code,0)),"Poste inconnu",IF(AND(E1854&lt;&gt;"",ISNA(MATCH(E1854,art_ref,0))),"Article inconnu",IF(IF(E1854="",FALSE,INDEX(art_check,MATCH(E1854,art_ref,0))&lt;&gt;"OK"),"Article à corriger (feuille Articles)",IF(COUNTIFS(sj_date,A1854,sj_eq,B1854,sj_po,C1854)&gt;1,"Ligne en double (même jour, équipe et poste)",IF(OR(NOT(ISNUMBER(K1854)),N(K1854)&lt;=0,N(K1854)&gt;1440),"Temps d'ouverture invalide",IF(OR(AND(G1854&lt;&gt;"",NOT(ISNUMBER(G1854))),N(G1854)&lt;0,N(G1854)&lt;&gt;INT(N(G1854)),AND(H1854&lt;&gt;"",NOT(ISNUMBER(H1854))),N(H1854)&lt;0,N(H1854)&lt;&gt;INT(N(H1854)),AND(I1854&lt;&gt;"",NOT(ISNUMBER(I1854))),N(I1854)&lt;0,N(I1854)&lt;&gt;INT(N(I1854))),"Quantité invalide",IF(Q1854&lt;=0,"Cadence manquante (poste ou article)",IF(M1854&lt;=0,"Arrêts planifiés supérieurs au temps d'ouverture",IF(O1854&lt;0,"Arrêts supérieurs au temps requis",IF(AND(P1854&gt;0,O1854=0),"Pièces déclarées sans temps de marche",IF(AND(P1854=0,O1854&gt;0),"Aucune pièce déclarée",IF(P1854*60/Q1854&gt;O1854+0.001,"Cadence dépassée : vérifiez la cadence","OK"))))))))))))))))))</f>
        <v/>
      </c>
      <c r="AC1854">
        <f>IF(OR(AB1854="OK",AB1854="Aucune pièce déclarée",AB1854="Cadence dépassée : vérifiez la cadence"),1,0)</f>
        <v>0.0</v>
      </c>
      <c r="AD1854">
        <f>IF(AND(AC1854=1,A1854&gt;=p_from,A1854&lt;=p_to),1,0)</f>
        <v>0.0</v>
      </c>
      <c r="AE1854">
        <f>IF(AD1854=1,IF(COUNTIFS($A$6:A1854,A1854,$AD$6:AD1854,1)=1,1,0),0)</f>
        <v>0.0</v>
      </c>
      <c r="AF1854" t="str">
        <f>IF(AE1854=1,COUNTIFS(sj_first,1,sj_date,"&lt;"&amp;A1854)+1,"")</f>
        <v/>
      </c>
      <c r="AG1854" t="str">
        <f>IF(AND(AD1854=1,N(W1854)&lt;p_alert),ROUND(W1854,4),"")</f>
        <v/>
      </c>
      <c r="AH1854" t="str">
        <f>IF(AG1854="","",COUNTIF(sj_akey,"&lt;"&amp;AG1854)+COUNTIF($AG$6:AG1854,AG1854))</f>
        <v/>
      </c>
    </row>
    <row r="1855">
      <c r="A1855" s="51" t="n"/>
      <c r="B1855" s="52" t="n"/>
      <c r="C1855" s="52" t="n"/>
      <c r="D1855" s="53" t="n"/>
      <c r="E1855" s="53" t="n"/>
      <c r="F1855" s="54" t="n"/>
      <c r="G1855" s="54" t="n"/>
      <c r="H1855" s="54" t="n"/>
      <c r="I1855" s="54" t="n"/>
      <c r="J1855" s="53" t="n"/>
      <c r="K1855" s="55" t="str">
        <f>IF(COUNTA(A1855:I1855)=0,"",IF(F1855="",IFERROR(INDEX(eq_dur,MATCH(B1855,eq_code,0)),""),F1855))</f>
        <v/>
      </c>
      <c r="L1855" s="55" t="str">
        <f>IF(ISNUMBER(K1855),N(IFERROR(INDEX(eq_pause,MATCH(B1855,eq_code,0)),0))+SUMIFS(st_min,st_date,A1855,st_eq,B1855,st_po,C1855,st_type,"Planifié"),"")</f>
        <v/>
      </c>
      <c r="M1855" s="55" t="str">
        <f>IF(ISNUMBER(K1855),K1855-L1855,"")</f>
        <v/>
      </c>
      <c r="N1855" s="55" t="str">
        <f>IF(ISNUMBER(K1855),SUMIFS(st_min,st_date,A1855,st_eq,B1855,st_po,C1855,st_type,"Non planifié"),"")</f>
        <v/>
      </c>
      <c r="O1855" s="55" t="str">
        <f>IF(ISNUMBER(K1855),M1855-N1855,"")</f>
        <v/>
      </c>
      <c r="P1855" s="55" t="str">
        <f>IF(COUNTA(A1855:I1855)=0,"",N(G1855)+N(H1855)+N(I1855))</f>
        <v/>
      </c>
      <c r="Q1855" s="56" t="str">
        <f>IF(COUNTA(A1855:I1855)=0,"",IF(N(IFERROR(INDEX(art_rate,MATCH(E1855,art_ref,0)),0))&gt;0,N(IFERROR(INDEX(art_rate,MATCH(E1855,art_ref,0)),0)),N(IFERROR(INDEX(po_rate,MATCH(C1855,po_code,0)),0))))</f>
        <v/>
      </c>
      <c r="R1855" s="55" t="str">
        <f>IF(AC1855=1,P1855*60/Q1855,"")</f>
        <v/>
      </c>
      <c r="S1855" s="55" t="str">
        <f>IF(AC1855=1,N(G1855)*60/Q1855,"")</f>
        <v/>
      </c>
      <c r="T1855" s="57" t="str">
        <f>IF(AC1855=1,O1855/M1855,"")</f>
        <v/>
      </c>
      <c r="U1855" s="57" t="str">
        <f>IF(AC1855=1,IF(O1855&gt;0,R1855/O1855,""),"")</f>
        <v/>
      </c>
      <c r="V1855" s="57" t="str">
        <f>IF(AC1855=1,IF(P1855&gt;0,N(G1855)/P1855,""),"")</f>
        <v/>
      </c>
      <c r="W1855" s="57" t="str">
        <f>IF(AC1855=1,S1855/M1855,"")</f>
        <v/>
      </c>
      <c r="X1855" s="57" t="str">
        <f>IF(AC1855=1,S1855/K1855,"")</f>
        <v/>
      </c>
      <c r="Y1855" s="58" t="str">
        <f>IF(W1855="","",IF(W1855&gt;=p_target,"Bon",IF(W1855&gt;=p_alert,"À surveiller","Faible")))</f>
        <v/>
      </c>
      <c r="Z1855" s="58" t="str">
        <f>IF(W1855="","",IF(MIN(IF(T1855="",1,T1855),IF(U1855="",1,U1855),IF(V1855="",1,V1855))&gt;=1,"Aucune",IF(IF(T1855="",1,T1855)&lt;=MIN(IF(U1855="",1,U1855),IF(V1855="",1,V1855)),"Disponibilité",IF(IF(U1855="",1,U1855)&lt;=IF(V1855="",1,V1855),"Performance","Qualité"))))</f>
        <v/>
      </c>
      <c r="AA1855" s="59" t="str">
        <f>IF(AC1855=1,N(H1855)*N(IFERROR(INDEX(art_cost,MATCH(E1855,art_ref,0)),0)),"")</f>
        <v/>
      </c>
      <c r="AB1855" s="58" t="str">
        <f>IF(COUNTA(A1855:I1855)=0,"",IF(N(A1855)&lt;=0,"Date manquante ou invalide",IF(B1855="","Équipe manquante",IF(ISNA(MATCH(B1855,eq_code,0)),"Équipe inconnue",IF(INDEX(eq_check,MATCH(B1855,eq_code,0))&lt;&gt;"OK","Équipe à corriger dans Paramètres",IF(C1855="","Poste manquant",IF(ISNA(MATCH(C1855,po_code,0)),"Poste inconnu",IF(AND(E1855&lt;&gt;"",ISNA(MATCH(E1855,art_ref,0))),"Article inconnu",IF(IF(E1855="",FALSE,INDEX(art_check,MATCH(E1855,art_ref,0))&lt;&gt;"OK"),"Article à corriger (feuille Articles)",IF(COUNTIFS(sj_date,A1855,sj_eq,B1855,sj_po,C1855)&gt;1,"Ligne en double (même jour, équipe et poste)",IF(OR(NOT(ISNUMBER(K1855)),N(K1855)&lt;=0,N(K1855)&gt;1440),"Temps d'ouverture invalide",IF(OR(AND(G1855&lt;&gt;"",NOT(ISNUMBER(G1855))),N(G1855)&lt;0,N(G1855)&lt;&gt;INT(N(G1855)),AND(H1855&lt;&gt;"",NOT(ISNUMBER(H1855))),N(H1855)&lt;0,N(H1855)&lt;&gt;INT(N(H1855)),AND(I1855&lt;&gt;"",NOT(ISNUMBER(I1855))),N(I1855)&lt;0,N(I1855)&lt;&gt;INT(N(I1855))),"Quantité invalide",IF(Q1855&lt;=0,"Cadence manquante (poste ou article)",IF(M1855&lt;=0,"Arrêts planifiés supérieurs au temps d'ouverture",IF(O1855&lt;0,"Arrêts supérieurs au temps requis",IF(AND(P1855&gt;0,O1855=0),"Pièces déclarées sans temps de marche",IF(AND(P1855=0,O1855&gt;0),"Aucune pièce déclarée",IF(P1855*60/Q1855&gt;O1855+0.001,"Cadence dépassée : vérifiez la cadence","OK"))))))))))))))))))</f>
        <v/>
      </c>
      <c r="AC1855">
        <f>IF(OR(AB1855="OK",AB1855="Aucune pièce déclarée",AB1855="Cadence dépassée : vérifiez la cadence"),1,0)</f>
        <v>0.0</v>
      </c>
      <c r="AD1855">
        <f>IF(AND(AC1855=1,A1855&gt;=p_from,A1855&lt;=p_to),1,0)</f>
        <v>0.0</v>
      </c>
      <c r="AE1855">
        <f>IF(AD1855=1,IF(COUNTIFS($A$6:A1855,A1855,$AD$6:AD1855,1)=1,1,0),0)</f>
        <v>0.0</v>
      </c>
      <c r="AF1855" t="str">
        <f>IF(AE1855=1,COUNTIFS(sj_first,1,sj_date,"&lt;"&amp;A1855)+1,"")</f>
        <v/>
      </c>
      <c r="AG1855" t="str">
        <f>IF(AND(AD1855=1,N(W1855)&lt;p_alert),ROUND(W1855,4),"")</f>
        <v/>
      </c>
      <c r="AH1855" t="str">
        <f>IF(AG1855="","",COUNTIF(sj_akey,"&lt;"&amp;AG1855)+COUNTIF($AG$6:AG1855,AG1855))</f>
        <v/>
      </c>
    </row>
    <row r="1856">
      <c r="A1856" s="51" t="n"/>
      <c r="B1856" s="52" t="n"/>
      <c r="C1856" s="52" t="n"/>
      <c r="D1856" s="53" t="n"/>
      <c r="E1856" s="53" t="n"/>
      <c r="F1856" s="54" t="n"/>
      <c r="G1856" s="54" t="n"/>
      <c r="H1856" s="54" t="n"/>
      <c r="I1856" s="54" t="n"/>
      <c r="J1856" s="53" t="n"/>
      <c r="K1856" s="55" t="str">
        <f>IF(COUNTA(A1856:I1856)=0,"",IF(F1856="",IFERROR(INDEX(eq_dur,MATCH(B1856,eq_code,0)),""),F1856))</f>
        <v/>
      </c>
      <c r="L1856" s="55" t="str">
        <f>IF(ISNUMBER(K1856),N(IFERROR(INDEX(eq_pause,MATCH(B1856,eq_code,0)),0))+SUMIFS(st_min,st_date,A1856,st_eq,B1856,st_po,C1856,st_type,"Planifié"),"")</f>
        <v/>
      </c>
      <c r="M1856" s="55" t="str">
        <f>IF(ISNUMBER(K1856),K1856-L1856,"")</f>
        <v/>
      </c>
      <c r="N1856" s="55" t="str">
        <f>IF(ISNUMBER(K1856),SUMIFS(st_min,st_date,A1856,st_eq,B1856,st_po,C1856,st_type,"Non planifié"),"")</f>
        <v/>
      </c>
      <c r="O1856" s="55" t="str">
        <f>IF(ISNUMBER(K1856),M1856-N1856,"")</f>
        <v/>
      </c>
      <c r="P1856" s="55" t="str">
        <f>IF(COUNTA(A1856:I1856)=0,"",N(G1856)+N(H1856)+N(I1856))</f>
        <v/>
      </c>
      <c r="Q1856" s="56" t="str">
        <f>IF(COUNTA(A1856:I1856)=0,"",IF(N(IFERROR(INDEX(art_rate,MATCH(E1856,art_ref,0)),0))&gt;0,N(IFERROR(INDEX(art_rate,MATCH(E1856,art_ref,0)),0)),N(IFERROR(INDEX(po_rate,MATCH(C1856,po_code,0)),0))))</f>
        <v/>
      </c>
      <c r="R1856" s="55" t="str">
        <f>IF(AC1856=1,P1856*60/Q1856,"")</f>
        <v/>
      </c>
      <c r="S1856" s="55" t="str">
        <f>IF(AC1856=1,N(G1856)*60/Q1856,"")</f>
        <v/>
      </c>
      <c r="T1856" s="57" t="str">
        <f>IF(AC1856=1,O1856/M1856,"")</f>
        <v/>
      </c>
      <c r="U1856" s="57" t="str">
        <f>IF(AC1856=1,IF(O1856&gt;0,R1856/O1856,""),"")</f>
        <v/>
      </c>
      <c r="V1856" s="57" t="str">
        <f>IF(AC1856=1,IF(P1856&gt;0,N(G1856)/P1856,""),"")</f>
        <v/>
      </c>
      <c r="W1856" s="57" t="str">
        <f>IF(AC1856=1,S1856/M1856,"")</f>
        <v/>
      </c>
      <c r="X1856" s="57" t="str">
        <f>IF(AC1856=1,S1856/K1856,"")</f>
        <v/>
      </c>
      <c r="Y1856" s="58" t="str">
        <f>IF(W1856="","",IF(W1856&gt;=p_target,"Bon",IF(W1856&gt;=p_alert,"À surveiller","Faible")))</f>
        <v/>
      </c>
      <c r="Z1856" s="58" t="str">
        <f>IF(W1856="","",IF(MIN(IF(T1856="",1,T1856),IF(U1856="",1,U1856),IF(V1856="",1,V1856))&gt;=1,"Aucune",IF(IF(T1856="",1,T1856)&lt;=MIN(IF(U1856="",1,U1856),IF(V1856="",1,V1856)),"Disponibilité",IF(IF(U1856="",1,U1856)&lt;=IF(V1856="",1,V1856),"Performance","Qualité"))))</f>
        <v/>
      </c>
      <c r="AA1856" s="59" t="str">
        <f>IF(AC1856=1,N(H1856)*N(IFERROR(INDEX(art_cost,MATCH(E1856,art_ref,0)),0)),"")</f>
        <v/>
      </c>
      <c r="AB1856" s="58" t="str">
        <f>IF(COUNTA(A1856:I1856)=0,"",IF(N(A1856)&lt;=0,"Date manquante ou invalide",IF(B1856="","Équipe manquante",IF(ISNA(MATCH(B1856,eq_code,0)),"Équipe inconnue",IF(INDEX(eq_check,MATCH(B1856,eq_code,0))&lt;&gt;"OK","Équipe à corriger dans Paramètres",IF(C1856="","Poste manquant",IF(ISNA(MATCH(C1856,po_code,0)),"Poste inconnu",IF(AND(E1856&lt;&gt;"",ISNA(MATCH(E1856,art_ref,0))),"Article inconnu",IF(IF(E1856="",FALSE,INDEX(art_check,MATCH(E1856,art_ref,0))&lt;&gt;"OK"),"Article à corriger (feuille Articles)",IF(COUNTIFS(sj_date,A1856,sj_eq,B1856,sj_po,C1856)&gt;1,"Ligne en double (même jour, équipe et poste)",IF(OR(NOT(ISNUMBER(K1856)),N(K1856)&lt;=0,N(K1856)&gt;1440),"Temps d'ouverture invalide",IF(OR(AND(G1856&lt;&gt;"",NOT(ISNUMBER(G1856))),N(G1856)&lt;0,N(G1856)&lt;&gt;INT(N(G1856)),AND(H1856&lt;&gt;"",NOT(ISNUMBER(H1856))),N(H1856)&lt;0,N(H1856)&lt;&gt;INT(N(H1856)),AND(I1856&lt;&gt;"",NOT(ISNUMBER(I1856))),N(I1856)&lt;0,N(I1856)&lt;&gt;INT(N(I1856))),"Quantité invalide",IF(Q1856&lt;=0,"Cadence manquante (poste ou article)",IF(M1856&lt;=0,"Arrêts planifiés supérieurs au temps d'ouverture",IF(O1856&lt;0,"Arrêts supérieurs au temps requis",IF(AND(P1856&gt;0,O1856=0),"Pièces déclarées sans temps de marche",IF(AND(P1856=0,O1856&gt;0),"Aucune pièce déclarée",IF(P1856*60/Q1856&gt;O1856+0.001,"Cadence dépassée : vérifiez la cadence","OK"))))))))))))))))))</f>
        <v/>
      </c>
      <c r="AC1856">
        <f>IF(OR(AB1856="OK",AB1856="Aucune pièce déclarée",AB1856="Cadence dépassée : vérifiez la cadence"),1,0)</f>
        <v>0.0</v>
      </c>
      <c r="AD1856">
        <f>IF(AND(AC1856=1,A1856&gt;=p_from,A1856&lt;=p_to),1,0)</f>
        <v>0.0</v>
      </c>
      <c r="AE1856">
        <f>IF(AD1856=1,IF(COUNTIFS($A$6:A1856,A1856,$AD$6:AD1856,1)=1,1,0),0)</f>
        <v>0.0</v>
      </c>
      <c r="AF1856" t="str">
        <f>IF(AE1856=1,COUNTIFS(sj_first,1,sj_date,"&lt;"&amp;A1856)+1,"")</f>
        <v/>
      </c>
      <c r="AG1856" t="str">
        <f>IF(AND(AD1856=1,N(W1856)&lt;p_alert),ROUND(W1856,4),"")</f>
        <v/>
      </c>
      <c r="AH1856" t="str">
        <f>IF(AG1856="","",COUNTIF(sj_akey,"&lt;"&amp;AG1856)+COUNTIF($AG$6:AG1856,AG1856))</f>
        <v/>
      </c>
    </row>
    <row r="1857">
      <c r="A1857" s="51" t="n"/>
      <c r="B1857" s="52" t="n"/>
      <c r="C1857" s="52" t="n"/>
      <c r="D1857" s="53" t="n"/>
      <c r="E1857" s="53" t="n"/>
      <c r="F1857" s="54" t="n"/>
      <c r="G1857" s="54" t="n"/>
      <c r="H1857" s="54" t="n"/>
      <c r="I1857" s="54" t="n"/>
      <c r="J1857" s="53" t="n"/>
      <c r="K1857" s="55" t="str">
        <f>IF(COUNTA(A1857:I1857)=0,"",IF(F1857="",IFERROR(INDEX(eq_dur,MATCH(B1857,eq_code,0)),""),F1857))</f>
        <v/>
      </c>
      <c r="L1857" s="55" t="str">
        <f>IF(ISNUMBER(K1857),N(IFERROR(INDEX(eq_pause,MATCH(B1857,eq_code,0)),0))+SUMIFS(st_min,st_date,A1857,st_eq,B1857,st_po,C1857,st_type,"Planifié"),"")</f>
        <v/>
      </c>
      <c r="M1857" s="55" t="str">
        <f>IF(ISNUMBER(K1857),K1857-L1857,"")</f>
        <v/>
      </c>
      <c r="N1857" s="55" t="str">
        <f>IF(ISNUMBER(K1857),SUMIFS(st_min,st_date,A1857,st_eq,B1857,st_po,C1857,st_type,"Non planifié"),"")</f>
        <v/>
      </c>
      <c r="O1857" s="55" t="str">
        <f>IF(ISNUMBER(K1857),M1857-N1857,"")</f>
        <v/>
      </c>
      <c r="P1857" s="55" t="str">
        <f>IF(COUNTA(A1857:I1857)=0,"",N(G1857)+N(H1857)+N(I1857))</f>
        <v/>
      </c>
      <c r="Q1857" s="56" t="str">
        <f>IF(COUNTA(A1857:I1857)=0,"",IF(N(IFERROR(INDEX(art_rate,MATCH(E1857,art_ref,0)),0))&gt;0,N(IFERROR(INDEX(art_rate,MATCH(E1857,art_ref,0)),0)),N(IFERROR(INDEX(po_rate,MATCH(C1857,po_code,0)),0))))</f>
        <v/>
      </c>
      <c r="R1857" s="55" t="str">
        <f>IF(AC1857=1,P1857*60/Q1857,"")</f>
        <v/>
      </c>
      <c r="S1857" s="55" t="str">
        <f>IF(AC1857=1,N(G1857)*60/Q1857,"")</f>
        <v/>
      </c>
      <c r="T1857" s="57" t="str">
        <f>IF(AC1857=1,O1857/M1857,"")</f>
        <v/>
      </c>
      <c r="U1857" s="57" t="str">
        <f>IF(AC1857=1,IF(O1857&gt;0,R1857/O1857,""),"")</f>
        <v/>
      </c>
      <c r="V1857" s="57" t="str">
        <f>IF(AC1857=1,IF(P1857&gt;0,N(G1857)/P1857,""),"")</f>
        <v/>
      </c>
      <c r="W1857" s="57" t="str">
        <f>IF(AC1857=1,S1857/M1857,"")</f>
        <v/>
      </c>
      <c r="X1857" s="57" t="str">
        <f>IF(AC1857=1,S1857/K1857,"")</f>
        <v/>
      </c>
      <c r="Y1857" s="58" t="str">
        <f>IF(W1857="","",IF(W1857&gt;=p_target,"Bon",IF(W1857&gt;=p_alert,"À surveiller","Faible")))</f>
        <v/>
      </c>
      <c r="Z1857" s="58" t="str">
        <f>IF(W1857="","",IF(MIN(IF(T1857="",1,T1857),IF(U1857="",1,U1857),IF(V1857="",1,V1857))&gt;=1,"Aucune",IF(IF(T1857="",1,T1857)&lt;=MIN(IF(U1857="",1,U1857),IF(V1857="",1,V1857)),"Disponibilité",IF(IF(U1857="",1,U1857)&lt;=IF(V1857="",1,V1857),"Performance","Qualité"))))</f>
        <v/>
      </c>
      <c r="AA1857" s="59" t="str">
        <f>IF(AC1857=1,N(H1857)*N(IFERROR(INDEX(art_cost,MATCH(E1857,art_ref,0)),0)),"")</f>
        <v/>
      </c>
      <c r="AB1857" s="58" t="str">
        <f>IF(COUNTA(A1857:I1857)=0,"",IF(N(A1857)&lt;=0,"Date manquante ou invalide",IF(B1857="","Équipe manquante",IF(ISNA(MATCH(B1857,eq_code,0)),"Équipe inconnue",IF(INDEX(eq_check,MATCH(B1857,eq_code,0))&lt;&gt;"OK","Équipe à corriger dans Paramètres",IF(C1857="","Poste manquant",IF(ISNA(MATCH(C1857,po_code,0)),"Poste inconnu",IF(AND(E1857&lt;&gt;"",ISNA(MATCH(E1857,art_ref,0))),"Article inconnu",IF(IF(E1857="",FALSE,INDEX(art_check,MATCH(E1857,art_ref,0))&lt;&gt;"OK"),"Article à corriger (feuille Articles)",IF(COUNTIFS(sj_date,A1857,sj_eq,B1857,sj_po,C1857)&gt;1,"Ligne en double (même jour, équipe et poste)",IF(OR(NOT(ISNUMBER(K1857)),N(K1857)&lt;=0,N(K1857)&gt;1440),"Temps d'ouverture invalide",IF(OR(AND(G1857&lt;&gt;"",NOT(ISNUMBER(G1857))),N(G1857)&lt;0,N(G1857)&lt;&gt;INT(N(G1857)),AND(H1857&lt;&gt;"",NOT(ISNUMBER(H1857))),N(H1857)&lt;0,N(H1857)&lt;&gt;INT(N(H1857)),AND(I1857&lt;&gt;"",NOT(ISNUMBER(I1857))),N(I1857)&lt;0,N(I1857)&lt;&gt;INT(N(I1857))),"Quantité invalide",IF(Q1857&lt;=0,"Cadence manquante (poste ou article)",IF(M1857&lt;=0,"Arrêts planifiés supérieurs au temps d'ouverture",IF(O1857&lt;0,"Arrêts supérieurs au temps requis",IF(AND(P1857&gt;0,O1857=0),"Pièces déclarées sans temps de marche",IF(AND(P1857=0,O1857&gt;0),"Aucune pièce déclarée",IF(P1857*60/Q1857&gt;O1857+0.001,"Cadence dépassée : vérifiez la cadence","OK"))))))))))))))))))</f>
        <v/>
      </c>
      <c r="AC1857">
        <f>IF(OR(AB1857="OK",AB1857="Aucune pièce déclarée",AB1857="Cadence dépassée : vérifiez la cadence"),1,0)</f>
        <v>0.0</v>
      </c>
      <c r="AD1857">
        <f>IF(AND(AC1857=1,A1857&gt;=p_from,A1857&lt;=p_to),1,0)</f>
        <v>0.0</v>
      </c>
      <c r="AE1857">
        <f>IF(AD1857=1,IF(COUNTIFS($A$6:A1857,A1857,$AD$6:AD1857,1)=1,1,0),0)</f>
        <v>0.0</v>
      </c>
      <c r="AF1857" t="str">
        <f>IF(AE1857=1,COUNTIFS(sj_first,1,sj_date,"&lt;"&amp;A1857)+1,"")</f>
        <v/>
      </c>
      <c r="AG1857" t="str">
        <f>IF(AND(AD1857=1,N(W1857)&lt;p_alert),ROUND(W1857,4),"")</f>
        <v/>
      </c>
      <c r="AH1857" t="str">
        <f>IF(AG1857="","",COUNTIF(sj_akey,"&lt;"&amp;AG1857)+COUNTIF($AG$6:AG1857,AG1857))</f>
        <v/>
      </c>
    </row>
    <row r="1858">
      <c r="A1858" s="51" t="n"/>
      <c r="B1858" s="52" t="n"/>
      <c r="C1858" s="52" t="n"/>
      <c r="D1858" s="53" t="n"/>
      <c r="E1858" s="53" t="n"/>
      <c r="F1858" s="54" t="n"/>
      <c r="G1858" s="54" t="n"/>
      <c r="H1858" s="54" t="n"/>
      <c r="I1858" s="54" t="n"/>
      <c r="J1858" s="53" t="n"/>
      <c r="K1858" s="55" t="str">
        <f>IF(COUNTA(A1858:I1858)=0,"",IF(F1858="",IFERROR(INDEX(eq_dur,MATCH(B1858,eq_code,0)),""),F1858))</f>
        <v/>
      </c>
      <c r="L1858" s="55" t="str">
        <f>IF(ISNUMBER(K1858),N(IFERROR(INDEX(eq_pause,MATCH(B1858,eq_code,0)),0))+SUMIFS(st_min,st_date,A1858,st_eq,B1858,st_po,C1858,st_type,"Planifié"),"")</f>
        <v/>
      </c>
      <c r="M1858" s="55" t="str">
        <f>IF(ISNUMBER(K1858),K1858-L1858,"")</f>
        <v/>
      </c>
      <c r="N1858" s="55" t="str">
        <f>IF(ISNUMBER(K1858),SUMIFS(st_min,st_date,A1858,st_eq,B1858,st_po,C1858,st_type,"Non planifié"),"")</f>
        <v/>
      </c>
      <c r="O1858" s="55" t="str">
        <f>IF(ISNUMBER(K1858),M1858-N1858,"")</f>
        <v/>
      </c>
      <c r="P1858" s="55" t="str">
        <f>IF(COUNTA(A1858:I1858)=0,"",N(G1858)+N(H1858)+N(I1858))</f>
        <v/>
      </c>
      <c r="Q1858" s="56" t="str">
        <f>IF(COUNTA(A1858:I1858)=0,"",IF(N(IFERROR(INDEX(art_rate,MATCH(E1858,art_ref,0)),0))&gt;0,N(IFERROR(INDEX(art_rate,MATCH(E1858,art_ref,0)),0)),N(IFERROR(INDEX(po_rate,MATCH(C1858,po_code,0)),0))))</f>
        <v/>
      </c>
      <c r="R1858" s="55" t="str">
        <f>IF(AC1858=1,P1858*60/Q1858,"")</f>
        <v/>
      </c>
      <c r="S1858" s="55" t="str">
        <f>IF(AC1858=1,N(G1858)*60/Q1858,"")</f>
        <v/>
      </c>
      <c r="T1858" s="57" t="str">
        <f>IF(AC1858=1,O1858/M1858,"")</f>
        <v/>
      </c>
      <c r="U1858" s="57" t="str">
        <f>IF(AC1858=1,IF(O1858&gt;0,R1858/O1858,""),"")</f>
        <v/>
      </c>
      <c r="V1858" s="57" t="str">
        <f>IF(AC1858=1,IF(P1858&gt;0,N(G1858)/P1858,""),"")</f>
        <v/>
      </c>
      <c r="W1858" s="57" t="str">
        <f>IF(AC1858=1,S1858/M1858,"")</f>
        <v/>
      </c>
      <c r="X1858" s="57" t="str">
        <f>IF(AC1858=1,S1858/K1858,"")</f>
        <v/>
      </c>
      <c r="Y1858" s="58" t="str">
        <f>IF(W1858="","",IF(W1858&gt;=p_target,"Bon",IF(W1858&gt;=p_alert,"À surveiller","Faible")))</f>
        <v/>
      </c>
      <c r="Z1858" s="58" t="str">
        <f>IF(W1858="","",IF(MIN(IF(T1858="",1,T1858),IF(U1858="",1,U1858),IF(V1858="",1,V1858))&gt;=1,"Aucune",IF(IF(T1858="",1,T1858)&lt;=MIN(IF(U1858="",1,U1858),IF(V1858="",1,V1858)),"Disponibilité",IF(IF(U1858="",1,U1858)&lt;=IF(V1858="",1,V1858),"Performance","Qualité"))))</f>
        <v/>
      </c>
      <c r="AA1858" s="59" t="str">
        <f>IF(AC1858=1,N(H1858)*N(IFERROR(INDEX(art_cost,MATCH(E1858,art_ref,0)),0)),"")</f>
        <v/>
      </c>
      <c r="AB1858" s="58" t="str">
        <f>IF(COUNTA(A1858:I1858)=0,"",IF(N(A1858)&lt;=0,"Date manquante ou invalide",IF(B1858="","Équipe manquante",IF(ISNA(MATCH(B1858,eq_code,0)),"Équipe inconnue",IF(INDEX(eq_check,MATCH(B1858,eq_code,0))&lt;&gt;"OK","Équipe à corriger dans Paramètres",IF(C1858="","Poste manquant",IF(ISNA(MATCH(C1858,po_code,0)),"Poste inconnu",IF(AND(E1858&lt;&gt;"",ISNA(MATCH(E1858,art_ref,0))),"Article inconnu",IF(IF(E1858="",FALSE,INDEX(art_check,MATCH(E1858,art_ref,0))&lt;&gt;"OK"),"Article à corriger (feuille Articles)",IF(COUNTIFS(sj_date,A1858,sj_eq,B1858,sj_po,C1858)&gt;1,"Ligne en double (même jour, équipe et poste)",IF(OR(NOT(ISNUMBER(K1858)),N(K1858)&lt;=0,N(K1858)&gt;1440),"Temps d'ouverture invalide",IF(OR(AND(G1858&lt;&gt;"",NOT(ISNUMBER(G1858))),N(G1858)&lt;0,N(G1858)&lt;&gt;INT(N(G1858)),AND(H1858&lt;&gt;"",NOT(ISNUMBER(H1858))),N(H1858)&lt;0,N(H1858)&lt;&gt;INT(N(H1858)),AND(I1858&lt;&gt;"",NOT(ISNUMBER(I1858))),N(I1858)&lt;0,N(I1858)&lt;&gt;INT(N(I1858))),"Quantité invalide",IF(Q1858&lt;=0,"Cadence manquante (poste ou article)",IF(M1858&lt;=0,"Arrêts planifiés supérieurs au temps d'ouverture",IF(O1858&lt;0,"Arrêts supérieurs au temps requis",IF(AND(P1858&gt;0,O1858=0),"Pièces déclarées sans temps de marche",IF(AND(P1858=0,O1858&gt;0),"Aucune pièce déclarée",IF(P1858*60/Q1858&gt;O1858+0.001,"Cadence dépassée : vérifiez la cadence","OK"))))))))))))))))))</f>
        <v/>
      </c>
      <c r="AC1858">
        <f>IF(OR(AB1858="OK",AB1858="Aucune pièce déclarée",AB1858="Cadence dépassée : vérifiez la cadence"),1,0)</f>
        <v>0.0</v>
      </c>
      <c r="AD1858">
        <f>IF(AND(AC1858=1,A1858&gt;=p_from,A1858&lt;=p_to),1,0)</f>
        <v>0.0</v>
      </c>
      <c r="AE1858">
        <f>IF(AD1858=1,IF(COUNTIFS($A$6:A1858,A1858,$AD$6:AD1858,1)=1,1,0),0)</f>
        <v>0.0</v>
      </c>
      <c r="AF1858" t="str">
        <f>IF(AE1858=1,COUNTIFS(sj_first,1,sj_date,"&lt;"&amp;A1858)+1,"")</f>
        <v/>
      </c>
      <c r="AG1858" t="str">
        <f>IF(AND(AD1858=1,N(W1858)&lt;p_alert),ROUND(W1858,4),"")</f>
        <v/>
      </c>
      <c r="AH1858" t="str">
        <f>IF(AG1858="","",COUNTIF(sj_akey,"&lt;"&amp;AG1858)+COUNTIF($AG$6:AG1858,AG1858))</f>
        <v/>
      </c>
    </row>
    <row r="1859">
      <c r="A1859" s="51" t="n"/>
      <c r="B1859" s="52" t="n"/>
      <c r="C1859" s="52" t="n"/>
      <c r="D1859" s="53" t="n"/>
      <c r="E1859" s="53" t="n"/>
      <c r="F1859" s="54" t="n"/>
      <c r="G1859" s="54" t="n"/>
      <c r="H1859" s="54" t="n"/>
      <c r="I1859" s="54" t="n"/>
      <c r="J1859" s="53" t="n"/>
      <c r="K1859" s="55" t="str">
        <f>IF(COUNTA(A1859:I1859)=0,"",IF(F1859="",IFERROR(INDEX(eq_dur,MATCH(B1859,eq_code,0)),""),F1859))</f>
        <v/>
      </c>
      <c r="L1859" s="55" t="str">
        <f>IF(ISNUMBER(K1859),N(IFERROR(INDEX(eq_pause,MATCH(B1859,eq_code,0)),0))+SUMIFS(st_min,st_date,A1859,st_eq,B1859,st_po,C1859,st_type,"Planifié"),"")</f>
        <v/>
      </c>
      <c r="M1859" s="55" t="str">
        <f>IF(ISNUMBER(K1859),K1859-L1859,"")</f>
        <v/>
      </c>
      <c r="N1859" s="55" t="str">
        <f>IF(ISNUMBER(K1859),SUMIFS(st_min,st_date,A1859,st_eq,B1859,st_po,C1859,st_type,"Non planifié"),"")</f>
        <v/>
      </c>
      <c r="O1859" s="55" t="str">
        <f>IF(ISNUMBER(K1859),M1859-N1859,"")</f>
        <v/>
      </c>
      <c r="P1859" s="55" t="str">
        <f>IF(COUNTA(A1859:I1859)=0,"",N(G1859)+N(H1859)+N(I1859))</f>
        <v/>
      </c>
      <c r="Q1859" s="56" t="str">
        <f>IF(COUNTA(A1859:I1859)=0,"",IF(N(IFERROR(INDEX(art_rate,MATCH(E1859,art_ref,0)),0))&gt;0,N(IFERROR(INDEX(art_rate,MATCH(E1859,art_ref,0)),0)),N(IFERROR(INDEX(po_rate,MATCH(C1859,po_code,0)),0))))</f>
        <v/>
      </c>
      <c r="R1859" s="55" t="str">
        <f>IF(AC1859=1,P1859*60/Q1859,"")</f>
        <v/>
      </c>
      <c r="S1859" s="55" t="str">
        <f>IF(AC1859=1,N(G1859)*60/Q1859,"")</f>
        <v/>
      </c>
      <c r="T1859" s="57" t="str">
        <f>IF(AC1859=1,O1859/M1859,"")</f>
        <v/>
      </c>
      <c r="U1859" s="57" t="str">
        <f>IF(AC1859=1,IF(O1859&gt;0,R1859/O1859,""),"")</f>
        <v/>
      </c>
      <c r="V1859" s="57" t="str">
        <f>IF(AC1859=1,IF(P1859&gt;0,N(G1859)/P1859,""),"")</f>
        <v/>
      </c>
      <c r="W1859" s="57" t="str">
        <f>IF(AC1859=1,S1859/M1859,"")</f>
        <v/>
      </c>
      <c r="X1859" s="57" t="str">
        <f>IF(AC1859=1,S1859/K1859,"")</f>
        <v/>
      </c>
      <c r="Y1859" s="58" t="str">
        <f>IF(W1859="","",IF(W1859&gt;=p_target,"Bon",IF(W1859&gt;=p_alert,"À surveiller","Faible")))</f>
        <v/>
      </c>
      <c r="Z1859" s="58" t="str">
        <f>IF(W1859="","",IF(MIN(IF(T1859="",1,T1859),IF(U1859="",1,U1859),IF(V1859="",1,V1859))&gt;=1,"Aucune",IF(IF(T1859="",1,T1859)&lt;=MIN(IF(U1859="",1,U1859),IF(V1859="",1,V1859)),"Disponibilité",IF(IF(U1859="",1,U1859)&lt;=IF(V1859="",1,V1859),"Performance","Qualité"))))</f>
        <v/>
      </c>
      <c r="AA1859" s="59" t="str">
        <f>IF(AC1859=1,N(H1859)*N(IFERROR(INDEX(art_cost,MATCH(E1859,art_ref,0)),0)),"")</f>
        <v/>
      </c>
      <c r="AB1859" s="58" t="str">
        <f>IF(COUNTA(A1859:I1859)=0,"",IF(N(A1859)&lt;=0,"Date manquante ou invalide",IF(B1859="","Équipe manquante",IF(ISNA(MATCH(B1859,eq_code,0)),"Équipe inconnue",IF(INDEX(eq_check,MATCH(B1859,eq_code,0))&lt;&gt;"OK","Équipe à corriger dans Paramètres",IF(C1859="","Poste manquant",IF(ISNA(MATCH(C1859,po_code,0)),"Poste inconnu",IF(AND(E1859&lt;&gt;"",ISNA(MATCH(E1859,art_ref,0))),"Article inconnu",IF(IF(E1859="",FALSE,INDEX(art_check,MATCH(E1859,art_ref,0))&lt;&gt;"OK"),"Article à corriger (feuille Articles)",IF(COUNTIFS(sj_date,A1859,sj_eq,B1859,sj_po,C1859)&gt;1,"Ligne en double (même jour, équipe et poste)",IF(OR(NOT(ISNUMBER(K1859)),N(K1859)&lt;=0,N(K1859)&gt;1440),"Temps d'ouverture invalide",IF(OR(AND(G1859&lt;&gt;"",NOT(ISNUMBER(G1859))),N(G1859)&lt;0,N(G1859)&lt;&gt;INT(N(G1859)),AND(H1859&lt;&gt;"",NOT(ISNUMBER(H1859))),N(H1859)&lt;0,N(H1859)&lt;&gt;INT(N(H1859)),AND(I1859&lt;&gt;"",NOT(ISNUMBER(I1859))),N(I1859)&lt;0,N(I1859)&lt;&gt;INT(N(I1859))),"Quantité invalide",IF(Q1859&lt;=0,"Cadence manquante (poste ou article)",IF(M1859&lt;=0,"Arrêts planifiés supérieurs au temps d'ouverture",IF(O1859&lt;0,"Arrêts supérieurs au temps requis",IF(AND(P1859&gt;0,O1859=0),"Pièces déclarées sans temps de marche",IF(AND(P1859=0,O1859&gt;0),"Aucune pièce déclarée",IF(P1859*60/Q1859&gt;O1859+0.001,"Cadence dépassée : vérifiez la cadence","OK"))))))))))))))))))</f>
        <v/>
      </c>
      <c r="AC1859">
        <f>IF(OR(AB1859="OK",AB1859="Aucune pièce déclarée",AB1859="Cadence dépassée : vérifiez la cadence"),1,0)</f>
        <v>0.0</v>
      </c>
      <c r="AD1859">
        <f>IF(AND(AC1859=1,A1859&gt;=p_from,A1859&lt;=p_to),1,0)</f>
        <v>0.0</v>
      </c>
      <c r="AE1859">
        <f>IF(AD1859=1,IF(COUNTIFS($A$6:A1859,A1859,$AD$6:AD1859,1)=1,1,0),0)</f>
        <v>0.0</v>
      </c>
      <c r="AF1859" t="str">
        <f>IF(AE1859=1,COUNTIFS(sj_first,1,sj_date,"&lt;"&amp;A1859)+1,"")</f>
        <v/>
      </c>
      <c r="AG1859" t="str">
        <f>IF(AND(AD1859=1,N(W1859)&lt;p_alert),ROUND(W1859,4),"")</f>
        <v/>
      </c>
      <c r="AH1859" t="str">
        <f>IF(AG1859="","",COUNTIF(sj_akey,"&lt;"&amp;AG1859)+COUNTIF($AG$6:AG1859,AG1859))</f>
        <v/>
      </c>
    </row>
    <row r="1860">
      <c r="A1860" s="51" t="n"/>
      <c r="B1860" s="52" t="n"/>
      <c r="C1860" s="52" t="n"/>
      <c r="D1860" s="53" t="n"/>
      <c r="E1860" s="53" t="n"/>
      <c r="F1860" s="54" t="n"/>
      <c r="G1860" s="54" t="n"/>
      <c r="H1860" s="54" t="n"/>
      <c r="I1860" s="54" t="n"/>
      <c r="J1860" s="53" t="n"/>
      <c r="K1860" s="55" t="str">
        <f>IF(COUNTA(A1860:I1860)=0,"",IF(F1860="",IFERROR(INDEX(eq_dur,MATCH(B1860,eq_code,0)),""),F1860))</f>
        <v/>
      </c>
      <c r="L1860" s="55" t="str">
        <f>IF(ISNUMBER(K1860),N(IFERROR(INDEX(eq_pause,MATCH(B1860,eq_code,0)),0))+SUMIFS(st_min,st_date,A1860,st_eq,B1860,st_po,C1860,st_type,"Planifié"),"")</f>
        <v/>
      </c>
      <c r="M1860" s="55" t="str">
        <f>IF(ISNUMBER(K1860),K1860-L1860,"")</f>
        <v/>
      </c>
      <c r="N1860" s="55" t="str">
        <f>IF(ISNUMBER(K1860),SUMIFS(st_min,st_date,A1860,st_eq,B1860,st_po,C1860,st_type,"Non planifié"),"")</f>
        <v/>
      </c>
      <c r="O1860" s="55" t="str">
        <f>IF(ISNUMBER(K1860),M1860-N1860,"")</f>
        <v/>
      </c>
      <c r="P1860" s="55" t="str">
        <f>IF(COUNTA(A1860:I1860)=0,"",N(G1860)+N(H1860)+N(I1860))</f>
        <v/>
      </c>
      <c r="Q1860" s="56" t="str">
        <f>IF(COUNTA(A1860:I1860)=0,"",IF(N(IFERROR(INDEX(art_rate,MATCH(E1860,art_ref,0)),0))&gt;0,N(IFERROR(INDEX(art_rate,MATCH(E1860,art_ref,0)),0)),N(IFERROR(INDEX(po_rate,MATCH(C1860,po_code,0)),0))))</f>
        <v/>
      </c>
      <c r="R1860" s="55" t="str">
        <f>IF(AC1860=1,P1860*60/Q1860,"")</f>
        <v/>
      </c>
      <c r="S1860" s="55" t="str">
        <f>IF(AC1860=1,N(G1860)*60/Q1860,"")</f>
        <v/>
      </c>
      <c r="T1860" s="57" t="str">
        <f>IF(AC1860=1,O1860/M1860,"")</f>
        <v/>
      </c>
      <c r="U1860" s="57" t="str">
        <f>IF(AC1860=1,IF(O1860&gt;0,R1860/O1860,""),"")</f>
        <v/>
      </c>
      <c r="V1860" s="57" t="str">
        <f>IF(AC1860=1,IF(P1860&gt;0,N(G1860)/P1860,""),"")</f>
        <v/>
      </c>
      <c r="W1860" s="57" t="str">
        <f>IF(AC1860=1,S1860/M1860,"")</f>
        <v/>
      </c>
      <c r="X1860" s="57" t="str">
        <f>IF(AC1860=1,S1860/K1860,"")</f>
        <v/>
      </c>
      <c r="Y1860" s="58" t="str">
        <f>IF(W1860="","",IF(W1860&gt;=p_target,"Bon",IF(W1860&gt;=p_alert,"À surveiller","Faible")))</f>
        <v/>
      </c>
      <c r="Z1860" s="58" t="str">
        <f>IF(W1860="","",IF(MIN(IF(T1860="",1,T1860),IF(U1860="",1,U1860),IF(V1860="",1,V1860))&gt;=1,"Aucune",IF(IF(T1860="",1,T1860)&lt;=MIN(IF(U1860="",1,U1860),IF(V1860="",1,V1860)),"Disponibilité",IF(IF(U1860="",1,U1860)&lt;=IF(V1860="",1,V1860),"Performance","Qualité"))))</f>
        <v/>
      </c>
      <c r="AA1860" s="59" t="str">
        <f>IF(AC1860=1,N(H1860)*N(IFERROR(INDEX(art_cost,MATCH(E1860,art_ref,0)),0)),"")</f>
        <v/>
      </c>
      <c r="AB1860" s="58" t="str">
        <f>IF(COUNTA(A1860:I1860)=0,"",IF(N(A1860)&lt;=0,"Date manquante ou invalide",IF(B1860="","Équipe manquante",IF(ISNA(MATCH(B1860,eq_code,0)),"Équipe inconnue",IF(INDEX(eq_check,MATCH(B1860,eq_code,0))&lt;&gt;"OK","Équipe à corriger dans Paramètres",IF(C1860="","Poste manquant",IF(ISNA(MATCH(C1860,po_code,0)),"Poste inconnu",IF(AND(E1860&lt;&gt;"",ISNA(MATCH(E1860,art_ref,0))),"Article inconnu",IF(IF(E1860="",FALSE,INDEX(art_check,MATCH(E1860,art_ref,0))&lt;&gt;"OK"),"Article à corriger (feuille Articles)",IF(COUNTIFS(sj_date,A1860,sj_eq,B1860,sj_po,C1860)&gt;1,"Ligne en double (même jour, équipe et poste)",IF(OR(NOT(ISNUMBER(K1860)),N(K1860)&lt;=0,N(K1860)&gt;1440),"Temps d'ouverture invalide",IF(OR(AND(G1860&lt;&gt;"",NOT(ISNUMBER(G1860))),N(G1860)&lt;0,N(G1860)&lt;&gt;INT(N(G1860)),AND(H1860&lt;&gt;"",NOT(ISNUMBER(H1860))),N(H1860)&lt;0,N(H1860)&lt;&gt;INT(N(H1860)),AND(I1860&lt;&gt;"",NOT(ISNUMBER(I1860))),N(I1860)&lt;0,N(I1860)&lt;&gt;INT(N(I1860))),"Quantité invalide",IF(Q1860&lt;=0,"Cadence manquante (poste ou article)",IF(M1860&lt;=0,"Arrêts planifiés supérieurs au temps d'ouverture",IF(O1860&lt;0,"Arrêts supérieurs au temps requis",IF(AND(P1860&gt;0,O1860=0),"Pièces déclarées sans temps de marche",IF(AND(P1860=0,O1860&gt;0),"Aucune pièce déclarée",IF(P1860*60/Q1860&gt;O1860+0.001,"Cadence dépassée : vérifiez la cadence","OK"))))))))))))))))))</f>
        <v/>
      </c>
      <c r="AC1860">
        <f>IF(OR(AB1860="OK",AB1860="Aucune pièce déclarée",AB1860="Cadence dépassée : vérifiez la cadence"),1,0)</f>
        <v>0.0</v>
      </c>
      <c r="AD1860">
        <f>IF(AND(AC1860=1,A1860&gt;=p_from,A1860&lt;=p_to),1,0)</f>
        <v>0.0</v>
      </c>
      <c r="AE1860">
        <f>IF(AD1860=1,IF(COUNTIFS($A$6:A1860,A1860,$AD$6:AD1860,1)=1,1,0),0)</f>
        <v>0.0</v>
      </c>
      <c r="AF1860" t="str">
        <f>IF(AE1860=1,COUNTIFS(sj_first,1,sj_date,"&lt;"&amp;A1860)+1,"")</f>
        <v/>
      </c>
      <c r="AG1860" t="str">
        <f>IF(AND(AD1860=1,N(W1860)&lt;p_alert),ROUND(W1860,4),"")</f>
        <v/>
      </c>
      <c r="AH1860" t="str">
        <f>IF(AG1860="","",COUNTIF(sj_akey,"&lt;"&amp;AG1860)+COUNTIF($AG$6:AG1860,AG1860))</f>
        <v/>
      </c>
    </row>
    <row r="1861">
      <c r="A1861" s="51" t="n"/>
      <c r="B1861" s="52" t="n"/>
      <c r="C1861" s="52" t="n"/>
      <c r="D1861" s="53" t="n"/>
      <c r="E1861" s="53" t="n"/>
      <c r="F1861" s="54" t="n"/>
      <c r="G1861" s="54" t="n"/>
      <c r="H1861" s="54" t="n"/>
      <c r="I1861" s="54" t="n"/>
      <c r="J1861" s="53" t="n"/>
      <c r="K1861" s="55" t="str">
        <f>IF(COUNTA(A1861:I1861)=0,"",IF(F1861="",IFERROR(INDEX(eq_dur,MATCH(B1861,eq_code,0)),""),F1861))</f>
        <v/>
      </c>
      <c r="L1861" s="55" t="str">
        <f>IF(ISNUMBER(K1861),N(IFERROR(INDEX(eq_pause,MATCH(B1861,eq_code,0)),0))+SUMIFS(st_min,st_date,A1861,st_eq,B1861,st_po,C1861,st_type,"Planifié"),"")</f>
        <v/>
      </c>
      <c r="M1861" s="55" t="str">
        <f>IF(ISNUMBER(K1861),K1861-L1861,"")</f>
        <v/>
      </c>
      <c r="N1861" s="55" t="str">
        <f>IF(ISNUMBER(K1861),SUMIFS(st_min,st_date,A1861,st_eq,B1861,st_po,C1861,st_type,"Non planifié"),"")</f>
        <v/>
      </c>
      <c r="O1861" s="55" t="str">
        <f>IF(ISNUMBER(K1861),M1861-N1861,"")</f>
        <v/>
      </c>
      <c r="P1861" s="55" t="str">
        <f>IF(COUNTA(A1861:I1861)=0,"",N(G1861)+N(H1861)+N(I1861))</f>
        <v/>
      </c>
      <c r="Q1861" s="56" t="str">
        <f>IF(COUNTA(A1861:I1861)=0,"",IF(N(IFERROR(INDEX(art_rate,MATCH(E1861,art_ref,0)),0))&gt;0,N(IFERROR(INDEX(art_rate,MATCH(E1861,art_ref,0)),0)),N(IFERROR(INDEX(po_rate,MATCH(C1861,po_code,0)),0))))</f>
        <v/>
      </c>
      <c r="R1861" s="55" t="str">
        <f>IF(AC1861=1,P1861*60/Q1861,"")</f>
        <v/>
      </c>
      <c r="S1861" s="55" t="str">
        <f>IF(AC1861=1,N(G1861)*60/Q1861,"")</f>
        <v/>
      </c>
      <c r="T1861" s="57" t="str">
        <f>IF(AC1861=1,O1861/M1861,"")</f>
        <v/>
      </c>
      <c r="U1861" s="57" t="str">
        <f>IF(AC1861=1,IF(O1861&gt;0,R1861/O1861,""),"")</f>
        <v/>
      </c>
      <c r="V1861" s="57" t="str">
        <f>IF(AC1861=1,IF(P1861&gt;0,N(G1861)/P1861,""),"")</f>
        <v/>
      </c>
      <c r="W1861" s="57" t="str">
        <f>IF(AC1861=1,S1861/M1861,"")</f>
        <v/>
      </c>
      <c r="X1861" s="57" t="str">
        <f>IF(AC1861=1,S1861/K1861,"")</f>
        <v/>
      </c>
      <c r="Y1861" s="58" t="str">
        <f>IF(W1861="","",IF(W1861&gt;=p_target,"Bon",IF(W1861&gt;=p_alert,"À surveiller","Faible")))</f>
        <v/>
      </c>
      <c r="Z1861" s="58" t="str">
        <f>IF(W1861="","",IF(MIN(IF(T1861="",1,T1861),IF(U1861="",1,U1861),IF(V1861="",1,V1861))&gt;=1,"Aucune",IF(IF(T1861="",1,T1861)&lt;=MIN(IF(U1861="",1,U1861),IF(V1861="",1,V1861)),"Disponibilité",IF(IF(U1861="",1,U1861)&lt;=IF(V1861="",1,V1861),"Performance","Qualité"))))</f>
        <v/>
      </c>
      <c r="AA1861" s="59" t="str">
        <f>IF(AC1861=1,N(H1861)*N(IFERROR(INDEX(art_cost,MATCH(E1861,art_ref,0)),0)),"")</f>
        <v/>
      </c>
      <c r="AB1861" s="58" t="str">
        <f>IF(COUNTA(A1861:I1861)=0,"",IF(N(A1861)&lt;=0,"Date manquante ou invalide",IF(B1861="","Équipe manquante",IF(ISNA(MATCH(B1861,eq_code,0)),"Équipe inconnue",IF(INDEX(eq_check,MATCH(B1861,eq_code,0))&lt;&gt;"OK","Équipe à corriger dans Paramètres",IF(C1861="","Poste manquant",IF(ISNA(MATCH(C1861,po_code,0)),"Poste inconnu",IF(AND(E1861&lt;&gt;"",ISNA(MATCH(E1861,art_ref,0))),"Article inconnu",IF(IF(E1861="",FALSE,INDEX(art_check,MATCH(E1861,art_ref,0))&lt;&gt;"OK"),"Article à corriger (feuille Articles)",IF(COUNTIFS(sj_date,A1861,sj_eq,B1861,sj_po,C1861)&gt;1,"Ligne en double (même jour, équipe et poste)",IF(OR(NOT(ISNUMBER(K1861)),N(K1861)&lt;=0,N(K1861)&gt;1440),"Temps d'ouverture invalide",IF(OR(AND(G1861&lt;&gt;"",NOT(ISNUMBER(G1861))),N(G1861)&lt;0,N(G1861)&lt;&gt;INT(N(G1861)),AND(H1861&lt;&gt;"",NOT(ISNUMBER(H1861))),N(H1861)&lt;0,N(H1861)&lt;&gt;INT(N(H1861)),AND(I1861&lt;&gt;"",NOT(ISNUMBER(I1861))),N(I1861)&lt;0,N(I1861)&lt;&gt;INT(N(I1861))),"Quantité invalide",IF(Q1861&lt;=0,"Cadence manquante (poste ou article)",IF(M1861&lt;=0,"Arrêts planifiés supérieurs au temps d'ouverture",IF(O1861&lt;0,"Arrêts supérieurs au temps requis",IF(AND(P1861&gt;0,O1861=0),"Pièces déclarées sans temps de marche",IF(AND(P1861=0,O1861&gt;0),"Aucune pièce déclarée",IF(P1861*60/Q1861&gt;O1861+0.001,"Cadence dépassée : vérifiez la cadence","OK"))))))))))))))))))</f>
        <v/>
      </c>
      <c r="AC1861">
        <f>IF(OR(AB1861="OK",AB1861="Aucune pièce déclarée",AB1861="Cadence dépassée : vérifiez la cadence"),1,0)</f>
        <v>0.0</v>
      </c>
      <c r="AD1861">
        <f>IF(AND(AC1861=1,A1861&gt;=p_from,A1861&lt;=p_to),1,0)</f>
        <v>0.0</v>
      </c>
      <c r="AE1861">
        <f>IF(AD1861=1,IF(COUNTIFS($A$6:A1861,A1861,$AD$6:AD1861,1)=1,1,0),0)</f>
        <v>0.0</v>
      </c>
      <c r="AF1861" t="str">
        <f>IF(AE1861=1,COUNTIFS(sj_first,1,sj_date,"&lt;"&amp;A1861)+1,"")</f>
        <v/>
      </c>
      <c r="AG1861" t="str">
        <f>IF(AND(AD1861=1,N(W1861)&lt;p_alert),ROUND(W1861,4),"")</f>
        <v/>
      </c>
      <c r="AH1861" t="str">
        <f>IF(AG1861="","",COUNTIF(sj_akey,"&lt;"&amp;AG1861)+COUNTIF($AG$6:AG1861,AG1861))</f>
        <v/>
      </c>
    </row>
    <row r="1862">
      <c r="A1862" s="51" t="n"/>
      <c r="B1862" s="52" t="n"/>
      <c r="C1862" s="52" t="n"/>
      <c r="D1862" s="53" t="n"/>
      <c r="E1862" s="53" t="n"/>
      <c r="F1862" s="54" t="n"/>
      <c r="G1862" s="54" t="n"/>
      <c r="H1862" s="54" t="n"/>
      <c r="I1862" s="54" t="n"/>
      <c r="J1862" s="53" t="n"/>
      <c r="K1862" s="55" t="str">
        <f>IF(COUNTA(A1862:I1862)=0,"",IF(F1862="",IFERROR(INDEX(eq_dur,MATCH(B1862,eq_code,0)),""),F1862))</f>
        <v/>
      </c>
      <c r="L1862" s="55" t="str">
        <f>IF(ISNUMBER(K1862),N(IFERROR(INDEX(eq_pause,MATCH(B1862,eq_code,0)),0))+SUMIFS(st_min,st_date,A1862,st_eq,B1862,st_po,C1862,st_type,"Planifié"),"")</f>
        <v/>
      </c>
      <c r="M1862" s="55" t="str">
        <f>IF(ISNUMBER(K1862),K1862-L1862,"")</f>
        <v/>
      </c>
      <c r="N1862" s="55" t="str">
        <f>IF(ISNUMBER(K1862),SUMIFS(st_min,st_date,A1862,st_eq,B1862,st_po,C1862,st_type,"Non planifié"),"")</f>
        <v/>
      </c>
      <c r="O1862" s="55" t="str">
        <f>IF(ISNUMBER(K1862),M1862-N1862,"")</f>
        <v/>
      </c>
      <c r="P1862" s="55" t="str">
        <f>IF(COUNTA(A1862:I1862)=0,"",N(G1862)+N(H1862)+N(I1862))</f>
        <v/>
      </c>
      <c r="Q1862" s="56" t="str">
        <f>IF(COUNTA(A1862:I1862)=0,"",IF(N(IFERROR(INDEX(art_rate,MATCH(E1862,art_ref,0)),0))&gt;0,N(IFERROR(INDEX(art_rate,MATCH(E1862,art_ref,0)),0)),N(IFERROR(INDEX(po_rate,MATCH(C1862,po_code,0)),0))))</f>
        <v/>
      </c>
      <c r="R1862" s="55" t="str">
        <f>IF(AC1862=1,P1862*60/Q1862,"")</f>
        <v/>
      </c>
      <c r="S1862" s="55" t="str">
        <f>IF(AC1862=1,N(G1862)*60/Q1862,"")</f>
        <v/>
      </c>
      <c r="T1862" s="57" t="str">
        <f>IF(AC1862=1,O1862/M1862,"")</f>
        <v/>
      </c>
      <c r="U1862" s="57" t="str">
        <f>IF(AC1862=1,IF(O1862&gt;0,R1862/O1862,""),"")</f>
        <v/>
      </c>
      <c r="V1862" s="57" t="str">
        <f>IF(AC1862=1,IF(P1862&gt;0,N(G1862)/P1862,""),"")</f>
        <v/>
      </c>
      <c r="W1862" s="57" t="str">
        <f>IF(AC1862=1,S1862/M1862,"")</f>
        <v/>
      </c>
      <c r="X1862" s="57" t="str">
        <f>IF(AC1862=1,S1862/K1862,"")</f>
        <v/>
      </c>
      <c r="Y1862" s="58" t="str">
        <f>IF(W1862="","",IF(W1862&gt;=p_target,"Bon",IF(W1862&gt;=p_alert,"À surveiller","Faible")))</f>
        <v/>
      </c>
      <c r="Z1862" s="58" t="str">
        <f>IF(W1862="","",IF(MIN(IF(T1862="",1,T1862),IF(U1862="",1,U1862),IF(V1862="",1,V1862))&gt;=1,"Aucune",IF(IF(T1862="",1,T1862)&lt;=MIN(IF(U1862="",1,U1862),IF(V1862="",1,V1862)),"Disponibilité",IF(IF(U1862="",1,U1862)&lt;=IF(V1862="",1,V1862),"Performance","Qualité"))))</f>
        <v/>
      </c>
      <c r="AA1862" s="59" t="str">
        <f>IF(AC1862=1,N(H1862)*N(IFERROR(INDEX(art_cost,MATCH(E1862,art_ref,0)),0)),"")</f>
        <v/>
      </c>
      <c r="AB1862" s="58" t="str">
        <f>IF(COUNTA(A1862:I1862)=0,"",IF(N(A1862)&lt;=0,"Date manquante ou invalide",IF(B1862="","Équipe manquante",IF(ISNA(MATCH(B1862,eq_code,0)),"Équipe inconnue",IF(INDEX(eq_check,MATCH(B1862,eq_code,0))&lt;&gt;"OK","Équipe à corriger dans Paramètres",IF(C1862="","Poste manquant",IF(ISNA(MATCH(C1862,po_code,0)),"Poste inconnu",IF(AND(E1862&lt;&gt;"",ISNA(MATCH(E1862,art_ref,0))),"Article inconnu",IF(IF(E1862="",FALSE,INDEX(art_check,MATCH(E1862,art_ref,0))&lt;&gt;"OK"),"Article à corriger (feuille Articles)",IF(COUNTIFS(sj_date,A1862,sj_eq,B1862,sj_po,C1862)&gt;1,"Ligne en double (même jour, équipe et poste)",IF(OR(NOT(ISNUMBER(K1862)),N(K1862)&lt;=0,N(K1862)&gt;1440),"Temps d'ouverture invalide",IF(OR(AND(G1862&lt;&gt;"",NOT(ISNUMBER(G1862))),N(G1862)&lt;0,N(G1862)&lt;&gt;INT(N(G1862)),AND(H1862&lt;&gt;"",NOT(ISNUMBER(H1862))),N(H1862)&lt;0,N(H1862)&lt;&gt;INT(N(H1862)),AND(I1862&lt;&gt;"",NOT(ISNUMBER(I1862))),N(I1862)&lt;0,N(I1862)&lt;&gt;INT(N(I1862))),"Quantité invalide",IF(Q1862&lt;=0,"Cadence manquante (poste ou article)",IF(M1862&lt;=0,"Arrêts planifiés supérieurs au temps d'ouverture",IF(O1862&lt;0,"Arrêts supérieurs au temps requis",IF(AND(P1862&gt;0,O1862=0),"Pièces déclarées sans temps de marche",IF(AND(P1862=0,O1862&gt;0),"Aucune pièce déclarée",IF(P1862*60/Q1862&gt;O1862+0.001,"Cadence dépassée : vérifiez la cadence","OK"))))))))))))))))))</f>
        <v/>
      </c>
      <c r="AC1862">
        <f>IF(OR(AB1862="OK",AB1862="Aucune pièce déclarée",AB1862="Cadence dépassée : vérifiez la cadence"),1,0)</f>
        <v>0.0</v>
      </c>
      <c r="AD1862">
        <f>IF(AND(AC1862=1,A1862&gt;=p_from,A1862&lt;=p_to),1,0)</f>
        <v>0.0</v>
      </c>
      <c r="AE1862">
        <f>IF(AD1862=1,IF(COUNTIFS($A$6:A1862,A1862,$AD$6:AD1862,1)=1,1,0),0)</f>
        <v>0.0</v>
      </c>
      <c r="AF1862" t="str">
        <f>IF(AE1862=1,COUNTIFS(sj_first,1,sj_date,"&lt;"&amp;A1862)+1,"")</f>
        <v/>
      </c>
      <c r="AG1862" t="str">
        <f>IF(AND(AD1862=1,N(W1862)&lt;p_alert),ROUND(W1862,4),"")</f>
        <v/>
      </c>
      <c r="AH1862" t="str">
        <f>IF(AG1862="","",COUNTIF(sj_akey,"&lt;"&amp;AG1862)+COUNTIF($AG$6:AG1862,AG1862))</f>
        <v/>
      </c>
    </row>
    <row r="1863">
      <c r="A1863" s="51" t="n"/>
      <c r="B1863" s="52" t="n"/>
      <c r="C1863" s="52" t="n"/>
      <c r="D1863" s="53" t="n"/>
      <c r="E1863" s="53" t="n"/>
      <c r="F1863" s="54" t="n"/>
      <c r="G1863" s="54" t="n"/>
      <c r="H1863" s="54" t="n"/>
      <c r="I1863" s="54" t="n"/>
      <c r="J1863" s="53" t="n"/>
      <c r="K1863" s="55" t="str">
        <f>IF(COUNTA(A1863:I1863)=0,"",IF(F1863="",IFERROR(INDEX(eq_dur,MATCH(B1863,eq_code,0)),""),F1863))</f>
        <v/>
      </c>
      <c r="L1863" s="55" t="str">
        <f>IF(ISNUMBER(K1863),N(IFERROR(INDEX(eq_pause,MATCH(B1863,eq_code,0)),0))+SUMIFS(st_min,st_date,A1863,st_eq,B1863,st_po,C1863,st_type,"Planifié"),"")</f>
        <v/>
      </c>
      <c r="M1863" s="55" t="str">
        <f>IF(ISNUMBER(K1863),K1863-L1863,"")</f>
        <v/>
      </c>
      <c r="N1863" s="55" t="str">
        <f>IF(ISNUMBER(K1863),SUMIFS(st_min,st_date,A1863,st_eq,B1863,st_po,C1863,st_type,"Non planifié"),"")</f>
        <v/>
      </c>
      <c r="O1863" s="55" t="str">
        <f>IF(ISNUMBER(K1863),M1863-N1863,"")</f>
        <v/>
      </c>
      <c r="P1863" s="55" t="str">
        <f>IF(COUNTA(A1863:I1863)=0,"",N(G1863)+N(H1863)+N(I1863))</f>
        <v/>
      </c>
      <c r="Q1863" s="56" t="str">
        <f>IF(COUNTA(A1863:I1863)=0,"",IF(N(IFERROR(INDEX(art_rate,MATCH(E1863,art_ref,0)),0))&gt;0,N(IFERROR(INDEX(art_rate,MATCH(E1863,art_ref,0)),0)),N(IFERROR(INDEX(po_rate,MATCH(C1863,po_code,0)),0))))</f>
        <v/>
      </c>
      <c r="R1863" s="55" t="str">
        <f>IF(AC1863=1,P1863*60/Q1863,"")</f>
        <v/>
      </c>
      <c r="S1863" s="55" t="str">
        <f>IF(AC1863=1,N(G1863)*60/Q1863,"")</f>
        <v/>
      </c>
      <c r="T1863" s="57" t="str">
        <f>IF(AC1863=1,O1863/M1863,"")</f>
        <v/>
      </c>
      <c r="U1863" s="57" t="str">
        <f>IF(AC1863=1,IF(O1863&gt;0,R1863/O1863,""),"")</f>
        <v/>
      </c>
      <c r="V1863" s="57" t="str">
        <f>IF(AC1863=1,IF(P1863&gt;0,N(G1863)/P1863,""),"")</f>
        <v/>
      </c>
      <c r="W1863" s="57" t="str">
        <f>IF(AC1863=1,S1863/M1863,"")</f>
        <v/>
      </c>
      <c r="X1863" s="57" t="str">
        <f>IF(AC1863=1,S1863/K1863,"")</f>
        <v/>
      </c>
      <c r="Y1863" s="58" t="str">
        <f>IF(W1863="","",IF(W1863&gt;=p_target,"Bon",IF(W1863&gt;=p_alert,"À surveiller","Faible")))</f>
        <v/>
      </c>
      <c r="Z1863" s="58" t="str">
        <f>IF(W1863="","",IF(MIN(IF(T1863="",1,T1863),IF(U1863="",1,U1863),IF(V1863="",1,V1863))&gt;=1,"Aucune",IF(IF(T1863="",1,T1863)&lt;=MIN(IF(U1863="",1,U1863),IF(V1863="",1,V1863)),"Disponibilité",IF(IF(U1863="",1,U1863)&lt;=IF(V1863="",1,V1863),"Performance","Qualité"))))</f>
        <v/>
      </c>
      <c r="AA1863" s="59" t="str">
        <f>IF(AC1863=1,N(H1863)*N(IFERROR(INDEX(art_cost,MATCH(E1863,art_ref,0)),0)),"")</f>
        <v/>
      </c>
      <c r="AB1863" s="58" t="str">
        <f>IF(COUNTA(A1863:I1863)=0,"",IF(N(A1863)&lt;=0,"Date manquante ou invalide",IF(B1863="","Équipe manquante",IF(ISNA(MATCH(B1863,eq_code,0)),"Équipe inconnue",IF(INDEX(eq_check,MATCH(B1863,eq_code,0))&lt;&gt;"OK","Équipe à corriger dans Paramètres",IF(C1863="","Poste manquant",IF(ISNA(MATCH(C1863,po_code,0)),"Poste inconnu",IF(AND(E1863&lt;&gt;"",ISNA(MATCH(E1863,art_ref,0))),"Article inconnu",IF(IF(E1863="",FALSE,INDEX(art_check,MATCH(E1863,art_ref,0))&lt;&gt;"OK"),"Article à corriger (feuille Articles)",IF(COUNTIFS(sj_date,A1863,sj_eq,B1863,sj_po,C1863)&gt;1,"Ligne en double (même jour, équipe et poste)",IF(OR(NOT(ISNUMBER(K1863)),N(K1863)&lt;=0,N(K1863)&gt;1440),"Temps d'ouverture invalide",IF(OR(AND(G1863&lt;&gt;"",NOT(ISNUMBER(G1863))),N(G1863)&lt;0,N(G1863)&lt;&gt;INT(N(G1863)),AND(H1863&lt;&gt;"",NOT(ISNUMBER(H1863))),N(H1863)&lt;0,N(H1863)&lt;&gt;INT(N(H1863)),AND(I1863&lt;&gt;"",NOT(ISNUMBER(I1863))),N(I1863)&lt;0,N(I1863)&lt;&gt;INT(N(I1863))),"Quantité invalide",IF(Q1863&lt;=0,"Cadence manquante (poste ou article)",IF(M1863&lt;=0,"Arrêts planifiés supérieurs au temps d'ouverture",IF(O1863&lt;0,"Arrêts supérieurs au temps requis",IF(AND(P1863&gt;0,O1863=0),"Pièces déclarées sans temps de marche",IF(AND(P1863=0,O1863&gt;0),"Aucune pièce déclarée",IF(P1863*60/Q1863&gt;O1863+0.001,"Cadence dépassée : vérifiez la cadence","OK"))))))))))))))))))</f>
        <v/>
      </c>
      <c r="AC1863">
        <f>IF(OR(AB1863="OK",AB1863="Aucune pièce déclarée",AB1863="Cadence dépassée : vérifiez la cadence"),1,0)</f>
        <v>0.0</v>
      </c>
      <c r="AD1863">
        <f>IF(AND(AC1863=1,A1863&gt;=p_from,A1863&lt;=p_to),1,0)</f>
        <v>0.0</v>
      </c>
      <c r="AE1863">
        <f>IF(AD1863=1,IF(COUNTIFS($A$6:A1863,A1863,$AD$6:AD1863,1)=1,1,0),0)</f>
        <v>0.0</v>
      </c>
      <c r="AF1863" t="str">
        <f>IF(AE1863=1,COUNTIFS(sj_first,1,sj_date,"&lt;"&amp;A1863)+1,"")</f>
        <v/>
      </c>
      <c r="AG1863" t="str">
        <f>IF(AND(AD1863=1,N(W1863)&lt;p_alert),ROUND(W1863,4),"")</f>
        <v/>
      </c>
      <c r="AH1863" t="str">
        <f>IF(AG1863="","",COUNTIF(sj_akey,"&lt;"&amp;AG1863)+COUNTIF($AG$6:AG1863,AG1863))</f>
        <v/>
      </c>
    </row>
    <row r="1864">
      <c r="A1864" s="51" t="n"/>
      <c r="B1864" s="52" t="n"/>
      <c r="C1864" s="52" t="n"/>
      <c r="D1864" s="53" t="n"/>
      <c r="E1864" s="53" t="n"/>
      <c r="F1864" s="54" t="n"/>
      <c r="G1864" s="54" t="n"/>
      <c r="H1864" s="54" t="n"/>
      <c r="I1864" s="54" t="n"/>
      <c r="J1864" s="53" t="n"/>
      <c r="K1864" s="55" t="str">
        <f>IF(COUNTA(A1864:I1864)=0,"",IF(F1864="",IFERROR(INDEX(eq_dur,MATCH(B1864,eq_code,0)),""),F1864))</f>
        <v/>
      </c>
      <c r="L1864" s="55" t="str">
        <f>IF(ISNUMBER(K1864),N(IFERROR(INDEX(eq_pause,MATCH(B1864,eq_code,0)),0))+SUMIFS(st_min,st_date,A1864,st_eq,B1864,st_po,C1864,st_type,"Planifié"),"")</f>
        <v/>
      </c>
      <c r="M1864" s="55" t="str">
        <f>IF(ISNUMBER(K1864),K1864-L1864,"")</f>
        <v/>
      </c>
      <c r="N1864" s="55" t="str">
        <f>IF(ISNUMBER(K1864),SUMIFS(st_min,st_date,A1864,st_eq,B1864,st_po,C1864,st_type,"Non planifié"),"")</f>
        <v/>
      </c>
      <c r="O1864" s="55" t="str">
        <f>IF(ISNUMBER(K1864),M1864-N1864,"")</f>
        <v/>
      </c>
      <c r="P1864" s="55" t="str">
        <f>IF(COUNTA(A1864:I1864)=0,"",N(G1864)+N(H1864)+N(I1864))</f>
        <v/>
      </c>
      <c r="Q1864" s="56" t="str">
        <f>IF(COUNTA(A1864:I1864)=0,"",IF(N(IFERROR(INDEX(art_rate,MATCH(E1864,art_ref,0)),0))&gt;0,N(IFERROR(INDEX(art_rate,MATCH(E1864,art_ref,0)),0)),N(IFERROR(INDEX(po_rate,MATCH(C1864,po_code,0)),0))))</f>
        <v/>
      </c>
      <c r="R1864" s="55" t="str">
        <f>IF(AC1864=1,P1864*60/Q1864,"")</f>
        <v/>
      </c>
      <c r="S1864" s="55" t="str">
        <f>IF(AC1864=1,N(G1864)*60/Q1864,"")</f>
        <v/>
      </c>
      <c r="T1864" s="57" t="str">
        <f>IF(AC1864=1,O1864/M1864,"")</f>
        <v/>
      </c>
      <c r="U1864" s="57" t="str">
        <f>IF(AC1864=1,IF(O1864&gt;0,R1864/O1864,""),"")</f>
        <v/>
      </c>
      <c r="V1864" s="57" t="str">
        <f>IF(AC1864=1,IF(P1864&gt;0,N(G1864)/P1864,""),"")</f>
        <v/>
      </c>
      <c r="W1864" s="57" t="str">
        <f>IF(AC1864=1,S1864/M1864,"")</f>
        <v/>
      </c>
      <c r="X1864" s="57" t="str">
        <f>IF(AC1864=1,S1864/K1864,"")</f>
        <v/>
      </c>
      <c r="Y1864" s="58" t="str">
        <f>IF(W1864="","",IF(W1864&gt;=p_target,"Bon",IF(W1864&gt;=p_alert,"À surveiller","Faible")))</f>
        <v/>
      </c>
      <c r="Z1864" s="58" t="str">
        <f>IF(W1864="","",IF(MIN(IF(T1864="",1,T1864),IF(U1864="",1,U1864),IF(V1864="",1,V1864))&gt;=1,"Aucune",IF(IF(T1864="",1,T1864)&lt;=MIN(IF(U1864="",1,U1864),IF(V1864="",1,V1864)),"Disponibilité",IF(IF(U1864="",1,U1864)&lt;=IF(V1864="",1,V1864),"Performance","Qualité"))))</f>
        <v/>
      </c>
      <c r="AA1864" s="59" t="str">
        <f>IF(AC1864=1,N(H1864)*N(IFERROR(INDEX(art_cost,MATCH(E1864,art_ref,0)),0)),"")</f>
        <v/>
      </c>
      <c r="AB1864" s="58" t="str">
        <f>IF(COUNTA(A1864:I1864)=0,"",IF(N(A1864)&lt;=0,"Date manquante ou invalide",IF(B1864="","Équipe manquante",IF(ISNA(MATCH(B1864,eq_code,0)),"Équipe inconnue",IF(INDEX(eq_check,MATCH(B1864,eq_code,0))&lt;&gt;"OK","Équipe à corriger dans Paramètres",IF(C1864="","Poste manquant",IF(ISNA(MATCH(C1864,po_code,0)),"Poste inconnu",IF(AND(E1864&lt;&gt;"",ISNA(MATCH(E1864,art_ref,0))),"Article inconnu",IF(IF(E1864="",FALSE,INDEX(art_check,MATCH(E1864,art_ref,0))&lt;&gt;"OK"),"Article à corriger (feuille Articles)",IF(COUNTIFS(sj_date,A1864,sj_eq,B1864,sj_po,C1864)&gt;1,"Ligne en double (même jour, équipe et poste)",IF(OR(NOT(ISNUMBER(K1864)),N(K1864)&lt;=0,N(K1864)&gt;1440),"Temps d'ouverture invalide",IF(OR(AND(G1864&lt;&gt;"",NOT(ISNUMBER(G1864))),N(G1864)&lt;0,N(G1864)&lt;&gt;INT(N(G1864)),AND(H1864&lt;&gt;"",NOT(ISNUMBER(H1864))),N(H1864)&lt;0,N(H1864)&lt;&gt;INT(N(H1864)),AND(I1864&lt;&gt;"",NOT(ISNUMBER(I1864))),N(I1864)&lt;0,N(I1864)&lt;&gt;INT(N(I1864))),"Quantité invalide",IF(Q1864&lt;=0,"Cadence manquante (poste ou article)",IF(M1864&lt;=0,"Arrêts planifiés supérieurs au temps d'ouverture",IF(O1864&lt;0,"Arrêts supérieurs au temps requis",IF(AND(P1864&gt;0,O1864=0),"Pièces déclarées sans temps de marche",IF(AND(P1864=0,O1864&gt;0),"Aucune pièce déclarée",IF(P1864*60/Q1864&gt;O1864+0.001,"Cadence dépassée : vérifiez la cadence","OK"))))))))))))))))))</f>
        <v/>
      </c>
      <c r="AC1864">
        <f>IF(OR(AB1864="OK",AB1864="Aucune pièce déclarée",AB1864="Cadence dépassée : vérifiez la cadence"),1,0)</f>
        <v>0.0</v>
      </c>
      <c r="AD1864">
        <f>IF(AND(AC1864=1,A1864&gt;=p_from,A1864&lt;=p_to),1,0)</f>
        <v>0.0</v>
      </c>
      <c r="AE1864">
        <f>IF(AD1864=1,IF(COUNTIFS($A$6:A1864,A1864,$AD$6:AD1864,1)=1,1,0),0)</f>
        <v>0.0</v>
      </c>
      <c r="AF1864" t="str">
        <f>IF(AE1864=1,COUNTIFS(sj_first,1,sj_date,"&lt;"&amp;A1864)+1,"")</f>
        <v/>
      </c>
      <c r="AG1864" t="str">
        <f>IF(AND(AD1864=1,N(W1864)&lt;p_alert),ROUND(W1864,4),"")</f>
        <v/>
      </c>
      <c r="AH1864" t="str">
        <f>IF(AG1864="","",COUNTIF(sj_akey,"&lt;"&amp;AG1864)+COUNTIF($AG$6:AG1864,AG1864))</f>
        <v/>
      </c>
    </row>
    <row r="1865">
      <c r="A1865" s="51" t="n"/>
      <c r="B1865" s="52" t="n"/>
      <c r="C1865" s="52" t="n"/>
      <c r="D1865" s="53" t="n"/>
      <c r="E1865" s="53" t="n"/>
      <c r="F1865" s="54" t="n"/>
      <c r="G1865" s="54" t="n"/>
      <c r="H1865" s="54" t="n"/>
      <c r="I1865" s="54" t="n"/>
      <c r="J1865" s="53" t="n"/>
      <c r="K1865" s="55" t="str">
        <f>IF(COUNTA(A1865:I1865)=0,"",IF(F1865="",IFERROR(INDEX(eq_dur,MATCH(B1865,eq_code,0)),""),F1865))</f>
        <v/>
      </c>
      <c r="L1865" s="55" t="str">
        <f>IF(ISNUMBER(K1865),N(IFERROR(INDEX(eq_pause,MATCH(B1865,eq_code,0)),0))+SUMIFS(st_min,st_date,A1865,st_eq,B1865,st_po,C1865,st_type,"Planifié"),"")</f>
        <v/>
      </c>
      <c r="M1865" s="55" t="str">
        <f>IF(ISNUMBER(K1865),K1865-L1865,"")</f>
        <v/>
      </c>
      <c r="N1865" s="55" t="str">
        <f>IF(ISNUMBER(K1865),SUMIFS(st_min,st_date,A1865,st_eq,B1865,st_po,C1865,st_type,"Non planifié"),"")</f>
        <v/>
      </c>
      <c r="O1865" s="55" t="str">
        <f>IF(ISNUMBER(K1865),M1865-N1865,"")</f>
        <v/>
      </c>
      <c r="P1865" s="55" t="str">
        <f>IF(COUNTA(A1865:I1865)=0,"",N(G1865)+N(H1865)+N(I1865))</f>
        <v/>
      </c>
      <c r="Q1865" s="56" t="str">
        <f>IF(COUNTA(A1865:I1865)=0,"",IF(N(IFERROR(INDEX(art_rate,MATCH(E1865,art_ref,0)),0))&gt;0,N(IFERROR(INDEX(art_rate,MATCH(E1865,art_ref,0)),0)),N(IFERROR(INDEX(po_rate,MATCH(C1865,po_code,0)),0))))</f>
        <v/>
      </c>
      <c r="R1865" s="55" t="str">
        <f>IF(AC1865=1,P1865*60/Q1865,"")</f>
        <v/>
      </c>
      <c r="S1865" s="55" t="str">
        <f>IF(AC1865=1,N(G1865)*60/Q1865,"")</f>
        <v/>
      </c>
      <c r="T1865" s="57" t="str">
        <f>IF(AC1865=1,O1865/M1865,"")</f>
        <v/>
      </c>
      <c r="U1865" s="57" t="str">
        <f>IF(AC1865=1,IF(O1865&gt;0,R1865/O1865,""),"")</f>
        <v/>
      </c>
      <c r="V1865" s="57" t="str">
        <f>IF(AC1865=1,IF(P1865&gt;0,N(G1865)/P1865,""),"")</f>
        <v/>
      </c>
      <c r="W1865" s="57" t="str">
        <f>IF(AC1865=1,S1865/M1865,"")</f>
        <v/>
      </c>
      <c r="X1865" s="57" t="str">
        <f>IF(AC1865=1,S1865/K1865,"")</f>
        <v/>
      </c>
      <c r="Y1865" s="58" t="str">
        <f>IF(W1865="","",IF(W1865&gt;=p_target,"Bon",IF(W1865&gt;=p_alert,"À surveiller","Faible")))</f>
        <v/>
      </c>
      <c r="Z1865" s="58" t="str">
        <f>IF(W1865="","",IF(MIN(IF(T1865="",1,T1865),IF(U1865="",1,U1865),IF(V1865="",1,V1865))&gt;=1,"Aucune",IF(IF(T1865="",1,T1865)&lt;=MIN(IF(U1865="",1,U1865),IF(V1865="",1,V1865)),"Disponibilité",IF(IF(U1865="",1,U1865)&lt;=IF(V1865="",1,V1865),"Performance","Qualité"))))</f>
        <v/>
      </c>
      <c r="AA1865" s="59" t="str">
        <f>IF(AC1865=1,N(H1865)*N(IFERROR(INDEX(art_cost,MATCH(E1865,art_ref,0)),0)),"")</f>
        <v/>
      </c>
      <c r="AB1865" s="58" t="str">
        <f>IF(COUNTA(A1865:I1865)=0,"",IF(N(A1865)&lt;=0,"Date manquante ou invalide",IF(B1865="","Équipe manquante",IF(ISNA(MATCH(B1865,eq_code,0)),"Équipe inconnue",IF(INDEX(eq_check,MATCH(B1865,eq_code,0))&lt;&gt;"OK","Équipe à corriger dans Paramètres",IF(C1865="","Poste manquant",IF(ISNA(MATCH(C1865,po_code,0)),"Poste inconnu",IF(AND(E1865&lt;&gt;"",ISNA(MATCH(E1865,art_ref,0))),"Article inconnu",IF(IF(E1865="",FALSE,INDEX(art_check,MATCH(E1865,art_ref,0))&lt;&gt;"OK"),"Article à corriger (feuille Articles)",IF(COUNTIFS(sj_date,A1865,sj_eq,B1865,sj_po,C1865)&gt;1,"Ligne en double (même jour, équipe et poste)",IF(OR(NOT(ISNUMBER(K1865)),N(K1865)&lt;=0,N(K1865)&gt;1440),"Temps d'ouverture invalide",IF(OR(AND(G1865&lt;&gt;"",NOT(ISNUMBER(G1865))),N(G1865)&lt;0,N(G1865)&lt;&gt;INT(N(G1865)),AND(H1865&lt;&gt;"",NOT(ISNUMBER(H1865))),N(H1865)&lt;0,N(H1865)&lt;&gt;INT(N(H1865)),AND(I1865&lt;&gt;"",NOT(ISNUMBER(I1865))),N(I1865)&lt;0,N(I1865)&lt;&gt;INT(N(I1865))),"Quantité invalide",IF(Q1865&lt;=0,"Cadence manquante (poste ou article)",IF(M1865&lt;=0,"Arrêts planifiés supérieurs au temps d'ouverture",IF(O1865&lt;0,"Arrêts supérieurs au temps requis",IF(AND(P1865&gt;0,O1865=0),"Pièces déclarées sans temps de marche",IF(AND(P1865=0,O1865&gt;0),"Aucune pièce déclarée",IF(P1865*60/Q1865&gt;O1865+0.001,"Cadence dépassée : vérifiez la cadence","OK"))))))))))))))))))</f>
        <v/>
      </c>
      <c r="AC1865">
        <f>IF(OR(AB1865="OK",AB1865="Aucune pièce déclarée",AB1865="Cadence dépassée : vérifiez la cadence"),1,0)</f>
        <v>0.0</v>
      </c>
      <c r="AD1865">
        <f>IF(AND(AC1865=1,A1865&gt;=p_from,A1865&lt;=p_to),1,0)</f>
        <v>0.0</v>
      </c>
      <c r="AE1865">
        <f>IF(AD1865=1,IF(COUNTIFS($A$6:A1865,A1865,$AD$6:AD1865,1)=1,1,0),0)</f>
        <v>0.0</v>
      </c>
      <c r="AF1865" t="str">
        <f>IF(AE1865=1,COUNTIFS(sj_first,1,sj_date,"&lt;"&amp;A1865)+1,"")</f>
        <v/>
      </c>
      <c r="AG1865" t="str">
        <f>IF(AND(AD1865=1,N(W1865)&lt;p_alert),ROUND(W1865,4),"")</f>
        <v/>
      </c>
      <c r="AH1865" t="str">
        <f>IF(AG1865="","",COUNTIF(sj_akey,"&lt;"&amp;AG1865)+COUNTIF($AG$6:AG1865,AG1865))</f>
        <v/>
      </c>
    </row>
    <row r="1866">
      <c r="A1866" s="51" t="n"/>
      <c r="B1866" s="52" t="n"/>
      <c r="C1866" s="52" t="n"/>
      <c r="D1866" s="53" t="n"/>
      <c r="E1866" s="53" t="n"/>
      <c r="F1866" s="54" t="n"/>
      <c r="G1866" s="54" t="n"/>
      <c r="H1866" s="54" t="n"/>
      <c r="I1866" s="54" t="n"/>
      <c r="J1866" s="53" t="n"/>
      <c r="K1866" s="55" t="str">
        <f>IF(COUNTA(A1866:I1866)=0,"",IF(F1866="",IFERROR(INDEX(eq_dur,MATCH(B1866,eq_code,0)),""),F1866))</f>
        <v/>
      </c>
      <c r="L1866" s="55" t="str">
        <f>IF(ISNUMBER(K1866),N(IFERROR(INDEX(eq_pause,MATCH(B1866,eq_code,0)),0))+SUMIFS(st_min,st_date,A1866,st_eq,B1866,st_po,C1866,st_type,"Planifié"),"")</f>
        <v/>
      </c>
      <c r="M1866" s="55" t="str">
        <f>IF(ISNUMBER(K1866),K1866-L1866,"")</f>
        <v/>
      </c>
      <c r="N1866" s="55" t="str">
        <f>IF(ISNUMBER(K1866),SUMIFS(st_min,st_date,A1866,st_eq,B1866,st_po,C1866,st_type,"Non planifié"),"")</f>
        <v/>
      </c>
      <c r="O1866" s="55" t="str">
        <f>IF(ISNUMBER(K1866),M1866-N1866,"")</f>
        <v/>
      </c>
      <c r="P1866" s="55" t="str">
        <f>IF(COUNTA(A1866:I1866)=0,"",N(G1866)+N(H1866)+N(I1866))</f>
        <v/>
      </c>
      <c r="Q1866" s="56" t="str">
        <f>IF(COUNTA(A1866:I1866)=0,"",IF(N(IFERROR(INDEX(art_rate,MATCH(E1866,art_ref,0)),0))&gt;0,N(IFERROR(INDEX(art_rate,MATCH(E1866,art_ref,0)),0)),N(IFERROR(INDEX(po_rate,MATCH(C1866,po_code,0)),0))))</f>
        <v/>
      </c>
      <c r="R1866" s="55" t="str">
        <f>IF(AC1866=1,P1866*60/Q1866,"")</f>
        <v/>
      </c>
      <c r="S1866" s="55" t="str">
        <f>IF(AC1866=1,N(G1866)*60/Q1866,"")</f>
        <v/>
      </c>
      <c r="T1866" s="57" t="str">
        <f>IF(AC1866=1,O1866/M1866,"")</f>
        <v/>
      </c>
      <c r="U1866" s="57" t="str">
        <f>IF(AC1866=1,IF(O1866&gt;0,R1866/O1866,""),"")</f>
        <v/>
      </c>
      <c r="V1866" s="57" t="str">
        <f>IF(AC1866=1,IF(P1866&gt;0,N(G1866)/P1866,""),"")</f>
        <v/>
      </c>
      <c r="W1866" s="57" t="str">
        <f>IF(AC1866=1,S1866/M1866,"")</f>
        <v/>
      </c>
      <c r="X1866" s="57" t="str">
        <f>IF(AC1866=1,S1866/K1866,"")</f>
        <v/>
      </c>
      <c r="Y1866" s="58" t="str">
        <f>IF(W1866="","",IF(W1866&gt;=p_target,"Bon",IF(W1866&gt;=p_alert,"À surveiller","Faible")))</f>
        <v/>
      </c>
      <c r="Z1866" s="58" t="str">
        <f>IF(W1866="","",IF(MIN(IF(T1866="",1,T1866),IF(U1866="",1,U1866),IF(V1866="",1,V1866))&gt;=1,"Aucune",IF(IF(T1866="",1,T1866)&lt;=MIN(IF(U1866="",1,U1866),IF(V1866="",1,V1866)),"Disponibilité",IF(IF(U1866="",1,U1866)&lt;=IF(V1866="",1,V1866),"Performance","Qualité"))))</f>
        <v/>
      </c>
      <c r="AA1866" s="59" t="str">
        <f>IF(AC1866=1,N(H1866)*N(IFERROR(INDEX(art_cost,MATCH(E1866,art_ref,0)),0)),"")</f>
        <v/>
      </c>
      <c r="AB1866" s="58" t="str">
        <f>IF(COUNTA(A1866:I1866)=0,"",IF(N(A1866)&lt;=0,"Date manquante ou invalide",IF(B1866="","Équipe manquante",IF(ISNA(MATCH(B1866,eq_code,0)),"Équipe inconnue",IF(INDEX(eq_check,MATCH(B1866,eq_code,0))&lt;&gt;"OK","Équipe à corriger dans Paramètres",IF(C1866="","Poste manquant",IF(ISNA(MATCH(C1866,po_code,0)),"Poste inconnu",IF(AND(E1866&lt;&gt;"",ISNA(MATCH(E1866,art_ref,0))),"Article inconnu",IF(IF(E1866="",FALSE,INDEX(art_check,MATCH(E1866,art_ref,0))&lt;&gt;"OK"),"Article à corriger (feuille Articles)",IF(COUNTIFS(sj_date,A1866,sj_eq,B1866,sj_po,C1866)&gt;1,"Ligne en double (même jour, équipe et poste)",IF(OR(NOT(ISNUMBER(K1866)),N(K1866)&lt;=0,N(K1866)&gt;1440),"Temps d'ouverture invalide",IF(OR(AND(G1866&lt;&gt;"",NOT(ISNUMBER(G1866))),N(G1866)&lt;0,N(G1866)&lt;&gt;INT(N(G1866)),AND(H1866&lt;&gt;"",NOT(ISNUMBER(H1866))),N(H1866)&lt;0,N(H1866)&lt;&gt;INT(N(H1866)),AND(I1866&lt;&gt;"",NOT(ISNUMBER(I1866))),N(I1866)&lt;0,N(I1866)&lt;&gt;INT(N(I1866))),"Quantité invalide",IF(Q1866&lt;=0,"Cadence manquante (poste ou article)",IF(M1866&lt;=0,"Arrêts planifiés supérieurs au temps d'ouverture",IF(O1866&lt;0,"Arrêts supérieurs au temps requis",IF(AND(P1866&gt;0,O1866=0),"Pièces déclarées sans temps de marche",IF(AND(P1866=0,O1866&gt;0),"Aucune pièce déclarée",IF(P1866*60/Q1866&gt;O1866+0.001,"Cadence dépassée : vérifiez la cadence","OK"))))))))))))))))))</f>
        <v/>
      </c>
      <c r="AC1866">
        <f>IF(OR(AB1866="OK",AB1866="Aucune pièce déclarée",AB1866="Cadence dépassée : vérifiez la cadence"),1,0)</f>
        <v>0.0</v>
      </c>
      <c r="AD1866">
        <f>IF(AND(AC1866=1,A1866&gt;=p_from,A1866&lt;=p_to),1,0)</f>
        <v>0.0</v>
      </c>
      <c r="AE1866">
        <f>IF(AD1866=1,IF(COUNTIFS($A$6:A1866,A1866,$AD$6:AD1866,1)=1,1,0),0)</f>
        <v>0.0</v>
      </c>
      <c r="AF1866" t="str">
        <f>IF(AE1866=1,COUNTIFS(sj_first,1,sj_date,"&lt;"&amp;A1866)+1,"")</f>
        <v/>
      </c>
      <c r="AG1866" t="str">
        <f>IF(AND(AD1866=1,N(W1866)&lt;p_alert),ROUND(W1866,4),"")</f>
        <v/>
      </c>
      <c r="AH1866" t="str">
        <f>IF(AG1866="","",COUNTIF(sj_akey,"&lt;"&amp;AG1866)+COUNTIF($AG$6:AG1866,AG1866))</f>
        <v/>
      </c>
    </row>
    <row r="1867">
      <c r="A1867" s="51" t="n"/>
      <c r="B1867" s="52" t="n"/>
      <c r="C1867" s="52" t="n"/>
      <c r="D1867" s="53" t="n"/>
      <c r="E1867" s="53" t="n"/>
      <c r="F1867" s="54" t="n"/>
      <c r="G1867" s="54" t="n"/>
      <c r="H1867" s="54" t="n"/>
      <c r="I1867" s="54" t="n"/>
      <c r="J1867" s="53" t="n"/>
      <c r="K1867" s="55" t="str">
        <f>IF(COUNTA(A1867:I1867)=0,"",IF(F1867="",IFERROR(INDEX(eq_dur,MATCH(B1867,eq_code,0)),""),F1867))</f>
        <v/>
      </c>
      <c r="L1867" s="55" t="str">
        <f>IF(ISNUMBER(K1867),N(IFERROR(INDEX(eq_pause,MATCH(B1867,eq_code,0)),0))+SUMIFS(st_min,st_date,A1867,st_eq,B1867,st_po,C1867,st_type,"Planifié"),"")</f>
        <v/>
      </c>
      <c r="M1867" s="55" t="str">
        <f>IF(ISNUMBER(K1867),K1867-L1867,"")</f>
        <v/>
      </c>
      <c r="N1867" s="55" t="str">
        <f>IF(ISNUMBER(K1867),SUMIFS(st_min,st_date,A1867,st_eq,B1867,st_po,C1867,st_type,"Non planifié"),"")</f>
        <v/>
      </c>
      <c r="O1867" s="55" t="str">
        <f>IF(ISNUMBER(K1867),M1867-N1867,"")</f>
        <v/>
      </c>
      <c r="P1867" s="55" t="str">
        <f>IF(COUNTA(A1867:I1867)=0,"",N(G1867)+N(H1867)+N(I1867))</f>
        <v/>
      </c>
      <c r="Q1867" s="56" t="str">
        <f>IF(COUNTA(A1867:I1867)=0,"",IF(N(IFERROR(INDEX(art_rate,MATCH(E1867,art_ref,0)),0))&gt;0,N(IFERROR(INDEX(art_rate,MATCH(E1867,art_ref,0)),0)),N(IFERROR(INDEX(po_rate,MATCH(C1867,po_code,0)),0))))</f>
        <v/>
      </c>
      <c r="R1867" s="55" t="str">
        <f>IF(AC1867=1,P1867*60/Q1867,"")</f>
        <v/>
      </c>
      <c r="S1867" s="55" t="str">
        <f>IF(AC1867=1,N(G1867)*60/Q1867,"")</f>
        <v/>
      </c>
      <c r="T1867" s="57" t="str">
        <f>IF(AC1867=1,O1867/M1867,"")</f>
        <v/>
      </c>
      <c r="U1867" s="57" t="str">
        <f>IF(AC1867=1,IF(O1867&gt;0,R1867/O1867,""),"")</f>
        <v/>
      </c>
      <c r="V1867" s="57" t="str">
        <f>IF(AC1867=1,IF(P1867&gt;0,N(G1867)/P1867,""),"")</f>
        <v/>
      </c>
      <c r="W1867" s="57" t="str">
        <f>IF(AC1867=1,S1867/M1867,"")</f>
        <v/>
      </c>
      <c r="X1867" s="57" t="str">
        <f>IF(AC1867=1,S1867/K1867,"")</f>
        <v/>
      </c>
      <c r="Y1867" s="58" t="str">
        <f>IF(W1867="","",IF(W1867&gt;=p_target,"Bon",IF(W1867&gt;=p_alert,"À surveiller","Faible")))</f>
        <v/>
      </c>
      <c r="Z1867" s="58" t="str">
        <f>IF(W1867="","",IF(MIN(IF(T1867="",1,T1867),IF(U1867="",1,U1867),IF(V1867="",1,V1867))&gt;=1,"Aucune",IF(IF(T1867="",1,T1867)&lt;=MIN(IF(U1867="",1,U1867),IF(V1867="",1,V1867)),"Disponibilité",IF(IF(U1867="",1,U1867)&lt;=IF(V1867="",1,V1867),"Performance","Qualité"))))</f>
        <v/>
      </c>
      <c r="AA1867" s="59" t="str">
        <f>IF(AC1867=1,N(H1867)*N(IFERROR(INDEX(art_cost,MATCH(E1867,art_ref,0)),0)),"")</f>
        <v/>
      </c>
      <c r="AB1867" s="58" t="str">
        <f>IF(COUNTA(A1867:I1867)=0,"",IF(N(A1867)&lt;=0,"Date manquante ou invalide",IF(B1867="","Équipe manquante",IF(ISNA(MATCH(B1867,eq_code,0)),"Équipe inconnue",IF(INDEX(eq_check,MATCH(B1867,eq_code,0))&lt;&gt;"OK","Équipe à corriger dans Paramètres",IF(C1867="","Poste manquant",IF(ISNA(MATCH(C1867,po_code,0)),"Poste inconnu",IF(AND(E1867&lt;&gt;"",ISNA(MATCH(E1867,art_ref,0))),"Article inconnu",IF(IF(E1867="",FALSE,INDEX(art_check,MATCH(E1867,art_ref,0))&lt;&gt;"OK"),"Article à corriger (feuille Articles)",IF(COUNTIFS(sj_date,A1867,sj_eq,B1867,sj_po,C1867)&gt;1,"Ligne en double (même jour, équipe et poste)",IF(OR(NOT(ISNUMBER(K1867)),N(K1867)&lt;=0,N(K1867)&gt;1440),"Temps d'ouverture invalide",IF(OR(AND(G1867&lt;&gt;"",NOT(ISNUMBER(G1867))),N(G1867)&lt;0,N(G1867)&lt;&gt;INT(N(G1867)),AND(H1867&lt;&gt;"",NOT(ISNUMBER(H1867))),N(H1867)&lt;0,N(H1867)&lt;&gt;INT(N(H1867)),AND(I1867&lt;&gt;"",NOT(ISNUMBER(I1867))),N(I1867)&lt;0,N(I1867)&lt;&gt;INT(N(I1867))),"Quantité invalide",IF(Q1867&lt;=0,"Cadence manquante (poste ou article)",IF(M1867&lt;=0,"Arrêts planifiés supérieurs au temps d'ouverture",IF(O1867&lt;0,"Arrêts supérieurs au temps requis",IF(AND(P1867&gt;0,O1867=0),"Pièces déclarées sans temps de marche",IF(AND(P1867=0,O1867&gt;0),"Aucune pièce déclarée",IF(P1867*60/Q1867&gt;O1867+0.001,"Cadence dépassée : vérifiez la cadence","OK"))))))))))))))))))</f>
        <v/>
      </c>
      <c r="AC1867">
        <f>IF(OR(AB1867="OK",AB1867="Aucune pièce déclarée",AB1867="Cadence dépassée : vérifiez la cadence"),1,0)</f>
        <v>0.0</v>
      </c>
      <c r="AD1867">
        <f>IF(AND(AC1867=1,A1867&gt;=p_from,A1867&lt;=p_to),1,0)</f>
        <v>0.0</v>
      </c>
      <c r="AE1867">
        <f>IF(AD1867=1,IF(COUNTIFS($A$6:A1867,A1867,$AD$6:AD1867,1)=1,1,0),0)</f>
        <v>0.0</v>
      </c>
      <c r="AF1867" t="str">
        <f>IF(AE1867=1,COUNTIFS(sj_first,1,sj_date,"&lt;"&amp;A1867)+1,"")</f>
        <v/>
      </c>
      <c r="AG1867" t="str">
        <f>IF(AND(AD1867=1,N(W1867)&lt;p_alert),ROUND(W1867,4),"")</f>
        <v/>
      </c>
      <c r="AH1867" t="str">
        <f>IF(AG1867="","",COUNTIF(sj_akey,"&lt;"&amp;AG1867)+COUNTIF($AG$6:AG1867,AG1867))</f>
        <v/>
      </c>
    </row>
    <row r="1868">
      <c r="A1868" s="51" t="n"/>
      <c r="B1868" s="52" t="n"/>
      <c r="C1868" s="52" t="n"/>
      <c r="D1868" s="53" t="n"/>
      <c r="E1868" s="53" t="n"/>
      <c r="F1868" s="54" t="n"/>
      <c r="G1868" s="54" t="n"/>
      <c r="H1868" s="54" t="n"/>
      <c r="I1868" s="54" t="n"/>
      <c r="J1868" s="53" t="n"/>
      <c r="K1868" s="55" t="str">
        <f>IF(COUNTA(A1868:I1868)=0,"",IF(F1868="",IFERROR(INDEX(eq_dur,MATCH(B1868,eq_code,0)),""),F1868))</f>
        <v/>
      </c>
      <c r="L1868" s="55" t="str">
        <f>IF(ISNUMBER(K1868),N(IFERROR(INDEX(eq_pause,MATCH(B1868,eq_code,0)),0))+SUMIFS(st_min,st_date,A1868,st_eq,B1868,st_po,C1868,st_type,"Planifié"),"")</f>
        <v/>
      </c>
      <c r="M1868" s="55" t="str">
        <f>IF(ISNUMBER(K1868),K1868-L1868,"")</f>
        <v/>
      </c>
      <c r="N1868" s="55" t="str">
        <f>IF(ISNUMBER(K1868),SUMIFS(st_min,st_date,A1868,st_eq,B1868,st_po,C1868,st_type,"Non planifié"),"")</f>
        <v/>
      </c>
      <c r="O1868" s="55" t="str">
        <f>IF(ISNUMBER(K1868),M1868-N1868,"")</f>
        <v/>
      </c>
      <c r="P1868" s="55" t="str">
        <f>IF(COUNTA(A1868:I1868)=0,"",N(G1868)+N(H1868)+N(I1868))</f>
        <v/>
      </c>
      <c r="Q1868" s="56" t="str">
        <f>IF(COUNTA(A1868:I1868)=0,"",IF(N(IFERROR(INDEX(art_rate,MATCH(E1868,art_ref,0)),0))&gt;0,N(IFERROR(INDEX(art_rate,MATCH(E1868,art_ref,0)),0)),N(IFERROR(INDEX(po_rate,MATCH(C1868,po_code,0)),0))))</f>
        <v/>
      </c>
      <c r="R1868" s="55" t="str">
        <f>IF(AC1868=1,P1868*60/Q1868,"")</f>
        <v/>
      </c>
      <c r="S1868" s="55" t="str">
        <f>IF(AC1868=1,N(G1868)*60/Q1868,"")</f>
        <v/>
      </c>
      <c r="T1868" s="57" t="str">
        <f>IF(AC1868=1,O1868/M1868,"")</f>
        <v/>
      </c>
      <c r="U1868" s="57" t="str">
        <f>IF(AC1868=1,IF(O1868&gt;0,R1868/O1868,""),"")</f>
        <v/>
      </c>
      <c r="V1868" s="57" t="str">
        <f>IF(AC1868=1,IF(P1868&gt;0,N(G1868)/P1868,""),"")</f>
        <v/>
      </c>
      <c r="W1868" s="57" t="str">
        <f>IF(AC1868=1,S1868/M1868,"")</f>
        <v/>
      </c>
      <c r="X1868" s="57" t="str">
        <f>IF(AC1868=1,S1868/K1868,"")</f>
        <v/>
      </c>
      <c r="Y1868" s="58" t="str">
        <f>IF(W1868="","",IF(W1868&gt;=p_target,"Bon",IF(W1868&gt;=p_alert,"À surveiller","Faible")))</f>
        <v/>
      </c>
      <c r="Z1868" s="58" t="str">
        <f>IF(W1868="","",IF(MIN(IF(T1868="",1,T1868),IF(U1868="",1,U1868),IF(V1868="",1,V1868))&gt;=1,"Aucune",IF(IF(T1868="",1,T1868)&lt;=MIN(IF(U1868="",1,U1868),IF(V1868="",1,V1868)),"Disponibilité",IF(IF(U1868="",1,U1868)&lt;=IF(V1868="",1,V1868),"Performance","Qualité"))))</f>
        <v/>
      </c>
      <c r="AA1868" s="59" t="str">
        <f>IF(AC1868=1,N(H1868)*N(IFERROR(INDEX(art_cost,MATCH(E1868,art_ref,0)),0)),"")</f>
        <v/>
      </c>
      <c r="AB1868" s="58" t="str">
        <f>IF(COUNTA(A1868:I1868)=0,"",IF(N(A1868)&lt;=0,"Date manquante ou invalide",IF(B1868="","Équipe manquante",IF(ISNA(MATCH(B1868,eq_code,0)),"Équipe inconnue",IF(INDEX(eq_check,MATCH(B1868,eq_code,0))&lt;&gt;"OK","Équipe à corriger dans Paramètres",IF(C1868="","Poste manquant",IF(ISNA(MATCH(C1868,po_code,0)),"Poste inconnu",IF(AND(E1868&lt;&gt;"",ISNA(MATCH(E1868,art_ref,0))),"Article inconnu",IF(IF(E1868="",FALSE,INDEX(art_check,MATCH(E1868,art_ref,0))&lt;&gt;"OK"),"Article à corriger (feuille Articles)",IF(COUNTIFS(sj_date,A1868,sj_eq,B1868,sj_po,C1868)&gt;1,"Ligne en double (même jour, équipe et poste)",IF(OR(NOT(ISNUMBER(K1868)),N(K1868)&lt;=0,N(K1868)&gt;1440),"Temps d'ouverture invalide",IF(OR(AND(G1868&lt;&gt;"",NOT(ISNUMBER(G1868))),N(G1868)&lt;0,N(G1868)&lt;&gt;INT(N(G1868)),AND(H1868&lt;&gt;"",NOT(ISNUMBER(H1868))),N(H1868)&lt;0,N(H1868)&lt;&gt;INT(N(H1868)),AND(I1868&lt;&gt;"",NOT(ISNUMBER(I1868))),N(I1868)&lt;0,N(I1868)&lt;&gt;INT(N(I1868))),"Quantité invalide",IF(Q1868&lt;=0,"Cadence manquante (poste ou article)",IF(M1868&lt;=0,"Arrêts planifiés supérieurs au temps d'ouverture",IF(O1868&lt;0,"Arrêts supérieurs au temps requis",IF(AND(P1868&gt;0,O1868=0),"Pièces déclarées sans temps de marche",IF(AND(P1868=0,O1868&gt;0),"Aucune pièce déclarée",IF(P1868*60/Q1868&gt;O1868+0.001,"Cadence dépassée : vérifiez la cadence","OK"))))))))))))))))))</f>
        <v/>
      </c>
      <c r="AC1868">
        <f>IF(OR(AB1868="OK",AB1868="Aucune pièce déclarée",AB1868="Cadence dépassée : vérifiez la cadence"),1,0)</f>
        <v>0.0</v>
      </c>
      <c r="AD1868">
        <f>IF(AND(AC1868=1,A1868&gt;=p_from,A1868&lt;=p_to),1,0)</f>
        <v>0.0</v>
      </c>
      <c r="AE1868">
        <f>IF(AD1868=1,IF(COUNTIFS($A$6:A1868,A1868,$AD$6:AD1868,1)=1,1,0),0)</f>
        <v>0.0</v>
      </c>
      <c r="AF1868" t="str">
        <f>IF(AE1868=1,COUNTIFS(sj_first,1,sj_date,"&lt;"&amp;A1868)+1,"")</f>
        <v/>
      </c>
      <c r="AG1868" t="str">
        <f>IF(AND(AD1868=1,N(W1868)&lt;p_alert),ROUND(W1868,4),"")</f>
        <v/>
      </c>
      <c r="AH1868" t="str">
        <f>IF(AG1868="","",COUNTIF(sj_akey,"&lt;"&amp;AG1868)+COUNTIF($AG$6:AG1868,AG1868))</f>
        <v/>
      </c>
    </row>
    <row r="1869">
      <c r="A1869" s="51" t="n"/>
      <c r="B1869" s="52" t="n"/>
      <c r="C1869" s="52" t="n"/>
      <c r="D1869" s="53" t="n"/>
      <c r="E1869" s="53" t="n"/>
      <c r="F1869" s="54" t="n"/>
      <c r="G1869" s="54" t="n"/>
      <c r="H1869" s="54" t="n"/>
      <c r="I1869" s="54" t="n"/>
      <c r="J1869" s="53" t="n"/>
      <c r="K1869" s="55" t="str">
        <f>IF(COUNTA(A1869:I1869)=0,"",IF(F1869="",IFERROR(INDEX(eq_dur,MATCH(B1869,eq_code,0)),""),F1869))</f>
        <v/>
      </c>
      <c r="L1869" s="55" t="str">
        <f>IF(ISNUMBER(K1869),N(IFERROR(INDEX(eq_pause,MATCH(B1869,eq_code,0)),0))+SUMIFS(st_min,st_date,A1869,st_eq,B1869,st_po,C1869,st_type,"Planifié"),"")</f>
        <v/>
      </c>
      <c r="M1869" s="55" t="str">
        <f>IF(ISNUMBER(K1869),K1869-L1869,"")</f>
        <v/>
      </c>
      <c r="N1869" s="55" t="str">
        <f>IF(ISNUMBER(K1869),SUMIFS(st_min,st_date,A1869,st_eq,B1869,st_po,C1869,st_type,"Non planifié"),"")</f>
        <v/>
      </c>
      <c r="O1869" s="55" t="str">
        <f>IF(ISNUMBER(K1869),M1869-N1869,"")</f>
        <v/>
      </c>
      <c r="P1869" s="55" t="str">
        <f>IF(COUNTA(A1869:I1869)=0,"",N(G1869)+N(H1869)+N(I1869))</f>
        <v/>
      </c>
      <c r="Q1869" s="56" t="str">
        <f>IF(COUNTA(A1869:I1869)=0,"",IF(N(IFERROR(INDEX(art_rate,MATCH(E1869,art_ref,0)),0))&gt;0,N(IFERROR(INDEX(art_rate,MATCH(E1869,art_ref,0)),0)),N(IFERROR(INDEX(po_rate,MATCH(C1869,po_code,0)),0))))</f>
        <v/>
      </c>
      <c r="R1869" s="55" t="str">
        <f>IF(AC1869=1,P1869*60/Q1869,"")</f>
        <v/>
      </c>
      <c r="S1869" s="55" t="str">
        <f>IF(AC1869=1,N(G1869)*60/Q1869,"")</f>
        <v/>
      </c>
      <c r="T1869" s="57" t="str">
        <f>IF(AC1869=1,O1869/M1869,"")</f>
        <v/>
      </c>
      <c r="U1869" s="57" t="str">
        <f>IF(AC1869=1,IF(O1869&gt;0,R1869/O1869,""),"")</f>
        <v/>
      </c>
      <c r="V1869" s="57" t="str">
        <f>IF(AC1869=1,IF(P1869&gt;0,N(G1869)/P1869,""),"")</f>
        <v/>
      </c>
      <c r="W1869" s="57" t="str">
        <f>IF(AC1869=1,S1869/M1869,"")</f>
        <v/>
      </c>
      <c r="X1869" s="57" t="str">
        <f>IF(AC1869=1,S1869/K1869,"")</f>
        <v/>
      </c>
      <c r="Y1869" s="58" t="str">
        <f>IF(W1869="","",IF(W1869&gt;=p_target,"Bon",IF(W1869&gt;=p_alert,"À surveiller","Faible")))</f>
        <v/>
      </c>
      <c r="Z1869" s="58" t="str">
        <f>IF(W1869="","",IF(MIN(IF(T1869="",1,T1869),IF(U1869="",1,U1869),IF(V1869="",1,V1869))&gt;=1,"Aucune",IF(IF(T1869="",1,T1869)&lt;=MIN(IF(U1869="",1,U1869),IF(V1869="",1,V1869)),"Disponibilité",IF(IF(U1869="",1,U1869)&lt;=IF(V1869="",1,V1869),"Performance","Qualité"))))</f>
        <v/>
      </c>
      <c r="AA1869" s="59" t="str">
        <f>IF(AC1869=1,N(H1869)*N(IFERROR(INDEX(art_cost,MATCH(E1869,art_ref,0)),0)),"")</f>
        <v/>
      </c>
      <c r="AB1869" s="58" t="str">
        <f>IF(COUNTA(A1869:I1869)=0,"",IF(N(A1869)&lt;=0,"Date manquante ou invalide",IF(B1869="","Équipe manquante",IF(ISNA(MATCH(B1869,eq_code,0)),"Équipe inconnue",IF(INDEX(eq_check,MATCH(B1869,eq_code,0))&lt;&gt;"OK","Équipe à corriger dans Paramètres",IF(C1869="","Poste manquant",IF(ISNA(MATCH(C1869,po_code,0)),"Poste inconnu",IF(AND(E1869&lt;&gt;"",ISNA(MATCH(E1869,art_ref,0))),"Article inconnu",IF(IF(E1869="",FALSE,INDEX(art_check,MATCH(E1869,art_ref,0))&lt;&gt;"OK"),"Article à corriger (feuille Articles)",IF(COUNTIFS(sj_date,A1869,sj_eq,B1869,sj_po,C1869)&gt;1,"Ligne en double (même jour, équipe et poste)",IF(OR(NOT(ISNUMBER(K1869)),N(K1869)&lt;=0,N(K1869)&gt;1440),"Temps d'ouverture invalide",IF(OR(AND(G1869&lt;&gt;"",NOT(ISNUMBER(G1869))),N(G1869)&lt;0,N(G1869)&lt;&gt;INT(N(G1869)),AND(H1869&lt;&gt;"",NOT(ISNUMBER(H1869))),N(H1869)&lt;0,N(H1869)&lt;&gt;INT(N(H1869)),AND(I1869&lt;&gt;"",NOT(ISNUMBER(I1869))),N(I1869)&lt;0,N(I1869)&lt;&gt;INT(N(I1869))),"Quantité invalide",IF(Q1869&lt;=0,"Cadence manquante (poste ou article)",IF(M1869&lt;=0,"Arrêts planifiés supérieurs au temps d'ouverture",IF(O1869&lt;0,"Arrêts supérieurs au temps requis",IF(AND(P1869&gt;0,O1869=0),"Pièces déclarées sans temps de marche",IF(AND(P1869=0,O1869&gt;0),"Aucune pièce déclarée",IF(P1869*60/Q1869&gt;O1869+0.001,"Cadence dépassée : vérifiez la cadence","OK"))))))))))))))))))</f>
        <v/>
      </c>
      <c r="AC1869">
        <f>IF(OR(AB1869="OK",AB1869="Aucune pièce déclarée",AB1869="Cadence dépassée : vérifiez la cadence"),1,0)</f>
        <v>0.0</v>
      </c>
      <c r="AD1869">
        <f>IF(AND(AC1869=1,A1869&gt;=p_from,A1869&lt;=p_to),1,0)</f>
        <v>0.0</v>
      </c>
      <c r="AE1869">
        <f>IF(AD1869=1,IF(COUNTIFS($A$6:A1869,A1869,$AD$6:AD1869,1)=1,1,0),0)</f>
        <v>0.0</v>
      </c>
      <c r="AF1869" t="str">
        <f>IF(AE1869=1,COUNTIFS(sj_first,1,sj_date,"&lt;"&amp;A1869)+1,"")</f>
        <v/>
      </c>
      <c r="AG1869" t="str">
        <f>IF(AND(AD1869=1,N(W1869)&lt;p_alert),ROUND(W1869,4),"")</f>
        <v/>
      </c>
      <c r="AH1869" t="str">
        <f>IF(AG1869="","",COUNTIF(sj_akey,"&lt;"&amp;AG1869)+COUNTIF($AG$6:AG1869,AG1869))</f>
        <v/>
      </c>
    </row>
    <row r="1870">
      <c r="A1870" s="51" t="n"/>
      <c r="B1870" s="52" t="n"/>
      <c r="C1870" s="52" t="n"/>
      <c r="D1870" s="53" t="n"/>
      <c r="E1870" s="53" t="n"/>
      <c r="F1870" s="54" t="n"/>
      <c r="G1870" s="54" t="n"/>
      <c r="H1870" s="54" t="n"/>
      <c r="I1870" s="54" t="n"/>
      <c r="J1870" s="53" t="n"/>
      <c r="K1870" s="55" t="str">
        <f>IF(COUNTA(A1870:I1870)=0,"",IF(F1870="",IFERROR(INDEX(eq_dur,MATCH(B1870,eq_code,0)),""),F1870))</f>
        <v/>
      </c>
      <c r="L1870" s="55" t="str">
        <f>IF(ISNUMBER(K1870),N(IFERROR(INDEX(eq_pause,MATCH(B1870,eq_code,0)),0))+SUMIFS(st_min,st_date,A1870,st_eq,B1870,st_po,C1870,st_type,"Planifié"),"")</f>
        <v/>
      </c>
      <c r="M1870" s="55" t="str">
        <f>IF(ISNUMBER(K1870),K1870-L1870,"")</f>
        <v/>
      </c>
      <c r="N1870" s="55" t="str">
        <f>IF(ISNUMBER(K1870),SUMIFS(st_min,st_date,A1870,st_eq,B1870,st_po,C1870,st_type,"Non planifié"),"")</f>
        <v/>
      </c>
      <c r="O1870" s="55" t="str">
        <f>IF(ISNUMBER(K1870),M1870-N1870,"")</f>
        <v/>
      </c>
      <c r="P1870" s="55" t="str">
        <f>IF(COUNTA(A1870:I1870)=0,"",N(G1870)+N(H1870)+N(I1870))</f>
        <v/>
      </c>
      <c r="Q1870" s="56" t="str">
        <f>IF(COUNTA(A1870:I1870)=0,"",IF(N(IFERROR(INDEX(art_rate,MATCH(E1870,art_ref,0)),0))&gt;0,N(IFERROR(INDEX(art_rate,MATCH(E1870,art_ref,0)),0)),N(IFERROR(INDEX(po_rate,MATCH(C1870,po_code,0)),0))))</f>
        <v/>
      </c>
      <c r="R1870" s="55" t="str">
        <f>IF(AC1870=1,P1870*60/Q1870,"")</f>
        <v/>
      </c>
      <c r="S1870" s="55" t="str">
        <f>IF(AC1870=1,N(G1870)*60/Q1870,"")</f>
        <v/>
      </c>
      <c r="T1870" s="57" t="str">
        <f>IF(AC1870=1,O1870/M1870,"")</f>
        <v/>
      </c>
      <c r="U1870" s="57" t="str">
        <f>IF(AC1870=1,IF(O1870&gt;0,R1870/O1870,""),"")</f>
        <v/>
      </c>
      <c r="V1870" s="57" t="str">
        <f>IF(AC1870=1,IF(P1870&gt;0,N(G1870)/P1870,""),"")</f>
        <v/>
      </c>
      <c r="W1870" s="57" t="str">
        <f>IF(AC1870=1,S1870/M1870,"")</f>
        <v/>
      </c>
      <c r="X1870" s="57" t="str">
        <f>IF(AC1870=1,S1870/K1870,"")</f>
        <v/>
      </c>
      <c r="Y1870" s="58" t="str">
        <f>IF(W1870="","",IF(W1870&gt;=p_target,"Bon",IF(W1870&gt;=p_alert,"À surveiller","Faible")))</f>
        <v/>
      </c>
      <c r="Z1870" s="58" t="str">
        <f>IF(W1870="","",IF(MIN(IF(T1870="",1,T1870),IF(U1870="",1,U1870),IF(V1870="",1,V1870))&gt;=1,"Aucune",IF(IF(T1870="",1,T1870)&lt;=MIN(IF(U1870="",1,U1870),IF(V1870="",1,V1870)),"Disponibilité",IF(IF(U1870="",1,U1870)&lt;=IF(V1870="",1,V1870),"Performance","Qualité"))))</f>
        <v/>
      </c>
      <c r="AA1870" s="59" t="str">
        <f>IF(AC1870=1,N(H1870)*N(IFERROR(INDEX(art_cost,MATCH(E1870,art_ref,0)),0)),"")</f>
        <v/>
      </c>
      <c r="AB1870" s="58" t="str">
        <f>IF(COUNTA(A1870:I1870)=0,"",IF(N(A1870)&lt;=0,"Date manquante ou invalide",IF(B1870="","Équipe manquante",IF(ISNA(MATCH(B1870,eq_code,0)),"Équipe inconnue",IF(INDEX(eq_check,MATCH(B1870,eq_code,0))&lt;&gt;"OK","Équipe à corriger dans Paramètres",IF(C1870="","Poste manquant",IF(ISNA(MATCH(C1870,po_code,0)),"Poste inconnu",IF(AND(E1870&lt;&gt;"",ISNA(MATCH(E1870,art_ref,0))),"Article inconnu",IF(IF(E1870="",FALSE,INDEX(art_check,MATCH(E1870,art_ref,0))&lt;&gt;"OK"),"Article à corriger (feuille Articles)",IF(COUNTIFS(sj_date,A1870,sj_eq,B1870,sj_po,C1870)&gt;1,"Ligne en double (même jour, équipe et poste)",IF(OR(NOT(ISNUMBER(K1870)),N(K1870)&lt;=0,N(K1870)&gt;1440),"Temps d'ouverture invalide",IF(OR(AND(G1870&lt;&gt;"",NOT(ISNUMBER(G1870))),N(G1870)&lt;0,N(G1870)&lt;&gt;INT(N(G1870)),AND(H1870&lt;&gt;"",NOT(ISNUMBER(H1870))),N(H1870)&lt;0,N(H1870)&lt;&gt;INT(N(H1870)),AND(I1870&lt;&gt;"",NOT(ISNUMBER(I1870))),N(I1870)&lt;0,N(I1870)&lt;&gt;INT(N(I1870))),"Quantité invalide",IF(Q1870&lt;=0,"Cadence manquante (poste ou article)",IF(M1870&lt;=0,"Arrêts planifiés supérieurs au temps d'ouverture",IF(O1870&lt;0,"Arrêts supérieurs au temps requis",IF(AND(P1870&gt;0,O1870=0),"Pièces déclarées sans temps de marche",IF(AND(P1870=0,O1870&gt;0),"Aucune pièce déclarée",IF(P1870*60/Q1870&gt;O1870+0.001,"Cadence dépassée : vérifiez la cadence","OK"))))))))))))))))))</f>
        <v/>
      </c>
      <c r="AC1870">
        <f>IF(OR(AB1870="OK",AB1870="Aucune pièce déclarée",AB1870="Cadence dépassée : vérifiez la cadence"),1,0)</f>
        <v>0.0</v>
      </c>
      <c r="AD1870">
        <f>IF(AND(AC1870=1,A1870&gt;=p_from,A1870&lt;=p_to),1,0)</f>
        <v>0.0</v>
      </c>
      <c r="AE1870">
        <f>IF(AD1870=1,IF(COUNTIFS($A$6:A1870,A1870,$AD$6:AD1870,1)=1,1,0),0)</f>
        <v>0.0</v>
      </c>
      <c r="AF1870" t="str">
        <f>IF(AE1870=1,COUNTIFS(sj_first,1,sj_date,"&lt;"&amp;A1870)+1,"")</f>
        <v/>
      </c>
      <c r="AG1870" t="str">
        <f>IF(AND(AD1870=1,N(W1870)&lt;p_alert),ROUND(W1870,4),"")</f>
        <v/>
      </c>
      <c r="AH1870" t="str">
        <f>IF(AG1870="","",COUNTIF(sj_akey,"&lt;"&amp;AG1870)+COUNTIF($AG$6:AG1870,AG1870))</f>
        <v/>
      </c>
    </row>
    <row r="1871">
      <c r="A1871" s="51" t="n"/>
      <c r="B1871" s="52" t="n"/>
      <c r="C1871" s="52" t="n"/>
      <c r="D1871" s="53" t="n"/>
      <c r="E1871" s="53" t="n"/>
      <c r="F1871" s="54" t="n"/>
      <c r="G1871" s="54" t="n"/>
      <c r="H1871" s="54" t="n"/>
      <c r="I1871" s="54" t="n"/>
      <c r="J1871" s="53" t="n"/>
      <c r="K1871" s="55" t="str">
        <f>IF(COUNTA(A1871:I1871)=0,"",IF(F1871="",IFERROR(INDEX(eq_dur,MATCH(B1871,eq_code,0)),""),F1871))</f>
        <v/>
      </c>
      <c r="L1871" s="55" t="str">
        <f>IF(ISNUMBER(K1871),N(IFERROR(INDEX(eq_pause,MATCH(B1871,eq_code,0)),0))+SUMIFS(st_min,st_date,A1871,st_eq,B1871,st_po,C1871,st_type,"Planifié"),"")</f>
        <v/>
      </c>
      <c r="M1871" s="55" t="str">
        <f>IF(ISNUMBER(K1871),K1871-L1871,"")</f>
        <v/>
      </c>
      <c r="N1871" s="55" t="str">
        <f>IF(ISNUMBER(K1871),SUMIFS(st_min,st_date,A1871,st_eq,B1871,st_po,C1871,st_type,"Non planifié"),"")</f>
        <v/>
      </c>
      <c r="O1871" s="55" t="str">
        <f>IF(ISNUMBER(K1871),M1871-N1871,"")</f>
        <v/>
      </c>
      <c r="P1871" s="55" t="str">
        <f>IF(COUNTA(A1871:I1871)=0,"",N(G1871)+N(H1871)+N(I1871))</f>
        <v/>
      </c>
      <c r="Q1871" s="56" t="str">
        <f>IF(COUNTA(A1871:I1871)=0,"",IF(N(IFERROR(INDEX(art_rate,MATCH(E1871,art_ref,0)),0))&gt;0,N(IFERROR(INDEX(art_rate,MATCH(E1871,art_ref,0)),0)),N(IFERROR(INDEX(po_rate,MATCH(C1871,po_code,0)),0))))</f>
        <v/>
      </c>
      <c r="R1871" s="55" t="str">
        <f>IF(AC1871=1,P1871*60/Q1871,"")</f>
        <v/>
      </c>
      <c r="S1871" s="55" t="str">
        <f>IF(AC1871=1,N(G1871)*60/Q1871,"")</f>
        <v/>
      </c>
      <c r="T1871" s="57" t="str">
        <f>IF(AC1871=1,O1871/M1871,"")</f>
        <v/>
      </c>
      <c r="U1871" s="57" t="str">
        <f>IF(AC1871=1,IF(O1871&gt;0,R1871/O1871,""),"")</f>
        <v/>
      </c>
      <c r="V1871" s="57" t="str">
        <f>IF(AC1871=1,IF(P1871&gt;0,N(G1871)/P1871,""),"")</f>
        <v/>
      </c>
      <c r="W1871" s="57" t="str">
        <f>IF(AC1871=1,S1871/M1871,"")</f>
        <v/>
      </c>
      <c r="X1871" s="57" t="str">
        <f>IF(AC1871=1,S1871/K1871,"")</f>
        <v/>
      </c>
      <c r="Y1871" s="58" t="str">
        <f>IF(W1871="","",IF(W1871&gt;=p_target,"Bon",IF(W1871&gt;=p_alert,"À surveiller","Faible")))</f>
        <v/>
      </c>
      <c r="Z1871" s="58" t="str">
        <f>IF(W1871="","",IF(MIN(IF(T1871="",1,T1871),IF(U1871="",1,U1871),IF(V1871="",1,V1871))&gt;=1,"Aucune",IF(IF(T1871="",1,T1871)&lt;=MIN(IF(U1871="",1,U1871),IF(V1871="",1,V1871)),"Disponibilité",IF(IF(U1871="",1,U1871)&lt;=IF(V1871="",1,V1871),"Performance","Qualité"))))</f>
        <v/>
      </c>
      <c r="AA1871" s="59" t="str">
        <f>IF(AC1871=1,N(H1871)*N(IFERROR(INDEX(art_cost,MATCH(E1871,art_ref,0)),0)),"")</f>
        <v/>
      </c>
      <c r="AB1871" s="58" t="str">
        <f>IF(COUNTA(A1871:I1871)=0,"",IF(N(A1871)&lt;=0,"Date manquante ou invalide",IF(B1871="","Équipe manquante",IF(ISNA(MATCH(B1871,eq_code,0)),"Équipe inconnue",IF(INDEX(eq_check,MATCH(B1871,eq_code,0))&lt;&gt;"OK","Équipe à corriger dans Paramètres",IF(C1871="","Poste manquant",IF(ISNA(MATCH(C1871,po_code,0)),"Poste inconnu",IF(AND(E1871&lt;&gt;"",ISNA(MATCH(E1871,art_ref,0))),"Article inconnu",IF(IF(E1871="",FALSE,INDEX(art_check,MATCH(E1871,art_ref,0))&lt;&gt;"OK"),"Article à corriger (feuille Articles)",IF(COUNTIFS(sj_date,A1871,sj_eq,B1871,sj_po,C1871)&gt;1,"Ligne en double (même jour, équipe et poste)",IF(OR(NOT(ISNUMBER(K1871)),N(K1871)&lt;=0,N(K1871)&gt;1440),"Temps d'ouverture invalide",IF(OR(AND(G1871&lt;&gt;"",NOT(ISNUMBER(G1871))),N(G1871)&lt;0,N(G1871)&lt;&gt;INT(N(G1871)),AND(H1871&lt;&gt;"",NOT(ISNUMBER(H1871))),N(H1871)&lt;0,N(H1871)&lt;&gt;INT(N(H1871)),AND(I1871&lt;&gt;"",NOT(ISNUMBER(I1871))),N(I1871)&lt;0,N(I1871)&lt;&gt;INT(N(I1871))),"Quantité invalide",IF(Q1871&lt;=0,"Cadence manquante (poste ou article)",IF(M1871&lt;=0,"Arrêts planifiés supérieurs au temps d'ouverture",IF(O1871&lt;0,"Arrêts supérieurs au temps requis",IF(AND(P1871&gt;0,O1871=0),"Pièces déclarées sans temps de marche",IF(AND(P1871=0,O1871&gt;0),"Aucune pièce déclarée",IF(P1871*60/Q1871&gt;O1871+0.001,"Cadence dépassée : vérifiez la cadence","OK"))))))))))))))))))</f>
        <v/>
      </c>
      <c r="AC1871">
        <f>IF(OR(AB1871="OK",AB1871="Aucune pièce déclarée",AB1871="Cadence dépassée : vérifiez la cadence"),1,0)</f>
        <v>0.0</v>
      </c>
      <c r="AD1871">
        <f>IF(AND(AC1871=1,A1871&gt;=p_from,A1871&lt;=p_to),1,0)</f>
        <v>0.0</v>
      </c>
      <c r="AE1871">
        <f>IF(AD1871=1,IF(COUNTIFS($A$6:A1871,A1871,$AD$6:AD1871,1)=1,1,0),0)</f>
        <v>0.0</v>
      </c>
      <c r="AF1871" t="str">
        <f>IF(AE1871=1,COUNTIFS(sj_first,1,sj_date,"&lt;"&amp;A1871)+1,"")</f>
        <v/>
      </c>
      <c r="AG1871" t="str">
        <f>IF(AND(AD1871=1,N(W1871)&lt;p_alert),ROUND(W1871,4),"")</f>
        <v/>
      </c>
      <c r="AH1871" t="str">
        <f>IF(AG1871="","",COUNTIF(sj_akey,"&lt;"&amp;AG1871)+COUNTIF($AG$6:AG1871,AG1871))</f>
        <v/>
      </c>
    </row>
    <row r="1872">
      <c r="A1872" s="51" t="n"/>
      <c r="B1872" s="52" t="n"/>
      <c r="C1872" s="52" t="n"/>
      <c r="D1872" s="53" t="n"/>
      <c r="E1872" s="53" t="n"/>
      <c r="F1872" s="54" t="n"/>
      <c r="G1872" s="54" t="n"/>
      <c r="H1872" s="54" t="n"/>
      <c r="I1872" s="54" t="n"/>
      <c r="J1872" s="53" t="n"/>
      <c r="K1872" s="55" t="str">
        <f>IF(COUNTA(A1872:I1872)=0,"",IF(F1872="",IFERROR(INDEX(eq_dur,MATCH(B1872,eq_code,0)),""),F1872))</f>
        <v/>
      </c>
      <c r="L1872" s="55" t="str">
        <f>IF(ISNUMBER(K1872),N(IFERROR(INDEX(eq_pause,MATCH(B1872,eq_code,0)),0))+SUMIFS(st_min,st_date,A1872,st_eq,B1872,st_po,C1872,st_type,"Planifié"),"")</f>
        <v/>
      </c>
      <c r="M1872" s="55" t="str">
        <f>IF(ISNUMBER(K1872),K1872-L1872,"")</f>
        <v/>
      </c>
      <c r="N1872" s="55" t="str">
        <f>IF(ISNUMBER(K1872),SUMIFS(st_min,st_date,A1872,st_eq,B1872,st_po,C1872,st_type,"Non planifié"),"")</f>
        <v/>
      </c>
      <c r="O1872" s="55" t="str">
        <f>IF(ISNUMBER(K1872),M1872-N1872,"")</f>
        <v/>
      </c>
      <c r="P1872" s="55" t="str">
        <f>IF(COUNTA(A1872:I1872)=0,"",N(G1872)+N(H1872)+N(I1872))</f>
        <v/>
      </c>
      <c r="Q1872" s="56" t="str">
        <f>IF(COUNTA(A1872:I1872)=0,"",IF(N(IFERROR(INDEX(art_rate,MATCH(E1872,art_ref,0)),0))&gt;0,N(IFERROR(INDEX(art_rate,MATCH(E1872,art_ref,0)),0)),N(IFERROR(INDEX(po_rate,MATCH(C1872,po_code,0)),0))))</f>
        <v/>
      </c>
      <c r="R1872" s="55" t="str">
        <f>IF(AC1872=1,P1872*60/Q1872,"")</f>
        <v/>
      </c>
      <c r="S1872" s="55" t="str">
        <f>IF(AC1872=1,N(G1872)*60/Q1872,"")</f>
        <v/>
      </c>
      <c r="T1872" s="57" t="str">
        <f>IF(AC1872=1,O1872/M1872,"")</f>
        <v/>
      </c>
      <c r="U1872" s="57" t="str">
        <f>IF(AC1872=1,IF(O1872&gt;0,R1872/O1872,""),"")</f>
        <v/>
      </c>
      <c r="V1872" s="57" t="str">
        <f>IF(AC1872=1,IF(P1872&gt;0,N(G1872)/P1872,""),"")</f>
        <v/>
      </c>
      <c r="W1872" s="57" t="str">
        <f>IF(AC1872=1,S1872/M1872,"")</f>
        <v/>
      </c>
      <c r="X1872" s="57" t="str">
        <f>IF(AC1872=1,S1872/K1872,"")</f>
        <v/>
      </c>
      <c r="Y1872" s="58" t="str">
        <f>IF(W1872="","",IF(W1872&gt;=p_target,"Bon",IF(W1872&gt;=p_alert,"À surveiller","Faible")))</f>
        <v/>
      </c>
      <c r="Z1872" s="58" t="str">
        <f>IF(W1872="","",IF(MIN(IF(T1872="",1,T1872),IF(U1872="",1,U1872),IF(V1872="",1,V1872))&gt;=1,"Aucune",IF(IF(T1872="",1,T1872)&lt;=MIN(IF(U1872="",1,U1872),IF(V1872="",1,V1872)),"Disponibilité",IF(IF(U1872="",1,U1872)&lt;=IF(V1872="",1,V1872),"Performance","Qualité"))))</f>
        <v/>
      </c>
      <c r="AA1872" s="59" t="str">
        <f>IF(AC1872=1,N(H1872)*N(IFERROR(INDEX(art_cost,MATCH(E1872,art_ref,0)),0)),"")</f>
        <v/>
      </c>
      <c r="AB1872" s="58" t="str">
        <f>IF(COUNTA(A1872:I1872)=0,"",IF(N(A1872)&lt;=0,"Date manquante ou invalide",IF(B1872="","Équipe manquante",IF(ISNA(MATCH(B1872,eq_code,0)),"Équipe inconnue",IF(INDEX(eq_check,MATCH(B1872,eq_code,0))&lt;&gt;"OK","Équipe à corriger dans Paramètres",IF(C1872="","Poste manquant",IF(ISNA(MATCH(C1872,po_code,0)),"Poste inconnu",IF(AND(E1872&lt;&gt;"",ISNA(MATCH(E1872,art_ref,0))),"Article inconnu",IF(IF(E1872="",FALSE,INDEX(art_check,MATCH(E1872,art_ref,0))&lt;&gt;"OK"),"Article à corriger (feuille Articles)",IF(COUNTIFS(sj_date,A1872,sj_eq,B1872,sj_po,C1872)&gt;1,"Ligne en double (même jour, équipe et poste)",IF(OR(NOT(ISNUMBER(K1872)),N(K1872)&lt;=0,N(K1872)&gt;1440),"Temps d'ouverture invalide",IF(OR(AND(G1872&lt;&gt;"",NOT(ISNUMBER(G1872))),N(G1872)&lt;0,N(G1872)&lt;&gt;INT(N(G1872)),AND(H1872&lt;&gt;"",NOT(ISNUMBER(H1872))),N(H1872)&lt;0,N(H1872)&lt;&gt;INT(N(H1872)),AND(I1872&lt;&gt;"",NOT(ISNUMBER(I1872))),N(I1872)&lt;0,N(I1872)&lt;&gt;INT(N(I1872))),"Quantité invalide",IF(Q1872&lt;=0,"Cadence manquante (poste ou article)",IF(M1872&lt;=0,"Arrêts planifiés supérieurs au temps d'ouverture",IF(O1872&lt;0,"Arrêts supérieurs au temps requis",IF(AND(P1872&gt;0,O1872=0),"Pièces déclarées sans temps de marche",IF(AND(P1872=0,O1872&gt;0),"Aucune pièce déclarée",IF(P1872*60/Q1872&gt;O1872+0.001,"Cadence dépassée : vérifiez la cadence","OK"))))))))))))))))))</f>
        <v/>
      </c>
      <c r="AC1872">
        <f>IF(OR(AB1872="OK",AB1872="Aucune pièce déclarée",AB1872="Cadence dépassée : vérifiez la cadence"),1,0)</f>
        <v>0.0</v>
      </c>
      <c r="AD1872">
        <f>IF(AND(AC1872=1,A1872&gt;=p_from,A1872&lt;=p_to),1,0)</f>
        <v>0.0</v>
      </c>
      <c r="AE1872">
        <f>IF(AD1872=1,IF(COUNTIFS($A$6:A1872,A1872,$AD$6:AD1872,1)=1,1,0),0)</f>
        <v>0.0</v>
      </c>
      <c r="AF1872" t="str">
        <f>IF(AE1872=1,COUNTIFS(sj_first,1,sj_date,"&lt;"&amp;A1872)+1,"")</f>
        <v/>
      </c>
      <c r="AG1872" t="str">
        <f>IF(AND(AD1872=1,N(W1872)&lt;p_alert),ROUND(W1872,4),"")</f>
        <v/>
      </c>
      <c r="AH1872" t="str">
        <f>IF(AG1872="","",COUNTIF(sj_akey,"&lt;"&amp;AG1872)+COUNTIF($AG$6:AG1872,AG1872))</f>
        <v/>
      </c>
    </row>
    <row r="1873">
      <c r="A1873" s="51" t="n"/>
      <c r="B1873" s="52" t="n"/>
      <c r="C1873" s="52" t="n"/>
      <c r="D1873" s="53" t="n"/>
      <c r="E1873" s="53" t="n"/>
      <c r="F1873" s="54" t="n"/>
      <c r="G1873" s="54" t="n"/>
      <c r="H1873" s="54" t="n"/>
      <c r="I1873" s="54" t="n"/>
      <c r="J1873" s="53" t="n"/>
      <c r="K1873" s="55" t="str">
        <f>IF(COUNTA(A1873:I1873)=0,"",IF(F1873="",IFERROR(INDEX(eq_dur,MATCH(B1873,eq_code,0)),""),F1873))</f>
        <v/>
      </c>
      <c r="L1873" s="55" t="str">
        <f>IF(ISNUMBER(K1873),N(IFERROR(INDEX(eq_pause,MATCH(B1873,eq_code,0)),0))+SUMIFS(st_min,st_date,A1873,st_eq,B1873,st_po,C1873,st_type,"Planifié"),"")</f>
        <v/>
      </c>
      <c r="M1873" s="55" t="str">
        <f>IF(ISNUMBER(K1873),K1873-L1873,"")</f>
        <v/>
      </c>
      <c r="N1873" s="55" t="str">
        <f>IF(ISNUMBER(K1873),SUMIFS(st_min,st_date,A1873,st_eq,B1873,st_po,C1873,st_type,"Non planifié"),"")</f>
        <v/>
      </c>
      <c r="O1873" s="55" t="str">
        <f>IF(ISNUMBER(K1873),M1873-N1873,"")</f>
        <v/>
      </c>
      <c r="P1873" s="55" t="str">
        <f>IF(COUNTA(A1873:I1873)=0,"",N(G1873)+N(H1873)+N(I1873))</f>
        <v/>
      </c>
      <c r="Q1873" s="56" t="str">
        <f>IF(COUNTA(A1873:I1873)=0,"",IF(N(IFERROR(INDEX(art_rate,MATCH(E1873,art_ref,0)),0))&gt;0,N(IFERROR(INDEX(art_rate,MATCH(E1873,art_ref,0)),0)),N(IFERROR(INDEX(po_rate,MATCH(C1873,po_code,0)),0))))</f>
        <v/>
      </c>
      <c r="R1873" s="55" t="str">
        <f>IF(AC1873=1,P1873*60/Q1873,"")</f>
        <v/>
      </c>
      <c r="S1873" s="55" t="str">
        <f>IF(AC1873=1,N(G1873)*60/Q1873,"")</f>
        <v/>
      </c>
      <c r="T1873" s="57" t="str">
        <f>IF(AC1873=1,O1873/M1873,"")</f>
        <v/>
      </c>
      <c r="U1873" s="57" t="str">
        <f>IF(AC1873=1,IF(O1873&gt;0,R1873/O1873,""),"")</f>
        <v/>
      </c>
      <c r="V1873" s="57" t="str">
        <f>IF(AC1873=1,IF(P1873&gt;0,N(G1873)/P1873,""),"")</f>
        <v/>
      </c>
      <c r="W1873" s="57" t="str">
        <f>IF(AC1873=1,S1873/M1873,"")</f>
        <v/>
      </c>
      <c r="X1873" s="57" t="str">
        <f>IF(AC1873=1,S1873/K1873,"")</f>
        <v/>
      </c>
      <c r="Y1873" s="58" t="str">
        <f>IF(W1873="","",IF(W1873&gt;=p_target,"Bon",IF(W1873&gt;=p_alert,"À surveiller","Faible")))</f>
        <v/>
      </c>
      <c r="Z1873" s="58" t="str">
        <f>IF(W1873="","",IF(MIN(IF(T1873="",1,T1873),IF(U1873="",1,U1873),IF(V1873="",1,V1873))&gt;=1,"Aucune",IF(IF(T1873="",1,T1873)&lt;=MIN(IF(U1873="",1,U1873),IF(V1873="",1,V1873)),"Disponibilité",IF(IF(U1873="",1,U1873)&lt;=IF(V1873="",1,V1873),"Performance","Qualité"))))</f>
        <v/>
      </c>
      <c r="AA1873" s="59" t="str">
        <f>IF(AC1873=1,N(H1873)*N(IFERROR(INDEX(art_cost,MATCH(E1873,art_ref,0)),0)),"")</f>
        <v/>
      </c>
      <c r="AB1873" s="58" t="str">
        <f>IF(COUNTA(A1873:I1873)=0,"",IF(N(A1873)&lt;=0,"Date manquante ou invalide",IF(B1873="","Équipe manquante",IF(ISNA(MATCH(B1873,eq_code,0)),"Équipe inconnue",IF(INDEX(eq_check,MATCH(B1873,eq_code,0))&lt;&gt;"OK","Équipe à corriger dans Paramètres",IF(C1873="","Poste manquant",IF(ISNA(MATCH(C1873,po_code,0)),"Poste inconnu",IF(AND(E1873&lt;&gt;"",ISNA(MATCH(E1873,art_ref,0))),"Article inconnu",IF(IF(E1873="",FALSE,INDEX(art_check,MATCH(E1873,art_ref,0))&lt;&gt;"OK"),"Article à corriger (feuille Articles)",IF(COUNTIFS(sj_date,A1873,sj_eq,B1873,sj_po,C1873)&gt;1,"Ligne en double (même jour, équipe et poste)",IF(OR(NOT(ISNUMBER(K1873)),N(K1873)&lt;=0,N(K1873)&gt;1440),"Temps d'ouverture invalide",IF(OR(AND(G1873&lt;&gt;"",NOT(ISNUMBER(G1873))),N(G1873)&lt;0,N(G1873)&lt;&gt;INT(N(G1873)),AND(H1873&lt;&gt;"",NOT(ISNUMBER(H1873))),N(H1873)&lt;0,N(H1873)&lt;&gt;INT(N(H1873)),AND(I1873&lt;&gt;"",NOT(ISNUMBER(I1873))),N(I1873)&lt;0,N(I1873)&lt;&gt;INT(N(I1873))),"Quantité invalide",IF(Q1873&lt;=0,"Cadence manquante (poste ou article)",IF(M1873&lt;=0,"Arrêts planifiés supérieurs au temps d'ouverture",IF(O1873&lt;0,"Arrêts supérieurs au temps requis",IF(AND(P1873&gt;0,O1873=0),"Pièces déclarées sans temps de marche",IF(AND(P1873=0,O1873&gt;0),"Aucune pièce déclarée",IF(P1873*60/Q1873&gt;O1873+0.001,"Cadence dépassée : vérifiez la cadence","OK"))))))))))))))))))</f>
        <v/>
      </c>
      <c r="AC1873">
        <f>IF(OR(AB1873="OK",AB1873="Aucune pièce déclarée",AB1873="Cadence dépassée : vérifiez la cadence"),1,0)</f>
        <v>0.0</v>
      </c>
      <c r="AD1873">
        <f>IF(AND(AC1873=1,A1873&gt;=p_from,A1873&lt;=p_to),1,0)</f>
        <v>0.0</v>
      </c>
      <c r="AE1873">
        <f>IF(AD1873=1,IF(COUNTIFS($A$6:A1873,A1873,$AD$6:AD1873,1)=1,1,0),0)</f>
        <v>0.0</v>
      </c>
      <c r="AF1873" t="str">
        <f>IF(AE1873=1,COUNTIFS(sj_first,1,sj_date,"&lt;"&amp;A1873)+1,"")</f>
        <v/>
      </c>
      <c r="AG1873" t="str">
        <f>IF(AND(AD1873=1,N(W1873)&lt;p_alert),ROUND(W1873,4),"")</f>
        <v/>
      </c>
      <c r="AH1873" t="str">
        <f>IF(AG1873="","",COUNTIF(sj_akey,"&lt;"&amp;AG1873)+COUNTIF($AG$6:AG1873,AG1873))</f>
        <v/>
      </c>
    </row>
    <row r="1874">
      <c r="A1874" s="51" t="n"/>
      <c r="B1874" s="52" t="n"/>
      <c r="C1874" s="52" t="n"/>
      <c r="D1874" s="53" t="n"/>
      <c r="E1874" s="53" t="n"/>
      <c r="F1874" s="54" t="n"/>
      <c r="G1874" s="54" t="n"/>
      <c r="H1874" s="54" t="n"/>
      <c r="I1874" s="54" t="n"/>
      <c r="J1874" s="53" t="n"/>
      <c r="K1874" s="55" t="str">
        <f>IF(COUNTA(A1874:I1874)=0,"",IF(F1874="",IFERROR(INDEX(eq_dur,MATCH(B1874,eq_code,0)),""),F1874))</f>
        <v/>
      </c>
      <c r="L1874" s="55" t="str">
        <f>IF(ISNUMBER(K1874),N(IFERROR(INDEX(eq_pause,MATCH(B1874,eq_code,0)),0))+SUMIFS(st_min,st_date,A1874,st_eq,B1874,st_po,C1874,st_type,"Planifié"),"")</f>
        <v/>
      </c>
      <c r="M1874" s="55" t="str">
        <f>IF(ISNUMBER(K1874),K1874-L1874,"")</f>
        <v/>
      </c>
      <c r="N1874" s="55" t="str">
        <f>IF(ISNUMBER(K1874),SUMIFS(st_min,st_date,A1874,st_eq,B1874,st_po,C1874,st_type,"Non planifié"),"")</f>
        <v/>
      </c>
      <c r="O1874" s="55" t="str">
        <f>IF(ISNUMBER(K1874),M1874-N1874,"")</f>
        <v/>
      </c>
      <c r="P1874" s="55" t="str">
        <f>IF(COUNTA(A1874:I1874)=0,"",N(G1874)+N(H1874)+N(I1874))</f>
        <v/>
      </c>
      <c r="Q1874" s="56" t="str">
        <f>IF(COUNTA(A1874:I1874)=0,"",IF(N(IFERROR(INDEX(art_rate,MATCH(E1874,art_ref,0)),0))&gt;0,N(IFERROR(INDEX(art_rate,MATCH(E1874,art_ref,0)),0)),N(IFERROR(INDEX(po_rate,MATCH(C1874,po_code,0)),0))))</f>
        <v/>
      </c>
      <c r="R1874" s="55" t="str">
        <f>IF(AC1874=1,P1874*60/Q1874,"")</f>
        <v/>
      </c>
      <c r="S1874" s="55" t="str">
        <f>IF(AC1874=1,N(G1874)*60/Q1874,"")</f>
        <v/>
      </c>
      <c r="T1874" s="57" t="str">
        <f>IF(AC1874=1,O1874/M1874,"")</f>
        <v/>
      </c>
      <c r="U1874" s="57" t="str">
        <f>IF(AC1874=1,IF(O1874&gt;0,R1874/O1874,""),"")</f>
        <v/>
      </c>
      <c r="V1874" s="57" t="str">
        <f>IF(AC1874=1,IF(P1874&gt;0,N(G1874)/P1874,""),"")</f>
        <v/>
      </c>
      <c r="W1874" s="57" t="str">
        <f>IF(AC1874=1,S1874/M1874,"")</f>
        <v/>
      </c>
      <c r="X1874" s="57" t="str">
        <f>IF(AC1874=1,S1874/K1874,"")</f>
        <v/>
      </c>
      <c r="Y1874" s="58" t="str">
        <f>IF(W1874="","",IF(W1874&gt;=p_target,"Bon",IF(W1874&gt;=p_alert,"À surveiller","Faible")))</f>
        <v/>
      </c>
      <c r="Z1874" s="58" t="str">
        <f>IF(W1874="","",IF(MIN(IF(T1874="",1,T1874),IF(U1874="",1,U1874),IF(V1874="",1,V1874))&gt;=1,"Aucune",IF(IF(T1874="",1,T1874)&lt;=MIN(IF(U1874="",1,U1874),IF(V1874="",1,V1874)),"Disponibilité",IF(IF(U1874="",1,U1874)&lt;=IF(V1874="",1,V1874),"Performance","Qualité"))))</f>
        <v/>
      </c>
      <c r="AA1874" s="59" t="str">
        <f>IF(AC1874=1,N(H1874)*N(IFERROR(INDEX(art_cost,MATCH(E1874,art_ref,0)),0)),"")</f>
        <v/>
      </c>
      <c r="AB1874" s="58" t="str">
        <f>IF(COUNTA(A1874:I1874)=0,"",IF(N(A1874)&lt;=0,"Date manquante ou invalide",IF(B1874="","Équipe manquante",IF(ISNA(MATCH(B1874,eq_code,0)),"Équipe inconnue",IF(INDEX(eq_check,MATCH(B1874,eq_code,0))&lt;&gt;"OK","Équipe à corriger dans Paramètres",IF(C1874="","Poste manquant",IF(ISNA(MATCH(C1874,po_code,0)),"Poste inconnu",IF(AND(E1874&lt;&gt;"",ISNA(MATCH(E1874,art_ref,0))),"Article inconnu",IF(IF(E1874="",FALSE,INDEX(art_check,MATCH(E1874,art_ref,0))&lt;&gt;"OK"),"Article à corriger (feuille Articles)",IF(COUNTIFS(sj_date,A1874,sj_eq,B1874,sj_po,C1874)&gt;1,"Ligne en double (même jour, équipe et poste)",IF(OR(NOT(ISNUMBER(K1874)),N(K1874)&lt;=0,N(K1874)&gt;1440),"Temps d'ouverture invalide",IF(OR(AND(G1874&lt;&gt;"",NOT(ISNUMBER(G1874))),N(G1874)&lt;0,N(G1874)&lt;&gt;INT(N(G1874)),AND(H1874&lt;&gt;"",NOT(ISNUMBER(H1874))),N(H1874)&lt;0,N(H1874)&lt;&gt;INT(N(H1874)),AND(I1874&lt;&gt;"",NOT(ISNUMBER(I1874))),N(I1874)&lt;0,N(I1874)&lt;&gt;INT(N(I1874))),"Quantité invalide",IF(Q1874&lt;=0,"Cadence manquante (poste ou article)",IF(M1874&lt;=0,"Arrêts planifiés supérieurs au temps d'ouverture",IF(O1874&lt;0,"Arrêts supérieurs au temps requis",IF(AND(P1874&gt;0,O1874=0),"Pièces déclarées sans temps de marche",IF(AND(P1874=0,O1874&gt;0),"Aucune pièce déclarée",IF(P1874*60/Q1874&gt;O1874+0.001,"Cadence dépassée : vérifiez la cadence","OK"))))))))))))))))))</f>
        <v/>
      </c>
      <c r="AC1874">
        <f>IF(OR(AB1874="OK",AB1874="Aucune pièce déclarée",AB1874="Cadence dépassée : vérifiez la cadence"),1,0)</f>
        <v>0.0</v>
      </c>
      <c r="AD1874">
        <f>IF(AND(AC1874=1,A1874&gt;=p_from,A1874&lt;=p_to),1,0)</f>
        <v>0.0</v>
      </c>
      <c r="AE1874">
        <f>IF(AD1874=1,IF(COUNTIFS($A$6:A1874,A1874,$AD$6:AD1874,1)=1,1,0),0)</f>
        <v>0.0</v>
      </c>
      <c r="AF1874" t="str">
        <f>IF(AE1874=1,COUNTIFS(sj_first,1,sj_date,"&lt;"&amp;A1874)+1,"")</f>
        <v/>
      </c>
      <c r="AG1874" t="str">
        <f>IF(AND(AD1874=1,N(W1874)&lt;p_alert),ROUND(W1874,4),"")</f>
        <v/>
      </c>
      <c r="AH1874" t="str">
        <f>IF(AG1874="","",COUNTIF(sj_akey,"&lt;"&amp;AG1874)+COUNTIF($AG$6:AG1874,AG1874))</f>
        <v/>
      </c>
    </row>
    <row r="1875">
      <c r="A1875" s="51" t="n"/>
      <c r="B1875" s="52" t="n"/>
      <c r="C1875" s="52" t="n"/>
      <c r="D1875" s="53" t="n"/>
      <c r="E1875" s="53" t="n"/>
      <c r="F1875" s="54" t="n"/>
      <c r="G1875" s="54" t="n"/>
      <c r="H1875" s="54" t="n"/>
      <c r="I1875" s="54" t="n"/>
      <c r="J1875" s="53" t="n"/>
      <c r="K1875" s="55" t="str">
        <f>IF(COUNTA(A1875:I1875)=0,"",IF(F1875="",IFERROR(INDEX(eq_dur,MATCH(B1875,eq_code,0)),""),F1875))</f>
        <v/>
      </c>
      <c r="L1875" s="55" t="str">
        <f>IF(ISNUMBER(K1875),N(IFERROR(INDEX(eq_pause,MATCH(B1875,eq_code,0)),0))+SUMIFS(st_min,st_date,A1875,st_eq,B1875,st_po,C1875,st_type,"Planifié"),"")</f>
        <v/>
      </c>
      <c r="M1875" s="55" t="str">
        <f>IF(ISNUMBER(K1875),K1875-L1875,"")</f>
        <v/>
      </c>
      <c r="N1875" s="55" t="str">
        <f>IF(ISNUMBER(K1875),SUMIFS(st_min,st_date,A1875,st_eq,B1875,st_po,C1875,st_type,"Non planifié"),"")</f>
        <v/>
      </c>
      <c r="O1875" s="55" t="str">
        <f>IF(ISNUMBER(K1875),M1875-N1875,"")</f>
        <v/>
      </c>
      <c r="P1875" s="55" t="str">
        <f>IF(COUNTA(A1875:I1875)=0,"",N(G1875)+N(H1875)+N(I1875))</f>
        <v/>
      </c>
      <c r="Q1875" s="56" t="str">
        <f>IF(COUNTA(A1875:I1875)=0,"",IF(N(IFERROR(INDEX(art_rate,MATCH(E1875,art_ref,0)),0))&gt;0,N(IFERROR(INDEX(art_rate,MATCH(E1875,art_ref,0)),0)),N(IFERROR(INDEX(po_rate,MATCH(C1875,po_code,0)),0))))</f>
        <v/>
      </c>
      <c r="R1875" s="55" t="str">
        <f>IF(AC1875=1,P1875*60/Q1875,"")</f>
        <v/>
      </c>
      <c r="S1875" s="55" t="str">
        <f>IF(AC1875=1,N(G1875)*60/Q1875,"")</f>
        <v/>
      </c>
      <c r="T1875" s="57" t="str">
        <f>IF(AC1875=1,O1875/M1875,"")</f>
        <v/>
      </c>
      <c r="U1875" s="57" t="str">
        <f>IF(AC1875=1,IF(O1875&gt;0,R1875/O1875,""),"")</f>
        <v/>
      </c>
      <c r="V1875" s="57" t="str">
        <f>IF(AC1875=1,IF(P1875&gt;0,N(G1875)/P1875,""),"")</f>
        <v/>
      </c>
      <c r="W1875" s="57" t="str">
        <f>IF(AC1875=1,S1875/M1875,"")</f>
        <v/>
      </c>
      <c r="X1875" s="57" t="str">
        <f>IF(AC1875=1,S1875/K1875,"")</f>
        <v/>
      </c>
      <c r="Y1875" s="58" t="str">
        <f>IF(W1875="","",IF(W1875&gt;=p_target,"Bon",IF(W1875&gt;=p_alert,"À surveiller","Faible")))</f>
        <v/>
      </c>
      <c r="Z1875" s="58" t="str">
        <f>IF(W1875="","",IF(MIN(IF(T1875="",1,T1875),IF(U1875="",1,U1875),IF(V1875="",1,V1875))&gt;=1,"Aucune",IF(IF(T1875="",1,T1875)&lt;=MIN(IF(U1875="",1,U1875),IF(V1875="",1,V1875)),"Disponibilité",IF(IF(U1875="",1,U1875)&lt;=IF(V1875="",1,V1875),"Performance","Qualité"))))</f>
        <v/>
      </c>
      <c r="AA1875" s="59" t="str">
        <f>IF(AC1875=1,N(H1875)*N(IFERROR(INDEX(art_cost,MATCH(E1875,art_ref,0)),0)),"")</f>
        <v/>
      </c>
      <c r="AB1875" s="58" t="str">
        <f>IF(COUNTA(A1875:I1875)=0,"",IF(N(A1875)&lt;=0,"Date manquante ou invalide",IF(B1875="","Équipe manquante",IF(ISNA(MATCH(B1875,eq_code,0)),"Équipe inconnue",IF(INDEX(eq_check,MATCH(B1875,eq_code,0))&lt;&gt;"OK","Équipe à corriger dans Paramètres",IF(C1875="","Poste manquant",IF(ISNA(MATCH(C1875,po_code,0)),"Poste inconnu",IF(AND(E1875&lt;&gt;"",ISNA(MATCH(E1875,art_ref,0))),"Article inconnu",IF(IF(E1875="",FALSE,INDEX(art_check,MATCH(E1875,art_ref,0))&lt;&gt;"OK"),"Article à corriger (feuille Articles)",IF(COUNTIFS(sj_date,A1875,sj_eq,B1875,sj_po,C1875)&gt;1,"Ligne en double (même jour, équipe et poste)",IF(OR(NOT(ISNUMBER(K1875)),N(K1875)&lt;=0,N(K1875)&gt;1440),"Temps d'ouverture invalide",IF(OR(AND(G1875&lt;&gt;"",NOT(ISNUMBER(G1875))),N(G1875)&lt;0,N(G1875)&lt;&gt;INT(N(G1875)),AND(H1875&lt;&gt;"",NOT(ISNUMBER(H1875))),N(H1875)&lt;0,N(H1875)&lt;&gt;INT(N(H1875)),AND(I1875&lt;&gt;"",NOT(ISNUMBER(I1875))),N(I1875)&lt;0,N(I1875)&lt;&gt;INT(N(I1875))),"Quantité invalide",IF(Q1875&lt;=0,"Cadence manquante (poste ou article)",IF(M1875&lt;=0,"Arrêts planifiés supérieurs au temps d'ouverture",IF(O1875&lt;0,"Arrêts supérieurs au temps requis",IF(AND(P1875&gt;0,O1875=0),"Pièces déclarées sans temps de marche",IF(AND(P1875=0,O1875&gt;0),"Aucune pièce déclarée",IF(P1875*60/Q1875&gt;O1875+0.001,"Cadence dépassée : vérifiez la cadence","OK"))))))))))))))))))</f>
        <v/>
      </c>
      <c r="AC1875">
        <f>IF(OR(AB1875="OK",AB1875="Aucune pièce déclarée",AB1875="Cadence dépassée : vérifiez la cadence"),1,0)</f>
        <v>0.0</v>
      </c>
      <c r="AD1875">
        <f>IF(AND(AC1875=1,A1875&gt;=p_from,A1875&lt;=p_to),1,0)</f>
        <v>0.0</v>
      </c>
      <c r="AE1875">
        <f>IF(AD1875=1,IF(COUNTIFS($A$6:A1875,A1875,$AD$6:AD1875,1)=1,1,0),0)</f>
        <v>0.0</v>
      </c>
      <c r="AF1875" t="str">
        <f>IF(AE1875=1,COUNTIFS(sj_first,1,sj_date,"&lt;"&amp;A1875)+1,"")</f>
        <v/>
      </c>
      <c r="AG1875" t="str">
        <f>IF(AND(AD1875=1,N(W1875)&lt;p_alert),ROUND(W1875,4),"")</f>
        <v/>
      </c>
      <c r="AH1875" t="str">
        <f>IF(AG1875="","",COUNTIF(sj_akey,"&lt;"&amp;AG1875)+COUNTIF($AG$6:AG1875,AG1875))</f>
        <v/>
      </c>
    </row>
    <row r="1876">
      <c r="A1876" s="51" t="n"/>
      <c r="B1876" s="52" t="n"/>
      <c r="C1876" s="52" t="n"/>
      <c r="D1876" s="53" t="n"/>
      <c r="E1876" s="53" t="n"/>
      <c r="F1876" s="54" t="n"/>
      <c r="G1876" s="54" t="n"/>
      <c r="H1876" s="54" t="n"/>
      <c r="I1876" s="54" t="n"/>
      <c r="J1876" s="53" t="n"/>
      <c r="K1876" s="55" t="str">
        <f>IF(COUNTA(A1876:I1876)=0,"",IF(F1876="",IFERROR(INDEX(eq_dur,MATCH(B1876,eq_code,0)),""),F1876))</f>
        <v/>
      </c>
      <c r="L1876" s="55" t="str">
        <f>IF(ISNUMBER(K1876),N(IFERROR(INDEX(eq_pause,MATCH(B1876,eq_code,0)),0))+SUMIFS(st_min,st_date,A1876,st_eq,B1876,st_po,C1876,st_type,"Planifié"),"")</f>
        <v/>
      </c>
      <c r="M1876" s="55" t="str">
        <f>IF(ISNUMBER(K1876),K1876-L1876,"")</f>
        <v/>
      </c>
      <c r="N1876" s="55" t="str">
        <f>IF(ISNUMBER(K1876),SUMIFS(st_min,st_date,A1876,st_eq,B1876,st_po,C1876,st_type,"Non planifié"),"")</f>
        <v/>
      </c>
      <c r="O1876" s="55" t="str">
        <f>IF(ISNUMBER(K1876),M1876-N1876,"")</f>
        <v/>
      </c>
      <c r="P1876" s="55" t="str">
        <f>IF(COUNTA(A1876:I1876)=0,"",N(G1876)+N(H1876)+N(I1876))</f>
        <v/>
      </c>
      <c r="Q1876" s="56" t="str">
        <f>IF(COUNTA(A1876:I1876)=0,"",IF(N(IFERROR(INDEX(art_rate,MATCH(E1876,art_ref,0)),0))&gt;0,N(IFERROR(INDEX(art_rate,MATCH(E1876,art_ref,0)),0)),N(IFERROR(INDEX(po_rate,MATCH(C1876,po_code,0)),0))))</f>
        <v/>
      </c>
      <c r="R1876" s="55" t="str">
        <f>IF(AC1876=1,P1876*60/Q1876,"")</f>
        <v/>
      </c>
      <c r="S1876" s="55" t="str">
        <f>IF(AC1876=1,N(G1876)*60/Q1876,"")</f>
        <v/>
      </c>
      <c r="T1876" s="57" t="str">
        <f>IF(AC1876=1,O1876/M1876,"")</f>
        <v/>
      </c>
      <c r="U1876" s="57" t="str">
        <f>IF(AC1876=1,IF(O1876&gt;0,R1876/O1876,""),"")</f>
        <v/>
      </c>
      <c r="V1876" s="57" t="str">
        <f>IF(AC1876=1,IF(P1876&gt;0,N(G1876)/P1876,""),"")</f>
        <v/>
      </c>
      <c r="W1876" s="57" t="str">
        <f>IF(AC1876=1,S1876/M1876,"")</f>
        <v/>
      </c>
      <c r="X1876" s="57" t="str">
        <f>IF(AC1876=1,S1876/K1876,"")</f>
        <v/>
      </c>
      <c r="Y1876" s="58" t="str">
        <f>IF(W1876="","",IF(W1876&gt;=p_target,"Bon",IF(W1876&gt;=p_alert,"À surveiller","Faible")))</f>
        <v/>
      </c>
      <c r="Z1876" s="58" t="str">
        <f>IF(W1876="","",IF(MIN(IF(T1876="",1,T1876),IF(U1876="",1,U1876),IF(V1876="",1,V1876))&gt;=1,"Aucune",IF(IF(T1876="",1,T1876)&lt;=MIN(IF(U1876="",1,U1876),IF(V1876="",1,V1876)),"Disponibilité",IF(IF(U1876="",1,U1876)&lt;=IF(V1876="",1,V1876),"Performance","Qualité"))))</f>
        <v/>
      </c>
      <c r="AA1876" s="59" t="str">
        <f>IF(AC1876=1,N(H1876)*N(IFERROR(INDEX(art_cost,MATCH(E1876,art_ref,0)),0)),"")</f>
        <v/>
      </c>
      <c r="AB1876" s="58" t="str">
        <f>IF(COUNTA(A1876:I1876)=0,"",IF(N(A1876)&lt;=0,"Date manquante ou invalide",IF(B1876="","Équipe manquante",IF(ISNA(MATCH(B1876,eq_code,0)),"Équipe inconnue",IF(INDEX(eq_check,MATCH(B1876,eq_code,0))&lt;&gt;"OK","Équipe à corriger dans Paramètres",IF(C1876="","Poste manquant",IF(ISNA(MATCH(C1876,po_code,0)),"Poste inconnu",IF(AND(E1876&lt;&gt;"",ISNA(MATCH(E1876,art_ref,0))),"Article inconnu",IF(IF(E1876="",FALSE,INDEX(art_check,MATCH(E1876,art_ref,0))&lt;&gt;"OK"),"Article à corriger (feuille Articles)",IF(COUNTIFS(sj_date,A1876,sj_eq,B1876,sj_po,C1876)&gt;1,"Ligne en double (même jour, équipe et poste)",IF(OR(NOT(ISNUMBER(K1876)),N(K1876)&lt;=0,N(K1876)&gt;1440),"Temps d'ouverture invalide",IF(OR(AND(G1876&lt;&gt;"",NOT(ISNUMBER(G1876))),N(G1876)&lt;0,N(G1876)&lt;&gt;INT(N(G1876)),AND(H1876&lt;&gt;"",NOT(ISNUMBER(H1876))),N(H1876)&lt;0,N(H1876)&lt;&gt;INT(N(H1876)),AND(I1876&lt;&gt;"",NOT(ISNUMBER(I1876))),N(I1876)&lt;0,N(I1876)&lt;&gt;INT(N(I1876))),"Quantité invalide",IF(Q1876&lt;=0,"Cadence manquante (poste ou article)",IF(M1876&lt;=0,"Arrêts planifiés supérieurs au temps d'ouverture",IF(O1876&lt;0,"Arrêts supérieurs au temps requis",IF(AND(P1876&gt;0,O1876=0),"Pièces déclarées sans temps de marche",IF(AND(P1876=0,O1876&gt;0),"Aucune pièce déclarée",IF(P1876*60/Q1876&gt;O1876+0.001,"Cadence dépassée : vérifiez la cadence","OK"))))))))))))))))))</f>
        <v/>
      </c>
      <c r="AC1876">
        <f>IF(OR(AB1876="OK",AB1876="Aucune pièce déclarée",AB1876="Cadence dépassée : vérifiez la cadence"),1,0)</f>
        <v>0.0</v>
      </c>
      <c r="AD1876">
        <f>IF(AND(AC1876=1,A1876&gt;=p_from,A1876&lt;=p_to),1,0)</f>
        <v>0.0</v>
      </c>
      <c r="AE1876">
        <f>IF(AD1876=1,IF(COUNTIFS($A$6:A1876,A1876,$AD$6:AD1876,1)=1,1,0),0)</f>
        <v>0.0</v>
      </c>
      <c r="AF1876" t="str">
        <f>IF(AE1876=1,COUNTIFS(sj_first,1,sj_date,"&lt;"&amp;A1876)+1,"")</f>
        <v/>
      </c>
      <c r="AG1876" t="str">
        <f>IF(AND(AD1876=1,N(W1876)&lt;p_alert),ROUND(W1876,4),"")</f>
        <v/>
      </c>
      <c r="AH1876" t="str">
        <f>IF(AG1876="","",COUNTIF(sj_akey,"&lt;"&amp;AG1876)+COUNTIF($AG$6:AG1876,AG1876))</f>
        <v/>
      </c>
    </row>
    <row r="1877">
      <c r="A1877" s="51" t="n"/>
      <c r="B1877" s="52" t="n"/>
      <c r="C1877" s="52" t="n"/>
      <c r="D1877" s="53" t="n"/>
      <c r="E1877" s="53" t="n"/>
      <c r="F1877" s="54" t="n"/>
      <c r="G1877" s="54" t="n"/>
      <c r="H1877" s="54" t="n"/>
      <c r="I1877" s="54" t="n"/>
      <c r="J1877" s="53" t="n"/>
      <c r="K1877" s="55" t="str">
        <f>IF(COUNTA(A1877:I1877)=0,"",IF(F1877="",IFERROR(INDEX(eq_dur,MATCH(B1877,eq_code,0)),""),F1877))</f>
        <v/>
      </c>
      <c r="L1877" s="55" t="str">
        <f>IF(ISNUMBER(K1877),N(IFERROR(INDEX(eq_pause,MATCH(B1877,eq_code,0)),0))+SUMIFS(st_min,st_date,A1877,st_eq,B1877,st_po,C1877,st_type,"Planifié"),"")</f>
        <v/>
      </c>
      <c r="M1877" s="55" t="str">
        <f>IF(ISNUMBER(K1877),K1877-L1877,"")</f>
        <v/>
      </c>
      <c r="N1877" s="55" t="str">
        <f>IF(ISNUMBER(K1877),SUMIFS(st_min,st_date,A1877,st_eq,B1877,st_po,C1877,st_type,"Non planifié"),"")</f>
        <v/>
      </c>
      <c r="O1877" s="55" t="str">
        <f>IF(ISNUMBER(K1877),M1877-N1877,"")</f>
        <v/>
      </c>
      <c r="P1877" s="55" t="str">
        <f>IF(COUNTA(A1877:I1877)=0,"",N(G1877)+N(H1877)+N(I1877))</f>
        <v/>
      </c>
      <c r="Q1877" s="56" t="str">
        <f>IF(COUNTA(A1877:I1877)=0,"",IF(N(IFERROR(INDEX(art_rate,MATCH(E1877,art_ref,0)),0))&gt;0,N(IFERROR(INDEX(art_rate,MATCH(E1877,art_ref,0)),0)),N(IFERROR(INDEX(po_rate,MATCH(C1877,po_code,0)),0))))</f>
        <v/>
      </c>
      <c r="R1877" s="55" t="str">
        <f>IF(AC1877=1,P1877*60/Q1877,"")</f>
        <v/>
      </c>
      <c r="S1877" s="55" t="str">
        <f>IF(AC1877=1,N(G1877)*60/Q1877,"")</f>
        <v/>
      </c>
      <c r="T1877" s="57" t="str">
        <f>IF(AC1877=1,O1877/M1877,"")</f>
        <v/>
      </c>
      <c r="U1877" s="57" t="str">
        <f>IF(AC1877=1,IF(O1877&gt;0,R1877/O1877,""),"")</f>
        <v/>
      </c>
      <c r="V1877" s="57" t="str">
        <f>IF(AC1877=1,IF(P1877&gt;0,N(G1877)/P1877,""),"")</f>
        <v/>
      </c>
      <c r="W1877" s="57" t="str">
        <f>IF(AC1877=1,S1877/M1877,"")</f>
        <v/>
      </c>
      <c r="X1877" s="57" t="str">
        <f>IF(AC1877=1,S1877/K1877,"")</f>
        <v/>
      </c>
      <c r="Y1877" s="58" t="str">
        <f>IF(W1877="","",IF(W1877&gt;=p_target,"Bon",IF(W1877&gt;=p_alert,"À surveiller","Faible")))</f>
        <v/>
      </c>
      <c r="Z1877" s="58" t="str">
        <f>IF(W1877="","",IF(MIN(IF(T1877="",1,T1877),IF(U1877="",1,U1877),IF(V1877="",1,V1877))&gt;=1,"Aucune",IF(IF(T1877="",1,T1877)&lt;=MIN(IF(U1877="",1,U1877),IF(V1877="",1,V1877)),"Disponibilité",IF(IF(U1877="",1,U1877)&lt;=IF(V1877="",1,V1877),"Performance","Qualité"))))</f>
        <v/>
      </c>
      <c r="AA1877" s="59" t="str">
        <f>IF(AC1877=1,N(H1877)*N(IFERROR(INDEX(art_cost,MATCH(E1877,art_ref,0)),0)),"")</f>
        <v/>
      </c>
      <c r="AB1877" s="58" t="str">
        <f>IF(COUNTA(A1877:I1877)=0,"",IF(N(A1877)&lt;=0,"Date manquante ou invalide",IF(B1877="","Équipe manquante",IF(ISNA(MATCH(B1877,eq_code,0)),"Équipe inconnue",IF(INDEX(eq_check,MATCH(B1877,eq_code,0))&lt;&gt;"OK","Équipe à corriger dans Paramètres",IF(C1877="","Poste manquant",IF(ISNA(MATCH(C1877,po_code,0)),"Poste inconnu",IF(AND(E1877&lt;&gt;"",ISNA(MATCH(E1877,art_ref,0))),"Article inconnu",IF(IF(E1877="",FALSE,INDEX(art_check,MATCH(E1877,art_ref,0))&lt;&gt;"OK"),"Article à corriger (feuille Articles)",IF(COUNTIFS(sj_date,A1877,sj_eq,B1877,sj_po,C1877)&gt;1,"Ligne en double (même jour, équipe et poste)",IF(OR(NOT(ISNUMBER(K1877)),N(K1877)&lt;=0,N(K1877)&gt;1440),"Temps d'ouverture invalide",IF(OR(AND(G1877&lt;&gt;"",NOT(ISNUMBER(G1877))),N(G1877)&lt;0,N(G1877)&lt;&gt;INT(N(G1877)),AND(H1877&lt;&gt;"",NOT(ISNUMBER(H1877))),N(H1877)&lt;0,N(H1877)&lt;&gt;INT(N(H1877)),AND(I1877&lt;&gt;"",NOT(ISNUMBER(I1877))),N(I1877)&lt;0,N(I1877)&lt;&gt;INT(N(I1877))),"Quantité invalide",IF(Q1877&lt;=0,"Cadence manquante (poste ou article)",IF(M1877&lt;=0,"Arrêts planifiés supérieurs au temps d'ouverture",IF(O1877&lt;0,"Arrêts supérieurs au temps requis",IF(AND(P1877&gt;0,O1877=0),"Pièces déclarées sans temps de marche",IF(AND(P1877=0,O1877&gt;0),"Aucune pièce déclarée",IF(P1877*60/Q1877&gt;O1877+0.001,"Cadence dépassée : vérifiez la cadence","OK"))))))))))))))))))</f>
        <v/>
      </c>
      <c r="AC1877">
        <f>IF(OR(AB1877="OK",AB1877="Aucune pièce déclarée",AB1877="Cadence dépassée : vérifiez la cadence"),1,0)</f>
        <v>0.0</v>
      </c>
      <c r="AD1877">
        <f>IF(AND(AC1877=1,A1877&gt;=p_from,A1877&lt;=p_to),1,0)</f>
        <v>0.0</v>
      </c>
      <c r="AE1877">
        <f>IF(AD1877=1,IF(COUNTIFS($A$6:A1877,A1877,$AD$6:AD1877,1)=1,1,0),0)</f>
        <v>0.0</v>
      </c>
      <c r="AF1877" t="str">
        <f>IF(AE1877=1,COUNTIFS(sj_first,1,sj_date,"&lt;"&amp;A1877)+1,"")</f>
        <v/>
      </c>
      <c r="AG1877" t="str">
        <f>IF(AND(AD1877=1,N(W1877)&lt;p_alert),ROUND(W1877,4),"")</f>
        <v/>
      </c>
      <c r="AH1877" t="str">
        <f>IF(AG1877="","",COUNTIF(sj_akey,"&lt;"&amp;AG1877)+COUNTIF($AG$6:AG1877,AG1877))</f>
        <v/>
      </c>
    </row>
    <row r="1878">
      <c r="A1878" s="51" t="n"/>
      <c r="B1878" s="52" t="n"/>
      <c r="C1878" s="52" t="n"/>
      <c r="D1878" s="53" t="n"/>
      <c r="E1878" s="53" t="n"/>
      <c r="F1878" s="54" t="n"/>
      <c r="G1878" s="54" t="n"/>
      <c r="H1878" s="54" t="n"/>
      <c r="I1878" s="54" t="n"/>
      <c r="J1878" s="53" t="n"/>
      <c r="K1878" s="55" t="str">
        <f>IF(COUNTA(A1878:I1878)=0,"",IF(F1878="",IFERROR(INDEX(eq_dur,MATCH(B1878,eq_code,0)),""),F1878))</f>
        <v/>
      </c>
      <c r="L1878" s="55" t="str">
        <f>IF(ISNUMBER(K1878),N(IFERROR(INDEX(eq_pause,MATCH(B1878,eq_code,0)),0))+SUMIFS(st_min,st_date,A1878,st_eq,B1878,st_po,C1878,st_type,"Planifié"),"")</f>
        <v/>
      </c>
      <c r="M1878" s="55" t="str">
        <f>IF(ISNUMBER(K1878),K1878-L1878,"")</f>
        <v/>
      </c>
      <c r="N1878" s="55" t="str">
        <f>IF(ISNUMBER(K1878),SUMIFS(st_min,st_date,A1878,st_eq,B1878,st_po,C1878,st_type,"Non planifié"),"")</f>
        <v/>
      </c>
      <c r="O1878" s="55" t="str">
        <f>IF(ISNUMBER(K1878),M1878-N1878,"")</f>
        <v/>
      </c>
      <c r="P1878" s="55" t="str">
        <f>IF(COUNTA(A1878:I1878)=0,"",N(G1878)+N(H1878)+N(I1878))</f>
        <v/>
      </c>
      <c r="Q1878" s="56" t="str">
        <f>IF(COUNTA(A1878:I1878)=0,"",IF(N(IFERROR(INDEX(art_rate,MATCH(E1878,art_ref,0)),0))&gt;0,N(IFERROR(INDEX(art_rate,MATCH(E1878,art_ref,0)),0)),N(IFERROR(INDEX(po_rate,MATCH(C1878,po_code,0)),0))))</f>
        <v/>
      </c>
      <c r="R1878" s="55" t="str">
        <f>IF(AC1878=1,P1878*60/Q1878,"")</f>
        <v/>
      </c>
      <c r="S1878" s="55" t="str">
        <f>IF(AC1878=1,N(G1878)*60/Q1878,"")</f>
        <v/>
      </c>
      <c r="T1878" s="57" t="str">
        <f>IF(AC1878=1,O1878/M1878,"")</f>
        <v/>
      </c>
      <c r="U1878" s="57" t="str">
        <f>IF(AC1878=1,IF(O1878&gt;0,R1878/O1878,""),"")</f>
        <v/>
      </c>
      <c r="V1878" s="57" t="str">
        <f>IF(AC1878=1,IF(P1878&gt;0,N(G1878)/P1878,""),"")</f>
        <v/>
      </c>
      <c r="W1878" s="57" t="str">
        <f>IF(AC1878=1,S1878/M1878,"")</f>
        <v/>
      </c>
      <c r="X1878" s="57" t="str">
        <f>IF(AC1878=1,S1878/K1878,"")</f>
        <v/>
      </c>
      <c r="Y1878" s="58" t="str">
        <f>IF(W1878="","",IF(W1878&gt;=p_target,"Bon",IF(W1878&gt;=p_alert,"À surveiller","Faible")))</f>
        <v/>
      </c>
      <c r="Z1878" s="58" t="str">
        <f>IF(W1878="","",IF(MIN(IF(T1878="",1,T1878),IF(U1878="",1,U1878),IF(V1878="",1,V1878))&gt;=1,"Aucune",IF(IF(T1878="",1,T1878)&lt;=MIN(IF(U1878="",1,U1878),IF(V1878="",1,V1878)),"Disponibilité",IF(IF(U1878="",1,U1878)&lt;=IF(V1878="",1,V1878),"Performance","Qualité"))))</f>
        <v/>
      </c>
      <c r="AA1878" s="59" t="str">
        <f>IF(AC1878=1,N(H1878)*N(IFERROR(INDEX(art_cost,MATCH(E1878,art_ref,0)),0)),"")</f>
        <v/>
      </c>
      <c r="AB1878" s="58" t="str">
        <f>IF(COUNTA(A1878:I1878)=0,"",IF(N(A1878)&lt;=0,"Date manquante ou invalide",IF(B1878="","Équipe manquante",IF(ISNA(MATCH(B1878,eq_code,0)),"Équipe inconnue",IF(INDEX(eq_check,MATCH(B1878,eq_code,0))&lt;&gt;"OK","Équipe à corriger dans Paramètres",IF(C1878="","Poste manquant",IF(ISNA(MATCH(C1878,po_code,0)),"Poste inconnu",IF(AND(E1878&lt;&gt;"",ISNA(MATCH(E1878,art_ref,0))),"Article inconnu",IF(IF(E1878="",FALSE,INDEX(art_check,MATCH(E1878,art_ref,0))&lt;&gt;"OK"),"Article à corriger (feuille Articles)",IF(COUNTIFS(sj_date,A1878,sj_eq,B1878,sj_po,C1878)&gt;1,"Ligne en double (même jour, équipe et poste)",IF(OR(NOT(ISNUMBER(K1878)),N(K1878)&lt;=0,N(K1878)&gt;1440),"Temps d'ouverture invalide",IF(OR(AND(G1878&lt;&gt;"",NOT(ISNUMBER(G1878))),N(G1878)&lt;0,N(G1878)&lt;&gt;INT(N(G1878)),AND(H1878&lt;&gt;"",NOT(ISNUMBER(H1878))),N(H1878)&lt;0,N(H1878)&lt;&gt;INT(N(H1878)),AND(I1878&lt;&gt;"",NOT(ISNUMBER(I1878))),N(I1878)&lt;0,N(I1878)&lt;&gt;INT(N(I1878))),"Quantité invalide",IF(Q1878&lt;=0,"Cadence manquante (poste ou article)",IF(M1878&lt;=0,"Arrêts planifiés supérieurs au temps d'ouverture",IF(O1878&lt;0,"Arrêts supérieurs au temps requis",IF(AND(P1878&gt;0,O1878=0),"Pièces déclarées sans temps de marche",IF(AND(P1878=0,O1878&gt;0),"Aucune pièce déclarée",IF(P1878*60/Q1878&gt;O1878+0.001,"Cadence dépassée : vérifiez la cadence","OK"))))))))))))))))))</f>
        <v/>
      </c>
      <c r="AC1878">
        <f>IF(OR(AB1878="OK",AB1878="Aucune pièce déclarée",AB1878="Cadence dépassée : vérifiez la cadence"),1,0)</f>
        <v>0.0</v>
      </c>
      <c r="AD1878">
        <f>IF(AND(AC1878=1,A1878&gt;=p_from,A1878&lt;=p_to),1,0)</f>
        <v>0.0</v>
      </c>
      <c r="AE1878">
        <f>IF(AD1878=1,IF(COUNTIFS($A$6:A1878,A1878,$AD$6:AD1878,1)=1,1,0),0)</f>
        <v>0.0</v>
      </c>
      <c r="AF1878" t="str">
        <f>IF(AE1878=1,COUNTIFS(sj_first,1,sj_date,"&lt;"&amp;A1878)+1,"")</f>
        <v/>
      </c>
      <c r="AG1878" t="str">
        <f>IF(AND(AD1878=1,N(W1878)&lt;p_alert),ROUND(W1878,4),"")</f>
        <v/>
      </c>
      <c r="AH1878" t="str">
        <f>IF(AG1878="","",COUNTIF(sj_akey,"&lt;"&amp;AG1878)+COUNTIF($AG$6:AG1878,AG1878))</f>
        <v/>
      </c>
    </row>
    <row r="1879">
      <c r="A1879" s="51" t="n"/>
      <c r="B1879" s="52" t="n"/>
      <c r="C1879" s="52" t="n"/>
      <c r="D1879" s="53" t="n"/>
      <c r="E1879" s="53" t="n"/>
      <c r="F1879" s="54" t="n"/>
      <c r="G1879" s="54" t="n"/>
      <c r="H1879" s="54" t="n"/>
      <c r="I1879" s="54" t="n"/>
      <c r="J1879" s="53" t="n"/>
      <c r="K1879" s="55" t="str">
        <f>IF(COUNTA(A1879:I1879)=0,"",IF(F1879="",IFERROR(INDEX(eq_dur,MATCH(B1879,eq_code,0)),""),F1879))</f>
        <v/>
      </c>
      <c r="L1879" s="55" t="str">
        <f>IF(ISNUMBER(K1879),N(IFERROR(INDEX(eq_pause,MATCH(B1879,eq_code,0)),0))+SUMIFS(st_min,st_date,A1879,st_eq,B1879,st_po,C1879,st_type,"Planifié"),"")</f>
        <v/>
      </c>
      <c r="M1879" s="55" t="str">
        <f>IF(ISNUMBER(K1879),K1879-L1879,"")</f>
        <v/>
      </c>
      <c r="N1879" s="55" t="str">
        <f>IF(ISNUMBER(K1879),SUMIFS(st_min,st_date,A1879,st_eq,B1879,st_po,C1879,st_type,"Non planifié"),"")</f>
        <v/>
      </c>
      <c r="O1879" s="55" t="str">
        <f>IF(ISNUMBER(K1879),M1879-N1879,"")</f>
        <v/>
      </c>
      <c r="P1879" s="55" t="str">
        <f>IF(COUNTA(A1879:I1879)=0,"",N(G1879)+N(H1879)+N(I1879))</f>
        <v/>
      </c>
      <c r="Q1879" s="56" t="str">
        <f>IF(COUNTA(A1879:I1879)=0,"",IF(N(IFERROR(INDEX(art_rate,MATCH(E1879,art_ref,0)),0))&gt;0,N(IFERROR(INDEX(art_rate,MATCH(E1879,art_ref,0)),0)),N(IFERROR(INDEX(po_rate,MATCH(C1879,po_code,0)),0))))</f>
        <v/>
      </c>
      <c r="R1879" s="55" t="str">
        <f>IF(AC1879=1,P1879*60/Q1879,"")</f>
        <v/>
      </c>
      <c r="S1879" s="55" t="str">
        <f>IF(AC1879=1,N(G1879)*60/Q1879,"")</f>
        <v/>
      </c>
      <c r="T1879" s="57" t="str">
        <f>IF(AC1879=1,O1879/M1879,"")</f>
        <v/>
      </c>
      <c r="U1879" s="57" t="str">
        <f>IF(AC1879=1,IF(O1879&gt;0,R1879/O1879,""),"")</f>
        <v/>
      </c>
      <c r="V1879" s="57" t="str">
        <f>IF(AC1879=1,IF(P1879&gt;0,N(G1879)/P1879,""),"")</f>
        <v/>
      </c>
      <c r="W1879" s="57" t="str">
        <f>IF(AC1879=1,S1879/M1879,"")</f>
        <v/>
      </c>
      <c r="X1879" s="57" t="str">
        <f>IF(AC1879=1,S1879/K1879,"")</f>
        <v/>
      </c>
      <c r="Y1879" s="58" t="str">
        <f>IF(W1879="","",IF(W1879&gt;=p_target,"Bon",IF(W1879&gt;=p_alert,"À surveiller","Faible")))</f>
        <v/>
      </c>
      <c r="Z1879" s="58" t="str">
        <f>IF(W1879="","",IF(MIN(IF(T1879="",1,T1879),IF(U1879="",1,U1879),IF(V1879="",1,V1879))&gt;=1,"Aucune",IF(IF(T1879="",1,T1879)&lt;=MIN(IF(U1879="",1,U1879),IF(V1879="",1,V1879)),"Disponibilité",IF(IF(U1879="",1,U1879)&lt;=IF(V1879="",1,V1879),"Performance","Qualité"))))</f>
        <v/>
      </c>
      <c r="AA1879" s="59" t="str">
        <f>IF(AC1879=1,N(H1879)*N(IFERROR(INDEX(art_cost,MATCH(E1879,art_ref,0)),0)),"")</f>
        <v/>
      </c>
      <c r="AB1879" s="58" t="str">
        <f>IF(COUNTA(A1879:I1879)=0,"",IF(N(A1879)&lt;=0,"Date manquante ou invalide",IF(B1879="","Équipe manquante",IF(ISNA(MATCH(B1879,eq_code,0)),"Équipe inconnue",IF(INDEX(eq_check,MATCH(B1879,eq_code,0))&lt;&gt;"OK","Équipe à corriger dans Paramètres",IF(C1879="","Poste manquant",IF(ISNA(MATCH(C1879,po_code,0)),"Poste inconnu",IF(AND(E1879&lt;&gt;"",ISNA(MATCH(E1879,art_ref,0))),"Article inconnu",IF(IF(E1879="",FALSE,INDEX(art_check,MATCH(E1879,art_ref,0))&lt;&gt;"OK"),"Article à corriger (feuille Articles)",IF(COUNTIFS(sj_date,A1879,sj_eq,B1879,sj_po,C1879)&gt;1,"Ligne en double (même jour, équipe et poste)",IF(OR(NOT(ISNUMBER(K1879)),N(K1879)&lt;=0,N(K1879)&gt;1440),"Temps d'ouverture invalide",IF(OR(AND(G1879&lt;&gt;"",NOT(ISNUMBER(G1879))),N(G1879)&lt;0,N(G1879)&lt;&gt;INT(N(G1879)),AND(H1879&lt;&gt;"",NOT(ISNUMBER(H1879))),N(H1879)&lt;0,N(H1879)&lt;&gt;INT(N(H1879)),AND(I1879&lt;&gt;"",NOT(ISNUMBER(I1879))),N(I1879)&lt;0,N(I1879)&lt;&gt;INT(N(I1879))),"Quantité invalide",IF(Q1879&lt;=0,"Cadence manquante (poste ou article)",IF(M1879&lt;=0,"Arrêts planifiés supérieurs au temps d'ouverture",IF(O1879&lt;0,"Arrêts supérieurs au temps requis",IF(AND(P1879&gt;0,O1879=0),"Pièces déclarées sans temps de marche",IF(AND(P1879=0,O1879&gt;0),"Aucune pièce déclarée",IF(P1879*60/Q1879&gt;O1879+0.001,"Cadence dépassée : vérifiez la cadence","OK"))))))))))))))))))</f>
        <v/>
      </c>
      <c r="AC1879">
        <f>IF(OR(AB1879="OK",AB1879="Aucune pièce déclarée",AB1879="Cadence dépassée : vérifiez la cadence"),1,0)</f>
        <v>0.0</v>
      </c>
      <c r="AD1879">
        <f>IF(AND(AC1879=1,A1879&gt;=p_from,A1879&lt;=p_to),1,0)</f>
        <v>0.0</v>
      </c>
      <c r="AE1879">
        <f>IF(AD1879=1,IF(COUNTIFS($A$6:A1879,A1879,$AD$6:AD1879,1)=1,1,0),0)</f>
        <v>0.0</v>
      </c>
      <c r="AF1879" t="str">
        <f>IF(AE1879=1,COUNTIFS(sj_first,1,sj_date,"&lt;"&amp;A1879)+1,"")</f>
        <v/>
      </c>
      <c r="AG1879" t="str">
        <f>IF(AND(AD1879=1,N(W1879)&lt;p_alert),ROUND(W1879,4),"")</f>
        <v/>
      </c>
      <c r="AH1879" t="str">
        <f>IF(AG1879="","",COUNTIF(sj_akey,"&lt;"&amp;AG1879)+COUNTIF($AG$6:AG1879,AG1879))</f>
        <v/>
      </c>
    </row>
    <row r="1880">
      <c r="A1880" s="51" t="n"/>
      <c r="B1880" s="52" t="n"/>
      <c r="C1880" s="52" t="n"/>
      <c r="D1880" s="53" t="n"/>
      <c r="E1880" s="53" t="n"/>
      <c r="F1880" s="54" t="n"/>
      <c r="G1880" s="54" t="n"/>
      <c r="H1880" s="54" t="n"/>
      <c r="I1880" s="54" t="n"/>
      <c r="J1880" s="53" t="n"/>
      <c r="K1880" s="55" t="str">
        <f>IF(COUNTA(A1880:I1880)=0,"",IF(F1880="",IFERROR(INDEX(eq_dur,MATCH(B1880,eq_code,0)),""),F1880))</f>
        <v/>
      </c>
      <c r="L1880" s="55" t="str">
        <f>IF(ISNUMBER(K1880),N(IFERROR(INDEX(eq_pause,MATCH(B1880,eq_code,0)),0))+SUMIFS(st_min,st_date,A1880,st_eq,B1880,st_po,C1880,st_type,"Planifié"),"")</f>
        <v/>
      </c>
      <c r="M1880" s="55" t="str">
        <f>IF(ISNUMBER(K1880),K1880-L1880,"")</f>
        <v/>
      </c>
      <c r="N1880" s="55" t="str">
        <f>IF(ISNUMBER(K1880),SUMIFS(st_min,st_date,A1880,st_eq,B1880,st_po,C1880,st_type,"Non planifié"),"")</f>
        <v/>
      </c>
      <c r="O1880" s="55" t="str">
        <f>IF(ISNUMBER(K1880),M1880-N1880,"")</f>
        <v/>
      </c>
      <c r="P1880" s="55" t="str">
        <f>IF(COUNTA(A1880:I1880)=0,"",N(G1880)+N(H1880)+N(I1880))</f>
        <v/>
      </c>
      <c r="Q1880" s="56" t="str">
        <f>IF(COUNTA(A1880:I1880)=0,"",IF(N(IFERROR(INDEX(art_rate,MATCH(E1880,art_ref,0)),0))&gt;0,N(IFERROR(INDEX(art_rate,MATCH(E1880,art_ref,0)),0)),N(IFERROR(INDEX(po_rate,MATCH(C1880,po_code,0)),0))))</f>
        <v/>
      </c>
      <c r="R1880" s="55" t="str">
        <f>IF(AC1880=1,P1880*60/Q1880,"")</f>
        <v/>
      </c>
      <c r="S1880" s="55" t="str">
        <f>IF(AC1880=1,N(G1880)*60/Q1880,"")</f>
        <v/>
      </c>
      <c r="T1880" s="57" t="str">
        <f>IF(AC1880=1,O1880/M1880,"")</f>
        <v/>
      </c>
      <c r="U1880" s="57" t="str">
        <f>IF(AC1880=1,IF(O1880&gt;0,R1880/O1880,""),"")</f>
        <v/>
      </c>
      <c r="V1880" s="57" t="str">
        <f>IF(AC1880=1,IF(P1880&gt;0,N(G1880)/P1880,""),"")</f>
        <v/>
      </c>
      <c r="W1880" s="57" t="str">
        <f>IF(AC1880=1,S1880/M1880,"")</f>
        <v/>
      </c>
      <c r="X1880" s="57" t="str">
        <f>IF(AC1880=1,S1880/K1880,"")</f>
        <v/>
      </c>
      <c r="Y1880" s="58" t="str">
        <f>IF(W1880="","",IF(W1880&gt;=p_target,"Bon",IF(W1880&gt;=p_alert,"À surveiller","Faible")))</f>
        <v/>
      </c>
      <c r="Z1880" s="58" t="str">
        <f>IF(W1880="","",IF(MIN(IF(T1880="",1,T1880),IF(U1880="",1,U1880),IF(V1880="",1,V1880))&gt;=1,"Aucune",IF(IF(T1880="",1,T1880)&lt;=MIN(IF(U1880="",1,U1880),IF(V1880="",1,V1880)),"Disponibilité",IF(IF(U1880="",1,U1880)&lt;=IF(V1880="",1,V1880),"Performance","Qualité"))))</f>
        <v/>
      </c>
      <c r="AA1880" s="59" t="str">
        <f>IF(AC1880=1,N(H1880)*N(IFERROR(INDEX(art_cost,MATCH(E1880,art_ref,0)),0)),"")</f>
        <v/>
      </c>
      <c r="AB1880" s="58" t="str">
        <f>IF(COUNTA(A1880:I1880)=0,"",IF(N(A1880)&lt;=0,"Date manquante ou invalide",IF(B1880="","Équipe manquante",IF(ISNA(MATCH(B1880,eq_code,0)),"Équipe inconnue",IF(INDEX(eq_check,MATCH(B1880,eq_code,0))&lt;&gt;"OK","Équipe à corriger dans Paramètres",IF(C1880="","Poste manquant",IF(ISNA(MATCH(C1880,po_code,0)),"Poste inconnu",IF(AND(E1880&lt;&gt;"",ISNA(MATCH(E1880,art_ref,0))),"Article inconnu",IF(IF(E1880="",FALSE,INDEX(art_check,MATCH(E1880,art_ref,0))&lt;&gt;"OK"),"Article à corriger (feuille Articles)",IF(COUNTIFS(sj_date,A1880,sj_eq,B1880,sj_po,C1880)&gt;1,"Ligne en double (même jour, équipe et poste)",IF(OR(NOT(ISNUMBER(K1880)),N(K1880)&lt;=0,N(K1880)&gt;1440),"Temps d'ouverture invalide",IF(OR(AND(G1880&lt;&gt;"",NOT(ISNUMBER(G1880))),N(G1880)&lt;0,N(G1880)&lt;&gt;INT(N(G1880)),AND(H1880&lt;&gt;"",NOT(ISNUMBER(H1880))),N(H1880)&lt;0,N(H1880)&lt;&gt;INT(N(H1880)),AND(I1880&lt;&gt;"",NOT(ISNUMBER(I1880))),N(I1880)&lt;0,N(I1880)&lt;&gt;INT(N(I1880))),"Quantité invalide",IF(Q1880&lt;=0,"Cadence manquante (poste ou article)",IF(M1880&lt;=0,"Arrêts planifiés supérieurs au temps d'ouverture",IF(O1880&lt;0,"Arrêts supérieurs au temps requis",IF(AND(P1880&gt;0,O1880=0),"Pièces déclarées sans temps de marche",IF(AND(P1880=0,O1880&gt;0),"Aucune pièce déclarée",IF(P1880*60/Q1880&gt;O1880+0.001,"Cadence dépassée : vérifiez la cadence","OK"))))))))))))))))))</f>
        <v/>
      </c>
      <c r="AC1880">
        <f>IF(OR(AB1880="OK",AB1880="Aucune pièce déclarée",AB1880="Cadence dépassée : vérifiez la cadence"),1,0)</f>
        <v>0.0</v>
      </c>
      <c r="AD1880">
        <f>IF(AND(AC1880=1,A1880&gt;=p_from,A1880&lt;=p_to),1,0)</f>
        <v>0.0</v>
      </c>
      <c r="AE1880">
        <f>IF(AD1880=1,IF(COUNTIFS($A$6:A1880,A1880,$AD$6:AD1880,1)=1,1,0),0)</f>
        <v>0.0</v>
      </c>
      <c r="AF1880" t="str">
        <f>IF(AE1880=1,COUNTIFS(sj_first,1,sj_date,"&lt;"&amp;A1880)+1,"")</f>
        <v/>
      </c>
      <c r="AG1880" t="str">
        <f>IF(AND(AD1880=1,N(W1880)&lt;p_alert),ROUND(W1880,4),"")</f>
        <v/>
      </c>
      <c r="AH1880" t="str">
        <f>IF(AG1880="","",COUNTIF(sj_akey,"&lt;"&amp;AG1880)+COUNTIF($AG$6:AG1880,AG1880))</f>
        <v/>
      </c>
    </row>
    <row r="1881">
      <c r="A1881" s="51" t="n"/>
      <c r="B1881" s="52" t="n"/>
      <c r="C1881" s="52" t="n"/>
      <c r="D1881" s="53" t="n"/>
      <c r="E1881" s="53" t="n"/>
      <c r="F1881" s="54" t="n"/>
      <c r="G1881" s="54" t="n"/>
      <c r="H1881" s="54" t="n"/>
      <c r="I1881" s="54" t="n"/>
      <c r="J1881" s="53" t="n"/>
      <c r="K1881" s="55" t="str">
        <f>IF(COUNTA(A1881:I1881)=0,"",IF(F1881="",IFERROR(INDEX(eq_dur,MATCH(B1881,eq_code,0)),""),F1881))</f>
        <v/>
      </c>
      <c r="L1881" s="55" t="str">
        <f>IF(ISNUMBER(K1881),N(IFERROR(INDEX(eq_pause,MATCH(B1881,eq_code,0)),0))+SUMIFS(st_min,st_date,A1881,st_eq,B1881,st_po,C1881,st_type,"Planifié"),"")</f>
        <v/>
      </c>
      <c r="M1881" s="55" t="str">
        <f>IF(ISNUMBER(K1881),K1881-L1881,"")</f>
        <v/>
      </c>
      <c r="N1881" s="55" t="str">
        <f>IF(ISNUMBER(K1881),SUMIFS(st_min,st_date,A1881,st_eq,B1881,st_po,C1881,st_type,"Non planifié"),"")</f>
        <v/>
      </c>
      <c r="O1881" s="55" t="str">
        <f>IF(ISNUMBER(K1881),M1881-N1881,"")</f>
        <v/>
      </c>
      <c r="P1881" s="55" t="str">
        <f>IF(COUNTA(A1881:I1881)=0,"",N(G1881)+N(H1881)+N(I1881))</f>
        <v/>
      </c>
      <c r="Q1881" s="56" t="str">
        <f>IF(COUNTA(A1881:I1881)=0,"",IF(N(IFERROR(INDEX(art_rate,MATCH(E1881,art_ref,0)),0))&gt;0,N(IFERROR(INDEX(art_rate,MATCH(E1881,art_ref,0)),0)),N(IFERROR(INDEX(po_rate,MATCH(C1881,po_code,0)),0))))</f>
        <v/>
      </c>
      <c r="R1881" s="55" t="str">
        <f>IF(AC1881=1,P1881*60/Q1881,"")</f>
        <v/>
      </c>
      <c r="S1881" s="55" t="str">
        <f>IF(AC1881=1,N(G1881)*60/Q1881,"")</f>
        <v/>
      </c>
      <c r="T1881" s="57" t="str">
        <f>IF(AC1881=1,O1881/M1881,"")</f>
        <v/>
      </c>
      <c r="U1881" s="57" t="str">
        <f>IF(AC1881=1,IF(O1881&gt;0,R1881/O1881,""),"")</f>
        <v/>
      </c>
      <c r="V1881" s="57" t="str">
        <f>IF(AC1881=1,IF(P1881&gt;0,N(G1881)/P1881,""),"")</f>
        <v/>
      </c>
      <c r="W1881" s="57" t="str">
        <f>IF(AC1881=1,S1881/M1881,"")</f>
        <v/>
      </c>
      <c r="X1881" s="57" t="str">
        <f>IF(AC1881=1,S1881/K1881,"")</f>
        <v/>
      </c>
      <c r="Y1881" s="58" t="str">
        <f>IF(W1881="","",IF(W1881&gt;=p_target,"Bon",IF(W1881&gt;=p_alert,"À surveiller","Faible")))</f>
        <v/>
      </c>
      <c r="Z1881" s="58" t="str">
        <f>IF(W1881="","",IF(MIN(IF(T1881="",1,T1881),IF(U1881="",1,U1881),IF(V1881="",1,V1881))&gt;=1,"Aucune",IF(IF(T1881="",1,T1881)&lt;=MIN(IF(U1881="",1,U1881),IF(V1881="",1,V1881)),"Disponibilité",IF(IF(U1881="",1,U1881)&lt;=IF(V1881="",1,V1881),"Performance","Qualité"))))</f>
        <v/>
      </c>
      <c r="AA1881" s="59" t="str">
        <f>IF(AC1881=1,N(H1881)*N(IFERROR(INDEX(art_cost,MATCH(E1881,art_ref,0)),0)),"")</f>
        <v/>
      </c>
      <c r="AB1881" s="58" t="str">
        <f>IF(COUNTA(A1881:I1881)=0,"",IF(N(A1881)&lt;=0,"Date manquante ou invalide",IF(B1881="","Équipe manquante",IF(ISNA(MATCH(B1881,eq_code,0)),"Équipe inconnue",IF(INDEX(eq_check,MATCH(B1881,eq_code,0))&lt;&gt;"OK","Équipe à corriger dans Paramètres",IF(C1881="","Poste manquant",IF(ISNA(MATCH(C1881,po_code,0)),"Poste inconnu",IF(AND(E1881&lt;&gt;"",ISNA(MATCH(E1881,art_ref,0))),"Article inconnu",IF(IF(E1881="",FALSE,INDEX(art_check,MATCH(E1881,art_ref,0))&lt;&gt;"OK"),"Article à corriger (feuille Articles)",IF(COUNTIFS(sj_date,A1881,sj_eq,B1881,sj_po,C1881)&gt;1,"Ligne en double (même jour, équipe et poste)",IF(OR(NOT(ISNUMBER(K1881)),N(K1881)&lt;=0,N(K1881)&gt;1440),"Temps d'ouverture invalide",IF(OR(AND(G1881&lt;&gt;"",NOT(ISNUMBER(G1881))),N(G1881)&lt;0,N(G1881)&lt;&gt;INT(N(G1881)),AND(H1881&lt;&gt;"",NOT(ISNUMBER(H1881))),N(H1881)&lt;0,N(H1881)&lt;&gt;INT(N(H1881)),AND(I1881&lt;&gt;"",NOT(ISNUMBER(I1881))),N(I1881)&lt;0,N(I1881)&lt;&gt;INT(N(I1881))),"Quantité invalide",IF(Q1881&lt;=0,"Cadence manquante (poste ou article)",IF(M1881&lt;=0,"Arrêts planifiés supérieurs au temps d'ouverture",IF(O1881&lt;0,"Arrêts supérieurs au temps requis",IF(AND(P1881&gt;0,O1881=0),"Pièces déclarées sans temps de marche",IF(AND(P1881=0,O1881&gt;0),"Aucune pièce déclarée",IF(P1881*60/Q1881&gt;O1881+0.001,"Cadence dépassée : vérifiez la cadence","OK"))))))))))))))))))</f>
        <v/>
      </c>
      <c r="AC1881">
        <f>IF(OR(AB1881="OK",AB1881="Aucune pièce déclarée",AB1881="Cadence dépassée : vérifiez la cadence"),1,0)</f>
        <v>0.0</v>
      </c>
      <c r="AD1881">
        <f>IF(AND(AC1881=1,A1881&gt;=p_from,A1881&lt;=p_to),1,0)</f>
        <v>0.0</v>
      </c>
      <c r="AE1881">
        <f>IF(AD1881=1,IF(COUNTIFS($A$6:A1881,A1881,$AD$6:AD1881,1)=1,1,0),0)</f>
        <v>0.0</v>
      </c>
      <c r="AF1881" t="str">
        <f>IF(AE1881=1,COUNTIFS(sj_first,1,sj_date,"&lt;"&amp;A1881)+1,"")</f>
        <v/>
      </c>
      <c r="AG1881" t="str">
        <f>IF(AND(AD1881=1,N(W1881)&lt;p_alert),ROUND(W1881,4),"")</f>
        <v/>
      </c>
      <c r="AH1881" t="str">
        <f>IF(AG1881="","",COUNTIF(sj_akey,"&lt;"&amp;AG1881)+COUNTIF($AG$6:AG1881,AG1881))</f>
        <v/>
      </c>
    </row>
    <row r="1882">
      <c r="A1882" s="51" t="n"/>
      <c r="B1882" s="52" t="n"/>
      <c r="C1882" s="52" t="n"/>
      <c r="D1882" s="53" t="n"/>
      <c r="E1882" s="53" t="n"/>
      <c r="F1882" s="54" t="n"/>
      <c r="G1882" s="54" t="n"/>
      <c r="H1882" s="54" t="n"/>
      <c r="I1882" s="54" t="n"/>
      <c r="J1882" s="53" t="n"/>
      <c r="K1882" s="55" t="str">
        <f>IF(COUNTA(A1882:I1882)=0,"",IF(F1882="",IFERROR(INDEX(eq_dur,MATCH(B1882,eq_code,0)),""),F1882))</f>
        <v/>
      </c>
      <c r="L1882" s="55" t="str">
        <f>IF(ISNUMBER(K1882),N(IFERROR(INDEX(eq_pause,MATCH(B1882,eq_code,0)),0))+SUMIFS(st_min,st_date,A1882,st_eq,B1882,st_po,C1882,st_type,"Planifié"),"")</f>
        <v/>
      </c>
      <c r="M1882" s="55" t="str">
        <f>IF(ISNUMBER(K1882),K1882-L1882,"")</f>
        <v/>
      </c>
      <c r="N1882" s="55" t="str">
        <f>IF(ISNUMBER(K1882),SUMIFS(st_min,st_date,A1882,st_eq,B1882,st_po,C1882,st_type,"Non planifié"),"")</f>
        <v/>
      </c>
      <c r="O1882" s="55" t="str">
        <f>IF(ISNUMBER(K1882),M1882-N1882,"")</f>
        <v/>
      </c>
      <c r="P1882" s="55" t="str">
        <f>IF(COUNTA(A1882:I1882)=0,"",N(G1882)+N(H1882)+N(I1882))</f>
        <v/>
      </c>
      <c r="Q1882" s="56" t="str">
        <f>IF(COUNTA(A1882:I1882)=0,"",IF(N(IFERROR(INDEX(art_rate,MATCH(E1882,art_ref,0)),0))&gt;0,N(IFERROR(INDEX(art_rate,MATCH(E1882,art_ref,0)),0)),N(IFERROR(INDEX(po_rate,MATCH(C1882,po_code,0)),0))))</f>
        <v/>
      </c>
      <c r="R1882" s="55" t="str">
        <f>IF(AC1882=1,P1882*60/Q1882,"")</f>
        <v/>
      </c>
      <c r="S1882" s="55" t="str">
        <f>IF(AC1882=1,N(G1882)*60/Q1882,"")</f>
        <v/>
      </c>
      <c r="T1882" s="57" t="str">
        <f>IF(AC1882=1,O1882/M1882,"")</f>
        <v/>
      </c>
      <c r="U1882" s="57" t="str">
        <f>IF(AC1882=1,IF(O1882&gt;0,R1882/O1882,""),"")</f>
        <v/>
      </c>
      <c r="V1882" s="57" t="str">
        <f>IF(AC1882=1,IF(P1882&gt;0,N(G1882)/P1882,""),"")</f>
        <v/>
      </c>
      <c r="W1882" s="57" t="str">
        <f>IF(AC1882=1,S1882/M1882,"")</f>
        <v/>
      </c>
      <c r="X1882" s="57" t="str">
        <f>IF(AC1882=1,S1882/K1882,"")</f>
        <v/>
      </c>
      <c r="Y1882" s="58" t="str">
        <f>IF(W1882="","",IF(W1882&gt;=p_target,"Bon",IF(W1882&gt;=p_alert,"À surveiller","Faible")))</f>
        <v/>
      </c>
      <c r="Z1882" s="58" t="str">
        <f>IF(W1882="","",IF(MIN(IF(T1882="",1,T1882),IF(U1882="",1,U1882),IF(V1882="",1,V1882))&gt;=1,"Aucune",IF(IF(T1882="",1,T1882)&lt;=MIN(IF(U1882="",1,U1882),IF(V1882="",1,V1882)),"Disponibilité",IF(IF(U1882="",1,U1882)&lt;=IF(V1882="",1,V1882),"Performance","Qualité"))))</f>
        <v/>
      </c>
      <c r="AA1882" s="59" t="str">
        <f>IF(AC1882=1,N(H1882)*N(IFERROR(INDEX(art_cost,MATCH(E1882,art_ref,0)),0)),"")</f>
        <v/>
      </c>
      <c r="AB1882" s="58" t="str">
        <f>IF(COUNTA(A1882:I1882)=0,"",IF(N(A1882)&lt;=0,"Date manquante ou invalide",IF(B1882="","Équipe manquante",IF(ISNA(MATCH(B1882,eq_code,0)),"Équipe inconnue",IF(INDEX(eq_check,MATCH(B1882,eq_code,0))&lt;&gt;"OK","Équipe à corriger dans Paramètres",IF(C1882="","Poste manquant",IF(ISNA(MATCH(C1882,po_code,0)),"Poste inconnu",IF(AND(E1882&lt;&gt;"",ISNA(MATCH(E1882,art_ref,0))),"Article inconnu",IF(IF(E1882="",FALSE,INDEX(art_check,MATCH(E1882,art_ref,0))&lt;&gt;"OK"),"Article à corriger (feuille Articles)",IF(COUNTIFS(sj_date,A1882,sj_eq,B1882,sj_po,C1882)&gt;1,"Ligne en double (même jour, équipe et poste)",IF(OR(NOT(ISNUMBER(K1882)),N(K1882)&lt;=0,N(K1882)&gt;1440),"Temps d'ouverture invalide",IF(OR(AND(G1882&lt;&gt;"",NOT(ISNUMBER(G1882))),N(G1882)&lt;0,N(G1882)&lt;&gt;INT(N(G1882)),AND(H1882&lt;&gt;"",NOT(ISNUMBER(H1882))),N(H1882)&lt;0,N(H1882)&lt;&gt;INT(N(H1882)),AND(I1882&lt;&gt;"",NOT(ISNUMBER(I1882))),N(I1882)&lt;0,N(I1882)&lt;&gt;INT(N(I1882))),"Quantité invalide",IF(Q1882&lt;=0,"Cadence manquante (poste ou article)",IF(M1882&lt;=0,"Arrêts planifiés supérieurs au temps d'ouverture",IF(O1882&lt;0,"Arrêts supérieurs au temps requis",IF(AND(P1882&gt;0,O1882=0),"Pièces déclarées sans temps de marche",IF(AND(P1882=0,O1882&gt;0),"Aucune pièce déclarée",IF(P1882*60/Q1882&gt;O1882+0.001,"Cadence dépassée : vérifiez la cadence","OK"))))))))))))))))))</f>
        <v/>
      </c>
      <c r="AC1882">
        <f>IF(OR(AB1882="OK",AB1882="Aucune pièce déclarée",AB1882="Cadence dépassée : vérifiez la cadence"),1,0)</f>
        <v>0.0</v>
      </c>
      <c r="AD1882">
        <f>IF(AND(AC1882=1,A1882&gt;=p_from,A1882&lt;=p_to),1,0)</f>
        <v>0.0</v>
      </c>
      <c r="AE1882">
        <f>IF(AD1882=1,IF(COUNTIFS($A$6:A1882,A1882,$AD$6:AD1882,1)=1,1,0),0)</f>
        <v>0.0</v>
      </c>
      <c r="AF1882" t="str">
        <f>IF(AE1882=1,COUNTIFS(sj_first,1,sj_date,"&lt;"&amp;A1882)+1,"")</f>
        <v/>
      </c>
      <c r="AG1882" t="str">
        <f>IF(AND(AD1882=1,N(W1882)&lt;p_alert),ROUND(W1882,4),"")</f>
        <v/>
      </c>
      <c r="AH1882" t="str">
        <f>IF(AG1882="","",COUNTIF(sj_akey,"&lt;"&amp;AG1882)+COUNTIF($AG$6:AG1882,AG1882))</f>
        <v/>
      </c>
    </row>
    <row r="1883">
      <c r="A1883" s="51" t="n"/>
      <c r="B1883" s="52" t="n"/>
      <c r="C1883" s="52" t="n"/>
      <c r="D1883" s="53" t="n"/>
      <c r="E1883" s="53" t="n"/>
      <c r="F1883" s="54" t="n"/>
      <c r="G1883" s="54" t="n"/>
      <c r="H1883" s="54" t="n"/>
      <c r="I1883" s="54" t="n"/>
      <c r="J1883" s="53" t="n"/>
      <c r="K1883" s="55" t="str">
        <f>IF(COUNTA(A1883:I1883)=0,"",IF(F1883="",IFERROR(INDEX(eq_dur,MATCH(B1883,eq_code,0)),""),F1883))</f>
        <v/>
      </c>
      <c r="L1883" s="55" t="str">
        <f>IF(ISNUMBER(K1883),N(IFERROR(INDEX(eq_pause,MATCH(B1883,eq_code,0)),0))+SUMIFS(st_min,st_date,A1883,st_eq,B1883,st_po,C1883,st_type,"Planifié"),"")</f>
        <v/>
      </c>
      <c r="M1883" s="55" t="str">
        <f>IF(ISNUMBER(K1883),K1883-L1883,"")</f>
        <v/>
      </c>
      <c r="N1883" s="55" t="str">
        <f>IF(ISNUMBER(K1883),SUMIFS(st_min,st_date,A1883,st_eq,B1883,st_po,C1883,st_type,"Non planifié"),"")</f>
        <v/>
      </c>
      <c r="O1883" s="55" t="str">
        <f>IF(ISNUMBER(K1883),M1883-N1883,"")</f>
        <v/>
      </c>
      <c r="P1883" s="55" t="str">
        <f>IF(COUNTA(A1883:I1883)=0,"",N(G1883)+N(H1883)+N(I1883))</f>
        <v/>
      </c>
      <c r="Q1883" s="56" t="str">
        <f>IF(COUNTA(A1883:I1883)=0,"",IF(N(IFERROR(INDEX(art_rate,MATCH(E1883,art_ref,0)),0))&gt;0,N(IFERROR(INDEX(art_rate,MATCH(E1883,art_ref,0)),0)),N(IFERROR(INDEX(po_rate,MATCH(C1883,po_code,0)),0))))</f>
        <v/>
      </c>
      <c r="R1883" s="55" t="str">
        <f>IF(AC1883=1,P1883*60/Q1883,"")</f>
        <v/>
      </c>
      <c r="S1883" s="55" t="str">
        <f>IF(AC1883=1,N(G1883)*60/Q1883,"")</f>
        <v/>
      </c>
      <c r="T1883" s="57" t="str">
        <f>IF(AC1883=1,O1883/M1883,"")</f>
        <v/>
      </c>
      <c r="U1883" s="57" t="str">
        <f>IF(AC1883=1,IF(O1883&gt;0,R1883/O1883,""),"")</f>
        <v/>
      </c>
      <c r="V1883" s="57" t="str">
        <f>IF(AC1883=1,IF(P1883&gt;0,N(G1883)/P1883,""),"")</f>
        <v/>
      </c>
      <c r="W1883" s="57" t="str">
        <f>IF(AC1883=1,S1883/M1883,"")</f>
        <v/>
      </c>
      <c r="X1883" s="57" t="str">
        <f>IF(AC1883=1,S1883/K1883,"")</f>
        <v/>
      </c>
      <c r="Y1883" s="58" t="str">
        <f>IF(W1883="","",IF(W1883&gt;=p_target,"Bon",IF(W1883&gt;=p_alert,"À surveiller","Faible")))</f>
        <v/>
      </c>
      <c r="Z1883" s="58" t="str">
        <f>IF(W1883="","",IF(MIN(IF(T1883="",1,T1883),IF(U1883="",1,U1883),IF(V1883="",1,V1883))&gt;=1,"Aucune",IF(IF(T1883="",1,T1883)&lt;=MIN(IF(U1883="",1,U1883),IF(V1883="",1,V1883)),"Disponibilité",IF(IF(U1883="",1,U1883)&lt;=IF(V1883="",1,V1883),"Performance","Qualité"))))</f>
        <v/>
      </c>
      <c r="AA1883" s="59" t="str">
        <f>IF(AC1883=1,N(H1883)*N(IFERROR(INDEX(art_cost,MATCH(E1883,art_ref,0)),0)),"")</f>
        <v/>
      </c>
      <c r="AB1883" s="58" t="str">
        <f>IF(COUNTA(A1883:I1883)=0,"",IF(N(A1883)&lt;=0,"Date manquante ou invalide",IF(B1883="","Équipe manquante",IF(ISNA(MATCH(B1883,eq_code,0)),"Équipe inconnue",IF(INDEX(eq_check,MATCH(B1883,eq_code,0))&lt;&gt;"OK","Équipe à corriger dans Paramètres",IF(C1883="","Poste manquant",IF(ISNA(MATCH(C1883,po_code,0)),"Poste inconnu",IF(AND(E1883&lt;&gt;"",ISNA(MATCH(E1883,art_ref,0))),"Article inconnu",IF(IF(E1883="",FALSE,INDEX(art_check,MATCH(E1883,art_ref,0))&lt;&gt;"OK"),"Article à corriger (feuille Articles)",IF(COUNTIFS(sj_date,A1883,sj_eq,B1883,sj_po,C1883)&gt;1,"Ligne en double (même jour, équipe et poste)",IF(OR(NOT(ISNUMBER(K1883)),N(K1883)&lt;=0,N(K1883)&gt;1440),"Temps d'ouverture invalide",IF(OR(AND(G1883&lt;&gt;"",NOT(ISNUMBER(G1883))),N(G1883)&lt;0,N(G1883)&lt;&gt;INT(N(G1883)),AND(H1883&lt;&gt;"",NOT(ISNUMBER(H1883))),N(H1883)&lt;0,N(H1883)&lt;&gt;INT(N(H1883)),AND(I1883&lt;&gt;"",NOT(ISNUMBER(I1883))),N(I1883)&lt;0,N(I1883)&lt;&gt;INT(N(I1883))),"Quantité invalide",IF(Q1883&lt;=0,"Cadence manquante (poste ou article)",IF(M1883&lt;=0,"Arrêts planifiés supérieurs au temps d'ouverture",IF(O1883&lt;0,"Arrêts supérieurs au temps requis",IF(AND(P1883&gt;0,O1883=0),"Pièces déclarées sans temps de marche",IF(AND(P1883=0,O1883&gt;0),"Aucune pièce déclarée",IF(P1883*60/Q1883&gt;O1883+0.001,"Cadence dépassée : vérifiez la cadence","OK"))))))))))))))))))</f>
        <v/>
      </c>
      <c r="AC1883">
        <f>IF(OR(AB1883="OK",AB1883="Aucune pièce déclarée",AB1883="Cadence dépassée : vérifiez la cadence"),1,0)</f>
        <v>0.0</v>
      </c>
      <c r="AD1883">
        <f>IF(AND(AC1883=1,A1883&gt;=p_from,A1883&lt;=p_to),1,0)</f>
        <v>0.0</v>
      </c>
      <c r="AE1883">
        <f>IF(AD1883=1,IF(COUNTIFS($A$6:A1883,A1883,$AD$6:AD1883,1)=1,1,0),0)</f>
        <v>0.0</v>
      </c>
      <c r="AF1883" t="str">
        <f>IF(AE1883=1,COUNTIFS(sj_first,1,sj_date,"&lt;"&amp;A1883)+1,"")</f>
        <v/>
      </c>
      <c r="AG1883" t="str">
        <f>IF(AND(AD1883=1,N(W1883)&lt;p_alert),ROUND(W1883,4),"")</f>
        <v/>
      </c>
      <c r="AH1883" t="str">
        <f>IF(AG1883="","",COUNTIF(sj_akey,"&lt;"&amp;AG1883)+COUNTIF($AG$6:AG1883,AG1883))</f>
        <v/>
      </c>
    </row>
    <row r="1884">
      <c r="A1884" s="51" t="n"/>
      <c r="B1884" s="52" t="n"/>
      <c r="C1884" s="52" t="n"/>
      <c r="D1884" s="53" t="n"/>
      <c r="E1884" s="53" t="n"/>
      <c r="F1884" s="54" t="n"/>
      <c r="G1884" s="54" t="n"/>
      <c r="H1884" s="54" t="n"/>
      <c r="I1884" s="54" t="n"/>
      <c r="J1884" s="53" t="n"/>
      <c r="K1884" s="55" t="str">
        <f>IF(COUNTA(A1884:I1884)=0,"",IF(F1884="",IFERROR(INDEX(eq_dur,MATCH(B1884,eq_code,0)),""),F1884))</f>
        <v/>
      </c>
      <c r="L1884" s="55" t="str">
        <f>IF(ISNUMBER(K1884),N(IFERROR(INDEX(eq_pause,MATCH(B1884,eq_code,0)),0))+SUMIFS(st_min,st_date,A1884,st_eq,B1884,st_po,C1884,st_type,"Planifié"),"")</f>
        <v/>
      </c>
      <c r="M1884" s="55" t="str">
        <f>IF(ISNUMBER(K1884),K1884-L1884,"")</f>
        <v/>
      </c>
      <c r="N1884" s="55" t="str">
        <f>IF(ISNUMBER(K1884),SUMIFS(st_min,st_date,A1884,st_eq,B1884,st_po,C1884,st_type,"Non planifié"),"")</f>
        <v/>
      </c>
      <c r="O1884" s="55" t="str">
        <f>IF(ISNUMBER(K1884),M1884-N1884,"")</f>
        <v/>
      </c>
      <c r="P1884" s="55" t="str">
        <f>IF(COUNTA(A1884:I1884)=0,"",N(G1884)+N(H1884)+N(I1884))</f>
        <v/>
      </c>
      <c r="Q1884" s="56" t="str">
        <f>IF(COUNTA(A1884:I1884)=0,"",IF(N(IFERROR(INDEX(art_rate,MATCH(E1884,art_ref,0)),0))&gt;0,N(IFERROR(INDEX(art_rate,MATCH(E1884,art_ref,0)),0)),N(IFERROR(INDEX(po_rate,MATCH(C1884,po_code,0)),0))))</f>
        <v/>
      </c>
      <c r="R1884" s="55" t="str">
        <f>IF(AC1884=1,P1884*60/Q1884,"")</f>
        <v/>
      </c>
      <c r="S1884" s="55" t="str">
        <f>IF(AC1884=1,N(G1884)*60/Q1884,"")</f>
        <v/>
      </c>
      <c r="T1884" s="57" t="str">
        <f>IF(AC1884=1,O1884/M1884,"")</f>
        <v/>
      </c>
      <c r="U1884" s="57" t="str">
        <f>IF(AC1884=1,IF(O1884&gt;0,R1884/O1884,""),"")</f>
        <v/>
      </c>
      <c r="V1884" s="57" t="str">
        <f>IF(AC1884=1,IF(P1884&gt;0,N(G1884)/P1884,""),"")</f>
        <v/>
      </c>
      <c r="W1884" s="57" t="str">
        <f>IF(AC1884=1,S1884/M1884,"")</f>
        <v/>
      </c>
      <c r="X1884" s="57" t="str">
        <f>IF(AC1884=1,S1884/K1884,"")</f>
        <v/>
      </c>
      <c r="Y1884" s="58" t="str">
        <f>IF(W1884="","",IF(W1884&gt;=p_target,"Bon",IF(W1884&gt;=p_alert,"À surveiller","Faible")))</f>
        <v/>
      </c>
      <c r="Z1884" s="58" t="str">
        <f>IF(W1884="","",IF(MIN(IF(T1884="",1,T1884),IF(U1884="",1,U1884),IF(V1884="",1,V1884))&gt;=1,"Aucune",IF(IF(T1884="",1,T1884)&lt;=MIN(IF(U1884="",1,U1884),IF(V1884="",1,V1884)),"Disponibilité",IF(IF(U1884="",1,U1884)&lt;=IF(V1884="",1,V1884),"Performance","Qualité"))))</f>
        <v/>
      </c>
      <c r="AA1884" s="59" t="str">
        <f>IF(AC1884=1,N(H1884)*N(IFERROR(INDEX(art_cost,MATCH(E1884,art_ref,0)),0)),"")</f>
        <v/>
      </c>
      <c r="AB1884" s="58" t="str">
        <f>IF(COUNTA(A1884:I1884)=0,"",IF(N(A1884)&lt;=0,"Date manquante ou invalide",IF(B1884="","Équipe manquante",IF(ISNA(MATCH(B1884,eq_code,0)),"Équipe inconnue",IF(INDEX(eq_check,MATCH(B1884,eq_code,0))&lt;&gt;"OK","Équipe à corriger dans Paramètres",IF(C1884="","Poste manquant",IF(ISNA(MATCH(C1884,po_code,0)),"Poste inconnu",IF(AND(E1884&lt;&gt;"",ISNA(MATCH(E1884,art_ref,0))),"Article inconnu",IF(IF(E1884="",FALSE,INDEX(art_check,MATCH(E1884,art_ref,0))&lt;&gt;"OK"),"Article à corriger (feuille Articles)",IF(COUNTIFS(sj_date,A1884,sj_eq,B1884,sj_po,C1884)&gt;1,"Ligne en double (même jour, équipe et poste)",IF(OR(NOT(ISNUMBER(K1884)),N(K1884)&lt;=0,N(K1884)&gt;1440),"Temps d'ouverture invalide",IF(OR(AND(G1884&lt;&gt;"",NOT(ISNUMBER(G1884))),N(G1884)&lt;0,N(G1884)&lt;&gt;INT(N(G1884)),AND(H1884&lt;&gt;"",NOT(ISNUMBER(H1884))),N(H1884)&lt;0,N(H1884)&lt;&gt;INT(N(H1884)),AND(I1884&lt;&gt;"",NOT(ISNUMBER(I1884))),N(I1884)&lt;0,N(I1884)&lt;&gt;INT(N(I1884))),"Quantité invalide",IF(Q1884&lt;=0,"Cadence manquante (poste ou article)",IF(M1884&lt;=0,"Arrêts planifiés supérieurs au temps d'ouverture",IF(O1884&lt;0,"Arrêts supérieurs au temps requis",IF(AND(P1884&gt;0,O1884=0),"Pièces déclarées sans temps de marche",IF(AND(P1884=0,O1884&gt;0),"Aucune pièce déclarée",IF(P1884*60/Q1884&gt;O1884+0.001,"Cadence dépassée : vérifiez la cadence","OK"))))))))))))))))))</f>
        <v/>
      </c>
      <c r="AC1884">
        <f>IF(OR(AB1884="OK",AB1884="Aucune pièce déclarée",AB1884="Cadence dépassée : vérifiez la cadence"),1,0)</f>
        <v>0.0</v>
      </c>
      <c r="AD1884">
        <f>IF(AND(AC1884=1,A1884&gt;=p_from,A1884&lt;=p_to),1,0)</f>
        <v>0.0</v>
      </c>
      <c r="AE1884">
        <f>IF(AD1884=1,IF(COUNTIFS($A$6:A1884,A1884,$AD$6:AD1884,1)=1,1,0),0)</f>
        <v>0.0</v>
      </c>
      <c r="AF1884" t="str">
        <f>IF(AE1884=1,COUNTIFS(sj_first,1,sj_date,"&lt;"&amp;A1884)+1,"")</f>
        <v/>
      </c>
      <c r="AG1884" t="str">
        <f>IF(AND(AD1884=1,N(W1884)&lt;p_alert),ROUND(W1884,4),"")</f>
        <v/>
      </c>
      <c r="AH1884" t="str">
        <f>IF(AG1884="","",COUNTIF(sj_akey,"&lt;"&amp;AG1884)+COUNTIF($AG$6:AG1884,AG1884))</f>
        <v/>
      </c>
    </row>
    <row r="1885">
      <c r="A1885" s="51" t="n"/>
      <c r="B1885" s="52" t="n"/>
      <c r="C1885" s="52" t="n"/>
      <c r="D1885" s="53" t="n"/>
      <c r="E1885" s="53" t="n"/>
      <c r="F1885" s="54" t="n"/>
      <c r="G1885" s="54" t="n"/>
      <c r="H1885" s="54" t="n"/>
      <c r="I1885" s="54" t="n"/>
      <c r="J1885" s="53" t="n"/>
      <c r="K1885" s="55" t="str">
        <f>IF(COUNTA(A1885:I1885)=0,"",IF(F1885="",IFERROR(INDEX(eq_dur,MATCH(B1885,eq_code,0)),""),F1885))</f>
        <v/>
      </c>
      <c r="L1885" s="55" t="str">
        <f>IF(ISNUMBER(K1885),N(IFERROR(INDEX(eq_pause,MATCH(B1885,eq_code,0)),0))+SUMIFS(st_min,st_date,A1885,st_eq,B1885,st_po,C1885,st_type,"Planifié"),"")</f>
        <v/>
      </c>
      <c r="M1885" s="55" t="str">
        <f>IF(ISNUMBER(K1885),K1885-L1885,"")</f>
        <v/>
      </c>
      <c r="N1885" s="55" t="str">
        <f>IF(ISNUMBER(K1885),SUMIFS(st_min,st_date,A1885,st_eq,B1885,st_po,C1885,st_type,"Non planifié"),"")</f>
        <v/>
      </c>
      <c r="O1885" s="55" t="str">
        <f>IF(ISNUMBER(K1885),M1885-N1885,"")</f>
        <v/>
      </c>
      <c r="P1885" s="55" t="str">
        <f>IF(COUNTA(A1885:I1885)=0,"",N(G1885)+N(H1885)+N(I1885))</f>
        <v/>
      </c>
      <c r="Q1885" s="56" t="str">
        <f>IF(COUNTA(A1885:I1885)=0,"",IF(N(IFERROR(INDEX(art_rate,MATCH(E1885,art_ref,0)),0))&gt;0,N(IFERROR(INDEX(art_rate,MATCH(E1885,art_ref,0)),0)),N(IFERROR(INDEX(po_rate,MATCH(C1885,po_code,0)),0))))</f>
        <v/>
      </c>
      <c r="R1885" s="55" t="str">
        <f>IF(AC1885=1,P1885*60/Q1885,"")</f>
        <v/>
      </c>
      <c r="S1885" s="55" t="str">
        <f>IF(AC1885=1,N(G1885)*60/Q1885,"")</f>
        <v/>
      </c>
      <c r="T1885" s="57" t="str">
        <f>IF(AC1885=1,O1885/M1885,"")</f>
        <v/>
      </c>
      <c r="U1885" s="57" t="str">
        <f>IF(AC1885=1,IF(O1885&gt;0,R1885/O1885,""),"")</f>
        <v/>
      </c>
      <c r="V1885" s="57" t="str">
        <f>IF(AC1885=1,IF(P1885&gt;0,N(G1885)/P1885,""),"")</f>
        <v/>
      </c>
      <c r="W1885" s="57" t="str">
        <f>IF(AC1885=1,S1885/M1885,"")</f>
        <v/>
      </c>
      <c r="X1885" s="57" t="str">
        <f>IF(AC1885=1,S1885/K1885,"")</f>
        <v/>
      </c>
      <c r="Y1885" s="58" t="str">
        <f>IF(W1885="","",IF(W1885&gt;=p_target,"Bon",IF(W1885&gt;=p_alert,"À surveiller","Faible")))</f>
        <v/>
      </c>
      <c r="Z1885" s="58" t="str">
        <f>IF(W1885="","",IF(MIN(IF(T1885="",1,T1885),IF(U1885="",1,U1885),IF(V1885="",1,V1885))&gt;=1,"Aucune",IF(IF(T1885="",1,T1885)&lt;=MIN(IF(U1885="",1,U1885),IF(V1885="",1,V1885)),"Disponibilité",IF(IF(U1885="",1,U1885)&lt;=IF(V1885="",1,V1885),"Performance","Qualité"))))</f>
        <v/>
      </c>
      <c r="AA1885" s="59" t="str">
        <f>IF(AC1885=1,N(H1885)*N(IFERROR(INDEX(art_cost,MATCH(E1885,art_ref,0)),0)),"")</f>
        <v/>
      </c>
      <c r="AB1885" s="58" t="str">
        <f>IF(COUNTA(A1885:I1885)=0,"",IF(N(A1885)&lt;=0,"Date manquante ou invalide",IF(B1885="","Équipe manquante",IF(ISNA(MATCH(B1885,eq_code,0)),"Équipe inconnue",IF(INDEX(eq_check,MATCH(B1885,eq_code,0))&lt;&gt;"OK","Équipe à corriger dans Paramètres",IF(C1885="","Poste manquant",IF(ISNA(MATCH(C1885,po_code,0)),"Poste inconnu",IF(AND(E1885&lt;&gt;"",ISNA(MATCH(E1885,art_ref,0))),"Article inconnu",IF(IF(E1885="",FALSE,INDEX(art_check,MATCH(E1885,art_ref,0))&lt;&gt;"OK"),"Article à corriger (feuille Articles)",IF(COUNTIFS(sj_date,A1885,sj_eq,B1885,sj_po,C1885)&gt;1,"Ligne en double (même jour, équipe et poste)",IF(OR(NOT(ISNUMBER(K1885)),N(K1885)&lt;=0,N(K1885)&gt;1440),"Temps d'ouverture invalide",IF(OR(AND(G1885&lt;&gt;"",NOT(ISNUMBER(G1885))),N(G1885)&lt;0,N(G1885)&lt;&gt;INT(N(G1885)),AND(H1885&lt;&gt;"",NOT(ISNUMBER(H1885))),N(H1885)&lt;0,N(H1885)&lt;&gt;INT(N(H1885)),AND(I1885&lt;&gt;"",NOT(ISNUMBER(I1885))),N(I1885)&lt;0,N(I1885)&lt;&gt;INT(N(I1885))),"Quantité invalide",IF(Q1885&lt;=0,"Cadence manquante (poste ou article)",IF(M1885&lt;=0,"Arrêts planifiés supérieurs au temps d'ouverture",IF(O1885&lt;0,"Arrêts supérieurs au temps requis",IF(AND(P1885&gt;0,O1885=0),"Pièces déclarées sans temps de marche",IF(AND(P1885=0,O1885&gt;0),"Aucune pièce déclarée",IF(P1885*60/Q1885&gt;O1885+0.001,"Cadence dépassée : vérifiez la cadence","OK"))))))))))))))))))</f>
        <v/>
      </c>
      <c r="AC1885">
        <f>IF(OR(AB1885="OK",AB1885="Aucune pièce déclarée",AB1885="Cadence dépassée : vérifiez la cadence"),1,0)</f>
        <v>0.0</v>
      </c>
      <c r="AD1885">
        <f>IF(AND(AC1885=1,A1885&gt;=p_from,A1885&lt;=p_to),1,0)</f>
        <v>0.0</v>
      </c>
      <c r="AE1885">
        <f>IF(AD1885=1,IF(COUNTIFS($A$6:A1885,A1885,$AD$6:AD1885,1)=1,1,0),0)</f>
        <v>0.0</v>
      </c>
      <c r="AF1885" t="str">
        <f>IF(AE1885=1,COUNTIFS(sj_first,1,sj_date,"&lt;"&amp;A1885)+1,"")</f>
        <v/>
      </c>
      <c r="AG1885" t="str">
        <f>IF(AND(AD1885=1,N(W1885)&lt;p_alert),ROUND(W1885,4),"")</f>
        <v/>
      </c>
      <c r="AH1885" t="str">
        <f>IF(AG1885="","",COUNTIF(sj_akey,"&lt;"&amp;AG1885)+COUNTIF($AG$6:AG1885,AG1885))</f>
        <v/>
      </c>
    </row>
    <row r="1886">
      <c r="A1886" s="51" t="n"/>
      <c r="B1886" s="52" t="n"/>
      <c r="C1886" s="52" t="n"/>
      <c r="D1886" s="53" t="n"/>
      <c r="E1886" s="53" t="n"/>
      <c r="F1886" s="54" t="n"/>
      <c r="G1886" s="54" t="n"/>
      <c r="H1886" s="54" t="n"/>
      <c r="I1886" s="54" t="n"/>
      <c r="J1886" s="53" t="n"/>
      <c r="K1886" s="55" t="str">
        <f>IF(COUNTA(A1886:I1886)=0,"",IF(F1886="",IFERROR(INDEX(eq_dur,MATCH(B1886,eq_code,0)),""),F1886))</f>
        <v/>
      </c>
      <c r="L1886" s="55" t="str">
        <f>IF(ISNUMBER(K1886),N(IFERROR(INDEX(eq_pause,MATCH(B1886,eq_code,0)),0))+SUMIFS(st_min,st_date,A1886,st_eq,B1886,st_po,C1886,st_type,"Planifié"),"")</f>
        <v/>
      </c>
      <c r="M1886" s="55" t="str">
        <f>IF(ISNUMBER(K1886),K1886-L1886,"")</f>
        <v/>
      </c>
      <c r="N1886" s="55" t="str">
        <f>IF(ISNUMBER(K1886),SUMIFS(st_min,st_date,A1886,st_eq,B1886,st_po,C1886,st_type,"Non planifié"),"")</f>
        <v/>
      </c>
      <c r="O1886" s="55" t="str">
        <f>IF(ISNUMBER(K1886),M1886-N1886,"")</f>
        <v/>
      </c>
      <c r="P1886" s="55" t="str">
        <f>IF(COUNTA(A1886:I1886)=0,"",N(G1886)+N(H1886)+N(I1886))</f>
        <v/>
      </c>
      <c r="Q1886" s="56" t="str">
        <f>IF(COUNTA(A1886:I1886)=0,"",IF(N(IFERROR(INDEX(art_rate,MATCH(E1886,art_ref,0)),0))&gt;0,N(IFERROR(INDEX(art_rate,MATCH(E1886,art_ref,0)),0)),N(IFERROR(INDEX(po_rate,MATCH(C1886,po_code,0)),0))))</f>
        <v/>
      </c>
      <c r="R1886" s="55" t="str">
        <f>IF(AC1886=1,P1886*60/Q1886,"")</f>
        <v/>
      </c>
      <c r="S1886" s="55" t="str">
        <f>IF(AC1886=1,N(G1886)*60/Q1886,"")</f>
        <v/>
      </c>
      <c r="T1886" s="57" t="str">
        <f>IF(AC1886=1,O1886/M1886,"")</f>
        <v/>
      </c>
      <c r="U1886" s="57" t="str">
        <f>IF(AC1886=1,IF(O1886&gt;0,R1886/O1886,""),"")</f>
        <v/>
      </c>
      <c r="V1886" s="57" t="str">
        <f>IF(AC1886=1,IF(P1886&gt;0,N(G1886)/P1886,""),"")</f>
        <v/>
      </c>
      <c r="W1886" s="57" t="str">
        <f>IF(AC1886=1,S1886/M1886,"")</f>
        <v/>
      </c>
      <c r="X1886" s="57" t="str">
        <f>IF(AC1886=1,S1886/K1886,"")</f>
        <v/>
      </c>
      <c r="Y1886" s="58" t="str">
        <f>IF(W1886="","",IF(W1886&gt;=p_target,"Bon",IF(W1886&gt;=p_alert,"À surveiller","Faible")))</f>
        <v/>
      </c>
      <c r="Z1886" s="58" t="str">
        <f>IF(W1886="","",IF(MIN(IF(T1886="",1,T1886),IF(U1886="",1,U1886),IF(V1886="",1,V1886))&gt;=1,"Aucune",IF(IF(T1886="",1,T1886)&lt;=MIN(IF(U1886="",1,U1886),IF(V1886="",1,V1886)),"Disponibilité",IF(IF(U1886="",1,U1886)&lt;=IF(V1886="",1,V1886),"Performance","Qualité"))))</f>
        <v/>
      </c>
      <c r="AA1886" s="59" t="str">
        <f>IF(AC1886=1,N(H1886)*N(IFERROR(INDEX(art_cost,MATCH(E1886,art_ref,0)),0)),"")</f>
        <v/>
      </c>
      <c r="AB1886" s="58" t="str">
        <f>IF(COUNTA(A1886:I1886)=0,"",IF(N(A1886)&lt;=0,"Date manquante ou invalide",IF(B1886="","Équipe manquante",IF(ISNA(MATCH(B1886,eq_code,0)),"Équipe inconnue",IF(INDEX(eq_check,MATCH(B1886,eq_code,0))&lt;&gt;"OK","Équipe à corriger dans Paramètres",IF(C1886="","Poste manquant",IF(ISNA(MATCH(C1886,po_code,0)),"Poste inconnu",IF(AND(E1886&lt;&gt;"",ISNA(MATCH(E1886,art_ref,0))),"Article inconnu",IF(IF(E1886="",FALSE,INDEX(art_check,MATCH(E1886,art_ref,0))&lt;&gt;"OK"),"Article à corriger (feuille Articles)",IF(COUNTIFS(sj_date,A1886,sj_eq,B1886,sj_po,C1886)&gt;1,"Ligne en double (même jour, équipe et poste)",IF(OR(NOT(ISNUMBER(K1886)),N(K1886)&lt;=0,N(K1886)&gt;1440),"Temps d'ouverture invalide",IF(OR(AND(G1886&lt;&gt;"",NOT(ISNUMBER(G1886))),N(G1886)&lt;0,N(G1886)&lt;&gt;INT(N(G1886)),AND(H1886&lt;&gt;"",NOT(ISNUMBER(H1886))),N(H1886)&lt;0,N(H1886)&lt;&gt;INT(N(H1886)),AND(I1886&lt;&gt;"",NOT(ISNUMBER(I1886))),N(I1886)&lt;0,N(I1886)&lt;&gt;INT(N(I1886))),"Quantité invalide",IF(Q1886&lt;=0,"Cadence manquante (poste ou article)",IF(M1886&lt;=0,"Arrêts planifiés supérieurs au temps d'ouverture",IF(O1886&lt;0,"Arrêts supérieurs au temps requis",IF(AND(P1886&gt;0,O1886=0),"Pièces déclarées sans temps de marche",IF(AND(P1886=0,O1886&gt;0),"Aucune pièce déclarée",IF(P1886*60/Q1886&gt;O1886+0.001,"Cadence dépassée : vérifiez la cadence","OK"))))))))))))))))))</f>
        <v/>
      </c>
      <c r="AC1886">
        <f>IF(OR(AB1886="OK",AB1886="Aucune pièce déclarée",AB1886="Cadence dépassée : vérifiez la cadence"),1,0)</f>
        <v>0.0</v>
      </c>
      <c r="AD1886">
        <f>IF(AND(AC1886=1,A1886&gt;=p_from,A1886&lt;=p_to),1,0)</f>
        <v>0.0</v>
      </c>
      <c r="AE1886">
        <f>IF(AD1886=1,IF(COUNTIFS($A$6:A1886,A1886,$AD$6:AD1886,1)=1,1,0),0)</f>
        <v>0.0</v>
      </c>
      <c r="AF1886" t="str">
        <f>IF(AE1886=1,COUNTIFS(sj_first,1,sj_date,"&lt;"&amp;A1886)+1,"")</f>
        <v/>
      </c>
      <c r="AG1886" t="str">
        <f>IF(AND(AD1886=1,N(W1886)&lt;p_alert),ROUND(W1886,4),"")</f>
        <v/>
      </c>
      <c r="AH1886" t="str">
        <f>IF(AG1886="","",COUNTIF(sj_akey,"&lt;"&amp;AG1886)+COUNTIF($AG$6:AG1886,AG1886))</f>
        <v/>
      </c>
    </row>
    <row r="1887">
      <c r="A1887" s="51" t="n"/>
      <c r="B1887" s="52" t="n"/>
      <c r="C1887" s="52" t="n"/>
      <c r="D1887" s="53" t="n"/>
      <c r="E1887" s="53" t="n"/>
      <c r="F1887" s="54" t="n"/>
      <c r="G1887" s="54" t="n"/>
      <c r="H1887" s="54" t="n"/>
      <c r="I1887" s="54" t="n"/>
      <c r="J1887" s="53" t="n"/>
      <c r="K1887" s="55" t="str">
        <f>IF(COUNTA(A1887:I1887)=0,"",IF(F1887="",IFERROR(INDEX(eq_dur,MATCH(B1887,eq_code,0)),""),F1887))</f>
        <v/>
      </c>
      <c r="L1887" s="55" t="str">
        <f>IF(ISNUMBER(K1887),N(IFERROR(INDEX(eq_pause,MATCH(B1887,eq_code,0)),0))+SUMIFS(st_min,st_date,A1887,st_eq,B1887,st_po,C1887,st_type,"Planifié"),"")</f>
        <v/>
      </c>
      <c r="M1887" s="55" t="str">
        <f>IF(ISNUMBER(K1887),K1887-L1887,"")</f>
        <v/>
      </c>
      <c r="N1887" s="55" t="str">
        <f>IF(ISNUMBER(K1887),SUMIFS(st_min,st_date,A1887,st_eq,B1887,st_po,C1887,st_type,"Non planifié"),"")</f>
        <v/>
      </c>
      <c r="O1887" s="55" t="str">
        <f>IF(ISNUMBER(K1887),M1887-N1887,"")</f>
        <v/>
      </c>
      <c r="P1887" s="55" t="str">
        <f>IF(COUNTA(A1887:I1887)=0,"",N(G1887)+N(H1887)+N(I1887))</f>
        <v/>
      </c>
      <c r="Q1887" s="56" t="str">
        <f>IF(COUNTA(A1887:I1887)=0,"",IF(N(IFERROR(INDEX(art_rate,MATCH(E1887,art_ref,0)),0))&gt;0,N(IFERROR(INDEX(art_rate,MATCH(E1887,art_ref,0)),0)),N(IFERROR(INDEX(po_rate,MATCH(C1887,po_code,0)),0))))</f>
        <v/>
      </c>
      <c r="R1887" s="55" t="str">
        <f>IF(AC1887=1,P1887*60/Q1887,"")</f>
        <v/>
      </c>
      <c r="S1887" s="55" t="str">
        <f>IF(AC1887=1,N(G1887)*60/Q1887,"")</f>
        <v/>
      </c>
      <c r="T1887" s="57" t="str">
        <f>IF(AC1887=1,O1887/M1887,"")</f>
        <v/>
      </c>
      <c r="U1887" s="57" t="str">
        <f>IF(AC1887=1,IF(O1887&gt;0,R1887/O1887,""),"")</f>
        <v/>
      </c>
      <c r="V1887" s="57" t="str">
        <f>IF(AC1887=1,IF(P1887&gt;0,N(G1887)/P1887,""),"")</f>
        <v/>
      </c>
      <c r="W1887" s="57" t="str">
        <f>IF(AC1887=1,S1887/M1887,"")</f>
        <v/>
      </c>
      <c r="X1887" s="57" t="str">
        <f>IF(AC1887=1,S1887/K1887,"")</f>
        <v/>
      </c>
      <c r="Y1887" s="58" t="str">
        <f>IF(W1887="","",IF(W1887&gt;=p_target,"Bon",IF(W1887&gt;=p_alert,"À surveiller","Faible")))</f>
        <v/>
      </c>
      <c r="Z1887" s="58" t="str">
        <f>IF(W1887="","",IF(MIN(IF(T1887="",1,T1887),IF(U1887="",1,U1887),IF(V1887="",1,V1887))&gt;=1,"Aucune",IF(IF(T1887="",1,T1887)&lt;=MIN(IF(U1887="",1,U1887),IF(V1887="",1,V1887)),"Disponibilité",IF(IF(U1887="",1,U1887)&lt;=IF(V1887="",1,V1887),"Performance","Qualité"))))</f>
        <v/>
      </c>
      <c r="AA1887" s="59" t="str">
        <f>IF(AC1887=1,N(H1887)*N(IFERROR(INDEX(art_cost,MATCH(E1887,art_ref,0)),0)),"")</f>
        <v/>
      </c>
      <c r="AB1887" s="58" t="str">
        <f>IF(COUNTA(A1887:I1887)=0,"",IF(N(A1887)&lt;=0,"Date manquante ou invalide",IF(B1887="","Équipe manquante",IF(ISNA(MATCH(B1887,eq_code,0)),"Équipe inconnue",IF(INDEX(eq_check,MATCH(B1887,eq_code,0))&lt;&gt;"OK","Équipe à corriger dans Paramètres",IF(C1887="","Poste manquant",IF(ISNA(MATCH(C1887,po_code,0)),"Poste inconnu",IF(AND(E1887&lt;&gt;"",ISNA(MATCH(E1887,art_ref,0))),"Article inconnu",IF(IF(E1887="",FALSE,INDEX(art_check,MATCH(E1887,art_ref,0))&lt;&gt;"OK"),"Article à corriger (feuille Articles)",IF(COUNTIFS(sj_date,A1887,sj_eq,B1887,sj_po,C1887)&gt;1,"Ligne en double (même jour, équipe et poste)",IF(OR(NOT(ISNUMBER(K1887)),N(K1887)&lt;=0,N(K1887)&gt;1440),"Temps d'ouverture invalide",IF(OR(AND(G1887&lt;&gt;"",NOT(ISNUMBER(G1887))),N(G1887)&lt;0,N(G1887)&lt;&gt;INT(N(G1887)),AND(H1887&lt;&gt;"",NOT(ISNUMBER(H1887))),N(H1887)&lt;0,N(H1887)&lt;&gt;INT(N(H1887)),AND(I1887&lt;&gt;"",NOT(ISNUMBER(I1887))),N(I1887)&lt;0,N(I1887)&lt;&gt;INT(N(I1887))),"Quantité invalide",IF(Q1887&lt;=0,"Cadence manquante (poste ou article)",IF(M1887&lt;=0,"Arrêts planifiés supérieurs au temps d'ouverture",IF(O1887&lt;0,"Arrêts supérieurs au temps requis",IF(AND(P1887&gt;0,O1887=0),"Pièces déclarées sans temps de marche",IF(AND(P1887=0,O1887&gt;0),"Aucune pièce déclarée",IF(P1887*60/Q1887&gt;O1887+0.001,"Cadence dépassée : vérifiez la cadence","OK"))))))))))))))))))</f>
        <v/>
      </c>
      <c r="AC1887">
        <f>IF(OR(AB1887="OK",AB1887="Aucune pièce déclarée",AB1887="Cadence dépassée : vérifiez la cadence"),1,0)</f>
        <v>0.0</v>
      </c>
      <c r="AD1887">
        <f>IF(AND(AC1887=1,A1887&gt;=p_from,A1887&lt;=p_to),1,0)</f>
        <v>0.0</v>
      </c>
      <c r="AE1887">
        <f>IF(AD1887=1,IF(COUNTIFS($A$6:A1887,A1887,$AD$6:AD1887,1)=1,1,0),0)</f>
        <v>0.0</v>
      </c>
      <c r="AF1887" t="str">
        <f>IF(AE1887=1,COUNTIFS(sj_first,1,sj_date,"&lt;"&amp;A1887)+1,"")</f>
        <v/>
      </c>
      <c r="AG1887" t="str">
        <f>IF(AND(AD1887=1,N(W1887)&lt;p_alert),ROUND(W1887,4),"")</f>
        <v/>
      </c>
      <c r="AH1887" t="str">
        <f>IF(AG1887="","",COUNTIF(sj_akey,"&lt;"&amp;AG1887)+COUNTIF($AG$6:AG1887,AG1887))</f>
        <v/>
      </c>
    </row>
    <row r="1888">
      <c r="A1888" s="51" t="n"/>
      <c r="B1888" s="52" t="n"/>
      <c r="C1888" s="52" t="n"/>
      <c r="D1888" s="53" t="n"/>
      <c r="E1888" s="53" t="n"/>
      <c r="F1888" s="54" t="n"/>
      <c r="G1888" s="54" t="n"/>
      <c r="H1888" s="54" t="n"/>
      <c r="I1888" s="54" t="n"/>
      <c r="J1888" s="53" t="n"/>
      <c r="K1888" s="55" t="str">
        <f>IF(COUNTA(A1888:I1888)=0,"",IF(F1888="",IFERROR(INDEX(eq_dur,MATCH(B1888,eq_code,0)),""),F1888))</f>
        <v/>
      </c>
      <c r="L1888" s="55" t="str">
        <f>IF(ISNUMBER(K1888),N(IFERROR(INDEX(eq_pause,MATCH(B1888,eq_code,0)),0))+SUMIFS(st_min,st_date,A1888,st_eq,B1888,st_po,C1888,st_type,"Planifié"),"")</f>
        <v/>
      </c>
      <c r="M1888" s="55" t="str">
        <f>IF(ISNUMBER(K1888),K1888-L1888,"")</f>
        <v/>
      </c>
      <c r="N1888" s="55" t="str">
        <f>IF(ISNUMBER(K1888),SUMIFS(st_min,st_date,A1888,st_eq,B1888,st_po,C1888,st_type,"Non planifié"),"")</f>
        <v/>
      </c>
      <c r="O1888" s="55" t="str">
        <f>IF(ISNUMBER(K1888),M1888-N1888,"")</f>
        <v/>
      </c>
      <c r="P1888" s="55" t="str">
        <f>IF(COUNTA(A1888:I1888)=0,"",N(G1888)+N(H1888)+N(I1888))</f>
        <v/>
      </c>
      <c r="Q1888" s="56" t="str">
        <f>IF(COUNTA(A1888:I1888)=0,"",IF(N(IFERROR(INDEX(art_rate,MATCH(E1888,art_ref,0)),0))&gt;0,N(IFERROR(INDEX(art_rate,MATCH(E1888,art_ref,0)),0)),N(IFERROR(INDEX(po_rate,MATCH(C1888,po_code,0)),0))))</f>
        <v/>
      </c>
      <c r="R1888" s="55" t="str">
        <f>IF(AC1888=1,P1888*60/Q1888,"")</f>
        <v/>
      </c>
      <c r="S1888" s="55" t="str">
        <f>IF(AC1888=1,N(G1888)*60/Q1888,"")</f>
        <v/>
      </c>
      <c r="T1888" s="57" t="str">
        <f>IF(AC1888=1,O1888/M1888,"")</f>
        <v/>
      </c>
      <c r="U1888" s="57" t="str">
        <f>IF(AC1888=1,IF(O1888&gt;0,R1888/O1888,""),"")</f>
        <v/>
      </c>
      <c r="V1888" s="57" t="str">
        <f>IF(AC1888=1,IF(P1888&gt;0,N(G1888)/P1888,""),"")</f>
        <v/>
      </c>
      <c r="W1888" s="57" t="str">
        <f>IF(AC1888=1,S1888/M1888,"")</f>
        <v/>
      </c>
      <c r="X1888" s="57" t="str">
        <f>IF(AC1888=1,S1888/K1888,"")</f>
        <v/>
      </c>
      <c r="Y1888" s="58" t="str">
        <f>IF(W1888="","",IF(W1888&gt;=p_target,"Bon",IF(W1888&gt;=p_alert,"À surveiller","Faible")))</f>
        <v/>
      </c>
      <c r="Z1888" s="58" t="str">
        <f>IF(W1888="","",IF(MIN(IF(T1888="",1,T1888),IF(U1888="",1,U1888),IF(V1888="",1,V1888))&gt;=1,"Aucune",IF(IF(T1888="",1,T1888)&lt;=MIN(IF(U1888="",1,U1888),IF(V1888="",1,V1888)),"Disponibilité",IF(IF(U1888="",1,U1888)&lt;=IF(V1888="",1,V1888),"Performance","Qualité"))))</f>
        <v/>
      </c>
      <c r="AA1888" s="59" t="str">
        <f>IF(AC1888=1,N(H1888)*N(IFERROR(INDEX(art_cost,MATCH(E1888,art_ref,0)),0)),"")</f>
        <v/>
      </c>
      <c r="AB1888" s="58" t="str">
        <f>IF(COUNTA(A1888:I1888)=0,"",IF(N(A1888)&lt;=0,"Date manquante ou invalide",IF(B1888="","Équipe manquante",IF(ISNA(MATCH(B1888,eq_code,0)),"Équipe inconnue",IF(INDEX(eq_check,MATCH(B1888,eq_code,0))&lt;&gt;"OK","Équipe à corriger dans Paramètres",IF(C1888="","Poste manquant",IF(ISNA(MATCH(C1888,po_code,0)),"Poste inconnu",IF(AND(E1888&lt;&gt;"",ISNA(MATCH(E1888,art_ref,0))),"Article inconnu",IF(IF(E1888="",FALSE,INDEX(art_check,MATCH(E1888,art_ref,0))&lt;&gt;"OK"),"Article à corriger (feuille Articles)",IF(COUNTIFS(sj_date,A1888,sj_eq,B1888,sj_po,C1888)&gt;1,"Ligne en double (même jour, équipe et poste)",IF(OR(NOT(ISNUMBER(K1888)),N(K1888)&lt;=0,N(K1888)&gt;1440),"Temps d'ouverture invalide",IF(OR(AND(G1888&lt;&gt;"",NOT(ISNUMBER(G1888))),N(G1888)&lt;0,N(G1888)&lt;&gt;INT(N(G1888)),AND(H1888&lt;&gt;"",NOT(ISNUMBER(H1888))),N(H1888)&lt;0,N(H1888)&lt;&gt;INT(N(H1888)),AND(I1888&lt;&gt;"",NOT(ISNUMBER(I1888))),N(I1888)&lt;0,N(I1888)&lt;&gt;INT(N(I1888))),"Quantité invalide",IF(Q1888&lt;=0,"Cadence manquante (poste ou article)",IF(M1888&lt;=0,"Arrêts planifiés supérieurs au temps d'ouverture",IF(O1888&lt;0,"Arrêts supérieurs au temps requis",IF(AND(P1888&gt;0,O1888=0),"Pièces déclarées sans temps de marche",IF(AND(P1888=0,O1888&gt;0),"Aucune pièce déclarée",IF(P1888*60/Q1888&gt;O1888+0.001,"Cadence dépassée : vérifiez la cadence","OK"))))))))))))))))))</f>
        <v/>
      </c>
      <c r="AC1888">
        <f>IF(OR(AB1888="OK",AB1888="Aucune pièce déclarée",AB1888="Cadence dépassée : vérifiez la cadence"),1,0)</f>
        <v>0.0</v>
      </c>
      <c r="AD1888">
        <f>IF(AND(AC1888=1,A1888&gt;=p_from,A1888&lt;=p_to),1,0)</f>
        <v>0.0</v>
      </c>
      <c r="AE1888">
        <f>IF(AD1888=1,IF(COUNTIFS($A$6:A1888,A1888,$AD$6:AD1888,1)=1,1,0),0)</f>
        <v>0.0</v>
      </c>
      <c r="AF1888" t="str">
        <f>IF(AE1888=1,COUNTIFS(sj_first,1,sj_date,"&lt;"&amp;A1888)+1,"")</f>
        <v/>
      </c>
      <c r="AG1888" t="str">
        <f>IF(AND(AD1888=1,N(W1888)&lt;p_alert),ROUND(W1888,4),"")</f>
        <v/>
      </c>
      <c r="AH1888" t="str">
        <f>IF(AG1888="","",COUNTIF(sj_akey,"&lt;"&amp;AG1888)+COUNTIF($AG$6:AG1888,AG1888))</f>
        <v/>
      </c>
    </row>
    <row r="1889">
      <c r="A1889" s="51" t="n"/>
      <c r="B1889" s="52" t="n"/>
      <c r="C1889" s="52" t="n"/>
      <c r="D1889" s="53" t="n"/>
      <c r="E1889" s="53" t="n"/>
      <c r="F1889" s="54" t="n"/>
      <c r="G1889" s="54" t="n"/>
      <c r="H1889" s="54" t="n"/>
      <c r="I1889" s="54" t="n"/>
      <c r="J1889" s="53" t="n"/>
      <c r="K1889" s="55" t="str">
        <f>IF(COUNTA(A1889:I1889)=0,"",IF(F1889="",IFERROR(INDEX(eq_dur,MATCH(B1889,eq_code,0)),""),F1889))</f>
        <v/>
      </c>
      <c r="L1889" s="55" t="str">
        <f>IF(ISNUMBER(K1889),N(IFERROR(INDEX(eq_pause,MATCH(B1889,eq_code,0)),0))+SUMIFS(st_min,st_date,A1889,st_eq,B1889,st_po,C1889,st_type,"Planifié"),"")</f>
        <v/>
      </c>
      <c r="M1889" s="55" t="str">
        <f>IF(ISNUMBER(K1889),K1889-L1889,"")</f>
        <v/>
      </c>
      <c r="N1889" s="55" t="str">
        <f>IF(ISNUMBER(K1889),SUMIFS(st_min,st_date,A1889,st_eq,B1889,st_po,C1889,st_type,"Non planifié"),"")</f>
        <v/>
      </c>
      <c r="O1889" s="55" t="str">
        <f>IF(ISNUMBER(K1889),M1889-N1889,"")</f>
        <v/>
      </c>
      <c r="P1889" s="55" t="str">
        <f>IF(COUNTA(A1889:I1889)=0,"",N(G1889)+N(H1889)+N(I1889))</f>
        <v/>
      </c>
      <c r="Q1889" s="56" t="str">
        <f>IF(COUNTA(A1889:I1889)=0,"",IF(N(IFERROR(INDEX(art_rate,MATCH(E1889,art_ref,0)),0))&gt;0,N(IFERROR(INDEX(art_rate,MATCH(E1889,art_ref,0)),0)),N(IFERROR(INDEX(po_rate,MATCH(C1889,po_code,0)),0))))</f>
        <v/>
      </c>
      <c r="R1889" s="55" t="str">
        <f>IF(AC1889=1,P1889*60/Q1889,"")</f>
        <v/>
      </c>
      <c r="S1889" s="55" t="str">
        <f>IF(AC1889=1,N(G1889)*60/Q1889,"")</f>
        <v/>
      </c>
      <c r="T1889" s="57" t="str">
        <f>IF(AC1889=1,O1889/M1889,"")</f>
        <v/>
      </c>
      <c r="U1889" s="57" t="str">
        <f>IF(AC1889=1,IF(O1889&gt;0,R1889/O1889,""),"")</f>
        <v/>
      </c>
      <c r="V1889" s="57" t="str">
        <f>IF(AC1889=1,IF(P1889&gt;0,N(G1889)/P1889,""),"")</f>
        <v/>
      </c>
      <c r="W1889" s="57" t="str">
        <f>IF(AC1889=1,S1889/M1889,"")</f>
        <v/>
      </c>
      <c r="X1889" s="57" t="str">
        <f>IF(AC1889=1,S1889/K1889,"")</f>
        <v/>
      </c>
      <c r="Y1889" s="58" t="str">
        <f>IF(W1889="","",IF(W1889&gt;=p_target,"Bon",IF(W1889&gt;=p_alert,"À surveiller","Faible")))</f>
        <v/>
      </c>
      <c r="Z1889" s="58" t="str">
        <f>IF(W1889="","",IF(MIN(IF(T1889="",1,T1889),IF(U1889="",1,U1889),IF(V1889="",1,V1889))&gt;=1,"Aucune",IF(IF(T1889="",1,T1889)&lt;=MIN(IF(U1889="",1,U1889),IF(V1889="",1,V1889)),"Disponibilité",IF(IF(U1889="",1,U1889)&lt;=IF(V1889="",1,V1889),"Performance","Qualité"))))</f>
        <v/>
      </c>
      <c r="AA1889" s="59" t="str">
        <f>IF(AC1889=1,N(H1889)*N(IFERROR(INDEX(art_cost,MATCH(E1889,art_ref,0)),0)),"")</f>
        <v/>
      </c>
      <c r="AB1889" s="58" t="str">
        <f>IF(COUNTA(A1889:I1889)=0,"",IF(N(A1889)&lt;=0,"Date manquante ou invalide",IF(B1889="","Équipe manquante",IF(ISNA(MATCH(B1889,eq_code,0)),"Équipe inconnue",IF(INDEX(eq_check,MATCH(B1889,eq_code,0))&lt;&gt;"OK","Équipe à corriger dans Paramètres",IF(C1889="","Poste manquant",IF(ISNA(MATCH(C1889,po_code,0)),"Poste inconnu",IF(AND(E1889&lt;&gt;"",ISNA(MATCH(E1889,art_ref,0))),"Article inconnu",IF(IF(E1889="",FALSE,INDEX(art_check,MATCH(E1889,art_ref,0))&lt;&gt;"OK"),"Article à corriger (feuille Articles)",IF(COUNTIFS(sj_date,A1889,sj_eq,B1889,sj_po,C1889)&gt;1,"Ligne en double (même jour, équipe et poste)",IF(OR(NOT(ISNUMBER(K1889)),N(K1889)&lt;=0,N(K1889)&gt;1440),"Temps d'ouverture invalide",IF(OR(AND(G1889&lt;&gt;"",NOT(ISNUMBER(G1889))),N(G1889)&lt;0,N(G1889)&lt;&gt;INT(N(G1889)),AND(H1889&lt;&gt;"",NOT(ISNUMBER(H1889))),N(H1889)&lt;0,N(H1889)&lt;&gt;INT(N(H1889)),AND(I1889&lt;&gt;"",NOT(ISNUMBER(I1889))),N(I1889)&lt;0,N(I1889)&lt;&gt;INT(N(I1889))),"Quantité invalide",IF(Q1889&lt;=0,"Cadence manquante (poste ou article)",IF(M1889&lt;=0,"Arrêts planifiés supérieurs au temps d'ouverture",IF(O1889&lt;0,"Arrêts supérieurs au temps requis",IF(AND(P1889&gt;0,O1889=0),"Pièces déclarées sans temps de marche",IF(AND(P1889=0,O1889&gt;0),"Aucune pièce déclarée",IF(P1889*60/Q1889&gt;O1889+0.001,"Cadence dépassée : vérifiez la cadence","OK"))))))))))))))))))</f>
        <v/>
      </c>
      <c r="AC1889">
        <f>IF(OR(AB1889="OK",AB1889="Aucune pièce déclarée",AB1889="Cadence dépassée : vérifiez la cadence"),1,0)</f>
        <v>0.0</v>
      </c>
      <c r="AD1889">
        <f>IF(AND(AC1889=1,A1889&gt;=p_from,A1889&lt;=p_to),1,0)</f>
        <v>0.0</v>
      </c>
      <c r="AE1889">
        <f>IF(AD1889=1,IF(COUNTIFS($A$6:A1889,A1889,$AD$6:AD1889,1)=1,1,0),0)</f>
        <v>0.0</v>
      </c>
      <c r="AF1889" t="str">
        <f>IF(AE1889=1,COUNTIFS(sj_first,1,sj_date,"&lt;"&amp;A1889)+1,"")</f>
        <v/>
      </c>
      <c r="AG1889" t="str">
        <f>IF(AND(AD1889=1,N(W1889)&lt;p_alert),ROUND(W1889,4),"")</f>
        <v/>
      </c>
      <c r="AH1889" t="str">
        <f>IF(AG1889="","",COUNTIF(sj_akey,"&lt;"&amp;AG1889)+COUNTIF($AG$6:AG1889,AG1889))</f>
        <v/>
      </c>
    </row>
    <row r="1890">
      <c r="A1890" s="51" t="n"/>
      <c r="B1890" s="52" t="n"/>
      <c r="C1890" s="52" t="n"/>
      <c r="D1890" s="53" t="n"/>
      <c r="E1890" s="53" t="n"/>
      <c r="F1890" s="54" t="n"/>
      <c r="G1890" s="54" t="n"/>
      <c r="H1890" s="54" t="n"/>
      <c r="I1890" s="54" t="n"/>
      <c r="J1890" s="53" t="n"/>
      <c r="K1890" s="55" t="str">
        <f>IF(COUNTA(A1890:I1890)=0,"",IF(F1890="",IFERROR(INDEX(eq_dur,MATCH(B1890,eq_code,0)),""),F1890))</f>
        <v/>
      </c>
      <c r="L1890" s="55" t="str">
        <f>IF(ISNUMBER(K1890),N(IFERROR(INDEX(eq_pause,MATCH(B1890,eq_code,0)),0))+SUMIFS(st_min,st_date,A1890,st_eq,B1890,st_po,C1890,st_type,"Planifié"),"")</f>
        <v/>
      </c>
      <c r="M1890" s="55" t="str">
        <f>IF(ISNUMBER(K1890),K1890-L1890,"")</f>
        <v/>
      </c>
      <c r="N1890" s="55" t="str">
        <f>IF(ISNUMBER(K1890),SUMIFS(st_min,st_date,A1890,st_eq,B1890,st_po,C1890,st_type,"Non planifié"),"")</f>
        <v/>
      </c>
      <c r="O1890" s="55" t="str">
        <f>IF(ISNUMBER(K1890),M1890-N1890,"")</f>
        <v/>
      </c>
      <c r="P1890" s="55" t="str">
        <f>IF(COUNTA(A1890:I1890)=0,"",N(G1890)+N(H1890)+N(I1890))</f>
        <v/>
      </c>
      <c r="Q1890" s="56" t="str">
        <f>IF(COUNTA(A1890:I1890)=0,"",IF(N(IFERROR(INDEX(art_rate,MATCH(E1890,art_ref,0)),0))&gt;0,N(IFERROR(INDEX(art_rate,MATCH(E1890,art_ref,0)),0)),N(IFERROR(INDEX(po_rate,MATCH(C1890,po_code,0)),0))))</f>
        <v/>
      </c>
      <c r="R1890" s="55" t="str">
        <f>IF(AC1890=1,P1890*60/Q1890,"")</f>
        <v/>
      </c>
      <c r="S1890" s="55" t="str">
        <f>IF(AC1890=1,N(G1890)*60/Q1890,"")</f>
        <v/>
      </c>
      <c r="T1890" s="57" t="str">
        <f>IF(AC1890=1,O1890/M1890,"")</f>
        <v/>
      </c>
      <c r="U1890" s="57" t="str">
        <f>IF(AC1890=1,IF(O1890&gt;0,R1890/O1890,""),"")</f>
        <v/>
      </c>
      <c r="V1890" s="57" t="str">
        <f>IF(AC1890=1,IF(P1890&gt;0,N(G1890)/P1890,""),"")</f>
        <v/>
      </c>
      <c r="W1890" s="57" t="str">
        <f>IF(AC1890=1,S1890/M1890,"")</f>
        <v/>
      </c>
      <c r="X1890" s="57" t="str">
        <f>IF(AC1890=1,S1890/K1890,"")</f>
        <v/>
      </c>
      <c r="Y1890" s="58" t="str">
        <f>IF(W1890="","",IF(W1890&gt;=p_target,"Bon",IF(W1890&gt;=p_alert,"À surveiller","Faible")))</f>
        <v/>
      </c>
      <c r="Z1890" s="58" t="str">
        <f>IF(W1890="","",IF(MIN(IF(T1890="",1,T1890),IF(U1890="",1,U1890),IF(V1890="",1,V1890))&gt;=1,"Aucune",IF(IF(T1890="",1,T1890)&lt;=MIN(IF(U1890="",1,U1890),IF(V1890="",1,V1890)),"Disponibilité",IF(IF(U1890="",1,U1890)&lt;=IF(V1890="",1,V1890),"Performance","Qualité"))))</f>
        <v/>
      </c>
      <c r="AA1890" s="59" t="str">
        <f>IF(AC1890=1,N(H1890)*N(IFERROR(INDEX(art_cost,MATCH(E1890,art_ref,0)),0)),"")</f>
        <v/>
      </c>
      <c r="AB1890" s="58" t="str">
        <f>IF(COUNTA(A1890:I1890)=0,"",IF(N(A1890)&lt;=0,"Date manquante ou invalide",IF(B1890="","Équipe manquante",IF(ISNA(MATCH(B1890,eq_code,0)),"Équipe inconnue",IF(INDEX(eq_check,MATCH(B1890,eq_code,0))&lt;&gt;"OK","Équipe à corriger dans Paramètres",IF(C1890="","Poste manquant",IF(ISNA(MATCH(C1890,po_code,0)),"Poste inconnu",IF(AND(E1890&lt;&gt;"",ISNA(MATCH(E1890,art_ref,0))),"Article inconnu",IF(IF(E1890="",FALSE,INDEX(art_check,MATCH(E1890,art_ref,0))&lt;&gt;"OK"),"Article à corriger (feuille Articles)",IF(COUNTIFS(sj_date,A1890,sj_eq,B1890,sj_po,C1890)&gt;1,"Ligne en double (même jour, équipe et poste)",IF(OR(NOT(ISNUMBER(K1890)),N(K1890)&lt;=0,N(K1890)&gt;1440),"Temps d'ouverture invalide",IF(OR(AND(G1890&lt;&gt;"",NOT(ISNUMBER(G1890))),N(G1890)&lt;0,N(G1890)&lt;&gt;INT(N(G1890)),AND(H1890&lt;&gt;"",NOT(ISNUMBER(H1890))),N(H1890)&lt;0,N(H1890)&lt;&gt;INT(N(H1890)),AND(I1890&lt;&gt;"",NOT(ISNUMBER(I1890))),N(I1890)&lt;0,N(I1890)&lt;&gt;INT(N(I1890))),"Quantité invalide",IF(Q1890&lt;=0,"Cadence manquante (poste ou article)",IF(M1890&lt;=0,"Arrêts planifiés supérieurs au temps d'ouverture",IF(O1890&lt;0,"Arrêts supérieurs au temps requis",IF(AND(P1890&gt;0,O1890=0),"Pièces déclarées sans temps de marche",IF(AND(P1890=0,O1890&gt;0),"Aucune pièce déclarée",IF(P1890*60/Q1890&gt;O1890+0.001,"Cadence dépassée : vérifiez la cadence","OK"))))))))))))))))))</f>
        <v/>
      </c>
      <c r="AC1890">
        <f>IF(OR(AB1890="OK",AB1890="Aucune pièce déclarée",AB1890="Cadence dépassée : vérifiez la cadence"),1,0)</f>
        <v>0.0</v>
      </c>
      <c r="AD1890">
        <f>IF(AND(AC1890=1,A1890&gt;=p_from,A1890&lt;=p_to),1,0)</f>
        <v>0.0</v>
      </c>
      <c r="AE1890">
        <f>IF(AD1890=1,IF(COUNTIFS($A$6:A1890,A1890,$AD$6:AD1890,1)=1,1,0),0)</f>
        <v>0.0</v>
      </c>
      <c r="AF1890" t="str">
        <f>IF(AE1890=1,COUNTIFS(sj_first,1,sj_date,"&lt;"&amp;A1890)+1,"")</f>
        <v/>
      </c>
      <c r="AG1890" t="str">
        <f>IF(AND(AD1890=1,N(W1890)&lt;p_alert),ROUND(W1890,4),"")</f>
        <v/>
      </c>
      <c r="AH1890" t="str">
        <f>IF(AG1890="","",COUNTIF(sj_akey,"&lt;"&amp;AG1890)+COUNTIF($AG$6:AG1890,AG1890))</f>
        <v/>
      </c>
    </row>
    <row r="1891">
      <c r="A1891" s="51" t="n"/>
      <c r="B1891" s="52" t="n"/>
      <c r="C1891" s="52" t="n"/>
      <c r="D1891" s="53" t="n"/>
      <c r="E1891" s="53" t="n"/>
      <c r="F1891" s="54" t="n"/>
      <c r="G1891" s="54" t="n"/>
      <c r="H1891" s="54" t="n"/>
      <c r="I1891" s="54" t="n"/>
      <c r="J1891" s="53" t="n"/>
      <c r="K1891" s="55" t="str">
        <f>IF(COUNTA(A1891:I1891)=0,"",IF(F1891="",IFERROR(INDEX(eq_dur,MATCH(B1891,eq_code,0)),""),F1891))</f>
        <v/>
      </c>
      <c r="L1891" s="55" t="str">
        <f>IF(ISNUMBER(K1891),N(IFERROR(INDEX(eq_pause,MATCH(B1891,eq_code,0)),0))+SUMIFS(st_min,st_date,A1891,st_eq,B1891,st_po,C1891,st_type,"Planifié"),"")</f>
        <v/>
      </c>
      <c r="M1891" s="55" t="str">
        <f>IF(ISNUMBER(K1891),K1891-L1891,"")</f>
        <v/>
      </c>
      <c r="N1891" s="55" t="str">
        <f>IF(ISNUMBER(K1891),SUMIFS(st_min,st_date,A1891,st_eq,B1891,st_po,C1891,st_type,"Non planifié"),"")</f>
        <v/>
      </c>
      <c r="O1891" s="55" t="str">
        <f>IF(ISNUMBER(K1891),M1891-N1891,"")</f>
        <v/>
      </c>
      <c r="P1891" s="55" t="str">
        <f>IF(COUNTA(A1891:I1891)=0,"",N(G1891)+N(H1891)+N(I1891))</f>
        <v/>
      </c>
      <c r="Q1891" s="56" t="str">
        <f>IF(COUNTA(A1891:I1891)=0,"",IF(N(IFERROR(INDEX(art_rate,MATCH(E1891,art_ref,0)),0))&gt;0,N(IFERROR(INDEX(art_rate,MATCH(E1891,art_ref,0)),0)),N(IFERROR(INDEX(po_rate,MATCH(C1891,po_code,0)),0))))</f>
        <v/>
      </c>
      <c r="R1891" s="55" t="str">
        <f>IF(AC1891=1,P1891*60/Q1891,"")</f>
        <v/>
      </c>
      <c r="S1891" s="55" t="str">
        <f>IF(AC1891=1,N(G1891)*60/Q1891,"")</f>
        <v/>
      </c>
      <c r="T1891" s="57" t="str">
        <f>IF(AC1891=1,O1891/M1891,"")</f>
        <v/>
      </c>
      <c r="U1891" s="57" t="str">
        <f>IF(AC1891=1,IF(O1891&gt;0,R1891/O1891,""),"")</f>
        <v/>
      </c>
      <c r="V1891" s="57" t="str">
        <f>IF(AC1891=1,IF(P1891&gt;0,N(G1891)/P1891,""),"")</f>
        <v/>
      </c>
      <c r="W1891" s="57" t="str">
        <f>IF(AC1891=1,S1891/M1891,"")</f>
        <v/>
      </c>
      <c r="X1891" s="57" t="str">
        <f>IF(AC1891=1,S1891/K1891,"")</f>
        <v/>
      </c>
      <c r="Y1891" s="58" t="str">
        <f>IF(W1891="","",IF(W1891&gt;=p_target,"Bon",IF(W1891&gt;=p_alert,"À surveiller","Faible")))</f>
        <v/>
      </c>
      <c r="Z1891" s="58" t="str">
        <f>IF(W1891="","",IF(MIN(IF(T1891="",1,T1891),IF(U1891="",1,U1891),IF(V1891="",1,V1891))&gt;=1,"Aucune",IF(IF(T1891="",1,T1891)&lt;=MIN(IF(U1891="",1,U1891),IF(V1891="",1,V1891)),"Disponibilité",IF(IF(U1891="",1,U1891)&lt;=IF(V1891="",1,V1891),"Performance","Qualité"))))</f>
        <v/>
      </c>
      <c r="AA1891" s="59" t="str">
        <f>IF(AC1891=1,N(H1891)*N(IFERROR(INDEX(art_cost,MATCH(E1891,art_ref,0)),0)),"")</f>
        <v/>
      </c>
      <c r="AB1891" s="58" t="str">
        <f>IF(COUNTA(A1891:I1891)=0,"",IF(N(A1891)&lt;=0,"Date manquante ou invalide",IF(B1891="","Équipe manquante",IF(ISNA(MATCH(B1891,eq_code,0)),"Équipe inconnue",IF(INDEX(eq_check,MATCH(B1891,eq_code,0))&lt;&gt;"OK","Équipe à corriger dans Paramètres",IF(C1891="","Poste manquant",IF(ISNA(MATCH(C1891,po_code,0)),"Poste inconnu",IF(AND(E1891&lt;&gt;"",ISNA(MATCH(E1891,art_ref,0))),"Article inconnu",IF(IF(E1891="",FALSE,INDEX(art_check,MATCH(E1891,art_ref,0))&lt;&gt;"OK"),"Article à corriger (feuille Articles)",IF(COUNTIFS(sj_date,A1891,sj_eq,B1891,sj_po,C1891)&gt;1,"Ligne en double (même jour, équipe et poste)",IF(OR(NOT(ISNUMBER(K1891)),N(K1891)&lt;=0,N(K1891)&gt;1440),"Temps d'ouverture invalide",IF(OR(AND(G1891&lt;&gt;"",NOT(ISNUMBER(G1891))),N(G1891)&lt;0,N(G1891)&lt;&gt;INT(N(G1891)),AND(H1891&lt;&gt;"",NOT(ISNUMBER(H1891))),N(H1891)&lt;0,N(H1891)&lt;&gt;INT(N(H1891)),AND(I1891&lt;&gt;"",NOT(ISNUMBER(I1891))),N(I1891)&lt;0,N(I1891)&lt;&gt;INT(N(I1891))),"Quantité invalide",IF(Q1891&lt;=0,"Cadence manquante (poste ou article)",IF(M1891&lt;=0,"Arrêts planifiés supérieurs au temps d'ouverture",IF(O1891&lt;0,"Arrêts supérieurs au temps requis",IF(AND(P1891&gt;0,O1891=0),"Pièces déclarées sans temps de marche",IF(AND(P1891=0,O1891&gt;0),"Aucune pièce déclarée",IF(P1891*60/Q1891&gt;O1891+0.001,"Cadence dépassée : vérifiez la cadence","OK"))))))))))))))))))</f>
        <v/>
      </c>
      <c r="AC1891">
        <f>IF(OR(AB1891="OK",AB1891="Aucune pièce déclarée",AB1891="Cadence dépassée : vérifiez la cadence"),1,0)</f>
        <v>0.0</v>
      </c>
      <c r="AD1891">
        <f>IF(AND(AC1891=1,A1891&gt;=p_from,A1891&lt;=p_to),1,0)</f>
        <v>0.0</v>
      </c>
      <c r="AE1891">
        <f>IF(AD1891=1,IF(COUNTIFS($A$6:A1891,A1891,$AD$6:AD1891,1)=1,1,0),0)</f>
        <v>0.0</v>
      </c>
      <c r="AF1891" t="str">
        <f>IF(AE1891=1,COUNTIFS(sj_first,1,sj_date,"&lt;"&amp;A1891)+1,"")</f>
        <v/>
      </c>
      <c r="AG1891" t="str">
        <f>IF(AND(AD1891=1,N(W1891)&lt;p_alert),ROUND(W1891,4),"")</f>
        <v/>
      </c>
      <c r="AH1891" t="str">
        <f>IF(AG1891="","",COUNTIF(sj_akey,"&lt;"&amp;AG1891)+COUNTIF($AG$6:AG1891,AG1891))</f>
        <v/>
      </c>
    </row>
    <row r="1892">
      <c r="A1892" s="51" t="n"/>
      <c r="B1892" s="52" t="n"/>
      <c r="C1892" s="52" t="n"/>
      <c r="D1892" s="53" t="n"/>
      <c r="E1892" s="53" t="n"/>
      <c r="F1892" s="54" t="n"/>
      <c r="G1892" s="54" t="n"/>
      <c r="H1892" s="54" t="n"/>
      <c r="I1892" s="54" t="n"/>
      <c r="J1892" s="53" t="n"/>
      <c r="K1892" s="55" t="str">
        <f>IF(COUNTA(A1892:I1892)=0,"",IF(F1892="",IFERROR(INDEX(eq_dur,MATCH(B1892,eq_code,0)),""),F1892))</f>
        <v/>
      </c>
      <c r="L1892" s="55" t="str">
        <f>IF(ISNUMBER(K1892),N(IFERROR(INDEX(eq_pause,MATCH(B1892,eq_code,0)),0))+SUMIFS(st_min,st_date,A1892,st_eq,B1892,st_po,C1892,st_type,"Planifié"),"")</f>
        <v/>
      </c>
      <c r="M1892" s="55" t="str">
        <f>IF(ISNUMBER(K1892),K1892-L1892,"")</f>
        <v/>
      </c>
      <c r="N1892" s="55" t="str">
        <f>IF(ISNUMBER(K1892),SUMIFS(st_min,st_date,A1892,st_eq,B1892,st_po,C1892,st_type,"Non planifié"),"")</f>
        <v/>
      </c>
      <c r="O1892" s="55" t="str">
        <f>IF(ISNUMBER(K1892),M1892-N1892,"")</f>
        <v/>
      </c>
      <c r="P1892" s="55" t="str">
        <f>IF(COUNTA(A1892:I1892)=0,"",N(G1892)+N(H1892)+N(I1892))</f>
        <v/>
      </c>
      <c r="Q1892" s="56" t="str">
        <f>IF(COUNTA(A1892:I1892)=0,"",IF(N(IFERROR(INDEX(art_rate,MATCH(E1892,art_ref,0)),0))&gt;0,N(IFERROR(INDEX(art_rate,MATCH(E1892,art_ref,0)),0)),N(IFERROR(INDEX(po_rate,MATCH(C1892,po_code,0)),0))))</f>
        <v/>
      </c>
      <c r="R1892" s="55" t="str">
        <f>IF(AC1892=1,P1892*60/Q1892,"")</f>
        <v/>
      </c>
      <c r="S1892" s="55" t="str">
        <f>IF(AC1892=1,N(G1892)*60/Q1892,"")</f>
        <v/>
      </c>
      <c r="T1892" s="57" t="str">
        <f>IF(AC1892=1,O1892/M1892,"")</f>
        <v/>
      </c>
      <c r="U1892" s="57" t="str">
        <f>IF(AC1892=1,IF(O1892&gt;0,R1892/O1892,""),"")</f>
        <v/>
      </c>
      <c r="V1892" s="57" t="str">
        <f>IF(AC1892=1,IF(P1892&gt;0,N(G1892)/P1892,""),"")</f>
        <v/>
      </c>
      <c r="W1892" s="57" t="str">
        <f>IF(AC1892=1,S1892/M1892,"")</f>
        <v/>
      </c>
      <c r="X1892" s="57" t="str">
        <f>IF(AC1892=1,S1892/K1892,"")</f>
        <v/>
      </c>
      <c r="Y1892" s="58" t="str">
        <f>IF(W1892="","",IF(W1892&gt;=p_target,"Bon",IF(W1892&gt;=p_alert,"À surveiller","Faible")))</f>
        <v/>
      </c>
      <c r="Z1892" s="58" t="str">
        <f>IF(W1892="","",IF(MIN(IF(T1892="",1,T1892),IF(U1892="",1,U1892),IF(V1892="",1,V1892))&gt;=1,"Aucune",IF(IF(T1892="",1,T1892)&lt;=MIN(IF(U1892="",1,U1892),IF(V1892="",1,V1892)),"Disponibilité",IF(IF(U1892="",1,U1892)&lt;=IF(V1892="",1,V1892),"Performance","Qualité"))))</f>
        <v/>
      </c>
      <c r="AA1892" s="59" t="str">
        <f>IF(AC1892=1,N(H1892)*N(IFERROR(INDEX(art_cost,MATCH(E1892,art_ref,0)),0)),"")</f>
        <v/>
      </c>
      <c r="AB1892" s="58" t="str">
        <f>IF(COUNTA(A1892:I1892)=0,"",IF(N(A1892)&lt;=0,"Date manquante ou invalide",IF(B1892="","Équipe manquante",IF(ISNA(MATCH(B1892,eq_code,0)),"Équipe inconnue",IF(INDEX(eq_check,MATCH(B1892,eq_code,0))&lt;&gt;"OK","Équipe à corriger dans Paramètres",IF(C1892="","Poste manquant",IF(ISNA(MATCH(C1892,po_code,0)),"Poste inconnu",IF(AND(E1892&lt;&gt;"",ISNA(MATCH(E1892,art_ref,0))),"Article inconnu",IF(IF(E1892="",FALSE,INDEX(art_check,MATCH(E1892,art_ref,0))&lt;&gt;"OK"),"Article à corriger (feuille Articles)",IF(COUNTIFS(sj_date,A1892,sj_eq,B1892,sj_po,C1892)&gt;1,"Ligne en double (même jour, équipe et poste)",IF(OR(NOT(ISNUMBER(K1892)),N(K1892)&lt;=0,N(K1892)&gt;1440),"Temps d'ouverture invalide",IF(OR(AND(G1892&lt;&gt;"",NOT(ISNUMBER(G1892))),N(G1892)&lt;0,N(G1892)&lt;&gt;INT(N(G1892)),AND(H1892&lt;&gt;"",NOT(ISNUMBER(H1892))),N(H1892)&lt;0,N(H1892)&lt;&gt;INT(N(H1892)),AND(I1892&lt;&gt;"",NOT(ISNUMBER(I1892))),N(I1892)&lt;0,N(I1892)&lt;&gt;INT(N(I1892))),"Quantité invalide",IF(Q1892&lt;=0,"Cadence manquante (poste ou article)",IF(M1892&lt;=0,"Arrêts planifiés supérieurs au temps d'ouverture",IF(O1892&lt;0,"Arrêts supérieurs au temps requis",IF(AND(P1892&gt;0,O1892=0),"Pièces déclarées sans temps de marche",IF(AND(P1892=0,O1892&gt;0),"Aucune pièce déclarée",IF(P1892*60/Q1892&gt;O1892+0.001,"Cadence dépassée : vérifiez la cadence","OK"))))))))))))))))))</f>
        <v/>
      </c>
      <c r="AC1892">
        <f>IF(OR(AB1892="OK",AB1892="Aucune pièce déclarée",AB1892="Cadence dépassée : vérifiez la cadence"),1,0)</f>
        <v>0.0</v>
      </c>
      <c r="AD1892">
        <f>IF(AND(AC1892=1,A1892&gt;=p_from,A1892&lt;=p_to),1,0)</f>
        <v>0.0</v>
      </c>
      <c r="AE1892">
        <f>IF(AD1892=1,IF(COUNTIFS($A$6:A1892,A1892,$AD$6:AD1892,1)=1,1,0),0)</f>
        <v>0.0</v>
      </c>
      <c r="AF1892" t="str">
        <f>IF(AE1892=1,COUNTIFS(sj_first,1,sj_date,"&lt;"&amp;A1892)+1,"")</f>
        <v/>
      </c>
      <c r="AG1892" t="str">
        <f>IF(AND(AD1892=1,N(W1892)&lt;p_alert),ROUND(W1892,4),"")</f>
        <v/>
      </c>
      <c r="AH1892" t="str">
        <f>IF(AG1892="","",COUNTIF(sj_akey,"&lt;"&amp;AG1892)+COUNTIF($AG$6:AG1892,AG1892))</f>
        <v/>
      </c>
    </row>
    <row r="1893">
      <c r="A1893" s="51" t="n"/>
      <c r="B1893" s="52" t="n"/>
      <c r="C1893" s="52" t="n"/>
      <c r="D1893" s="53" t="n"/>
      <c r="E1893" s="53" t="n"/>
      <c r="F1893" s="54" t="n"/>
      <c r="G1893" s="54" t="n"/>
      <c r="H1893" s="54" t="n"/>
      <c r="I1893" s="54" t="n"/>
      <c r="J1893" s="53" t="n"/>
      <c r="K1893" s="55" t="str">
        <f>IF(COUNTA(A1893:I1893)=0,"",IF(F1893="",IFERROR(INDEX(eq_dur,MATCH(B1893,eq_code,0)),""),F1893))</f>
        <v/>
      </c>
      <c r="L1893" s="55" t="str">
        <f>IF(ISNUMBER(K1893),N(IFERROR(INDEX(eq_pause,MATCH(B1893,eq_code,0)),0))+SUMIFS(st_min,st_date,A1893,st_eq,B1893,st_po,C1893,st_type,"Planifié"),"")</f>
        <v/>
      </c>
      <c r="M1893" s="55" t="str">
        <f>IF(ISNUMBER(K1893),K1893-L1893,"")</f>
        <v/>
      </c>
      <c r="N1893" s="55" t="str">
        <f>IF(ISNUMBER(K1893),SUMIFS(st_min,st_date,A1893,st_eq,B1893,st_po,C1893,st_type,"Non planifié"),"")</f>
        <v/>
      </c>
      <c r="O1893" s="55" t="str">
        <f>IF(ISNUMBER(K1893),M1893-N1893,"")</f>
        <v/>
      </c>
      <c r="P1893" s="55" t="str">
        <f>IF(COUNTA(A1893:I1893)=0,"",N(G1893)+N(H1893)+N(I1893))</f>
        <v/>
      </c>
      <c r="Q1893" s="56" t="str">
        <f>IF(COUNTA(A1893:I1893)=0,"",IF(N(IFERROR(INDEX(art_rate,MATCH(E1893,art_ref,0)),0))&gt;0,N(IFERROR(INDEX(art_rate,MATCH(E1893,art_ref,0)),0)),N(IFERROR(INDEX(po_rate,MATCH(C1893,po_code,0)),0))))</f>
        <v/>
      </c>
      <c r="R1893" s="55" t="str">
        <f>IF(AC1893=1,P1893*60/Q1893,"")</f>
        <v/>
      </c>
      <c r="S1893" s="55" t="str">
        <f>IF(AC1893=1,N(G1893)*60/Q1893,"")</f>
        <v/>
      </c>
      <c r="T1893" s="57" t="str">
        <f>IF(AC1893=1,O1893/M1893,"")</f>
        <v/>
      </c>
      <c r="U1893" s="57" t="str">
        <f>IF(AC1893=1,IF(O1893&gt;0,R1893/O1893,""),"")</f>
        <v/>
      </c>
      <c r="V1893" s="57" t="str">
        <f>IF(AC1893=1,IF(P1893&gt;0,N(G1893)/P1893,""),"")</f>
        <v/>
      </c>
      <c r="W1893" s="57" t="str">
        <f>IF(AC1893=1,S1893/M1893,"")</f>
        <v/>
      </c>
      <c r="X1893" s="57" t="str">
        <f>IF(AC1893=1,S1893/K1893,"")</f>
        <v/>
      </c>
      <c r="Y1893" s="58" t="str">
        <f>IF(W1893="","",IF(W1893&gt;=p_target,"Bon",IF(W1893&gt;=p_alert,"À surveiller","Faible")))</f>
        <v/>
      </c>
      <c r="Z1893" s="58" t="str">
        <f>IF(W1893="","",IF(MIN(IF(T1893="",1,T1893),IF(U1893="",1,U1893),IF(V1893="",1,V1893))&gt;=1,"Aucune",IF(IF(T1893="",1,T1893)&lt;=MIN(IF(U1893="",1,U1893),IF(V1893="",1,V1893)),"Disponibilité",IF(IF(U1893="",1,U1893)&lt;=IF(V1893="",1,V1893),"Performance","Qualité"))))</f>
        <v/>
      </c>
      <c r="AA1893" s="59" t="str">
        <f>IF(AC1893=1,N(H1893)*N(IFERROR(INDEX(art_cost,MATCH(E1893,art_ref,0)),0)),"")</f>
        <v/>
      </c>
      <c r="AB1893" s="58" t="str">
        <f>IF(COUNTA(A1893:I1893)=0,"",IF(N(A1893)&lt;=0,"Date manquante ou invalide",IF(B1893="","Équipe manquante",IF(ISNA(MATCH(B1893,eq_code,0)),"Équipe inconnue",IF(INDEX(eq_check,MATCH(B1893,eq_code,0))&lt;&gt;"OK","Équipe à corriger dans Paramètres",IF(C1893="","Poste manquant",IF(ISNA(MATCH(C1893,po_code,0)),"Poste inconnu",IF(AND(E1893&lt;&gt;"",ISNA(MATCH(E1893,art_ref,0))),"Article inconnu",IF(IF(E1893="",FALSE,INDEX(art_check,MATCH(E1893,art_ref,0))&lt;&gt;"OK"),"Article à corriger (feuille Articles)",IF(COUNTIFS(sj_date,A1893,sj_eq,B1893,sj_po,C1893)&gt;1,"Ligne en double (même jour, équipe et poste)",IF(OR(NOT(ISNUMBER(K1893)),N(K1893)&lt;=0,N(K1893)&gt;1440),"Temps d'ouverture invalide",IF(OR(AND(G1893&lt;&gt;"",NOT(ISNUMBER(G1893))),N(G1893)&lt;0,N(G1893)&lt;&gt;INT(N(G1893)),AND(H1893&lt;&gt;"",NOT(ISNUMBER(H1893))),N(H1893)&lt;0,N(H1893)&lt;&gt;INT(N(H1893)),AND(I1893&lt;&gt;"",NOT(ISNUMBER(I1893))),N(I1893)&lt;0,N(I1893)&lt;&gt;INT(N(I1893))),"Quantité invalide",IF(Q1893&lt;=0,"Cadence manquante (poste ou article)",IF(M1893&lt;=0,"Arrêts planifiés supérieurs au temps d'ouverture",IF(O1893&lt;0,"Arrêts supérieurs au temps requis",IF(AND(P1893&gt;0,O1893=0),"Pièces déclarées sans temps de marche",IF(AND(P1893=0,O1893&gt;0),"Aucune pièce déclarée",IF(P1893*60/Q1893&gt;O1893+0.001,"Cadence dépassée : vérifiez la cadence","OK"))))))))))))))))))</f>
        <v/>
      </c>
      <c r="AC1893">
        <f>IF(OR(AB1893="OK",AB1893="Aucune pièce déclarée",AB1893="Cadence dépassée : vérifiez la cadence"),1,0)</f>
        <v>0.0</v>
      </c>
      <c r="AD1893">
        <f>IF(AND(AC1893=1,A1893&gt;=p_from,A1893&lt;=p_to),1,0)</f>
        <v>0.0</v>
      </c>
      <c r="AE1893">
        <f>IF(AD1893=1,IF(COUNTIFS($A$6:A1893,A1893,$AD$6:AD1893,1)=1,1,0),0)</f>
        <v>0.0</v>
      </c>
      <c r="AF1893" t="str">
        <f>IF(AE1893=1,COUNTIFS(sj_first,1,sj_date,"&lt;"&amp;A1893)+1,"")</f>
        <v/>
      </c>
      <c r="AG1893" t="str">
        <f>IF(AND(AD1893=1,N(W1893)&lt;p_alert),ROUND(W1893,4),"")</f>
        <v/>
      </c>
      <c r="AH1893" t="str">
        <f>IF(AG1893="","",COUNTIF(sj_akey,"&lt;"&amp;AG1893)+COUNTIF($AG$6:AG1893,AG1893))</f>
        <v/>
      </c>
    </row>
    <row r="1894">
      <c r="A1894" s="51" t="n"/>
      <c r="B1894" s="52" t="n"/>
      <c r="C1894" s="52" t="n"/>
      <c r="D1894" s="53" t="n"/>
      <c r="E1894" s="53" t="n"/>
      <c r="F1894" s="54" t="n"/>
      <c r="G1894" s="54" t="n"/>
      <c r="H1894" s="54" t="n"/>
      <c r="I1894" s="54" t="n"/>
      <c r="J1894" s="53" t="n"/>
      <c r="K1894" s="55" t="str">
        <f>IF(COUNTA(A1894:I1894)=0,"",IF(F1894="",IFERROR(INDEX(eq_dur,MATCH(B1894,eq_code,0)),""),F1894))</f>
        <v/>
      </c>
      <c r="L1894" s="55" t="str">
        <f>IF(ISNUMBER(K1894),N(IFERROR(INDEX(eq_pause,MATCH(B1894,eq_code,0)),0))+SUMIFS(st_min,st_date,A1894,st_eq,B1894,st_po,C1894,st_type,"Planifié"),"")</f>
        <v/>
      </c>
      <c r="M1894" s="55" t="str">
        <f>IF(ISNUMBER(K1894),K1894-L1894,"")</f>
        <v/>
      </c>
      <c r="N1894" s="55" t="str">
        <f>IF(ISNUMBER(K1894),SUMIFS(st_min,st_date,A1894,st_eq,B1894,st_po,C1894,st_type,"Non planifié"),"")</f>
        <v/>
      </c>
      <c r="O1894" s="55" t="str">
        <f>IF(ISNUMBER(K1894),M1894-N1894,"")</f>
        <v/>
      </c>
      <c r="P1894" s="55" t="str">
        <f>IF(COUNTA(A1894:I1894)=0,"",N(G1894)+N(H1894)+N(I1894))</f>
        <v/>
      </c>
      <c r="Q1894" s="56" t="str">
        <f>IF(COUNTA(A1894:I1894)=0,"",IF(N(IFERROR(INDEX(art_rate,MATCH(E1894,art_ref,0)),0))&gt;0,N(IFERROR(INDEX(art_rate,MATCH(E1894,art_ref,0)),0)),N(IFERROR(INDEX(po_rate,MATCH(C1894,po_code,0)),0))))</f>
        <v/>
      </c>
      <c r="R1894" s="55" t="str">
        <f>IF(AC1894=1,P1894*60/Q1894,"")</f>
        <v/>
      </c>
      <c r="S1894" s="55" t="str">
        <f>IF(AC1894=1,N(G1894)*60/Q1894,"")</f>
        <v/>
      </c>
      <c r="T1894" s="57" t="str">
        <f>IF(AC1894=1,O1894/M1894,"")</f>
        <v/>
      </c>
      <c r="U1894" s="57" t="str">
        <f>IF(AC1894=1,IF(O1894&gt;0,R1894/O1894,""),"")</f>
        <v/>
      </c>
      <c r="V1894" s="57" t="str">
        <f>IF(AC1894=1,IF(P1894&gt;0,N(G1894)/P1894,""),"")</f>
        <v/>
      </c>
      <c r="W1894" s="57" t="str">
        <f>IF(AC1894=1,S1894/M1894,"")</f>
        <v/>
      </c>
      <c r="X1894" s="57" t="str">
        <f>IF(AC1894=1,S1894/K1894,"")</f>
        <v/>
      </c>
      <c r="Y1894" s="58" t="str">
        <f>IF(W1894="","",IF(W1894&gt;=p_target,"Bon",IF(W1894&gt;=p_alert,"À surveiller","Faible")))</f>
        <v/>
      </c>
      <c r="Z1894" s="58" t="str">
        <f>IF(W1894="","",IF(MIN(IF(T1894="",1,T1894),IF(U1894="",1,U1894),IF(V1894="",1,V1894))&gt;=1,"Aucune",IF(IF(T1894="",1,T1894)&lt;=MIN(IF(U1894="",1,U1894),IF(V1894="",1,V1894)),"Disponibilité",IF(IF(U1894="",1,U1894)&lt;=IF(V1894="",1,V1894),"Performance","Qualité"))))</f>
        <v/>
      </c>
      <c r="AA1894" s="59" t="str">
        <f>IF(AC1894=1,N(H1894)*N(IFERROR(INDEX(art_cost,MATCH(E1894,art_ref,0)),0)),"")</f>
        <v/>
      </c>
      <c r="AB1894" s="58" t="str">
        <f>IF(COUNTA(A1894:I1894)=0,"",IF(N(A1894)&lt;=0,"Date manquante ou invalide",IF(B1894="","Équipe manquante",IF(ISNA(MATCH(B1894,eq_code,0)),"Équipe inconnue",IF(INDEX(eq_check,MATCH(B1894,eq_code,0))&lt;&gt;"OK","Équipe à corriger dans Paramètres",IF(C1894="","Poste manquant",IF(ISNA(MATCH(C1894,po_code,0)),"Poste inconnu",IF(AND(E1894&lt;&gt;"",ISNA(MATCH(E1894,art_ref,0))),"Article inconnu",IF(IF(E1894="",FALSE,INDEX(art_check,MATCH(E1894,art_ref,0))&lt;&gt;"OK"),"Article à corriger (feuille Articles)",IF(COUNTIFS(sj_date,A1894,sj_eq,B1894,sj_po,C1894)&gt;1,"Ligne en double (même jour, équipe et poste)",IF(OR(NOT(ISNUMBER(K1894)),N(K1894)&lt;=0,N(K1894)&gt;1440),"Temps d'ouverture invalide",IF(OR(AND(G1894&lt;&gt;"",NOT(ISNUMBER(G1894))),N(G1894)&lt;0,N(G1894)&lt;&gt;INT(N(G1894)),AND(H1894&lt;&gt;"",NOT(ISNUMBER(H1894))),N(H1894)&lt;0,N(H1894)&lt;&gt;INT(N(H1894)),AND(I1894&lt;&gt;"",NOT(ISNUMBER(I1894))),N(I1894)&lt;0,N(I1894)&lt;&gt;INT(N(I1894))),"Quantité invalide",IF(Q1894&lt;=0,"Cadence manquante (poste ou article)",IF(M1894&lt;=0,"Arrêts planifiés supérieurs au temps d'ouverture",IF(O1894&lt;0,"Arrêts supérieurs au temps requis",IF(AND(P1894&gt;0,O1894=0),"Pièces déclarées sans temps de marche",IF(AND(P1894=0,O1894&gt;0),"Aucune pièce déclarée",IF(P1894*60/Q1894&gt;O1894+0.001,"Cadence dépassée : vérifiez la cadence","OK"))))))))))))))))))</f>
        <v/>
      </c>
      <c r="AC1894">
        <f>IF(OR(AB1894="OK",AB1894="Aucune pièce déclarée",AB1894="Cadence dépassée : vérifiez la cadence"),1,0)</f>
        <v>0.0</v>
      </c>
      <c r="AD1894">
        <f>IF(AND(AC1894=1,A1894&gt;=p_from,A1894&lt;=p_to),1,0)</f>
        <v>0.0</v>
      </c>
      <c r="AE1894">
        <f>IF(AD1894=1,IF(COUNTIFS($A$6:A1894,A1894,$AD$6:AD1894,1)=1,1,0),0)</f>
        <v>0.0</v>
      </c>
      <c r="AF1894" t="str">
        <f>IF(AE1894=1,COUNTIFS(sj_first,1,sj_date,"&lt;"&amp;A1894)+1,"")</f>
        <v/>
      </c>
      <c r="AG1894" t="str">
        <f>IF(AND(AD1894=1,N(W1894)&lt;p_alert),ROUND(W1894,4),"")</f>
        <v/>
      </c>
      <c r="AH1894" t="str">
        <f>IF(AG1894="","",COUNTIF(sj_akey,"&lt;"&amp;AG1894)+COUNTIF($AG$6:AG1894,AG1894))</f>
        <v/>
      </c>
    </row>
    <row r="1895">
      <c r="A1895" s="51" t="n"/>
      <c r="B1895" s="52" t="n"/>
      <c r="C1895" s="52" t="n"/>
      <c r="D1895" s="53" t="n"/>
      <c r="E1895" s="53" t="n"/>
      <c r="F1895" s="54" t="n"/>
      <c r="G1895" s="54" t="n"/>
      <c r="H1895" s="54" t="n"/>
      <c r="I1895" s="54" t="n"/>
      <c r="J1895" s="53" t="n"/>
      <c r="K1895" s="55" t="str">
        <f>IF(COUNTA(A1895:I1895)=0,"",IF(F1895="",IFERROR(INDEX(eq_dur,MATCH(B1895,eq_code,0)),""),F1895))</f>
        <v/>
      </c>
      <c r="L1895" s="55" t="str">
        <f>IF(ISNUMBER(K1895),N(IFERROR(INDEX(eq_pause,MATCH(B1895,eq_code,0)),0))+SUMIFS(st_min,st_date,A1895,st_eq,B1895,st_po,C1895,st_type,"Planifié"),"")</f>
        <v/>
      </c>
      <c r="M1895" s="55" t="str">
        <f>IF(ISNUMBER(K1895),K1895-L1895,"")</f>
        <v/>
      </c>
      <c r="N1895" s="55" t="str">
        <f>IF(ISNUMBER(K1895),SUMIFS(st_min,st_date,A1895,st_eq,B1895,st_po,C1895,st_type,"Non planifié"),"")</f>
        <v/>
      </c>
      <c r="O1895" s="55" t="str">
        <f>IF(ISNUMBER(K1895),M1895-N1895,"")</f>
        <v/>
      </c>
      <c r="P1895" s="55" t="str">
        <f>IF(COUNTA(A1895:I1895)=0,"",N(G1895)+N(H1895)+N(I1895))</f>
        <v/>
      </c>
      <c r="Q1895" s="56" t="str">
        <f>IF(COUNTA(A1895:I1895)=0,"",IF(N(IFERROR(INDEX(art_rate,MATCH(E1895,art_ref,0)),0))&gt;0,N(IFERROR(INDEX(art_rate,MATCH(E1895,art_ref,0)),0)),N(IFERROR(INDEX(po_rate,MATCH(C1895,po_code,0)),0))))</f>
        <v/>
      </c>
      <c r="R1895" s="55" t="str">
        <f>IF(AC1895=1,P1895*60/Q1895,"")</f>
        <v/>
      </c>
      <c r="S1895" s="55" t="str">
        <f>IF(AC1895=1,N(G1895)*60/Q1895,"")</f>
        <v/>
      </c>
      <c r="T1895" s="57" t="str">
        <f>IF(AC1895=1,O1895/M1895,"")</f>
        <v/>
      </c>
      <c r="U1895" s="57" t="str">
        <f>IF(AC1895=1,IF(O1895&gt;0,R1895/O1895,""),"")</f>
        <v/>
      </c>
      <c r="V1895" s="57" t="str">
        <f>IF(AC1895=1,IF(P1895&gt;0,N(G1895)/P1895,""),"")</f>
        <v/>
      </c>
      <c r="W1895" s="57" t="str">
        <f>IF(AC1895=1,S1895/M1895,"")</f>
        <v/>
      </c>
      <c r="X1895" s="57" t="str">
        <f>IF(AC1895=1,S1895/K1895,"")</f>
        <v/>
      </c>
      <c r="Y1895" s="58" t="str">
        <f>IF(W1895="","",IF(W1895&gt;=p_target,"Bon",IF(W1895&gt;=p_alert,"À surveiller","Faible")))</f>
        <v/>
      </c>
      <c r="Z1895" s="58" t="str">
        <f>IF(W1895="","",IF(MIN(IF(T1895="",1,T1895),IF(U1895="",1,U1895),IF(V1895="",1,V1895))&gt;=1,"Aucune",IF(IF(T1895="",1,T1895)&lt;=MIN(IF(U1895="",1,U1895),IF(V1895="",1,V1895)),"Disponibilité",IF(IF(U1895="",1,U1895)&lt;=IF(V1895="",1,V1895),"Performance","Qualité"))))</f>
        <v/>
      </c>
      <c r="AA1895" s="59" t="str">
        <f>IF(AC1895=1,N(H1895)*N(IFERROR(INDEX(art_cost,MATCH(E1895,art_ref,0)),0)),"")</f>
        <v/>
      </c>
      <c r="AB1895" s="58" t="str">
        <f>IF(COUNTA(A1895:I1895)=0,"",IF(N(A1895)&lt;=0,"Date manquante ou invalide",IF(B1895="","Équipe manquante",IF(ISNA(MATCH(B1895,eq_code,0)),"Équipe inconnue",IF(INDEX(eq_check,MATCH(B1895,eq_code,0))&lt;&gt;"OK","Équipe à corriger dans Paramètres",IF(C1895="","Poste manquant",IF(ISNA(MATCH(C1895,po_code,0)),"Poste inconnu",IF(AND(E1895&lt;&gt;"",ISNA(MATCH(E1895,art_ref,0))),"Article inconnu",IF(IF(E1895="",FALSE,INDEX(art_check,MATCH(E1895,art_ref,0))&lt;&gt;"OK"),"Article à corriger (feuille Articles)",IF(COUNTIFS(sj_date,A1895,sj_eq,B1895,sj_po,C1895)&gt;1,"Ligne en double (même jour, équipe et poste)",IF(OR(NOT(ISNUMBER(K1895)),N(K1895)&lt;=0,N(K1895)&gt;1440),"Temps d'ouverture invalide",IF(OR(AND(G1895&lt;&gt;"",NOT(ISNUMBER(G1895))),N(G1895)&lt;0,N(G1895)&lt;&gt;INT(N(G1895)),AND(H1895&lt;&gt;"",NOT(ISNUMBER(H1895))),N(H1895)&lt;0,N(H1895)&lt;&gt;INT(N(H1895)),AND(I1895&lt;&gt;"",NOT(ISNUMBER(I1895))),N(I1895)&lt;0,N(I1895)&lt;&gt;INT(N(I1895))),"Quantité invalide",IF(Q1895&lt;=0,"Cadence manquante (poste ou article)",IF(M1895&lt;=0,"Arrêts planifiés supérieurs au temps d'ouverture",IF(O1895&lt;0,"Arrêts supérieurs au temps requis",IF(AND(P1895&gt;0,O1895=0),"Pièces déclarées sans temps de marche",IF(AND(P1895=0,O1895&gt;0),"Aucune pièce déclarée",IF(P1895*60/Q1895&gt;O1895+0.001,"Cadence dépassée : vérifiez la cadence","OK"))))))))))))))))))</f>
        <v/>
      </c>
      <c r="AC1895">
        <f>IF(OR(AB1895="OK",AB1895="Aucune pièce déclarée",AB1895="Cadence dépassée : vérifiez la cadence"),1,0)</f>
        <v>0.0</v>
      </c>
      <c r="AD1895">
        <f>IF(AND(AC1895=1,A1895&gt;=p_from,A1895&lt;=p_to),1,0)</f>
        <v>0.0</v>
      </c>
      <c r="AE1895">
        <f>IF(AD1895=1,IF(COUNTIFS($A$6:A1895,A1895,$AD$6:AD1895,1)=1,1,0),0)</f>
        <v>0.0</v>
      </c>
      <c r="AF1895" t="str">
        <f>IF(AE1895=1,COUNTIFS(sj_first,1,sj_date,"&lt;"&amp;A1895)+1,"")</f>
        <v/>
      </c>
      <c r="AG1895" t="str">
        <f>IF(AND(AD1895=1,N(W1895)&lt;p_alert),ROUND(W1895,4),"")</f>
        <v/>
      </c>
      <c r="AH1895" t="str">
        <f>IF(AG1895="","",COUNTIF(sj_akey,"&lt;"&amp;AG1895)+COUNTIF($AG$6:AG1895,AG1895))</f>
        <v/>
      </c>
    </row>
    <row r="1896">
      <c r="A1896" s="51" t="n"/>
      <c r="B1896" s="52" t="n"/>
      <c r="C1896" s="52" t="n"/>
      <c r="D1896" s="53" t="n"/>
      <c r="E1896" s="53" t="n"/>
      <c r="F1896" s="54" t="n"/>
      <c r="G1896" s="54" t="n"/>
      <c r="H1896" s="54" t="n"/>
      <c r="I1896" s="54" t="n"/>
      <c r="J1896" s="53" t="n"/>
      <c r="K1896" s="55" t="str">
        <f>IF(COUNTA(A1896:I1896)=0,"",IF(F1896="",IFERROR(INDEX(eq_dur,MATCH(B1896,eq_code,0)),""),F1896))</f>
        <v/>
      </c>
      <c r="L1896" s="55" t="str">
        <f>IF(ISNUMBER(K1896),N(IFERROR(INDEX(eq_pause,MATCH(B1896,eq_code,0)),0))+SUMIFS(st_min,st_date,A1896,st_eq,B1896,st_po,C1896,st_type,"Planifié"),"")</f>
        <v/>
      </c>
      <c r="M1896" s="55" t="str">
        <f>IF(ISNUMBER(K1896),K1896-L1896,"")</f>
        <v/>
      </c>
      <c r="N1896" s="55" t="str">
        <f>IF(ISNUMBER(K1896),SUMIFS(st_min,st_date,A1896,st_eq,B1896,st_po,C1896,st_type,"Non planifié"),"")</f>
        <v/>
      </c>
      <c r="O1896" s="55" t="str">
        <f>IF(ISNUMBER(K1896),M1896-N1896,"")</f>
        <v/>
      </c>
      <c r="P1896" s="55" t="str">
        <f>IF(COUNTA(A1896:I1896)=0,"",N(G1896)+N(H1896)+N(I1896))</f>
        <v/>
      </c>
      <c r="Q1896" s="56" t="str">
        <f>IF(COUNTA(A1896:I1896)=0,"",IF(N(IFERROR(INDEX(art_rate,MATCH(E1896,art_ref,0)),0))&gt;0,N(IFERROR(INDEX(art_rate,MATCH(E1896,art_ref,0)),0)),N(IFERROR(INDEX(po_rate,MATCH(C1896,po_code,0)),0))))</f>
        <v/>
      </c>
      <c r="R1896" s="55" t="str">
        <f>IF(AC1896=1,P1896*60/Q1896,"")</f>
        <v/>
      </c>
      <c r="S1896" s="55" t="str">
        <f>IF(AC1896=1,N(G1896)*60/Q1896,"")</f>
        <v/>
      </c>
      <c r="T1896" s="57" t="str">
        <f>IF(AC1896=1,O1896/M1896,"")</f>
        <v/>
      </c>
      <c r="U1896" s="57" t="str">
        <f>IF(AC1896=1,IF(O1896&gt;0,R1896/O1896,""),"")</f>
        <v/>
      </c>
      <c r="V1896" s="57" t="str">
        <f>IF(AC1896=1,IF(P1896&gt;0,N(G1896)/P1896,""),"")</f>
        <v/>
      </c>
      <c r="W1896" s="57" t="str">
        <f>IF(AC1896=1,S1896/M1896,"")</f>
        <v/>
      </c>
      <c r="X1896" s="57" t="str">
        <f>IF(AC1896=1,S1896/K1896,"")</f>
        <v/>
      </c>
      <c r="Y1896" s="58" t="str">
        <f>IF(W1896="","",IF(W1896&gt;=p_target,"Bon",IF(W1896&gt;=p_alert,"À surveiller","Faible")))</f>
        <v/>
      </c>
      <c r="Z1896" s="58" t="str">
        <f>IF(W1896="","",IF(MIN(IF(T1896="",1,T1896),IF(U1896="",1,U1896),IF(V1896="",1,V1896))&gt;=1,"Aucune",IF(IF(T1896="",1,T1896)&lt;=MIN(IF(U1896="",1,U1896),IF(V1896="",1,V1896)),"Disponibilité",IF(IF(U1896="",1,U1896)&lt;=IF(V1896="",1,V1896),"Performance","Qualité"))))</f>
        <v/>
      </c>
      <c r="AA1896" s="59" t="str">
        <f>IF(AC1896=1,N(H1896)*N(IFERROR(INDEX(art_cost,MATCH(E1896,art_ref,0)),0)),"")</f>
        <v/>
      </c>
      <c r="AB1896" s="58" t="str">
        <f>IF(COUNTA(A1896:I1896)=0,"",IF(N(A1896)&lt;=0,"Date manquante ou invalide",IF(B1896="","Équipe manquante",IF(ISNA(MATCH(B1896,eq_code,0)),"Équipe inconnue",IF(INDEX(eq_check,MATCH(B1896,eq_code,0))&lt;&gt;"OK","Équipe à corriger dans Paramètres",IF(C1896="","Poste manquant",IF(ISNA(MATCH(C1896,po_code,0)),"Poste inconnu",IF(AND(E1896&lt;&gt;"",ISNA(MATCH(E1896,art_ref,0))),"Article inconnu",IF(IF(E1896="",FALSE,INDEX(art_check,MATCH(E1896,art_ref,0))&lt;&gt;"OK"),"Article à corriger (feuille Articles)",IF(COUNTIFS(sj_date,A1896,sj_eq,B1896,sj_po,C1896)&gt;1,"Ligne en double (même jour, équipe et poste)",IF(OR(NOT(ISNUMBER(K1896)),N(K1896)&lt;=0,N(K1896)&gt;1440),"Temps d'ouverture invalide",IF(OR(AND(G1896&lt;&gt;"",NOT(ISNUMBER(G1896))),N(G1896)&lt;0,N(G1896)&lt;&gt;INT(N(G1896)),AND(H1896&lt;&gt;"",NOT(ISNUMBER(H1896))),N(H1896)&lt;0,N(H1896)&lt;&gt;INT(N(H1896)),AND(I1896&lt;&gt;"",NOT(ISNUMBER(I1896))),N(I1896)&lt;0,N(I1896)&lt;&gt;INT(N(I1896))),"Quantité invalide",IF(Q1896&lt;=0,"Cadence manquante (poste ou article)",IF(M1896&lt;=0,"Arrêts planifiés supérieurs au temps d'ouverture",IF(O1896&lt;0,"Arrêts supérieurs au temps requis",IF(AND(P1896&gt;0,O1896=0),"Pièces déclarées sans temps de marche",IF(AND(P1896=0,O1896&gt;0),"Aucune pièce déclarée",IF(P1896*60/Q1896&gt;O1896+0.001,"Cadence dépassée : vérifiez la cadence","OK"))))))))))))))))))</f>
        <v/>
      </c>
      <c r="AC1896">
        <f>IF(OR(AB1896="OK",AB1896="Aucune pièce déclarée",AB1896="Cadence dépassée : vérifiez la cadence"),1,0)</f>
        <v>0.0</v>
      </c>
      <c r="AD1896">
        <f>IF(AND(AC1896=1,A1896&gt;=p_from,A1896&lt;=p_to),1,0)</f>
        <v>0.0</v>
      </c>
      <c r="AE1896">
        <f>IF(AD1896=1,IF(COUNTIFS($A$6:A1896,A1896,$AD$6:AD1896,1)=1,1,0),0)</f>
        <v>0.0</v>
      </c>
      <c r="AF1896" t="str">
        <f>IF(AE1896=1,COUNTIFS(sj_first,1,sj_date,"&lt;"&amp;A1896)+1,"")</f>
        <v/>
      </c>
      <c r="AG1896" t="str">
        <f>IF(AND(AD1896=1,N(W1896)&lt;p_alert),ROUND(W1896,4),"")</f>
        <v/>
      </c>
      <c r="AH1896" t="str">
        <f>IF(AG1896="","",COUNTIF(sj_akey,"&lt;"&amp;AG1896)+COUNTIF($AG$6:AG1896,AG1896))</f>
        <v/>
      </c>
    </row>
    <row r="1897">
      <c r="A1897" s="51" t="n"/>
      <c r="B1897" s="52" t="n"/>
      <c r="C1897" s="52" t="n"/>
      <c r="D1897" s="53" t="n"/>
      <c r="E1897" s="53" t="n"/>
      <c r="F1897" s="54" t="n"/>
      <c r="G1897" s="54" t="n"/>
      <c r="H1897" s="54" t="n"/>
      <c r="I1897" s="54" t="n"/>
      <c r="J1897" s="53" t="n"/>
      <c r="K1897" s="55" t="str">
        <f>IF(COUNTA(A1897:I1897)=0,"",IF(F1897="",IFERROR(INDEX(eq_dur,MATCH(B1897,eq_code,0)),""),F1897))</f>
        <v/>
      </c>
      <c r="L1897" s="55" t="str">
        <f>IF(ISNUMBER(K1897),N(IFERROR(INDEX(eq_pause,MATCH(B1897,eq_code,0)),0))+SUMIFS(st_min,st_date,A1897,st_eq,B1897,st_po,C1897,st_type,"Planifié"),"")</f>
        <v/>
      </c>
      <c r="M1897" s="55" t="str">
        <f>IF(ISNUMBER(K1897),K1897-L1897,"")</f>
        <v/>
      </c>
      <c r="N1897" s="55" t="str">
        <f>IF(ISNUMBER(K1897),SUMIFS(st_min,st_date,A1897,st_eq,B1897,st_po,C1897,st_type,"Non planifié"),"")</f>
        <v/>
      </c>
      <c r="O1897" s="55" t="str">
        <f>IF(ISNUMBER(K1897),M1897-N1897,"")</f>
        <v/>
      </c>
      <c r="P1897" s="55" t="str">
        <f>IF(COUNTA(A1897:I1897)=0,"",N(G1897)+N(H1897)+N(I1897))</f>
        <v/>
      </c>
      <c r="Q1897" s="56" t="str">
        <f>IF(COUNTA(A1897:I1897)=0,"",IF(N(IFERROR(INDEX(art_rate,MATCH(E1897,art_ref,0)),0))&gt;0,N(IFERROR(INDEX(art_rate,MATCH(E1897,art_ref,0)),0)),N(IFERROR(INDEX(po_rate,MATCH(C1897,po_code,0)),0))))</f>
        <v/>
      </c>
      <c r="R1897" s="55" t="str">
        <f>IF(AC1897=1,P1897*60/Q1897,"")</f>
        <v/>
      </c>
      <c r="S1897" s="55" t="str">
        <f>IF(AC1897=1,N(G1897)*60/Q1897,"")</f>
        <v/>
      </c>
      <c r="T1897" s="57" t="str">
        <f>IF(AC1897=1,O1897/M1897,"")</f>
        <v/>
      </c>
      <c r="U1897" s="57" t="str">
        <f>IF(AC1897=1,IF(O1897&gt;0,R1897/O1897,""),"")</f>
        <v/>
      </c>
      <c r="V1897" s="57" t="str">
        <f>IF(AC1897=1,IF(P1897&gt;0,N(G1897)/P1897,""),"")</f>
        <v/>
      </c>
      <c r="W1897" s="57" t="str">
        <f>IF(AC1897=1,S1897/M1897,"")</f>
        <v/>
      </c>
      <c r="X1897" s="57" t="str">
        <f>IF(AC1897=1,S1897/K1897,"")</f>
        <v/>
      </c>
      <c r="Y1897" s="58" t="str">
        <f>IF(W1897="","",IF(W1897&gt;=p_target,"Bon",IF(W1897&gt;=p_alert,"À surveiller","Faible")))</f>
        <v/>
      </c>
      <c r="Z1897" s="58" t="str">
        <f>IF(W1897="","",IF(MIN(IF(T1897="",1,T1897),IF(U1897="",1,U1897),IF(V1897="",1,V1897))&gt;=1,"Aucune",IF(IF(T1897="",1,T1897)&lt;=MIN(IF(U1897="",1,U1897),IF(V1897="",1,V1897)),"Disponibilité",IF(IF(U1897="",1,U1897)&lt;=IF(V1897="",1,V1897),"Performance","Qualité"))))</f>
        <v/>
      </c>
      <c r="AA1897" s="59" t="str">
        <f>IF(AC1897=1,N(H1897)*N(IFERROR(INDEX(art_cost,MATCH(E1897,art_ref,0)),0)),"")</f>
        <v/>
      </c>
      <c r="AB1897" s="58" t="str">
        <f>IF(COUNTA(A1897:I1897)=0,"",IF(N(A1897)&lt;=0,"Date manquante ou invalide",IF(B1897="","Équipe manquante",IF(ISNA(MATCH(B1897,eq_code,0)),"Équipe inconnue",IF(INDEX(eq_check,MATCH(B1897,eq_code,0))&lt;&gt;"OK","Équipe à corriger dans Paramètres",IF(C1897="","Poste manquant",IF(ISNA(MATCH(C1897,po_code,0)),"Poste inconnu",IF(AND(E1897&lt;&gt;"",ISNA(MATCH(E1897,art_ref,0))),"Article inconnu",IF(IF(E1897="",FALSE,INDEX(art_check,MATCH(E1897,art_ref,0))&lt;&gt;"OK"),"Article à corriger (feuille Articles)",IF(COUNTIFS(sj_date,A1897,sj_eq,B1897,sj_po,C1897)&gt;1,"Ligne en double (même jour, équipe et poste)",IF(OR(NOT(ISNUMBER(K1897)),N(K1897)&lt;=0,N(K1897)&gt;1440),"Temps d'ouverture invalide",IF(OR(AND(G1897&lt;&gt;"",NOT(ISNUMBER(G1897))),N(G1897)&lt;0,N(G1897)&lt;&gt;INT(N(G1897)),AND(H1897&lt;&gt;"",NOT(ISNUMBER(H1897))),N(H1897)&lt;0,N(H1897)&lt;&gt;INT(N(H1897)),AND(I1897&lt;&gt;"",NOT(ISNUMBER(I1897))),N(I1897)&lt;0,N(I1897)&lt;&gt;INT(N(I1897))),"Quantité invalide",IF(Q1897&lt;=0,"Cadence manquante (poste ou article)",IF(M1897&lt;=0,"Arrêts planifiés supérieurs au temps d'ouverture",IF(O1897&lt;0,"Arrêts supérieurs au temps requis",IF(AND(P1897&gt;0,O1897=0),"Pièces déclarées sans temps de marche",IF(AND(P1897=0,O1897&gt;0),"Aucune pièce déclarée",IF(P1897*60/Q1897&gt;O1897+0.001,"Cadence dépassée : vérifiez la cadence","OK"))))))))))))))))))</f>
        <v/>
      </c>
      <c r="AC1897">
        <f>IF(OR(AB1897="OK",AB1897="Aucune pièce déclarée",AB1897="Cadence dépassée : vérifiez la cadence"),1,0)</f>
        <v>0.0</v>
      </c>
      <c r="AD1897">
        <f>IF(AND(AC1897=1,A1897&gt;=p_from,A1897&lt;=p_to),1,0)</f>
        <v>0.0</v>
      </c>
      <c r="AE1897">
        <f>IF(AD1897=1,IF(COUNTIFS($A$6:A1897,A1897,$AD$6:AD1897,1)=1,1,0),0)</f>
        <v>0.0</v>
      </c>
      <c r="AF1897" t="str">
        <f>IF(AE1897=1,COUNTIFS(sj_first,1,sj_date,"&lt;"&amp;A1897)+1,"")</f>
        <v/>
      </c>
      <c r="AG1897" t="str">
        <f>IF(AND(AD1897=1,N(W1897)&lt;p_alert),ROUND(W1897,4),"")</f>
        <v/>
      </c>
      <c r="AH1897" t="str">
        <f>IF(AG1897="","",COUNTIF(sj_akey,"&lt;"&amp;AG1897)+COUNTIF($AG$6:AG1897,AG1897))</f>
        <v/>
      </c>
    </row>
    <row r="1898">
      <c r="A1898" s="51" t="n"/>
      <c r="B1898" s="52" t="n"/>
      <c r="C1898" s="52" t="n"/>
      <c r="D1898" s="53" t="n"/>
      <c r="E1898" s="53" t="n"/>
      <c r="F1898" s="54" t="n"/>
      <c r="G1898" s="54" t="n"/>
      <c r="H1898" s="54" t="n"/>
      <c r="I1898" s="54" t="n"/>
      <c r="J1898" s="53" t="n"/>
      <c r="K1898" s="55" t="str">
        <f>IF(COUNTA(A1898:I1898)=0,"",IF(F1898="",IFERROR(INDEX(eq_dur,MATCH(B1898,eq_code,0)),""),F1898))</f>
        <v/>
      </c>
      <c r="L1898" s="55" t="str">
        <f>IF(ISNUMBER(K1898),N(IFERROR(INDEX(eq_pause,MATCH(B1898,eq_code,0)),0))+SUMIFS(st_min,st_date,A1898,st_eq,B1898,st_po,C1898,st_type,"Planifié"),"")</f>
        <v/>
      </c>
      <c r="M1898" s="55" t="str">
        <f>IF(ISNUMBER(K1898),K1898-L1898,"")</f>
        <v/>
      </c>
      <c r="N1898" s="55" t="str">
        <f>IF(ISNUMBER(K1898),SUMIFS(st_min,st_date,A1898,st_eq,B1898,st_po,C1898,st_type,"Non planifié"),"")</f>
        <v/>
      </c>
      <c r="O1898" s="55" t="str">
        <f>IF(ISNUMBER(K1898),M1898-N1898,"")</f>
        <v/>
      </c>
      <c r="P1898" s="55" t="str">
        <f>IF(COUNTA(A1898:I1898)=0,"",N(G1898)+N(H1898)+N(I1898))</f>
        <v/>
      </c>
      <c r="Q1898" s="56" t="str">
        <f>IF(COUNTA(A1898:I1898)=0,"",IF(N(IFERROR(INDEX(art_rate,MATCH(E1898,art_ref,0)),0))&gt;0,N(IFERROR(INDEX(art_rate,MATCH(E1898,art_ref,0)),0)),N(IFERROR(INDEX(po_rate,MATCH(C1898,po_code,0)),0))))</f>
        <v/>
      </c>
      <c r="R1898" s="55" t="str">
        <f>IF(AC1898=1,P1898*60/Q1898,"")</f>
        <v/>
      </c>
      <c r="S1898" s="55" t="str">
        <f>IF(AC1898=1,N(G1898)*60/Q1898,"")</f>
        <v/>
      </c>
      <c r="T1898" s="57" t="str">
        <f>IF(AC1898=1,O1898/M1898,"")</f>
        <v/>
      </c>
      <c r="U1898" s="57" t="str">
        <f>IF(AC1898=1,IF(O1898&gt;0,R1898/O1898,""),"")</f>
        <v/>
      </c>
      <c r="V1898" s="57" t="str">
        <f>IF(AC1898=1,IF(P1898&gt;0,N(G1898)/P1898,""),"")</f>
        <v/>
      </c>
      <c r="W1898" s="57" t="str">
        <f>IF(AC1898=1,S1898/M1898,"")</f>
        <v/>
      </c>
      <c r="X1898" s="57" t="str">
        <f>IF(AC1898=1,S1898/K1898,"")</f>
        <v/>
      </c>
      <c r="Y1898" s="58" t="str">
        <f>IF(W1898="","",IF(W1898&gt;=p_target,"Bon",IF(W1898&gt;=p_alert,"À surveiller","Faible")))</f>
        <v/>
      </c>
      <c r="Z1898" s="58" t="str">
        <f>IF(W1898="","",IF(MIN(IF(T1898="",1,T1898),IF(U1898="",1,U1898),IF(V1898="",1,V1898))&gt;=1,"Aucune",IF(IF(T1898="",1,T1898)&lt;=MIN(IF(U1898="",1,U1898),IF(V1898="",1,V1898)),"Disponibilité",IF(IF(U1898="",1,U1898)&lt;=IF(V1898="",1,V1898),"Performance","Qualité"))))</f>
        <v/>
      </c>
      <c r="AA1898" s="59" t="str">
        <f>IF(AC1898=1,N(H1898)*N(IFERROR(INDEX(art_cost,MATCH(E1898,art_ref,0)),0)),"")</f>
        <v/>
      </c>
      <c r="AB1898" s="58" t="str">
        <f>IF(COUNTA(A1898:I1898)=0,"",IF(N(A1898)&lt;=0,"Date manquante ou invalide",IF(B1898="","Équipe manquante",IF(ISNA(MATCH(B1898,eq_code,0)),"Équipe inconnue",IF(INDEX(eq_check,MATCH(B1898,eq_code,0))&lt;&gt;"OK","Équipe à corriger dans Paramètres",IF(C1898="","Poste manquant",IF(ISNA(MATCH(C1898,po_code,0)),"Poste inconnu",IF(AND(E1898&lt;&gt;"",ISNA(MATCH(E1898,art_ref,0))),"Article inconnu",IF(IF(E1898="",FALSE,INDEX(art_check,MATCH(E1898,art_ref,0))&lt;&gt;"OK"),"Article à corriger (feuille Articles)",IF(COUNTIFS(sj_date,A1898,sj_eq,B1898,sj_po,C1898)&gt;1,"Ligne en double (même jour, équipe et poste)",IF(OR(NOT(ISNUMBER(K1898)),N(K1898)&lt;=0,N(K1898)&gt;1440),"Temps d'ouverture invalide",IF(OR(AND(G1898&lt;&gt;"",NOT(ISNUMBER(G1898))),N(G1898)&lt;0,N(G1898)&lt;&gt;INT(N(G1898)),AND(H1898&lt;&gt;"",NOT(ISNUMBER(H1898))),N(H1898)&lt;0,N(H1898)&lt;&gt;INT(N(H1898)),AND(I1898&lt;&gt;"",NOT(ISNUMBER(I1898))),N(I1898)&lt;0,N(I1898)&lt;&gt;INT(N(I1898))),"Quantité invalide",IF(Q1898&lt;=0,"Cadence manquante (poste ou article)",IF(M1898&lt;=0,"Arrêts planifiés supérieurs au temps d'ouverture",IF(O1898&lt;0,"Arrêts supérieurs au temps requis",IF(AND(P1898&gt;0,O1898=0),"Pièces déclarées sans temps de marche",IF(AND(P1898=0,O1898&gt;0),"Aucune pièce déclarée",IF(P1898*60/Q1898&gt;O1898+0.001,"Cadence dépassée : vérifiez la cadence","OK"))))))))))))))))))</f>
        <v/>
      </c>
      <c r="AC1898">
        <f>IF(OR(AB1898="OK",AB1898="Aucune pièce déclarée",AB1898="Cadence dépassée : vérifiez la cadence"),1,0)</f>
        <v>0.0</v>
      </c>
      <c r="AD1898">
        <f>IF(AND(AC1898=1,A1898&gt;=p_from,A1898&lt;=p_to),1,0)</f>
        <v>0.0</v>
      </c>
      <c r="AE1898">
        <f>IF(AD1898=1,IF(COUNTIFS($A$6:A1898,A1898,$AD$6:AD1898,1)=1,1,0),0)</f>
        <v>0.0</v>
      </c>
      <c r="AF1898" t="str">
        <f>IF(AE1898=1,COUNTIFS(sj_first,1,sj_date,"&lt;"&amp;A1898)+1,"")</f>
        <v/>
      </c>
      <c r="AG1898" t="str">
        <f>IF(AND(AD1898=1,N(W1898)&lt;p_alert),ROUND(W1898,4),"")</f>
        <v/>
      </c>
      <c r="AH1898" t="str">
        <f>IF(AG1898="","",COUNTIF(sj_akey,"&lt;"&amp;AG1898)+COUNTIF($AG$6:AG1898,AG1898))</f>
        <v/>
      </c>
    </row>
    <row r="1899">
      <c r="A1899" s="51" t="n"/>
      <c r="B1899" s="52" t="n"/>
      <c r="C1899" s="52" t="n"/>
      <c r="D1899" s="53" t="n"/>
      <c r="E1899" s="53" t="n"/>
      <c r="F1899" s="54" t="n"/>
      <c r="G1899" s="54" t="n"/>
      <c r="H1899" s="54" t="n"/>
      <c r="I1899" s="54" t="n"/>
      <c r="J1899" s="53" t="n"/>
      <c r="K1899" s="55" t="str">
        <f>IF(COUNTA(A1899:I1899)=0,"",IF(F1899="",IFERROR(INDEX(eq_dur,MATCH(B1899,eq_code,0)),""),F1899))</f>
        <v/>
      </c>
      <c r="L1899" s="55" t="str">
        <f>IF(ISNUMBER(K1899),N(IFERROR(INDEX(eq_pause,MATCH(B1899,eq_code,0)),0))+SUMIFS(st_min,st_date,A1899,st_eq,B1899,st_po,C1899,st_type,"Planifié"),"")</f>
        <v/>
      </c>
      <c r="M1899" s="55" t="str">
        <f>IF(ISNUMBER(K1899),K1899-L1899,"")</f>
        <v/>
      </c>
      <c r="N1899" s="55" t="str">
        <f>IF(ISNUMBER(K1899),SUMIFS(st_min,st_date,A1899,st_eq,B1899,st_po,C1899,st_type,"Non planifié"),"")</f>
        <v/>
      </c>
      <c r="O1899" s="55" t="str">
        <f>IF(ISNUMBER(K1899),M1899-N1899,"")</f>
        <v/>
      </c>
      <c r="P1899" s="55" t="str">
        <f>IF(COUNTA(A1899:I1899)=0,"",N(G1899)+N(H1899)+N(I1899))</f>
        <v/>
      </c>
      <c r="Q1899" s="56" t="str">
        <f>IF(COUNTA(A1899:I1899)=0,"",IF(N(IFERROR(INDEX(art_rate,MATCH(E1899,art_ref,0)),0))&gt;0,N(IFERROR(INDEX(art_rate,MATCH(E1899,art_ref,0)),0)),N(IFERROR(INDEX(po_rate,MATCH(C1899,po_code,0)),0))))</f>
        <v/>
      </c>
      <c r="R1899" s="55" t="str">
        <f>IF(AC1899=1,P1899*60/Q1899,"")</f>
        <v/>
      </c>
      <c r="S1899" s="55" t="str">
        <f>IF(AC1899=1,N(G1899)*60/Q1899,"")</f>
        <v/>
      </c>
      <c r="T1899" s="57" t="str">
        <f>IF(AC1899=1,O1899/M1899,"")</f>
        <v/>
      </c>
      <c r="U1899" s="57" t="str">
        <f>IF(AC1899=1,IF(O1899&gt;0,R1899/O1899,""),"")</f>
        <v/>
      </c>
      <c r="V1899" s="57" t="str">
        <f>IF(AC1899=1,IF(P1899&gt;0,N(G1899)/P1899,""),"")</f>
        <v/>
      </c>
      <c r="W1899" s="57" t="str">
        <f>IF(AC1899=1,S1899/M1899,"")</f>
        <v/>
      </c>
      <c r="X1899" s="57" t="str">
        <f>IF(AC1899=1,S1899/K1899,"")</f>
        <v/>
      </c>
      <c r="Y1899" s="58" t="str">
        <f>IF(W1899="","",IF(W1899&gt;=p_target,"Bon",IF(W1899&gt;=p_alert,"À surveiller","Faible")))</f>
        <v/>
      </c>
      <c r="Z1899" s="58" t="str">
        <f>IF(W1899="","",IF(MIN(IF(T1899="",1,T1899),IF(U1899="",1,U1899),IF(V1899="",1,V1899))&gt;=1,"Aucune",IF(IF(T1899="",1,T1899)&lt;=MIN(IF(U1899="",1,U1899),IF(V1899="",1,V1899)),"Disponibilité",IF(IF(U1899="",1,U1899)&lt;=IF(V1899="",1,V1899),"Performance","Qualité"))))</f>
        <v/>
      </c>
      <c r="AA1899" s="59" t="str">
        <f>IF(AC1899=1,N(H1899)*N(IFERROR(INDEX(art_cost,MATCH(E1899,art_ref,0)),0)),"")</f>
        <v/>
      </c>
      <c r="AB1899" s="58" t="str">
        <f>IF(COUNTA(A1899:I1899)=0,"",IF(N(A1899)&lt;=0,"Date manquante ou invalide",IF(B1899="","Équipe manquante",IF(ISNA(MATCH(B1899,eq_code,0)),"Équipe inconnue",IF(INDEX(eq_check,MATCH(B1899,eq_code,0))&lt;&gt;"OK","Équipe à corriger dans Paramètres",IF(C1899="","Poste manquant",IF(ISNA(MATCH(C1899,po_code,0)),"Poste inconnu",IF(AND(E1899&lt;&gt;"",ISNA(MATCH(E1899,art_ref,0))),"Article inconnu",IF(IF(E1899="",FALSE,INDEX(art_check,MATCH(E1899,art_ref,0))&lt;&gt;"OK"),"Article à corriger (feuille Articles)",IF(COUNTIFS(sj_date,A1899,sj_eq,B1899,sj_po,C1899)&gt;1,"Ligne en double (même jour, équipe et poste)",IF(OR(NOT(ISNUMBER(K1899)),N(K1899)&lt;=0,N(K1899)&gt;1440),"Temps d'ouverture invalide",IF(OR(AND(G1899&lt;&gt;"",NOT(ISNUMBER(G1899))),N(G1899)&lt;0,N(G1899)&lt;&gt;INT(N(G1899)),AND(H1899&lt;&gt;"",NOT(ISNUMBER(H1899))),N(H1899)&lt;0,N(H1899)&lt;&gt;INT(N(H1899)),AND(I1899&lt;&gt;"",NOT(ISNUMBER(I1899))),N(I1899)&lt;0,N(I1899)&lt;&gt;INT(N(I1899))),"Quantité invalide",IF(Q1899&lt;=0,"Cadence manquante (poste ou article)",IF(M1899&lt;=0,"Arrêts planifiés supérieurs au temps d'ouverture",IF(O1899&lt;0,"Arrêts supérieurs au temps requis",IF(AND(P1899&gt;0,O1899=0),"Pièces déclarées sans temps de marche",IF(AND(P1899=0,O1899&gt;0),"Aucune pièce déclarée",IF(P1899*60/Q1899&gt;O1899+0.001,"Cadence dépassée : vérifiez la cadence","OK"))))))))))))))))))</f>
        <v/>
      </c>
      <c r="AC1899">
        <f>IF(OR(AB1899="OK",AB1899="Aucune pièce déclarée",AB1899="Cadence dépassée : vérifiez la cadence"),1,0)</f>
        <v>0.0</v>
      </c>
      <c r="AD1899">
        <f>IF(AND(AC1899=1,A1899&gt;=p_from,A1899&lt;=p_to),1,0)</f>
        <v>0.0</v>
      </c>
      <c r="AE1899">
        <f>IF(AD1899=1,IF(COUNTIFS($A$6:A1899,A1899,$AD$6:AD1899,1)=1,1,0),0)</f>
        <v>0.0</v>
      </c>
      <c r="AF1899" t="str">
        <f>IF(AE1899=1,COUNTIFS(sj_first,1,sj_date,"&lt;"&amp;A1899)+1,"")</f>
        <v/>
      </c>
      <c r="AG1899" t="str">
        <f>IF(AND(AD1899=1,N(W1899)&lt;p_alert),ROUND(W1899,4),"")</f>
        <v/>
      </c>
      <c r="AH1899" t="str">
        <f>IF(AG1899="","",COUNTIF(sj_akey,"&lt;"&amp;AG1899)+COUNTIF($AG$6:AG1899,AG1899))</f>
        <v/>
      </c>
    </row>
    <row r="1900">
      <c r="A1900" s="51" t="n"/>
      <c r="B1900" s="52" t="n"/>
      <c r="C1900" s="52" t="n"/>
      <c r="D1900" s="53" t="n"/>
      <c r="E1900" s="53" t="n"/>
      <c r="F1900" s="54" t="n"/>
      <c r="G1900" s="54" t="n"/>
      <c r="H1900" s="54" t="n"/>
      <c r="I1900" s="54" t="n"/>
      <c r="J1900" s="53" t="n"/>
      <c r="K1900" s="55" t="str">
        <f>IF(COUNTA(A1900:I1900)=0,"",IF(F1900="",IFERROR(INDEX(eq_dur,MATCH(B1900,eq_code,0)),""),F1900))</f>
        <v/>
      </c>
      <c r="L1900" s="55" t="str">
        <f>IF(ISNUMBER(K1900),N(IFERROR(INDEX(eq_pause,MATCH(B1900,eq_code,0)),0))+SUMIFS(st_min,st_date,A1900,st_eq,B1900,st_po,C1900,st_type,"Planifié"),"")</f>
        <v/>
      </c>
      <c r="M1900" s="55" t="str">
        <f>IF(ISNUMBER(K1900),K1900-L1900,"")</f>
        <v/>
      </c>
      <c r="N1900" s="55" t="str">
        <f>IF(ISNUMBER(K1900),SUMIFS(st_min,st_date,A1900,st_eq,B1900,st_po,C1900,st_type,"Non planifié"),"")</f>
        <v/>
      </c>
      <c r="O1900" s="55" t="str">
        <f>IF(ISNUMBER(K1900),M1900-N1900,"")</f>
        <v/>
      </c>
      <c r="P1900" s="55" t="str">
        <f>IF(COUNTA(A1900:I1900)=0,"",N(G1900)+N(H1900)+N(I1900))</f>
        <v/>
      </c>
      <c r="Q1900" s="56" t="str">
        <f>IF(COUNTA(A1900:I1900)=0,"",IF(N(IFERROR(INDEX(art_rate,MATCH(E1900,art_ref,0)),0))&gt;0,N(IFERROR(INDEX(art_rate,MATCH(E1900,art_ref,0)),0)),N(IFERROR(INDEX(po_rate,MATCH(C1900,po_code,0)),0))))</f>
        <v/>
      </c>
      <c r="R1900" s="55" t="str">
        <f>IF(AC1900=1,P1900*60/Q1900,"")</f>
        <v/>
      </c>
      <c r="S1900" s="55" t="str">
        <f>IF(AC1900=1,N(G1900)*60/Q1900,"")</f>
        <v/>
      </c>
      <c r="T1900" s="57" t="str">
        <f>IF(AC1900=1,O1900/M1900,"")</f>
        <v/>
      </c>
      <c r="U1900" s="57" t="str">
        <f>IF(AC1900=1,IF(O1900&gt;0,R1900/O1900,""),"")</f>
        <v/>
      </c>
      <c r="V1900" s="57" t="str">
        <f>IF(AC1900=1,IF(P1900&gt;0,N(G1900)/P1900,""),"")</f>
        <v/>
      </c>
      <c r="W1900" s="57" t="str">
        <f>IF(AC1900=1,S1900/M1900,"")</f>
        <v/>
      </c>
      <c r="X1900" s="57" t="str">
        <f>IF(AC1900=1,S1900/K1900,"")</f>
        <v/>
      </c>
      <c r="Y1900" s="58" t="str">
        <f>IF(W1900="","",IF(W1900&gt;=p_target,"Bon",IF(W1900&gt;=p_alert,"À surveiller","Faible")))</f>
        <v/>
      </c>
      <c r="Z1900" s="58" t="str">
        <f>IF(W1900="","",IF(MIN(IF(T1900="",1,T1900),IF(U1900="",1,U1900),IF(V1900="",1,V1900))&gt;=1,"Aucune",IF(IF(T1900="",1,T1900)&lt;=MIN(IF(U1900="",1,U1900),IF(V1900="",1,V1900)),"Disponibilité",IF(IF(U1900="",1,U1900)&lt;=IF(V1900="",1,V1900),"Performance","Qualité"))))</f>
        <v/>
      </c>
      <c r="AA1900" s="59" t="str">
        <f>IF(AC1900=1,N(H1900)*N(IFERROR(INDEX(art_cost,MATCH(E1900,art_ref,0)),0)),"")</f>
        <v/>
      </c>
      <c r="AB1900" s="58" t="str">
        <f>IF(COUNTA(A1900:I1900)=0,"",IF(N(A1900)&lt;=0,"Date manquante ou invalide",IF(B1900="","Équipe manquante",IF(ISNA(MATCH(B1900,eq_code,0)),"Équipe inconnue",IF(INDEX(eq_check,MATCH(B1900,eq_code,0))&lt;&gt;"OK","Équipe à corriger dans Paramètres",IF(C1900="","Poste manquant",IF(ISNA(MATCH(C1900,po_code,0)),"Poste inconnu",IF(AND(E1900&lt;&gt;"",ISNA(MATCH(E1900,art_ref,0))),"Article inconnu",IF(IF(E1900="",FALSE,INDEX(art_check,MATCH(E1900,art_ref,0))&lt;&gt;"OK"),"Article à corriger (feuille Articles)",IF(COUNTIFS(sj_date,A1900,sj_eq,B1900,sj_po,C1900)&gt;1,"Ligne en double (même jour, équipe et poste)",IF(OR(NOT(ISNUMBER(K1900)),N(K1900)&lt;=0,N(K1900)&gt;1440),"Temps d'ouverture invalide",IF(OR(AND(G1900&lt;&gt;"",NOT(ISNUMBER(G1900))),N(G1900)&lt;0,N(G1900)&lt;&gt;INT(N(G1900)),AND(H1900&lt;&gt;"",NOT(ISNUMBER(H1900))),N(H1900)&lt;0,N(H1900)&lt;&gt;INT(N(H1900)),AND(I1900&lt;&gt;"",NOT(ISNUMBER(I1900))),N(I1900)&lt;0,N(I1900)&lt;&gt;INT(N(I1900))),"Quantité invalide",IF(Q1900&lt;=0,"Cadence manquante (poste ou article)",IF(M1900&lt;=0,"Arrêts planifiés supérieurs au temps d'ouverture",IF(O1900&lt;0,"Arrêts supérieurs au temps requis",IF(AND(P1900&gt;0,O1900=0),"Pièces déclarées sans temps de marche",IF(AND(P1900=0,O1900&gt;0),"Aucune pièce déclarée",IF(P1900*60/Q1900&gt;O1900+0.001,"Cadence dépassée : vérifiez la cadence","OK"))))))))))))))))))</f>
        <v/>
      </c>
      <c r="AC1900">
        <f>IF(OR(AB1900="OK",AB1900="Aucune pièce déclarée",AB1900="Cadence dépassée : vérifiez la cadence"),1,0)</f>
        <v>0.0</v>
      </c>
      <c r="AD1900">
        <f>IF(AND(AC1900=1,A1900&gt;=p_from,A1900&lt;=p_to),1,0)</f>
        <v>0.0</v>
      </c>
      <c r="AE1900">
        <f>IF(AD1900=1,IF(COUNTIFS($A$6:A1900,A1900,$AD$6:AD1900,1)=1,1,0),0)</f>
        <v>0.0</v>
      </c>
      <c r="AF1900" t="str">
        <f>IF(AE1900=1,COUNTIFS(sj_first,1,sj_date,"&lt;"&amp;A1900)+1,"")</f>
        <v/>
      </c>
      <c r="AG1900" t="str">
        <f>IF(AND(AD1900=1,N(W1900)&lt;p_alert),ROUND(W1900,4),"")</f>
        <v/>
      </c>
      <c r="AH1900" t="str">
        <f>IF(AG1900="","",COUNTIF(sj_akey,"&lt;"&amp;AG1900)+COUNTIF($AG$6:AG1900,AG1900))</f>
        <v/>
      </c>
    </row>
    <row r="1901">
      <c r="A1901" s="51" t="n"/>
      <c r="B1901" s="52" t="n"/>
      <c r="C1901" s="52" t="n"/>
      <c r="D1901" s="53" t="n"/>
      <c r="E1901" s="53" t="n"/>
      <c r="F1901" s="54" t="n"/>
      <c r="G1901" s="54" t="n"/>
      <c r="H1901" s="54" t="n"/>
      <c r="I1901" s="54" t="n"/>
      <c r="J1901" s="53" t="n"/>
      <c r="K1901" s="55" t="str">
        <f>IF(COUNTA(A1901:I1901)=0,"",IF(F1901="",IFERROR(INDEX(eq_dur,MATCH(B1901,eq_code,0)),""),F1901))</f>
        <v/>
      </c>
      <c r="L1901" s="55" t="str">
        <f>IF(ISNUMBER(K1901),N(IFERROR(INDEX(eq_pause,MATCH(B1901,eq_code,0)),0))+SUMIFS(st_min,st_date,A1901,st_eq,B1901,st_po,C1901,st_type,"Planifié"),"")</f>
        <v/>
      </c>
      <c r="M1901" s="55" t="str">
        <f>IF(ISNUMBER(K1901),K1901-L1901,"")</f>
        <v/>
      </c>
      <c r="N1901" s="55" t="str">
        <f>IF(ISNUMBER(K1901),SUMIFS(st_min,st_date,A1901,st_eq,B1901,st_po,C1901,st_type,"Non planifié"),"")</f>
        <v/>
      </c>
      <c r="O1901" s="55" t="str">
        <f>IF(ISNUMBER(K1901),M1901-N1901,"")</f>
        <v/>
      </c>
      <c r="P1901" s="55" t="str">
        <f>IF(COUNTA(A1901:I1901)=0,"",N(G1901)+N(H1901)+N(I1901))</f>
        <v/>
      </c>
      <c r="Q1901" s="56" t="str">
        <f>IF(COUNTA(A1901:I1901)=0,"",IF(N(IFERROR(INDEX(art_rate,MATCH(E1901,art_ref,0)),0))&gt;0,N(IFERROR(INDEX(art_rate,MATCH(E1901,art_ref,0)),0)),N(IFERROR(INDEX(po_rate,MATCH(C1901,po_code,0)),0))))</f>
        <v/>
      </c>
      <c r="R1901" s="55" t="str">
        <f>IF(AC1901=1,P1901*60/Q1901,"")</f>
        <v/>
      </c>
      <c r="S1901" s="55" t="str">
        <f>IF(AC1901=1,N(G1901)*60/Q1901,"")</f>
        <v/>
      </c>
      <c r="T1901" s="57" t="str">
        <f>IF(AC1901=1,O1901/M1901,"")</f>
        <v/>
      </c>
      <c r="U1901" s="57" t="str">
        <f>IF(AC1901=1,IF(O1901&gt;0,R1901/O1901,""),"")</f>
        <v/>
      </c>
      <c r="V1901" s="57" t="str">
        <f>IF(AC1901=1,IF(P1901&gt;0,N(G1901)/P1901,""),"")</f>
        <v/>
      </c>
      <c r="W1901" s="57" t="str">
        <f>IF(AC1901=1,S1901/M1901,"")</f>
        <v/>
      </c>
      <c r="X1901" s="57" t="str">
        <f>IF(AC1901=1,S1901/K1901,"")</f>
        <v/>
      </c>
      <c r="Y1901" s="58" t="str">
        <f>IF(W1901="","",IF(W1901&gt;=p_target,"Bon",IF(W1901&gt;=p_alert,"À surveiller","Faible")))</f>
        <v/>
      </c>
      <c r="Z1901" s="58" t="str">
        <f>IF(W1901="","",IF(MIN(IF(T1901="",1,T1901),IF(U1901="",1,U1901),IF(V1901="",1,V1901))&gt;=1,"Aucune",IF(IF(T1901="",1,T1901)&lt;=MIN(IF(U1901="",1,U1901),IF(V1901="",1,V1901)),"Disponibilité",IF(IF(U1901="",1,U1901)&lt;=IF(V1901="",1,V1901),"Performance","Qualité"))))</f>
        <v/>
      </c>
      <c r="AA1901" s="59" t="str">
        <f>IF(AC1901=1,N(H1901)*N(IFERROR(INDEX(art_cost,MATCH(E1901,art_ref,0)),0)),"")</f>
        <v/>
      </c>
      <c r="AB1901" s="58" t="str">
        <f>IF(COUNTA(A1901:I1901)=0,"",IF(N(A1901)&lt;=0,"Date manquante ou invalide",IF(B1901="","Équipe manquante",IF(ISNA(MATCH(B1901,eq_code,0)),"Équipe inconnue",IF(INDEX(eq_check,MATCH(B1901,eq_code,0))&lt;&gt;"OK","Équipe à corriger dans Paramètres",IF(C1901="","Poste manquant",IF(ISNA(MATCH(C1901,po_code,0)),"Poste inconnu",IF(AND(E1901&lt;&gt;"",ISNA(MATCH(E1901,art_ref,0))),"Article inconnu",IF(IF(E1901="",FALSE,INDEX(art_check,MATCH(E1901,art_ref,0))&lt;&gt;"OK"),"Article à corriger (feuille Articles)",IF(COUNTIFS(sj_date,A1901,sj_eq,B1901,sj_po,C1901)&gt;1,"Ligne en double (même jour, équipe et poste)",IF(OR(NOT(ISNUMBER(K1901)),N(K1901)&lt;=0,N(K1901)&gt;1440),"Temps d'ouverture invalide",IF(OR(AND(G1901&lt;&gt;"",NOT(ISNUMBER(G1901))),N(G1901)&lt;0,N(G1901)&lt;&gt;INT(N(G1901)),AND(H1901&lt;&gt;"",NOT(ISNUMBER(H1901))),N(H1901)&lt;0,N(H1901)&lt;&gt;INT(N(H1901)),AND(I1901&lt;&gt;"",NOT(ISNUMBER(I1901))),N(I1901)&lt;0,N(I1901)&lt;&gt;INT(N(I1901))),"Quantité invalide",IF(Q1901&lt;=0,"Cadence manquante (poste ou article)",IF(M1901&lt;=0,"Arrêts planifiés supérieurs au temps d'ouverture",IF(O1901&lt;0,"Arrêts supérieurs au temps requis",IF(AND(P1901&gt;0,O1901=0),"Pièces déclarées sans temps de marche",IF(AND(P1901=0,O1901&gt;0),"Aucune pièce déclarée",IF(P1901*60/Q1901&gt;O1901+0.001,"Cadence dépassée : vérifiez la cadence","OK"))))))))))))))))))</f>
        <v/>
      </c>
      <c r="AC1901">
        <f>IF(OR(AB1901="OK",AB1901="Aucune pièce déclarée",AB1901="Cadence dépassée : vérifiez la cadence"),1,0)</f>
        <v>0.0</v>
      </c>
      <c r="AD1901">
        <f>IF(AND(AC1901=1,A1901&gt;=p_from,A1901&lt;=p_to),1,0)</f>
        <v>0.0</v>
      </c>
      <c r="AE1901">
        <f>IF(AD1901=1,IF(COUNTIFS($A$6:A1901,A1901,$AD$6:AD1901,1)=1,1,0),0)</f>
        <v>0.0</v>
      </c>
      <c r="AF1901" t="str">
        <f>IF(AE1901=1,COUNTIFS(sj_first,1,sj_date,"&lt;"&amp;A1901)+1,"")</f>
        <v/>
      </c>
      <c r="AG1901" t="str">
        <f>IF(AND(AD1901=1,N(W1901)&lt;p_alert),ROUND(W1901,4),"")</f>
        <v/>
      </c>
      <c r="AH1901" t="str">
        <f>IF(AG1901="","",COUNTIF(sj_akey,"&lt;"&amp;AG1901)+COUNTIF($AG$6:AG1901,AG1901))</f>
        <v/>
      </c>
    </row>
    <row r="1902">
      <c r="A1902" s="51" t="n"/>
      <c r="B1902" s="52" t="n"/>
      <c r="C1902" s="52" t="n"/>
      <c r="D1902" s="53" t="n"/>
      <c r="E1902" s="53" t="n"/>
      <c r="F1902" s="54" t="n"/>
      <c r="G1902" s="54" t="n"/>
      <c r="H1902" s="54" t="n"/>
      <c r="I1902" s="54" t="n"/>
      <c r="J1902" s="53" t="n"/>
      <c r="K1902" s="55" t="str">
        <f>IF(COUNTA(A1902:I1902)=0,"",IF(F1902="",IFERROR(INDEX(eq_dur,MATCH(B1902,eq_code,0)),""),F1902))</f>
        <v/>
      </c>
      <c r="L1902" s="55" t="str">
        <f>IF(ISNUMBER(K1902),N(IFERROR(INDEX(eq_pause,MATCH(B1902,eq_code,0)),0))+SUMIFS(st_min,st_date,A1902,st_eq,B1902,st_po,C1902,st_type,"Planifié"),"")</f>
        <v/>
      </c>
      <c r="M1902" s="55" t="str">
        <f>IF(ISNUMBER(K1902),K1902-L1902,"")</f>
        <v/>
      </c>
      <c r="N1902" s="55" t="str">
        <f>IF(ISNUMBER(K1902),SUMIFS(st_min,st_date,A1902,st_eq,B1902,st_po,C1902,st_type,"Non planifié"),"")</f>
        <v/>
      </c>
      <c r="O1902" s="55" t="str">
        <f>IF(ISNUMBER(K1902),M1902-N1902,"")</f>
        <v/>
      </c>
      <c r="P1902" s="55" t="str">
        <f>IF(COUNTA(A1902:I1902)=0,"",N(G1902)+N(H1902)+N(I1902))</f>
        <v/>
      </c>
      <c r="Q1902" s="56" t="str">
        <f>IF(COUNTA(A1902:I1902)=0,"",IF(N(IFERROR(INDEX(art_rate,MATCH(E1902,art_ref,0)),0))&gt;0,N(IFERROR(INDEX(art_rate,MATCH(E1902,art_ref,0)),0)),N(IFERROR(INDEX(po_rate,MATCH(C1902,po_code,0)),0))))</f>
        <v/>
      </c>
      <c r="R1902" s="55" t="str">
        <f>IF(AC1902=1,P1902*60/Q1902,"")</f>
        <v/>
      </c>
      <c r="S1902" s="55" t="str">
        <f>IF(AC1902=1,N(G1902)*60/Q1902,"")</f>
        <v/>
      </c>
      <c r="T1902" s="57" t="str">
        <f>IF(AC1902=1,O1902/M1902,"")</f>
        <v/>
      </c>
      <c r="U1902" s="57" t="str">
        <f>IF(AC1902=1,IF(O1902&gt;0,R1902/O1902,""),"")</f>
        <v/>
      </c>
      <c r="V1902" s="57" t="str">
        <f>IF(AC1902=1,IF(P1902&gt;0,N(G1902)/P1902,""),"")</f>
        <v/>
      </c>
      <c r="W1902" s="57" t="str">
        <f>IF(AC1902=1,S1902/M1902,"")</f>
        <v/>
      </c>
      <c r="X1902" s="57" t="str">
        <f>IF(AC1902=1,S1902/K1902,"")</f>
        <v/>
      </c>
      <c r="Y1902" s="58" t="str">
        <f>IF(W1902="","",IF(W1902&gt;=p_target,"Bon",IF(W1902&gt;=p_alert,"À surveiller","Faible")))</f>
        <v/>
      </c>
      <c r="Z1902" s="58" t="str">
        <f>IF(W1902="","",IF(MIN(IF(T1902="",1,T1902),IF(U1902="",1,U1902),IF(V1902="",1,V1902))&gt;=1,"Aucune",IF(IF(T1902="",1,T1902)&lt;=MIN(IF(U1902="",1,U1902),IF(V1902="",1,V1902)),"Disponibilité",IF(IF(U1902="",1,U1902)&lt;=IF(V1902="",1,V1902),"Performance","Qualité"))))</f>
        <v/>
      </c>
      <c r="AA1902" s="59" t="str">
        <f>IF(AC1902=1,N(H1902)*N(IFERROR(INDEX(art_cost,MATCH(E1902,art_ref,0)),0)),"")</f>
        <v/>
      </c>
      <c r="AB1902" s="58" t="str">
        <f>IF(COUNTA(A1902:I1902)=0,"",IF(N(A1902)&lt;=0,"Date manquante ou invalide",IF(B1902="","Équipe manquante",IF(ISNA(MATCH(B1902,eq_code,0)),"Équipe inconnue",IF(INDEX(eq_check,MATCH(B1902,eq_code,0))&lt;&gt;"OK","Équipe à corriger dans Paramètres",IF(C1902="","Poste manquant",IF(ISNA(MATCH(C1902,po_code,0)),"Poste inconnu",IF(AND(E1902&lt;&gt;"",ISNA(MATCH(E1902,art_ref,0))),"Article inconnu",IF(IF(E1902="",FALSE,INDEX(art_check,MATCH(E1902,art_ref,0))&lt;&gt;"OK"),"Article à corriger (feuille Articles)",IF(COUNTIFS(sj_date,A1902,sj_eq,B1902,sj_po,C1902)&gt;1,"Ligne en double (même jour, équipe et poste)",IF(OR(NOT(ISNUMBER(K1902)),N(K1902)&lt;=0,N(K1902)&gt;1440),"Temps d'ouverture invalide",IF(OR(AND(G1902&lt;&gt;"",NOT(ISNUMBER(G1902))),N(G1902)&lt;0,N(G1902)&lt;&gt;INT(N(G1902)),AND(H1902&lt;&gt;"",NOT(ISNUMBER(H1902))),N(H1902)&lt;0,N(H1902)&lt;&gt;INT(N(H1902)),AND(I1902&lt;&gt;"",NOT(ISNUMBER(I1902))),N(I1902)&lt;0,N(I1902)&lt;&gt;INT(N(I1902))),"Quantité invalide",IF(Q1902&lt;=0,"Cadence manquante (poste ou article)",IF(M1902&lt;=0,"Arrêts planifiés supérieurs au temps d'ouverture",IF(O1902&lt;0,"Arrêts supérieurs au temps requis",IF(AND(P1902&gt;0,O1902=0),"Pièces déclarées sans temps de marche",IF(AND(P1902=0,O1902&gt;0),"Aucune pièce déclarée",IF(P1902*60/Q1902&gt;O1902+0.001,"Cadence dépassée : vérifiez la cadence","OK"))))))))))))))))))</f>
        <v/>
      </c>
      <c r="AC1902">
        <f>IF(OR(AB1902="OK",AB1902="Aucune pièce déclarée",AB1902="Cadence dépassée : vérifiez la cadence"),1,0)</f>
        <v>0.0</v>
      </c>
      <c r="AD1902">
        <f>IF(AND(AC1902=1,A1902&gt;=p_from,A1902&lt;=p_to),1,0)</f>
        <v>0.0</v>
      </c>
      <c r="AE1902">
        <f>IF(AD1902=1,IF(COUNTIFS($A$6:A1902,A1902,$AD$6:AD1902,1)=1,1,0),0)</f>
        <v>0.0</v>
      </c>
      <c r="AF1902" t="str">
        <f>IF(AE1902=1,COUNTIFS(sj_first,1,sj_date,"&lt;"&amp;A1902)+1,"")</f>
        <v/>
      </c>
      <c r="AG1902" t="str">
        <f>IF(AND(AD1902=1,N(W1902)&lt;p_alert),ROUND(W1902,4),"")</f>
        <v/>
      </c>
      <c r="AH1902" t="str">
        <f>IF(AG1902="","",COUNTIF(sj_akey,"&lt;"&amp;AG1902)+COUNTIF($AG$6:AG1902,AG1902))</f>
        <v/>
      </c>
    </row>
    <row r="1903">
      <c r="A1903" s="51" t="n"/>
      <c r="B1903" s="52" t="n"/>
      <c r="C1903" s="52" t="n"/>
      <c r="D1903" s="53" t="n"/>
      <c r="E1903" s="53" t="n"/>
      <c r="F1903" s="54" t="n"/>
      <c r="G1903" s="54" t="n"/>
      <c r="H1903" s="54" t="n"/>
      <c r="I1903" s="54" t="n"/>
      <c r="J1903" s="53" t="n"/>
      <c r="K1903" s="55" t="str">
        <f>IF(COUNTA(A1903:I1903)=0,"",IF(F1903="",IFERROR(INDEX(eq_dur,MATCH(B1903,eq_code,0)),""),F1903))</f>
        <v/>
      </c>
      <c r="L1903" s="55" t="str">
        <f>IF(ISNUMBER(K1903),N(IFERROR(INDEX(eq_pause,MATCH(B1903,eq_code,0)),0))+SUMIFS(st_min,st_date,A1903,st_eq,B1903,st_po,C1903,st_type,"Planifié"),"")</f>
        <v/>
      </c>
      <c r="M1903" s="55" t="str">
        <f>IF(ISNUMBER(K1903),K1903-L1903,"")</f>
        <v/>
      </c>
      <c r="N1903" s="55" t="str">
        <f>IF(ISNUMBER(K1903),SUMIFS(st_min,st_date,A1903,st_eq,B1903,st_po,C1903,st_type,"Non planifié"),"")</f>
        <v/>
      </c>
      <c r="O1903" s="55" t="str">
        <f>IF(ISNUMBER(K1903),M1903-N1903,"")</f>
        <v/>
      </c>
      <c r="P1903" s="55" t="str">
        <f>IF(COUNTA(A1903:I1903)=0,"",N(G1903)+N(H1903)+N(I1903))</f>
        <v/>
      </c>
      <c r="Q1903" s="56" t="str">
        <f>IF(COUNTA(A1903:I1903)=0,"",IF(N(IFERROR(INDEX(art_rate,MATCH(E1903,art_ref,0)),0))&gt;0,N(IFERROR(INDEX(art_rate,MATCH(E1903,art_ref,0)),0)),N(IFERROR(INDEX(po_rate,MATCH(C1903,po_code,0)),0))))</f>
        <v/>
      </c>
      <c r="R1903" s="55" t="str">
        <f>IF(AC1903=1,P1903*60/Q1903,"")</f>
        <v/>
      </c>
      <c r="S1903" s="55" t="str">
        <f>IF(AC1903=1,N(G1903)*60/Q1903,"")</f>
        <v/>
      </c>
      <c r="T1903" s="57" t="str">
        <f>IF(AC1903=1,O1903/M1903,"")</f>
        <v/>
      </c>
      <c r="U1903" s="57" t="str">
        <f>IF(AC1903=1,IF(O1903&gt;0,R1903/O1903,""),"")</f>
        <v/>
      </c>
      <c r="V1903" s="57" t="str">
        <f>IF(AC1903=1,IF(P1903&gt;0,N(G1903)/P1903,""),"")</f>
        <v/>
      </c>
      <c r="W1903" s="57" t="str">
        <f>IF(AC1903=1,S1903/M1903,"")</f>
        <v/>
      </c>
      <c r="X1903" s="57" t="str">
        <f>IF(AC1903=1,S1903/K1903,"")</f>
        <v/>
      </c>
      <c r="Y1903" s="58" t="str">
        <f>IF(W1903="","",IF(W1903&gt;=p_target,"Bon",IF(W1903&gt;=p_alert,"À surveiller","Faible")))</f>
        <v/>
      </c>
      <c r="Z1903" s="58" t="str">
        <f>IF(W1903="","",IF(MIN(IF(T1903="",1,T1903),IF(U1903="",1,U1903),IF(V1903="",1,V1903))&gt;=1,"Aucune",IF(IF(T1903="",1,T1903)&lt;=MIN(IF(U1903="",1,U1903),IF(V1903="",1,V1903)),"Disponibilité",IF(IF(U1903="",1,U1903)&lt;=IF(V1903="",1,V1903),"Performance","Qualité"))))</f>
        <v/>
      </c>
      <c r="AA1903" s="59" t="str">
        <f>IF(AC1903=1,N(H1903)*N(IFERROR(INDEX(art_cost,MATCH(E1903,art_ref,0)),0)),"")</f>
        <v/>
      </c>
      <c r="AB1903" s="58" t="str">
        <f>IF(COUNTA(A1903:I1903)=0,"",IF(N(A1903)&lt;=0,"Date manquante ou invalide",IF(B1903="","Équipe manquante",IF(ISNA(MATCH(B1903,eq_code,0)),"Équipe inconnue",IF(INDEX(eq_check,MATCH(B1903,eq_code,0))&lt;&gt;"OK","Équipe à corriger dans Paramètres",IF(C1903="","Poste manquant",IF(ISNA(MATCH(C1903,po_code,0)),"Poste inconnu",IF(AND(E1903&lt;&gt;"",ISNA(MATCH(E1903,art_ref,0))),"Article inconnu",IF(IF(E1903="",FALSE,INDEX(art_check,MATCH(E1903,art_ref,0))&lt;&gt;"OK"),"Article à corriger (feuille Articles)",IF(COUNTIFS(sj_date,A1903,sj_eq,B1903,sj_po,C1903)&gt;1,"Ligne en double (même jour, équipe et poste)",IF(OR(NOT(ISNUMBER(K1903)),N(K1903)&lt;=0,N(K1903)&gt;1440),"Temps d'ouverture invalide",IF(OR(AND(G1903&lt;&gt;"",NOT(ISNUMBER(G1903))),N(G1903)&lt;0,N(G1903)&lt;&gt;INT(N(G1903)),AND(H1903&lt;&gt;"",NOT(ISNUMBER(H1903))),N(H1903)&lt;0,N(H1903)&lt;&gt;INT(N(H1903)),AND(I1903&lt;&gt;"",NOT(ISNUMBER(I1903))),N(I1903)&lt;0,N(I1903)&lt;&gt;INT(N(I1903))),"Quantité invalide",IF(Q1903&lt;=0,"Cadence manquante (poste ou article)",IF(M1903&lt;=0,"Arrêts planifiés supérieurs au temps d'ouverture",IF(O1903&lt;0,"Arrêts supérieurs au temps requis",IF(AND(P1903&gt;0,O1903=0),"Pièces déclarées sans temps de marche",IF(AND(P1903=0,O1903&gt;0),"Aucune pièce déclarée",IF(P1903*60/Q1903&gt;O1903+0.001,"Cadence dépassée : vérifiez la cadence","OK"))))))))))))))))))</f>
        <v/>
      </c>
      <c r="AC1903">
        <f>IF(OR(AB1903="OK",AB1903="Aucune pièce déclarée",AB1903="Cadence dépassée : vérifiez la cadence"),1,0)</f>
        <v>0.0</v>
      </c>
      <c r="AD1903">
        <f>IF(AND(AC1903=1,A1903&gt;=p_from,A1903&lt;=p_to),1,0)</f>
        <v>0.0</v>
      </c>
      <c r="AE1903">
        <f>IF(AD1903=1,IF(COUNTIFS($A$6:A1903,A1903,$AD$6:AD1903,1)=1,1,0),0)</f>
        <v>0.0</v>
      </c>
      <c r="AF1903" t="str">
        <f>IF(AE1903=1,COUNTIFS(sj_first,1,sj_date,"&lt;"&amp;A1903)+1,"")</f>
        <v/>
      </c>
      <c r="AG1903" t="str">
        <f>IF(AND(AD1903=1,N(W1903)&lt;p_alert),ROUND(W1903,4),"")</f>
        <v/>
      </c>
      <c r="AH1903" t="str">
        <f>IF(AG1903="","",COUNTIF(sj_akey,"&lt;"&amp;AG1903)+COUNTIF($AG$6:AG1903,AG1903))</f>
        <v/>
      </c>
    </row>
    <row r="1904">
      <c r="A1904" s="51" t="n"/>
      <c r="B1904" s="52" t="n"/>
      <c r="C1904" s="52" t="n"/>
      <c r="D1904" s="53" t="n"/>
      <c r="E1904" s="53" t="n"/>
      <c r="F1904" s="54" t="n"/>
      <c r="G1904" s="54" t="n"/>
      <c r="H1904" s="54" t="n"/>
      <c r="I1904" s="54" t="n"/>
      <c r="J1904" s="53" t="n"/>
      <c r="K1904" s="55" t="str">
        <f>IF(COUNTA(A1904:I1904)=0,"",IF(F1904="",IFERROR(INDEX(eq_dur,MATCH(B1904,eq_code,0)),""),F1904))</f>
        <v/>
      </c>
      <c r="L1904" s="55" t="str">
        <f>IF(ISNUMBER(K1904),N(IFERROR(INDEX(eq_pause,MATCH(B1904,eq_code,0)),0))+SUMIFS(st_min,st_date,A1904,st_eq,B1904,st_po,C1904,st_type,"Planifié"),"")</f>
        <v/>
      </c>
      <c r="M1904" s="55" t="str">
        <f>IF(ISNUMBER(K1904),K1904-L1904,"")</f>
        <v/>
      </c>
      <c r="N1904" s="55" t="str">
        <f>IF(ISNUMBER(K1904),SUMIFS(st_min,st_date,A1904,st_eq,B1904,st_po,C1904,st_type,"Non planifié"),"")</f>
        <v/>
      </c>
      <c r="O1904" s="55" t="str">
        <f>IF(ISNUMBER(K1904),M1904-N1904,"")</f>
        <v/>
      </c>
      <c r="P1904" s="55" t="str">
        <f>IF(COUNTA(A1904:I1904)=0,"",N(G1904)+N(H1904)+N(I1904))</f>
        <v/>
      </c>
      <c r="Q1904" s="56" t="str">
        <f>IF(COUNTA(A1904:I1904)=0,"",IF(N(IFERROR(INDEX(art_rate,MATCH(E1904,art_ref,0)),0))&gt;0,N(IFERROR(INDEX(art_rate,MATCH(E1904,art_ref,0)),0)),N(IFERROR(INDEX(po_rate,MATCH(C1904,po_code,0)),0))))</f>
        <v/>
      </c>
      <c r="R1904" s="55" t="str">
        <f>IF(AC1904=1,P1904*60/Q1904,"")</f>
        <v/>
      </c>
      <c r="S1904" s="55" t="str">
        <f>IF(AC1904=1,N(G1904)*60/Q1904,"")</f>
        <v/>
      </c>
      <c r="T1904" s="57" t="str">
        <f>IF(AC1904=1,O1904/M1904,"")</f>
        <v/>
      </c>
      <c r="U1904" s="57" t="str">
        <f>IF(AC1904=1,IF(O1904&gt;0,R1904/O1904,""),"")</f>
        <v/>
      </c>
      <c r="V1904" s="57" t="str">
        <f>IF(AC1904=1,IF(P1904&gt;0,N(G1904)/P1904,""),"")</f>
        <v/>
      </c>
      <c r="W1904" s="57" t="str">
        <f>IF(AC1904=1,S1904/M1904,"")</f>
        <v/>
      </c>
      <c r="X1904" s="57" t="str">
        <f>IF(AC1904=1,S1904/K1904,"")</f>
        <v/>
      </c>
      <c r="Y1904" s="58" t="str">
        <f>IF(W1904="","",IF(W1904&gt;=p_target,"Bon",IF(W1904&gt;=p_alert,"À surveiller","Faible")))</f>
        <v/>
      </c>
      <c r="Z1904" s="58" t="str">
        <f>IF(W1904="","",IF(MIN(IF(T1904="",1,T1904),IF(U1904="",1,U1904),IF(V1904="",1,V1904))&gt;=1,"Aucune",IF(IF(T1904="",1,T1904)&lt;=MIN(IF(U1904="",1,U1904),IF(V1904="",1,V1904)),"Disponibilité",IF(IF(U1904="",1,U1904)&lt;=IF(V1904="",1,V1904),"Performance","Qualité"))))</f>
        <v/>
      </c>
      <c r="AA1904" s="59" t="str">
        <f>IF(AC1904=1,N(H1904)*N(IFERROR(INDEX(art_cost,MATCH(E1904,art_ref,0)),0)),"")</f>
        <v/>
      </c>
      <c r="AB1904" s="58" t="str">
        <f>IF(COUNTA(A1904:I1904)=0,"",IF(N(A1904)&lt;=0,"Date manquante ou invalide",IF(B1904="","Équipe manquante",IF(ISNA(MATCH(B1904,eq_code,0)),"Équipe inconnue",IF(INDEX(eq_check,MATCH(B1904,eq_code,0))&lt;&gt;"OK","Équipe à corriger dans Paramètres",IF(C1904="","Poste manquant",IF(ISNA(MATCH(C1904,po_code,0)),"Poste inconnu",IF(AND(E1904&lt;&gt;"",ISNA(MATCH(E1904,art_ref,0))),"Article inconnu",IF(IF(E1904="",FALSE,INDEX(art_check,MATCH(E1904,art_ref,0))&lt;&gt;"OK"),"Article à corriger (feuille Articles)",IF(COUNTIFS(sj_date,A1904,sj_eq,B1904,sj_po,C1904)&gt;1,"Ligne en double (même jour, équipe et poste)",IF(OR(NOT(ISNUMBER(K1904)),N(K1904)&lt;=0,N(K1904)&gt;1440),"Temps d'ouverture invalide",IF(OR(AND(G1904&lt;&gt;"",NOT(ISNUMBER(G1904))),N(G1904)&lt;0,N(G1904)&lt;&gt;INT(N(G1904)),AND(H1904&lt;&gt;"",NOT(ISNUMBER(H1904))),N(H1904)&lt;0,N(H1904)&lt;&gt;INT(N(H1904)),AND(I1904&lt;&gt;"",NOT(ISNUMBER(I1904))),N(I1904)&lt;0,N(I1904)&lt;&gt;INT(N(I1904))),"Quantité invalide",IF(Q1904&lt;=0,"Cadence manquante (poste ou article)",IF(M1904&lt;=0,"Arrêts planifiés supérieurs au temps d'ouverture",IF(O1904&lt;0,"Arrêts supérieurs au temps requis",IF(AND(P1904&gt;0,O1904=0),"Pièces déclarées sans temps de marche",IF(AND(P1904=0,O1904&gt;0),"Aucune pièce déclarée",IF(P1904*60/Q1904&gt;O1904+0.001,"Cadence dépassée : vérifiez la cadence","OK"))))))))))))))))))</f>
        <v/>
      </c>
      <c r="AC1904">
        <f>IF(OR(AB1904="OK",AB1904="Aucune pièce déclarée",AB1904="Cadence dépassée : vérifiez la cadence"),1,0)</f>
        <v>0.0</v>
      </c>
      <c r="AD1904">
        <f>IF(AND(AC1904=1,A1904&gt;=p_from,A1904&lt;=p_to),1,0)</f>
        <v>0.0</v>
      </c>
      <c r="AE1904">
        <f>IF(AD1904=1,IF(COUNTIFS($A$6:A1904,A1904,$AD$6:AD1904,1)=1,1,0),0)</f>
        <v>0.0</v>
      </c>
      <c r="AF1904" t="str">
        <f>IF(AE1904=1,COUNTIFS(sj_first,1,sj_date,"&lt;"&amp;A1904)+1,"")</f>
        <v/>
      </c>
      <c r="AG1904" t="str">
        <f>IF(AND(AD1904=1,N(W1904)&lt;p_alert),ROUND(W1904,4),"")</f>
        <v/>
      </c>
      <c r="AH1904" t="str">
        <f>IF(AG1904="","",COUNTIF(sj_akey,"&lt;"&amp;AG1904)+COUNTIF($AG$6:AG1904,AG1904))</f>
        <v/>
      </c>
    </row>
    <row r="1905">
      <c r="A1905" s="51" t="n"/>
      <c r="B1905" s="52" t="n"/>
      <c r="C1905" s="52" t="n"/>
      <c r="D1905" s="53" t="n"/>
      <c r="E1905" s="53" t="n"/>
      <c r="F1905" s="54" t="n"/>
      <c r="G1905" s="54" t="n"/>
      <c r="H1905" s="54" t="n"/>
      <c r="I1905" s="54" t="n"/>
      <c r="J1905" s="53" t="n"/>
      <c r="K1905" s="55" t="str">
        <f>IF(COUNTA(A1905:I1905)=0,"",IF(F1905="",IFERROR(INDEX(eq_dur,MATCH(B1905,eq_code,0)),""),F1905))</f>
        <v/>
      </c>
      <c r="L1905" s="55" t="str">
        <f>IF(ISNUMBER(K1905),N(IFERROR(INDEX(eq_pause,MATCH(B1905,eq_code,0)),0))+SUMIFS(st_min,st_date,A1905,st_eq,B1905,st_po,C1905,st_type,"Planifié"),"")</f>
        <v/>
      </c>
      <c r="M1905" s="55" t="str">
        <f>IF(ISNUMBER(K1905),K1905-L1905,"")</f>
        <v/>
      </c>
      <c r="N1905" s="55" t="str">
        <f>IF(ISNUMBER(K1905),SUMIFS(st_min,st_date,A1905,st_eq,B1905,st_po,C1905,st_type,"Non planifié"),"")</f>
        <v/>
      </c>
      <c r="O1905" s="55" t="str">
        <f>IF(ISNUMBER(K1905),M1905-N1905,"")</f>
        <v/>
      </c>
      <c r="P1905" s="55" t="str">
        <f>IF(COUNTA(A1905:I1905)=0,"",N(G1905)+N(H1905)+N(I1905))</f>
        <v/>
      </c>
      <c r="Q1905" s="56" t="str">
        <f>IF(COUNTA(A1905:I1905)=0,"",IF(N(IFERROR(INDEX(art_rate,MATCH(E1905,art_ref,0)),0))&gt;0,N(IFERROR(INDEX(art_rate,MATCH(E1905,art_ref,0)),0)),N(IFERROR(INDEX(po_rate,MATCH(C1905,po_code,0)),0))))</f>
        <v/>
      </c>
      <c r="R1905" s="55" t="str">
        <f>IF(AC1905=1,P1905*60/Q1905,"")</f>
        <v/>
      </c>
      <c r="S1905" s="55" t="str">
        <f>IF(AC1905=1,N(G1905)*60/Q1905,"")</f>
        <v/>
      </c>
      <c r="T1905" s="57" t="str">
        <f>IF(AC1905=1,O1905/M1905,"")</f>
        <v/>
      </c>
      <c r="U1905" s="57" t="str">
        <f>IF(AC1905=1,IF(O1905&gt;0,R1905/O1905,""),"")</f>
        <v/>
      </c>
      <c r="V1905" s="57" t="str">
        <f>IF(AC1905=1,IF(P1905&gt;0,N(G1905)/P1905,""),"")</f>
        <v/>
      </c>
      <c r="W1905" s="57" t="str">
        <f>IF(AC1905=1,S1905/M1905,"")</f>
        <v/>
      </c>
      <c r="X1905" s="57" t="str">
        <f>IF(AC1905=1,S1905/K1905,"")</f>
        <v/>
      </c>
      <c r="Y1905" s="58" t="str">
        <f>IF(W1905="","",IF(W1905&gt;=p_target,"Bon",IF(W1905&gt;=p_alert,"À surveiller","Faible")))</f>
        <v/>
      </c>
      <c r="Z1905" s="58" t="str">
        <f>IF(W1905="","",IF(MIN(IF(T1905="",1,T1905),IF(U1905="",1,U1905),IF(V1905="",1,V1905))&gt;=1,"Aucune",IF(IF(T1905="",1,T1905)&lt;=MIN(IF(U1905="",1,U1905),IF(V1905="",1,V1905)),"Disponibilité",IF(IF(U1905="",1,U1905)&lt;=IF(V1905="",1,V1905),"Performance","Qualité"))))</f>
        <v/>
      </c>
      <c r="AA1905" s="59" t="str">
        <f>IF(AC1905=1,N(H1905)*N(IFERROR(INDEX(art_cost,MATCH(E1905,art_ref,0)),0)),"")</f>
        <v/>
      </c>
      <c r="AB1905" s="58" t="str">
        <f>IF(COUNTA(A1905:I1905)=0,"",IF(N(A1905)&lt;=0,"Date manquante ou invalide",IF(B1905="","Équipe manquante",IF(ISNA(MATCH(B1905,eq_code,0)),"Équipe inconnue",IF(INDEX(eq_check,MATCH(B1905,eq_code,0))&lt;&gt;"OK","Équipe à corriger dans Paramètres",IF(C1905="","Poste manquant",IF(ISNA(MATCH(C1905,po_code,0)),"Poste inconnu",IF(AND(E1905&lt;&gt;"",ISNA(MATCH(E1905,art_ref,0))),"Article inconnu",IF(IF(E1905="",FALSE,INDEX(art_check,MATCH(E1905,art_ref,0))&lt;&gt;"OK"),"Article à corriger (feuille Articles)",IF(COUNTIFS(sj_date,A1905,sj_eq,B1905,sj_po,C1905)&gt;1,"Ligne en double (même jour, équipe et poste)",IF(OR(NOT(ISNUMBER(K1905)),N(K1905)&lt;=0,N(K1905)&gt;1440),"Temps d'ouverture invalide",IF(OR(AND(G1905&lt;&gt;"",NOT(ISNUMBER(G1905))),N(G1905)&lt;0,N(G1905)&lt;&gt;INT(N(G1905)),AND(H1905&lt;&gt;"",NOT(ISNUMBER(H1905))),N(H1905)&lt;0,N(H1905)&lt;&gt;INT(N(H1905)),AND(I1905&lt;&gt;"",NOT(ISNUMBER(I1905))),N(I1905)&lt;0,N(I1905)&lt;&gt;INT(N(I1905))),"Quantité invalide",IF(Q1905&lt;=0,"Cadence manquante (poste ou article)",IF(M1905&lt;=0,"Arrêts planifiés supérieurs au temps d'ouverture",IF(O1905&lt;0,"Arrêts supérieurs au temps requis",IF(AND(P1905&gt;0,O1905=0),"Pièces déclarées sans temps de marche",IF(AND(P1905=0,O1905&gt;0),"Aucune pièce déclarée",IF(P1905*60/Q1905&gt;O1905+0.001,"Cadence dépassée : vérifiez la cadence","OK"))))))))))))))))))</f>
        <v/>
      </c>
      <c r="AC1905">
        <f>IF(OR(AB1905="OK",AB1905="Aucune pièce déclarée",AB1905="Cadence dépassée : vérifiez la cadence"),1,0)</f>
        <v>0.0</v>
      </c>
      <c r="AD1905">
        <f>IF(AND(AC1905=1,A1905&gt;=p_from,A1905&lt;=p_to),1,0)</f>
        <v>0.0</v>
      </c>
      <c r="AE1905">
        <f>IF(AD1905=1,IF(COUNTIFS($A$6:A1905,A1905,$AD$6:AD1905,1)=1,1,0),0)</f>
        <v>0.0</v>
      </c>
      <c r="AF1905" t="str">
        <f>IF(AE1905=1,COUNTIFS(sj_first,1,sj_date,"&lt;"&amp;A1905)+1,"")</f>
        <v/>
      </c>
      <c r="AG1905" t="str">
        <f>IF(AND(AD1905=1,N(W1905)&lt;p_alert),ROUND(W1905,4),"")</f>
        <v/>
      </c>
      <c r="AH1905" t="str">
        <f>IF(AG1905="","",COUNTIF(sj_akey,"&lt;"&amp;AG1905)+COUNTIF($AG$6:AG1905,AG1905))</f>
        <v/>
      </c>
    </row>
    <row r="1906">
      <c r="A1906" s="51" t="n"/>
      <c r="B1906" s="52" t="n"/>
      <c r="C1906" s="52" t="n"/>
      <c r="D1906" s="53" t="n"/>
      <c r="E1906" s="53" t="n"/>
      <c r="F1906" s="54" t="n"/>
      <c r="G1906" s="54" t="n"/>
      <c r="H1906" s="54" t="n"/>
      <c r="I1906" s="54" t="n"/>
      <c r="J1906" s="53" t="n"/>
      <c r="K1906" s="55" t="str">
        <f>IF(COUNTA(A1906:I1906)=0,"",IF(F1906="",IFERROR(INDEX(eq_dur,MATCH(B1906,eq_code,0)),""),F1906))</f>
        <v/>
      </c>
      <c r="L1906" s="55" t="str">
        <f>IF(ISNUMBER(K1906),N(IFERROR(INDEX(eq_pause,MATCH(B1906,eq_code,0)),0))+SUMIFS(st_min,st_date,A1906,st_eq,B1906,st_po,C1906,st_type,"Planifié"),"")</f>
        <v/>
      </c>
      <c r="M1906" s="55" t="str">
        <f>IF(ISNUMBER(K1906),K1906-L1906,"")</f>
        <v/>
      </c>
      <c r="N1906" s="55" t="str">
        <f>IF(ISNUMBER(K1906),SUMIFS(st_min,st_date,A1906,st_eq,B1906,st_po,C1906,st_type,"Non planifié"),"")</f>
        <v/>
      </c>
      <c r="O1906" s="55" t="str">
        <f>IF(ISNUMBER(K1906),M1906-N1906,"")</f>
        <v/>
      </c>
      <c r="P1906" s="55" t="str">
        <f>IF(COUNTA(A1906:I1906)=0,"",N(G1906)+N(H1906)+N(I1906))</f>
        <v/>
      </c>
      <c r="Q1906" s="56" t="str">
        <f>IF(COUNTA(A1906:I1906)=0,"",IF(N(IFERROR(INDEX(art_rate,MATCH(E1906,art_ref,0)),0))&gt;0,N(IFERROR(INDEX(art_rate,MATCH(E1906,art_ref,0)),0)),N(IFERROR(INDEX(po_rate,MATCH(C1906,po_code,0)),0))))</f>
        <v/>
      </c>
      <c r="R1906" s="55" t="str">
        <f>IF(AC1906=1,P1906*60/Q1906,"")</f>
        <v/>
      </c>
      <c r="S1906" s="55" t="str">
        <f>IF(AC1906=1,N(G1906)*60/Q1906,"")</f>
        <v/>
      </c>
      <c r="T1906" s="57" t="str">
        <f>IF(AC1906=1,O1906/M1906,"")</f>
        <v/>
      </c>
      <c r="U1906" s="57" t="str">
        <f>IF(AC1906=1,IF(O1906&gt;0,R1906/O1906,""),"")</f>
        <v/>
      </c>
      <c r="V1906" s="57" t="str">
        <f>IF(AC1906=1,IF(P1906&gt;0,N(G1906)/P1906,""),"")</f>
        <v/>
      </c>
      <c r="W1906" s="57" t="str">
        <f>IF(AC1906=1,S1906/M1906,"")</f>
        <v/>
      </c>
      <c r="X1906" s="57" t="str">
        <f>IF(AC1906=1,S1906/K1906,"")</f>
        <v/>
      </c>
      <c r="Y1906" s="58" t="str">
        <f>IF(W1906="","",IF(W1906&gt;=p_target,"Bon",IF(W1906&gt;=p_alert,"À surveiller","Faible")))</f>
        <v/>
      </c>
      <c r="Z1906" s="58" t="str">
        <f>IF(W1906="","",IF(MIN(IF(T1906="",1,T1906),IF(U1906="",1,U1906),IF(V1906="",1,V1906))&gt;=1,"Aucune",IF(IF(T1906="",1,T1906)&lt;=MIN(IF(U1906="",1,U1906),IF(V1906="",1,V1906)),"Disponibilité",IF(IF(U1906="",1,U1906)&lt;=IF(V1906="",1,V1906),"Performance","Qualité"))))</f>
        <v/>
      </c>
      <c r="AA1906" s="59" t="str">
        <f>IF(AC1906=1,N(H1906)*N(IFERROR(INDEX(art_cost,MATCH(E1906,art_ref,0)),0)),"")</f>
        <v/>
      </c>
      <c r="AB1906" s="58" t="str">
        <f>IF(COUNTA(A1906:I1906)=0,"",IF(N(A1906)&lt;=0,"Date manquante ou invalide",IF(B1906="","Équipe manquante",IF(ISNA(MATCH(B1906,eq_code,0)),"Équipe inconnue",IF(INDEX(eq_check,MATCH(B1906,eq_code,0))&lt;&gt;"OK","Équipe à corriger dans Paramètres",IF(C1906="","Poste manquant",IF(ISNA(MATCH(C1906,po_code,0)),"Poste inconnu",IF(AND(E1906&lt;&gt;"",ISNA(MATCH(E1906,art_ref,0))),"Article inconnu",IF(IF(E1906="",FALSE,INDEX(art_check,MATCH(E1906,art_ref,0))&lt;&gt;"OK"),"Article à corriger (feuille Articles)",IF(COUNTIFS(sj_date,A1906,sj_eq,B1906,sj_po,C1906)&gt;1,"Ligne en double (même jour, équipe et poste)",IF(OR(NOT(ISNUMBER(K1906)),N(K1906)&lt;=0,N(K1906)&gt;1440),"Temps d'ouverture invalide",IF(OR(AND(G1906&lt;&gt;"",NOT(ISNUMBER(G1906))),N(G1906)&lt;0,N(G1906)&lt;&gt;INT(N(G1906)),AND(H1906&lt;&gt;"",NOT(ISNUMBER(H1906))),N(H1906)&lt;0,N(H1906)&lt;&gt;INT(N(H1906)),AND(I1906&lt;&gt;"",NOT(ISNUMBER(I1906))),N(I1906)&lt;0,N(I1906)&lt;&gt;INT(N(I1906))),"Quantité invalide",IF(Q1906&lt;=0,"Cadence manquante (poste ou article)",IF(M1906&lt;=0,"Arrêts planifiés supérieurs au temps d'ouverture",IF(O1906&lt;0,"Arrêts supérieurs au temps requis",IF(AND(P1906&gt;0,O1906=0),"Pièces déclarées sans temps de marche",IF(AND(P1906=0,O1906&gt;0),"Aucune pièce déclarée",IF(P1906*60/Q1906&gt;O1906+0.001,"Cadence dépassée : vérifiez la cadence","OK"))))))))))))))))))</f>
        <v/>
      </c>
      <c r="AC1906">
        <f>IF(OR(AB1906="OK",AB1906="Aucune pièce déclarée",AB1906="Cadence dépassée : vérifiez la cadence"),1,0)</f>
        <v>0.0</v>
      </c>
      <c r="AD1906">
        <f>IF(AND(AC1906=1,A1906&gt;=p_from,A1906&lt;=p_to),1,0)</f>
        <v>0.0</v>
      </c>
      <c r="AE1906">
        <f>IF(AD1906=1,IF(COUNTIFS($A$6:A1906,A1906,$AD$6:AD1906,1)=1,1,0),0)</f>
        <v>0.0</v>
      </c>
      <c r="AF1906" t="str">
        <f>IF(AE1906=1,COUNTIFS(sj_first,1,sj_date,"&lt;"&amp;A1906)+1,"")</f>
        <v/>
      </c>
      <c r="AG1906" t="str">
        <f>IF(AND(AD1906=1,N(W1906)&lt;p_alert),ROUND(W1906,4),"")</f>
        <v/>
      </c>
      <c r="AH1906" t="str">
        <f>IF(AG1906="","",COUNTIF(sj_akey,"&lt;"&amp;AG1906)+COUNTIF($AG$6:AG1906,AG1906))</f>
        <v/>
      </c>
    </row>
    <row r="1907">
      <c r="A1907" s="51" t="n"/>
      <c r="B1907" s="52" t="n"/>
      <c r="C1907" s="52" t="n"/>
      <c r="D1907" s="53" t="n"/>
      <c r="E1907" s="53" t="n"/>
      <c r="F1907" s="54" t="n"/>
      <c r="G1907" s="54" t="n"/>
      <c r="H1907" s="54" t="n"/>
      <c r="I1907" s="54" t="n"/>
      <c r="J1907" s="53" t="n"/>
      <c r="K1907" s="55" t="str">
        <f>IF(COUNTA(A1907:I1907)=0,"",IF(F1907="",IFERROR(INDEX(eq_dur,MATCH(B1907,eq_code,0)),""),F1907))</f>
        <v/>
      </c>
      <c r="L1907" s="55" t="str">
        <f>IF(ISNUMBER(K1907),N(IFERROR(INDEX(eq_pause,MATCH(B1907,eq_code,0)),0))+SUMIFS(st_min,st_date,A1907,st_eq,B1907,st_po,C1907,st_type,"Planifié"),"")</f>
        <v/>
      </c>
      <c r="M1907" s="55" t="str">
        <f>IF(ISNUMBER(K1907),K1907-L1907,"")</f>
        <v/>
      </c>
      <c r="N1907" s="55" t="str">
        <f>IF(ISNUMBER(K1907),SUMIFS(st_min,st_date,A1907,st_eq,B1907,st_po,C1907,st_type,"Non planifié"),"")</f>
        <v/>
      </c>
      <c r="O1907" s="55" t="str">
        <f>IF(ISNUMBER(K1907),M1907-N1907,"")</f>
        <v/>
      </c>
      <c r="P1907" s="55" t="str">
        <f>IF(COUNTA(A1907:I1907)=0,"",N(G1907)+N(H1907)+N(I1907))</f>
        <v/>
      </c>
      <c r="Q1907" s="56" t="str">
        <f>IF(COUNTA(A1907:I1907)=0,"",IF(N(IFERROR(INDEX(art_rate,MATCH(E1907,art_ref,0)),0))&gt;0,N(IFERROR(INDEX(art_rate,MATCH(E1907,art_ref,0)),0)),N(IFERROR(INDEX(po_rate,MATCH(C1907,po_code,0)),0))))</f>
        <v/>
      </c>
      <c r="R1907" s="55" t="str">
        <f>IF(AC1907=1,P1907*60/Q1907,"")</f>
        <v/>
      </c>
      <c r="S1907" s="55" t="str">
        <f>IF(AC1907=1,N(G1907)*60/Q1907,"")</f>
        <v/>
      </c>
      <c r="T1907" s="57" t="str">
        <f>IF(AC1907=1,O1907/M1907,"")</f>
        <v/>
      </c>
      <c r="U1907" s="57" t="str">
        <f>IF(AC1907=1,IF(O1907&gt;0,R1907/O1907,""),"")</f>
        <v/>
      </c>
      <c r="V1907" s="57" t="str">
        <f>IF(AC1907=1,IF(P1907&gt;0,N(G1907)/P1907,""),"")</f>
        <v/>
      </c>
      <c r="W1907" s="57" t="str">
        <f>IF(AC1907=1,S1907/M1907,"")</f>
        <v/>
      </c>
      <c r="X1907" s="57" t="str">
        <f>IF(AC1907=1,S1907/K1907,"")</f>
        <v/>
      </c>
      <c r="Y1907" s="58" t="str">
        <f>IF(W1907="","",IF(W1907&gt;=p_target,"Bon",IF(W1907&gt;=p_alert,"À surveiller","Faible")))</f>
        <v/>
      </c>
      <c r="Z1907" s="58" t="str">
        <f>IF(W1907="","",IF(MIN(IF(T1907="",1,T1907),IF(U1907="",1,U1907),IF(V1907="",1,V1907))&gt;=1,"Aucune",IF(IF(T1907="",1,T1907)&lt;=MIN(IF(U1907="",1,U1907),IF(V1907="",1,V1907)),"Disponibilité",IF(IF(U1907="",1,U1907)&lt;=IF(V1907="",1,V1907),"Performance","Qualité"))))</f>
        <v/>
      </c>
      <c r="AA1907" s="59" t="str">
        <f>IF(AC1907=1,N(H1907)*N(IFERROR(INDEX(art_cost,MATCH(E1907,art_ref,0)),0)),"")</f>
        <v/>
      </c>
      <c r="AB1907" s="58" t="str">
        <f>IF(COUNTA(A1907:I1907)=0,"",IF(N(A1907)&lt;=0,"Date manquante ou invalide",IF(B1907="","Équipe manquante",IF(ISNA(MATCH(B1907,eq_code,0)),"Équipe inconnue",IF(INDEX(eq_check,MATCH(B1907,eq_code,0))&lt;&gt;"OK","Équipe à corriger dans Paramètres",IF(C1907="","Poste manquant",IF(ISNA(MATCH(C1907,po_code,0)),"Poste inconnu",IF(AND(E1907&lt;&gt;"",ISNA(MATCH(E1907,art_ref,0))),"Article inconnu",IF(IF(E1907="",FALSE,INDEX(art_check,MATCH(E1907,art_ref,0))&lt;&gt;"OK"),"Article à corriger (feuille Articles)",IF(COUNTIFS(sj_date,A1907,sj_eq,B1907,sj_po,C1907)&gt;1,"Ligne en double (même jour, équipe et poste)",IF(OR(NOT(ISNUMBER(K1907)),N(K1907)&lt;=0,N(K1907)&gt;1440),"Temps d'ouverture invalide",IF(OR(AND(G1907&lt;&gt;"",NOT(ISNUMBER(G1907))),N(G1907)&lt;0,N(G1907)&lt;&gt;INT(N(G1907)),AND(H1907&lt;&gt;"",NOT(ISNUMBER(H1907))),N(H1907)&lt;0,N(H1907)&lt;&gt;INT(N(H1907)),AND(I1907&lt;&gt;"",NOT(ISNUMBER(I1907))),N(I1907)&lt;0,N(I1907)&lt;&gt;INT(N(I1907))),"Quantité invalide",IF(Q1907&lt;=0,"Cadence manquante (poste ou article)",IF(M1907&lt;=0,"Arrêts planifiés supérieurs au temps d'ouverture",IF(O1907&lt;0,"Arrêts supérieurs au temps requis",IF(AND(P1907&gt;0,O1907=0),"Pièces déclarées sans temps de marche",IF(AND(P1907=0,O1907&gt;0),"Aucune pièce déclarée",IF(P1907*60/Q1907&gt;O1907+0.001,"Cadence dépassée : vérifiez la cadence","OK"))))))))))))))))))</f>
        <v/>
      </c>
      <c r="AC1907">
        <f>IF(OR(AB1907="OK",AB1907="Aucune pièce déclarée",AB1907="Cadence dépassée : vérifiez la cadence"),1,0)</f>
        <v>0.0</v>
      </c>
      <c r="AD1907">
        <f>IF(AND(AC1907=1,A1907&gt;=p_from,A1907&lt;=p_to),1,0)</f>
        <v>0.0</v>
      </c>
      <c r="AE1907">
        <f>IF(AD1907=1,IF(COUNTIFS($A$6:A1907,A1907,$AD$6:AD1907,1)=1,1,0),0)</f>
        <v>0.0</v>
      </c>
      <c r="AF1907" t="str">
        <f>IF(AE1907=1,COUNTIFS(sj_first,1,sj_date,"&lt;"&amp;A1907)+1,"")</f>
        <v/>
      </c>
      <c r="AG1907" t="str">
        <f>IF(AND(AD1907=1,N(W1907)&lt;p_alert),ROUND(W1907,4),"")</f>
        <v/>
      </c>
      <c r="AH1907" t="str">
        <f>IF(AG1907="","",COUNTIF(sj_akey,"&lt;"&amp;AG1907)+COUNTIF($AG$6:AG1907,AG1907))</f>
        <v/>
      </c>
    </row>
    <row r="1908">
      <c r="A1908" s="51" t="n"/>
      <c r="B1908" s="52" t="n"/>
      <c r="C1908" s="52" t="n"/>
      <c r="D1908" s="53" t="n"/>
      <c r="E1908" s="53" t="n"/>
      <c r="F1908" s="54" t="n"/>
      <c r="G1908" s="54" t="n"/>
      <c r="H1908" s="54" t="n"/>
      <c r="I1908" s="54" t="n"/>
      <c r="J1908" s="53" t="n"/>
      <c r="K1908" s="55" t="str">
        <f>IF(COUNTA(A1908:I1908)=0,"",IF(F1908="",IFERROR(INDEX(eq_dur,MATCH(B1908,eq_code,0)),""),F1908))</f>
        <v/>
      </c>
      <c r="L1908" s="55" t="str">
        <f>IF(ISNUMBER(K1908),N(IFERROR(INDEX(eq_pause,MATCH(B1908,eq_code,0)),0))+SUMIFS(st_min,st_date,A1908,st_eq,B1908,st_po,C1908,st_type,"Planifié"),"")</f>
        <v/>
      </c>
      <c r="M1908" s="55" t="str">
        <f>IF(ISNUMBER(K1908),K1908-L1908,"")</f>
        <v/>
      </c>
      <c r="N1908" s="55" t="str">
        <f>IF(ISNUMBER(K1908),SUMIFS(st_min,st_date,A1908,st_eq,B1908,st_po,C1908,st_type,"Non planifié"),"")</f>
        <v/>
      </c>
      <c r="O1908" s="55" t="str">
        <f>IF(ISNUMBER(K1908),M1908-N1908,"")</f>
        <v/>
      </c>
      <c r="P1908" s="55" t="str">
        <f>IF(COUNTA(A1908:I1908)=0,"",N(G1908)+N(H1908)+N(I1908))</f>
        <v/>
      </c>
      <c r="Q1908" s="56" t="str">
        <f>IF(COUNTA(A1908:I1908)=0,"",IF(N(IFERROR(INDEX(art_rate,MATCH(E1908,art_ref,0)),0))&gt;0,N(IFERROR(INDEX(art_rate,MATCH(E1908,art_ref,0)),0)),N(IFERROR(INDEX(po_rate,MATCH(C1908,po_code,0)),0))))</f>
        <v/>
      </c>
      <c r="R1908" s="55" t="str">
        <f>IF(AC1908=1,P1908*60/Q1908,"")</f>
        <v/>
      </c>
      <c r="S1908" s="55" t="str">
        <f>IF(AC1908=1,N(G1908)*60/Q1908,"")</f>
        <v/>
      </c>
      <c r="T1908" s="57" t="str">
        <f>IF(AC1908=1,O1908/M1908,"")</f>
        <v/>
      </c>
      <c r="U1908" s="57" t="str">
        <f>IF(AC1908=1,IF(O1908&gt;0,R1908/O1908,""),"")</f>
        <v/>
      </c>
      <c r="V1908" s="57" t="str">
        <f>IF(AC1908=1,IF(P1908&gt;0,N(G1908)/P1908,""),"")</f>
        <v/>
      </c>
      <c r="W1908" s="57" t="str">
        <f>IF(AC1908=1,S1908/M1908,"")</f>
        <v/>
      </c>
      <c r="X1908" s="57" t="str">
        <f>IF(AC1908=1,S1908/K1908,"")</f>
        <v/>
      </c>
      <c r="Y1908" s="58" t="str">
        <f>IF(W1908="","",IF(W1908&gt;=p_target,"Bon",IF(W1908&gt;=p_alert,"À surveiller","Faible")))</f>
        <v/>
      </c>
      <c r="Z1908" s="58" t="str">
        <f>IF(W1908="","",IF(MIN(IF(T1908="",1,T1908),IF(U1908="",1,U1908),IF(V1908="",1,V1908))&gt;=1,"Aucune",IF(IF(T1908="",1,T1908)&lt;=MIN(IF(U1908="",1,U1908),IF(V1908="",1,V1908)),"Disponibilité",IF(IF(U1908="",1,U1908)&lt;=IF(V1908="",1,V1908),"Performance","Qualité"))))</f>
        <v/>
      </c>
      <c r="AA1908" s="59" t="str">
        <f>IF(AC1908=1,N(H1908)*N(IFERROR(INDEX(art_cost,MATCH(E1908,art_ref,0)),0)),"")</f>
        <v/>
      </c>
      <c r="AB1908" s="58" t="str">
        <f>IF(COUNTA(A1908:I1908)=0,"",IF(N(A1908)&lt;=0,"Date manquante ou invalide",IF(B1908="","Équipe manquante",IF(ISNA(MATCH(B1908,eq_code,0)),"Équipe inconnue",IF(INDEX(eq_check,MATCH(B1908,eq_code,0))&lt;&gt;"OK","Équipe à corriger dans Paramètres",IF(C1908="","Poste manquant",IF(ISNA(MATCH(C1908,po_code,0)),"Poste inconnu",IF(AND(E1908&lt;&gt;"",ISNA(MATCH(E1908,art_ref,0))),"Article inconnu",IF(IF(E1908="",FALSE,INDEX(art_check,MATCH(E1908,art_ref,0))&lt;&gt;"OK"),"Article à corriger (feuille Articles)",IF(COUNTIFS(sj_date,A1908,sj_eq,B1908,sj_po,C1908)&gt;1,"Ligne en double (même jour, équipe et poste)",IF(OR(NOT(ISNUMBER(K1908)),N(K1908)&lt;=0,N(K1908)&gt;1440),"Temps d'ouverture invalide",IF(OR(AND(G1908&lt;&gt;"",NOT(ISNUMBER(G1908))),N(G1908)&lt;0,N(G1908)&lt;&gt;INT(N(G1908)),AND(H1908&lt;&gt;"",NOT(ISNUMBER(H1908))),N(H1908)&lt;0,N(H1908)&lt;&gt;INT(N(H1908)),AND(I1908&lt;&gt;"",NOT(ISNUMBER(I1908))),N(I1908)&lt;0,N(I1908)&lt;&gt;INT(N(I1908))),"Quantité invalide",IF(Q1908&lt;=0,"Cadence manquante (poste ou article)",IF(M1908&lt;=0,"Arrêts planifiés supérieurs au temps d'ouverture",IF(O1908&lt;0,"Arrêts supérieurs au temps requis",IF(AND(P1908&gt;0,O1908=0),"Pièces déclarées sans temps de marche",IF(AND(P1908=0,O1908&gt;0),"Aucune pièce déclarée",IF(P1908*60/Q1908&gt;O1908+0.001,"Cadence dépassée : vérifiez la cadence","OK"))))))))))))))))))</f>
        <v/>
      </c>
      <c r="AC1908">
        <f>IF(OR(AB1908="OK",AB1908="Aucune pièce déclarée",AB1908="Cadence dépassée : vérifiez la cadence"),1,0)</f>
        <v>0.0</v>
      </c>
      <c r="AD1908">
        <f>IF(AND(AC1908=1,A1908&gt;=p_from,A1908&lt;=p_to),1,0)</f>
        <v>0.0</v>
      </c>
      <c r="AE1908">
        <f>IF(AD1908=1,IF(COUNTIFS($A$6:A1908,A1908,$AD$6:AD1908,1)=1,1,0),0)</f>
        <v>0.0</v>
      </c>
      <c r="AF1908" t="str">
        <f>IF(AE1908=1,COUNTIFS(sj_first,1,sj_date,"&lt;"&amp;A1908)+1,"")</f>
        <v/>
      </c>
      <c r="AG1908" t="str">
        <f>IF(AND(AD1908=1,N(W1908)&lt;p_alert),ROUND(W1908,4),"")</f>
        <v/>
      </c>
      <c r="AH1908" t="str">
        <f>IF(AG1908="","",COUNTIF(sj_akey,"&lt;"&amp;AG1908)+COUNTIF($AG$6:AG1908,AG1908))</f>
        <v/>
      </c>
    </row>
    <row r="1909">
      <c r="A1909" s="51" t="n"/>
      <c r="B1909" s="52" t="n"/>
      <c r="C1909" s="52" t="n"/>
      <c r="D1909" s="53" t="n"/>
      <c r="E1909" s="53" t="n"/>
      <c r="F1909" s="54" t="n"/>
      <c r="G1909" s="54" t="n"/>
      <c r="H1909" s="54" t="n"/>
      <c r="I1909" s="54" t="n"/>
      <c r="J1909" s="53" t="n"/>
      <c r="K1909" s="55" t="str">
        <f>IF(COUNTA(A1909:I1909)=0,"",IF(F1909="",IFERROR(INDEX(eq_dur,MATCH(B1909,eq_code,0)),""),F1909))</f>
        <v/>
      </c>
      <c r="L1909" s="55" t="str">
        <f>IF(ISNUMBER(K1909),N(IFERROR(INDEX(eq_pause,MATCH(B1909,eq_code,0)),0))+SUMIFS(st_min,st_date,A1909,st_eq,B1909,st_po,C1909,st_type,"Planifié"),"")</f>
        <v/>
      </c>
      <c r="M1909" s="55" t="str">
        <f>IF(ISNUMBER(K1909),K1909-L1909,"")</f>
        <v/>
      </c>
      <c r="N1909" s="55" t="str">
        <f>IF(ISNUMBER(K1909),SUMIFS(st_min,st_date,A1909,st_eq,B1909,st_po,C1909,st_type,"Non planifié"),"")</f>
        <v/>
      </c>
      <c r="O1909" s="55" t="str">
        <f>IF(ISNUMBER(K1909),M1909-N1909,"")</f>
        <v/>
      </c>
      <c r="P1909" s="55" t="str">
        <f>IF(COUNTA(A1909:I1909)=0,"",N(G1909)+N(H1909)+N(I1909))</f>
        <v/>
      </c>
      <c r="Q1909" s="56" t="str">
        <f>IF(COUNTA(A1909:I1909)=0,"",IF(N(IFERROR(INDEX(art_rate,MATCH(E1909,art_ref,0)),0))&gt;0,N(IFERROR(INDEX(art_rate,MATCH(E1909,art_ref,0)),0)),N(IFERROR(INDEX(po_rate,MATCH(C1909,po_code,0)),0))))</f>
        <v/>
      </c>
      <c r="R1909" s="55" t="str">
        <f>IF(AC1909=1,P1909*60/Q1909,"")</f>
        <v/>
      </c>
      <c r="S1909" s="55" t="str">
        <f>IF(AC1909=1,N(G1909)*60/Q1909,"")</f>
        <v/>
      </c>
      <c r="T1909" s="57" t="str">
        <f>IF(AC1909=1,O1909/M1909,"")</f>
        <v/>
      </c>
      <c r="U1909" s="57" t="str">
        <f>IF(AC1909=1,IF(O1909&gt;0,R1909/O1909,""),"")</f>
        <v/>
      </c>
      <c r="V1909" s="57" t="str">
        <f>IF(AC1909=1,IF(P1909&gt;0,N(G1909)/P1909,""),"")</f>
        <v/>
      </c>
      <c r="W1909" s="57" t="str">
        <f>IF(AC1909=1,S1909/M1909,"")</f>
        <v/>
      </c>
      <c r="X1909" s="57" t="str">
        <f>IF(AC1909=1,S1909/K1909,"")</f>
        <v/>
      </c>
      <c r="Y1909" s="58" t="str">
        <f>IF(W1909="","",IF(W1909&gt;=p_target,"Bon",IF(W1909&gt;=p_alert,"À surveiller","Faible")))</f>
        <v/>
      </c>
      <c r="Z1909" s="58" t="str">
        <f>IF(W1909="","",IF(MIN(IF(T1909="",1,T1909),IF(U1909="",1,U1909),IF(V1909="",1,V1909))&gt;=1,"Aucune",IF(IF(T1909="",1,T1909)&lt;=MIN(IF(U1909="",1,U1909),IF(V1909="",1,V1909)),"Disponibilité",IF(IF(U1909="",1,U1909)&lt;=IF(V1909="",1,V1909),"Performance","Qualité"))))</f>
        <v/>
      </c>
      <c r="AA1909" s="59" t="str">
        <f>IF(AC1909=1,N(H1909)*N(IFERROR(INDEX(art_cost,MATCH(E1909,art_ref,0)),0)),"")</f>
        <v/>
      </c>
      <c r="AB1909" s="58" t="str">
        <f>IF(COUNTA(A1909:I1909)=0,"",IF(N(A1909)&lt;=0,"Date manquante ou invalide",IF(B1909="","Équipe manquante",IF(ISNA(MATCH(B1909,eq_code,0)),"Équipe inconnue",IF(INDEX(eq_check,MATCH(B1909,eq_code,0))&lt;&gt;"OK","Équipe à corriger dans Paramètres",IF(C1909="","Poste manquant",IF(ISNA(MATCH(C1909,po_code,0)),"Poste inconnu",IF(AND(E1909&lt;&gt;"",ISNA(MATCH(E1909,art_ref,0))),"Article inconnu",IF(IF(E1909="",FALSE,INDEX(art_check,MATCH(E1909,art_ref,0))&lt;&gt;"OK"),"Article à corriger (feuille Articles)",IF(COUNTIFS(sj_date,A1909,sj_eq,B1909,sj_po,C1909)&gt;1,"Ligne en double (même jour, équipe et poste)",IF(OR(NOT(ISNUMBER(K1909)),N(K1909)&lt;=0,N(K1909)&gt;1440),"Temps d'ouverture invalide",IF(OR(AND(G1909&lt;&gt;"",NOT(ISNUMBER(G1909))),N(G1909)&lt;0,N(G1909)&lt;&gt;INT(N(G1909)),AND(H1909&lt;&gt;"",NOT(ISNUMBER(H1909))),N(H1909)&lt;0,N(H1909)&lt;&gt;INT(N(H1909)),AND(I1909&lt;&gt;"",NOT(ISNUMBER(I1909))),N(I1909)&lt;0,N(I1909)&lt;&gt;INT(N(I1909))),"Quantité invalide",IF(Q1909&lt;=0,"Cadence manquante (poste ou article)",IF(M1909&lt;=0,"Arrêts planifiés supérieurs au temps d'ouverture",IF(O1909&lt;0,"Arrêts supérieurs au temps requis",IF(AND(P1909&gt;0,O1909=0),"Pièces déclarées sans temps de marche",IF(AND(P1909=0,O1909&gt;0),"Aucune pièce déclarée",IF(P1909*60/Q1909&gt;O1909+0.001,"Cadence dépassée : vérifiez la cadence","OK"))))))))))))))))))</f>
        <v/>
      </c>
      <c r="AC1909">
        <f>IF(OR(AB1909="OK",AB1909="Aucune pièce déclarée",AB1909="Cadence dépassée : vérifiez la cadence"),1,0)</f>
        <v>0.0</v>
      </c>
      <c r="AD1909">
        <f>IF(AND(AC1909=1,A1909&gt;=p_from,A1909&lt;=p_to),1,0)</f>
        <v>0.0</v>
      </c>
      <c r="AE1909">
        <f>IF(AD1909=1,IF(COUNTIFS($A$6:A1909,A1909,$AD$6:AD1909,1)=1,1,0),0)</f>
        <v>0.0</v>
      </c>
      <c r="AF1909" t="str">
        <f>IF(AE1909=1,COUNTIFS(sj_first,1,sj_date,"&lt;"&amp;A1909)+1,"")</f>
        <v/>
      </c>
      <c r="AG1909" t="str">
        <f>IF(AND(AD1909=1,N(W1909)&lt;p_alert),ROUND(W1909,4),"")</f>
        <v/>
      </c>
      <c r="AH1909" t="str">
        <f>IF(AG1909="","",COUNTIF(sj_akey,"&lt;"&amp;AG1909)+COUNTIF($AG$6:AG1909,AG1909))</f>
        <v/>
      </c>
    </row>
    <row r="1910">
      <c r="A1910" s="51" t="n"/>
      <c r="B1910" s="52" t="n"/>
      <c r="C1910" s="52" t="n"/>
      <c r="D1910" s="53" t="n"/>
      <c r="E1910" s="53" t="n"/>
      <c r="F1910" s="54" t="n"/>
      <c r="G1910" s="54" t="n"/>
      <c r="H1910" s="54" t="n"/>
      <c r="I1910" s="54" t="n"/>
      <c r="J1910" s="53" t="n"/>
      <c r="K1910" s="55" t="str">
        <f>IF(COUNTA(A1910:I1910)=0,"",IF(F1910="",IFERROR(INDEX(eq_dur,MATCH(B1910,eq_code,0)),""),F1910))</f>
        <v/>
      </c>
      <c r="L1910" s="55" t="str">
        <f>IF(ISNUMBER(K1910),N(IFERROR(INDEX(eq_pause,MATCH(B1910,eq_code,0)),0))+SUMIFS(st_min,st_date,A1910,st_eq,B1910,st_po,C1910,st_type,"Planifié"),"")</f>
        <v/>
      </c>
      <c r="M1910" s="55" t="str">
        <f>IF(ISNUMBER(K1910),K1910-L1910,"")</f>
        <v/>
      </c>
      <c r="N1910" s="55" t="str">
        <f>IF(ISNUMBER(K1910),SUMIFS(st_min,st_date,A1910,st_eq,B1910,st_po,C1910,st_type,"Non planifié"),"")</f>
        <v/>
      </c>
      <c r="O1910" s="55" t="str">
        <f>IF(ISNUMBER(K1910),M1910-N1910,"")</f>
        <v/>
      </c>
      <c r="P1910" s="55" t="str">
        <f>IF(COUNTA(A1910:I1910)=0,"",N(G1910)+N(H1910)+N(I1910))</f>
        <v/>
      </c>
      <c r="Q1910" s="56" t="str">
        <f>IF(COUNTA(A1910:I1910)=0,"",IF(N(IFERROR(INDEX(art_rate,MATCH(E1910,art_ref,0)),0))&gt;0,N(IFERROR(INDEX(art_rate,MATCH(E1910,art_ref,0)),0)),N(IFERROR(INDEX(po_rate,MATCH(C1910,po_code,0)),0))))</f>
        <v/>
      </c>
      <c r="R1910" s="55" t="str">
        <f>IF(AC1910=1,P1910*60/Q1910,"")</f>
        <v/>
      </c>
      <c r="S1910" s="55" t="str">
        <f>IF(AC1910=1,N(G1910)*60/Q1910,"")</f>
        <v/>
      </c>
      <c r="T1910" s="57" t="str">
        <f>IF(AC1910=1,O1910/M1910,"")</f>
        <v/>
      </c>
      <c r="U1910" s="57" t="str">
        <f>IF(AC1910=1,IF(O1910&gt;0,R1910/O1910,""),"")</f>
        <v/>
      </c>
      <c r="V1910" s="57" t="str">
        <f>IF(AC1910=1,IF(P1910&gt;0,N(G1910)/P1910,""),"")</f>
        <v/>
      </c>
      <c r="W1910" s="57" t="str">
        <f>IF(AC1910=1,S1910/M1910,"")</f>
        <v/>
      </c>
      <c r="X1910" s="57" t="str">
        <f>IF(AC1910=1,S1910/K1910,"")</f>
        <v/>
      </c>
      <c r="Y1910" s="58" t="str">
        <f>IF(W1910="","",IF(W1910&gt;=p_target,"Bon",IF(W1910&gt;=p_alert,"À surveiller","Faible")))</f>
        <v/>
      </c>
      <c r="Z1910" s="58" t="str">
        <f>IF(W1910="","",IF(MIN(IF(T1910="",1,T1910),IF(U1910="",1,U1910),IF(V1910="",1,V1910))&gt;=1,"Aucune",IF(IF(T1910="",1,T1910)&lt;=MIN(IF(U1910="",1,U1910),IF(V1910="",1,V1910)),"Disponibilité",IF(IF(U1910="",1,U1910)&lt;=IF(V1910="",1,V1910),"Performance","Qualité"))))</f>
        <v/>
      </c>
      <c r="AA1910" s="59" t="str">
        <f>IF(AC1910=1,N(H1910)*N(IFERROR(INDEX(art_cost,MATCH(E1910,art_ref,0)),0)),"")</f>
        <v/>
      </c>
      <c r="AB1910" s="58" t="str">
        <f>IF(COUNTA(A1910:I1910)=0,"",IF(N(A1910)&lt;=0,"Date manquante ou invalide",IF(B1910="","Équipe manquante",IF(ISNA(MATCH(B1910,eq_code,0)),"Équipe inconnue",IF(INDEX(eq_check,MATCH(B1910,eq_code,0))&lt;&gt;"OK","Équipe à corriger dans Paramètres",IF(C1910="","Poste manquant",IF(ISNA(MATCH(C1910,po_code,0)),"Poste inconnu",IF(AND(E1910&lt;&gt;"",ISNA(MATCH(E1910,art_ref,0))),"Article inconnu",IF(IF(E1910="",FALSE,INDEX(art_check,MATCH(E1910,art_ref,0))&lt;&gt;"OK"),"Article à corriger (feuille Articles)",IF(COUNTIFS(sj_date,A1910,sj_eq,B1910,sj_po,C1910)&gt;1,"Ligne en double (même jour, équipe et poste)",IF(OR(NOT(ISNUMBER(K1910)),N(K1910)&lt;=0,N(K1910)&gt;1440),"Temps d'ouverture invalide",IF(OR(AND(G1910&lt;&gt;"",NOT(ISNUMBER(G1910))),N(G1910)&lt;0,N(G1910)&lt;&gt;INT(N(G1910)),AND(H1910&lt;&gt;"",NOT(ISNUMBER(H1910))),N(H1910)&lt;0,N(H1910)&lt;&gt;INT(N(H1910)),AND(I1910&lt;&gt;"",NOT(ISNUMBER(I1910))),N(I1910)&lt;0,N(I1910)&lt;&gt;INT(N(I1910))),"Quantité invalide",IF(Q1910&lt;=0,"Cadence manquante (poste ou article)",IF(M1910&lt;=0,"Arrêts planifiés supérieurs au temps d'ouverture",IF(O1910&lt;0,"Arrêts supérieurs au temps requis",IF(AND(P1910&gt;0,O1910=0),"Pièces déclarées sans temps de marche",IF(AND(P1910=0,O1910&gt;0),"Aucune pièce déclarée",IF(P1910*60/Q1910&gt;O1910+0.001,"Cadence dépassée : vérifiez la cadence","OK"))))))))))))))))))</f>
        <v/>
      </c>
      <c r="AC1910">
        <f>IF(OR(AB1910="OK",AB1910="Aucune pièce déclarée",AB1910="Cadence dépassée : vérifiez la cadence"),1,0)</f>
        <v>0.0</v>
      </c>
      <c r="AD1910">
        <f>IF(AND(AC1910=1,A1910&gt;=p_from,A1910&lt;=p_to),1,0)</f>
        <v>0.0</v>
      </c>
      <c r="AE1910">
        <f>IF(AD1910=1,IF(COUNTIFS($A$6:A1910,A1910,$AD$6:AD1910,1)=1,1,0),0)</f>
        <v>0.0</v>
      </c>
      <c r="AF1910" t="str">
        <f>IF(AE1910=1,COUNTIFS(sj_first,1,sj_date,"&lt;"&amp;A1910)+1,"")</f>
        <v/>
      </c>
      <c r="AG1910" t="str">
        <f>IF(AND(AD1910=1,N(W1910)&lt;p_alert),ROUND(W1910,4),"")</f>
        <v/>
      </c>
      <c r="AH1910" t="str">
        <f>IF(AG1910="","",COUNTIF(sj_akey,"&lt;"&amp;AG1910)+COUNTIF($AG$6:AG1910,AG1910))</f>
        <v/>
      </c>
    </row>
    <row r="1911">
      <c r="A1911" s="51" t="n"/>
      <c r="B1911" s="52" t="n"/>
      <c r="C1911" s="52" t="n"/>
      <c r="D1911" s="53" t="n"/>
      <c r="E1911" s="53" t="n"/>
      <c r="F1911" s="54" t="n"/>
      <c r="G1911" s="54" t="n"/>
      <c r="H1911" s="54" t="n"/>
      <c r="I1911" s="54" t="n"/>
      <c r="J1911" s="53" t="n"/>
      <c r="K1911" s="55" t="str">
        <f>IF(COUNTA(A1911:I1911)=0,"",IF(F1911="",IFERROR(INDEX(eq_dur,MATCH(B1911,eq_code,0)),""),F1911))</f>
        <v/>
      </c>
      <c r="L1911" s="55" t="str">
        <f>IF(ISNUMBER(K1911),N(IFERROR(INDEX(eq_pause,MATCH(B1911,eq_code,0)),0))+SUMIFS(st_min,st_date,A1911,st_eq,B1911,st_po,C1911,st_type,"Planifié"),"")</f>
        <v/>
      </c>
      <c r="M1911" s="55" t="str">
        <f>IF(ISNUMBER(K1911),K1911-L1911,"")</f>
        <v/>
      </c>
      <c r="N1911" s="55" t="str">
        <f>IF(ISNUMBER(K1911),SUMIFS(st_min,st_date,A1911,st_eq,B1911,st_po,C1911,st_type,"Non planifié"),"")</f>
        <v/>
      </c>
      <c r="O1911" s="55" t="str">
        <f>IF(ISNUMBER(K1911),M1911-N1911,"")</f>
        <v/>
      </c>
      <c r="P1911" s="55" t="str">
        <f>IF(COUNTA(A1911:I1911)=0,"",N(G1911)+N(H1911)+N(I1911))</f>
        <v/>
      </c>
      <c r="Q1911" s="56" t="str">
        <f>IF(COUNTA(A1911:I1911)=0,"",IF(N(IFERROR(INDEX(art_rate,MATCH(E1911,art_ref,0)),0))&gt;0,N(IFERROR(INDEX(art_rate,MATCH(E1911,art_ref,0)),0)),N(IFERROR(INDEX(po_rate,MATCH(C1911,po_code,0)),0))))</f>
        <v/>
      </c>
      <c r="R1911" s="55" t="str">
        <f>IF(AC1911=1,P1911*60/Q1911,"")</f>
        <v/>
      </c>
      <c r="S1911" s="55" t="str">
        <f>IF(AC1911=1,N(G1911)*60/Q1911,"")</f>
        <v/>
      </c>
      <c r="T1911" s="57" t="str">
        <f>IF(AC1911=1,O1911/M1911,"")</f>
        <v/>
      </c>
      <c r="U1911" s="57" t="str">
        <f>IF(AC1911=1,IF(O1911&gt;0,R1911/O1911,""),"")</f>
        <v/>
      </c>
      <c r="V1911" s="57" t="str">
        <f>IF(AC1911=1,IF(P1911&gt;0,N(G1911)/P1911,""),"")</f>
        <v/>
      </c>
      <c r="W1911" s="57" t="str">
        <f>IF(AC1911=1,S1911/M1911,"")</f>
        <v/>
      </c>
      <c r="X1911" s="57" t="str">
        <f>IF(AC1911=1,S1911/K1911,"")</f>
        <v/>
      </c>
      <c r="Y1911" s="58" t="str">
        <f>IF(W1911="","",IF(W1911&gt;=p_target,"Bon",IF(W1911&gt;=p_alert,"À surveiller","Faible")))</f>
        <v/>
      </c>
      <c r="Z1911" s="58" t="str">
        <f>IF(W1911="","",IF(MIN(IF(T1911="",1,T1911),IF(U1911="",1,U1911),IF(V1911="",1,V1911))&gt;=1,"Aucune",IF(IF(T1911="",1,T1911)&lt;=MIN(IF(U1911="",1,U1911),IF(V1911="",1,V1911)),"Disponibilité",IF(IF(U1911="",1,U1911)&lt;=IF(V1911="",1,V1911),"Performance","Qualité"))))</f>
        <v/>
      </c>
      <c r="AA1911" s="59" t="str">
        <f>IF(AC1911=1,N(H1911)*N(IFERROR(INDEX(art_cost,MATCH(E1911,art_ref,0)),0)),"")</f>
        <v/>
      </c>
      <c r="AB1911" s="58" t="str">
        <f>IF(COUNTA(A1911:I1911)=0,"",IF(N(A1911)&lt;=0,"Date manquante ou invalide",IF(B1911="","Équipe manquante",IF(ISNA(MATCH(B1911,eq_code,0)),"Équipe inconnue",IF(INDEX(eq_check,MATCH(B1911,eq_code,0))&lt;&gt;"OK","Équipe à corriger dans Paramètres",IF(C1911="","Poste manquant",IF(ISNA(MATCH(C1911,po_code,0)),"Poste inconnu",IF(AND(E1911&lt;&gt;"",ISNA(MATCH(E1911,art_ref,0))),"Article inconnu",IF(IF(E1911="",FALSE,INDEX(art_check,MATCH(E1911,art_ref,0))&lt;&gt;"OK"),"Article à corriger (feuille Articles)",IF(COUNTIFS(sj_date,A1911,sj_eq,B1911,sj_po,C1911)&gt;1,"Ligne en double (même jour, équipe et poste)",IF(OR(NOT(ISNUMBER(K1911)),N(K1911)&lt;=0,N(K1911)&gt;1440),"Temps d'ouverture invalide",IF(OR(AND(G1911&lt;&gt;"",NOT(ISNUMBER(G1911))),N(G1911)&lt;0,N(G1911)&lt;&gt;INT(N(G1911)),AND(H1911&lt;&gt;"",NOT(ISNUMBER(H1911))),N(H1911)&lt;0,N(H1911)&lt;&gt;INT(N(H1911)),AND(I1911&lt;&gt;"",NOT(ISNUMBER(I1911))),N(I1911)&lt;0,N(I1911)&lt;&gt;INT(N(I1911))),"Quantité invalide",IF(Q1911&lt;=0,"Cadence manquante (poste ou article)",IF(M1911&lt;=0,"Arrêts planifiés supérieurs au temps d'ouverture",IF(O1911&lt;0,"Arrêts supérieurs au temps requis",IF(AND(P1911&gt;0,O1911=0),"Pièces déclarées sans temps de marche",IF(AND(P1911=0,O1911&gt;0),"Aucune pièce déclarée",IF(P1911*60/Q1911&gt;O1911+0.001,"Cadence dépassée : vérifiez la cadence","OK"))))))))))))))))))</f>
        <v/>
      </c>
      <c r="AC1911">
        <f>IF(OR(AB1911="OK",AB1911="Aucune pièce déclarée",AB1911="Cadence dépassée : vérifiez la cadence"),1,0)</f>
        <v>0.0</v>
      </c>
      <c r="AD1911">
        <f>IF(AND(AC1911=1,A1911&gt;=p_from,A1911&lt;=p_to),1,0)</f>
        <v>0.0</v>
      </c>
      <c r="AE1911">
        <f>IF(AD1911=1,IF(COUNTIFS($A$6:A1911,A1911,$AD$6:AD1911,1)=1,1,0),0)</f>
        <v>0.0</v>
      </c>
      <c r="AF1911" t="str">
        <f>IF(AE1911=1,COUNTIFS(sj_first,1,sj_date,"&lt;"&amp;A1911)+1,"")</f>
        <v/>
      </c>
      <c r="AG1911" t="str">
        <f>IF(AND(AD1911=1,N(W1911)&lt;p_alert),ROUND(W1911,4),"")</f>
        <v/>
      </c>
      <c r="AH1911" t="str">
        <f>IF(AG1911="","",COUNTIF(sj_akey,"&lt;"&amp;AG1911)+COUNTIF($AG$6:AG1911,AG1911))</f>
        <v/>
      </c>
    </row>
    <row r="1912">
      <c r="A1912" s="51" t="n"/>
      <c r="B1912" s="52" t="n"/>
      <c r="C1912" s="52" t="n"/>
      <c r="D1912" s="53" t="n"/>
      <c r="E1912" s="53" t="n"/>
      <c r="F1912" s="54" t="n"/>
      <c r="G1912" s="54" t="n"/>
      <c r="H1912" s="54" t="n"/>
      <c r="I1912" s="54" t="n"/>
      <c r="J1912" s="53" t="n"/>
      <c r="K1912" s="55" t="str">
        <f>IF(COUNTA(A1912:I1912)=0,"",IF(F1912="",IFERROR(INDEX(eq_dur,MATCH(B1912,eq_code,0)),""),F1912))</f>
        <v/>
      </c>
      <c r="L1912" s="55" t="str">
        <f>IF(ISNUMBER(K1912),N(IFERROR(INDEX(eq_pause,MATCH(B1912,eq_code,0)),0))+SUMIFS(st_min,st_date,A1912,st_eq,B1912,st_po,C1912,st_type,"Planifié"),"")</f>
        <v/>
      </c>
      <c r="M1912" s="55" t="str">
        <f>IF(ISNUMBER(K1912),K1912-L1912,"")</f>
        <v/>
      </c>
      <c r="N1912" s="55" t="str">
        <f>IF(ISNUMBER(K1912),SUMIFS(st_min,st_date,A1912,st_eq,B1912,st_po,C1912,st_type,"Non planifié"),"")</f>
        <v/>
      </c>
      <c r="O1912" s="55" t="str">
        <f>IF(ISNUMBER(K1912),M1912-N1912,"")</f>
        <v/>
      </c>
      <c r="P1912" s="55" t="str">
        <f>IF(COUNTA(A1912:I1912)=0,"",N(G1912)+N(H1912)+N(I1912))</f>
        <v/>
      </c>
      <c r="Q1912" s="56" t="str">
        <f>IF(COUNTA(A1912:I1912)=0,"",IF(N(IFERROR(INDEX(art_rate,MATCH(E1912,art_ref,0)),0))&gt;0,N(IFERROR(INDEX(art_rate,MATCH(E1912,art_ref,0)),0)),N(IFERROR(INDEX(po_rate,MATCH(C1912,po_code,0)),0))))</f>
        <v/>
      </c>
      <c r="R1912" s="55" t="str">
        <f>IF(AC1912=1,P1912*60/Q1912,"")</f>
        <v/>
      </c>
      <c r="S1912" s="55" t="str">
        <f>IF(AC1912=1,N(G1912)*60/Q1912,"")</f>
        <v/>
      </c>
      <c r="T1912" s="57" t="str">
        <f>IF(AC1912=1,O1912/M1912,"")</f>
        <v/>
      </c>
      <c r="U1912" s="57" t="str">
        <f>IF(AC1912=1,IF(O1912&gt;0,R1912/O1912,""),"")</f>
        <v/>
      </c>
      <c r="V1912" s="57" t="str">
        <f>IF(AC1912=1,IF(P1912&gt;0,N(G1912)/P1912,""),"")</f>
        <v/>
      </c>
      <c r="W1912" s="57" t="str">
        <f>IF(AC1912=1,S1912/M1912,"")</f>
        <v/>
      </c>
      <c r="X1912" s="57" t="str">
        <f>IF(AC1912=1,S1912/K1912,"")</f>
        <v/>
      </c>
      <c r="Y1912" s="58" t="str">
        <f>IF(W1912="","",IF(W1912&gt;=p_target,"Bon",IF(W1912&gt;=p_alert,"À surveiller","Faible")))</f>
        <v/>
      </c>
      <c r="Z1912" s="58" t="str">
        <f>IF(W1912="","",IF(MIN(IF(T1912="",1,T1912),IF(U1912="",1,U1912),IF(V1912="",1,V1912))&gt;=1,"Aucune",IF(IF(T1912="",1,T1912)&lt;=MIN(IF(U1912="",1,U1912),IF(V1912="",1,V1912)),"Disponibilité",IF(IF(U1912="",1,U1912)&lt;=IF(V1912="",1,V1912),"Performance","Qualité"))))</f>
        <v/>
      </c>
      <c r="AA1912" s="59" t="str">
        <f>IF(AC1912=1,N(H1912)*N(IFERROR(INDEX(art_cost,MATCH(E1912,art_ref,0)),0)),"")</f>
        <v/>
      </c>
      <c r="AB1912" s="58" t="str">
        <f>IF(COUNTA(A1912:I1912)=0,"",IF(N(A1912)&lt;=0,"Date manquante ou invalide",IF(B1912="","Équipe manquante",IF(ISNA(MATCH(B1912,eq_code,0)),"Équipe inconnue",IF(INDEX(eq_check,MATCH(B1912,eq_code,0))&lt;&gt;"OK","Équipe à corriger dans Paramètres",IF(C1912="","Poste manquant",IF(ISNA(MATCH(C1912,po_code,0)),"Poste inconnu",IF(AND(E1912&lt;&gt;"",ISNA(MATCH(E1912,art_ref,0))),"Article inconnu",IF(IF(E1912="",FALSE,INDEX(art_check,MATCH(E1912,art_ref,0))&lt;&gt;"OK"),"Article à corriger (feuille Articles)",IF(COUNTIFS(sj_date,A1912,sj_eq,B1912,sj_po,C1912)&gt;1,"Ligne en double (même jour, équipe et poste)",IF(OR(NOT(ISNUMBER(K1912)),N(K1912)&lt;=0,N(K1912)&gt;1440),"Temps d'ouverture invalide",IF(OR(AND(G1912&lt;&gt;"",NOT(ISNUMBER(G1912))),N(G1912)&lt;0,N(G1912)&lt;&gt;INT(N(G1912)),AND(H1912&lt;&gt;"",NOT(ISNUMBER(H1912))),N(H1912)&lt;0,N(H1912)&lt;&gt;INT(N(H1912)),AND(I1912&lt;&gt;"",NOT(ISNUMBER(I1912))),N(I1912)&lt;0,N(I1912)&lt;&gt;INT(N(I1912))),"Quantité invalide",IF(Q1912&lt;=0,"Cadence manquante (poste ou article)",IF(M1912&lt;=0,"Arrêts planifiés supérieurs au temps d'ouverture",IF(O1912&lt;0,"Arrêts supérieurs au temps requis",IF(AND(P1912&gt;0,O1912=0),"Pièces déclarées sans temps de marche",IF(AND(P1912=0,O1912&gt;0),"Aucune pièce déclarée",IF(P1912*60/Q1912&gt;O1912+0.001,"Cadence dépassée : vérifiez la cadence","OK"))))))))))))))))))</f>
        <v/>
      </c>
      <c r="AC1912">
        <f>IF(OR(AB1912="OK",AB1912="Aucune pièce déclarée",AB1912="Cadence dépassée : vérifiez la cadence"),1,0)</f>
        <v>0.0</v>
      </c>
      <c r="AD1912">
        <f>IF(AND(AC1912=1,A1912&gt;=p_from,A1912&lt;=p_to),1,0)</f>
        <v>0.0</v>
      </c>
      <c r="AE1912">
        <f>IF(AD1912=1,IF(COUNTIFS($A$6:A1912,A1912,$AD$6:AD1912,1)=1,1,0),0)</f>
        <v>0.0</v>
      </c>
      <c r="AF1912" t="str">
        <f>IF(AE1912=1,COUNTIFS(sj_first,1,sj_date,"&lt;"&amp;A1912)+1,"")</f>
        <v/>
      </c>
      <c r="AG1912" t="str">
        <f>IF(AND(AD1912=1,N(W1912)&lt;p_alert),ROUND(W1912,4),"")</f>
        <v/>
      </c>
      <c r="AH1912" t="str">
        <f>IF(AG1912="","",COUNTIF(sj_akey,"&lt;"&amp;AG1912)+COUNTIF($AG$6:AG1912,AG1912))</f>
        <v/>
      </c>
    </row>
    <row r="1913">
      <c r="A1913" s="51" t="n"/>
      <c r="B1913" s="52" t="n"/>
      <c r="C1913" s="52" t="n"/>
      <c r="D1913" s="53" t="n"/>
      <c r="E1913" s="53" t="n"/>
      <c r="F1913" s="54" t="n"/>
      <c r="G1913" s="54" t="n"/>
      <c r="H1913" s="54" t="n"/>
      <c r="I1913" s="54" t="n"/>
      <c r="J1913" s="53" t="n"/>
      <c r="K1913" s="55" t="str">
        <f>IF(COUNTA(A1913:I1913)=0,"",IF(F1913="",IFERROR(INDEX(eq_dur,MATCH(B1913,eq_code,0)),""),F1913))</f>
        <v/>
      </c>
      <c r="L1913" s="55" t="str">
        <f>IF(ISNUMBER(K1913),N(IFERROR(INDEX(eq_pause,MATCH(B1913,eq_code,0)),0))+SUMIFS(st_min,st_date,A1913,st_eq,B1913,st_po,C1913,st_type,"Planifié"),"")</f>
        <v/>
      </c>
      <c r="M1913" s="55" t="str">
        <f>IF(ISNUMBER(K1913),K1913-L1913,"")</f>
        <v/>
      </c>
      <c r="N1913" s="55" t="str">
        <f>IF(ISNUMBER(K1913),SUMIFS(st_min,st_date,A1913,st_eq,B1913,st_po,C1913,st_type,"Non planifié"),"")</f>
        <v/>
      </c>
      <c r="O1913" s="55" t="str">
        <f>IF(ISNUMBER(K1913),M1913-N1913,"")</f>
        <v/>
      </c>
      <c r="P1913" s="55" t="str">
        <f>IF(COUNTA(A1913:I1913)=0,"",N(G1913)+N(H1913)+N(I1913))</f>
        <v/>
      </c>
      <c r="Q1913" s="56" t="str">
        <f>IF(COUNTA(A1913:I1913)=0,"",IF(N(IFERROR(INDEX(art_rate,MATCH(E1913,art_ref,0)),0))&gt;0,N(IFERROR(INDEX(art_rate,MATCH(E1913,art_ref,0)),0)),N(IFERROR(INDEX(po_rate,MATCH(C1913,po_code,0)),0))))</f>
        <v/>
      </c>
      <c r="R1913" s="55" t="str">
        <f>IF(AC1913=1,P1913*60/Q1913,"")</f>
        <v/>
      </c>
      <c r="S1913" s="55" t="str">
        <f>IF(AC1913=1,N(G1913)*60/Q1913,"")</f>
        <v/>
      </c>
      <c r="T1913" s="57" t="str">
        <f>IF(AC1913=1,O1913/M1913,"")</f>
        <v/>
      </c>
      <c r="U1913" s="57" t="str">
        <f>IF(AC1913=1,IF(O1913&gt;0,R1913/O1913,""),"")</f>
        <v/>
      </c>
      <c r="V1913" s="57" t="str">
        <f>IF(AC1913=1,IF(P1913&gt;0,N(G1913)/P1913,""),"")</f>
        <v/>
      </c>
      <c r="W1913" s="57" t="str">
        <f>IF(AC1913=1,S1913/M1913,"")</f>
        <v/>
      </c>
      <c r="X1913" s="57" t="str">
        <f>IF(AC1913=1,S1913/K1913,"")</f>
        <v/>
      </c>
      <c r="Y1913" s="58" t="str">
        <f>IF(W1913="","",IF(W1913&gt;=p_target,"Bon",IF(W1913&gt;=p_alert,"À surveiller","Faible")))</f>
        <v/>
      </c>
      <c r="Z1913" s="58" t="str">
        <f>IF(W1913="","",IF(MIN(IF(T1913="",1,T1913),IF(U1913="",1,U1913),IF(V1913="",1,V1913))&gt;=1,"Aucune",IF(IF(T1913="",1,T1913)&lt;=MIN(IF(U1913="",1,U1913),IF(V1913="",1,V1913)),"Disponibilité",IF(IF(U1913="",1,U1913)&lt;=IF(V1913="",1,V1913),"Performance","Qualité"))))</f>
        <v/>
      </c>
      <c r="AA1913" s="59" t="str">
        <f>IF(AC1913=1,N(H1913)*N(IFERROR(INDEX(art_cost,MATCH(E1913,art_ref,0)),0)),"")</f>
        <v/>
      </c>
      <c r="AB1913" s="58" t="str">
        <f>IF(COUNTA(A1913:I1913)=0,"",IF(N(A1913)&lt;=0,"Date manquante ou invalide",IF(B1913="","Équipe manquante",IF(ISNA(MATCH(B1913,eq_code,0)),"Équipe inconnue",IF(INDEX(eq_check,MATCH(B1913,eq_code,0))&lt;&gt;"OK","Équipe à corriger dans Paramètres",IF(C1913="","Poste manquant",IF(ISNA(MATCH(C1913,po_code,0)),"Poste inconnu",IF(AND(E1913&lt;&gt;"",ISNA(MATCH(E1913,art_ref,0))),"Article inconnu",IF(IF(E1913="",FALSE,INDEX(art_check,MATCH(E1913,art_ref,0))&lt;&gt;"OK"),"Article à corriger (feuille Articles)",IF(COUNTIFS(sj_date,A1913,sj_eq,B1913,sj_po,C1913)&gt;1,"Ligne en double (même jour, équipe et poste)",IF(OR(NOT(ISNUMBER(K1913)),N(K1913)&lt;=0,N(K1913)&gt;1440),"Temps d'ouverture invalide",IF(OR(AND(G1913&lt;&gt;"",NOT(ISNUMBER(G1913))),N(G1913)&lt;0,N(G1913)&lt;&gt;INT(N(G1913)),AND(H1913&lt;&gt;"",NOT(ISNUMBER(H1913))),N(H1913)&lt;0,N(H1913)&lt;&gt;INT(N(H1913)),AND(I1913&lt;&gt;"",NOT(ISNUMBER(I1913))),N(I1913)&lt;0,N(I1913)&lt;&gt;INT(N(I1913))),"Quantité invalide",IF(Q1913&lt;=0,"Cadence manquante (poste ou article)",IF(M1913&lt;=0,"Arrêts planifiés supérieurs au temps d'ouverture",IF(O1913&lt;0,"Arrêts supérieurs au temps requis",IF(AND(P1913&gt;0,O1913=0),"Pièces déclarées sans temps de marche",IF(AND(P1913=0,O1913&gt;0),"Aucune pièce déclarée",IF(P1913*60/Q1913&gt;O1913+0.001,"Cadence dépassée : vérifiez la cadence","OK"))))))))))))))))))</f>
        <v/>
      </c>
      <c r="AC1913">
        <f>IF(OR(AB1913="OK",AB1913="Aucune pièce déclarée",AB1913="Cadence dépassée : vérifiez la cadence"),1,0)</f>
        <v>0.0</v>
      </c>
      <c r="AD1913">
        <f>IF(AND(AC1913=1,A1913&gt;=p_from,A1913&lt;=p_to),1,0)</f>
        <v>0.0</v>
      </c>
      <c r="AE1913">
        <f>IF(AD1913=1,IF(COUNTIFS($A$6:A1913,A1913,$AD$6:AD1913,1)=1,1,0),0)</f>
        <v>0.0</v>
      </c>
      <c r="AF1913" t="str">
        <f>IF(AE1913=1,COUNTIFS(sj_first,1,sj_date,"&lt;"&amp;A1913)+1,"")</f>
        <v/>
      </c>
      <c r="AG1913" t="str">
        <f>IF(AND(AD1913=1,N(W1913)&lt;p_alert),ROUND(W1913,4),"")</f>
        <v/>
      </c>
      <c r="AH1913" t="str">
        <f>IF(AG1913="","",COUNTIF(sj_akey,"&lt;"&amp;AG1913)+COUNTIF($AG$6:AG1913,AG1913))</f>
        <v/>
      </c>
    </row>
    <row r="1914">
      <c r="A1914" s="51" t="n"/>
      <c r="B1914" s="52" t="n"/>
      <c r="C1914" s="52" t="n"/>
      <c r="D1914" s="53" t="n"/>
      <c r="E1914" s="53" t="n"/>
      <c r="F1914" s="54" t="n"/>
      <c r="G1914" s="54" t="n"/>
      <c r="H1914" s="54" t="n"/>
      <c r="I1914" s="54" t="n"/>
      <c r="J1914" s="53" t="n"/>
      <c r="K1914" s="55" t="str">
        <f>IF(COUNTA(A1914:I1914)=0,"",IF(F1914="",IFERROR(INDEX(eq_dur,MATCH(B1914,eq_code,0)),""),F1914))</f>
        <v/>
      </c>
      <c r="L1914" s="55" t="str">
        <f>IF(ISNUMBER(K1914),N(IFERROR(INDEX(eq_pause,MATCH(B1914,eq_code,0)),0))+SUMIFS(st_min,st_date,A1914,st_eq,B1914,st_po,C1914,st_type,"Planifié"),"")</f>
        <v/>
      </c>
      <c r="M1914" s="55" t="str">
        <f>IF(ISNUMBER(K1914),K1914-L1914,"")</f>
        <v/>
      </c>
      <c r="N1914" s="55" t="str">
        <f>IF(ISNUMBER(K1914),SUMIFS(st_min,st_date,A1914,st_eq,B1914,st_po,C1914,st_type,"Non planifié"),"")</f>
        <v/>
      </c>
      <c r="O1914" s="55" t="str">
        <f>IF(ISNUMBER(K1914),M1914-N1914,"")</f>
        <v/>
      </c>
      <c r="P1914" s="55" t="str">
        <f>IF(COUNTA(A1914:I1914)=0,"",N(G1914)+N(H1914)+N(I1914))</f>
        <v/>
      </c>
      <c r="Q1914" s="56" t="str">
        <f>IF(COUNTA(A1914:I1914)=0,"",IF(N(IFERROR(INDEX(art_rate,MATCH(E1914,art_ref,0)),0))&gt;0,N(IFERROR(INDEX(art_rate,MATCH(E1914,art_ref,0)),0)),N(IFERROR(INDEX(po_rate,MATCH(C1914,po_code,0)),0))))</f>
        <v/>
      </c>
      <c r="R1914" s="55" t="str">
        <f>IF(AC1914=1,P1914*60/Q1914,"")</f>
        <v/>
      </c>
      <c r="S1914" s="55" t="str">
        <f>IF(AC1914=1,N(G1914)*60/Q1914,"")</f>
        <v/>
      </c>
      <c r="T1914" s="57" t="str">
        <f>IF(AC1914=1,O1914/M1914,"")</f>
        <v/>
      </c>
      <c r="U1914" s="57" t="str">
        <f>IF(AC1914=1,IF(O1914&gt;0,R1914/O1914,""),"")</f>
        <v/>
      </c>
      <c r="V1914" s="57" t="str">
        <f>IF(AC1914=1,IF(P1914&gt;0,N(G1914)/P1914,""),"")</f>
        <v/>
      </c>
      <c r="W1914" s="57" t="str">
        <f>IF(AC1914=1,S1914/M1914,"")</f>
        <v/>
      </c>
      <c r="X1914" s="57" t="str">
        <f>IF(AC1914=1,S1914/K1914,"")</f>
        <v/>
      </c>
      <c r="Y1914" s="58" t="str">
        <f>IF(W1914="","",IF(W1914&gt;=p_target,"Bon",IF(W1914&gt;=p_alert,"À surveiller","Faible")))</f>
        <v/>
      </c>
      <c r="Z1914" s="58" t="str">
        <f>IF(W1914="","",IF(MIN(IF(T1914="",1,T1914),IF(U1914="",1,U1914),IF(V1914="",1,V1914))&gt;=1,"Aucune",IF(IF(T1914="",1,T1914)&lt;=MIN(IF(U1914="",1,U1914),IF(V1914="",1,V1914)),"Disponibilité",IF(IF(U1914="",1,U1914)&lt;=IF(V1914="",1,V1914),"Performance","Qualité"))))</f>
        <v/>
      </c>
      <c r="AA1914" s="59" t="str">
        <f>IF(AC1914=1,N(H1914)*N(IFERROR(INDEX(art_cost,MATCH(E1914,art_ref,0)),0)),"")</f>
        <v/>
      </c>
      <c r="AB1914" s="58" t="str">
        <f>IF(COUNTA(A1914:I1914)=0,"",IF(N(A1914)&lt;=0,"Date manquante ou invalide",IF(B1914="","Équipe manquante",IF(ISNA(MATCH(B1914,eq_code,0)),"Équipe inconnue",IF(INDEX(eq_check,MATCH(B1914,eq_code,0))&lt;&gt;"OK","Équipe à corriger dans Paramètres",IF(C1914="","Poste manquant",IF(ISNA(MATCH(C1914,po_code,0)),"Poste inconnu",IF(AND(E1914&lt;&gt;"",ISNA(MATCH(E1914,art_ref,0))),"Article inconnu",IF(IF(E1914="",FALSE,INDEX(art_check,MATCH(E1914,art_ref,0))&lt;&gt;"OK"),"Article à corriger (feuille Articles)",IF(COUNTIFS(sj_date,A1914,sj_eq,B1914,sj_po,C1914)&gt;1,"Ligne en double (même jour, équipe et poste)",IF(OR(NOT(ISNUMBER(K1914)),N(K1914)&lt;=0,N(K1914)&gt;1440),"Temps d'ouverture invalide",IF(OR(AND(G1914&lt;&gt;"",NOT(ISNUMBER(G1914))),N(G1914)&lt;0,N(G1914)&lt;&gt;INT(N(G1914)),AND(H1914&lt;&gt;"",NOT(ISNUMBER(H1914))),N(H1914)&lt;0,N(H1914)&lt;&gt;INT(N(H1914)),AND(I1914&lt;&gt;"",NOT(ISNUMBER(I1914))),N(I1914)&lt;0,N(I1914)&lt;&gt;INT(N(I1914))),"Quantité invalide",IF(Q1914&lt;=0,"Cadence manquante (poste ou article)",IF(M1914&lt;=0,"Arrêts planifiés supérieurs au temps d'ouverture",IF(O1914&lt;0,"Arrêts supérieurs au temps requis",IF(AND(P1914&gt;0,O1914=0),"Pièces déclarées sans temps de marche",IF(AND(P1914=0,O1914&gt;0),"Aucune pièce déclarée",IF(P1914*60/Q1914&gt;O1914+0.001,"Cadence dépassée : vérifiez la cadence","OK"))))))))))))))))))</f>
        <v/>
      </c>
      <c r="AC1914">
        <f>IF(OR(AB1914="OK",AB1914="Aucune pièce déclarée",AB1914="Cadence dépassée : vérifiez la cadence"),1,0)</f>
        <v>0.0</v>
      </c>
      <c r="AD1914">
        <f>IF(AND(AC1914=1,A1914&gt;=p_from,A1914&lt;=p_to),1,0)</f>
        <v>0.0</v>
      </c>
      <c r="AE1914">
        <f>IF(AD1914=1,IF(COUNTIFS($A$6:A1914,A1914,$AD$6:AD1914,1)=1,1,0),0)</f>
        <v>0.0</v>
      </c>
      <c r="AF1914" t="str">
        <f>IF(AE1914=1,COUNTIFS(sj_first,1,sj_date,"&lt;"&amp;A1914)+1,"")</f>
        <v/>
      </c>
      <c r="AG1914" t="str">
        <f>IF(AND(AD1914=1,N(W1914)&lt;p_alert),ROUND(W1914,4),"")</f>
        <v/>
      </c>
      <c r="AH1914" t="str">
        <f>IF(AG1914="","",COUNTIF(sj_akey,"&lt;"&amp;AG1914)+COUNTIF($AG$6:AG1914,AG1914))</f>
        <v/>
      </c>
    </row>
    <row r="1915">
      <c r="A1915" s="51" t="n"/>
      <c r="B1915" s="52" t="n"/>
      <c r="C1915" s="52" t="n"/>
      <c r="D1915" s="53" t="n"/>
      <c r="E1915" s="53" t="n"/>
      <c r="F1915" s="54" t="n"/>
      <c r="G1915" s="54" t="n"/>
      <c r="H1915" s="54" t="n"/>
      <c r="I1915" s="54" t="n"/>
      <c r="J1915" s="53" t="n"/>
      <c r="K1915" s="55" t="str">
        <f>IF(COUNTA(A1915:I1915)=0,"",IF(F1915="",IFERROR(INDEX(eq_dur,MATCH(B1915,eq_code,0)),""),F1915))</f>
        <v/>
      </c>
      <c r="L1915" s="55" t="str">
        <f>IF(ISNUMBER(K1915),N(IFERROR(INDEX(eq_pause,MATCH(B1915,eq_code,0)),0))+SUMIFS(st_min,st_date,A1915,st_eq,B1915,st_po,C1915,st_type,"Planifié"),"")</f>
        <v/>
      </c>
      <c r="M1915" s="55" t="str">
        <f>IF(ISNUMBER(K1915),K1915-L1915,"")</f>
        <v/>
      </c>
      <c r="N1915" s="55" t="str">
        <f>IF(ISNUMBER(K1915),SUMIFS(st_min,st_date,A1915,st_eq,B1915,st_po,C1915,st_type,"Non planifié"),"")</f>
        <v/>
      </c>
      <c r="O1915" s="55" t="str">
        <f>IF(ISNUMBER(K1915),M1915-N1915,"")</f>
        <v/>
      </c>
      <c r="P1915" s="55" t="str">
        <f>IF(COUNTA(A1915:I1915)=0,"",N(G1915)+N(H1915)+N(I1915))</f>
        <v/>
      </c>
      <c r="Q1915" s="56" t="str">
        <f>IF(COUNTA(A1915:I1915)=0,"",IF(N(IFERROR(INDEX(art_rate,MATCH(E1915,art_ref,0)),0))&gt;0,N(IFERROR(INDEX(art_rate,MATCH(E1915,art_ref,0)),0)),N(IFERROR(INDEX(po_rate,MATCH(C1915,po_code,0)),0))))</f>
        <v/>
      </c>
      <c r="R1915" s="55" t="str">
        <f>IF(AC1915=1,P1915*60/Q1915,"")</f>
        <v/>
      </c>
      <c r="S1915" s="55" t="str">
        <f>IF(AC1915=1,N(G1915)*60/Q1915,"")</f>
        <v/>
      </c>
      <c r="T1915" s="57" t="str">
        <f>IF(AC1915=1,O1915/M1915,"")</f>
        <v/>
      </c>
      <c r="U1915" s="57" t="str">
        <f>IF(AC1915=1,IF(O1915&gt;0,R1915/O1915,""),"")</f>
        <v/>
      </c>
      <c r="V1915" s="57" t="str">
        <f>IF(AC1915=1,IF(P1915&gt;0,N(G1915)/P1915,""),"")</f>
        <v/>
      </c>
      <c r="W1915" s="57" t="str">
        <f>IF(AC1915=1,S1915/M1915,"")</f>
        <v/>
      </c>
      <c r="X1915" s="57" t="str">
        <f>IF(AC1915=1,S1915/K1915,"")</f>
        <v/>
      </c>
      <c r="Y1915" s="58" t="str">
        <f>IF(W1915="","",IF(W1915&gt;=p_target,"Bon",IF(W1915&gt;=p_alert,"À surveiller","Faible")))</f>
        <v/>
      </c>
      <c r="Z1915" s="58" t="str">
        <f>IF(W1915="","",IF(MIN(IF(T1915="",1,T1915),IF(U1915="",1,U1915),IF(V1915="",1,V1915))&gt;=1,"Aucune",IF(IF(T1915="",1,T1915)&lt;=MIN(IF(U1915="",1,U1915),IF(V1915="",1,V1915)),"Disponibilité",IF(IF(U1915="",1,U1915)&lt;=IF(V1915="",1,V1915),"Performance","Qualité"))))</f>
        <v/>
      </c>
      <c r="AA1915" s="59" t="str">
        <f>IF(AC1915=1,N(H1915)*N(IFERROR(INDEX(art_cost,MATCH(E1915,art_ref,0)),0)),"")</f>
        <v/>
      </c>
      <c r="AB1915" s="58" t="str">
        <f>IF(COUNTA(A1915:I1915)=0,"",IF(N(A1915)&lt;=0,"Date manquante ou invalide",IF(B1915="","Équipe manquante",IF(ISNA(MATCH(B1915,eq_code,0)),"Équipe inconnue",IF(INDEX(eq_check,MATCH(B1915,eq_code,0))&lt;&gt;"OK","Équipe à corriger dans Paramètres",IF(C1915="","Poste manquant",IF(ISNA(MATCH(C1915,po_code,0)),"Poste inconnu",IF(AND(E1915&lt;&gt;"",ISNA(MATCH(E1915,art_ref,0))),"Article inconnu",IF(IF(E1915="",FALSE,INDEX(art_check,MATCH(E1915,art_ref,0))&lt;&gt;"OK"),"Article à corriger (feuille Articles)",IF(COUNTIFS(sj_date,A1915,sj_eq,B1915,sj_po,C1915)&gt;1,"Ligne en double (même jour, équipe et poste)",IF(OR(NOT(ISNUMBER(K1915)),N(K1915)&lt;=0,N(K1915)&gt;1440),"Temps d'ouverture invalide",IF(OR(AND(G1915&lt;&gt;"",NOT(ISNUMBER(G1915))),N(G1915)&lt;0,N(G1915)&lt;&gt;INT(N(G1915)),AND(H1915&lt;&gt;"",NOT(ISNUMBER(H1915))),N(H1915)&lt;0,N(H1915)&lt;&gt;INT(N(H1915)),AND(I1915&lt;&gt;"",NOT(ISNUMBER(I1915))),N(I1915)&lt;0,N(I1915)&lt;&gt;INT(N(I1915))),"Quantité invalide",IF(Q1915&lt;=0,"Cadence manquante (poste ou article)",IF(M1915&lt;=0,"Arrêts planifiés supérieurs au temps d'ouverture",IF(O1915&lt;0,"Arrêts supérieurs au temps requis",IF(AND(P1915&gt;0,O1915=0),"Pièces déclarées sans temps de marche",IF(AND(P1915=0,O1915&gt;0),"Aucune pièce déclarée",IF(P1915*60/Q1915&gt;O1915+0.001,"Cadence dépassée : vérifiez la cadence","OK"))))))))))))))))))</f>
        <v/>
      </c>
      <c r="AC1915">
        <f>IF(OR(AB1915="OK",AB1915="Aucune pièce déclarée",AB1915="Cadence dépassée : vérifiez la cadence"),1,0)</f>
        <v>0.0</v>
      </c>
      <c r="AD1915">
        <f>IF(AND(AC1915=1,A1915&gt;=p_from,A1915&lt;=p_to),1,0)</f>
        <v>0.0</v>
      </c>
      <c r="AE1915">
        <f>IF(AD1915=1,IF(COUNTIFS($A$6:A1915,A1915,$AD$6:AD1915,1)=1,1,0),0)</f>
        <v>0.0</v>
      </c>
      <c r="AF1915" t="str">
        <f>IF(AE1915=1,COUNTIFS(sj_first,1,sj_date,"&lt;"&amp;A1915)+1,"")</f>
        <v/>
      </c>
      <c r="AG1915" t="str">
        <f>IF(AND(AD1915=1,N(W1915)&lt;p_alert),ROUND(W1915,4),"")</f>
        <v/>
      </c>
      <c r="AH1915" t="str">
        <f>IF(AG1915="","",COUNTIF(sj_akey,"&lt;"&amp;AG1915)+COUNTIF($AG$6:AG1915,AG1915))</f>
        <v/>
      </c>
    </row>
    <row r="1916">
      <c r="A1916" s="51" t="n"/>
      <c r="B1916" s="52" t="n"/>
      <c r="C1916" s="52" t="n"/>
      <c r="D1916" s="53" t="n"/>
      <c r="E1916" s="53" t="n"/>
      <c r="F1916" s="54" t="n"/>
      <c r="G1916" s="54" t="n"/>
      <c r="H1916" s="54" t="n"/>
      <c r="I1916" s="54" t="n"/>
      <c r="J1916" s="53" t="n"/>
      <c r="K1916" s="55" t="str">
        <f>IF(COUNTA(A1916:I1916)=0,"",IF(F1916="",IFERROR(INDEX(eq_dur,MATCH(B1916,eq_code,0)),""),F1916))</f>
        <v/>
      </c>
      <c r="L1916" s="55" t="str">
        <f>IF(ISNUMBER(K1916),N(IFERROR(INDEX(eq_pause,MATCH(B1916,eq_code,0)),0))+SUMIFS(st_min,st_date,A1916,st_eq,B1916,st_po,C1916,st_type,"Planifié"),"")</f>
        <v/>
      </c>
      <c r="M1916" s="55" t="str">
        <f>IF(ISNUMBER(K1916),K1916-L1916,"")</f>
        <v/>
      </c>
      <c r="N1916" s="55" t="str">
        <f>IF(ISNUMBER(K1916),SUMIFS(st_min,st_date,A1916,st_eq,B1916,st_po,C1916,st_type,"Non planifié"),"")</f>
        <v/>
      </c>
      <c r="O1916" s="55" t="str">
        <f>IF(ISNUMBER(K1916),M1916-N1916,"")</f>
        <v/>
      </c>
      <c r="P1916" s="55" t="str">
        <f>IF(COUNTA(A1916:I1916)=0,"",N(G1916)+N(H1916)+N(I1916))</f>
        <v/>
      </c>
      <c r="Q1916" s="56" t="str">
        <f>IF(COUNTA(A1916:I1916)=0,"",IF(N(IFERROR(INDEX(art_rate,MATCH(E1916,art_ref,0)),0))&gt;0,N(IFERROR(INDEX(art_rate,MATCH(E1916,art_ref,0)),0)),N(IFERROR(INDEX(po_rate,MATCH(C1916,po_code,0)),0))))</f>
        <v/>
      </c>
      <c r="R1916" s="55" t="str">
        <f>IF(AC1916=1,P1916*60/Q1916,"")</f>
        <v/>
      </c>
      <c r="S1916" s="55" t="str">
        <f>IF(AC1916=1,N(G1916)*60/Q1916,"")</f>
        <v/>
      </c>
      <c r="T1916" s="57" t="str">
        <f>IF(AC1916=1,O1916/M1916,"")</f>
        <v/>
      </c>
      <c r="U1916" s="57" t="str">
        <f>IF(AC1916=1,IF(O1916&gt;0,R1916/O1916,""),"")</f>
        <v/>
      </c>
      <c r="V1916" s="57" t="str">
        <f>IF(AC1916=1,IF(P1916&gt;0,N(G1916)/P1916,""),"")</f>
        <v/>
      </c>
      <c r="W1916" s="57" t="str">
        <f>IF(AC1916=1,S1916/M1916,"")</f>
        <v/>
      </c>
      <c r="X1916" s="57" t="str">
        <f>IF(AC1916=1,S1916/K1916,"")</f>
        <v/>
      </c>
      <c r="Y1916" s="58" t="str">
        <f>IF(W1916="","",IF(W1916&gt;=p_target,"Bon",IF(W1916&gt;=p_alert,"À surveiller","Faible")))</f>
        <v/>
      </c>
      <c r="Z1916" s="58" t="str">
        <f>IF(W1916="","",IF(MIN(IF(T1916="",1,T1916),IF(U1916="",1,U1916),IF(V1916="",1,V1916))&gt;=1,"Aucune",IF(IF(T1916="",1,T1916)&lt;=MIN(IF(U1916="",1,U1916),IF(V1916="",1,V1916)),"Disponibilité",IF(IF(U1916="",1,U1916)&lt;=IF(V1916="",1,V1916),"Performance","Qualité"))))</f>
        <v/>
      </c>
      <c r="AA1916" s="59" t="str">
        <f>IF(AC1916=1,N(H1916)*N(IFERROR(INDEX(art_cost,MATCH(E1916,art_ref,0)),0)),"")</f>
        <v/>
      </c>
      <c r="AB1916" s="58" t="str">
        <f>IF(COUNTA(A1916:I1916)=0,"",IF(N(A1916)&lt;=0,"Date manquante ou invalide",IF(B1916="","Équipe manquante",IF(ISNA(MATCH(B1916,eq_code,0)),"Équipe inconnue",IF(INDEX(eq_check,MATCH(B1916,eq_code,0))&lt;&gt;"OK","Équipe à corriger dans Paramètres",IF(C1916="","Poste manquant",IF(ISNA(MATCH(C1916,po_code,0)),"Poste inconnu",IF(AND(E1916&lt;&gt;"",ISNA(MATCH(E1916,art_ref,0))),"Article inconnu",IF(IF(E1916="",FALSE,INDEX(art_check,MATCH(E1916,art_ref,0))&lt;&gt;"OK"),"Article à corriger (feuille Articles)",IF(COUNTIFS(sj_date,A1916,sj_eq,B1916,sj_po,C1916)&gt;1,"Ligne en double (même jour, équipe et poste)",IF(OR(NOT(ISNUMBER(K1916)),N(K1916)&lt;=0,N(K1916)&gt;1440),"Temps d'ouverture invalide",IF(OR(AND(G1916&lt;&gt;"",NOT(ISNUMBER(G1916))),N(G1916)&lt;0,N(G1916)&lt;&gt;INT(N(G1916)),AND(H1916&lt;&gt;"",NOT(ISNUMBER(H1916))),N(H1916)&lt;0,N(H1916)&lt;&gt;INT(N(H1916)),AND(I1916&lt;&gt;"",NOT(ISNUMBER(I1916))),N(I1916)&lt;0,N(I1916)&lt;&gt;INT(N(I1916))),"Quantité invalide",IF(Q1916&lt;=0,"Cadence manquante (poste ou article)",IF(M1916&lt;=0,"Arrêts planifiés supérieurs au temps d'ouverture",IF(O1916&lt;0,"Arrêts supérieurs au temps requis",IF(AND(P1916&gt;0,O1916=0),"Pièces déclarées sans temps de marche",IF(AND(P1916=0,O1916&gt;0),"Aucune pièce déclarée",IF(P1916*60/Q1916&gt;O1916+0.001,"Cadence dépassée : vérifiez la cadence","OK"))))))))))))))))))</f>
        <v/>
      </c>
      <c r="AC1916">
        <f>IF(OR(AB1916="OK",AB1916="Aucune pièce déclarée",AB1916="Cadence dépassée : vérifiez la cadence"),1,0)</f>
        <v>0.0</v>
      </c>
      <c r="AD1916">
        <f>IF(AND(AC1916=1,A1916&gt;=p_from,A1916&lt;=p_to),1,0)</f>
        <v>0.0</v>
      </c>
      <c r="AE1916">
        <f>IF(AD1916=1,IF(COUNTIFS($A$6:A1916,A1916,$AD$6:AD1916,1)=1,1,0),0)</f>
        <v>0.0</v>
      </c>
      <c r="AF1916" t="str">
        <f>IF(AE1916=1,COUNTIFS(sj_first,1,sj_date,"&lt;"&amp;A1916)+1,"")</f>
        <v/>
      </c>
      <c r="AG1916" t="str">
        <f>IF(AND(AD1916=1,N(W1916)&lt;p_alert),ROUND(W1916,4),"")</f>
        <v/>
      </c>
      <c r="AH1916" t="str">
        <f>IF(AG1916="","",COUNTIF(sj_akey,"&lt;"&amp;AG1916)+COUNTIF($AG$6:AG1916,AG1916))</f>
        <v/>
      </c>
    </row>
    <row r="1917">
      <c r="A1917" s="51" t="n"/>
      <c r="B1917" s="52" t="n"/>
      <c r="C1917" s="52" t="n"/>
      <c r="D1917" s="53" t="n"/>
      <c r="E1917" s="53" t="n"/>
      <c r="F1917" s="54" t="n"/>
      <c r="G1917" s="54" t="n"/>
      <c r="H1917" s="54" t="n"/>
      <c r="I1917" s="54" t="n"/>
      <c r="J1917" s="53" t="n"/>
      <c r="K1917" s="55" t="str">
        <f>IF(COUNTA(A1917:I1917)=0,"",IF(F1917="",IFERROR(INDEX(eq_dur,MATCH(B1917,eq_code,0)),""),F1917))</f>
        <v/>
      </c>
      <c r="L1917" s="55" t="str">
        <f>IF(ISNUMBER(K1917),N(IFERROR(INDEX(eq_pause,MATCH(B1917,eq_code,0)),0))+SUMIFS(st_min,st_date,A1917,st_eq,B1917,st_po,C1917,st_type,"Planifié"),"")</f>
        <v/>
      </c>
      <c r="M1917" s="55" t="str">
        <f>IF(ISNUMBER(K1917),K1917-L1917,"")</f>
        <v/>
      </c>
      <c r="N1917" s="55" t="str">
        <f>IF(ISNUMBER(K1917),SUMIFS(st_min,st_date,A1917,st_eq,B1917,st_po,C1917,st_type,"Non planifié"),"")</f>
        <v/>
      </c>
      <c r="O1917" s="55" t="str">
        <f>IF(ISNUMBER(K1917),M1917-N1917,"")</f>
        <v/>
      </c>
      <c r="P1917" s="55" t="str">
        <f>IF(COUNTA(A1917:I1917)=0,"",N(G1917)+N(H1917)+N(I1917))</f>
        <v/>
      </c>
      <c r="Q1917" s="56" t="str">
        <f>IF(COUNTA(A1917:I1917)=0,"",IF(N(IFERROR(INDEX(art_rate,MATCH(E1917,art_ref,0)),0))&gt;0,N(IFERROR(INDEX(art_rate,MATCH(E1917,art_ref,0)),0)),N(IFERROR(INDEX(po_rate,MATCH(C1917,po_code,0)),0))))</f>
        <v/>
      </c>
      <c r="R1917" s="55" t="str">
        <f>IF(AC1917=1,P1917*60/Q1917,"")</f>
        <v/>
      </c>
      <c r="S1917" s="55" t="str">
        <f>IF(AC1917=1,N(G1917)*60/Q1917,"")</f>
        <v/>
      </c>
      <c r="T1917" s="57" t="str">
        <f>IF(AC1917=1,O1917/M1917,"")</f>
        <v/>
      </c>
      <c r="U1917" s="57" t="str">
        <f>IF(AC1917=1,IF(O1917&gt;0,R1917/O1917,""),"")</f>
        <v/>
      </c>
      <c r="V1917" s="57" t="str">
        <f>IF(AC1917=1,IF(P1917&gt;0,N(G1917)/P1917,""),"")</f>
        <v/>
      </c>
      <c r="W1917" s="57" t="str">
        <f>IF(AC1917=1,S1917/M1917,"")</f>
        <v/>
      </c>
      <c r="X1917" s="57" t="str">
        <f>IF(AC1917=1,S1917/K1917,"")</f>
        <v/>
      </c>
      <c r="Y1917" s="58" t="str">
        <f>IF(W1917="","",IF(W1917&gt;=p_target,"Bon",IF(W1917&gt;=p_alert,"À surveiller","Faible")))</f>
        <v/>
      </c>
      <c r="Z1917" s="58" t="str">
        <f>IF(W1917="","",IF(MIN(IF(T1917="",1,T1917),IF(U1917="",1,U1917),IF(V1917="",1,V1917))&gt;=1,"Aucune",IF(IF(T1917="",1,T1917)&lt;=MIN(IF(U1917="",1,U1917),IF(V1917="",1,V1917)),"Disponibilité",IF(IF(U1917="",1,U1917)&lt;=IF(V1917="",1,V1917),"Performance","Qualité"))))</f>
        <v/>
      </c>
      <c r="AA1917" s="59" t="str">
        <f>IF(AC1917=1,N(H1917)*N(IFERROR(INDEX(art_cost,MATCH(E1917,art_ref,0)),0)),"")</f>
        <v/>
      </c>
      <c r="AB1917" s="58" t="str">
        <f>IF(COUNTA(A1917:I1917)=0,"",IF(N(A1917)&lt;=0,"Date manquante ou invalide",IF(B1917="","Équipe manquante",IF(ISNA(MATCH(B1917,eq_code,0)),"Équipe inconnue",IF(INDEX(eq_check,MATCH(B1917,eq_code,0))&lt;&gt;"OK","Équipe à corriger dans Paramètres",IF(C1917="","Poste manquant",IF(ISNA(MATCH(C1917,po_code,0)),"Poste inconnu",IF(AND(E1917&lt;&gt;"",ISNA(MATCH(E1917,art_ref,0))),"Article inconnu",IF(IF(E1917="",FALSE,INDEX(art_check,MATCH(E1917,art_ref,0))&lt;&gt;"OK"),"Article à corriger (feuille Articles)",IF(COUNTIFS(sj_date,A1917,sj_eq,B1917,sj_po,C1917)&gt;1,"Ligne en double (même jour, équipe et poste)",IF(OR(NOT(ISNUMBER(K1917)),N(K1917)&lt;=0,N(K1917)&gt;1440),"Temps d'ouverture invalide",IF(OR(AND(G1917&lt;&gt;"",NOT(ISNUMBER(G1917))),N(G1917)&lt;0,N(G1917)&lt;&gt;INT(N(G1917)),AND(H1917&lt;&gt;"",NOT(ISNUMBER(H1917))),N(H1917)&lt;0,N(H1917)&lt;&gt;INT(N(H1917)),AND(I1917&lt;&gt;"",NOT(ISNUMBER(I1917))),N(I1917)&lt;0,N(I1917)&lt;&gt;INT(N(I1917))),"Quantité invalide",IF(Q1917&lt;=0,"Cadence manquante (poste ou article)",IF(M1917&lt;=0,"Arrêts planifiés supérieurs au temps d'ouverture",IF(O1917&lt;0,"Arrêts supérieurs au temps requis",IF(AND(P1917&gt;0,O1917=0),"Pièces déclarées sans temps de marche",IF(AND(P1917=0,O1917&gt;0),"Aucune pièce déclarée",IF(P1917*60/Q1917&gt;O1917+0.001,"Cadence dépassée : vérifiez la cadence","OK"))))))))))))))))))</f>
        <v/>
      </c>
      <c r="AC1917">
        <f>IF(OR(AB1917="OK",AB1917="Aucune pièce déclarée",AB1917="Cadence dépassée : vérifiez la cadence"),1,0)</f>
        <v>0.0</v>
      </c>
      <c r="AD1917">
        <f>IF(AND(AC1917=1,A1917&gt;=p_from,A1917&lt;=p_to),1,0)</f>
        <v>0.0</v>
      </c>
      <c r="AE1917">
        <f>IF(AD1917=1,IF(COUNTIFS($A$6:A1917,A1917,$AD$6:AD1917,1)=1,1,0),0)</f>
        <v>0.0</v>
      </c>
      <c r="AF1917" t="str">
        <f>IF(AE1917=1,COUNTIFS(sj_first,1,sj_date,"&lt;"&amp;A1917)+1,"")</f>
        <v/>
      </c>
      <c r="AG1917" t="str">
        <f>IF(AND(AD1917=1,N(W1917)&lt;p_alert),ROUND(W1917,4),"")</f>
        <v/>
      </c>
      <c r="AH1917" t="str">
        <f>IF(AG1917="","",COUNTIF(sj_akey,"&lt;"&amp;AG1917)+COUNTIF($AG$6:AG1917,AG1917))</f>
        <v/>
      </c>
    </row>
    <row r="1918">
      <c r="A1918" s="51" t="n"/>
      <c r="B1918" s="52" t="n"/>
      <c r="C1918" s="52" t="n"/>
      <c r="D1918" s="53" t="n"/>
      <c r="E1918" s="53" t="n"/>
      <c r="F1918" s="54" t="n"/>
      <c r="G1918" s="54" t="n"/>
      <c r="H1918" s="54" t="n"/>
      <c r="I1918" s="54" t="n"/>
      <c r="J1918" s="53" t="n"/>
      <c r="K1918" s="55" t="str">
        <f>IF(COUNTA(A1918:I1918)=0,"",IF(F1918="",IFERROR(INDEX(eq_dur,MATCH(B1918,eq_code,0)),""),F1918))</f>
        <v/>
      </c>
      <c r="L1918" s="55" t="str">
        <f>IF(ISNUMBER(K1918),N(IFERROR(INDEX(eq_pause,MATCH(B1918,eq_code,0)),0))+SUMIFS(st_min,st_date,A1918,st_eq,B1918,st_po,C1918,st_type,"Planifié"),"")</f>
        <v/>
      </c>
      <c r="M1918" s="55" t="str">
        <f>IF(ISNUMBER(K1918),K1918-L1918,"")</f>
        <v/>
      </c>
      <c r="N1918" s="55" t="str">
        <f>IF(ISNUMBER(K1918),SUMIFS(st_min,st_date,A1918,st_eq,B1918,st_po,C1918,st_type,"Non planifié"),"")</f>
        <v/>
      </c>
      <c r="O1918" s="55" t="str">
        <f>IF(ISNUMBER(K1918),M1918-N1918,"")</f>
        <v/>
      </c>
      <c r="P1918" s="55" t="str">
        <f>IF(COUNTA(A1918:I1918)=0,"",N(G1918)+N(H1918)+N(I1918))</f>
        <v/>
      </c>
      <c r="Q1918" s="56" t="str">
        <f>IF(COUNTA(A1918:I1918)=0,"",IF(N(IFERROR(INDEX(art_rate,MATCH(E1918,art_ref,0)),0))&gt;0,N(IFERROR(INDEX(art_rate,MATCH(E1918,art_ref,0)),0)),N(IFERROR(INDEX(po_rate,MATCH(C1918,po_code,0)),0))))</f>
        <v/>
      </c>
      <c r="R1918" s="55" t="str">
        <f>IF(AC1918=1,P1918*60/Q1918,"")</f>
        <v/>
      </c>
      <c r="S1918" s="55" t="str">
        <f>IF(AC1918=1,N(G1918)*60/Q1918,"")</f>
        <v/>
      </c>
      <c r="T1918" s="57" t="str">
        <f>IF(AC1918=1,O1918/M1918,"")</f>
        <v/>
      </c>
      <c r="U1918" s="57" t="str">
        <f>IF(AC1918=1,IF(O1918&gt;0,R1918/O1918,""),"")</f>
        <v/>
      </c>
      <c r="V1918" s="57" t="str">
        <f>IF(AC1918=1,IF(P1918&gt;0,N(G1918)/P1918,""),"")</f>
        <v/>
      </c>
      <c r="W1918" s="57" t="str">
        <f>IF(AC1918=1,S1918/M1918,"")</f>
        <v/>
      </c>
      <c r="X1918" s="57" t="str">
        <f>IF(AC1918=1,S1918/K1918,"")</f>
        <v/>
      </c>
      <c r="Y1918" s="58" t="str">
        <f>IF(W1918="","",IF(W1918&gt;=p_target,"Bon",IF(W1918&gt;=p_alert,"À surveiller","Faible")))</f>
        <v/>
      </c>
      <c r="Z1918" s="58" t="str">
        <f>IF(W1918="","",IF(MIN(IF(T1918="",1,T1918),IF(U1918="",1,U1918),IF(V1918="",1,V1918))&gt;=1,"Aucune",IF(IF(T1918="",1,T1918)&lt;=MIN(IF(U1918="",1,U1918),IF(V1918="",1,V1918)),"Disponibilité",IF(IF(U1918="",1,U1918)&lt;=IF(V1918="",1,V1918),"Performance","Qualité"))))</f>
        <v/>
      </c>
      <c r="AA1918" s="59" t="str">
        <f>IF(AC1918=1,N(H1918)*N(IFERROR(INDEX(art_cost,MATCH(E1918,art_ref,0)),0)),"")</f>
        <v/>
      </c>
      <c r="AB1918" s="58" t="str">
        <f>IF(COUNTA(A1918:I1918)=0,"",IF(N(A1918)&lt;=0,"Date manquante ou invalide",IF(B1918="","Équipe manquante",IF(ISNA(MATCH(B1918,eq_code,0)),"Équipe inconnue",IF(INDEX(eq_check,MATCH(B1918,eq_code,0))&lt;&gt;"OK","Équipe à corriger dans Paramètres",IF(C1918="","Poste manquant",IF(ISNA(MATCH(C1918,po_code,0)),"Poste inconnu",IF(AND(E1918&lt;&gt;"",ISNA(MATCH(E1918,art_ref,0))),"Article inconnu",IF(IF(E1918="",FALSE,INDEX(art_check,MATCH(E1918,art_ref,0))&lt;&gt;"OK"),"Article à corriger (feuille Articles)",IF(COUNTIFS(sj_date,A1918,sj_eq,B1918,sj_po,C1918)&gt;1,"Ligne en double (même jour, équipe et poste)",IF(OR(NOT(ISNUMBER(K1918)),N(K1918)&lt;=0,N(K1918)&gt;1440),"Temps d'ouverture invalide",IF(OR(AND(G1918&lt;&gt;"",NOT(ISNUMBER(G1918))),N(G1918)&lt;0,N(G1918)&lt;&gt;INT(N(G1918)),AND(H1918&lt;&gt;"",NOT(ISNUMBER(H1918))),N(H1918)&lt;0,N(H1918)&lt;&gt;INT(N(H1918)),AND(I1918&lt;&gt;"",NOT(ISNUMBER(I1918))),N(I1918)&lt;0,N(I1918)&lt;&gt;INT(N(I1918))),"Quantité invalide",IF(Q1918&lt;=0,"Cadence manquante (poste ou article)",IF(M1918&lt;=0,"Arrêts planifiés supérieurs au temps d'ouverture",IF(O1918&lt;0,"Arrêts supérieurs au temps requis",IF(AND(P1918&gt;0,O1918=0),"Pièces déclarées sans temps de marche",IF(AND(P1918=0,O1918&gt;0),"Aucune pièce déclarée",IF(P1918*60/Q1918&gt;O1918+0.001,"Cadence dépassée : vérifiez la cadence","OK"))))))))))))))))))</f>
        <v/>
      </c>
      <c r="AC1918">
        <f>IF(OR(AB1918="OK",AB1918="Aucune pièce déclarée",AB1918="Cadence dépassée : vérifiez la cadence"),1,0)</f>
        <v>0.0</v>
      </c>
      <c r="AD1918">
        <f>IF(AND(AC1918=1,A1918&gt;=p_from,A1918&lt;=p_to),1,0)</f>
        <v>0.0</v>
      </c>
      <c r="AE1918">
        <f>IF(AD1918=1,IF(COUNTIFS($A$6:A1918,A1918,$AD$6:AD1918,1)=1,1,0),0)</f>
        <v>0.0</v>
      </c>
      <c r="AF1918" t="str">
        <f>IF(AE1918=1,COUNTIFS(sj_first,1,sj_date,"&lt;"&amp;A1918)+1,"")</f>
        <v/>
      </c>
      <c r="AG1918" t="str">
        <f>IF(AND(AD1918=1,N(W1918)&lt;p_alert),ROUND(W1918,4),"")</f>
        <v/>
      </c>
      <c r="AH1918" t="str">
        <f>IF(AG1918="","",COUNTIF(sj_akey,"&lt;"&amp;AG1918)+COUNTIF($AG$6:AG1918,AG1918))</f>
        <v/>
      </c>
    </row>
    <row r="1919">
      <c r="A1919" s="51" t="n"/>
      <c r="B1919" s="52" t="n"/>
      <c r="C1919" s="52" t="n"/>
      <c r="D1919" s="53" t="n"/>
      <c r="E1919" s="53" t="n"/>
      <c r="F1919" s="54" t="n"/>
      <c r="G1919" s="54" t="n"/>
      <c r="H1919" s="54" t="n"/>
      <c r="I1919" s="54" t="n"/>
      <c r="J1919" s="53" t="n"/>
      <c r="K1919" s="55" t="str">
        <f>IF(COUNTA(A1919:I1919)=0,"",IF(F1919="",IFERROR(INDEX(eq_dur,MATCH(B1919,eq_code,0)),""),F1919))</f>
        <v/>
      </c>
      <c r="L1919" s="55" t="str">
        <f>IF(ISNUMBER(K1919),N(IFERROR(INDEX(eq_pause,MATCH(B1919,eq_code,0)),0))+SUMIFS(st_min,st_date,A1919,st_eq,B1919,st_po,C1919,st_type,"Planifié"),"")</f>
        <v/>
      </c>
      <c r="M1919" s="55" t="str">
        <f>IF(ISNUMBER(K1919),K1919-L1919,"")</f>
        <v/>
      </c>
      <c r="N1919" s="55" t="str">
        <f>IF(ISNUMBER(K1919),SUMIFS(st_min,st_date,A1919,st_eq,B1919,st_po,C1919,st_type,"Non planifié"),"")</f>
        <v/>
      </c>
      <c r="O1919" s="55" t="str">
        <f>IF(ISNUMBER(K1919),M1919-N1919,"")</f>
        <v/>
      </c>
      <c r="P1919" s="55" t="str">
        <f>IF(COUNTA(A1919:I1919)=0,"",N(G1919)+N(H1919)+N(I1919))</f>
        <v/>
      </c>
      <c r="Q1919" s="56" t="str">
        <f>IF(COUNTA(A1919:I1919)=0,"",IF(N(IFERROR(INDEX(art_rate,MATCH(E1919,art_ref,0)),0))&gt;0,N(IFERROR(INDEX(art_rate,MATCH(E1919,art_ref,0)),0)),N(IFERROR(INDEX(po_rate,MATCH(C1919,po_code,0)),0))))</f>
        <v/>
      </c>
      <c r="R1919" s="55" t="str">
        <f>IF(AC1919=1,P1919*60/Q1919,"")</f>
        <v/>
      </c>
      <c r="S1919" s="55" t="str">
        <f>IF(AC1919=1,N(G1919)*60/Q1919,"")</f>
        <v/>
      </c>
      <c r="T1919" s="57" t="str">
        <f>IF(AC1919=1,O1919/M1919,"")</f>
        <v/>
      </c>
      <c r="U1919" s="57" t="str">
        <f>IF(AC1919=1,IF(O1919&gt;0,R1919/O1919,""),"")</f>
        <v/>
      </c>
      <c r="V1919" s="57" t="str">
        <f>IF(AC1919=1,IF(P1919&gt;0,N(G1919)/P1919,""),"")</f>
        <v/>
      </c>
      <c r="W1919" s="57" t="str">
        <f>IF(AC1919=1,S1919/M1919,"")</f>
        <v/>
      </c>
      <c r="X1919" s="57" t="str">
        <f>IF(AC1919=1,S1919/K1919,"")</f>
        <v/>
      </c>
      <c r="Y1919" s="58" t="str">
        <f>IF(W1919="","",IF(W1919&gt;=p_target,"Bon",IF(W1919&gt;=p_alert,"À surveiller","Faible")))</f>
        <v/>
      </c>
      <c r="Z1919" s="58" t="str">
        <f>IF(W1919="","",IF(MIN(IF(T1919="",1,T1919),IF(U1919="",1,U1919),IF(V1919="",1,V1919))&gt;=1,"Aucune",IF(IF(T1919="",1,T1919)&lt;=MIN(IF(U1919="",1,U1919),IF(V1919="",1,V1919)),"Disponibilité",IF(IF(U1919="",1,U1919)&lt;=IF(V1919="",1,V1919),"Performance","Qualité"))))</f>
        <v/>
      </c>
      <c r="AA1919" s="59" t="str">
        <f>IF(AC1919=1,N(H1919)*N(IFERROR(INDEX(art_cost,MATCH(E1919,art_ref,0)),0)),"")</f>
        <v/>
      </c>
      <c r="AB1919" s="58" t="str">
        <f>IF(COUNTA(A1919:I1919)=0,"",IF(N(A1919)&lt;=0,"Date manquante ou invalide",IF(B1919="","Équipe manquante",IF(ISNA(MATCH(B1919,eq_code,0)),"Équipe inconnue",IF(INDEX(eq_check,MATCH(B1919,eq_code,0))&lt;&gt;"OK","Équipe à corriger dans Paramètres",IF(C1919="","Poste manquant",IF(ISNA(MATCH(C1919,po_code,0)),"Poste inconnu",IF(AND(E1919&lt;&gt;"",ISNA(MATCH(E1919,art_ref,0))),"Article inconnu",IF(IF(E1919="",FALSE,INDEX(art_check,MATCH(E1919,art_ref,0))&lt;&gt;"OK"),"Article à corriger (feuille Articles)",IF(COUNTIFS(sj_date,A1919,sj_eq,B1919,sj_po,C1919)&gt;1,"Ligne en double (même jour, équipe et poste)",IF(OR(NOT(ISNUMBER(K1919)),N(K1919)&lt;=0,N(K1919)&gt;1440),"Temps d'ouverture invalide",IF(OR(AND(G1919&lt;&gt;"",NOT(ISNUMBER(G1919))),N(G1919)&lt;0,N(G1919)&lt;&gt;INT(N(G1919)),AND(H1919&lt;&gt;"",NOT(ISNUMBER(H1919))),N(H1919)&lt;0,N(H1919)&lt;&gt;INT(N(H1919)),AND(I1919&lt;&gt;"",NOT(ISNUMBER(I1919))),N(I1919)&lt;0,N(I1919)&lt;&gt;INT(N(I1919))),"Quantité invalide",IF(Q1919&lt;=0,"Cadence manquante (poste ou article)",IF(M1919&lt;=0,"Arrêts planifiés supérieurs au temps d'ouverture",IF(O1919&lt;0,"Arrêts supérieurs au temps requis",IF(AND(P1919&gt;0,O1919=0),"Pièces déclarées sans temps de marche",IF(AND(P1919=0,O1919&gt;0),"Aucune pièce déclarée",IF(P1919*60/Q1919&gt;O1919+0.001,"Cadence dépassée : vérifiez la cadence","OK"))))))))))))))))))</f>
        <v/>
      </c>
      <c r="AC1919">
        <f>IF(OR(AB1919="OK",AB1919="Aucune pièce déclarée",AB1919="Cadence dépassée : vérifiez la cadence"),1,0)</f>
        <v>0.0</v>
      </c>
      <c r="AD1919">
        <f>IF(AND(AC1919=1,A1919&gt;=p_from,A1919&lt;=p_to),1,0)</f>
        <v>0.0</v>
      </c>
      <c r="AE1919">
        <f>IF(AD1919=1,IF(COUNTIFS($A$6:A1919,A1919,$AD$6:AD1919,1)=1,1,0),0)</f>
        <v>0.0</v>
      </c>
      <c r="AF1919" t="str">
        <f>IF(AE1919=1,COUNTIFS(sj_first,1,sj_date,"&lt;"&amp;A1919)+1,"")</f>
        <v/>
      </c>
      <c r="AG1919" t="str">
        <f>IF(AND(AD1919=1,N(W1919)&lt;p_alert),ROUND(W1919,4),"")</f>
        <v/>
      </c>
      <c r="AH1919" t="str">
        <f>IF(AG1919="","",COUNTIF(sj_akey,"&lt;"&amp;AG1919)+COUNTIF($AG$6:AG1919,AG1919))</f>
        <v/>
      </c>
    </row>
    <row r="1920">
      <c r="A1920" s="51" t="n"/>
      <c r="B1920" s="52" t="n"/>
      <c r="C1920" s="52" t="n"/>
      <c r="D1920" s="53" t="n"/>
      <c r="E1920" s="53" t="n"/>
      <c r="F1920" s="54" t="n"/>
      <c r="G1920" s="54" t="n"/>
      <c r="H1920" s="54" t="n"/>
      <c r="I1920" s="54" t="n"/>
      <c r="J1920" s="53" t="n"/>
      <c r="K1920" s="55" t="str">
        <f>IF(COUNTA(A1920:I1920)=0,"",IF(F1920="",IFERROR(INDEX(eq_dur,MATCH(B1920,eq_code,0)),""),F1920))</f>
        <v/>
      </c>
      <c r="L1920" s="55" t="str">
        <f>IF(ISNUMBER(K1920),N(IFERROR(INDEX(eq_pause,MATCH(B1920,eq_code,0)),0))+SUMIFS(st_min,st_date,A1920,st_eq,B1920,st_po,C1920,st_type,"Planifié"),"")</f>
        <v/>
      </c>
      <c r="M1920" s="55" t="str">
        <f>IF(ISNUMBER(K1920),K1920-L1920,"")</f>
        <v/>
      </c>
      <c r="N1920" s="55" t="str">
        <f>IF(ISNUMBER(K1920),SUMIFS(st_min,st_date,A1920,st_eq,B1920,st_po,C1920,st_type,"Non planifié"),"")</f>
        <v/>
      </c>
      <c r="O1920" s="55" t="str">
        <f>IF(ISNUMBER(K1920),M1920-N1920,"")</f>
        <v/>
      </c>
      <c r="P1920" s="55" t="str">
        <f>IF(COUNTA(A1920:I1920)=0,"",N(G1920)+N(H1920)+N(I1920))</f>
        <v/>
      </c>
      <c r="Q1920" s="56" t="str">
        <f>IF(COUNTA(A1920:I1920)=0,"",IF(N(IFERROR(INDEX(art_rate,MATCH(E1920,art_ref,0)),0))&gt;0,N(IFERROR(INDEX(art_rate,MATCH(E1920,art_ref,0)),0)),N(IFERROR(INDEX(po_rate,MATCH(C1920,po_code,0)),0))))</f>
        <v/>
      </c>
      <c r="R1920" s="55" t="str">
        <f>IF(AC1920=1,P1920*60/Q1920,"")</f>
        <v/>
      </c>
      <c r="S1920" s="55" t="str">
        <f>IF(AC1920=1,N(G1920)*60/Q1920,"")</f>
        <v/>
      </c>
      <c r="T1920" s="57" t="str">
        <f>IF(AC1920=1,O1920/M1920,"")</f>
        <v/>
      </c>
      <c r="U1920" s="57" t="str">
        <f>IF(AC1920=1,IF(O1920&gt;0,R1920/O1920,""),"")</f>
        <v/>
      </c>
      <c r="V1920" s="57" t="str">
        <f>IF(AC1920=1,IF(P1920&gt;0,N(G1920)/P1920,""),"")</f>
        <v/>
      </c>
      <c r="W1920" s="57" t="str">
        <f>IF(AC1920=1,S1920/M1920,"")</f>
        <v/>
      </c>
      <c r="X1920" s="57" t="str">
        <f>IF(AC1920=1,S1920/K1920,"")</f>
        <v/>
      </c>
      <c r="Y1920" s="58" t="str">
        <f>IF(W1920="","",IF(W1920&gt;=p_target,"Bon",IF(W1920&gt;=p_alert,"À surveiller","Faible")))</f>
        <v/>
      </c>
      <c r="Z1920" s="58" t="str">
        <f>IF(W1920="","",IF(MIN(IF(T1920="",1,T1920),IF(U1920="",1,U1920),IF(V1920="",1,V1920))&gt;=1,"Aucune",IF(IF(T1920="",1,T1920)&lt;=MIN(IF(U1920="",1,U1920),IF(V1920="",1,V1920)),"Disponibilité",IF(IF(U1920="",1,U1920)&lt;=IF(V1920="",1,V1920),"Performance","Qualité"))))</f>
        <v/>
      </c>
      <c r="AA1920" s="59" t="str">
        <f>IF(AC1920=1,N(H1920)*N(IFERROR(INDEX(art_cost,MATCH(E1920,art_ref,0)),0)),"")</f>
        <v/>
      </c>
      <c r="AB1920" s="58" t="str">
        <f>IF(COUNTA(A1920:I1920)=0,"",IF(N(A1920)&lt;=0,"Date manquante ou invalide",IF(B1920="","Équipe manquante",IF(ISNA(MATCH(B1920,eq_code,0)),"Équipe inconnue",IF(INDEX(eq_check,MATCH(B1920,eq_code,0))&lt;&gt;"OK","Équipe à corriger dans Paramètres",IF(C1920="","Poste manquant",IF(ISNA(MATCH(C1920,po_code,0)),"Poste inconnu",IF(AND(E1920&lt;&gt;"",ISNA(MATCH(E1920,art_ref,0))),"Article inconnu",IF(IF(E1920="",FALSE,INDEX(art_check,MATCH(E1920,art_ref,0))&lt;&gt;"OK"),"Article à corriger (feuille Articles)",IF(COUNTIFS(sj_date,A1920,sj_eq,B1920,sj_po,C1920)&gt;1,"Ligne en double (même jour, équipe et poste)",IF(OR(NOT(ISNUMBER(K1920)),N(K1920)&lt;=0,N(K1920)&gt;1440),"Temps d'ouverture invalide",IF(OR(AND(G1920&lt;&gt;"",NOT(ISNUMBER(G1920))),N(G1920)&lt;0,N(G1920)&lt;&gt;INT(N(G1920)),AND(H1920&lt;&gt;"",NOT(ISNUMBER(H1920))),N(H1920)&lt;0,N(H1920)&lt;&gt;INT(N(H1920)),AND(I1920&lt;&gt;"",NOT(ISNUMBER(I1920))),N(I1920)&lt;0,N(I1920)&lt;&gt;INT(N(I1920))),"Quantité invalide",IF(Q1920&lt;=0,"Cadence manquante (poste ou article)",IF(M1920&lt;=0,"Arrêts planifiés supérieurs au temps d'ouverture",IF(O1920&lt;0,"Arrêts supérieurs au temps requis",IF(AND(P1920&gt;0,O1920=0),"Pièces déclarées sans temps de marche",IF(AND(P1920=0,O1920&gt;0),"Aucune pièce déclarée",IF(P1920*60/Q1920&gt;O1920+0.001,"Cadence dépassée : vérifiez la cadence","OK"))))))))))))))))))</f>
        <v/>
      </c>
      <c r="AC1920">
        <f>IF(OR(AB1920="OK",AB1920="Aucune pièce déclarée",AB1920="Cadence dépassée : vérifiez la cadence"),1,0)</f>
        <v>0.0</v>
      </c>
      <c r="AD1920">
        <f>IF(AND(AC1920=1,A1920&gt;=p_from,A1920&lt;=p_to),1,0)</f>
        <v>0.0</v>
      </c>
      <c r="AE1920">
        <f>IF(AD1920=1,IF(COUNTIFS($A$6:A1920,A1920,$AD$6:AD1920,1)=1,1,0),0)</f>
        <v>0.0</v>
      </c>
      <c r="AF1920" t="str">
        <f>IF(AE1920=1,COUNTIFS(sj_first,1,sj_date,"&lt;"&amp;A1920)+1,"")</f>
        <v/>
      </c>
      <c r="AG1920" t="str">
        <f>IF(AND(AD1920=1,N(W1920)&lt;p_alert),ROUND(W1920,4),"")</f>
        <v/>
      </c>
      <c r="AH1920" t="str">
        <f>IF(AG1920="","",COUNTIF(sj_akey,"&lt;"&amp;AG1920)+COUNTIF($AG$6:AG1920,AG1920))</f>
        <v/>
      </c>
    </row>
    <row r="1921">
      <c r="A1921" s="51" t="n"/>
      <c r="B1921" s="52" t="n"/>
      <c r="C1921" s="52" t="n"/>
      <c r="D1921" s="53" t="n"/>
      <c r="E1921" s="53" t="n"/>
      <c r="F1921" s="54" t="n"/>
      <c r="G1921" s="54" t="n"/>
      <c r="H1921" s="54" t="n"/>
      <c r="I1921" s="54" t="n"/>
      <c r="J1921" s="53" t="n"/>
      <c r="K1921" s="55" t="str">
        <f>IF(COUNTA(A1921:I1921)=0,"",IF(F1921="",IFERROR(INDEX(eq_dur,MATCH(B1921,eq_code,0)),""),F1921))</f>
        <v/>
      </c>
      <c r="L1921" s="55" t="str">
        <f>IF(ISNUMBER(K1921),N(IFERROR(INDEX(eq_pause,MATCH(B1921,eq_code,0)),0))+SUMIFS(st_min,st_date,A1921,st_eq,B1921,st_po,C1921,st_type,"Planifié"),"")</f>
        <v/>
      </c>
      <c r="M1921" s="55" t="str">
        <f>IF(ISNUMBER(K1921),K1921-L1921,"")</f>
        <v/>
      </c>
      <c r="N1921" s="55" t="str">
        <f>IF(ISNUMBER(K1921),SUMIFS(st_min,st_date,A1921,st_eq,B1921,st_po,C1921,st_type,"Non planifié"),"")</f>
        <v/>
      </c>
      <c r="O1921" s="55" t="str">
        <f>IF(ISNUMBER(K1921),M1921-N1921,"")</f>
        <v/>
      </c>
      <c r="P1921" s="55" t="str">
        <f>IF(COUNTA(A1921:I1921)=0,"",N(G1921)+N(H1921)+N(I1921))</f>
        <v/>
      </c>
      <c r="Q1921" s="56" t="str">
        <f>IF(COUNTA(A1921:I1921)=0,"",IF(N(IFERROR(INDEX(art_rate,MATCH(E1921,art_ref,0)),0))&gt;0,N(IFERROR(INDEX(art_rate,MATCH(E1921,art_ref,0)),0)),N(IFERROR(INDEX(po_rate,MATCH(C1921,po_code,0)),0))))</f>
        <v/>
      </c>
      <c r="R1921" s="55" t="str">
        <f>IF(AC1921=1,P1921*60/Q1921,"")</f>
        <v/>
      </c>
      <c r="S1921" s="55" t="str">
        <f>IF(AC1921=1,N(G1921)*60/Q1921,"")</f>
        <v/>
      </c>
      <c r="T1921" s="57" t="str">
        <f>IF(AC1921=1,O1921/M1921,"")</f>
        <v/>
      </c>
      <c r="U1921" s="57" t="str">
        <f>IF(AC1921=1,IF(O1921&gt;0,R1921/O1921,""),"")</f>
        <v/>
      </c>
      <c r="V1921" s="57" t="str">
        <f>IF(AC1921=1,IF(P1921&gt;0,N(G1921)/P1921,""),"")</f>
        <v/>
      </c>
      <c r="W1921" s="57" t="str">
        <f>IF(AC1921=1,S1921/M1921,"")</f>
        <v/>
      </c>
      <c r="X1921" s="57" t="str">
        <f>IF(AC1921=1,S1921/K1921,"")</f>
        <v/>
      </c>
      <c r="Y1921" s="58" t="str">
        <f>IF(W1921="","",IF(W1921&gt;=p_target,"Bon",IF(W1921&gt;=p_alert,"À surveiller","Faible")))</f>
        <v/>
      </c>
      <c r="Z1921" s="58" t="str">
        <f>IF(W1921="","",IF(MIN(IF(T1921="",1,T1921),IF(U1921="",1,U1921),IF(V1921="",1,V1921))&gt;=1,"Aucune",IF(IF(T1921="",1,T1921)&lt;=MIN(IF(U1921="",1,U1921),IF(V1921="",1,V1921)),"Disponibilité",IF(IF(U1921="",1,U1921)&lt;=IF(V1921="",1,V1921),"Performance","Qualité"))))</f>
        <v/>
      </c>
      <c r="AA1921" s="59" t="str">
        <f>IF(AC1921=1,N(H1921)*N(IFERROR(INDEX(art_cost,MATCH(E1921,art_ref,0)),0)),"")</f>
        <v/>
      </c>
      <c r="AB1921" s="58" t="str">
        <f>IF(COUNTA(A1921:I1921)=0,"",IF(N(A1921)&lt;=0,"Date manquante ou invalide",IF(B1921="","Équipe manquante",IF(ISNA(MATCH(B1921,eq_code,0)),"Équipe inconnue",IF(INDEX(eq_check,MATCH(B1921,eq_code,0))&lt;&gt;"OK","Équipe à corriger dans Paramètres",IF(C1921="","Poste manquant",IF(ISNA(MATCH(C1921,po_code,0)),"Poste inconnu",IF(AND(E1921&lt;&gt;"",ISNA(MATCH(E1921,art_ref,0))),"Article inconnu",IF(IF(E1921="",FALSE,INDEX(art_check,MATCH(E1921,art_ref,0))&lt;&gt;"OK"),"Article à corriger (feuille Articles)",IF(COUNTIFS(sj_date,A1921,sj_eq,B1921,sj_po,C1921)&gt;1,"Ligne en double (même jour, équipe et poste)",IF(OR(NOT(ISNUMBER(K1921)),N(K1921)&lt;=0,N(K1921)&gt;1440),"Temps d'ouverture invalide",IF(OR(AND(G1921&lt;&gt;"",NOT(ISNUMBER(G1921))),N(G1921)&lt;0,N(G1921)&lt;&gt;INT(N(G1921)),AND(H1921&lt;&gt;"",NOT(ISNUMBER(H1921))),N(H1921)&lt;0,N(H1921)&lt;&gt;INT(N(H1921)),AND(I1921&lt;&gt;"",NOT(ISNUMBER(I1921))),N(I1921)&lt;0,N(I1921)&lt;&gt;INT(N(I1921))),"Quantité invalide",IF(Q1921&lt;=0,"Cadence manquante (poste ou article)",IF(M1921&lt;=0,"Arrêts planifiés supérieurs au temps d'ouverture",IF(O1921&lt;0,"Arrêts supérieurs au temps requis",IF(AND(P1921&gt;0,O1921=0),"Pièces déclarées sans temps de marche",IF(AND(P1921=0,O1921&gt;0),"Aucune pièce déclarée",IF(P1921*60/Q1921&gt;O1921+0.001,"Cadence dépassée : vérifiez la cadence","OK"))))))))))))))))))</f>
        <v/>
      </c>
      <c r="AC1921">
        <f>IF(OR(AB1921="OK",AB1921="Aucune pièce déclarée",AB1921="Cadence dépassée : vérifiez la cadence"),1,0)</f>
        <v>0.0</v>
      </c>
      <c r="AD1921">
        <f>IF(AND(AC1921=1,A1921&gt;=p_from,A1921&lt;=p_to),1,0)</f>
        <v>0.0</v>
      </c>
      <c r="AE1921">
        <f>IF(AD1921=1,IF(COUNTIFS($A$6:A1921,A1921,$AD$6:AD1921,1)=1,1,0),0)</f>
        <v>0.0</v>
      </c>
      <c r="AF1921" t="str">
        <f>IF(AE1921=1,COUNTIFS(sj_first,1,sj_date,"&lt;"&amp;A1921)+1,"")</f>
        <v/>
      </c>
      <c r="AG1921" t="str">
        <f>IF(AND(AD1921=1,N(W1921)&lt;p_alert),ROUND(W1921,4),"")</f>
        <v/>
      </c>
      <c r="AH1921" t="str">
        <f>IF(AG1921="","",COUNTIF(sj_akey,"&lt;"&amp;AG1921)+COUNTIF($AG$6:AG1921,AG1921))</f>
        <v/>
      </c>
    </row>
    <row r="1922">
      <c r="A1922" s="51" t="n"/>
      <c r="B1922" s="52" t="n"/>
      <c r="C1922" s="52" t="n"/>
      <c r="D1922" s="53" t="n"/>
      <c r="E1922" s="53" t="n"/>
      <c r="F1922" s="54" t="n"/>
      <c r="G1922" s="54" t="n"/>
      <c r="H1922" s="54" t="n"/>
      <c r="I1922" s="54" t="n"/>
      <c r="J1922" s="53" t="n"/>
      <c r="K1922" s="55" t="str">
        <f>IF(COUNTA(A1922:I1922)=0,"",IF(F1922="",IFERROR(INDEX(eq_dur,MATCH(B1922,eq_code,0)),""),F1922))</f>
        <v/>
      </c>
      <c r="L1922" s="55" t="str">
        <f>IF(ISNUMBER(K1922),N(IFERROR(INDEX(eq_pause,MATCH(B1922,eq_code,0)),0))+SUMIFS(st_min,st_date,A1922,st_eq,B1922,st_po,C1922,st_type,"Planifié"),"")</f>
        <v/>
      </c>
      <c r="M1922" s="55" t="str">
        <f>IF(ISNUMBER(K1922),K1922-L1922,"")</f>
        <v/>
      </c>
      <c r="N1922" s="55" t="str">
        <f>IF(ISNUMBER(K1922),SUMIFS(st_min,st_date,A1922,st_eq,B1922,st_po,C1922,st_type,"Non planifié"),"")</f>
        <v/>
      </c>
      <c r="O1922" s="55" t="str">
        <f>IF(ISNUMBER(K1922),M1922-N1922,"")</f>
        <v/>
      </c>
      <c r="P1922" s="55" t="str">
        <f>IF(COUNTA(A1922:I1922)=0,"",N(G1922)+N(H1922)+N(I1922))</f>
        <v/>
      </c>
      <c r="Q1922" s="56" t="str">
        <f>IF(COUNTA(A1922:I1922)=0,"",IF(N(IFERROR(INDEX(art_rate,MATCH(E1922,art_ref,0)),0))&gt;0,N(IFERROR(INDEX(art_rate,MATCH(E1922,art_ref,0)),0)),N(IFERROR(INDEX(po_rate,MATCH(C1922,po_code,0)),0))))</f>
        <v/>
      </c>
      <c r="R1922" s="55" t="str">
        <f>IF(AC1922=1,P1922*60/Q1922,"")</f>
        <v/>
      </c>
      <c r="S1922" s="55" t="str">
        <f>IF(AC1922=1,N(G1922)*60/Q1922,"")</f>
        <v/>
      </c>
      <c r="T1922" s="57" t="str">
        <f>IF(AC1922=1,O1922/M1922,"")</f>
        <v/>
      </c>
      <c r="U1922" s="57" t="str">
        <f>IF(AC1922=1,IF(O1922&gt;0,R1922/O1922,""),"")</f>
        <v/>
      </c>
      <c r="V1922" s="57" t="str">
        <f>IF(AC1922=1,IF(P1922&gt;0,N(G1922)/P1922,""),"")</f>
        <v/>
      </c>
      <c r="W1922" s="57" t="str">
        <f>IF(AC1922=1,S1922/M1922,"")</f>
        <v/>
      </c>
      <c r="X1922" s="57" t="str">
        <f>IF(AC1922=1,S1922/K1922,"")</f>
        <v/>
      </c>
      <c r="Y1922" s="58" t="str">
        <f>IF(W1922="","",IF(W1922&gt;=p_target,"Bon",IF(W1922&gt;=p_alert,"À surveiller","Faible")))</f>
        <v/>
      </c>
      <c r="Z1922" s="58" t="str">
        <f>IF(W1922="","",IF(MIN(IF(T1922="",1,T1922),IF(U1922="",1,U1922),IF(V1922="",1,V1922))&gt;=1,"Aucune",IF(IF(T1922="",1,T1922)&lt;=MIN(IF(U1922="",1,U1922),IF(V1922="",1,V1922)),"Disponibilité",IF(IF(U1922="",1,U1922)&lt;=IF(V1922="",1,V1922),"Performance","Qualité"))))</f>
        <v/>
      </c>
      <c r="AA1922" s="59" t="str">
        <f>IF(AC1922=1,N(H1922)*N(IFERROR(INDEX(art_cost,MATCH(E1922,art_ref,0)),0)),"")</f>
        <v/>
      </c>
      <c r="AB1922" s="58" t="str">
        <f>IF(COUNTA(A1922:I1922)=0,"",IF(N(A1922)&lt;=0,"Date manquante ou invalide",IF(B1922="","Équipe manquante",IF(ISNA(MATCH(B1922,eq_code,0)),"Équipe inconnue",IF(INDEX(eq_check,MATCH(B1922,eq_code,0))&lt;&gt;"OK","Équipe à corriger dans Paramètres",IF(C1922="","Poste manquant",IF(ISNA(MATCH(C1922,po_code,0)),"Poste inconnu",IF(AND(E1922&lt;&gt;"",ISNA(MATCH(E1922,art_ref,0))),"Article inconnu",IF(IF(E1922="",FALSE,INDEX(art_check,MATCH(E1922,art_ref,0))&lt;&gt;"OK"),"Article à corriger (feuille Articles)",IF(COUNTIFS(sj_date,A1922,sj_eq,B1922,sj_po,C1922)&gt;1,"Ligne en double (même jour, équipe et poste)",IF(OR(NOT(ISNUMBER(K1922)),N(K1922)&lt;=0,N(K1922)&gt;1440),"Temps d'ouverture invalide",IF(OR(AND(G1922&lt;&gt;"",NOT(ISNUMBER(G1922))),N(G1922)&lt;0,N(G1922)&lt;&gt;INT(N(G1922)),AND(H1922&lt;&gt;"",NOT(ISNUMBER(H1922))),N(H1922)&lt;0,N(H1922)&lt;&gt;INT(N(H1922)),AND(I1922&lt;&gt;"",NOT(ISNUMBER(I1922))),N(I1922)&lt;0,N(I1922)&lt;&gt;INT(N(I1922))),"Quantité invalide",IF(Q1922&lt;=0,"Cadence manquante (poste ou article)",IF(M1922&lt;=0,"Arrêts planifiés supérieurs au temps d'ouverture",IF(O1922&lt;0,"Arrêts supérieurs au temps requis",IF(AND(P1922&gt;0,O1922=0),"Pièces déclarées sans temps de marche",IF(AND(P1922=0,O1922&gt;0),"Aucune pièce déclarée",IF(P1922*60/Q1922&gt;O1922+0.001,"Cadence dépassée : vérifiez la cadence","OK"))))))))))))))))))</f>
        <v/>
      </c>
      <c r="AC1922">
        <f>IF(OR(AB1922="OK",AB1922="Aucune pièce déclarée",AB1922="Cadence dépassée : vérifiez la cadence"),1,0)</f>
        <v>0.0</v>
      </c>
      <c r="AD1922">
        <f>IF(AND(AC1922=1,A1922&gt;=p_from,A1922&lt;=p_to),1,0)</f>
        <v>0.0</v>
      </c>
      <c r="AE1922">
        <f>IF(AD1922=1,IF(COUNTIFS($A$6:A1922,A1922,$AD$6:AD1922,1)=1,1,0),0)</f>
        <v>0.0</v>
      </c>
      <c r="AF1922" t="str">
        <f>IF(AE1922=1,COUNTIFS(sj_first,1,sj_date,"&lt;"&amp;A1922)+1,"")</f>
        <v/>
      </c>
      <c r="AG1922" t="str">
        <f>IF(AND(AD1922=1,N(W1922)&lt;p_alert),ROUND(W1922,4),"")</f>
        <v/>
      </c>
      <c r="AH1922" t="str">
        <f>IF(AG1922="","",COUNTIF(sj_akey,"&lt;"&amp;AG1922)+COUNTIF($AG$6:AG1922,AG1922))</f>
        <v/>
      </c>
    </row>
    <row r="1923">
      <c r="A1923" s="51" t="n"/>
      <c r="B1923" s="52" t="n"/>
      <c r="C1923" s="52" t="n"/>
      <c r="D1923" s="53" t="n"/>
      <c r="E1923" s="53" t="n"/>
      <c r="F1923" s="54" t="n"/>
      <c r="G1923" s="54" t="n"/>
      <c r="H1923" s="54" t="n"/>
      <c r="I1923" s="54" t="n"/>
      <c r="J1923" s="53" t="n"/>
      <c r="K1923" s="55" t="str">
        <f>IF(COUNTA(A1923:I1923)=0,"",IF(F1923="",IFERROR(INDEX(eq_dur,MATCH(B1923,eq_code,0)),""),F1923))</f>
        <v/>
      </c>
      <c r="L1923" s="55" t="str">
        <f>IF(ISNUMBER(K1923),N(IFERROR(INDEX(eq_pause,MATCH(B1923,eq_code,0)),0))+SUMIFS(st_min,st_date,A1923,st_eq,B1923,st_po,C1923,st_type,"Planifié"),"")</f>
        <v/>
      </c>
      <c r="M1923" s="55" t="str">
        <f>IF(ISNUMBER(K1923),K1923-L1923,"")</f>
        <v/>
      </c>
      <c r="N1923" s="55" t="str">
        <f>IF(ISNUMBER(K1923),SUMIFS(st_min,st_date,A1923,st_eq,B1923,st_po,C1923,st_type,"Non planifié"),"")</f>
        <v/>
      </c>
      <c r="O1923" s="55" t="str">
        <f>IF(ISNUMBER(K1923),M1923-N1923,"")</f>
        <v/>
      </c>
      <c r="P1923" s="55" t="str">
        <f>IF(COUNTA(A1923:I1923)=0,"",N(G1923)+N(H1923)+N(I1923))</f>
        <v/>
      </c>
      <c r="Q1923" s="56" t="str">
        <f>IF(COUNTA(A1923:I1923)=0,"",IF(N(IFERROR(INDEX(art_rate,MATCH(E1923,art_ref,0)),0))&gt;0,N(IFERROR(INDEX(art_rate,MATCH(E1923,art_ref,0)),0)),N(IFERROR(INDEX(po_rate,MATCH(C1923,po_code,0)),0))))</f>
        <v/>
      </c>
      <c r="R1923" s="55" t="str">
        <f>IF(AC1923=1,P1923*60/Q1923,"")</f>
        <v/>
      </c>
      <c r="S1923" s="55" t="str">
        <f>IF(AC1923=1,N(G1923)*60/Q1923,"")</f>
        <v/>
      </c>
      <c r="T1923" s="57" t="str">
        <f>IF(AC1923=1,O1923/M1923,"")</f>
        <v/>
      </c>
      <c r="U1923" s="57" t="str">
        <f>IF(AC1923=1,IF(O1923&gt;0,R1923/O1923,""),"")</f>
        <v/>
      </c>
      <c r="V1923" s="57" t="str">
        <f>IF(AC1923=1,IF(P1923&gt;0,N(G1923)/P1923,""),"")</f>
        <v/>
      </c>
      <c r="W1923" s="57" t="str">
        <f>IF(AC1923=1,S1923/M1923,"")</f>
        <v/>
      </c>
      <c r="X1923" s="57" t="str">
        <f>IF(AC1923=1,S1923/K1923,"")</f>
        <v/>
      </c>
      <c r="Y1923" s="58" t="str">
        <f>IF(W1923="","",IF(W1923&gt;=p_target,"Bon",IF(W1923&gt;=p_alert,"À surveiller","Faible")))</f>
        <v/>
      </c>
      <c r="Z1923" s="58" t="str">
        <f>IF(W1923="","",IF(MIN(IF(T1923="",1,T1923),IF(U1923="",1,U1923),IF(V1923="",1,V1923))&gt;=1,"Aucune",IF(IF(T1923="",1,T1923)&lt;=MIN(IF(U1923="",1,U1923),IF(V1923="",1,V1923)),"Disponibilité",IF(IF(U1923="",1,U1923)&lt;=IF(V1923="",1,V1923),"Performance","Qualité"))))</f>
        <v/>
      </c>
      <c r="AA1923" s="59" t="str">
        <f>IF(AC1923=1,N(H1923)*N(IFERROR(INDEX(art_cost,MATCH(E1923,art_ref,0)),0)),"")</f>
        <v/>
      </c>
      <c r="AB1923" s="58" t="str">
        <f>IF(COUNTA(A1923:I1923)=0,"",IF(N(A1923)&lt;=0,"Date manquante ou invalide",IF(B1923="","Équipe manquante",IF(ISNA(MATCH(B1923,eq_code,0)),"Équipe inconnue",IF(INDEX(eq_check,MATCH(B1923,eq_code,0))&lt;&gt;"OK","Équipe à corriger dans Paramètres",IF(C1923="","Poste manquant",IF(ISNA(MATCH(C1923,po_code,0)),"Poste inconnu",IF(AND(E1923&lt;&gt;"",ISNA(MATCH(E1923,art_ref,0))),"Article inconnu",IF(IF(E1923="",FALSE,INDEX(art_check,MATCH(E1923,art_ref,0))&lt;&gt;"OK"),"Article à corriger (feuille Articles)",IF(COUNTIFS(sj_date,A1923,sj_eq,B1923,sj_po,C1923)&gt;1,"Ligne en double (même jour, équipe et poste)",IF(OR(NOT(ISNUMBER(K1923)),N(K1923)&lt;=0,N(K1923)&gt;1440),"Temps d'ouverture invalide",IF(OR(AND(G1923&lt;&gt;"",NOT(ISNUMBER(G1923))),N(G1923)&lt;0,N(G1923)&lt;&gt;INT(N(G1923)),AND(H1923&lt;&gt;"",NOT(ISNUMBER(H1923))),N(H1923)&lt;0,N(H1923)&lt;&gt;INT(N(H1923)),AND(I1923&lt;&gt;"",NOT(ISNUMBER(I1923))),N(I1923)&lt;0,N(I1923)&lt;&gt;INT(N(I1923))),"Quantité invalide",IF(Q1923&lt;=0,"Cadence manquante (poste ou article)",IF(M1923&lt;=0,"Arrêts planifiés supérieurs au temps d'ouverture",IF(O1923&lt;0,"Arrêts supérieurs au temps requis",IF(AND(P1923&gt;0,O1923=0),"Pièces déclarées sans temps de marche",IF(AND(P1923=0,O1923&gt;0),"Aucune pièce déclarée",IF(P1923*60/Q1923&gt;O1923+0.001,"Cadence dépassée : vérifiez la cadence","OK"))))))))))))))))))</f>
        <v/>
      </c>
      <c r="AC1923">
        <f>IF(OR(AB1923="OK",AB1923="Aucune pièce déclarée",AB1923="Cadence dépassée : vérifiez la cadence"),1,0)</f>
        <v>0.0</v>
      </c>
      <c r="AD1923">
        <f>IF(AND(AC1923=1,A1923&gt;=p_from,A1923&lt;=p_to),1,0)</f>
        <v>0.0</v>
      </c>
      <c r="AE1923">
        <f>IF(AD1923=1,IF(COUNTIFS($A$6:A1923,A1923,$AD$6:AD1923,1)=1,1,0),0)</f>
        <v>0.0</v>
      </c>
      <c r="AF1923" t="str">
        <f>IF(AE1923=1,COUNTIFS(sj_first,1,sj_date,"&lt;"&amp;A1923)+1,"")</f>
        <v/>
      </c>
      <c r="AG1923" t="str">
        <f>IF(AND(AD1923=1,N(W1923)&lt;p_alert),ROUND(W1923,4),"")</f>
        <v/>
      </c>
      <c r="AH1923" t="str">
        <f>IF(AG1923="","",COUNTIF(sj_akey,"&lt;"&amp;AG1923)+COUNTIF($AG$6:AG1923,AG1923))</f>
        <v/>
      </c>
    </row>
    <row r="1924">
      <c r="A1924" s="51" t="n"/>
      <c r="B1924" s="52" t="n"/>
      <c r="C1924" s="52" t="n"/>
      <c r="D1924" s="53" t="n"/>
      <c r="E1924" s="53" t="n"/>
      <c r="F1924" s="54" t="n"/>
      <c r="G1924" s="54" t="n"/>
      <c r="H1924" s="54" t="n"/>
      <c r="I1924" s="54" t="n"/>
      <c r="J1924" s="53" t="n"/>
      <c r="K1924" s="55" t="str">
        <f>IF(COUNTA(A1924:I1924)=0,"",IF(F1924="",IFERROR(INDEX(eq_dur,MATCH(B1924,eq_code,0)),""),F1924))</f>
        <v/>
      </c>
      <c r="L1924" s="55" t="str">
        <f>IF(ISNUMBER(K1924),N(IFERROR(INDEX(eq_pause,MATCH(B1924,eq_code,0)),0))+SUMIFS(st_min,st_date,A1924,st_eq,B1924,st_po,C1924,st_type,"Planifié"),"")</f>
        <v/>
      </c>
      <c r="M1924" s="55" t="str">
        <f>IF(ISNUMBER(K1924),K1924-L1924,"")</f>
        <v/>
      </c>
      <c r="N1924" s="55" t="str">
        <f>IF(ISNUMBER(K1924),SUMIFS(st_min,st_date,A1924,st_eq,B1924,st_po,C1924,st_type,"Non planifié"),"")</f>
        <v/>
      </c>
      <c r="O1924" s="55" t="str">
        <f>IF(ISNUMBER(K1924),M1924-N1924,"")</f>
        <v/>
      </c>
      <c r="P1924" s="55" t="str">
        <f>IF(COUNTA(A1924:I1924)=0,"",N(G1924)+N(H1924)+N(I1924))</f>
        <v/>
      </c>
      <c r="Q1924" s="56" t="str">
        <f>IF(COUNTA(A1924:I1924)=0,"",IF(N(IFERROR(INDEX(art_rate,MATCH(E1924,art_ref,0)),0))&gt;0,N(IFERROR(INDEX(art_rate,MATCH(E1924,art_ref,0)),0)),N(IFERROR(INDEX(po_rate,MATCH(C1924,po_code,0)),0))))</f>
        <v/>
      </c>
      <c r="R1924" s="55" t="str">
        <f>IF(AC1924=1,P1924*60/Q1924,"")</f>
        <v/>
      </c>
      <c r="S1924" s="55" t="str">
        <f>IF(AC1924=1,N(G1924)*60/Q1924,"")</f>
        <v/>
      </c>
      <c r="T1924" s="57" t="str">
        <f>IF(AC1924=1,O1924/M1924,"")</f>
        <v/>
      </c>
      <c r="U1924" s="57" t="str">
        <f>IF(AC1924=1,IF(O1924&gt;0,R1924/O1924,""),"")</f>
        <v/>
      </c>
      <c r="V1924" s="57" t="str">
        <f>IF(AC1924=1,IF(P1924&gt;0,N(G1924)/P1924,""),"")</f>
        <v/>
      </c>
      <c r="W1924" s="57" t="str">
        <f>IF(AC1924=1,S1924/M1924,"")</f>
        <v/>
      </c>
      <c r="X1924" s="57" t="str">
        <f>IF(AC1924=1,S1924/K1924,"")</f>
        <v/>
      </c>
      <c r="Y1924" s="58" t="str">
        <f>IF(W1924="","",IF(W1924&gt;=p_target,"Bon",IF(W1924&gt;=p_alert,"À surveiller","Faible")))</f>
        <v/>
      </c>
      <c r="Z1924" s="58" t="str">
        <f>IF(W1924="","",IF(MIN(IF(T1924="",1,T1924),IF(U1924="",1,U1924),IF(V1924="",1,V1924))&gt;=1,"Aucune",IF(IF(T1924="",1,T1924)&lt;=MIN(IF(U1924="",1,U1924),IF(V1924="",1,V1924)),"Disponibilité",IF(IF(U1924="",1,U1924)&lt;=IF(V1924="",1,V1924),"Performance","Qualité"))))</f>
        <v/>
      </c>
      <c r="AA1924" s="59" t="str">
        <f>IF(AC1924=1,N(H1924)*N(IFERROR(INDEX(art_cost,MATCH(E1924,art_ref,0)),0)),"")</f>
        <v/>
      </c>
      <c r="AB1924" s="58" t="str">
        <f>IF(COUNTA(A1924:I1924)=0,"",IF(N(A1924)&lt;=0,"Date manquante ou invalide",IF(B1924="","Équipe manquante",IF(ISNA(MATCH(B1924,eq_code,0)),"Équipe inconnue",IF(INDEX(eq_check,MATCH(B1924,eq_code,0))&lt;&gt;"OK","Équipe à corriger dans Paramètres",IF(C1924="","Poste manquant",IF(ISNA(MATCH(C1924,po_code,0)),"Poste inconnu",IF(AND(E1924&lt;&gt;"",ISNA(MATCH(E1924,art_ref,0))),"Article inconnu",IF(IF(E1924="",FALSE,INDEX(art_check,MATCH(E1924,art_ref,0))&lt;&gt;"OK"),"Article à corriger (feuille Articles)",IF(COUNTIFS(sj_date,A1924,sj_eq,B1924,sj_po,C1924)&gt;1,"Ligne en double (même jour, équipe et poste)",IF(OR(NOT(ISNUMBER(K1924)),N(K1924)&lt;=0,N(K1924)&gt;1440),"Temps d'ouverture invalide",IF(OR(AND(G1924&lt;&gt;"",NOT(ISNUMBER(G1924))),N(G1924)&lt;0,N(G1924)&lt;&gt;INT(N(G1924)),AND(H1924&lt;&gt;"",NOT(ISNUMBER(H1924))),N(H1924)&lt;0,N(H1924)&lt;&gt;INT(N(H1924)),AND(I1924&lt;&gt;"",NOT(ISNUMBER(I1924))),N(I1924)&lt;0,N(I1924)&lt;&gt;INT(N(I1924))),"Quantité invalide",IF(Q1924&lt;=0,"Cadence manquante (poste ou article)",IF(M1924&lt;=0,"Arrêts planifiés supérieurs au temps d'ouverture",IF(O1924&lt;0,"Arrêts supérieurs au temps requis",IF(AND(P1924&gt;0,O1924=0),"Pièces déclarées sans temps de marche",IF(AND(P1924=0,O1924&gt;0),"Aucune pièce déclarée",IF(P1924*60/Q1924&gt;O1924+0.001,"Cadence dépassée : vérifiez la cadence","OK"))))))))))))))))))</f>
        <v/>
      </c>
      <c r="AC1924">
        <f>IF(OR(AB1924="OK",AB1924="Aucune pièce déclarée",AB1924="Cadence dépassée : vérifiez la cadence"),1,0)</f>
        <v>0.0</v>
      </c>
      <c r="AD1924">
        <f>IF(AND(AC1924=1,A1924&gt;=p_from,A1924&lt;=p_to),1,0)</f>
        <v>0.0</v>
      </c>
      <c r="AE1924">
        <f>IF(AD1924=1,IF(COUNTIFS($A$6:A1924,A1924,$AD$6:AD1924,1)=1,1,0),0)</f>
        <v>0.0</v>
      </c>
      <c r="AF1924" t="str">
        <f>IF(AE1924=1,COUNTIFS(sj_first,1,sj_date,"&lt;"&amp;A1924)+1,"")</f>
        <v/>
      </c>
      <c r="AG1924" t="str">
        <f>IF(AND(AD1924=1,N(W1924)&lt;p_alert),ROUND(W1924,4),"")</f>
        <v/>
      </c>
      <c r="AH1924" t="str">
        <f>IF(AG1924="","",COUNTIF(sj_akey,"&lt;"&amp;AG1924)+COUNTIF($AG$6:AG1924,AG1924))</f>
        <v/>
      </c>
    </row>
    <row r="1925">
      <c r="A1925" s="51" t="n"/>
      <c r="B1925" s="52" t="n"/>
      <c r="C1925" s="52" t="n"/>
      <c r="D1925" s="53" t="n"/>
      <c r="E1925" s="53" t="n"/>
      <c r="F1925" s="54" t="n"/>
      <c r="G1925" s="54" t="n"/>
      <c r="H1925" s="54" t="n"/>
      <c r="I1925" s="54" t="n"/>
      <c r="J1925" s="53" t="n"/>
      <c r="K1925" s="55" t="str">
        <f>IF(COUNTA(A1925:I1925)=0,"",IF(F1925="",IFERROR(INDEX(eq_dur,MATCH(B1925,eq_code,0)),""),F1925))</f>
        <v/>
      </c>
      <c r="L1925" s="55" t="str">
        <f>IF(ISNUMBER(K1925),N(IFERROR(INDEX(eq_pause,MATCH(B1925,eq_code,0)),0))+SUMIFS(st_min,st_date,A1925,st_eq,B1925,st_po,C1925,st_type,"Planifié"),"")</f>
        <v/>
      </c>
      <c r="M1925" s="55" t="str">
        <f>IF(ISNUMBER(K1925),K1925-L1925,"")</f>
        <v/>
      </c>
      <c r="N1925" s="55" t="str">
        <f>IF(ISNUMBER(K1925),SUMIFS(st_min,st_date,A1925,st_eq,B1925,st_po,C1925,st_type,"Non planifié"),"")</f>
        <v/>
      </c>
      <c r="O1925" s="55" t="str">
        <f>IF(ISNUMBER(K1925),M1925-N1925,"")</f>
        <v/>
      </c>
      <c r="P1925" s="55" t="str">
        <f>IF(COUNTA(A1925:I1925)=0,"",N(G1925)+N(H1925)+N(I1925))</f>
        <v/>
      </c>
      <c r="Q1925" s="56" t="str">
        <f>IF(COUNTA(A1925:I1925)=0,"",IF(N(IFERROR(INDEX(art_rate,MATCH(E1925,art_ref,0)),0))&gt;0,N(IFERROR(INDEX(art_rate,MATCH(E1925,art_ref,0)),0)),N(IFERROR(INDEX(po_rate,MATCH(C1925,po_code,0)),0))))</f>
        <v/>
      </c>
      <c r="R1925" s="55" t="str">
        <f>IF(AC1925=1,P1925*60/Q1925,"")</f>
        <v/>
      </c>
      <c r="S1925" s="55" t="str">
        <f>IF(AC1925=1,N(G1925)*60/Q1925,"")</f>
        <v/>
      </c>
      <c r="T1925" s="57" t="str">
        <f>IF(AC1925=1,O1925/M1925,"")</f>
        <v/>
      </c>
      <c r="U1925" s="57" t="str">
        <f>IF(AC1925=1,IF(O1925&gt;0,R1925/O1925,""),"")</f>
        <v/>
      </c>
      <c r="V1925" s="57" t="str">
        <f>IF(AC1925=1,IF(P1925&gt;0,N(G1925)/P1925,""),"")</f>
        <v/>
      </c>
      <c r="W1925" s="57" t="str">
        <f>IF(AC1925=1,S1925/M1925,"")</f>
        <v/>
      </c>
      <c r="X1925" s="57" t="str">
        <f>IF(AC1925=1,S1925/K1925,"")</f>
        <v/>
      </c>
      <c r="Y1925" s="58" t="str">
        <f>IF(W1925="","",IF(W1925&gt;=p_target,"Bon",IF(W1925&gt;=p_alert,"À surveiller","Faible")))</f>
        <v/>
      </c>
      <c r="Z1925" s="58" t="str">
        <f>IF(W1925="","",IF(MIN(IF(T1925="",1,T1925),IF(U1925="",1,U1925),IF(V1925="",1,V1925))&gt;=1,"Aucune",IF(IF(T1925="",1,T1925)&lt;=MIN(IF(U1925="",1,U1925),IF(V1925="",1,V1925)),"Disponibilité",IF(IF(U1925="",1,U1925)&lt;=IF(V1925="",1,V1925),"Performance","Qualité"))))</f>
        <v/>
      </c>
      <c r="AA1925" s="59" t="str">
        <f>IF(AC1925=1,N(H1925)*N(IFERROR(INDEX(art_cost,MATCH(E1925,art_ref,0)),0)),"")</f>
        <v/>
      </c>
      <c r="AB1925" s="58" t="str">
        <f>IF(COUNTA(A1925:I1925)=0,"",IF(N(A1925)&lt;=0,"Date manquante ou invalide",IF(B1925="","Équipe manquante",IF(ISNA(MATCH(B1925,eq_code,0)),"Équipe inconnue",IF(INDEX(eq_check,MATCH(B1925,eq_code,0))&lt;&gt;"OK","Équipe à corriger dans Paramètres",IF(C1925="","Poste manquant",IF(ISNA(MATCH(C1925,po_code,0)),"Poste inconnu",IF(AND(E1925&lt;&gt;"",ISNA(MATCH(E1925,art_ref,0))),"Article inconnu",IF(IF(E1925="",FALSE,INDEX(art_check,MATCH(E1925,art_ref,0))&lt;&gt;"OK"),"Article à corriger (feuille Articles)",IF(COUNTIFS(sj_date,A1925,sj_eq,B1925,sj_po,C1925)&gt;1,"Ligne en double (même jour, équipe et poste)",IF(OR(NOT(ISNUMBER(K1925)),N(K1925)&lt;=0,N(K1925)&gt;1440),"Temps d'ouverture invalide",IF(OR(AND(G1925&lt;&gt;"",NOT(ISNUMBER(G1925))),N(G1925)&lt;0,N(G1925)&lt;&gt;INT(N(G1925)),AND(H1925&lt;&gt;"",NOT(ISNUMBER(H1925))),N(H1925)&lt;0,N(H1925)&lt;&gt;INT(N(H1925)),AND(I1925&lt;&gt;"",NOT(ISNUMBER(I1925))),N(I1925)&lt;0,N(I1925)&lt;&gt;INT(N(I1925))),"Quantité invalide",IF(Q1925&lt;=0,"Cadence manquante (poste ou article)",IF(M1925&lt;=0,"Arrêts planifiés supérieurs au temps d'ouverture",IF(O1925&lt;0,"Arrêts supérieurs au temps requis",IF(AND(P1925&gt;0,O1925=0),"Pièces déclarées sans temps de marche",IF(AND(P1925=0,O1925&gt;0),"Aucune pièce déclarée",IF(P1925*60/Q1925&gt;O1925+0.001,"Cadence dépassée : vérifiez la cadence","OK"))))))))))))))))))</f>
        <v/>
      </c>
      <c r="AC1925">
        <f>IF(OR(AB1925="OK",AB1925="Aucune pièce déclarée",AB1925="Cadence dépassée : vérifiez la cadence"),1,0)</f>
        <v>0.0</v>
      </c>
      <c r="AD1925">
        <f>IF(AND(AC1925=1,A1925&gt;=p_from,A1925&lt;=p_to),1,0)</f>
        <v>0.0</v>
      </c>
      <c r="AE1925">
        <f>IF(AD1925=1,IF(COUNTIFS($A$6:A1925,A1925,$AD$6:AD1925,1)=1,1,0),0)</f>
        <v>0.0</v>
      </c>
      <c r="AF1925" t="str">
        <f>IF(AE1925=1,COUNTIFS(sj_first,1,sj_date,"&lt;"&amp;A1925)+1,"")</f>
        <v/>
      </c>
      <c r="AG1925" t="str">
        <f>IF(AND(AD1925=1,N(W1925)&lt;p_alert),ROUND(W1925,4),"")</f>
        <v/>
      </c>
      <c r="AH1925" t="str">
        <f>IF(AG1925="","",COUNTIF(sj_akey,"&lt;"&amp;AG1925)+COUNTIF($AG$6:AG1925,AG1925))</f>
        <v/>
      </c>
    </row>
    <row r="1926">
      <c r="A1926" s="51" t="n"/>
      <c r="B1926" s="52" t="n"/>
      <c r="C1926" s="52" t="n"/>
      <c r="D1926" s="53" t="n"/>
      <c r="E1926" s="53" t="n"/>
      <c r="F1926" s="54" t="n"/>
      <c r="G1926" s="54" t="n"/>
      <c r="H1926" s="54" t="n"/>
      <c r="I1926" s="54" t="n"/>
      <c r="J1926" s="53" t="n"/>
      <c r="K1926" s="55" t="str">
        <f>IF(COUNTA(A1926:I1926)=0,"",IF(F1926="",IFERROR(INDEX(eq_dur,MATCH(B1926,eq_code,0)),""),F1926))</f>
        <v/>
      </c>
      <c r="L1926" s="55" t="str">
        <f>IF(ISNUMBER(K1926),N(IFERROR(INDEX(eq_pause,MATCH(B1926,eq_code,0)),0))+SUMIFS(st_min,st_date,A1926,st_eq,B1926,st_po,C1926,st_type,"Planifié"),"")</f>
        <v/>
      </c>
      <c r="M1926" s="55" t="str">
        <f>IF(ISNUMBER(K1926),K1926-L1926,"")</f>
        <v/>
      </c>
      <c r="N1926" s="55" t="str">
        <f>IF(ISNUMBER(K1926),SUMIFS(st_min,st_date,A1926,st_eq,B1926,st_po,C1926,st_type,"Non planifié"),"")</f>
        <v/>
      </c>
      <c r="O1926" s="55" t="str">
        <f>IF(ISNUMBER(K1926),M1926-N1926,"")</f>
        <v/>
      </c>
      <c r="P1926" s="55" t="str">
        <f>IF(COUNTA(A1926:I1926)=0,"",N(G1926)+N(H1926)+N(I1926))</f>
        <v/>
      </c>
      <c r="Q1926" s="56" t="str">
        <f>IF(COUNTA(A1926:I1926)=0,"",IF(N(IFERROR(INDEX(art_rate,MATCH(E1926,art_ref,0)),0))&gt;0,N(IFERROR(INDEX(art_rate,MATCH(E1926,art_ref,0)),0)),N(IFERROR(INDEX(po_rate,MATCH(C1926,po_code,0)),0))))</f>
        <v/>
      </c>
      <c r="R1926" s="55" t="str">
        <f>IF(AC1926=1,P1926*60/Q1926,"")</f>
        <v/>
      </c>
      <c r="S1926" s="55" t="str">
        <f>IF(AC1926=1,N(G1926)*60/Q1926,"")</f>
        <v/>
      </c>
      <c r="T1926" s="57" t="str">
        <f>IF(AC1926=1,O1926/M1926,"")</f>
        <v/>
      </c>
      <c r="U1926" s="57" t="str">
        <f>IF(AC1926=1,IF(O1926&gt;0,R1926/O1926,""),"")</f>
        <v/>
      </c>
      <c r="V1926" s="57" t="str">
        <f>IF(AC1926=1,IF(P1926&gt;0,N(G1926)/P1926,""),"")</f>
        <v/>
      </c>
      <c r="W1926" s="57" t="str">
        <f>IF(AC1926=1,S1926/M1926,"")</f>
        <v/>
      </c>
      <c r="X1926" s="57" t="str">
        <f>IF(AC1926=1,S1926/K1926,"")</f>
        <v/>
      </c>
      <c r="Y1926" s="58" t="str">
        <f>IF(W1926="","",IF(W1926&gt;=p_target,"Bon",IF(W1926&gt;=p_alert,"À surveiller","Faible")))</f>
        <v/>
      </c>
      <c r="Z1926" s="58" t="str">
        <f>IF(W1926="","",IF(MIN(IF(T1926="",1,T1926),IF(U1926="",1,U1926),IF(V1926="",1,V1926))&gt;=1,"Aucune",IF(IF(T1926="",1,T1926)&lt;=MIN(IF(U1926="",1,U1926),IF(V1926="",1,V1926)),"Disponibilité",IF(IF(U1926="",1,U1926)&lt;=IF(V1926="",1,V1926),"Performance","Qualité"))))</f>
        <v/>
      </c>
      <c r="AA1926" s="59" t="str">
        <f>IF(AC1926=1,N(H1926)*N(IFERROR(INDEX(art_cost,MATCH(E1926,art_ref,0)),0)),"")</f>
        <v/>
      </c>
      <c r="AB1926" s="58" t="str">
        <f>IF(COUNTA(A1926:I1926)=0,"",IF(N(A1926)&lt;=0,"Date manquante ou invalide",IF(B1926="","Équipe manquante",IF(ISNA(MATCH(B1926,eq_code,0)),"Équipe inconnue",IF(INDEX(eq_check,MATCH(B1926,eq_code,0))&lt;&gt;"OK","Équipe à corriger dans Paramètres",IF(C1926="","Poste manquant",IF(ISNA(MATCH(C1926,po_code,0)),"Poste inconnu",IF(AND(E1926&lt;&gt;"",ISNA(MATCH(E1926,art_ref,0))),"Article inconnu",IF(IF(E1926="",FALSE,INDEX(art_check,MATCH(E1926,art_ref,0))&lt;&gt;"OK"),"Article à corriger (feuille Articles)",IF(COUNTIFS(sj_date,A1926,sj_eq,B1926,sj_po,C1926)&gt;1,"Ligne en double (même jour, équipe et poste)",IF(OR(NOT(ISNUMBER(K1926)),N(K1926)&lt;=0,N(K1926)&gt;1440),"Temps d'ouverture invalide",IF(OR(AND(G1926&lt;&gt;"",NOT(ISNUMBER(G1926))),N(G1926)&lt;0,N(G1926)&lt;&gt;INT(N(G1926)),AND(H1926&lt;&gt;"",NOT(ISNUMBER(H1926))),N(H1926)&lt;0,N(H1926)&lt;&gt;INT(N(H1926)),AND(I1926&lt;&gt;"",NOT(ISNUMBER(I1926))),N(I1926)&lt;0,N(I1926)&lt;&gt;INT(N(I1926))),"Quantité invalide",IF(Q1926&lt;=0,"Cadence manquante (poste ou article)",IF(M1926&lt;=0,"Arrêts planifiés supérieurs au temps d'ouverture",IF(O1926&lt;0,"Arrêts supérieurs au temps requis",IF(AND(P1926&gt;0,O1926=0),"Pièces déclarées sans temps de marche",IF(AND(P1926=0,O1926&gt;0),"Aucune pièce déclarée",IF(P1926*60/Q1926&gt;O1926+0.001,"Cadence dépassée : vérifiez la cadence","OK"))))))))))))))))))</f>
        <v/>
      </c>
      <c r="AC1926">
        <f>IF(OR(AB1926="OK",AB1926="Aucune pièce déclarée",AB1926="Cadence dépassée : vérifiez la cadence"),1,0)</f>
        <v>0.0</v>
      </c>
      <c r="AD1926">
        <f>IF(AND(AC1926=1,A1926&gt;=p_from,A1926&lt;=p_to),1,0)</f>
        <v>0.0</v>
      </c>
      <c r="AE1926">
        <f>IF(AD1926=1,IF(COUNTIFS($A$6:A1926,A1926,$AD$6:AD1926,1)=1,1,0),0)</f>
        <v>0.0</v>
      </c>
      <c r="AF1926" t="str">
        <f>IF(AE1926=1,COUNTIFS(sj_first,1,sj_date,"&lt;"&amp;A1926)+1,"")</f>
        <v/>
      </c>
      <c r="AG1926" t="str">
        <f>IF(AND(AD1926=1,N(W1926)&lt;p_alert),ROUND(W1926,4),"")</f>
        <v/>
      </c>
      <c r="AH1926" t="str">
        <f>IF(AG1926="","",COUNTIF(sj_akey,"&lt;"&amp;AG1926)+COUNTIF($AG$6:AG1926,AG1926))</f>
        <v/>
      </c>
    </row>
    <row r="1927">
      <c r="A1927" s="51" t="n"/>
      <c r="B1927" s="52" t="n"/>
      <c r="C1927" s="52" t="n"/>
      <c r="D1927" s="53" t="n"/>
      <c r="E1927" s="53" t="n"/>
      <c r="F1927" s="54" t="n"/>
      <c r="G1927" s="54" t="n"/>
      <c r="H1927" s="54" t="n"/>
      <c r="I1927" s="54" t="n"/>
      <c r="J1927" s="53" t="n"/>
      <c r="K1927" s="55" t="str">
        <f>IF(COUNTA(A1927:I1927)=0,"",IF(F1927="",IFERROR(INDEX(eq_dur,MATCH(B1927,eq_code,0)),""),F1927))</f>
        <v/>
      </c>
      <c r="L1927" s="55" t="str">
        <f>IF(ISNUMBER(K1927),N(IFERROR(INDEX(eq_pause,MATCH(B1927,eq_code,0)),0))+SUMIFS(st_min,st_date,A1927,st_eq,B1927,st_po,C1927,st_type,"Planifié"),"")</f>
        <v/>
      </c>
      <c r="M1927" s="55" t="str">
        <f>IF(ISNUMBER(K1927),K1927-L1927,"")</f>
        <v/>
      </c>
      <c r="N1927" s="55" t="str">
        <f>IF(ISNUMBER(K1927),SUMIFS(st_min,st_date,A1927,st_eq,B1927,st_po,C1927,st_type,"Non planifié"),"")</f>
        <v/>
      </c>
      <c r="O1927" s="55" t="str">
        <f>IF(ISNUMBER(K1927),M1927-N1927,"")</f>
        <v/>
      </c>
      <c r="P1927" s="55" t="str">
        <f>IF(COUNTA(A1927:I1927)=0,"",N(G1927)+N(H1927)+N(I1927))</f>
        <v/>
      </c>
      <c r="Q1927" s="56" t="str">
        <f>IF(COUNTA(A1927:I1927)=0,"",IF(N(IFERROR(INDEX(art_rate,MATCH(E1927,art_ref,0)),0))&gt;0,N(IFERROR(INDEX(art_rate,MATCH(E1927,art_ref,0)),0)),N(IFERROR(INDEX(po_rate,MATCH(C1927,po_code,0)),0))))</f>
        <v/>
      </c>
      <c r="R1927" s="55" t="str">
        <f>IF(AC1927=1,P1927*60/Q1927,"")</f>
        <v/>
      </c>
      <c r="S1927" s="55" t="str">
        <f>IF(AC1927=1,N(G1927)*60/Q1927,"")</f>
        <v/>
      </c>
      <c r="T1927" s="57" t="str">
        <f>IF(AC1927=1,O1927/M1927,"")</f>
        <v/>
      </c>
      <c r="U1927" s="57" t="str">
        <f>IF(AC1927=1,IF(O1927&gt;0,R1927/O1927,""),"")</f>
        <v/>
      </c>
      <c r="V1927" s="57" t="str">
        <f>IF(AC1927=1,IF(P1927&gt;0,N(G1927)/P1927,""),"")</f>
        <v/>
      </c>
      <c r="W1927" s="57" t="str">
        <f>IF(AC1927=1,S1927/M1927,"")</f>
        <v/>
      </c>
      <c r="X1927" s="57" t="str">
        <f>IF(AC1927=1,S1927/K1927,"")</f>
        <v/>
      </c>
      <c r="Y1927" s="58" t="str">
        <f>IF(W1927="","",IF(W1927&gt;=p_target,"Bon",IF(W1927&gt;=p_alert,"À surveiller","Faible")))</f>
        <v/>
      </c>
      <c r="Z1927" s="58" t="str">
        <f>IF(W1927="","",IF(MIN(IF(T1927="",1,T1927),IF(U1927="",1,U1927),IF(V1927="",1,V1927))&gt;=1,"Aucune",IF(IF(T1927="",1,T1927)&lt;=MIN(IF(U1927="",1,U1927),IF(V1927="",1,V1927)),"Disponibilité",IF(IF(U1927="",1,U1927)&lt;=IF(V1927="",1,V1927),"Performance","Qualité"))))</f>
        <v/>
      </c>
      <c r="AA1927" s="59" t="str">
        <f>IF(AC1927=1,N(H1927)*N(IFERROR(INDEX(art_cost,MATCH(E1927,art_ref,0)),0)),"")</f>
        <v/>
      </c>
      <c r="AB1927" s="58" t="str">
        <f>IF(COUNTA(A1927:I1927)=0,"",IF(N(A1927)&lt;=0,"Date manquante ou invalide",IF(B1927="","Équipe manquante",IF(ISNA(MATCH(B1927,eq_code,0)),"Équipe inconnue",IF(INDEX(eq_check,MATCH(B1927,eq_code,0))&lt;&gt;"OK","Équipe à corriger dans Paramètres",IF(C1927="","Poste manquant",IF(ISNA(MATCH(C1927,po_code,0)),"Poste inconnu",IF(AND(E1927&lt;&gt;"",ISNA(MATCH(E1927,art_ref,0))),"Article inconnu",IF(IF(E1927="",FALSE,INDEX(art_check,MATCH(E1927,art_ref,0))&lt;&gt;"OK"),"Article à corriger (feuille Articles)",IF(COUNTIFS(sj_date,A1927,sj_eq,B1927,sj_po,C1927)&gt;1,"Ligne en double (même jour, équipe et poste)",IF(OR(NOT(ISNUMBER(K1927)),N(K1927)&lt;=0,N(K1927)&gt;1440),"Temps d'ouverture invalide",IF(OR(AND(G1927&lt;&gt;"",NOT(ISNUMBER(G1927))),N(G1927)&lt;0,N(G1927)&lt;&gt;INT(N(G1927)),AND(H1927&lt;&gt;"",NOT(ISNUMBER(H1927))),N(H1927)&lt;0,N(H1927)&lt;&gt;INT(N(H1927)),AND(I1927&lt;&gt;"",NOT(ISNUMBER(I1927))),N(I1927)&lt;0,N(I1927)&lt;&gt;INT(N(I1927))),"Quantité invalide",IF(Q1927&lt;=0,"Cadence manquante (poste ou article)",IF(M1927&lt;=0,"Arrêts planifiés supérieurs au temps d'ouverture",IF(O1927&lt;0,"Arrêts supérieurs au temps requis",IF(AND(P1927&gt;0,O1927=0),"Pièces déclarées sans temps de marche",IF(AND(P1927=0,O1927&gt;0),"Aucune pièce déclarée",IF(P1927*60/Q1927&gt;O1927+0.001,"Cadence dépassée : vérifiez la cadence","OK"))))))))))))))))))</f>
        <v/>
      </c>
      <c r="AC1927">
        <f>IF(OR(AB1927="OK",AB1927="Aucune pièce déclarée",AB1927="Cadence dépassée : vérifiez la cadence"),1,0)</f>
        <v>0.0</v>
      </c>
      <c r="AD1927">
        <f>IF(AND(AC1927=1,A1927&gt;=p_from,A1927&lt;=p_to),1,0)</f>
        <v>0.0</v>
      </c>
      <c r="AE1927">
        <f>IF(AD1927=1,IF(COUNTIFS($A$6:A1927,A1927,$AD$6:AD1927,1)=1,1,0),0)</f>
        <v>0.0</v>
      </c>
      <c r="AF1927" t="str">
        <f>IF(AE1927=1,COUNTIFS(sj_first,1,sj_date,"&lt;"&amp;A1927)+1,"")</f>
        <v/>
      </c>
      <c r="AG1927" t="str">
        <f>IF(AND(AD1927=1,N(W1927)&lt;p_alert),ROUND(W1927,4),"")</f>
        <v/>
      </c>
      <c r="AH1927" t="str">
        <f>IF(AG1927="","",COUNTIF(sj_akey,"&lt;"&amp;AG1927)+COUNTIF($AG$6:AG1927,AG1927))</f>
        <v/>
      </c>
    </row>
    <row r="1928">
      <c r="A1928" s="51" t="n"/>
      <c r="B1928" s="52" t="n"/>
      <c r="C1928" s="52" t="n"/>
      <c r="D1928" s="53" t="n"/>
      <c r="E1928" s="53" t="n"/>
      <c r="F1928" s="54" t="n"/>
      <c r="G1928" s="54" t="n"/>
      <c r="H1928" s="54" t="n"/>
      <c r="I1928" s="54" t="n"/>
      <c r="J1928" s="53" t="n"/>
      <c r="K1928" s="55" t="str">
        <f>IF(COUNTA(A1928:I1928)=0,"",IF(F1928="",IFERROR(INDEX(eq_dur,MATCH(B1928,eq_code,0)),""),F1928))</f>
        <v/>
      </c>
      <c r="L1928" s="55" t="str">
        <f>IF(ISNUMBER(K1928),N(IFERROR(INDEX(eq_pause,MATCH(B1928,eq_code,0)),0))+SUMIFS(st_min,st_date,A1928,st_eq,B1928,st_po,C1928,st_type,"Planifié"),"")</f>
        <v/>
      </c>
      <c r="M1928" s="55" t="str">
        <f>IF(ISNUMBER(K1928),K1928-L1928,"")</f>
        <v/>
      </c>
      <c r="N1928" s="55" t="str">
        <f>IF(ISNUMBER(K1928),SUMIFS(st_min,st_date,A1928,st_eq,B1928,st_po,C1928,st_type,"Non planifié"),"")</f>
        <v/>
      </c>
      <c r="O1928" s="55" t="str">
        <f>IF(ISNUMBER(K1928),M1928-N1928,"")</f>
        <v/>
      </c>
      <c r="P1928" s="55" t="str">
        <f>IF(COUNTA(A1928:I1928)=0,"",N(G1928)+N(H1928)+N(I1928))</f>
        <v/>
      </c>
      <c r="Q1928" s="56" t="str">
        <f>IF(COUNTA(A1928:I1928)=0,"",IF(N(IFERROR(INDEX(art_rate,MATCH(E1928,art_ref,0)),0))&gt;0,N(IFERROR(INDEX(art_rate,MATCH(E1928,art_ref,0)),0)),N(IFERROR(INDEX(po_rate,MATCH(C1928,po_code,0)),0))))</f>
        <v/>
      </c>
      <c r="R1928" s="55" t="str">
        <f>IF(AC1928=1,P1928*60/Q1928,"")</f>
        <v/>
      </c>
      <c r="S1928" s="55" t="str">
        <f>IF(AC1928=1,N(G1928)*60/Q1928,"")</f>
        <v/>
      </c>
      <c r="T1928" s="57" t="str">
        <f>IF(AC1928=1,O1928/M1928,"")</f>
        <v/>
      </c>
      <c r="U1928" s="57" t="str">
        <f>IF(AC1928=1,IF(O1928&gt;0,R1928/O1928,""),"")</f>
        <v/>
      </c>
      <c r="V1928" s="57" t="str">
        <f>IF(AC1928=1,IF(P1928&gt;0,N(G1928)/P1928,""),"")</f>
        <v/>
      </c>
      <c r="W1928" s="57" t="str">
        <f>IF(AC1928=1,S1928/M1928,"")</f>
        <v/>
      </c>
      <c r="X1928" s="57" t="str">
        <f>IF(AC1928=1,S1928/K1928,"")</f>
        <v/>
      </c>
      <c r="Y1928" s="58" t="str">
        <f>IF(W1928="","",IF(W1928&gt;=p_target,"Bon",IF(W1928&gt;=p_alert,"À surveiller","Faible")))</f>
        <v/>
      </c>
      <c r="Z1928" s="58" t="str">
        <f>IF(W1928="","",IF(MIN(IF(T1928="",1,T1928),IF(U1928="",1,U1928),IF(V1928="",1,V1928))&gt;=1,"Aucune",IF(IF(T1928="",1,T1928)&lt;=MIN(IF(U1928="",1,U1928),IF(V1928="",1,V1928)),"Disponibilité",IF(IF(U1928="",1,U1928)&lt;=IF(V1928="",1,V1928),"Performance","Qualité"))))</f>
        <v/>
      </c>
      <c r="AA1928" s="59" t="str">
        <f>IF(AC1928=1,N(H1928)*N(IFERROR(INDEX(art_cost,MATCH(E1928,art_ref,0)),0)),"")</f>
        <v/>
      </c>
      <c r="AB1928" s="58" t="str">
        <f>IF(COUNTA(A1928:I1928)=0,"",IF(N(A1928)&lt;=0,"Date manquante ou invalide",IF(B1928="","Équipe manquante",IF(ISNA(MATCH(B1928,eq_code,0)),"Équipe inconnue",IF(INDEX(eq_check,MATCH(B1928,eq_code,0))&lt;&gt;"OK","Équipe à corriger dans Paramètres",IF(C1928="","Poste manquant",IF(ISNA(MATCH(C1928,po_code,0)),"Poste inconnu",IF(AND(E1928&lt;&gt;"",ISNA(MATCH(E1928,art_ref,0))),"Article inconnu",IF(IF(E1928="",FALSE,INDEX(art_check,MATCH(E1928,art_ref,0))&lt;&gt;"OK"),"Article à corriger (feuille Articles)",IF(COUNTIFS(sj_date,A1928,sj_eq,B1928,sj_po,C1928)&gt;1,"Ligne en double (même jour, équipe et poste)",IF(OR(NOT(ISNUMBER(K1928)),N(K1928)&lt;=0,N(K1928)&gt;1440),"Temps d'ouverture invalide",IF(OR(AND(G1928&lt;&gt;"",NOT(ISNUMBER(G1928))),N(G1928)&lt;0,N(G1928)&lt;&gt;INT(N(G1928)),AND(H1928&lt;&gt;"",NOT(ISNUMBER(H1928))),N(H1928)&lt;0,N(H1928)&lt;&gt;INT(N(H1928)),AND(I1928&lt;&gt;"",NOT(ISNUMBER(I1928))),N(I1928)&lt;0,N(I1928)&lt;&gt;INT(N(I1928))),"Quantité invalide",IF(Q1928&lt;=0,"Cadence manquante (poste ou article)",IF(M1928&lt;=0,"Arrêts planifiés supérieurs au temps d'ouverture",IF(O1928&lt;0,"Arrêts supérieurs au temps requis",IF(AND(P1928&gt;0,O1928=0),"Pièces déclarées sans temps de marche",IF(AND(P1928=0,O1928&gt;0),"Aucune pièce déclarée",IF(P1928*60/Q1928&gt;O1928+0.001,"Cadence dépassée : vérifiez la cadence","OK"))))))))))))))))))</f>
        <v/>
      </c>
      <c r="AC1928">
        <f>IF(OR(AB1928="OK",AB1928="Aucune pièce déclarée",AB1928="Cadence dépassée : vérifiez la cadence"),1,0)</f>
        <v>0.0</v>
      </c>
      <c r="AD1928">
        <f>IF(AND(AC1928=1,A1928&gt;=p_from,A1928&lt;=p_to),1,0)</f>
        <v>0.0</v>
      </c>
      <c r="AE1928">
        <f>IF(AD1928=1,IF(COUNTIFS($A$6:A1928,A1928,$AD$6:AD1928,1)=1,1,0),0)</f>
        <v>0.0</v>
      </c>
      <c r="AF1928" t="str">
        <f>IF(AE1928=1,COUNTIFS(sj_first,1,sj_date,"&lt;"&amp;A1928)+1,"")</f>
        <v/>
      </c>
      <c r="AG1928" t="str">
        <f>IF(AND(AD1928=1,N(W1928)&lt;p_alert),ROUND(W1928,4),"")</f>
        <v/>
      </c>
      <c r="AH1928" t="str">
        <f>IF(AG1928="","",COUNTIF(sj_akey,"&lt;"&amp;AG1928)+COUNTIF($AG$6:AG1928,AG1928))</f>
        <v/>
      </c>
    </row>
    <row r="1929">
      <c r="A1929" s="51" t="n"/>
      <c r="B1929" s="52" t="n"/>
      <c r="C1929" s="52" t="n"/>
      <c r="D1929" s="53" t="n"/>
      <c r="E1929" s="53" t="n"/>
      <c r="F1929" s="54" t="n"/>
      <c r="G1929" s="54" t="n"/>
      <c r="H1929" s="54" t="n"/>
      <c r="I1929" s="54" t="n"/>
      <c r="J1929" s="53" t="n"/>
      <c r="K1929" s="55" t="str">
        <f>IF(COUNTA(A1929:I1929)=0,"",IF(F1929="",IFERROR(INDEX(eq_dur,MATCH(B1929,eq_code,0)),""),F1929))</f>
        <v/>
      </c>
      <c r="L1929" s="55" t="str">
        <f>IF(ISNUMBER(K1929),N(IFERROR(INDEX(eq_pause,MATCH(B1929,eq_code,0)),0))+SUMIFS(st_min,st_date,A1929,st_eq,B1929,st_po,C1929,st_type,"Planifié"),"")</f>
        <v/>
      </c>
      <c r="M1929" s="55" t="str">
        <f>IF(ISNUMBER(K1929),K1929-L1929,"")</f>
        <v/>
      </c>
      <c r="N1929" s="55" t="str">
        <f>IF(ISNUMBER(K1929),SUMIFS(st_min,st_date,A1929,st_eq,B1929,st_po,C1929,st_type,"Non planifié"),"")</f>
        <v/>
      </c>
      <c r="O1929" s="55" t="str">
        <f>IF(ISNUMBER(K1929),M1929-N1929,"")</f>
        <v/>
      </c>
      <c r="P1929" s="55" t="str">
        <f>IF(COUNTA(A1929:I1929)=0,"",N(G1929)+N(H1929)+N(I1929))</f>
        <v/>
      </c>
      <c r="Q1929" s="56" t="str">
        <f>IF(COUNTA(A1929:I1929)=0,"",IF(N(IFERROR(INDEX(art_rate,MATCH(E1929,art_ref,0)),0))&gt;0,N(IFERROR(INDEX(art_rate,MATCH(E1929,art_ref,0)),0)),N(IFERROR(INDEX(po_rate,MATCH(C1929,po_code,0)),0))))</f>
        <v/>
      </c>
      <c r="R1929" s="55" t="str">
        <f>IF(AC1929=1,P1929*60/Q1929,"")</f>
        <v/>
      </c>
      <c r="S1929" s="55" t="str">
        <f>IF(AC1929=1,N(G1929)*60/Q1929,"")</f>
        <v/>
      </c>
      <c r="T1929" s="57" t="str">
        <f>IF(AC1929=1,O1929/M1929,"")</f>
        <v/>
      </c>
      <c r="U1929" s="57" t="str">
        <f>IF(AC1929=1,IF(O1929&gt;0,R1929/O1929,""),"")</f>
        <v/>
      </c>
      <c r="V1929" s="57" t="str">
        <f>IF(AC1929=1,IF(P1929&gt;0,N(G1929)/P1929,""),"")</f>
        <v/>
      </c>
      <c r="W1929" s="57" t="str">
        <f>IF(AC1929=1,S1929/M1929,"")</f>
        <v/>
      </c>
      <c r="X1929" s="57" t="str">
        <f>IF(AC1929=1,S1929/K1929,"")</f>
        <v/>
      </c>
      <c r="Y1929" s="58" t="str">
        <f>IF(W1929="","",IF(W1929&gt;=p_target,"Bon",IF(W1929&gt;=p_alert,"À surveiller","Faible")))</f>
        <v/>
      </c>
      <c r="Z1929" s="58" t="str">
        <f>IF(W1929="","",IF(MIN(IF(T1929="",1,T1929),IF(U1929="",1,U1929),IF(V1929="",1,V1929))&gt;=1,"Aucune",IF(IF(T1929="",1,T1929)&lt;=MIN(IF(U1929="",1,U1929),IF(V1929="",1,V1929)),"Disponibilité",IF(IF(U1929="",1,U1929)&lt;=IF(V1929="",1,V1929),"Performance","Qualité"))))</f>
        <v/>
      </c>
      <c r="AA1929" s="59" t="str">
        <f>IF(AC1929=1,N(H1929)*N(IFERROR(INDEX(art_cost,MATCH(E1929,art_ref,0)),0)),"")</f>
        <v/>
      </c>
      <c r="AB1929" s="58" t="str">
        <f>IF(COUNTA(A1929:I1929)=0,"",IF(N(A1929)&lt;=0,"Date manquante ou invalide",IF(B1929="","Équipe manquante",IF(ISNA(MATCH(B1929,eq_code,0)),"Équipe inconnue",IF(INDEX(eq_check,MATCH(B1929,eq_code,0))&lt;&gt;"OK","Équipe à corriger dans Paramètres",IF(C1929="","Poste manquant",IF(ISNA(MATCH(C1929,po_code,0)),"Poste inconnu",IF(AND(E1929&lt;&gt;"",ISNA(MATCH(E1929,art_ref,0))),"Article inconnu",IF(IF(E1929="",FALSE,INDEX(art_check,MATCH(E1929,art_ref,0))&lt;&gt;"OK"),"Article à corriger (feuille Articles)",IF(COUNTIFS(sj_date,A1929,sj_eq,B1929,sj_po,C1929)&gt;1,"Ligne en double (même jour, équipe et poste)",IF(OR(NOT(ISNUMBER(K1929)),N(K1929)&lt;=0,N(K1929)&gt;1440),"Temps d'ouverture invalide",IF(OR(AND(G1929&lt;&gt;"",NOT(ISNUMBER(G1929))),N(G1929)&lt;0,N(G1929)&lt;&gt;INT(N(G1929)),AND(H1929&lt;&gt;"",NOT(ISNUMBER(H1929))),N(H1929)&lt;0,N(H1929)&lt;&gt;INT(N(H1929)),AND(I1929&lt;&gt;"",NOT(ISNUMBER(I1929))),N(I1929)&lt;0,N(I1929)&lt;&gt;INT(N(I1929))),"Quantité invalide",IF(Q1929&lt;=0,"Cadence manquante (poste ou article)",IF(M1929&lt;=0,"Arrêts planifiés supérieurs au temps d'ouverture",IF(O1929&lt;0,"Arrêts supérieurs au temps requis",IF(AND(P1929&gt;0,O1929=0),"Pièces déclarées sans temps de marche",IF(AND(P1929=0,O1929&gt;0),"Aucune pièce déclarée",IF(P1929*60/Q1929&gt;O1929+0.001,"Cadence dépassée : vérifiez la cadence","OK"))))))))))))))))))</f>
        <v/>
      </c>
      <c r="AC1929">
        <f>IF(OR(AB1929="OK",AB1929="Aucune pièce déclarée",AB1929="Cadence dépassée : vérifiez la cadence"),1,0)</f>
        <v>0.0</v>
      </c>
      <c r="AD1929">
        <f>IF(AND(AC1929=1,A1929&gt;=p_from,A1929&lt;=p_to),1,0)</f>
        <v>0.0</v>
      </c>
      <c r="AE1929">
        <f>IF(AD1929=1,IF(COUNTIFS($A$6:A1929,A1929,$AD$6:AD1929,1)=1,1,0),0)</f>
        <v>0.0</v>
      </c>
      <c r="AF1929" t="str">
        <f>IF(AE1929=1,COUNTIFS(sj_first,1,sj_date,"&lt;"&amp;A1929)+1,"")</f>
        <v/>
      </c>
      <c r="AG1929" t="str">
        <f>IF(AND(AD1929=1,N(W1929)&lt;p_alert),ROUND(W1929,4),"")</f>
        <v/>
      </c>
      <c r="AH1929" t="str">
        <f>IF(AG1929="","",COUNTIF(sj_akey,"&lt;"&amp;AG1929)+COUNTIF($AG$6:AG1929,AG1929))</f>
        <v/>
      </c>
    </row>
    <row r="1930">
      <c r="A1930" s="51" t="n"/>
      <c r="B1930" s="52" t="n"/>
      <c r="C1930" s="52" t="n"/>
      <c r="D1930" s="53" t="n"/>
      <c r="E1930" s="53" t="n"/>
      <c r="F1930" s="54" t="n"/>
      <c r="G1930" s="54" t="n"/>
      <c r="H1930" s="54" t="n"/>
      <c r="I1930" s="54" t="n"/>
      <c r="J1930" s="53" t="n"/>
      <c r="K1930" s="55" t="str">
        <f>IF(COUNTA(A1930:I1930)=0,"",IF(F1930="",IFERROR(INDEX(eq_dur,MATCH(B1930,eq_code,0)),""),F1930))</f>
        <v/>
      </c>
      <c r="L1930" s="55" t="str">
        <f>IF(ISNUMBER(K1930),N(IFERROR(INDEX(eq_pause,MATCH(B1930,eq_code,0)),0))+SUMIFS(st_min,st_date,A1930,st_eq,B1930,st_po,C1930,st_type,"Planifié"),"")</f>
        <v/>
      </c>
      <c r="M1930" s="55" t="str">
        <f>IF(ISNUMBER(K1930),K1930-L1930,"")</f>
        <v/>
      </c>
      <c r="N1930" s="55" t="str">
        <f>IF(ISNUMBER(K1930),SUMIFS(st_min,st_date,A1930,st_eq,B1930,st_po,C1930,st_type,"Non planifié"),"")</f>
        <v/>
      </c>
      <c r="O1930" s="55" t="str">
        <f>IF(ISNUMBER(K1930),M1930-N1930,"")</f>
        <v/>
      </c>
      <c r="P1930" s="55" t="str">
        <f>IF(COUNTA(A1930:I1930)=0,"",N(G1930)+N(H1930)+N(I1930))</f>
        <v/>
      </c>
      <c r="Q1930" s="56" t="str">
        <f>IF(COUNTA(A1930:I1930)=0,"",IF(N(IFERROR(INDEX(art_rate,MATCH(E1930,art_ref,0)),0))&gt;0,N(IFERROR(INDEX(art_rate,MATCH(E1930,art_ref,0)),0)),N(IFERROR(INDEX(po_rate,MATCH(C1930,po_code,0)),0))))</f>
        <v/>
      </c>
      <c r="R1930" s="55" t="str">
        <f>IF(AC1930=1,P1930*60/Q1930,"")</f>
        <v/>
      </c>
      <c r="S1930" s="55" t="str">
        <f>IF(AC1930=1,N(G1930)*60/Q1930,"")</f>
        <v/>
      </c>
      <c r="T1930" s="57" t="str">
        <f>IF(AC1930=1,O1930/M1930,"")</f>
        <v/>
      </c>
      <c r="U1930" s="57" t="str">
        <f>IF(AC1930=1,IF(O1930&gt;0,R1930/O1930,""),"")</f>
        <v/>
      </c>
      <c r="V1930" s="57" t="str">
        <f>IF(AC1930=1,IF(P1930&gt;0,N(G1930)/P1930,""),"")</f>
        <v/>
      </c>
      <c r="W1930" s="57" t="str">
        <f>IF(AC1930=1,S1930/M1930,"")</f>
        <v/>
      </c>
      <c r="X1930" s="57" t="str">
        <f>IF(AC1930=1,S1930/K1930,"")</f>
        <v/>
      </c>
      <c r="Y1930" s="58" t="str">
        <f>IF(W1930="","",IF(W1930&gt;=p_target,"Bon",IF(W1930&gt;=p_alert,"À surveiller","Faible")))</f>
        <v/>
      </c>
      <c r="Z1930" s="58" t="str">
        <f>IF(W1930="","",IF(MIN(IF(T1930="",1,T1930),IF(U1930="",1,U1930),IF(V1930="",1,V1930))&gt;=1,"Aucune",IF(IF(T1930="",1,T1930)&lt;=MIN(IF(U1930="",1,U1930),IF(V1930="",1,V1930)),"Disponibilité",IF(IF(U1930="",1,U1930)&lt;=IF(V1930="",1,V1930),"Performance","Qualité"))))</f>
        <v/>
      </c>
      <c r="AA1930" s="59" t="str">
        <f>IF(AC1930=1,N(H1930)*N(IFERROR(INDEX(art_cost,MATCH(E1930,art_ref,0)),0)),"")</f>
        <v/>
      </c>
      <c r="AB1930" s="58" t="str">
        <f>IF(COUNTA(A1930:I1930)=0,"",IF(N(A1930)&lt;=0,"Date manquante ou invalide",IF(B1930="","Équipe manquante",IF(ISNA(MATCH(B1930,eq_code,0)),"Équipe inconnue",IF(INDEX(eq_check,MATCH(B1930,eq_code,0))&lt;&gt;"OK","Équipe à corriger dans Paramètres",IF(C1930="","Poste manquant",IF(ISNA(MATCH(C1930,po_code,0)),"Poste inconnu",IF(AND(E1930&lt;&gt;"",ISNA(MATCH(E1930,art_ref,0))),"Article inconnu",IF(IF(E1930="",FALSE,INDEX(art_check,MATCH(E1930,art_ref,0))&lt;&gt;"OK"),"Article à corriger (feuille Articles)",IF(COUNTIFS(sj_date,A1930,sj_eq,B1930,sj_po,C1930)&gt;1,"Ligne en double (même jour, équipe et poste)",IF(OR(NOT(ISNUMBER(K1930)),N(K1930)&lt;=0,N(K1930)&gt;1440),"Temps d'ouverture invalide",IF(OR(AND(G1930&lt;&gt;"",NOT(ISNUMBER(G1930))),N(G1930)&lt;0,N(G1930)&lt;&gt;INT(N(G1930)),AND(H1930&lt;&gt;"",NOT(ISNUMBER(H1930))),N(H1930)&lt;0,N(H1930)&lt;&gt;INT(N(H1930)),AND(I1930&lt;&gt;"",NOT(ISNUMBER(I1930))),N(I1930)&lt;0,N(I1930)&lt;&gt;INT(N(I1930))),"Quantité invalide",IF(Q1930&lt;=0,"Cadence manquante (poste ou article)",IF(M1930&lt;=0,"Arrêts planifiés supérieurs au temps d'ouverture",IF(O1930&lt;0,"Arrêts supérieurs au temps requis",IF(AND(P1930&gt;0,O1930=0),"Pièces déclarées sans temps de marche",IF(AND(P1930=0,O1930&gt;0),"Aucune pièce déclarée",IF(P1930*60/Q1930&gt;O1930+0.001,"Cadence dépassée : vérifiez la cadence","OK"))))))))))))))))))</f>
        <v/>
      </c>
      <c r="AC1930">
        <f>IF(OR(AB1930="OK",AB1930="Aucune pièce déclarée",AB1930="Cadence dépassée : vérifiez la cadence"),1,0)</f>
        <v>0.0</v>
      </c>
      <c r="AD1930">
        <f>IF(AND(AC1930=1,A1930&gt;=p_from,A1930&lt;=p_to),1,0)</f>
        <v>0.0</v>
      </c>
      <c r="AE1930">
        <f>IF(AD1930=1,IF(COUNTIFS($A$6:A1930,A1930,$AD$6:AD1930,1)=1,1,0),0)</f>
        <v>0.0</v>
      </c>
      <c r="AF1930" t="str">
        <f>IF(AE1930=1,COUNTIFS(sj_first,1,sj_date,"&lt;"&amp;A1930)+1,"")</f>
        <v/>
      </c>
      <c r="AG1930" t="str">
        <f>IF(AND(AD1930=1,N(W1930)&lt;p_alert),ROUND(W1930,4),"")</f>
        <v/>
      </c>
      <c r="AH1930" t="str">
        <f>IF(AG1930="","",COUNTIF(sj_akey,"&lt;"&amp;AG1930)+COUNTIF($AG$6:AG1930,AG1930))</f>
        <v/>
      </c>
    </row>
    <row r="1931">
      <c r="A1931" s="51" t="n"/>
      <c r="B1931" s="52" t="n"/>
      <c r="C1931" s="52" t="n"/>
      <c r="D1931" s="53" t="n"/>
      <c r="E1931" s="53" t="n"/>
      <c r="F1931" s="54" t="n"/>
      <c r="G1931" s="54" t="n"/>
      <c r="H1931" s="54" t="n"/>
      <c r="I1931" s="54" t="n"/>
      <c r="J1931" s="53" t="n"/>
      <c r="K1931" s="55" t="str">
        <f>IF(COUNTA(A1931:I1931)=0,"",IF(F1931="",IFERROR(INDEX(eq_dur,MATCH(B1931,eq_code,0)),""),F1931))</f>
        <v/>
      </c>
      <c r="L1931" s="55" t="str">
        <f>IF(ISNUMBER(K1931),N(IFERROR(INDEX(eq_pause,MATCH(B1931,eq_code,0)),0))+SUMIFS(st_min,st_date,A1931,st_eq,B1931,st_po,C1931,st_type,"Planifié"),"")</f>
        <v/>
      </c>
      <c r="M1931" s="55" t="str">
        <f>IF(ISNUMBER(K1931),K1931-L1931,"")</f>
        <v/>
      </c>
      <c r="N1931" s="55" t="str">
        <f>IF(ISNUMBER(K1931),SUMIFS(st_min,st_date,A1931,st_eq,B1931,st_po,C1931,st_type,"Non planifié"),"")</f>
        <v/>
      </c>
      <c r="O1931" s="55" t="str">
        <f>IF(ISNUMBER(K1931),M1931-N1931,"")</f>
        <v/>
      </c>
      <c r="P1931" s="55" t="str">
        <f>IF(COUNTA(A1931:I1931)=0,"",N(G1931)+N(H1931)+N(I1931))</f>
        <v/>
      </c>
      <c r="Q1931" s="56" t="str">
        <f>IF(COUNTA(A1931:I1931)=0,"",IF(N(IFERROR(INDEX(art_rate,MATCH(E1931,art_ref,0)),0))&gt;0,N(IFERROR(INDEX(art_rate,MATCH(E1931,art_ref,0)),0)),N(IFERROR(INDEX(po_rate,MATCH(C1931,po_code,0)),0))))</f>
        <v/>
      </c>
      <c r="R1931" s="55" t="str">
        <f>IF(AC1931=1,P1931*60/Q1931,"")</f>
        <v/>
      </c>
      <c r="S1931" s="55" t="str">
        <f>IF(AC1931=1,N(G1931)*60/Q1931,"")</f>
        <v/>
      </c>
      <c r="T1931" s="57" t="str">
        <f>IF(AC1931=1,O1931/M1931,"")</f>
        <v/>
      </c>
      <c r="U1931" s="57" t="str">
        <f>IF(AC1931=1,IF(O1931&gt;0,R1931/O1931,""),"")</f>
        <v/>
      </c>
      <c r="V1931" s="57" t="str">
        <f>IF(AC1931=1,IF(P1931&gt;0,N(G1931)/P1931,""),"")</f>
        <v/>
      </c>
      <c r="W1931" s="57" t="str">
        <f>IF(AC1931=1,S1931/M1931,"")</f>
        <v/>
      </c>
      <c r="X1931" s="57" t="str">
        <f>IF(AC1931=1,S1931/K1931,"")</f>
        <v/>
      </c>
      <c r="Y1931" s="58" t="str">
        <f>IF(W1931="","",IF(W1931&gt;=p_target,"Bon",IF(W1931&gt;=p_alert,"À surveiller","Faible")))</f>
        <v/>
      </c>
      <c r="Z1931" s="58" t="str">
        <f>IF(W1931="","",IF(MIN(IF(T1931="",1,T1931),IF(U1931="",1,U1931),IF(V1931="",1,V1931))&gt;=1,"Aucune",IF(IF(T1931="",1,T1931)&lt;=MIN(IF(U1931="",1,U1931),IF(V1931="",1,V1931)),"Disponibilité",IF(IF(U1931="",1,U1931)&lt;=IF(V1931="",1,V1931),"Performance","Qualité"))))</f>
        <v/>
      </c>
      <c r="AA1931" s="59" t="str">
        <f>IF(AC1931=1,N(H1931)*N(IFERROR(INDEX(art_cost,MATCH(E1931,art_ref,0)),0)),"")</f>
        <v/>
      </c>
      <c r="AB1931" s="58" t="str">
        <f>IF(COUNTA(A1931:I1931)=0,"",IF(N(A1931)&lt;=0,"Date manquante ou invalide",IF(B1931="","Équipe manquante",IF(ISNA(MATCH(B1931,eq_code,0)),"Équipe inconnue",IF(INDEX(eq_check,MATCH(B1931,eq_code,0))&lt;&gt;"OK","Équipe à corriger dans Paramètres",IF(C1931="","Poste manquant",IF(ISNA(MATCH(C1931,po_code,0)),"Poste inconnu",IF(AND(E1931&lt;&gt;"",ISNA(MATCH(E1931,art_ref,0))),"Article inconnu",IF(IF(E1931="",FALSE,INDEX(art_check,MATCH(E1931,art_ref,0))&lt;&gt;"OK"),"Article à corriger (feuille Articles)",IF(COUNTIFS(sj_date,A1931,sj_eq,B1931,sj_po,C1931)&gt;1,"Ligne en double (même jour, équipe et poste)",IF(OR(NOT(ISNUMBER(K1931)),N(K1931)&lt;=0,N(K1931)&gt;1440),"Temps d'ouverture invalide",IF(OR(AND(G1931&lt;&gt;"",NOT(ISNUMBER(G1931))),N(G1931)&lt;0,N(G1931)&lt;&gt;INT(N(G1931)),AND(H1931&lt;&gt;"",NOT(ISNUMBER(H1931))),N(H1931)&lt;0,N(H1931)&lt;&gt;INT(N(H1931)),AND(I1931&lt;&gt;"",NOT(ISNUMBER(I1931))),N(I1931)&lt;0,N(I1931)&lt;&gt;INT(N(I1931))),"Quantité invalide",IF(Q1931&lt;=0,"Cadence manquante (poste ou article)",IF(M1931&lt;=0,"Arrêts planifiés supérieurs au temps d'ouverture",IF(O1931&lt;0,"Arrêts supérieurs au temps requis",IF(AND(P1931&gt;0,O1931=0),"Pièces déclarées sans temps de marche",IF(AND(P1931=0,O1931&gt;0),"Aucune pièce déclarée",IF(P1931*60/Q1931&gt;O1931+0.001,"Cadence dépassée : vérifiez la cadence","OK"))))))))))))))))))</f>
        <v/>
      </c>
      <c r="AC1931">
        <f>IF(OR(AB1931="OK",AB1931="Aucune pièce déclarée",AB1931="Cadence dépassée : vérifiez la cadence"),1,0)</f>
        <v>0.0</v>
      </c>
      <c r="AD1931">
        <f>IF(AND(AC1931=1,A1931&gt;=p_from,A1931&lt;=p_to),1,0)</f>
        <v>0.0</v>
      </c>
      <c r="AE1931">
        <f>IF(AD1931=1,IF(COUNTIFS($A$6:A1931,A1931,$AD$6:AD1931,1)=1,1,0),0)</f>
        <v>0.0</v>
      </c>
      <c r="AF1931" t="str">
        <f>IF(AE1931=1,COUNTIFS(sj_first,1,sj_date,"&lt;"&amp;A1931)+1,"")</f>
        <v/>
      </c>
      <c r="AG1931" t="str">
        <f>IF(AND(AD1931=1,N(W1931)&lt;p_alert),ROUND(W1931,4),"")</f>
        <v/>
      </c>
      <c r="AH1931" t="str">
        <f>IF(AG1931="","",COUNTIF(sj_akey,"&lt;"&amp;AG1931)+COUNTIF($AG$6:AG1931,AG1931))</f>
        <v/>
      </c>
    </row>
    <row r="1932">
      <c r="A1932" s="51" t="n"/>
      <c r="B1932" s="52" t="n"/>
      <c r="C1932" s="52" t="n"/>
      <c r="D1932" s="53" t="n"/>
      <c r="E1932" s="53" t="n"/>
      <c r="F1932" s="54" t="n"/>
      <c r="G1932" s="54" t="n"/>
      <c r="H1932" s="54" t="n"/>
      <c r="I1932" s="54" t="n"/>
      <c r="J1932" s="53" t="n"/>
      <c r="K1932" s="55" t="str">
        <f>IF(COUNTA(A1932:I1932)=0,"",IF(F1932="",IFERROR(INDEX(eq_dur,MATCH(B1932,eq_code,0)),""),F1932))</f>
        <v/>
      </c>
      <c r="L1932" s="55" t="str">
        <f>IF(ISNUMBER(K1932),N(IFERROR(INDEX(eq_pause,MATCH(B1932,eq_code,0)),0))+SUMIFS(st_min,st_date,A1932,st_eq,B1932,st_po,C1932,st_type,"Planifié"),"")</f>
        <v/>
      </c>
      <c r="M1932" s="55" t="str">
        <f>IF(ISNUMBER(K1932),K1932-L1932,"")</f>
        <v/>
      </c>
      <c r="N1932" s="55" t="str">
        <f>IF(ISNUMBER(K1932),SUMIFS(st_min,st_date,A1932,st_eq,B1932,st_po,C1932,st_type,"Non planifié"),"")</f>
        <v/>
      </c>
      <c r="O1932" s="55" t="str">
        <f>IF(ISNUMBER(K1932),M1932-N1932,"")</f>
        <v/>
      </c>
      <c r="P1932" s="55" t="str">
        <f>IF(COUNTA(A1932:I1932)=0,"",N(G1932)+N(H1932)+N(I1932))</f>
        <v/>
      </c>
      <c r="Q1932" s="56" t="str">
        <f>IF(COUNTA(A1932:I1932)=0,"",IF(N(IFERROR(INDEX(art_rate,MATCH(E1932,art_ref,0)),0))&gt;0,N(IFERROR(INDEX(art_rate,MATCH(E1932,art_ref,0)),0)),N(IFERROR(INDEX(po_rate,MATCH(C1932,po_code,0)),0))))</f>
        <v/>
      </c>
      <c r="R1932" s="55" t="str">
        <f>IF(AC1932=1,P1932*60/Q1932,"")</f>
        <v/>
      </c>
      <c r="S1932" s="55" t="str">
        <f>IF(AC1932=1,N(G1932)*60/Q1932,"")</f>
        <v/>
      </c>
      <c r="T1932" s="57" t="str">
        <f>IF(AC1932=1,O1932/M1932,"")</f>
        <v/>
      </c>
      <c r="U1932" s="57" t="str">
        <f>IF(AC1932=1,IF(O1932&gt;0,R1932/O1932,""),"")</f>
        <v/>
      </c>
      <c r="V1932" s="57" t="str">
        <f>IF(AC1932=1,IF(P1932&gt;0,N(G1932)/P1932,""),"")</f>
        <v/>
      </c>
      <c r="W1932" s="57" t="str">
        <f>IF(AC1932=1,S1932/M1932,"")</f>
        <v/>
      </c>
      <c r="X1932" s="57" t="str">
        <f>IF(AC1932=1,S1932/K1932,"")</f>
        <v/>
      </c>
      <c r="Y1932" s="58" t="str">
        <f>IF(W1932="","",IF(W1932&gt;=p_target,"Bon",IF(W1932&gt;=p_alert,"À surveiller","Faible")))</f>
        <v/>
      </c>
      <c r="Z1932" s="58" t="str">
        <f>IF(W1932="","",IF(MIN(IF(T1932="",1,T1932),IF(U1932="",1,U1932),IF(V1932="",1,V1932))&gt;=1,"Aucune",IF(IF(T1932="",1,T1932)&lt;=MIN(IF(U1932="",1,U1932),IF(V1932="",1,V1932)),"Disponibilité",IF(IF(U1932="",1,U1932)&lt;=IF(V1932="",1,V1932),"Performance","Qualité"))))</f>
        <v/>
      </c>
      <c r="AA1932" s="59" t="str">
        <f>IF(AC1932=1,N(H1932)*N(IFERROR(INDEX(art_cost,MATCH(E1932,art_ref,0)),0)),"")</f>
        <v/>
      </c>
      <c r="AB1932" s="58" t="str">
        <f>IF(COUNTA(A1932:I1932)=0,"",IF(N(A1932)&lt;=0,"Date manquante ou invalide",IF(B1932="","Équipe manquante",IF(ISNA(MATCH(B1932,eq_code,0)),"Équipe inconnue",IF(INDEX(eq_check,MATCH(B1932,eq_code,0))&lt;&gt;"OK","Équipe à corriger dans Paramètres",IF(C1932="","Poste manquant",IF(ISNA(MATCH(C1932,po_code,0)),"Poste inconnu",IF(AND(E1932&lt;&gt;"",ISNA(MATCH(E1932,art_ref,0))),"Article inconnu",IF(IF(E1932="",FALSE,INDEX(art_check,MATCH(E1932,art_ref,0))&lt;&gt;"OK"),"Article à corriger (feuille Articles)",IF(COUNTIFS(sj_date,A1932,sj_eq,B1932,sj_po,C1932)&gt;1,"Ligne en double (même jour, équipe et poste)",IF(OR(NOT(ISNUMBER(K1932)),N(K1932)&lt;=0,N(K1932)&gt;1440),"Temps d'ouverture invalide",IF(OR(AND(G1932&lt;&gt;"",NOT(ISNUMBER(G1932))),N(G1932)&lt;0,N(G1932)&lt;&gt;INT(N(G1932)),AND(H1932&lt;&gt;"",NOT(ISNUMBER(H1932))),N(H1932)&lt;0,N(H1932)&lt;&gt;INT(N(H1932)),AND(I1932&lt;&gt;"",NOT(ISNUMBER(I1932))),N(I1932)&lt;0,N(I1932)&lt;&gt;INT(N(I1932))),"Quantité invalide",IF(Q1932&lt;=0,"Cadence manquante (poste ou article)",IF(M1932&lt;=0,"Arrêts planifiés supérieurs au temps d'ouverture",IF(O1932&lt;0,"Arrêts supérieurs au temps requis",IF(AND(P1932&gt;0,O1932=0),"Pièces déclarées sans temps de marche",IF(AND(P1932=0,O1932&gt;0),"Aucune pièce déclarée",IF(P1932*60/Q1932&gt;O1932+0.001,"Cadence dépassée : vérifiez la cadence","OK"))))))))))))))))))</f>
        <v/>
      </c>
      <c r="AC1932">
        <f>IF(OR(AB1932="OK",AB1932="Aucune pièce déclarée",AB1932="Cadence dépassée : vérifiez la cadence"),1,0)</f>
        <v>0.0</v>
      </c>
      <c r="AD1932">
        <f>IF(AND(AC1932=1,A1932&gt;=p_from,A1932&lt;=p_to),1,0)</f>
        <v>0.0</v>
      </c>
      <c r="AE1932">
        <f>IF(AD1932=1,IF(COUNTIFS($A$6:A1932,A1932,$AD$6:AD1932,1)=1,1,0),0)</f>
        <v>0.0</v>
      </c>
      <c r="AF1932" t="str">
        <f>IF(AE1932=1,COUNTIFS(sj_first,1,sj_date,"&lt;"&amp;A1932)+1,"")</f>
        <v/>
      </c>
      <c r="AG1932" t="str">
        <f>IF(AND(AD1932=1,N(W1932)&lt;p_alert),ROUND(W1932,4),"")</f>
        <v/>
      </c>
      <c r="AH1932" t="str">
        <f>IF(AG1932="","",COUNTIF(sj_akey,"&lt;"&amp;AG1932)+COUNTIF($AG$6:AG1932,AG1932))</f>
        <v/>
      </c>
    </row>
    <row r="1933">
      <c r="A1933" s="51" t="n"/>
      <c r="B1933" s="52" t="n"/>
      <c r="C1933" s="52" t="n"/>
      <c r="D1933" s="53" t="n"/>
      <c r="E1933" s="53" t="n"/>
      <c r="F1933" s="54" t="n"/>
      <c r="G1933" s="54" t="n"/>
      <c r="H1933" s="54" t="n"/>
      <c r="I1933" s="54" t="n"/>
      <c r="J1933" s="53" t="n"/>
      <c r="K1933" s="55" t="str">
        <f>IF(COUNTA(A1933:I1933)=0,"",IF(F1933="",IFERROR(INDEX(eq_dur,MATCH(B1933,eq_code,0)),""),F1933))</f>
        <v/>
      </c>
      <c r="L1933" s="55" t="str">
        <f>IF(ISNUMBER(K1933),N(IFERROR(INDEX(eq_pause,MATCH(B1933,eq_code,0)),0))+SUMIFS(st_min,st_date,A1933,st_eq,B1933,st_po,C1933,st_type,"Planifié"),"")</f>
        <v/>
      </c>
      <c r="M1933" s="55" t="str">
        <f>IF(ISNUMBER(K1933),K1933-L1933,"")</f>
        <v/>
      </c>
      <c r="N1933" s="55" t="str">
        <f>IF(ISNUMBER(K1933),SUMIFS(st_min,st_date,A1933,st_eq,B1933,st_po,C1933,st_type,"Non planifié"),"")</f>
        <v/>
      </c>
      <c r="O1933" s="55" t="str">
        <f>IF(ISNUMBER(K1933),M1933-N1933,"")</f>
        <v/>
      </c>
      <c r="P1933" s="55" t="str">
        <f>IF(COUNTA(A1933:I1933)=0,"",N(G1933)+N(H1933)+N(I1933))</f>
        <v/>
      </c>
      <c r="Q1933" s="56" t="str">
        <f>IF(COUNTA(A1933:I1933)=0,"",IF(N(IFERROR(INDEX(art_rate,MATCH(E1933,art_ref,0)),0))&gt;0,N(IFERROR(INDEX(art_rate,MATCH(E1933,art_ref,0)),0)),N(IFERROR(INDEX(po_rate,MATCH(C1933,po_code,0)),0))))</f>
        <v/>
      </c>
      <c r="R1933" s="55" t="str">
        <f>IF(AC1933=1,P1933*60/Q1933,"")</f>
        <v/>
      </c>
      <c r="S1933" s="55" t="str">
        <f>IF(AC1933=1,N(G1933)*60/Q1933,"")</f>
        <v/>
      </c>
      <c r="T1933" s="57" t="str">
        <f>IF(AC1933=1,O1933/M1933,"")</f>
        <v/>
      </c>
      <c r="U1933" s="57" t="str">
        <f>IF(AC1933=1,IF(O1933&gt;0,R1933/O1933,""),"")</f>
        <v/>
      </c>
      <c r="V1933" s="57" t="str">
        <f>IF(AC1933=1,IF(P1933&gt;0,N(G1933)/P1933,""),"")</f>
        <v/>
      </c>
      <c r="W1933" s="57" t="str">
        <f>IF(AC1933=1,S1933/M1933,"")</f>
        <v/>
      </c>
      <c r="X1933" s="57" t="str">
        <f>IF(AC1933=1,S1933/K1933,"")</f>
        <v/>
      </c>
      <c r="Y1933" s="58" t="str">
        <f>IF(W1933="","",IF(W1933&gt;=p_target,"Bon",IF(W1933&gt;=p_alert,"À surveiller","Faible")))</f>
        <v/>
      </c>
      <c r="Z1933" s="58" t="str">
        <f>IF(W1933="","",IF(MIN(IF(T1933="",1,T1933),IF(U1933="",1,U1933),IF(V1933="",1,V1933))&gt;=1,"Aucune",IF(IF(T1933="",1,T1933)&lt;=MIN(IF(U1933="",1,U1933),IF(V1933="",1,V1933)),"Disponibilité",IF(IF(U1933="",1,U1933)&lt;=IF(V1933="",1,V1933),"Performance","Qualité"))))</f>
        <v/>
      </c>
      <c r="AA1933" s="59" t="str">
        <f>IF(AC1933=1,N(H1933)*N(IFERROR(INDEX(art_cost,MATCH(E1933,art_ref,0)),0)),"")</f>
        <v/>
      </c>
      <c r="AB1933" s="58" t="str">
        <f>IF(COUNTA(A1933:I1933)=0,"",IF(N(A1933)&lt;=0,"Date manquante ou invalide",IF(B1933="","Équipe manquante",IF(ISNA(MATCH(B1933,eq_code,0)),"Équipe inconnue",IF(INDEX(eq_check,MATCH(B1933,eq_code,0))&lt;&gt;"OK","Équipe à corriger dans Paramètres",IF(C1933="","Poste manquant",IF(ISNA(MATCH(C1933,po_code,0)),"Poste inconnu",IF(AND(E1933&lt;&gt;"",ISNA(MATCH(E1933,art_ref,0))),"Article inconnu",IF(IF(E1933="",FALSE,INDEX(art_check,MATCH(E1933,art_ref,0))&lt;&gt;"OK"),"Article à corriger (feuille Articles)",IF(COUNTIFS(sj_date,A1933,sj_eq,B1933,sj_po,C1933)&gt;1,"Ligne en double (même jour, équipe et poste)",IF(OR(NOT(ISNUMBER(K1933)),N(K1933)&lt;=0,N(K1933)&gt;1440),"Temps d'ouverture invalide",IF(OR(AND(G1933&lt;&gt;"",NOT(ISNUMBER(G1933))),N(G1933)&lt;0,N(G1933)&lt;&gt;INT(N(G1933)),AND(H1933&lt;&gt;"",NOT(ISNUMBER(H1933))),N(H1933)&lt;0,N(H1933)&lt;&gt;INT(N(H1933)),AND(I1933&lt;&gt;"",NOT(ISNUMBER(I1933))),N(I1933)&lt;0,N(I1933)&lt;&gt;INT(N(I1933))),"Quantité invalide",IF(Q1933&lt;=0,"Cadence manquante (poste ou article)",IF(M1933&lt;=0,"Arrêts planifiés supérieurs au temps d'ouverture",IF(O1933&lt;0,"Arrêts supérieurs au temps requis",IF(AND(P1933&gt;0,O1933=0),"Pièces déclarées sans temps de marche",IF(AND(P1933=0,O1933&gt;0),"Aucune pièce déclarée",IF(P1933*60/Q1933&gt;O1933+0.001,"Cadence dépassée : vérifiez la cadence","OK"))))))))))))))))))</f>
        <v/>
      </c>
      <c r="AC1933">
        <f>IF(OR(AB1933="OK",AB1933="Aucune pièce déclarée",AB1933="Cadence dépassée : vérifiez la cadence"),1,0)</f>
        <v>0.0</v>
      </c>
      <c r="AD1933">
        <f>IF(AND(AC1933=1,A1933&gt;=p_from,A1933&lt;=p_to),1,0)</f>
        <v>0.0</v>
      </c>
      <c r="AE1933">
        <f>IF(AD1933=1,IF(COUNTIFS($A$6:A1933,A1933,$AD$6:AD1933,1)=1,1,0),0)</f>
        <v>0.0</v>
      </c>
      <c r="AF1933" t="str">
        <f>IF(AE1933=1,COUNTIFS(sj_first,1,sj_date,"&lt;"&amp;A1933)+1,"")</f>
        <v/>
      </c>
      <c r="AG1933" t="str">
        <f>IF(AND(AD1933=1,N(W1933)&lt;p_alert),ROUND(W1933,4),"")</f>
        <v/>
      </c>
      <c r="AH1933" t="str">
        <f>IF(AG1933="","",COUNTIF(sj_akey,"&lt;"&amp;AG1933)+COUNTIF($AG$6:AG1933,AG1933))</f>
        <v/>
      </c>
    </row>
    <row r="1934">
      <c r="A1934" s="51" t="n"/>
      <c r="B1934" s="52" t="n"/>
      <c r="C1934" s="52" t="n"/>
      <c r="D1934" s="53" t="n"/>
      <c r="E1934" s="53" t="n"/>
      <c r="F1934" s="54" t="n"/>
      <c r="G1934" s="54" t="n"/>
      <c r="H1934" s="54" t="n"/>
      <c r="I1934" s="54" t="n"/>
      <c r="J1934" s="53" t="n"/>
      <c r="K1934" s="55" t="str">
        <f>IF(COUNTA(A1934:I1934)=0,"",IF(F1934="",IFERROR(INDEX(eq_dur,MATCH(B1934,eq_code,0)),""),F1934))</f>
        <v/>
      </c>
      <c r="L1934" s="55" t="str">
        <f>IF(ISNUMBER(K1934),N(IFERROR(INDEX(eq_pause,MATCH(B1934,eq_code,0)),0))+SUMIFS(st_min,st_date,A1934,st_eq,B1934,st_po,C1934,st_type,"Planifié"),"")</f>
        <v/>
      </c>
      <c r="M1934" s="55" t="str">
        <f>IF(ISNUMBER(K1934),K1934-L1934,"")</f>
        <v/>
      </c>
      <c r="N1934" s="55" t="str">
        <f>IF(ISNUMBER(K1934),SUMIFS(st_min,st_date,A1934,st_eq,B1934,st_po,C1934,st_type,"Non planifié"),"")</f>
        <v/>
      </c>
      <c r="O1934" s="55" t="str">
        <f>IF(ISNUMBER(K1934),M1934-N1934,"")</f>
        <v/>
      </c>
      <c r="P1934" s="55" t="str">
        <f>IF(COUNTA(A1934:I1934)=0,"",N(G1934)+N(H1934)+N(I1934))</f>
        <v/>
      </c>
      <c r="Q1934" s="56" t="str">
        <f>IF(COUNTA(A1934:I1934)=0,"",IF(N(IFERROR(INDEX(art_rate,MATCH(E1934,art_ref,0)),0))&gt;0,N(IFERROR(INDEX(art_rate,MATCH(E1934,art_ref,0)),0)),N(IFERROR(INDEX(po_rate,MATCH(C1934,po_code,0)),0))))</f>
        <v/>
      </c>
      <c r="R1934" s="55" t="str">
        <f>IF(AC1934=1,P1934*60/Q1934,"")</f>
        <v/>
      </c>
      <c r="S1934" s="55" t="str">
        <f>IF(AC1934=1,N(G1934)*60/Q1934,"")</f>
        <v/>
      </c>
      <c r="T1934" s="57" t="str">
        <f>IF(AC1934=1,O1934/M1934,"")</f>
        <v/>
      </c>
      <c r="U1934" s="57" t="str">
        <f>IF(AC1934=1,IF(O1934&gt;0,R1934/O1934,""),"")</f>
        <v/>
      </c>
      <c r="V1934" s="57" t="str">
        <f>IF(AC1934=1,IF(P1934&gt;0,N(G1934)/P1934,""),"")</f>
        <v/>
      </c>
      <c r="W1934" s="57" t="str">
        <f>IF(AC1934=1,S1934/M1934,"")</f>
        <v/>
      </c>
      <c r="X1934" s="57" t="str">
        <f>IF(AC1934=1,S1934/K1934,"")</f>
        <v/>
      </c>
      <c r="Y1934" s="58" t="str">
        <f>IF(W1934="","",IF(W1934&gt;=p_target,"Bon",IF(W1934&gt;=p_alert,"À surveiller","Faible")))</f>
        <v/>
      </c>
      <c r="Z1934" s="58" t="str">
        <f>IF(W1934="","",IF(MIN(IF(T1934="",1,T1934),IF(U1934="",1,U1934),IF(V1934="",1,V1934))&gt;=1,"Aucune",IF(IF(T1934="",1,T1934)&lt;=MIN(IF(U1934="",1,U1934),IF(V1934="",1,V1934)),"Disponibilité",IF(IF(U1934="",1,U1934)&lt;=IF(V1934="",1,V1934),"Performance","Qualité"))))</f>
        <v/>
      </c>
      <c r="AA1934" s="59" t="str">
        <f>IF(AC1934=1,N(H1934)*N(IFERROR(INDEX(art_cost,MATCH(E1934,art_ref,0)),0)),"")</f>
        <v/>
      </c>
      <c r="AB1934" s="58" t="str">
        <f>IF(COUNTA(A1934:I1934)=0,"",IF(N(A1934)&lt;=0,"Date manquante ou invalide",IF(B1934="","Équipe manquante",IF(ISNA(MATCH(B1934,eq_code,0)),"Équipe inconnue",IF(INDEX(eq_check,MATCH(B1934,eq_code,0))&lt;&gt;"OK","Équipe à corriger dans Paramètres",IF(C1934="","Poste manquant",IF(ISNA(MATCH(C1934,po_code,0)),"Poste inconnu",IF(AND(E1934&lt;&gt;"",ISNA(MATCH(E1934,art_ref,0))),"Article inconnu",IF(IF(E1934="",FALSE,INDEX(art_check,MATCH(E1934,art_ref,0))&lt;&gt;"OK"),"Article à corriger (feuille Articles)",IF(COUNTIFS(sj_date,A1934,sj_eq,B1934,sj_po,C1934)&gt;1,"Ligne en double (même jour, équipe et poste)",IF(OR(NOT(ISNUMBER(K1934)),N(K1934)&lt;=0,N(K1934)&gt;1440),"Temps d'ouverture invalide",IF(OR(AND(G1934&lt;&gt;"",NOT(ISNUMBER(G1934))),N(G1934)&lt;0,N(G1934)&lt;&gt;INT(N(G1934)),AND(H1934&lt;&gt;"",NOT(ISNUMBER(H1934))),N(H1934)&lt;0,N(H1934)&lt;&gt;INT(N(H1934)),AND(I1934&lt;&gt;"",NOT(ISNUMBER(I1934))),N(I1934)&lt;0,N(I1934)&lt;&gt;INT(N(I1934))),"Quantité invalide",IF(Q1934&lt;=0,"Cadence manquante (poste ou article)",IF(M1934&lt;=0,"Arrêts planifiés supérieurs au temps d'ouverture",IF(O1934&lt;0,"Arrêts supérieurs au temps requis",IF(AND(P1934&gt;0,O1934=0),"Pièces déclarées sans temps de marche",IF(AND(P1934=0,O1934&gt;0),"Aucune pièce déclarée",IF(P1934*60/Q1934&gt;O1934+0.001,"Cadence dépassée : vérifiez la cadence","OK"))))))))))))))))))</f>
        <v/>
      </c>
      <c r="AC1934">
        <f>IF(OR(AB1934="OK",AB1934="Aucune pièce déclarée",AB1934="Cadence dépassée : vérifiez la cadence"),1,0)</f>
        <v>0.0</v>
      </c>
      <c r="AD1934">
        <f>IF(AND(AC1934=1,A1934&gt;=p_from,A1934&lt;=p_to),1,0)</f>
        <v>0.0</v>
      </c>
      <c r="AE1934">
        <f>IF(AD1934=1,IF(COUNTIFS($A$6:A1934,A1934,$AD$6:AD1934,1)=1,1,0),0)</f>
        <v>0.0</v>
      </c>
      <c r="AF1934" t="str">
        <f>IF(AE1934=1,COUNTIFS(sj_first,1,sj_date,"&lt;"&amp;A1934)+1,"")</f>
        <v/>
      </c>
      <c r="AG1934" t="str">
        <f>IF(AND(AD1934=1,N(W1934)&lt;p_alert),ROUND(W1934,4),"")</f>
        <v/>
      </c>
      <c r="AH1934" t="str">
        <f>IF(AG1934="","",COUNTIF(sj_akey,"&lt;"&amp;AG1934)+COUNTIF($AG$6:AG1934,AG1934))</f>
        <v/>
      </c>
    </row>
    <row r="1935">
      <c r="A1935" s="51" t="n"/>
      <c r="B1935" s="52" t="n"/>
      <c r="C1935" s="52" t="n"/>
      <c r="D1935" s="53" t="n"/>
      <c r="E1935" s="53" t="n"/>
      <c r="F1935" s="54" t="n"/>
      <c r="G1935" s="54" t="n"/>
      <c r="H1935" s="54" t="n"/>
      <c r="I1935" s="54" t="n"/>
      <c r="J1935" s="53" t="n"/>
      <c r="K1935" s="55" t="str">
        <f>IF(COUNTA(A1935:I1935)=0,"",IF(F1935="",IFERROR(INDEX(eq_dur,MATCH(B1935,eq_code,0)),""),F1935))</f>
        <v/>
      </c>
      <c r="L1935" s="55" t="str">
        <f>IF(ISNUMBER(K1935),N(IFERROR(INDEX(eq_pause,MATCH(B1935,eq_code,0)),0))+SUMIFS(st_min,st_date,A1935,st_eq,B1935,st_po,C1935,st_type,"Planifié"),"")</f>
        <v/>
      </c>
      <c r="M1935" s="55" t="str">
        <f>IF(ISNUMBER(K1935),K1935-L1935,"")</f>
        <v/>
      </c>
      <c r="N1935" s="55" t="str">
        <f>IF(ISNUMBER(K1935),SUMIFS(st_min,st_date,A1935,st_eq,B1935,st_po,C1935,st_type,"Non planifié"),"")</f>
        <v/>
      </c>
      <c r="O1935" s="55" t="str">
        <f>IF(ISNUMBER(K1935),M1935-N1935,"")</f>
        <v/>
      </c>
      <c r="P1935" s="55" t="str">
        <f>IF(COUNTA(A1935:I1935)=0,"",N(G1935)+N(H1935)+N(I1935))</f>
        <v/>
      </c>
      <c r="Q1935" s="56" t="str">
        <f>IF(COUNTA(A1935:I1935)=0,"",IF(N(IFERROR(INDEX(art_rate,MATCH(E1935,art_ref,0)),0))&gt;0,N(IFERROR(INDEX(art_rate,MATCH(E1935,art_ref,0)),0)),N(IFERROR(INDEX(po_rate,MATCH(C1935,po_code,0)),0))))</f>
        <v/>
      </c>
      <c r="R1935" s="55" t="str">
        <f>IF(AC1935=1,P1935*60/Q1935,"")</f>
        <v/>
      </c>
      <c r="S1935" s="55" t="str">
        <f>IF(AC1935=1,N(G1935)*60/Q1935,"")</f>
        <v/>
      </c>
      <c r="T1935" s="57" t="str">
        <f>IF(AC1935=1,O1935/M1935,"")</f>
        <v/>
      </c>
      <c r="U1935" s="57" t="str">
        <f>IF(AC1935=1,IF(O1935&gt;0,R1935/O1935,""),"")</f>
        <v/>
      </c>
      <c r="V1935" s="57" t="str">
        <f>IF(AC1935=1,IF(P1935&gt;0,N(G1935)/P1935,""),"")</f>
        <v/>
      </c>
      <c r="W1935" s="57" t="str">
        <f>IF(AC1935=1,S1935/M1935,"")</f>
        <v/>
      </c>
      <c r="X1935" s="57" t="str">
        <f>IF(AC1935=1,S1935/K1935,"")</f>
        <v/>
      </c>
      <c r="Y1935" s="58" t="str">
        <f>IF(W1935="","",IF(W1935&gt;=p_target,"Bon",IF(W1935&gt;=p_alert,"À surveiller","Faible")))</f>
        <v/>
      </c>
      <c r="Z1935" s="58" t="str">
        <f>IF(W1935="","",IF(MIN(IF(T1935="",1,T1935),IF(U1935="",1,U1935),IF(V1935="",1,V1935))&gt;=1,"Aucune",IF(IF(T1935="",1,T1935)&lt;=MIN(IF(U1935="",1,U1935),IF(V1935="",1,V1935)),"Disponibilité",IF(IF(U1935="",1,U1935)&lt;=IF(V1935="",1,V1935),"Performance","Qualité"))))</f>
        <v/>
      </c>
      <c r="AA1935" s="59" t="str">
        <f>IF(AC1935=1,N(H1935)*N(IFERROR(INDEX(art_cost,MATCH(E1935,art_ref,0)),0)),"")</f>
        <v/>
      </c>
      <c r="AB1935" s="58" t="str">
        <f>IF(COUNTA(A1935:I1935)=0,"",IF(N(A1935)&lt;=0,"Date manquante ou invalide",IF(B1935="","Équipe manquante",IF(ISNA(MATCH(B1935,eq_code,0)),"Équipe inconnue",IF(INDEX(eq_check,MATCH(B1935,eq_code,0))&lt;&gt;"OK","Équipe à corriger dans Paramètres",IF(C1935="","Poste manquant",IF(ISNA(MATCH(C1935,po_code,0)),"Poste inconnu",IF(AND(E1935&lt;&gt;"",ISNA(MATCH(E1935,art_ref,0))),"Article inconnu",IF(IF(E1935="",FALSE,INDEX(art_check,MATCH(E1935,art_ref,0))&lt;&gt;"OK"),"Article à corriger (feuille Articles)",IF(COUNTIFS(sj_date,A1935,sj_eq,B1935,sj_po,C1935)&gt;1,"Ligne en double (même jour, équipe et poste)",IF(OR(NOT(ISNUMBER(K1935)),N(K1935)&lt;=0,N(K1935)&gt;1440),"Temps d'ouverture invalide",IF(OR(AND(G1935&lt;&gt;"",NOT(ISNUMBER(G1935))),N(G1935)&lt;0,N(G1935)&lt;&gt;INT(N(G1935)),AND(H1935&lt;&gt;"",NOT(ISNUMBER(H1935))),N(H1935)&lt;0,N(H1935)&lt;&gt;INT(N(H1935)),AND(I1935&lt;&gt;"",NOT(ISNUMBER(I1935))),N(I1935)&lt;0,N(I1935)&lt;&gt;INT(N(I1935))),"Quantité invalide",IF(Q1935&lt;=0,"Cadence manquante (poste ou article)",IF(M1935&lt;=0,"Arrêts planifiés supérieurs au temps d'ouverture",IF(O1935&lt;0,"Arrêts supérieurs au temps requis",IF(AND(P1935&gt;0,O1935=0),"Pièces déclarées sans temps de marche",IF(AND(P1935=0,O1935&gt;0),"Aucune pièce déclarée",IF(P1935*60/Q1935&gt;O1935+0.001,"Cadence dépassée : vérifiez la cadence","OK"))))))))))))))))))</f>
        <v/>
      </c>
      <c r="AC1935">
        <f>IF(OR(AB1935="OK",AB1935="Aucune pièce déclarée",AB1935="Cadence dépassée : vérifiez la cadence"),1,0)</f>
        <v>0.0</v>
      </c>
      <c r="AD1935">
        <f>IF(AND(AC1935=1,A1935&gt;=p_from,A1935&lt;=p_to),1,0)</f>
        <v>0.0</v>
      </c>
      <c r="AE1935">
        <f>IF(AD1935=1,IF(COUNTIFS($A$6:A1935,A1935,$AD$6:AD1935,1)=1,1,0),0)</f>
        <v>0.0</v>
      </c>
      <c r="AF1935" t="str">
        <f>IF(AE1935=1,COUNTIFS(sj_first,1,sj_date,"&lt;"&amp;A1935)+1,"")</f>
        <v/>
      </c>
      <c r="AG1935" t="str">
        <f>IF(AND(AD1935=1,N(W1935)&lt;p_alert),ROUND(W1935,4),"")</f>
        <v/>
      </c>
      <c r="AH1935" t="str">
        <f>IF(AG1935="","",COUNTIF(sj_akey,"&lt;"&amp;AG1935)+COUNTIF($AG$6:AG1935,AG1935))</f>
        <v/>
      </c>
    </row>
    <row r="1936">
      <c r="A1936" s="51" t="n"/>
      <c r="B1936" s="52" t="n"/>
      <c r="C1936" s="52" t="n"/>
      <c r="D1936" s="53" t="n"/>
      <c r="E1936" s="53" t="n"/>
      <c r="F1936" s="54" t="n"/>
      <c r="G1936" s="54" t="n"/>
      <c r="H1936" s="54" t="n"/>
      <c r="I1936" s="54" t="n"/>
      <c r="J1936" s="53" t="n"/>
      <c r="K1936" s="55" t="str">
        <f>IF(COUNTA(A1936:I1936)=0,"",IF(F1936="",IFERROR(INDEX(eq_dur,MATCH(B1936,eq_code,0)),""),F1936))</f>
        <v/>
      </c>
      <c r="L1936" s="55" t="str">
        <f>IF(ISNUMBER(K1936),N(IFERROR(INDEX(eq_pause,MATCH(B1936,eq_code,0)),0))+SUMIFS(st_min,st_date,A1936,st_eq,B1936,st_po,C1936,st_type,"Planifié"),"")</f>
        <v/>
      </c>
      <c r="M1936" s="55" t="str">
        <f>IF(ISNUMBER(K1936),K1936-L1936,"")</f>
        <v/>
      </c>
      <c r="N1936" s="55" t="str">
        <f>IF(ISNUMBER(K1936),SUMIFS(st_min,st_date,A1936,st_eq,B1936,st_po,C1936,st_type,"Non planifié"),"")</f>
        <v/>
      </c>
      <c r="O1936" s="55" t="str">
        <f>IF(ISNUMBER(K1936),M1936-N1936,"")</f>
        <v/>
      </c>
      <c r="P1936" s="55" t="str">
        <f>IF(COUNTA(A1936:I1936)=0,"",N(G1936)+N(H1936)+N(I1936))</f>
        <v/>
      </c>
      <c r="Q1936" s="56" t="str">
        <f>IF(COUNTA(A1936:I1936)=0,"",IF(N(IFERROR(INDEX(art_rate,MATCH(E1936,art_ref,0)),0))&gt;0,N(IFERROR(INDEX(art_rate,MATCH(E1936,art_ref,0)),0)),N(IFERROR(INDEX(po_rate,MATCH(C1936,po_code,0)),0))))</f>
        <v/>
      </c>
      <c r="R1936" s="55" t="str">
        <f>IF(AC1936=1,P1936*60/Q1936,"")</f>
        <v/>
      </c>
      <c r="S1936" s="55" t="str">
        <f>IF(AC1936=1,N(G1936)*60/Q1936,"")</f>
        <v/>
      </c>
      <c r="T1936" s="57" t="str">
        <f>IF(AC1936=1,O1936/M1936,"")</f>
        <v/>
      </c>
      <c r="U1936" s="57" t="str">
        <f>IF(AC1936=1,IF(O1936&gt;0,R1936/O1936,""),"")</f>
        <v/>
      </c>
      <c r="V1936" s="57" t="str">
        <f>IF(AC1936=1,IF(P1936&gt;0,N(G1936)/P1936,""),"")</f>
        <v/>
      </c>
      <c r="W1936" s="57" t="str">
        <f>IF(AC1936=1,S1936/M1936,"")</f>
        <v/>
      </c>
      <c r="X1936" s="57" t="str">
        <f>IF(AC1936=1,S1936/K1936,"")</f>
        <v/>
      </c>
      <c r="Y1936" s="58" t="str">
        <f>IF(W1936="","",IF(W1936&gt;=p_target,"Bon",IF(W1936&gt;=p_alert,"À surveiller","Faible")))</f>
        <v/>
      </c>
      <c r="Z1936" s="58" t="str">
        <f>IF(W1936="","",IF(MIN(IF(T1936="",1,T1936),IF(U1936="",1,U1936),IF(V1936="",1,V1936))&gt;=1,"Aucune",IF(IF(T1936="",1,T1936)&lt;=MIN(IF(U1936="",1,U1936),IF(V1936="",1,V1936)),"Disponibilité",IF(IF(U1936="",1,U1936)&lt;=IF(V1936="",1,V1936),"Performance","Qualité"))))</f>
        <v/>
      </c>
      <c r="AA1936" s="59" t="str">
        <f>IF(AC1936=1,N(H1936)*N(IFERROR(INDEX(art_cost,MATCH(E1936,art_ref,0)),0)),"")</f>
        <v/>
      </c>
      <c r="AB1936" s="58" t="str">
        <f>IF(COUNTA(A1936:I1936)=0,"",IF(N(A1936)&lt;=0,"Date manquante ou invalide",IF(B1936="","Équipe manquante",IF(ISNA(MATCH(B1936,eq_code,0)),"Équipe inconnue",IF(INDEX(eq_check,MATCH(B1936,eq_code,0))&lt;&gt;"OK","Équipe à corriger dans Paramètres",IF(C1936="","Poste manquant",IF(ISNA(MATCH(C1936,po_code,0)),"Poste inconnu",IF(AND(E1936&lt;&gt;"",ISNA(MATCH(E1936,art_ref,0))),"Article inconnu",IF(IF(E1936="",FALSE,INDEX(art_check,MATCH(E1936,art_ref,0))&lt;&gt;"OK"),"Article à corriger (feuille Articles)",IF(COUNTIFS(sj_date,A1936,sj_eq,B1936,sj_po,C1936)&gt;1,"Ligne en double (même jour, équipe et poste)",IF(OR(NOT(ISNUMBER(K1936)),N(K1936)&lt;=0,N(K1936)&gt;1440),"Temps d'ouverture invalide",IF(OR(AND(G1936&lt;&gt;"",NOT(ISNUMBER(G1936))),N(G1936)&lt;0,N(G1936)&lt;&gt;INT(N(G1936)),AND(H1936&lt;&gt;"",NOT(ISNUMBER(H1936))),N(H1936)&lt;0,N(H1936)&lt;&gt;INT(N(H1936)),AND(I1936&lt;&gt;"",NOT(ISNUMBER(I1936))),N(I1936)&lt;0,N(I1936)&lt;&gt;INT(N(I1936))),"Quantité invalide",IF(Q1936&lt;=0,"Cadence manquante (poste ou article)",IF(M1936&lt;=0,"Arrêts planifiés supérieurs au temps d'ouverture",IF(O1936&lt;0,"Arrêts supérieurs au temps requis",IF(AND(P1936&gt;0,O1936=0),"Pièces déclarées sans temps de marche",IF(AND(P1936=0,O1936&gt;0),"Aucune pièce déclarée",IF(P1936*60/Q1936&gt;O1936+0.001,"Cadence dépassée : vérifiez la cadence","OK"))))))))))))))))))</f>
        <v/>
      </c>
      <c r="AC1936">
        <f>IF(OR(AB1936="OK",AB1936="Aucune pièce déclarée",AB1936="Cadence dépassée : vérifiez la cadence"),1,0)</f>
        <v>0.0</v>
      </c>
      <c r="AD1936">
        <f>IF(AND(AC1936=1,A1936&gt;=p_from,A1936&lt;=p_to),1,0)</f>
        <v>0.0</v>
      </c>
      <c r="AE1936">
        <f>IF(AD1936=1,IF(COUNTIFS($A$6:A1936,A1936,$AD$6:AD1936,1)=1,1,0),0)</f>
        <v>0.0</v>
      </c>
      <c r="AF1936" t="str">
        <f>IF(AE1936=1,COUNTIFS(sj_first,1,sj_date,"&lt;"&amp;A1936)+1,"")</f>
        <v/>
      </c>
      <c r="AG1936" t="str">
        <f>IF(AND(AD1936=1,N(W1936)&lt;p_alert),ROUND(W1936,4),"")</f>
        <v/>
      </c>
      <c r="AH1936" t="str">
        <f>IF(AG1936="","",COUNTIF(sj_akey,"&lt;"&amp;AG1936)+COUNTIF($AG$6:AG1936,AG1936))</f>
        <v/>
      </c>
    </row>
    <row r="1937">
      <c r="A1937" s="51" t="n"/>
      <c r="B1937" s="52" t="n"/>
      <c r="C1937" s="52" t="n"/>
      <c r="D1937" s="53" t="n"/>
      <c r="E1937" s="53" t="n"/>
      <c r="F1937" s="54" t="n"/>
      <c r="G1937" s="54" t="n"/>
      <c r="H1937" s="54" t="n"/>
      <c r="I1937" s="54" t="n"/>
      <c r="J1937" s="53" t="n"/>
      <c r="K1937" s="55" t="str">
        <f>IF(COUNTA(A1937:I1937)=0,"",IF(F1937="",IFERROR(INDEX(eq_dur,MATCH(B1937,eq_code,0)),""),F1937))</f>
        <v/>
      </c>
      <c r="L1937" s="55" t="str">
        <f>IF(ISNUMBER(K1937),N(IFERROR(INDEX(eq_pause,MATCH(B1937,eq_code,0)),0))+SUMIFS(st_min,st_date,A1937,st_eq,B1937,st_po,C1937,st_type,"Planifié"),"")</f>
        <v/>
      </c>
      <c r="M1937" s="55" t="str">
        <f>IF(ISNUMBER(K1937),K1937-L1937,"")</f>
        <v/>
      </c>
      <c r="N1937" s="55" t="str">
        <f>IF(ISNUMBER(K1937),SUMIFS(st_min,st_date,A1937,st_eq,B1937,st_po,C1937,st_type,"Non planifié"),"")</f>
        <v/>
      </c>
      <c r="O1937" s="55" t="str">
        <f>IF(ISNUMBER(K1937),M1937-N1937,"")</f>
        <v/>
      </c>
      <c r="P1937" s="55" t="str">
        <f>IF(COUNTA(A1937:I1937)=0,"",N(G1937)+N(H1937)+N(I1937))</f>
        <v/>
      </c>
      <c r="Q1937" s="56" t="str">
        <f>IF(COUNTA(A1937:I1937)=0,"",IF(N(IFERROR(INDEX(art_rate,MATCH(E1937,art_ref,0)),0))&gt;0,N(IFERROR(INDEX(art_rate,MATCH(E1937,art_ref,0)),0)),N(IFERROR(INDEX(po_rate,MATCH(C1937,po_code,0)),0))))</f>
        <v/>
      </c>
      <c r="R1937" s="55" t="str">
        <f>IF(AC1937=1,P1937*60/Q1937,"")</f>
        <v/>
      </c>
      <c r="S1937" s="55" t="str">
        <f>IF(AC1937=1,N(G1937)*60/Q1937,"")</f>
        <v/>
      </c>
      <c r="T1937" s="57" t="str">
        <f>IF(AC1937=1,O1937/M1937,"")</f>
        <v/>
      </c>
      <c r="U1937" s="57" t="str">
        <f>IF(AC1937=1,IF(O1937&gt;0,R1937/O1937,""),"")</f>
        <v/>
      </c>
      <c r="V1937" s="57" t="str">
        <f>IF(AC1937=1,IF(P1937&gt;0,N(G1937)/P1937,""),"")</f>
        <v/>
      </c>
      <c r="W1937" s="57" t="str">
        <f>IF(AC1937=1,S1937/M1937,"")</f>
        <v/>
      </c>
      <c r="X1937" s="57" t="str">
        <f>IF(AC1937=1,S1937/K1937,"")</f>
        <v/>
      </c>
      <c r="Y1937" s="58" t="str">
        <f>IF(W1937="","",IF(W1937&gt;=p_target,"Bon",IF(W1937&gt;=p_alert,"À surveiller","Faible")))</f>
        <v/>
      </c>
      <c r="Z1937" s="58" t="str">
        <f>IF(W1937="","",IF(MIN(IF(T1937="",1,T1937),IF(U1937="",1,U1937),IF(V1937="",1,V1937))&gt;=1,"Aucune",IF(IF(T1937="",1,T1937)&lt;=MIN(IF(U1937="",1,U1937),IF(V1937="",1,V1937)),"Disponibilité",IF(IF(U1937="",1,U1937)&lt;=IF(V1937="",1,V1937),"Performance","Qualité"))))</f>
        <v/>
      </c>
      <c r="AA1937" s="59" t="str">
        <f>IF(AC1937=1,N(H1937)*N(IFERROR(INDEX(art_cost,MATCH(E1937,art_ref,0)),0)),"")</f>
        <v/>
      </c>
      <c r="AB1937" s="58" t="str">
        <f>IF(COUNTA(A1937:I1937)=0,"",IF(N(A1937)&lt;=0,"Date manquante ou invalide",IF(B1937="","Équipe manquante",IF(ISNA(MATCH(B1937,eq_code,0)),"Équipe inconnue",IF(INDEX(eq_check,MATCH(B1937,eq_code,0))&lt;&gt;"OK","Équipe à corriger dans Paramètres",IF(C1937="","Poste manquant",IF(ISNA(MATCH(C1937,po_code,0)),"Poste inconnu",IF(AND(E1937&lt;&gt;"",ISNA(MATCH(E1937,art_ref,0))),"Article inconnu",IF(IF(E1937="",FALSE,INDEX(art_check,MATCH(E1937,art_ref,0))&lt;&gt;"OK"),"Article à corriger (feuille Articles)",IF(COUNTIFS(sj_date,A1937,sj_eq,B1937,sj_po,C1937)&gt;1,"Ligne en double (même jour, équipe et poste)",IF(OR(NOT(ISNUMBER(K1937)),N(K1937)&lt;=0,N(K1937)&gt;1440),"Temps d'ouverture invalide",IF(OR(AND(G1937&lt;&gt;"",NOT(ISNUMBER(G1937))),N(G1937)&lt;0,N(G1937)&lt;&gt;INT(N(G1937)),AND(H1937&lt;&gt;"",NOT(ISNUMBER(H1937))),N(H1937)&lt;0,N(H1937)&lt;&gt;INT(N(H1937)),AND(I1937&lt;&gt;"",NOT(ISNUMBER(I1937))),N(I1937)&lt;0,N(I1937)&lt;&gt;INT(N(I1937))),"Quantité invalide",IF(Q1937&lt;=0,"Cadence manquante (poste ou article)",IF(M1937&lt;=0,"Arrêts planifiés supérieurs au temps d'ouverture",IF(O1937&lt;0,"Arrêts supérieurs au temps requis",IF(AND(P1937&gt;0,O1937=0),"Pièces déclarées sans temps de marche",IF(AND(P1937=0,O1937&gt;0),"Aucune pièce déclarée",IF(P1937*60/Q1937&gt;O1937+0.001,"Cadence dépassée : vérifiez la cadence","OK"))))))))))))))))))</f>
        <v/>
      </c>
      <c r="AC1937">
        <f>IF(OR(AB1937="OK",AB1937="Aucune pièce déclarée",AB1937="Cadence dépassée : vérifiez la cadence"),1,0)</f>
        <v>0.0</v>
      </c>
      <c r="AD1937">
        <f>IF(AND(AC1937=1,A1937&gt;=p_from,A1937&lt;=p_to),1,0)</f>
        <v>0.0</v>
      </c>
      <c r="AE1937">
        <f>IF(AD1937=1,IF(COUNTIFS($A$6:A1937,A1937,$AD$6:AD1937,1)=1,1,0),0)</f>
        <v>0.0</v>
      </c>
      <c r="AF1937" t="str">
        <f>IF(AE1937=1,COUNTIFS(sj_first,1,sj_date,"&lt;"&amp;A1937)+1,"")</f>
        <v/>
      </c>
      <c r="AG1937" t="str">
        <f>IF(AND(AD1937=1,N(W1937)&lt;p_alert),ROUND(W1937,4),"")</f>
        <v/>
      </c>
      <c r="AH1937" t="str">
        <f>IF(AG1937="","",COUNTIF(sj_akey,"&lt;"&amp;AG1937)+COUNTIF($AG$6:AG1937,AG1937))</f>
        <v/>
      </c>
    </row>
    <row r="1938">
      <c r="A1938" s="51" t="n"/>
      <c r="B1938" s="52" t="n"/>
      <c r="C1938" s="52" t="n"/>
      <c r="D1938" s="53" t="n"/>
      <c r="E1938" s="53" t="n"/>
      <c r="F1938" s="54" t="n"/>
      <c r="G1938" s="54" t="n"/>
      <c r="H1938" s="54" t="n"/>
      <c r="I1938" s="54" t="n"/>
      <c r="J1938" s="53" t="n"/>
      <c r="K1938" s="55" t="str">
        <f>IF(COUNTA(A1938:I1938)=0,"",IF(F1938="",IFERROR(INDEX(eq_dur,MATCH(B1938,eq_code,0)),""),F1938))</f>
        <v/>
      </c>
      <c r="L1938" s="55" t="str">
        <f>IF(ISNUMBER(K1938),N(IFERROR(INDEX(eq_pause,MATCH(B1938,eq_code,0)),0))+SUMIFS(st_min,st_date,A1938,st_eq,B1938,st_po,C1938,st_type,"Planifié"),"")</f>
        <v/>
      </c>
      <c r="M1938" s="55" t="str">
        <f>IF(ISNUMBER(K1938),K1938-L1938,"")</f>
        <v/>
      </c>
      <c r="N1938" s="55" t="str">
        <f>IF(ISNUMBER(K1938),SUMIFS(st_min,st_date,A1938,st_eq,B1938,st_po,C1938,st_type,"Non planifié"),"")</f>
        <v/>
      </c>
      <c r="O1938" s="55" t="str">
        <f>IF(ISNUMBER(K1938),M1938-N1938,"")</f>
        <v/>
      </c>
      <c r="P1938" s="55" t="str">
        <f>IF(COUNTA(A1938:I1938)=0,"",N(G1938)+N(H1938)+N(I1938))</f>
        <v/>
      </c>
      <c r="Q1938" s="56" t="str">
        <f>IF(COUNTA(A1938:I1938)=0,"",IF(N(IFERROR(INDEX(art_rate,MATCH(E1938,art_ref,0)),0))&gt;0,N(IFERROR(INDEX(art_rate,MATCH(E1938,art_ref,0)),0)),N(IFERROR(INDEX(po_rate,MATCH(C1938,po_code,0)),0))))</f>
        <v/>
      </c>
      <c r="R1938" s="55" t="str">
        <f>IF(AC1938=1,P1938*60/Q1938,"")</f>
        <v/>
      </c>
      <c r="S1938" s="55" t="str">
        <f>IF(AC1938=1,N(G1938)*60/Q1938,"")</f>
        <v/>
      </c>
      <c r="T1938" s="57" t="str">
        <f>IF(AC1938=1,O1938/M1938,"")</f>
        <v/>
      </c>
      <c r="U1938" s="57" t="str">
        <f>IF(AC1938=1,IF(O1938&gt;0,R1938/O1938,""),"")</f>
        <v/>
      </c>
      <c r="V1938" s="57" t="str">
        <f>IF(AC1938=1,IF(P1938&gt;0,N(G1938)/P1938,""),"")</f>
        <v/>
      </c>
      <c r="W1938" s="57" t="str">
        <f>IF(AC1938=1,S1938/M1938,"")</f>
        <v/>
      </c>
      <c r="X1938" s="57" t="str">
        <f>IF(AC1938=1,S1938/K1938,"")</f>
        <v/>
      </c>
      <c r="Y1938" s="58" t="str">
        <f>IF(W1938="","",IF(W1938&gt;=p_target,"Bon",IF(W1938&gt;=p_alert,"À surveiller","Faible")))</f>
        <v/>
      </c>
      <c r="Z1938" s="58" t="str">
        <f>IF(W1938="","",IF(MIN(IF(T1938="",1,T1938),IF(U1938="",1,U1938),IF(V1938="",1,V1938))&gt;=1,"Aucune",IF(IF(T1938="",1,T1938)&lt;=MIN(IF(U1938="",1,U1938),IF(V1938="",1,V1938)),"Disponibilité",IF(IF(U1938="",1,U1938)&lt;=IF(V1938="",1,V1938),"Performance","Qualité"))))</f>
        <v/>
      </c>
      <c r="AA1938" s="59" t="str">
        <f>IF(AC1938=1,N(H1938)*N(IFERROR(INDEX(art_cost,MATCH(E1938,art_ref,0)),0)),"")</f>
        <v/>
      </c>
      <c r="AB1938" s="58" t="str">
        <f>IF(COUNTA(A1938:I1938)=0,"",IF(N(A1938)&lt;=0,"Date manquante ou invalide",IF(B1938="","Équipe manquante",IF(ISNA(MATCH(B1938,eq_code,0)),"Équipe inconnue",IF(INDEX(eq_check,MATCH(B1938,eq_code,0))&lt;&gt;"OK","Équipe à corriger dans Paramètres",IF(C1938="","Poste manquant",IF(ISNA(MATCH(C1938,po_code,0)),"Poste inconnu",IF(AND(E1938&lt;&gt;"",ISNA(MATCH(E1938,art_ref,0))),"Article inconnu",IF(IF(E1938="",FALSE,INDEX(art_check,MATCH(E1938,art_ref,0))&lt;&gt;"OK"),"Article à corriger (feuille Articles)",IF(COUNTIFS(sj_date,A1938,sj_eq,B1938,sj_po,C1938)&gt;1,"Ligne en double (même jour, équipe et poste)",IF(OR(NOT(ISNUMBER(K1938)),N(K1938)&lt;=0,N(K1938)&gt;1440),"Temps d'ouverture invalide",IF(OR(AND(G1938&lt;&gt;"",NOT(ISNUMBER(G1938))),N(G1938)&lt;0,N(G1938)&lt;&gt;INT(N(G1938)),AND(H1938&lt;&gt;"",NOT(ISNUMBER(H1938))),N(H1938)&lt;0,N(H1938)&lt;&gt;INT(N(H1938)),AND(I1938&lt;&gt;"",NOT(ISNUMBER(I1938))),N(I1938)&lt;0,N(I1938)&lt;&gt;INT(N(I1938))),"Quantité invalide",IF(Q1938&lt;=0,"Cadence manquante (poste ou article)",IF(M1938&lt;=0,"Arrêts planifiés supérieurs au temps d'ouverture",IF(O1938&lt;0,"Arrêts supérieurs au temps requis",IF(AND(P1938&gt;0,O1938=0),"Pièces déclarées sans temps de marche",IF(AND(P1938=0,O1938&gt;0),"Aucune pièce déclarée",IF(P1938*60/Q1938&gt;O1938+0.001,"Cadence dépassée : vérifiez la cadence","OK"))))))))))))))))))</f>
        <v/>
      </c>
      <c r="AC1938">
        <f>IF(OR(AB1938="OK",AB1938="Aucune pièce déclarée",AB1938="Cadence dépassée : vérifiez la cadence"),1,0)</f>
        <v>0.0</v>
      </c>
      <c r="AD1938">
        <f>IF(AND(AC1938=1,A1938&gt;=p_from,A1938&lt;=p_to),1,0)</f>
        <v>0.0</v>
      </c>
      <c r="AE1938">
        <f>IF(AD1938=1,IF(COUNTIFS($A$6:A1938,A1938,$AD$6:AD1938,1)=1,1,0),0)</f>
        <v>0.0</v>
      </c>
      <c r="AF1938" t="str">
        <f>IF(AE1938=1,COUNTIFS(sj_first,1,sj_date,"&lt;"&amp;A1938)+1,"")</f>
        <v/>
      </c>
      <c r="AG1938" t="str">
        <f>IF(AND(AD1938=1,N(W1938)&lt;p_alert),ROUND(W1938,4),"")</f>
        <v/>
      </c>
      <c r="AH1938" t="str">
        <f>IF(AG1938="","",COUNTIF(sj_akey,"&lt;"&amp;AG1938)+COUNTIF($AG$6:AG1938,AG1938))</f>
        <v/>
      </c>
    </row>
    <row r="1939">
      <c r="A1939" s="51" t="n"/>
      <c r="B1939" s="52" t="n"/>
      <c r="C1939" s="52" t="n"/>
      <c r="D1939" s="53" t="n"/>
      <c r="E1939" s="53" t="n"/>
      <c r="F1939" s="54" t="n"/>
      <c r="G1939" s="54" t="n"/>
      <c r="H1939" s="54" t="n"/>
      <c r="I1939" s="54" t="n"/>
      <c r="J1939" s="53" t="n"/>
      <c r="K1939" s="55" t="str">
        <f>IF(COUNTA(A1939:I1939)=0,"",IF(F1939="",IFERROR(INDEX(eq_dur,MATCH(B1939,eq_code,0)),""),F1939))</f>
        <v/>
      </c>
      <c r="L1939" s="55" t="str">
        <f>IF(ISNUMBER(K1939),N(IFERROR(INDEX(eq_pause,MATCH(B1939,eq_code,0)),0))+SUMIFS(st_min,st_date,A1939,st_eq,B1939,st_po,C1939,st_type,"Planifié"),"")</f>
        <v/>
      </c>
      <c r="M1939" s="55" t="str">
        <f>IF(ISNUMBER(K1939),K1939-L1939,"")</f>
        <v/>
      </c>
      <c r="N1939" s="55" t="str">
        <f>IF(ISNUMBER(K1939),SUMIFS(st_min,st_date,A1939,st_eq,B1939,st_po,C1939,st_type,"Non planifié"),"")</f>
        <v/>
      </c>
      <c r="O1939" s="55" t="str">
        <f>IF(ISNUMBER(K1939),M1939-N1939,"")</f>
        <v/>
      </c>
      <c r="P1939" s="55" t="str">
        <f>IF(COUNTA(A1939:I1939)=0,"",N(G1939)+N(H1939)+N(I1939))</f>
        <v/>
      </c>
      <c r="Q1939" s="56" t="str">
        <f>IF(COUNTA(A1939:I1939)=0,"",IF(N(IFERROR(INDEX(art_rate,MATCH(E1939,art_ref,0)),0))&gt;0,N(IFERROR(INDEX(art_rate,MATCH(E1939,art_ref,0)),0)),N(IFERROR(INDEX(po_rate,MATCH(C1939,po_code,0)),0))))</f>
        <v/>
      </c>
      <c r="R1939" s="55" t="str">
        <f>IF(AC1939=1,P1939*60/Q1939,"")</f>
        <v/>
      </c>
      <c r="S1939" s="55" t="str">
        <f>IF(AC1939=1,N(G1939)*60/Q1939,"")</f>
        <v/>
      </c>
      <c r="T1939" s="57" t="str">
        <f>IF(AC1939=1,O1939/M1939,"")</f>
        <v/>
      </c>
      <c r="U1939" s="57" t="str">
        <f>IF(AC1939=1,IF(O1939&gt;0,R1939/O1939,""),"")</f>
        <v/>
      </c>
      <c r="V1939" s="57" t="str">
        <f>IF(AC1939=1,IF(P1939&gt;0,N(G1939)/P1939,""),"")</f>
        <v/>
      </c>
      <c r="W1939" s="57" t="str">
        <f>IF(AC1939=1,S1939/M1939,"")</f>
        <v/>
      </c>
      <c r="X1939" s="57" t="str">
        <f>IF(AC1939=1,S1939/K1939,"")</f>
        <v/>
      </c>
      <c r="Y1939" s="58" t="str">
        <f>IF(W1939="","",IF(W1939&gt;=p_target,"Bon",IF(W1939&gt;=p_alert,"À surveiller","Faible")))</f>
        <v/>
      </c>
      <c r="Z1939" s="58" t="str">
        <f>IF(W1939="","",IF(MIN(IF(T1939="",1,T1939),IF(U1939="",1,U1939),IF(V1939="",1,V1939))&gt;=1,"Aucune",IF(IF(T1939="",1,T1939)&lt;=MIN(IF(U1939="",1,U1939),IF(V1939="",1,V1939)),"Disponibilité",IF(IF(U1939="",1,U1939)&lt;=IF(V1939="",1,V1939),"Performance","Qualité"))))</f>
        <v/>
      </c>
      <c r="AA1939" s="59" t="str">
        <f>IF(AC1939=1,N(H1939)*N(IFERROR(INDEX(art_cost,MATCH(E1939,art_ref,0)),0)),"")</f>
        <v/>
      </c>
      <c r="AB1939" s="58" t="str">
        <f>IF(COUNTA(A1939:I1939)=0,"",IF(N(A1939)&lt;=0,"Date manquante ou invalide",IF(B1939="","Équipe manquante",IF(ISNA(MATCH(B1939,eq_code,0)),"Équipe inconnue",IF(INDEX(eq_check,MATCH(B1939,eq_code,0))&lt;&gt;"OK","Équipe à corriger dans Paramètres",IF(C1939="","Poste manquant",IF(ISNA(MATCH(C1939,po_code,0)),"Poste inconnu",IF(AND(E1939&lt;&gt;"",ISNA(MATCH(E1939,art_ref,0))),"Article inconnu",IF(IF(E1939="",FALSE,INDEX(art_check,MATCH(E1939,art_ref,0))&lt;&gt;"OK"),"Article à corriger (feuille Articles)",IF(COUNTIFS(sj_date,A1939,sj_eq,B1939,sj_po,C1939)&gt;1,"Ligne en double (même jour, équipe et poste)",IF(OR(NOT(ISNUMBER(K1939)),N(K1939)&lt;=0,N(K1939)&gt;1440),"Temps d'ouverture invalide",IF(OR(AND(G1939&lt;&gt;"",NOT(ISNUMBER(G1939))),N(G1939)&lt;0,N(G1939)&lt;&gt;INT(N(G1939)),AND(H1939&lt;&gt;"",NOT(ISNUMBER(H1939))),N(H1939)&lt;0,N(H1939)&lt;&gt;INT(N(H1939)),AND(I1939&lt;&gt;"",NOT(ISNUMBER(I1939))),N(I1939)&lt;0,N(I1939)&lt;&gt;INT(N(I1939))),"Quantité invalide",IF(Q1939&lt;=0,"Cadence manquante (poste ou article)",IF(M1939&lt;=0,"Arrêts planifiés supérieurs au temps d'ouverture",IF(O1939&lt;0,"Arrêts supérieurs au temps requis",IF(AND(P1939&gt;0,O1939=0),"Pièces déclarées sans temps de marche",IF(AND(P1939=0,O1939&gt;0),"Aucune pièce déclarée",IF(P1939*60/Q1939&gt;O1939+0.001,"Cadence dépassée : vérifiez la cadence","OK"))))))))))))))))))</f>
        <v/>
      </c>
      <c r="AC1939">
        <f>IF(OR(AB1939="OK",AB1939="Aucune pièce déclarée",AB1939="Cadence dépassée : vérifiez la cadence"),1,0)</f>
        <v>0.0</v>
      </c>
      <c r="AD1939">
        <f>IF(AND(AC1939=1,A1939&gt;=p_from,A1939&lt;=p_to),1,0)</f>
        <v>0.0</v>
      </c>
      <c r="AE1939">
        <f>IF(AD1939=1,IF(COUNTIFS($A$6:A1939,A1939,$AD$6:AD1939,1)=1,1,0),0)</f>
        <v>0.0</v>
      </c>
      <c r="AF1939" t="str">
        <f>IF(AE1939=1,COUNTIFS(sj_first,1,sj_date,"&lt;"&amp;A1939)+1,"")</f>
        <v/>
      </c>
      <c r="AG1939" t="str">
        <f>IF(AND(AD1939=1,N(W1939)&lt;p_alert),ROUND(W1939,4),"")</f>
        <v/>
      </c>
      <c r="AH1939" t="str">
        <f>IF(AG1939="","",COUNTIF(sj_akey,"&lt;"&amp;AG1939)+COUNTIF($AG$6:AG1939,AG1939))</f>
        <v/>
      </c>
    </row>
    <row r="1940">
      <c r="A1940" s="51" t="n"/>
      <c r="B1940" s="52" t="n"/>
      <c r="C1940" s="52" t="n"/>
      <c r="D1940" s="53" t="n"/>
      <c r="E1940" s="53" t="n"/>
      <c r="F1940" s="54" t="n"/>
      <c r="G1940" s="54" t="n"/>
      <c r="H1940" s="54" t="n"/>
      <c r="I1940" s="54" t="n"/>
      <c r="J1940" s="53" t="n"/>
      <c r="K1940" s="55" t="str">
        <f>IF(COUNTA(A1940:I1940)=0,"",IF(F1940="",IFERROR(INDEX(eq_dur,MATCH(B1940,eq_code,0)),""),F1940))</f>
        <v/>
      </c>
      <c r="L1940" s="55" t="str">
        <f>IF(ISNUMBER(K1940),N(IFERROR(INDEX(eq_pause,MATCH(B1940,eq_code,0)),0))+SUMIFS(st_min,st_date,A1940,st_eq,B1940,st_po,C1940,st_type,"Planifié"),"")</f>
        <v/>
      </c>
      <c r="M1940" s="55" t="str">
        <f>IF(ISNUMBER(K1940),K1940-L1940,"")</f>
        <v/>
      </c>
      <c r="N1940" s="55" t="str">
        <f>IF(ISNUMBER(K1940),SUMIFS(st_min,st_date,A1940,st_eq,B1940,st_po,C1940,st_type,"Non planifié"),"")</f>
        <v/>
      </c>
      <c r="O1940" s="55" t="str">
        <f>IF(ISNUMBER(K1940),M1940-N1940,"")</f>
        <v/>
      </c>
      <c r="P1940" s="55" t="str">
        <f>IF(COUNTA(A1940:I1940)=0,"",N(G1940)+N(H1940)+N(I1940))</f>
        <v/>
      </c>
      <c r="Q1940" s="56" t="str">
        <f>IF(COUNTA(A1940:I1940)=0,"",IF(N(IFERROR(INDEX(art_rate,MATCH(E1940,art_ref,0)),0))&gt;0,N(IFERROR(INDEX(art_rate,MATCH(E1940,art_ref,0)),0)),N(IFERROR(INDEX(po_rate,MATCH(C1940,po_code,0)),0))))</f>
        <v/>
      </c>
      <c r="R1940" s="55" t="str">
        <f>IF(AC1940=1,P1940*60/Q1940,"")</f>
        <v/>
      </c>
      <c r="S1940" s="55" t="str">
        <f>IF(AC1940=1,N(G1940)*60/Q1940,"")</f>
        <v/>
      </c>
      <c r="T1940" s="57" t="str">
        <f>IF(AC1940=1,O1940/M1940,"")</f>
        <v/>
      </c>
      <c r="U1940" s="57" t="str">
        <f>IF(AC1940=1,IF(O1940&gt;0,R1940/O1940,""),"")</f>
        <v/>
      </c>
      <c r="V1940" s="57" t="str">
        <f>IF(AC1940=1,IF(P1940&gt;0,N(G1940)/P1940,""),"")</f>
        <v/>
      </c>
      <c r="W1940" s="57" t="str">
        <f>IF(AC1940=1,S1940/M1940,"")</f>
        <v/>
      </c>
      <c r="X1940" s="57" t="str">
        <f>IF(AC1940=1,S1940/K1940,"")</f>
        <v/>
      </c>
      <c r="Y1940" s="58" t="str">
        <f>IF(W1940="","",IF(W1940&gt;=p_target,"Bon",IF(W1940&gt;=p_alert,"À surveiller","Faible")))</f>
        <v/>
      </c>
      <c r="Z1940" s="58" t="str">
        <f>IF(W1940="","",IF(MIN(IF(T1940="",1,T1940),IF(U1940="",1,U1940),IF(V1940="",1,V1940))&gt;=1,"Aucune",IF(IF(T1940="",1,T1940)&lt;=MIN(IF(U1940="",1,U1940),IF(V1940="",1,V1940)),"Disponibilité",IF(IF(U1940="",1,U1940)&lt;=IF(V1940="",1,V1940),"Performance","Qualité"))))</f>
        <v/>
      </c>
      <c r="AA1940" s="59" t="str">
        <f>IF(AC1940=1,N(H1940)*N(IFERROR(INDEX(art_cost,MATCH(E1940,art_ref,0)),0)),"")</f>
        <v/>
      </c>
      <c r="AB1940" s="58" t="str">
        <f>IF(COUNTA(A1940:I1940)=0,"",IF(N(A1940)&lt;=0,"Date manquante ou invalide",IF(B1940="","Équipe manquante",IF(ISNA(MATCH(B1940,eq_code,0)),"Équipe inconnue",IF(INDEX(eq_check,MATCH(B1940,eq_code,0))&lt;&gt;"OK","Équipe à corriger dans Paramètres",IF(C1940="","Poste manquant",IF(ISNA(MATCH(C1940,po_code,0)),"Poste inconnu",IF(AND(E1940&lt;&gt;"",ISNA(MATCH(E1940,art_ref,0))),"Article inconnu",IF(IF(E1940="",FALSE,INDEX(art_check,MATCH(E1940,art_ref,0))&lt;&gt;"OK"),"Article à corriger (feuille Articles)",IF(COUNTIFS(sj_date,A1940,sj_eq,B1940,sj_po,C1940)&gt;1,"Ligne en double (même jour, équipe et poste)",IF(OR(NOT(ISNUMBER(K1940)),N(K1940)&lt;=0,N(K1940)&gt;1440),"Temps d'ouverture invalide",IF(OR(AND(G1940&lt;&gt;"",NOT(ISNUMBER(G1940))),N(G1940)&lt;0,N(G1940)&lt;&gt;INT(N(G1940)),AND(H1940&lt;&gt;"",NOT(ISNUMBER(H1940))),N(H1940)&lt;0,N(H1940)&lt;&gt;INT(N(H1940)),AND(I1940&lt;&gt;"",NOT(ISNUMBER(I1940))),N(I1940)&lt;0,N(I1940)&lt;&gt;INT(N(I1940))),"Quantité invalide",IF(Q1940&lt;=0,"Cadence manquante (poste ou article)",IF(M1940&lt;=0,"Arrêts planifiés supérieurs au temps d'ouverture",IF(O1940&lt;0,"Arrêts supérieurs au temps requis",IF(AND(P1940&gt;0,O1940=0),"Pièces déclarées sans temps de marche",IF(AND(P1940=0,O1940&gt;0),"Aucune pièce déclarée",IF(P1940*60/Q1940&gt;O1940+0.001,"Cadence dépassée : vérifiez la cadence","OK"))))))))))))))))))</f>
        <v/>
      </c>
      <c r="AC1940">
        <f>IF(OR(AB1940="OK",AB1940="Aucune pièce déclarée",AB1940="Cadence dépassée : vérifiez la cadence"),1,0)</f>
        <v>0.0</v>
      </c>
      <c r="AD1940">
        <f>IF(AND(AC1940=1,A1940&gt;=p_from,A1940&lt;=p_to),1,0)</f>
        <v>0.0</v>
      </c>
      <c r="AE1940">
        <f>IF(AD1940=1,IF(COUNTIFS($A$6:A1940,A1940,$AD$6:AD1940,1)=1,1,0),0)</f>
        <v>0.0</v>
      </c>
      <c r="AF1940" t="str">
        <f>IF(AE1940=1,COUNTIFS(sj_first,1,sj_date,"&lt;"&amp;A1940)+1,"")</f>
        <v/>
      </c>
      <c r="AG1940" t="str">
        <f>IF(AND(AD1940=1,N(W1940)&lt;p_alert),ROUND(W1940,4),"")</f>
        <v/>
      </c>
      <c r="AH1940" t="str">
        <f>IF(AG1940="","",COUNTIF(sj_akey,"&lt;"&amp;AG1940)+COUNTIF($AG$6:AG1940,AG1940))</f>
        <v/>
      </c>
    </row>
    <row r="1941">
      <c r="A1941" s="51" t="n"/>
      <c r="B1941" s="52" t="n"/>
      <c r="C1941" s="52" t="n"/>
      <c r="D1941" s="53" t="n"/>
      <c r="E1941" s="53" t="n"/>
      <c r="F1941" s="54" t="n"/>
      <c r="G1941" s="54" t="n"/>
      <c r="H1941" s="54" t="n"/>
      <c r="I1941" s="54" t="n"/>
      <c r="J1941" s="53" t="n"/>
      <c r="K1941" s="55" t="str">
        <f>IF(COUNTA(A1941:I1941)=0,"",IF(F1941="",IFERROR(INDEX(eq_dur,MATCH(B1941,eq_code,0)),""),F1941))</f>
        <v/>
      </c>
      <c r="L1941" s="55" t="str">
        <f>IF(ISNUMBER(K1941),N(IFERROR(INDEX(eq_pause,MATCH(B1941,eq_code,0)),0))+SUMIFS(st_min,st_date,A1941,st_eq,B1941,st_po,C1941,st_type,"Planifié"),"")</f>
        <v/>
      </c>
      <c r="M1941" s="55" t="str">
        <f>IF(ISNUMBER(K1941),K1941-L1941,"")</f>
        <v/>
      </c>
      <c r="N1941" s="55" t="str">
        <f>IF(ISNUMBER(K1941),SUMIFS(st_min,st_date,A1941,st_eq,B1941,st_po,C1941,st_type,"Non planifié"),"")</f>
        <v/>
      </c>
      <c r="O1941" s="55" t="str">
        <f>IF(ISNUMBER(K1941),M1941-N1941,"")</f>
        <v/>
      </c>
      <c r="P1941" s="55" t="str">
        <f>IF(COUNTA(A1941:I1941)=0,"",N(G1941)+N(H1941)+N(I1941))</f>
        <v/>
      </c>
      <c r="Q1941" s="56" t="str">
        <f>IF(COUNTA(A1941:I1941)=0,"",IF(N(IFERROR(INDEX(art_rate,MATCH(E1941,art_ref,0)),0))&gt;0,N(IFERROR(INDEX(art_rate,MATCH(E1941,art_ref,0)),0)),N(IFERROR(INDEX(po_rate,MATCH(C1941,po_code,0)),0))))</f>
        <v/>
      </c>
      <c r="R1941" s="55" t="str">
        <f>IF(AC1941=1,P1941*60/Q1941,"")</f>
        <v/>
      </c>
      <c r="S1941" s="55" t="str">
        <f>IF(AC1941=1,N(G1941)*60/Q1941,"")</f>
        <v/>
      </c>
      <c r="T1941" s="57" t="str">
        <f>IF(AC1941=1,O1941/M1941,"")</f>
        <v/>
      </c>
      <c r="U1941" s="57" t="str">
        <f>IF(AC1941=1,IF(O1941&gt;0,R1941/O1941,""),"")</f>
        <v/>
      </c>
      <c r="V1941" s="57" t="str">
        <f>IF(AC1941=1,IF(P1941&gt;0,N(G1941)/P1941,""),"")</f>
        <v/>
      </c>
      <c r="W1941" s="57" t="str">
        <f>IF(AC1941=1,S1941/M1941,"")</f>
        <v/>
      </c>
      <c r="X1941" s="57" t="str">
        <f>IF(AC1941=1,S1941/K1941,"")</f>
        <v/>
      </c>
      <c r="Y1941" s="58" t="str">
        <f>IF(W1941="","",IF(W1941&gt;=p_target,"Bon",IF(W1941&gt;=p_alert,"À surveiller","Faible")))</f>
        <v/>
      </c>
      <c r="Z1941" s="58" t="str">
        <f>IF(W1941="","",IF(MIN(IF(T1941="",1,T1941),IF(U1941="",1,U1941),IF(V1941="",1,V1941))&gt;=1,"Aucune",IF(IF(T1941="",1,T1941)&lt;=MIN(IF(U1941="",1,U1941),IF(V1941="",1,V1941)),"Disponibilité",IF(IF(U1941="",1,U1941)&lt;=IF(V1941="",1,V1941),"Performance","Qualité"))))</f>
        <v/>
      </c>
      <c r="AA1941" s="59" t="str">
        <f>IF(AC1941=1,N(H1941)*N(IFERROR(INDEX(art_cost,MATCH(E1941,art_ref,0)),0)),"")</f>
        <v/>
      </c>
      <c r="AB1941" s="58" t="str">
        <f>IF(COUNTA(A1941:I1941)=0,"",IF(N(A1941)&lt;=0,"Date manquante ou invalide",IF(B1941="","Équipe manquante",IF(ISNA(MATCH(B1941,eq_code,0)),"Équipe inconnue",IF(INDEX(eq_check,MATCH(B1941,eq_code,0))&lt;&gt;"OK","Équipe à corriger dans Paramètres",IF(C1941="","Poste manquant",IF(ISNA(MATCH(C1941,po_code,0)),"Poste inconnu",IF(AND(E1941&lt;&gt;"",ISNA(MATCH(E1941,art_ref,0))),"Article inconnu",IF(IF(E1941="",FALSE,INDEX(art_check,MATCH(E1941,art_ref,0))&lt;&gt;"OK"),"Article à corriger (feuille Articles)",IF(COUNTIFS(sj_date,A1941,sj_eq,B1941,sj_po,C1941)&gt;1,"Ligne en double (même jour, équipe et poste)",IF(OR(NOT(ISNUMBER(K1941)),N(K1941)&lt;=0,N(K1941)&gt;1440),"Temps d'ouverture invalide",IF(OR(AND(G1941&lt;&gt;"",NOT(ISNUMBER(G1941))),N(G1941)&lt;0,N(G1941)&lt;&gt;INT(N(G1941)),AND(H1941&lt;&gt;"",NOT(ISNUMBER(H1941))),N(H1941)&lt;0,N(H1941)&lt;&gt;INT(N(H1941)),AND(I1941&lt;&gt;"",NOT(ISNUMBER(I1941))),N(I1941)&lt;0,N(I1941)&lt;&gt;INT(N(I1941))),"Quantité invalide",IF(Q1941&lt;=0,"Cadence manquante (poste ou article)",IF(M1941&lt;=0,"Arrêts planifiés supérieurs au temps d'ouverture",IF(O1941&lt;0,"Arrêts supérieurs au temps requis",IF(AND(P1941&gt;0,O1941=0),"Pièces déclarées sans temps de marche",IF(AND(P1941=0,O1941&gt;0),"Aucune pièce déclarée",IF(P1941*60/Q1941&gt;O1941+0.001,"Cadence dépassée : vérifiez la cadence","OK"))))))))))))))))))</f>
        <v/>
      </c>
      <c r="AC1941">
        <f>IF(OR(AB1941="OK",AB1941="Aucune pièce déclarée",AB1941="Cadence dépassée : vérifiez la cadence"),1,0)</f>
        <v>0.0</v>
      </c>
      <c r="AD1941">
        <f>IF(AND(AC1941=1,A1941&gt;=p_from,A1941&lt;=p_to),1,0)</f>
        <v>0.0</v>
      </c>
      <c r="AE1941">
        <f>IF(AD1941=1,IF(COUNTIFS($A$6:A1941,A1941,$AD$6:AD1941,1)=1,1,0),0)</f>
        <v>0.0</v>
      </c>
      <c r="AF1941" t="str">
        <f>IF(AE1941=1,COUNTIFS(sj_first,1,sj_date,"&lt;"&amp;A1941)+1,"")</f>
        <v/>
      </c>
      <c r="AG1941" t="str">
        <f>IF(AND(AD1941=1,N(W1941)&lt;p_alert),ROUND(W1941,4),"")</f>
        <v/>
      </c>
      <c r="AH1941" t="str">
        <f>IF(AG1941="","",COUNTIF(sj_akey,"&lt;"&amp;AG1941)+COUNTIF($AG$6:AG1941,AG1941))</f>
        <v/>
      </c>
    </row>
    <row r="1942">
      <c r="A1942" s="51" t="n"/>
      <c r="B1942" s="52" t="n"/>
      <c r="C1942" s="52" t="n"/>
      <c r="D1942" s="53" t="n"/>
      <c r="E1942" s="53" t="n"/>
      <c r="F1942" s="54" t="n"/>
      <c r="G1942" s="54" t="n"/>
      <c r="H1942" s="54" t="n"/>
      <c r="I1942" s="54" t="n"/>
      <c r="J1942" s="53" t="n"/>
      <c r="K1942" s="55" t="str">
        <f>IF(COUNTA(A1942:I1942)=0,"",IF(F1942="",IFERROR(INDEX(eq_dur,MATCH(B1942,eq_code,0)),""),F1942))</f>
        <v/>
      </c>
      <c r="L1942" s="55" t="str">
        <f>IF(ISNUMBER(K1942),N(IFERROR(INDEX(eq_pause,MATCH(B1942,eq_code,0)),0))+SUMIFS(st_min,st_date,A1942,st_eq,B1942,st_po,C1942,st_type,"Planifié"),"")</f>
        <v/>
      </c>
      <c r="M1942" s="55" t="str">
        <f>IF(ISNUMBER(K1942),K1942-L1942,"")</f>
        <v/>
      </c>
      <c r="N1942" s="55" t="str">
        <f>IF(ISNUMBER(K1942),SUMIFS(st_min,st_date,A1942,st_eq,B1942,st_po,C1942,st_type,"Non planifié"),"")</f>
        <v/>
      </c>
      <c r="O1942" s="55" t="str">
        <f>IF(ISNUMBER(K1942),M1942-N1942,"")</f>
        <v/>
      </c>
      <c r="P1942" s="55" t="str">
        <f>IF(COUNTA(A1942:I1942)=0,"",N(G1942)+N(H1942)+N(I1942))</f>
        <v/>
      </c>
      <c r="Q1942" s="56" t="str">
        <f>IF(COUNTA(A1942:I1942)=0,"",IF(N(IFERROR(INDEX(art_rate,MATCH(E1942,art_ref,0)),0))&gt;0,N(IFERROR(INDEX(art_rate,MATCH(E1942,art_ref,0)),0)),N(IFERROR(INDEX(po_rate,MATCH(C1942,po_code,0)),0))))</f>
        <v/>
      </c>
      <c r="R1942" s="55" t="str">
        <f>IF(AC1942=1,P1942*60/Q1942,"")</f>
        <v/>
      </c>
      <c r="S1942" s="55" t="str">
        <f>IF(AC1942=1,N(G1942)*60/Q1942,"")</f>
        <v/>
      </c>
      <c r="T1942" s="57" t="str">
        <f>IF(AC1942=1,O1942/M1942,"")</f>
        <v/>
      </c>
      <c r="U1942" s="57" t="str">
        <f>IF(AC1942=1,IF(O1942&gt;0,R1942/O1942,""),"")</f>
        <v/>
      </c>
      <c r="V1942" s="57" t="str">
        <f>IF(AC1942=1,IF(P1942&gt;0,N(G1942)/P1942,""),"")</f>
        <v/>
      </c>
      <c r="W1942" s="57" t="str">
        <f>IF(AC1942=1,S1942/M1942,"")</f>
        <v/>
      </c>
      <c r="X1942" s="57" t="str">
        <f>IF(AC1942=1,S1942/K1942,"")</f>
        <v/>
      </c>
      <c r="Y1942" s="58" t="str">
        <f>IF(W1942="","",IF(W1942&gt;=p_target,"Bon",IF(W1942&gt;=p_alert,"À surveiller","Faible")))</f>
        <v/>
      </c>
      <c r="Z1942" s="58" t="str">
        <f>IF(W1942="","",IF(MIN(IF(T1942="",1,T1942),IF(U1942="",1,U1942),IF(V1942="",1,V1942))&gt;=1,"Aucune",IF(IF(T1942="",1,T1942)&lt;=MIN(IF(U1942="",1,U1942),IF(V1942="",1,V1942)),"Disponibilité",IF(IF(U1942="",1,U1942)&lt;=IF(V1942="",1,V1942),"Performance","Qualité"))))</f>
        <v/>
      </c>
      <c r="AA1942" s="59" t="str">
        <f>IF(AC1942=1,N(H1942)*N(IFERROR(INDEX(art_cost,MATCH(E1942,art_ref,0)),0)),"")</f>
        <v/>
      </c>
      <c r="AB1942" s="58" t="str">
        <f>IF(COUNTA(A1942:I1942)=0,"",IF(N(A1942)&lt;=0,"Date manquante ou invalide",IF(B1942="","Équipe manquante",IF(ISNA(MATCH(B1942,eq_code,0)),"Équipe inconnue",IF(INDEX(eq_check,MATCH(B1942,eq_code,0))&lt;&gt;"OK","Équipe à corriger dans Paramètres",IF(C1942="","Poste manquant",IF(ISNA(MATCH(C1942,po_code,0)),"Poste inconnu",IF(AND(E1942&lt;&gt;"",ISNA(MATCH(E1942,art_ref,0))),"Article inconnu",IF(IF(E1942="",FALSE,INDEX(art_check,MATCH(E1942,art_ref,0))&lt;&gt;"OK"),"Article à corriger (feuille Articles)",IF(COUNTIFS(sj_date,A1942,sj_eq,B1942,sj_po,C1942)&gt;1,"Ligne en double (même jour, équipe et poste)",IF(OR(NOT(ISNUMBER(K1942)),N(K1942)&lt;=0,N(K1942)&gt;1440),"Temps d'ouverture invalide",IF(OR(AND(G1942&lt;&gt;"",NOT(ISNUMBER(G1942))),N(G1942)&lt;0,N(G1942)&lt;&gt;INT(N(G1942)),AND(H1942&lt;&gt;"",NOT(ISNUMBER(H1942))),N(H1942)&lt;0,N(H1942)&lt;&gt;INT(N(H1942)),AND(I1942&lt;&gt;"",NOT(ISNUMBER(I1942))),N(I1942)&lt;0,N(I1942)&lt;&gt;INT(N(I1942))),"Quantité invalide",IF(Q1942&lt;=0,"Cadence manquante (poste ou article)",IF(M1942&lt;=0,"Arrêts planifiés supérieurs au temps d'ouverture",IF(O1942&lt;0,"Arrêts supérieurs au temps requis",IF(AND(P1942&gt;0,O1942=0),"Pièces déclarées sans temps de marche",IF(AND(P1942=0,O1942&gt;0),"Aucune pièce déclarée",IF(P1942*60/Q1942&gt;O1942+0.001,"Cadence dépassée : vérifiez la cadence","OK"))))))))))))))))))</f>
        <v/>
      </c>
      <c r="AC1942">
        <f>IF(OR(AB1942="OK",AB1942="Aucune pièce déclarée",AB1942="Cadence dépassée : vérifiez la cadence"),1,0)</f>
        <v>0.0</v>
      </c>
      <c r="AD1942">
        <f>IF(AND(AC1942=1,A1942&gt;=p_from,A1942&lt;=p_to),1,0)</f>
        <v>0.0</v>
      </c>
      <c r="AE1942">
        <f>IF(AD1942=1,IF(COUNTIFS($A$6:A1942,A1942,$AD$6:AD1942,1)=1,1,0),0)</f>
        <v>0.0</v>
      </c>
      <c r="AF1942" t="str">
        <f>IF(AE1942=1,COUNTIFS(sj_first,1,sj_date,"&lt;"&amp;A1942)+1,"")</f>
        <v/>
      </c>
      <c r="AG1942" t="str">
        <f>IF(AND(AD1942=1,N(W1942)&lt;p_alert),ROUND(W1942,4),"")</f>
        <v/>
      </c>
      <c r="AH1942" t="str">
        <f>IF(AG1942="","",COUNTIF(sj_akey,"&lt;"&amp;AG1942)+COUNTIF($AG$6:AG1942,AG1942))</f>
        <v/>
      </c>
    </row>
    <row r="1943">
      <c r="A1943" s="51" t="n"/>
      <c r="B1943" s="52" t="n"/>
      <c r="C1943" s="52" t="n"/>
      <c r="D1943" s="53" t="n"/>
      <c r="E1943" s="53" t="n"/>
      <c r="F1943" s="54" t="n"/>
      <c r="G1943" s="54" t="n"/>
      <c r="H1943" s="54" t="n"/>
      <c r="I1943" s="54" t="n"/>
      <c r="J1943" s="53" t="n"/>
      <c r="K1943" s="55" t="str">
        <f>IF(COUNTA(A1943:I1943)=0,"",IF(F1943="",IFERROR(INDEX(eq_dur,MATCH(B1943,eq_code,0)),""),F1943))</f>
        <v/>
      </c>
      <c r="L1943" s="55" t="str">
        <f>IF(ISNUMBER(K1943),N(IFERROR(INDEX(eq_pause,MATCH(B1943,eq_code,0)),0))+SUMIFS(st_min,st_date,A1943,st_eq,B1943,st_po,C1943,st_type,"Planifié"),"")</f>
        <v/>
      </c>
      <c r="M1943" s="55" t="str">
        <f>IF(ISNUMBER(K1943),K1943-L1943,"")</f>
        <v/>
      </c>
      <c r="N1943" s="55" t="str">
        <f>IF(ISNUMBER(K1943),SUMIFS(st_min,st_date,A1943,st_eq,B1943,st_po,C1943,st_type,"Non planifié"),"")</f>
        <v/>
      </c>
      <c r="O1943" s="55" t="str">
        <f>IF(ISNUMBER(K1943),M1943-N1943,"")</f>
        <v/>
      </c>
      <c r="P1943" s="55" t="str">
        <f>IF(COUNTA(A1943:I1943)=0,"",N(G1943)+N(H1943)+N(I1943))</f>
        <v/>
      </c>
      <c r="Q1943" s="56" t="str">
        <f>IF(COUNTA(A1943:I1943)=0,"",IF(N(IFERROR(INDEX(art_rate,MATCH(E1943,art_ref,0)),0))&gt;0,N(IFERROR(INDEX(art_rate,MATCH(E1943,art_ref,0)),0)),N(IFERROR(INDEX(po_rate,MATCH(C1943,po_code,0)),0))))</f>
        <v/>
      </c>
      <c r="R1943" s="55" t="str">
        <f>IF(AC1943=1,P1943*60/Q1943,"")</f>
        <v/>
      </c>
      <c r="S1943" s="55" t="str">
        <f>IF(AC1943=1,N(G1943)*60/Q1943,"")</f>
        <v/>
      </c>
      <c r="T1943" s="57" t="str">
        <f>IF(AC1943=1,O1943/M1943,"")</f>
        <v/>
      </c>
      <c r="U1943" s="57" t="str">
        <f>IF(AC1943=1,IF(O1943&gt;0,R1943/O1943,""),"")</f>
        <v/>
      </c>
      <c r="V1943" s="57" t="str">
        <f>IF(AC1943=1,IF(P1943&gt;0,N(G1943)/P1943,""),"")</f>
        <v/>
      </c>
      <c r="W1943" s="57" t="str">
        <f>IF(AC1943=1,S1943/M1943,"")</f>
        <v/>
      </c>
      <c r="X1943" s="57" t="str">
        <f>IF(AC1943=1,S1943/K1943,"")</f>
        <v/>
      </c>
      <c r="Y1943" s="58" t="str">
        <f>IF(W1943="","",IF(W1943&gt;=p_target,"Bon",IF(W1943&gt;=p_alert,"À surveiller","Faible")))</f>
        <v/>
      </c>
      <c r="Z1943" s="58" t="str">
        <f>IF(W1943="","",IF(MIN(IF(T1943="",1,T1943),IF(U1943="",1,U1943),IF(V1943="",1,V1943))&gt;=1,"Aucune",IF(IF(T1943="",1,T1943)&lt;=MIN(IF(U1943="",1,U1943),IF(V1943="",1,V1943)),"Disponibilité",IF(IF(U1943="",1,U1943)&lt;=IF(V1943="",1,V1943),"Performance","Qualité"))))</f>
        <v/>
      </c>
      <c r="AA1943" s="59" t="str">
        <f>IF(AC1943=1,N(H1943)*N(IFERROR(INDEX(art_cost,MATCH(E1943,art_ref,0)),0)),"")</f>
        <v/>
      </c>
      <c r="AB1943" s="58" t="str">
        <f>IF(COUNTA(A1943:I1943)=0,"",IF(N(A1943)&lt;=0,"Date manquante ou invalide",IF(B1943="","Équipe manquante",IF(ISNA(MATCH(B1943,eq_code,0)),"Équipe inconnue",IF(INDEX(eq_check,MATCH(B1943,eq_code,0))&lt;&gt;"OK","Équipe à corriger dans Paramètres",IF(C1943="","Poste manquant",IF(ISNA(MATCH(C1943,po_code,0)),"Poste inconnu",IF(AND(E1943&lt;&gt;"",ISNA(MATCH(E1943,art_ref,0))),"Article inconnu",IF(IF(E1943="",FALSE,INDEX(art_check,MATCH(E1943,art_ref,0))&lt;&gt;"OK"),"Article à corriger (feuille Articles)",IF(COUNTIFS(sj_date,A1943,sj_eq,B1943,sj_po,C1943)&gt;1,"Ligne en double (même jour, équipe et poste)",IF(OR(NOT(ISNUMBER(K1943)),N(K1943)&lt;=0,N(K1943)&gt;1440),"Temps d'ouverture invalide",IF(OR(AND(G1943&lt;&gt;"",NOT(ISNUMBER(G1943))),N(G1943)&lt;0,N(G1943)&lt;&gt;INT(N(G1943)),AND(H1943&lt;&gt;"",NOT(ISNUMBER(H1943))),N(H1943)&lt;0,N(H1943)&lt;&gt;INT(N(H1943)),AND(I1943&lt;&gt;"",NOT(ISNUMBER(I1943))),N(I1943)&lt;0,N(I1943)&lt;&gt;INT(N(I1943))),"Quantité invalide",IF(Q1943&lt;=0,"Cadence manquante (poste ou article)",IF(M1943&lt;=0,"Arrêts planifiés supérieurs au temps d'ouverture",IF(O1943&lt;0,"Arrêts supérieurs au temps requis",IF(AND(P1943&gt;0,O1943=0),"Pièces déclarées sans temps de marche",IF(AND(P1943=0,O1943&gt;0),"Aucune pièce déclarée",IF(P1943*60/Q1943&gt;O1943+0.001,"Cadence dépassée : vérifiez la cadence","OK"))))))))))))))))))</f>
        <v/>
      </c>
      <c r="AC1943">
        <f>IF(OR(AB1943="OK",AB1943="Aucune pièce déclarée",AB1943="Cadence dépassée : vérifiez la cadence"),1,0)</f>
        <v>0.0</v>
      </c>
      <c r="AD1943">
        <f>IF(AND(AC1943=1,A1943&gt;=p_from,A1943&lt;=p_to),1,0)</f>
        <v>0.0</v>
      </c>
      <c r="AE1943">
        <f>IF(AD1943=1,IF(COUNTIFS($A$6:A1943,A1943,$AD$6:AD1943,1)=1,1,0),0)</f>
        <v>0.0</v>
      </c>
      <c r="AF1943" t="str">
        <f>IF(AE1943=1,COUNTIFS(sj_first,1,sj_date,"&lt;"&amp;A1943)+1,"")</f>
        <v/>
      </c>
      <c r="AG1943" t="str">
        <f>IF(AND(AD1943=1,N(W1943)&lt;p_alert),ROUND(W1943,4),"")</f>
        <v/>
      </c>
      <c r="AH1943" t="str">
        <f>IF(AG1943="","",COUNTIF(sj_akey,"&lt;"&amp;AG1943)+COUNTIF($AG$6:AG1943,AG1943))</f>
        <v/>
      </c>
    </row>
    <row r="1944">
      <c r="A1944" s="51" t="n"/>
      <c r="B1944" s="52" t="n"/>
      <c r="C1944" s="52" t="n"/>
      <c r="D1944" s="53" t="n"/>
      <c r="E1944" s="53" t="n"/>
      <c r="F1944" s="54" t="n"/>
      <c r="G1944" s="54" t="n"/>
      <c r="H1944" s="54" t="n"/>
      <c r="I1944" s="54" t="n"/>
      <c r="J1944" s="53" t="n"/>
      <c r="K1944" s="55" t="str">
        <f>IF(COUNTA(A1944:I1944)=0,"",IF(F1944="",IFERROR(INDEX(eq_dur,MATCH(B1944,eq_code,0)),""),F1944))</f>
        <v/>
      </c>
      <c r="L1944" s="55" t="str">
        <f>IF(ISNUMBER(K1944),N(IFERROR(INDEX(eq_pause,MATCH(B1944,eq_code,0)),0))+SUMIFS(st_min,st_date,A1944,st_eq,B1944,st_po,C1944,st_type,"Planifié"),"")</f>
        <v/>
      </c>
      <c r="M1944" s="55" t="str">
        <f>IF(ISNUMBER(K1944),K1944-L1944,"")</f>
        <v/>
      </c>
      <c r="N1944" s="55" t="str">
        <f>IF(ISNUMBER(K1944),SUMIFS(st_min,st_date,A1944,st_eq,B1944,st_po,C1944,st_type,"Non planifié"),"")</f>
        <v/>
      </c>
      <c r="O1944" s="55" t="str">
        <f>IF(ISNUMBER(K1944),M1944-N1944,"")</f>
        <v/>
      </c>
      <c r="P1944" s="55" t="str">
        <f>IF(COUNTA(A1944:I1944)=0,"",N(G1944)+N(H1944)+N(I1944))</f>
        <v/>
      </c>
      <c r="Q1944" s="56" t="str">
        <f>IF(COUNTA(A1944:I1944)=0,"",IF(N(IFERROR(INDEX(art_rate,MATCH(E1944,art_ref,0)),0))&gt;0,N(IFERROR(INDEX(art_rate,MATCH(E1944,art_ref,0)),0)),N(IFERROR(INDEX(po_rate,MATCH(C1944,po_code,0)),0))))</f>
        <v/>
      </c>
      <c r="R1944" s="55" t="str">
        <f>IF(AC1944=1,P1944*60/Q1944,"")</f>
        <v/>
      </c>
      <c r="S1944" s="55" t="str">
        <f>IF(AC1944=1,N(G1944)*60/Q1944,"")</f>
        <v/>
      </c>
      <c r="T1944" s="57" t="str">
        <f>IF(AC1944=1,O1944/M1944,"")</f>
        <v/>
      </c>
      <c r="U1944" s="57" t="str">
        <f>IF(AC1944=1,IF(O1944&gt;0,R1944/O1944,""),"")</f>
        <v/>
      </c>
      <c r="V1944" s="57" t="str">
        <f>IF(AC1944=1,IF(P1944&gt;0,N(G1944)/P1944,""),"")</f>
        <v/>
      </c>
      <c r="W1944" s="57" t="str">
        <f>IF(AC1944=1,S1944/M1944,"")</f>
        <v/>
      </c>
      <c r="X1944" s="57" t="str">
        <f>IF(AC1944=1,S1944/K1944,"")</f>
        <v/>
      </c>
      <c r="Y1944" s="58" t="str">
        <f>IF(W1944="","",IF(W1944&gt;=p_target,"Bon",IF(W1944&gt;=p_alert,"À surveiller","Faible")))</f>
        <v/>
      </c>
      <c r="Z1944" s="58" t="str">
        <f>IF(W1944="","",IF(MIN(IF(T1944="",1,T1944),IF(U1944="",1,U1944),IF(V1944="",1,V1944))&gt;=1,"Aucune",IF(IF(T1944="",1,T1944)&lt;=MIN(IF(U1944="",1,U1944),IF(V1944="",1,V1944)),"Disponibilité",IF(IF(U1944="",1,U1944)&lt;=IF(V1944="",1,V1944),"Performance","Qualité"))))</f>
        <v/>
      </c>
      <c r="AA1944" s="59" t="str">
        <f>IF(AC1944=1,N(H1944)*N(IFERROR(INDEX(art_cost,MATCH(E1944,art_ref,0)),0)),"")</f>
        <v/>
      </c>
      <c r="AB1944" s="58" t="str">
        <f>IF(COUNTA(A1944:I1944)=0,"",IF(N(A1944)&lt;=0,"Date manquante ou invalide",IF(B1944="","Équipe manquante",IF(ISNA(MATCH(B1944,eq_code,0)),"Équipe inconnue",IF(INDEX(eq_check,MATCH(B1944,eq_code,0))&lt;&gt;"OK","Équipe à corriger dans Paramètres",IF(C1944="","Poste manquant",IF(ISNA(MATCH(C1944,po_code,0)),"Poste inconnu",IF(AND(E1944&lt;&gt;"",ISNA(MATCH(E1944,art_ref,0))),"Article inconnu",IF(IF(E1944="",FALSE,INDEX(art_check,MATCH(E1944,art_ref,0))&lt;&gt;"OK"),"Article à corriger (feuille Articles)",IF(COUNTIFS(sj_date,A1944,sj_eq,B1944,sj_po,C1944)&gt;1,"Ligne en double (même jour, équipe et poste)",IF(OR(NOT(ISNUMBER(K1944)),N(K1944)&lt;=0,N(K1944)&gt;1440),"Temps d'ouverture invalide",IF(OR(AND(G1944&lt;&gt;"",NOT(ISNUMBER(G1944))),N(G1944)&lt;0,N(G1944)&lt;&gt;INT(N(G1944)),AND(H1944&lt;&gt;"",NOT(ISNUMBER(H1944))),N(H1944)&lt;0,N(H1944)&lt;&gt;INT(N(H1944)),AND(I1944&lt;&gt;"",NOT(ISNUMBER(I1944))),N(I1944)&lt;0,N(I1944)&lt;&gt;INT(N(I1944))),"Quantité invalide",IF(Q1944&lt;=0,"Cadence manquante (poste ou article)",IF(M1944&lt;=0,"Arrêts planifiés supérieurs au temps d'ouverture",IF(O1944&lt;0,"Arrêts supérieurs au temps requis",IF(AND(P1944&gt;0,O1944=0),"Pièces déclarées sans temps de marche",IF(AND(P1944=0,O1944&gt;0),"Aucune pièce déclarée",IF(P1944*60/Q1944&gt;O1944+0.001,"Cadence dépassée : vérifiez la cadence","OK"))))))))))))))))))</f>
        <v/>
      </c>
      <c r="AC1944">
        <f>IF(OR(AB1944="OK",AB1944="Aucune pièce déclarée",AB1944="Cadence dépassée : vérifiez la cadence"),1,0)</f>
        <v>0.0</v>
      </c>
      <c r="AD1944">
        <f>IF(AND(AC1944=1,A1944&gt;=p_from,A1944&lt;=p_to),1,0)</f>
        <v>0.0</v>
      </c>
      <c r="AE1944">
        <f>IF(AD1944=1,IF(COUNTIFS($A$6:A1944,A1944,$AD$6:AD1944,1)=1,1,0),0)</f>
        <v>0.0</v>
      </c>
      <c r="AF1944" t="str">
        <f>IF(AE1944=1,COUNTIFS(sj_first,1,sj_date,"&lt;"&amp;A1944)+1,"")</f>
        <v/>
      </c>
      <c r="AG1944" t="str">
        <f>IF(AND(AD1944=1,N(W1944)&lt;p_alert),ROUND(W1944,4),"")</f>
        <v/>
      </c>
      <c r="AH1944" t="str">
        <f>IF(AG1944="","",COUNTIF(sj_akey,"&lt;"&amp;AG1944)+COUNTIF($AG$6:AG1944,AG1944))</f>
        <v/>
      </c>
    </row>
    <row r="1945">
      <c r="A1945" s="51" t="n"/>
      <c r="B1945" s="52" t="n"/>
      <c r="C1945" s="52" t="n"/>
      <c r="D1945" s="53" t="n"/>
      <c r="E1945" s="53" t="n"/>
      <c r="F1945" s="54" t="n"/>
      <c r="G1945" s="54" t="n"/>
      <c r="H1945" s="54" t="n"/>
      <c r="I1945" s="54" t="n"/>
      <c r="J1945" s="53" t="n"/>
      <c r="K1945" s="55" t="str">
        <f>IF(COUNTA(A1945:I1945)=0,"",IF(F1945="",IFERROR(INDEX(eq_dur,MATCH(B1945,eq_code,0)),""),F1945))</f>
        <v/>
      </c>
      <c r="L1945" s="55" t="str">
        <f>IF(ISNUMBER(K1945),N(IFERROR(INDEX(eq_pause,MATCH(B1945,eq_code,0)),0))+SUMIFS(st_min,st_date,A1945,st_eq,B1945,st_po,C1945,st_type,"Planifié"),"")</f>
        <v/>
      </c>
      <c r="M1945" s="55" t="str">
        <f>IF(ISNUMBER(K1945),K1945-L1945,"")</f>
        <v/>
      </c>
      <c r="N1945" s="55" t="str">
        <f>IF(ISNUMBER(K1945),SUMIFS(st_min,st_date,A1945,st_eq,B1945,st_po,C1945,st_type,"Non planifié"),"")</f>
        <v/>
      </c>
      <c r="O1945" s="55" t="str">
        <f>IF(ISNUMBER(K1945),M1945-N1945,"")</f>
        <v/>
      </c>
      <c r="P1945" s="55" t="str">
        <f>IF(COUNTA(A1945:I1945)=0,"",N(G1945)+N(H1945)+N(I1945))</f>
        <v/>
      </c>
      <c r="Q1945" s="56" t="str">
        <f>IF(COUNTA(A1945:I1945)=0,"",IF(N(IFERROR(INDEX(art_rate,MATCH(E1945,art_ref,0)),0))&gt;0,N(IFERROR(INDEX(art_rate,MATCH(E1945,art_ref,0)),0)),N(IFERROR(INDEX(po_rate,MATCH(C1945,po_code,0)),0))))</f>
        <v/>
      </c>
      <c r="R1945" s="55" t="str">
        <f>IF(AC1945=1,P1945*60/Q1945,"")</f>
        <v/>
      </c>
      <c r="S1945" s="55" t="str">
        <f>IF(AC1945=1,N(G1945)*60/Q1945,"")</f>
        <v/>
      </c>
      <c r="T1945" s="57" t="str">
        <f>IF(AC1945=1,O1945/M1945,"")</f>
        <v/>
      </c>
      <c r="U1945" s="57" t="str">
        <f>IF(AC1945=1,IF(O1945&gt;0,R1945/O1945,""),"")</f>
        <v/>
      </c>
      <c r="V1945" s="57" t="str">
        <f>IF(AC1945=1,IF(P1945&gt;0,N(G1945)/P1945,""),"")</f>
        <v/>
      </c>
      <c r="W1945" s="57" t="str">
        <f>IF(AC1945=1,S1945/M1945,"")</f>
        <v/>
      </c>
      <c r="X1945" s="57" t="str">
        <f>IF(AC1945=1,S1945/K1945,"")</f>
        <v/>
      </c>
      <c r="Y1945" s="58" t="str">
        <f>IF(W1945="","",IF(W1945&gt;=p_target,"Bon",IF(W1945&gt;=p_alert,"À surveiller","Faible")))</f>
        <v/>
      </c>
      <c r="Z1945" s="58" t="str">
        <f>IF(W1945="","",IF(MIN(IF(T1945="",1,T1945),IF(U1945="",1,U1945),IF(V1945="",1,V1945))&gt;=1,"Aucune",IF(IF(T1945="",1,T1945)&lt;=MIN(IF(U1945="",1,U1945),IF(V1945="",1,V1945)),"Disponibilité",IF(IF(U1945="",1,U1945)&lt;=IF(V1945="",1,V1945),"Performance","Qualité"))))</f>
        <v/>
      </c>
      <c r="AA1945" s="59" t="str">
        <f>IF(AC1945=1,N(H1945)*N(IFERROR(INDEX(art_cost,MATCH(E1945,art_ref,0)),0)),"")</f>
        <v/>
      </c>
      <c r="AB1945" s="58" t="str">
        <f>IF(COUNTA(A1945:I1945)=0,"",IF(N(A1945)&lt;=0,"Date manquante ou invalide",IF(B1945="","Équipe manquante",IF(ISNA(MATCH(B1945,eq_code,0)),"Équipe inconnue",IF(INDEX(eq_check,MATCH(B1945,eq_code,0))&lt;&gt;"OK","Équipe à corriger dans Paramètres",IF(C1945="","Poste manquant",IF(ISNA(MATCH(C1945,po_code,0)),"Poste inconnu",IF(AND(E1945&lt;&gt;"",ISNA(MATCH(E1945,art_ref,0))),"Article inconnu",IF(IF(E1945="",FALSE,INDEX(art_check,MATCH(E1945,art_ref,0))&lt;&gt;"OK"),"Article à corriger (feuille Articles)",IF(COUNTIFS(sj_date,A1945,sj_eq,B1945,sj_po,C1945)&gt;1,"Ligne en double (même jour, équipe et poste)",IF(OR(NOT(ISNUMBER(K1945)),N(K1945)&lt;=0,N(K1945)&gt;1440),"Temps d'ouverture invalide",IF(OR(AND(G1945&lt;&gt;"",NOT(ISNUMBER(G1945))),N(G1945)&lt;0,N(G1945)&lt;&gt;INT(N(G1945)),AND(H1945&lt;&gt;"",NOT(ISNUMBER(H1945))),N(H1945)&lt;0,N(H1945)&lt;&gt;INT(N(H1945)),AND(I1945&lt;&gt;"",NOT(ISNUMBER(I1945))),N(I1945)&lt;0,N(I1945)&lt;&gt;INT(N(I1945))),"Quantité invalide",IF(Q1945&lt;=0,"Cadence manquante (poste ou article)",IF(M1945&lt;=0,"Arrêts planifiés supérieurs au temps d'ouverture",IF(O1945&lt;0,"Arrêts supérieurs au temps requis",IF(AND(P1945&gt;0,O1945=0),"Pièces déclarées sans temps de marche",IF(AND(P1945=0,O1945&gt;0),"Aucune pièce déclarée",IF(P1945*60/Q1945&gt;O1945+0.001,"Cadence dépassée : vérifiez la cadence","OK"))))))))))))))))))</f>
        <v/>
      </c>
      <c r="AC1945">
        <f>IF(OR(AB1945="OK",AB1945="Aucune pièce déclarée",AB1945="Cadence dépassée : vérifiez la cadence"),1,0)</f>
        <v>0.0</v>
      </c>
      <c r="AD1945">
        <f>IF(AND(AC1945=1,A1945&gt;=p_from,A1945&lt;=p_to),1,0)</f>
        <v>0.0</v>
      </c>
      <c r="AE1945">
        <f>IF(AD1945=1,IF(COUNTIFS($A$6:A1945,A1945,$AD$6:AD1945,1)=1,1,0),0)</f>
        <v>0.0</v>
      </c>
      <c r="AF1945" t="str">
        <f>IF(AE1945=1,COUNTIFS(sj_first,1,sj_date,"&lt;"&amp;A1945)+1,"")</f>
        <v/>
      </c>
      <c r="AG1945" t="str">
        <f>IF(AND(AD1945=1,N(W1945)&lt;p_alert),ROUND(W1945,4),"")</f>
        <v/>
      </c>
      <c r="AH1945" t="str">
        <f>IF(AG1945="","",COUNTIF(sj_akey,"&lt;"&amp;AG1945)+COUNTIF($AG$6:AG1945,AG1945))</f>
        <v/>
      </c>
    </row>
    <row r="1946">
      <c r="A1946" s="51" t="n"/>
      <c r="B1946" s="52" t="n"/>
      <c r="C1946" s="52" t="n"/>
      <c r="D1946" s="53" t="n"/>
      <c r="E1946" s="53" t="n"/>
      <c r="F1946" s="54" t="n"/>
      <c r="G1946" s="54" t="n"/>
      <c r="H1946" s="54" t="n"/>
      <c r="I1946" s="54" t="n"/>
      <c r="J1946" s="53" t="n"/>
      <c r="K1946" s="55" t="str">
        <f>IF(COUNTA(A1946:I1946)=0,"",IF(F1946="",IFERROR(INDEX(eq_dur,MATCH(B1946,eq_code,0)),""),F1946))</f>
        <v/>
      </c>
      <c r="L1946" s="55" t="str">
        <f>IF(ISNUMBER(K1946),N(IFERROR(INDEX(eq_pause,MATCH(B1946,eq_code,0)),0))+SUMIFS(st_min,st_date,A1946,st_eq,B1946,st_po,C1946,st_type,"Planifié"),"")</f>
        <v/>
      </c>
      <c r="M1946" s="55" t="str">
        <f>IF(ISNUMBER(K1946),K1946-L1946,"")</f>
        <v/>
      </c>
      <c r="N1946" s="55" t="str">
        <f>IF(ISNUMBER(K1946),SUMIFS(st_min,st_date,A1946,st_eq,B1946,st_po,C1946,st_type,"Non planifié"),"")</f>
        <v/>
      </c>
      <c r="O1946" s="55" t="str">
        <f>IF(ISNUMBER(K1946),M1946-N1946,"")</f>
        <v/>
      </c>
      <c r="P1946" s="55" t="str">
        <f>IF(COUNTA(A1946:I1946)=0,"",N(G1946)+N(H1946)+N(I1946))</f>
        <v/>
      </c>
      <c r="Q1946" s="56" t="str">
        <f>IF(COUNTA(A1946:I1946)=0,"",IF(N(IFERROR(INDEX(art_rate,MATCH(E1946,art_ref,0)),0))&gt;0,N(IFERROR(INDEX(art_rate,MATCH(E1946,art_ref,0)),0)),N(IFERROR(INDEX(po_rate,MATCH(C1946,po_code,0)),0))))</f>
        <v/>
      </c>
      <c r="R1946" s="55" t="str">
        <f>IF(AC1946=1,P1946*60/Q1946,"")</f>
        <v/>
      </c>
      <c r="S1946" s="55" t="str">
        <f>IF(AC1946=1,N(G1946)*60/Q1946,"")</f>
        <v/>
      </c>
      <c r="T1946" s="57" t="str">
        <f>IF(AC1946=1,O1946/M1946,"")</f>
        <v/>
      </c>
      <c r="U1946" s="57" t="str">
        <f>IF(AC1946=1,IF(O1946&gt;0,R1946/O1946,""),"")</f>
        <v/>
      </c>
      <c r="V1946" s="57" t="str">
        <f>IF(AC1946=1,IF(P1946&gt;0,N(G1946)/P1946,""),"")</f>
        <v/>
      </c>
      <c r="W1946" s="57" t="str">
        <f>IF(AC1946=1,S1946/M1946,"")</f>
        <v/>
      </c>
      <c r="X1946" s="57" t="str">
        <f>IF(AC1946=1,S1946/K1946,"")</f>
        <v/>
      </c>
      <c r="Y1946" s="58" t="str">
        <f>IF(W1946="","",IF(W1946&gt;=p_target,"Bon",IF(W1946&gt;=p_alert,"À surveiller","Faible")))</f>
        <v/>
      </c>
      <c r="Z1946" s="58" t="str">
        <f>IF(W1946="","",IF(MIN(IF(T1946="",1,T1946),IF(U1946="",1,U1946),IF(V1946="",1,V1946))&gt;=1,"Aucune",IF(IF(T1946="",1,T1946)&lt;=MIN(IF(U1946="",1,U1946),IF(V1946="",1,V1946)),"Disponibilité",IF(IF(U1946="",1,U1946)&lt;=IF(V1946="",1,V1946),"Performance","Qualité"))))</f>
        <v/>
      </c>
      <c r="AA1946" s="59" t="str">
        <f>IF(AC1946=1,N(H1946)*N(IFERROR(INDEX(art_cost,MATCH(E1946,art_ref,0)),0)),"")</f>
        <v/>
      </c>
      <c r="AB1946" s="58" t="str">
        <f>IF(COUNTA(A1946:I1946)=0,"",IF(N(A1946)&lt;=0,"Date manquante ou invalide",IF(B1946="","Équipe manquante",IF(ISNA(MATCH(B1946,eq_code,0)),"Équipe inconnue",IF(INDEX(eq_check,MATCH(B1946,eq_code,0))&lt;&gt;"OK","Équipe à corriger dans Paramètres",IF(C1946="","Poste manquant",IF(ISNA(MATCH(C1946,po_code,0)),"Poste inconnu",IF(AND(E1946&lt;&gt;"",ISNA(MATCH(E1946,art_ref,0))),"Article inconnu",IF(IF(E1946="",FALSE,INDEX(art_check,MATCH(E1946,art_ref,0))&lt;&gt;"OK"),"Article à corriger (feuille Articles)",IF(COUNTIFS(sj_date,A1946,sj_eq,B1946,sj_po,C1946)&gt;1,"Ligne en double (même jour, équipe et poste)",IF(OR(NOT(ISNUMBER(K1946)),N(K1946)&lt;=0,N(K1946)&gt;1440),"Temps d'ouverture invalide",IF(OR(AND(G1946&lt;&gt;"",NOT(ISNUMBER(G1946))),N(G1946)&lt;0,N(G1946)&lt;&gt;INT(N(G1946)),AND(H1946&lt;&gt;"",NOT(ISNUMBER(H1946))),N(H1946)&lt;0,N(H1946)&lt;&gt;INT(N(H1946)),AND(I1946&lt;&gt;"",NOT(ISNUMBER(I1946))),N(I1946)&lt;0,N(I1946)&lt;&gt;INT(N(I1946))),"Quantité invalide",IF(Q1946&lt;=0,"Cadence manquante (poste ou article)",IF(M1946&lt;=0,"Arrêts planifiés supérieurs au temps d'ouverture",IF(O1946&lt;0,"Arrêts supérieurs au temps requis",IF(AND(P1946&gt;0,O1946=0),"Pièces déclarées sans temps de marche",IF(AND(P1946=0,O1946&gt;0),"Aucune pièce déclarée",IF(P1946*60/Q1946&gt;O1946+0.001,"Cadence dépassée : vérifiez la cadence","OK"))))))))))))))))))</f>
        <v/>
      </c>
      <c r="AC1946">
        <f>IF(OR(AB1946="OK",AB1946="Aucune pièce déclarée",AB1946="Cadence dépassée : vérifiez la cadence"),1,0)</f>
        <v>0.0</v>
      </c>
      <c r="AD1946">
        <f>IF(AND(AC1946=1,A1946&gt;=p_from,A1946&lt;=p_to),1,0)</f>
        <v>0.0</v>
      </c>
      <c r="AE1946">
        <f>IF(AD1946=1,IF(COUNTIFS($A$6:A1946,A1946,$AD$6:AD1946,1)=1,1,0),0)</f>
        <v>0.0</v>
      </c>
      <c r="AF1946" t="str">
        <f>IF(AE1946=1,COUNTIFS(sj_first,1,sj_date,"&lt;"&amp;A1946)+1,"")</f>
        <v/>
      </c>
      <c r="AG1946" t="str">
        <f>IF(AND(AD1946=1,N(W1946)&lt;p_alert),ROUND(W1946,4),"")</f>
        <v/>
      </c>
      <c r="AH1946" t="str">
        <f>IF(AG1946="","",COUNTIF(sj_akey,"&lt;"&amp;AG1946)+COUNTIF($AG$6:AG1946,AG1946))</f>
        <v/>
      </c>
    </row>
    <row r="1947">
      <c r="A1947" s="51" t="n"/>
      <c r="B1947" s="52" t="n"/>
      <c r="C1947" s="52" t="n"/>
      <c r="D1947" s="53" t="n"/>
      <c r="E1947" s="53" t="n"/>
      <c r="F1947" s="54" t="n"/>
      <c r="G1947" s="54" t="n"/>
      <c r="H1947" s="54" t="n"/>
      <c r="I1947" s="54" t="n"/>
      <c r="J1947" s="53" t="n"/>
      <c r="K1947" s="55" t="str">
        <f>IF(COUNTA(A1947:I1947)=0,"",IF(F1947="",IFERROR(INDEX(eq_dur,MATCH(B1947,eq_code,0)),""),F1947))</f>
        <v/>
      </c>
      <c r="L1947" s="55" t="str">
        <f>IF(ISNUMBER(K1947),N(IFERROR(INDEX(eq_pause,MATCH(B1947,eq_code,0)),0))+SUMIFS(st_min,st_date,A1947,st_eq,B1947,st_po,C1947,st_type,"Planifié"),"")</f>
        <v/>
      </c>
      <c r="M1947" s="55" t="str">
        <f>IF(ISNUMBER(K1947),K1947-L1947,"")</f>
        <v/>
      </c>
      <c r="N1947" s="55" t="str">
        <f>IF(ISNUMBER(K1947),SUMIFS(st_min,st_date,A1947,st_eq,B1947,st_po,C1947,st_type,"Non planifié"),"")</f>
        <v/>
      </c>
      <c r="O1947" s="55" t="str">
        <f>IF(ISNUMBER(K1947),M1947-N1947,"")</f>
        <v/>
      </c>
      <c r="P1947" s="55" t="str">
        <f>IF(COUNTA(A1947:I1947)=0,"",N(G1947)+N(H1947)+N(I1947))</f>
        <v/>
      </c>
      <c r="Q1947" s="56" t="str">
        <f>IF(COUNTA(A1947:I1947)=0,"",IF(N(IFERROR(INDEX(art_rate,MATCH(E1947,art_ref,0)),0))&gt;0,N(IFERROR(INDEX(art_rate,MATCH(E1947,art_ref,0)),0)),N(IFERROR(INDEX(po_rate,MATCH(C1947,po_code,0)),0))))</f>
        <v/>
      </c>
      <c r="R1947" s="55" t="str">
        <f>IF(AC1947=1,P1947*60/Q1947,"")</f>
        <v/>
      </c>
      <c r="S1947" s="55" t="str">
        <f>IF(AC1947=1,N(G1947)*60/Q1947,"")</f>
        <v/>
      </c>
      <c r="T1947" s="57" t="str">
        <f>IF(AC1947=1,O1947/M1947,"")</f>
        <v/>
      </c>
      <c r="U1947" s="57" t="str">
        <f>IF(AC1947=1,IF(O1947&gt;0,R1947/O1947,""),"")</f>
        <v/>
      </c>
      <c r="V1947" s="57" t="str">
        <f>IF(AC1947=1,IF(P1947&gt;0,N(G1947)/P1947,""),"")</f>
        <v/>
      </c>
      <c r="W1947" s="57" t="str">
        <f>IF(AC1947=1,S1947/M1947,"")</f>
        <v/>
      </c>
      <c r="X1947" s="57" t="str">
        <f>IF(AC1947=1,S1947/K1947,"")</f>
        <v/>
      </c>
      <c r="Y1947" s="58" t="str">
        <f>IF(W1947="","",IF(W1947&gt;=p_target,"Bon",IF(W1947&gt;=p_alert,"À surveiller","Faible")))</f>
        <v/>
      </c>
      <c r="Z1947" s="58" t="str">
        <f>IF(W1947="","",IF(MIN(IF(T1947="",1,T1947),IF(U1947="",1,U1947),IF(V1947="",1,V1947))&gt;=1,"Aucune",IF(IF(T1947="",1,T1947)&lt;=MIN(IF(U1947="",1,U1947),IF(V1947="",1,V1947)),"Disponibilité",IF(IF(U1947="",1,U1947)&lt;=IF(V1947="",1,V1947),"Performance","Qualité"))))</f>
        <v/>
      </c>
      <c r="AA1947" s="59" t="str">
        <f>IF(AC1947=1,N(H1947)*N(IFERROR(INDEX(art_cost,MATCH(E1947,art_ref,0)),0)),"")</f>
        <v/>
      </c>
      <c r="AB1947" s="58" t="str">
        <f>IF(COUNTA(A1947:I1947)=0,"",IF(N(A1947)&lt;=0,"Date manquante ou invalide",IF(B1947="","Équipe manquante",IF(ISNA(MATCH(B1947,eq_code,0)),"Équipe inconnue",IF(INDEX(eq_check,MATCH(B1947,eq_code,0))&lt;&gt;"OK","Équipe à corriger dans Paramètres",IF(C1947="","Poste manquant",IF(ISNA(MATCH(C1947,po_code,0)),"Poste inconnu",IF(AND(E1947&lt;&gt;"",ISNA(MATCH(E1947,art_ref,0))),"Article inconnu",IF(IF(E1947="",FALSE,INDEX(art_check,MATCH(E1947,art_ref,0))&lt;&gt;"OK"),"Article à corriger (feuille Articles)",IF(COUNTIFS(sj_date,A1947,sj_eq,B1947,sj_po,C1947)&gt;1,"Ligne en double (même jour, équipe et poste)",IF(OR(NOT(ISNUMBER(K1947)),N(K1947)&lt;=0,N(K1947)&gt;1440),"Temps d'ouverture invalide",IF(OR(AND(G1947&lt;&gt;"",NOT(ISNUMBER(G1947))),N(G1947)&lt;0,N(G1947)&lt;&gt;INT(N(G1947)),AND(H1947&lt;&gt;"",NOT(ISNUMBER(H1947))),N(H1947)&lt;0,N(H1947)&lt;&gt;INT(N(H1947)),AND(I1947&lt;&gt;"",NOT(ISNUMBER(I1947))),N(I1947)&lt;0,N(I1947)&lt;&gt;INT(N(I1947))),"Quantité invalide",IF(Q1947&lt;=0,"Cadence manquante (poste ou article)",IF(M1947&lt;=0,"Arrêts planifiés supérieurs au temps d'ouverture",IF(O1947&lt;0,"Arrêts supérieurs au temps requis",IF(AND(P1947&gt;0,O1947=0),"Pièces déclarées sans temps de marche",IF(AND(P1947=0,O1947&gt;0),"Aucune pièce déclarée",IF(P1947*60/Q1947&gt;O1947+0.001,"Cadence dépassée : vérifiez la cadence","OK"))))))))))))))))))</f>
        <v/>
      </c>
      <c r="AC1947">
        <f>IF(OR(AB1947="OK",AB1947="Aucune pièce déclarée",AB1947="Cadence dépassée : vérifiez la cadence"),1,0)</f>
        <v>0.0</v>
      </c>
      <c r="AD1947">
        <f>IF(AND(AC1947=1,A1947&gt;=p_from,A1947&lt;=p_to),1,0)</f>
        <v>0.0</v>
      </c>
      <c r="AE1947">
        <f>IF(AD1947=1,IF(COUNTIFS($A$6:A1947,A1947,$AD$6:AD1947,1)=1,1,0),0)</f>
        <v>0.0</v>
      </c>
      <c r="AF1947" t="str">
        <f>IF(AE1947=1,COUNTIFS(sj_first,1,sj_date,"&lt;"&amp;A1947)+1,"")</f>
        <v/>
      </c>
      <c r="AG1947" t="str">
        <f>IF(AND(AD1947=1,N(W1947)&lt;p_alert),ROUND(W1947,4),"")</f>
        <v/>
      </c>
      <c r="AH1947" t="str">
        <f>IF(AG1947="","",COUNTIF(sj_akey,"&lt;"&amp;AG1947)+COUNTIF($AG$6:AG1947,AG1947))</f>
        <v/>
      </c>
    </row>
    <row r="1948">
      <c r="A1948" s="51" t="n"/>
      <c r="B1948" s="52" t="n"/>
      <c r="C1948" s="52" t="n"/>
      <c r="D1948" s="53" t="n"/>
      <c r="E1948" s="53" t="n"/>
      <c r="F1948" s="54" t="n"/>
      <c r="G1948" s="54" t="n"/>
      <c r="H1948" s="54" t="n"/>
      <c r="I1948" s="54" t="n"/>
      <c r="J1948" s="53" t="n"/>
      <c r="K1948" s="55" t="str">
        <f>IF(COUNTA(A1948:I1948)=0,"",IF(F1948="",IFERROR(INDEX(eq_dur,MATCH(B1948,eq_code,0)),""),F1948))</f>
        <v/>
      </c>
      <c r="L1948" s="55" t="str">
        <f>IF(ISNUMBER(K1948),N(IFERROR(INDEX(eq_pause,MATCH(B1948,eq_code,0)),0))+SUMIFS(st_min,st_date,A1948,st_eq,B1948,st_po,C1948,st_type,"Planifié"),"")</f>
        <v/>
      </c>
      <c r="M1948" s="55" t="str">
        <f>IF(ISNUMBER(K1948),K1948-L1948,"")</f>
        <v/>
      </c>
      <c r="N1948" s="55" t="str">
        <f>IF(ISNUMBER(K1948),SUMIFS(st_min,st_date,A1948,st_eq,B1948,st_po,C1948,st_type,"Non planifié"),"")</f>
        <v/>
      </c>
      <c r="O1948" s="55" t="str">
        <f>IF(ISNUMBER(K1948),M1948-N1948,"")</f>
        <v/>
      </c>
      <c r="P1948" s="55" t="str">
        <f>IF(COUNTA(A1948:I1948)=0,"",N(G1948)+N(H1948)+N(I1948))</f>
        <v/>
      </c>
      <c r="Q1948" s="56" t="str">
        <f>IF(COUNTA(A1948:I1948)=0,"",IF(N(IFERROR(INDEX(art_rate,MATCH(E1948,art_ref,0)),0))&gt;0,N(IFERROR(INDEX(art_rate,MATCH(E1948,art_ref,0)),0)),N(IFERROR(INDEX(po_rate,MATCH(C1948,po_code,0)),0))))</f>
        <v/>
      </c>
      <c r="R1948" s="55" t="str">
        <f>IF(AC1948=1,P1948*60/Q1948,"")</f>
        <v/>
      </c>
      <c r="S1948" s="55" t="str">
        <f>IF(AC1948=1,N(G1948)*60/Q1948,"")</f>
        <v/>
      </c>
      <c r="T1948" s="57" t="str">
        <f>IF(AC1948=1,O1948/M1948,"")</f>
        <v/>
      </c>
      <c r="U1948" s="57" t="str">
        <f>IF(AC1948=1,IF(O1948&gt;0,R1948/O1948,""),"")</f>
        <v/>
      </c>
      <c r="V1948" s="57" t="str">
        <f>IF(AC1948=1,IF(P1948&gt;0,N(G1948)/P1948,""),"")</f>
        <v/>
      </c>
      <c r="W1948" s="57" t="str">
        <f>IF(AC1948=1,S1948/M1948,"")</f>
        <v/>
      </c>
      <c r="X1948" s="57" t="str">
        <f>IF(AC1948=1,S1948/K1948,"")</f>
        <v/>
      </c>
      <c r="Y1948" s="58" t="str">
        <f>IF(W1948="","",IF(W1948&gt;=p_target,"Bon",IF(W1948&gt;=p_alert,"À surveiller","Faible")))</f>
        <v/>
      </c>
      <c r="Z1948" s="58" t="str">
        <f>IF(W1948="","",IF(MIN(IF(T1948="",1,T1948),IF(U1948="",1,U1948),IF(V1948="",1,V1948))&gt;=1,"Aucune",IF(IF(T1948="",1,T1948)&lt;=MIN(IF(U1948="",1,U1948),IF(V1948="",1,V1948)),"Disponibilité",IF(IF(U1948="",1,U1948)&lt;=IF(V1948="",1,V1948),"Performance","Qualité"))))</f>
        <v/>
      </c>
      <c r="AA1948" s="59" t="str">
        <f>IF(AC1948=1,N(H1948)*N(IFERROR(INDEX(art_cost,MATCH(E1948,art_ref,0)),0)),"")</f>
        <v/>
      </c>
      <c r="AB1948" s="58" t="str">
        <f>IF(COUNTA(A1948:I1948)=0,"",IF(N(A1948)&lt;=0,"Date manquante ou invalide",IF(B1948="","Équipe manquante",IF(ISNA(MATCH(B1948,eq_code,0)),"Équipe inconnue",IF(INDEX(eq_check,MATCH(B1948,eq_code,0))&lt;&gt;"OK","Équipe à corriger dans Paramètres",IF(C1948="","Poste manquant",IF(ISNA(MATCH(C1948,po_code,0)),"Poste inconnu",IF(AND(E1948&lt;&gt;"",ISNA(MATCH(E1948,art_ref,0))),"Article inconnu",IF(IF(E1948="",FALSE,INDEX(art_check,MATCH(E1948,art_ref,0))&lt;&gt;"OK"),"Article à corriger (feuille Articles)",IF(COUNTIFS(sj_date,A1948,sj_eq,B1948,sj_po,C1948)&gt;1,"Ligne en double (même jour, équipe et poste)",IF(OR(NOT(ISNUMBER(K1948)),N(K1948)&lt;=0,N(K1948)&gt;1440),"Temps d'ouverture invalide",IF(OR(AND(G1948&lt;&gt;"",NOT(ISNUMBER(G1948))),N(G1948)&lt;0,N(G1948)&lt;&gt;INT(N(G1948)),AND(H1948&lt;&gt;"",NOT(ISNUMBER(H1948))),N(H1948)&lt;0,N(H1948)&lt;&gt;INT(N(H1948)),AND(I1948&lt;&gt;"",NOT(ISNUMBER(I1948))),N(I1948)&lt;0,N(I1948)&lt;&gt;INT(N(I1948))),"Quantité invalide",IF(Q1948&lt;=0,"Cadence manquante (poste ou article)",IF(M1948&lt;=0,"Arrêts planifiés supérieurs au temps d'ouverture",IF(O1948&lt;0,"Arrêts supérieurs au temps requis",IF(AND(P1948&gt;0,O1948=0),"Pièces déclarées sans temps de marche",IF(AND(P1948=0,O1948&gt;0),"Aucune pièce déclarée",IF(P1948*60/Q1948&gt;O1948+0.001,"Cadence dépassée : vérifiez la cadence","OK"))))))))))))))))))</f>
        <v/>
      </c>
      <c r="AC1948">
        <f>IF(OR(AB1948="OK",AB1948="Aucune pièce déclarée",AB1948="Cadence dépassée : vérifiez la cadence"),1,0)</f>
        <v>0.0</v>
      </c>
      <c r="AD1948">
        <f>IF(AND(AC1948=1,A1948&gt;=p_from,A1948&lt;=p_to),1,0)</f>
        <v>0.0</v>
      </c>
      <c r="AE1948">
        <f>IF(AD1948=1,IF(COUNTIFS($A$6:A1948,A1948,$AD$6:AD1948,1)=1,1,0),0)</f>
        <v>0.0</v>
      </c>
      <c r="AF1948" t="str">
        <f>IF(AE1948=1,COUNTIFS(sj_first,1,sj_date,"&lt;"&amp;A1948)+1,"")</f>
        <v/>
      </c>
      <c r="AG1948" t="str">
        <f>IF(AND(AD1948=1,N(W1948)&lt;p_alert),ROUND(W1948,4),"")</f>
        <v/>
      </c>
      <c r="AH1948" t="str">
        <f>IF(AG1948="","",COUNTIF(sj_akey,"&lt;"&amp;AG1948)+COUNTIF($AG$6:AG1948,AG1948))</f>
        <v/>
      </c>
    </row>
    <row r="1949">
      <c r="A1949" s="51" t="n"/>
      <c r="B1949" s="52" t="n"/>
      <c r="C1949" s="52" t="n"/>
      <c r="D1949" s="53" t="n"/>
      <c r="E1949" s="53" t="n"/>
      <c r="F1949" s="54" t="n"/>
      <c r="G1949" s="54" t="n"/>
      <c r="H1949" s="54" t="n"/>
      <c r="I1949" s="54" t="n"/>
      <c r="J1949" s="53" t="n"/>
      <c r="K1949" s="55" t="str">
        <f>IF(COUNTA(A1949:I1949)=0,"",IF(F1949="",IFERROR(INDEX(eq_dur,MATCH(B1949,eq_code,0)),""),F1949))</f>
        <v/>
      </c>
      <c r="L1949" s="55" t="str">
        <f>IF(ISNUMBER(K1949),N(IFERROR(INDEX(eq_pause,MATCH(B1949,eq_code,0)),0))+SUMIFS(st_min,st_date,A1949,st_eq,B1949,st_po,C1949,st_type,"Planifié"),"")</f>
        <v/>
      </c>
      <c r="M1949" s="55" t="str">
        <f>IF(ISNUMBER(K1949),K1949-L1949,"")</f>
        <v/>
      </c>
      <c r="N1949" s="55" t="str">
        <f>IF(ISNUMBER(K1949),SUMIFS(st_min,st_date,A1949,st_eq,B1949,st_po,C1949,st_type,"Non planifié"),"")</f>
        <v/>
      </c>
      <c r="O1949" s="55" t="str">
        <f>IF(ISNUMBER(K1949),M1949-N1949,"")</f>
        <v/>
      </c>
      <c r="P1949" s="55" t="str">
        <f>IF(COUNTA(A1949:I1949)=0,"",N(G1949)+N(H1949)+N(I1949))</f>
        <v/>
      </c>
      <c r="Q1949" s="56" t="str">
        <f>IF(COUNTA(A1949:I1949)=0,"",IF(N(IFERROR(INDEX(art_rate,MATCH(E1949,art_ref,0)),0))&gt;0,N(IFERROR(INDEX(art_rate,MATCH(E1949,art_ref,0)),0)),N(IFERROR(INDEX(po_rate,MATCH(C1949,po_code,0)),0))))</f>
        <v/>
      </c>
      <c r="R1949" s="55" t="str">
        <f>IF(AC1949=1,P1949*60/Q1949,"")</f>
        <v/>
      </c>
      <c r="S1949" s="55" t="str">
        <f>IF(AC1949=1,N(G1949)*60/Q1949,"")</f>
        <v/>
      </c>
      <c r="T1949" s="57" t="str">
        <f>IF(AC1949=1,O1949/M1949,"")</f>
        <v/>
      </c>
      <c r="U1949" s="57" t="str">
        <f>IF(AC1949=1,IF(O1949&gt;0,R1949/O1949,""),"")</f>
        <v/>
      </c>
      <c r="V1949" s="57" t="str">
        <f>IF(AC1949=1,IF(P1949&gt;0,N(G1949)/P1949,""),"")</f>
        <v/>
      </c>
      <c r="W1949" s="57" t="str">
        <f>IF(AC1949=1,S1949/M1949,"")</f>
        <v/>
      </c>
      <c r="X1949" s="57" t="str">
        <f>IF(AC1949=1,S1949/K1949,"")</f>
        <v/>
      </c>
      <c r="Y1949" s="58" t="str">
        <f>IF(W1949="","",IF(W1949&gt;=p_target,"Bon",IF(W1949&gt;=p_alert,"À surveiller","Faible")))</f>
        <v/>
      </c>
      <c r="Z1949" s="58" t="str">
        <f>IF(W1949="","",IF(MIN(IF(T1949="",1,T1949),IF(U1949="",1,U1949),IF(V1949="",1,V1949))&gt;=1,"Aucune",IF(IF(T1949="",1,T1949)&lt;=MIN(IF(U1949="",1,U1949),IF(V1949="",1,V1949)),"Disponibilité",IF(IF(U1949="",1,U1949)&lt;=IF(V1949="",1,V1949),"Performance","Qualité"))))</f>
        <v/>
      </c>
      <c r="AA1949" s="59" t="str">
        <f>IF(AC1949=1,N(H1949)*N(IFERROR(INDEX(art_cost,MATCH(E1949,art_ref,0)),0)),"")</f>
        <v/>
      </c>
      <c r="AB1949" s="58" t="str">
        <f>IF(COUNTA(A1949:I1949)=0,"",IF(N(A1949)&lt;=0,"Date manquante ou invalide",IF(B1949="","Équipe manquante",IF(ISNA(MATCH(B1949,eq_code,0)),"Équipe inconnue",IF(INDEX(eq_check,MATCH(B1949,eq_code,0))&lt;&gt;"OK","Équipe à corriger dans Paramètres",IF(C1949="","Poste manquant",IF(ISNA(MATCH(C1949,po_code,0)),"Poste inconnu",IF(AND(E1949&lt;&gt;"",ISNA(MATCH(E1949,art_ref,0))),"Article inconnu",IF(IF(E1949="",FALSE,INDEX(art_check,MATCH(E1949,art_ref,0))&lt;&gt;"OK"),"Article à corriger (feuille Articles)",IF(COUNTIFS(sj_date,A1949,sj_eq,B1949,sj_po,C1949)&gt;1,"Ligne en double (même jour, équipe et poste)",IF(OR(NOT(ISNUMBER(K1949)),N(K1949)&lt;=0,N(K1949)&gt;1440),"Temps d'ouverture invalide",IF(OR(AND(G1949&lt;&gt;"",NOT(ISNUMBER(G1949))),N(G1949)&lt;0,N(G1949)&lt;&gt;INT(N(G1949)),AND(H1949&lt;&gt;"",NOT(ISNUMBER(H1949))),N(H1949)&lt;0,N(H1949)&lt;&gt;INT(N(H1949)),AND(I1949&lt;&gt;"",NOT(ISNUMBER(I1949))),N(I1949)&lt;0,N(I1949)&lt;&gt;INT(N(I1949))),"Quantité invalide",IF(Q1949&lt;=0,"Cadence manquante (poste ou article)",IF(M1949&lt;=0,"Arrêts planifiés supérieurs au temps d'ouverture",IF(O1949&lt;0,"Arrêts supérieurs au temps requis",IF(AND(P1949&gt;0,O1949=0),"Pièces déclarées sans temps de marche",IF(AND(P1949=0,O1949&gt;0),"Aucune pièce déclarée",IF(P1949*60/Q1949&gt;O1949+0.001,"Cadence dépassée : vérifiez la cadence","OK"))))))))))))))))))</f>
        <v/>
      </c>
      <c r="AC1949">
        <f>IF(OR(AB1949="OK",AB1949="Aucune pièce déclarée",AB1949="Cadence dépassée : vérifiez la cadence"),1,0)</f>
        <v>0.0</v>
      </c>
      <c r="AD1949">
        <f>IF(AND(AC1949=1,A1949&gt;=p_from,A1949&lt;=p_to),1,0)</f>
        <v>0.0</v>
      </c>
      <c r="AE1949">
        <f>IF(AD1949=1,IF(COUNTIFS($A$6:A1949,A1949,$AD$6:AD1949,1)=1,1,0),0)</f>
        <v>0.0</v>
      </c>
      <c r="AF1949" t="str">
        <f>IF(AE1949=1,COUNTIFS(sj_first,1,sj_date,"&lt;"&amp;A1949)+1,"")</f>
        <v/>
      </c>
      <c r="AG1949" t="str">
        <f>IF(AND(AD1949=1,N(W1949)&lt;p_alert),ROUND(W1949,4),"")</f>
        <v/>
      </c>
      <c r="AH1949" t="str">
        <f>IF(AG1949="","",COUNTIF(sj_akey,"&lt;"&amp;AG1949)+COUNTIF($AG$6:AG1949,AG1949))</f>
        <v/>
      </c>
    </row>
    <row r="1950">
      <c r="A1950" s="51" t="n"/>
      <c r="B1950" s="52" t="n"/>
      <c r="C1950" s="52" t="n"/>
      <c r="D1950" s="53" t="n"/>
      <c r="E1950" s="53" t="n"/>
      <c r="F1950" s="54" t="n"/>
      <c r="G1950" s="54" t="n"/>
      <c r="H1950" s="54" t="n"/>
      <c r="I1950" s="54" t="n"/>
      <c r="J1950" s="53" t="n"/>
      <c r="K1950" s="55" t="str">
        <f>IF(COUNTA(A1950:I1950)=0,"",IF(F1950="",IFERROR(INDEX(eq_dur,MATCH(B1950,eq_code,0)),""),F1950))</f>
        <v/>
      </c>
      <c r="L1950" s="55" t="str">
        <f>IF(ISNUMBER(K1950),N(IFERROR(INDEX(eq_pause,MATCH(B1950,eq_code,0)),0))+SUMIFS(st_min,st_date,A1950,st_eq,B1950,st_po,C1950,st_type,"Planifié"),"")</f>
        <v/>
      </c>
      <c r="M1950" s="55" t="str">
        <f>IF(ISNUMBER(K1950),K1950-L1950,"")</f>
        <v/>
      </c>
      <c r="N1950" s="55" t="str">
        <f>IF(ISNUMBER(K1950),SUMIFS(st_min,st_date,A1950,st_eq,B1950,st_po,C1950,st_type,"Non planifié"),"")</f>
        <v/>
      </c>
      <c r="O1950" s="55" t="str">
        <f>IF(ISNUMBER(K1950),M1950-N1950,"")</f>
        <v/>
      </c>
      <c r="P1950" s="55" t="str">
        <f>IF(COUNTA(A1950:I1950)=0,"",N(G1950)+N(H1950)+N(I1950))</f>
        <v/>
      </c>
      <c r="Q1950" s="56" t="str">
        <f>IF(COUNTA(A1950:I1950)=0,"",IF(N(IFERROR(INDEX(art_rate,MATCH(E1950,art_ref,0)),0))&gt;0,N(IFERROR(INDEX(art_rate,MATCH(E1950,art_ref,0)),0)),N(IFERROR(INDEX(po_rate,MATCH(C1950,po_code,0)),0))))</f>
        <v/>
      </c>
      <c r="R1950" s="55" t="str">
        <f>IF(AC1950=1,P1950*60/Q1950,"")</f>
        <v/>
      </c>
      <c r="S1950" s="55" t="str">
        <f>IF(AC1950=1,N(G1950)*60/Q1950,"")</f>
        <v/>
      </c>
      <c r="T1950" s="57" t="str">
        <f>IF(AC1950=1,O1950/M1950,"")</f>
        <v/>
      </c>
      <c r="U1950" s="57" t="str">
        <f>IF(AC1950=1,IF(O1950&gt;0,R1950/O1950,""),"")</f>
        <v/>
      </c>
      <c r="V1950" s="57" t="str">
        <f>IF(AC1950=1,IF(P1950&gt;0,N(G1950)/P1950,""),"")</f>
        <v/>
      </c>
      <c r="W1950" s="57" t="str">
        <f>IF(AC1950=1,S1950/M1950,"")</f>
        <v/>
      </c>
      <c r="X1950" s="57" t="str">
        <f>IF(AC1950=1,S1950/K1950,"")</f>
        <v/>
      </c>
      <c r="Y1950" s="58" t="str">
        <f>IF(W1950="","",IF(W1950&gt;=p_target,"Bon",IF(W1950&gt;=p_alert,"À surveiller","Faible")))</f>
        <v/>
      </c>
      <c r="Z1950" s="58" t="str">
        <f>IF(W1950="","",IF(MIN(IF(T1950="",1,T1950),IF(U1950="",1,U1950),IF(V1950="",1,V1950))&gt;=1,"Aucune",IF(IF(T1950="",1,T1950)&lt;=MIN(IF(U1950="",1,U1950),IF(V1950="",1,V1950)),"Disponibilité",IF(IF(U1950="",1,U1950)&lt;=IF(V1950="",1,V1950),"Performance","Qualité"))))</f>
        <v/>
      </c>
      <c r="AA1950" s="59" t="str">
        <f>IF(AC1950=1,N(H1950)*N(IFERROR(INDEX(art_cost,MATCH(E1950,art_ref,0)),0)),"")</f>
        <v/>
      </c>
      <c r="AB1950" s="58" t="str">
        <f>IF(COUNTA(A1950:I1950)=0,"",IF(N(A1950)&lt;=0,"Date manquante ou invalide",IF(B1950="","Équipe manquante",IF(ISNA(MATCH(B1950,eq_code,0)),"Équipe inconnue",IF(INDEX(eq_check,MATCH(B1950,eq_code,0))&lt;&gt;"OK","Équipe à corriger dans Paramètres",IF(C1950="","Poste manquant",IF(ISNA(MATCH(C1950,po_code,0)),"Poste inconnu",IF(AND(E1950&lt;&gt;"",ISNA(MATCH(E1950,art_ref,0))),"Article inconnu",IF(IF(E1950="",FALSE,INDEX(art_check,MATCH(E1950,art_ref,0))&lt;&gt;"OK"),"Article à corriger (feuille Articles)",IF(COUNTIFS(sj_date,A1950,sj_eq,B1950,sj_po,C1950)&gt;1,"Ligne en double (même jour, équipe et poste)",IF(OR(NOT(ISNUMBER(K1950)),N(K1950)&lt;=0,N(K1950)&gt;1440),"Temps d'ouverture invalide",IF(OR(AND(G1950&lt;&gt;"",NOT(ISNUMBER(G1950))),N(G1950)&lt;0,N(G1950)&lt;&gt;INT(N(G1950)),AND(H1950&lt;&gt;"",NOT(ISNUMBER(H1950))),N(H1950)&lt;0,N(H1950)&lt;&gt;INT(N(H1950)),AND(I1950&lt;&gt;"",NOT(ISNUMBER(I1950))),N(I1950)&lt;0,N(I1950)&lt;&gt;INT(N(I1950))),"Quantité invalide",IF(Q1950&lt;=0,"Cadence manquante (poste ou article)",IF(M1950&lt;=0,"Arrêts planifiés supérieurs au temps d'ouverture",IF(O1950&lt;0,"Arrêts supérieurs au temps requis",IF(AND(P1950&gt;0,O1950=0),"Pièces déclarées sans temps de marche",IF(AND(P1950=0,O1950&gt;0),"Aucune pièce déclarée",IF(P1950*60/Q1950&gt;O1950+0.001,"Cadence dépassée : vérifiez la cadence","OK"))))))))))))))))))</f>
        <v/>
      </c>
      <c r="AC1950">
        <f>IF(OR(AB1950="OK",AB1950="Aucune pièce déclarée",AB1950="Cadence dépassée : vérifiez la cadence"),1,0)</f>
        <v>0.0</v>
      </c>
      <c r="AD1950">
        <f>IF(AND(AC1950=1,A1950&gt;=p_from,A1950&lt;=p_to),1,0)</f>
        <v>0.0</v>
      </c>
      <c r="AE1950">
        <f>IF(AD1950=1,IF(COUNTIFS($A$6:A1950,A1950,$AD$6:AD1950,1)=1,1,0),0)</f>
        <v>0.0</v>
      </c>
      <c r="AF1950" t="str">
        <f>IF(AE1950=1,COUNTIFS(sj_first,1,sj_date,"&lt;"&amp;A1950)+1,"")</f>
        <v/>
      </c>
      <c r="AG1950" t="str">
        <f>IF(AND(AD1950=1,N(W1950)&lt;p_alert),ROUND(W1950,4),"")</f>
        <v/>
      </c>
      <c r="AH1950" t="str">
        <f>IF(AG1950="","",COUNTIF(sj_akey,"&lt;"&amp;AG1950)+COUNTIF($AG$6:AG1950,AG1950))</f>
        <v/>
      </c>
    </row>
    <row r="1951">
      <c r="A1951" s="51" t="n"/>
      <c r="B1951" s="52" t="n"/>
      <c r="C1951" s="52" t="n"/>
      <c r="D1951" s="53" t="n"/>
      <c r="E1951" s="53" t="n"/>
      <c r="F1951" s="54" t="n"/>
      <c r="G1951" s="54" t="n"/>
      <c r="H1951" s="54" t="n"/>
      <c r="I1951" s="54" t="n"/>
      <c r="J1951" s="53" t="n"/>
      <c r="K1951" s="55" t="str">
        <f>IF(COUNTA(A1951:I1951)=0,"",IF(F1951="",IFERROR(INDEX(eq_dur,MATCH(B1951,eq_code,0)),""),F1951))</f>
        <v/>
      </c>
      <c r="L1951" s="55" t="str">
        <f>IF(ISNUMBER(K1951),N(IFERROR(INDEX(eq_pause,MATCH(B1951,eq_code,0)),0))+SUMIFS(st_min,st_date,A1951,st_eq,B1951,st_po,C1951,st_type,"Planifié"),"")</f>
        <v/>
      </c>
      <c r="M1951" s="55" t="str">
        <f>IF(ISNUMBER(K1951),K1951-L1951,"")</f>
        <v/>
      </c>
      <c r="N1951" s="55" t="str">
        <f>IF(ISNUMBER(K1951),SUMIFS(st_min,st_date,A1951,st_eq,B1951,st_po,C1951,st_type,"Non planifié"),"")</f>
        <v/>
      </c>
      <c r="O1951" s="55" t="str">
        <f>IF(ISNUMBER(K1951),M1951-N1951,"")</f>
        <v/>
      </c>
      <c r="P1951" s="55" t="str">
        <f>IF(COUNTA(A1951:I1951)=0,"",N(G1951)+N(H1951)+N(I1951))</f>
        <v/>
      </c>
      <c r="Q1951" s="56" t="str">
        <f>IF(COUNTA(A1951:I1951)=0,"",IF(N(IFERROR(INDEX(art_rate,MATCH(E1951,art_ref,0)),0))&gt;0,N(IFERROR(INDEX(art_rate,MATCH(E1951,art_ref,0)),0)),N(IFERROR(INDEX(po_rate,MATCH(C1951,po_code,0)),0))))</f>
        <v/>
      </c>
      <c r="R1951" s="55" t="str">
        <f>IF(AC1951=1,P1951*60/Q1951,"")</f>
        <v/>
      </c>
      <c r="S1951" s="55" t="str">
        <f>IF(AC1951=1,N(G1951)*60/Q1951,"")</f>
        <v/>
      </c>
      <c r="T1951" s="57" t="str">
        <f>IF(AC1951=1,O1951/M1951,"")</f>
        <v/>
      </c>
      <c r="U1951" s="57" t="str">
        <f>IF(AC1951=1,IF(O1951&gt;0,R1951/O1951,""),"")</f>
        <v/>
      </c>
      <c r="V1951" s="57" t="str">
        <f>IF(AC1951=1,IF(P1951&gt;0,N(G1951)/P1951,""),"")</f>
        <v/>
      </c>
      <c r="W1951" s="57" t="str">
        <f>IF(AC1951=1,S1951/M1951,"")</f>
        <v/>
      </c>
      <c r="X1951" s="57" t="str">
        <f>IF(AC1951=1,S1951/K1951,"")</f>
        <v/>
      </c>
      <c r="Y1951" s="58" t="str">
        <f>IF(W1951="","",IF(W1951&gt;=p_target,"Bon",IF(W1951&gt;=p_alert,"À surveiller","Faible")))</f>
        <v/>
      </c>
      <c r="Z1951" s="58" t="str">
        <f>IF(W1951="","",IF(MIN(IF(T1951="",1,T1951),IF(U1951="",1,U1951),IF(V1951="",1,V1951))&gt;=1,"Aucune",IF(IF(T1951="",1,T1951)&lt;=MIN(IF(U1951="",1,U1951),IF(V1951="",1,V1951)),"Disponibilité",IF(IF(U1951="",1,U1951)&lt;=IF(V1951="",1,V1951),"Performance","Qualité"))))</f>
        <v/>
      </c>
      <c r="AA1951" s="59" t="str">
        <f>IF(AC1951=1,N(H1951)*N(IFERROR(INDEX(art_cost,MATCH(E1951,art_ref,0)),0)),"")</f>
        <v/>
      </c>
      <c r="AB1951" s="58" t="str">
        <f>IF(COUNTA(A1951:I1951)=0,"",IF(N(A1951)&lt;=0,"Date manquante ou invalide",IF(B1951="","Équipe manquante",IF(ISNA(MATCH(B1951,eq_code,0)),"Équipe inconnue",IF(INDEX(eq_check,MATCH(B1951,eq_code,0))&lt;&gt;"OK","Équipe à corriger dans Paramètres",IF(C1951="","Poste manquant",IF(ISNA(MATCH(C1951,po_code,0)),"Poste inconnu",IF(AND(E1951&lt;&gt;"",ISNA(MATCH(E1951,art_ref,0))),"Article inconnu",IF(IF(E1951="",FALSE,INDEX(art_check,MATCH(E1951,art_ref,0))&lt;&gt;"OK"),"Article à corriger (feuille Articles)",IF(COUNTIFS(sj_date,A1951,sj_eq,B1951,sj_po,C1951)&gt;1,"Ligne en double (même jour, équipe et poste)",IF(OR(NOT(ISNUMBER(K1951)),N(K1951)&lt;=0,N(K1951)&gt;1440),"Temps d'ouverture invalide",IF(OR(AND(G1951&lt;&gt;"",NOT(ISNUMBER(G1951))),N(G1951)&lt;0,N(G1951)&lt;&gt;INT(N(G1951)),AND(H1951&lt;&gt;"",NOT(ISNUMBER(H1951))),N(H1951)&lt;0,N(H1951)&lt;&gt;INT(N(H1951)),AND(I1951&lt;&gt;"",NOT(ISNUMBER(I1951))),N(I1951)&lt;0,N(I1951)&lt;&gt;INT(N(I1951))),"Quantité invalide",IF(Q1951&lt;=0,"Cadence manquante (poste ou article)",IF(M1951&lt;=0,"Arrêts planifiés supérieurs au temps d'ouverture",IF(O1951&lt;0,"Arrêts supérieurs au temps requis",IF(AND(P1951&gt;0,O1951=0),"Pièces déclarées sans temps de marche",IF(AND(P1951=0,O1951&gt;0),"Aucune pièce déclarée",IF(P1951*60/Q1951&gt;O1951+0.001,"Cadence dépassée : vérifiez la cadence","OK"))))))))))))))))))</f>
        <v/>
      </c>
      <c r="AC1951">
        <f>IF(OR(AB1951="OK",AB1951="Aucune pièce déclarée",AB1951="Cadence dépassée : vérifiez la cadence"),1,0)</f>
        <v>0.0</v>
      </c>
      <c r="AD1951">
        <f>IF(AND(AC1951=1,A1951&gt;=p_from,A1951&lt;=p_to),1,0)</f>
        <v>0.0</v>
      </c>
      <c r="AE1951">
        <f>IF(AD1951=1,IF(COUNTIFS($A$6:A1951,A1951,$AD$6:AD1951,1)=1,1,0),0)</f>
        <v>0.0</v>
      </c>
      <c r="AF1951" t="str">
        <f>IF(AE1951=1,COUNTIFS(sj_first,1,sj_date,"&lt;"&amp;A1951)+1,"")</f>
        <v/>
      </c>
      <c r="AG1951" t="str">
        <f>IF(AND(AD1951=1,N(W1951)&lt;p_alert),ROUND(W1951,4),"")</f>
        <v/>
      </c>
      <c r="AH1951" t="str">
        <f>IF(AG1951="","",COUNTIF(sj_akey,"&lt;"&amp;AG1951)+COUNTIF($AG$6:AG1951,AG1951))</f>
        <v/>
      </c>
    </row>
    <row r="1952">
      <c r="A1952" s="51" t="n"/>
      <c r="B1952" s="52" t="n"/>
      <c r="C1952" s="52" t="n"/>
      <c r="D1952" s="53" t="n"/>
      <c r="E1952" s="53" t="n"/>
      <c r="F1952" s="54" t="n"/>
      <c r="G1952" s="54" t="n"/>
      <c r="H1952" s="54" t="n"/>
      <c r="I1952" s="54" t="n"/>
      <c r="J1952" s="53" t="n"/>
      <c r="K1952" s="55" t="str">
        <f>IF(COUNTA(A1952:I1952)=0,"",IF(F1952="",IFERROR(INDEX(eq_dur,MATCH(B1952,eq_code,0)),""),F1952))</f>
        <v/>
      </c>
      <c r="L1952" s="55" t="str">
        <f>IF(ISNUMBER(K1952),N(IFERROR(INDEX(eq_pause,MATCH(B1952,eq_code,0)),0))+SUMIFS(st_min,st_date,A1952,st_eq,B1952,st_po,C1952,st_type,"Planifié"),"")</f>
        <v/>
      </c>
      <c r="M1952" s="55" t="str">
        <f>IF(ISNUMBER(K1952),K1952-L1952,"")</f>
        <v/>
      </c>
      <c r="N1952" s="55" t="str">
        <f>IF(ISNUMBER(K1952),SUMIFS(st_min,st_date,A1952,st_eq,B1952,st_po,C1952,st_type,"Non planifié"),"")</f>
        <v/>
      </c>
      <c r="O1952" s="55" t="str">
        <f>IF(ISNUMBER(K1952),M1952-N1952,"")</f>
        <v/>
      </c>
      <c r="P1952" s="55" t="str">
        <f>IF(COUNTA(A1952:I1952)=0,"",N(G1952)+N(H1952)+N(I1952))</f>
        <v/>
      </c>
      <c r="Q1952" s="56" t="str">
        <f>IF(COUNTA(A1952:I1952)=0,"",IF(N(IFERROR(INDEX(art_rate,MATCH(E1952,art_ref,0)),0))&gt;0,N(IFERROR(INDEX(art_rate,MATCH(E1952,art_ref,0)),0)),N(IFERROR(INDEX(po_rate,MATCH(C1952,po_code,0)),0))))</f>
        <v/>
      </c>
      <c r="R1952" s="55" t="str">
        <f>IF(AC1952=1,P1952*60/Q1952,"")</f>
        <v/>
      </c>
      <c r="S1952" s="55" t="str">
        <f>IF(AC1952=1,N(G1952)*60/Q1952,"")</f>
        <v/>
      </c>
      <c r="T1952" s="57" t="str">
        <f>IF(AC1952=1,O1952/M1952,"")</f>
        <v/>
      </c>
      <c r="U1952" s="57" t="str">
        <f>IF(AC1952=1,IF(O1952&gt;0,R1952/O1952,""),"")</f>
        <v/>
      </c>
      <c r="V1952" s="57" t="str">
        <f>IF(AC1952=1,IF(P1952&gt;0,N(G1952)/P1952,""),"")</f>
        <v/>
      </c>
      <c r="W1952" s="57" t="str">
        <f>IF(AC1952=1,S1952/M1952,"")</f>
        <v/>
      </c>
      <c r="X1952" s="57" t="str">
        <f>IF(AC1952=1,S1952/K1952,"")</f>
        <v/>
      </c>
      <c r="Y1952" s="58" t="str">
        <f>IF(W1952="","",IF(W1952&gt;=p_target,"Bon",IF(W1952&gt;=p_alert,"À surveiller","Faible")))</f>
        <v/>
      </c>
      <c r="Z1952" s="58" t="str">
        <f>IF(W1952="","",IF(MIN(IF(T1952="",1,T1952),IF(U1952="",1,U1952),IF(V1952="",1,V1952))&gt;=1,"Aucune",IF(IF(T1952="",1,T1952)&lt;=MIN(IF(U1952="",1,U1952),IF(V1952="",1,V1952)),"Disponibilité",IF(IF(U1952="",1,U1952)&lt;=IF(V1952="",1,V1952),"Performance","Qualité"))))</f>
        <v/>
      </c>
      <c r="AA1952" s="59" t="str">
        <f>IF(AC1952=1,N(H1952)*N(IFERROR(INDEX(art_cost,MATCH(E1952,art_ref,0)),0)),"")</f>
        <v/>
      </c>
      <c r="AB1952" s="58" t="str">
        <f>IF(COUNTA(A1952:I1952)=0,"",IF(N(A1952)&lt;=0,"Date manquante ou invalide",IF(B1952="","Équipe manquante",IF(ISNA(MATCH(B1952,eq_code,0)),"Équipe inconnue",IF(INDEX(eq_check,MATCH(B1952,eq_code,0))&lt;&gt;"OK","Équipe à corriger dans Paramètres",IF(C1952="","Poste manquant",IF(ISNA(MATCH(C1952,po_code,0)),"Poste inconnu",IF(AND(E1952&lt;&gt;"",ISNA(MATCH(E1952,art_ref,0))),"Article inconnu",IF(IF(E1952="",FALSE,INDEX(art_check,MATCH(E1952,art_ref,0))&lt;&gt;"OK"),"Article à corriger (feuille Articles)",IF(COUNTIFS(sj_date,A1952,sj_eq,B1952,sj_po,C1952)&gt;1,"Ligne en double (même jour, équipe et poste)",IF(OR(NOT(ISNUMBER(K1952)),N(K1952)&lt;=0,N(K1952)&gt;1440),"Temps d'ouverture invalide",IF(OR(AND(G1952&lt;&gt;"",NOT(ISNUMBER(G1952))),N(G1952)&lt;0,N(G1952)&lt;&gt;INT(N(G1952)),AND(H1952&lt;&gt;"",NOT(ISNUMBER(H1952))),N(H1952)&lt;0,N(H1952)&lt;&gt;INT(N(H1952)),AND(I1952&lt;&gt;"",NOT(ISNUMBER(I1952))),N(I1952)&lt;0,N(I1952)&lt;&gt;INT(N(I1952))),"Quantité invalide",IF(Q1952&lt;=0,"Cadence manquante (poste ou article)",IF(M1952&lt;=0,"Arrêts planifiés supérieurs au temps d'ouverture",IF(O1952&lt;0,"Arrêts supérieurs au temps requis",IF(AND(P1952&gt;0,O1952=0),"Pièces déclarées sans temps de marche",IF(AND(P1952=0,O1952&gt;0),"Aucune pièce déclarée",IF(P1952*60/Q1952&gt;O1952+0.001,"Cadence dépassée : vérifiez la cadence","OK"))))))))))))))))))</f>
        <v/>
      </c>
      <c r="AC1952">
        <f>IF(OR(AB1952="OK",AB1952="Aucune pièce déclarée",AB1952="Cadence dépassée : vérifiez la cadence"),1,0)</f>
        <v>0.0</v>
      </c>
      <c r="AD1952">
        <f>IF(AND(AC1952=1,A1952&gt;=p_from,A1952&lt;=p_to),1,0)</f>
        <v>0.0</v>
      </c>
      <c r="AE1952">
        <f>IF(AD1952=1,IF(COUNTIFS($A$6:A1952,A1952,$AD$6:AD1952,1)=1,1,0),0)</f>
        <v>0.0</v>
      </c>
      <c r="AF1952" t="str">
        <f>IF(AE1952=1,COUNTIFS(sj_first,1,sj_date,"&lt;"&amp;A1952)+1,"")</f>
        <v/>
      </c>
      <c r="AG1952" t="str">
        <f>IF(AND(AD1952=1,N(W1952)&lt;p_alert),ROUND(W1952,4),"")</f>
        <v/>
      </c>
      <c r="AH1952" t="str">
        <f>IF(AG1952="","",COUNTIF(sj_akey,"&lt;"&amp;AG1952)+COUNTIF($AG$6:AG1952,AG1952))</f>
        <v/>
      </c>
    </row>
    <row r="1953">
      <c r="A1953" s="51" t="n"/>
      <c r="B1953" s="52" t="n"/>
      <c r="C1953" s="52" t="n"/>
      <c r="D1953" s="53" t="n"/>
      <c r="E1953" s="53" t="n"/>
      <c r="F1953" s="54" t="n"/>
      <c r="G1953" s="54" t="n"/>
      <c r="H1953" s="54" t="n"/>
      <c r="I1953" s="54" t="n"/>
      <c r="J1953" s="53" t="n"/>
      <c r="K1953" s="55" t="str">
        <f>IF(COUNTA(A1953:I1953)=0,"",IF(F1953="",IFERROR(INDEX(eq_dur,MATCH(B1953,eq_code,0)),""),F1953))</f>
        <v/>
      </c>
      <c r="L1953" s="55" t="str">
        <f>IF(ISNUMBER(K1953),N(IFERROR(INDEX(eq_pause,MATCH(B1953,eq_code,0)),0))+SUMIFS(st_min,st_date,A1953,st_eq,B1953,st_po,C1953,st_type,"Planifié"),"")</f>
        <v/>
      </c>
      <c r="M1953" s="55" t="str">
        <f>IF(ISNUMBER(K1953),K1953-L1953,"")</f>
        <v/>
      </c>
      <c r="N1953" s="55" t="str">
        <f>IF(ISNUMBER(K1953),SUMIFS(st_min,st_date,A1953,st_eq,B1953,st_po,C1953,st_type,"Non planifié"),"")</f>
        <v/>
      </c>
      <c r="O1953" s="55" t="str">
        <f>IF(ISNUMBER(K1953),M1953-N1953,"")</f>
        <v/>
      </c>
      <c r="P1953" s="55" t="str">
        <f>IF(COUNTA(A1953:I1953)=0,"",N(G1953)+N(H1953)+N(I1953))</f>
        <v/>
      </c>
      <c r="Q1953" s="56" t="str">
        <f>IF(COUNTA(A1953:I1953)=0,"",IF(N(IFERROR(INDEX(art_rate,MATCH(E1953,art_ref,0)),0))&gt;0,N(IFERROR(INDEX(art_rate,MATCH(E1953,art_ref,0)),0)),N(IFERROR(INDEX(po_rate,MATCH(C1953,po_code,0)),0))))</f>
        <v/>
      </c>
      <c r="R1953" s="55" t="str">
        <f>IF(AC1953=1,P1953*60/Q1953,"")</f>
        <v/>
      </c>
      <c r="S1953" s="55" t="str">
        <f>IF(AC1953=1,N(G1953)*60/Q1953,"")</f>
        <v/>
      </c>
      <c r="T1953" s="57" t="str">
        <f>IF(AC1953=1,O1953/M1953,"")</f>
        <v/>
      </c>
      <c r="U1953" s="57" t="str">
        <f>IF(AC1953=1,IF(O1953&gt;0,R1953/O1953,""),"")</f>
        <v/>
      </c>
      <c r="V1953" s="57" t="str">
        <f>IF(AC1953=1,IF(P1953&gt;0,N(G1953)/P1953,""),"")</f>
        <v/>
      </c>
      <c r="W1953" s="57" t="str">
        <f>IF(AC1953=1,S1953/M1953,"")</f>
        <v/>
      </c>
      <c r="X1953" s="57" t="str">
        <f>IF(AC1953=1,S1953/K1953,"")</f>
        <v/>
      </c>
      <c r="Y1953" s="58" t="str">
        <f>IF(W1953="","",IF(W1953&gt;=p_target,"Bon",IF(W1953&gt;=p_alert,"À surveiller","Faible")))</f>
        <v/>
      </c>
      <c r="Z1953" s="58" t="str">
        <f>IF(W1953="","",IF(MIN(IF(T1953="",1,T1953),IF(U1953="",1,U1953),IF(V1953="",1,V1953))&gt;=1,"Aucune",IF(IF(T1953="",1,T1953)&lt;=MIN(IF(U1953="",1,U1953),IF(V1953="",1,V1953)),"Disponibilité",IF(IF(U1953="",1,U1953)&lt;=IF(V1953="",1,V1953),"Performance","Qualité"))))</f>
        <v/>
      </c>
      <c r="AA1953" s="59" t="str">
        <f>IF(AC1953=1,N(H1953)*N(IFERROR(INDEX(art_cost,MATCH(E1953,art_ref,0)),0)),"")</f>
        <v/>
      </c>
      <c r="AB1953" s="58" t="str">
        <f>IF(COUNTA(A1953:I1953)=0,"",IF(N(A1953)&lt;=0,"Date manquante ou invalide",IF(B1953="","Équipe manquante",IF(ISNA(MATCH(B1953,eq_code,0)),"Équipe inconnue",IF(INDEX(eq_check,MATCH(B1953,eq_code,0))&lt;&gt;"OK","Équipe à corriger dans Paramètres",IF(C1953="","Poste manquant",IF(ISNA(MATCH(C1953,po_code,0)),"Poste inconnu",IF(AND(E1953&lt;&gt;"",ISNA(MATCH(E1953,art_ref,0))),"Article inconnu",IF(IF(E1953="",FALSE,INDEX(art_check,MATCH(E1953,art_ref,0))&lt;&gt;"OK"),"Article à corriger (feuille Articles)",IF(COUNTIFS(sj_date,A1953,sj_eq,B1953,sj_po,C1953)&gt;1,"Ligne en double (même jour, équipe et poste)",IF(OR(NOT(ISNUMBER(K1953)),N(K1953)&lt;=0,N(K1953)&gt;1440),"Temps d'ouverture invalide",IF(OR(AND(G1953&lt;&gt;"",NOT(ISNUMBER(G1953))),N(G1953)&lt;0,N(G1953)&lt;&gt;INT(N(G1953)),AND(H1953&lt;&gt;"",NOT(ISNUMBER(H1953))),N(H1953)&lt;0,N(H1953)&lt;&gt;INT(N(H1953)),AND(I1953&lt;&gt;"",NOT(ISNUMBER(I1953))),N(I1953)&lt;0,N(I1953)&lt;&gt;INT(N(I1953))),"Quantité invalide",IF(Q1953&lt;=0,"Cadence manquante (poste ou article)",IF(M1953&lt;=0,"Arrêts planifiés supérieurs au temps d'ouverture",IF(O1953&lt;0,"Arrêts supérieurs au temps requis",IF(AND(P1953&gt;0,O1953=0),"Pièces déclarées sans temps de marche",IF(AND(P1953=0,O1953&gt;0),"Aucune pièce déclarée",IF(P1953*60/Q1953&gt;O1953+0.001,"Cadence dépassée : vérifiez la cadence","OK"))))))))))))))))))</f>
        <v/>
      </c>
      <c r="AC1953">
        <f>IF(OR(AB1953="OK",AB1953="Aucune pièce déclarée",AB1953="Cadence dépassée : vérifiez la cadence"),1,0)</f>
        <v>0.0</v>
      </c>
      <c r="AD1953">
        <f>IF(AND(AC1953=1,A1953&gt;=p_from,A1953&lt;=p_to),1,0)</f>
        <v>0.0</v>
      </c>
      <c r="AE1953">
        <f>IF(AD1953=1,IF(COUNTIFS($A$6:A1953,A1953,$AD$6:AD1953,1)=1,1,0),0)</f>
        <v>0.0</v>
      </c>
      <c r="AF1953" t="str">
        <f>IF(AE1953=1,COUNTIFS(sj_first,1,sj_date,"&lt;"&amp;A1953)+1,"")</f>
        <v/>
      </c>
      <c r="AG1953" t="str">
        <f>IF(AND(AD1953=1,N(W1953)&lt;p_alert),ROUND(W1953,4),"")</f>
        <v/>
      </c>
      <c r="AH1953" t="str">
        <f>IF(AG1953="","",COUNTIF(sj_akey,"&lt;"&amp;AG1953)+COUNTIF($AG$6:AG1953,AG1953))</f>
        <v/>
      </c>
    </row>
    <row r="1954">
      <c r="A1954" s="51" t="n"/>
      <c r="B1954" s="52" t="n"/>
      <c r="C1954" s="52" t="n"/>
      <c r="D1954" s="53" t="n"/>
      <c r="E1954" s="53" t="n"/>
      <c r="F1954" s="54" t="n"/>
      <c r="G1954" s="54" t="n"/>
      <c r="H1954" s="54" t="n"/>
      <c r="I1954" s="54" t="n"/>
      <c r="J1954" s="53" t="n"/>
      <c r="K1954" s="55" t="str">
        <f>IF(COUNTA(A1954:I1954)=0,"",IF(F1954="",IFERROR(INDEX(eq_dur,MATCH(B1954,eq_code,0)),""),F1954))</f>
        <v/>
      </c>
      <c r="L1954" s="55" t="str">
        <f>IF(ISNUMBER(K1954),N(IFERROR(INDEX(eq_pause,MATCH(B1954,eq_code,0)),0))+SUMIFS(st_min,st_date,A1954,st_eq,B1954,st_po,C1954,st_type,"Planifié"),"")</f>
        <v/>
      </c>
      <c r="M1954" s="55" t="str">
        <f>IF(ISNUMBER(K1954),K1954-L1954,"")</f>
        <v/>
      </c>
      <c r="N1954" s="55" t="str">
        <f>IF(ISNUMBER(K1954),SUMIFS(st_min,st_date,A1954,st_eq,B1954,st_po,C1954,st_type,"Non planifié"),"")</f>
        <v/>
      </c>
      <c r="O1954" s="55" t="str">
        <f>IF(ISNUMBER(K1954),M1954-N1954,"")</f>
        <v/>
      </c>
      <c r="P1954" s="55" t="str">
        <f>IF(COUNTA(A1954:I1954)=0,"",N(G1954)+N(H1954)+N(I1954))</f>
        <v/>
      </c>
      <c r="Q1954" s="56" t="str">
        <f>IF(COUNTA(A1954:I1954)=0,"",IF(N(IFERROR(INDEX(art_rate,MATCH(E1954,art_ref,0)),0))&gt;0,N(IFERROR(INDEX(art_rate,MATCH(E1954,art_ref,0)),0)),N(IFERROR(INDEX(po_rate,MATCH(C1954,po_code,0)),0))))</f>
        <v/>
      </c>
      <c r="R1954" s="55" t="str">
        <f>IF(AC1954=1,P1954*60/Q1954,"")</f>
        <v/>
      </c>
      <c r="S1954" s="55" t="str">
        <f>IF(AC1954=1,N(G1954)*60/Q1954,"")</f>
        <v/>
      </c>
      <c r="T1954" s="57" t="str">
        <f>IF(AC1954=1,O1954/M1954,"")</f>
        <v/>
      </c>
      <c r="U1954" s="57" t="str">
        <f>IF(AC1954=1,IF(O1954&gt;0,R1954/O1954,""),"")</f>
        <v/>
      </c>
      <c r="V1954" s="57" t="str">
        <f>IF(AC1954=1,IF(P1954&gt;0,N(G1954)/P1954,""),"")</f>
        <v/>
      </c>
      <c r="W1954" s="57" t="str">
        <f>IF(AC1954=1,S1954/M1954,"")</f>
        <v/>
      </c>
      <c r="X1954" s="57" t="str">
        <f>IF(AC1954=1,S1954/K1954,"")</f>
        <v/>
      </c>
      <c r="Y1954" s="58" t="str">
        <f>IF(W1954="","",IF(W1954&gt;=p_target,"Bon",IF(W1954&gt;=p_alert,"À surveiller","Faible")))</f>
        <v/>
      </c>
      <c r="Z1954" s="58" t="str">
        <f>IF(W1954="","",IF(MIN(IF(T1954="",1,T1954),IF(U1954="",1,U1954),IF(V1954="",1,V1954))&gt;=1,"Aucune",IF(IF(T1954="",1,T1954)&lt;=MIN(IF(U1954="",1,U1954),IF(V1954="",1,V1954)),"Disponibilité",IF(IF(U1954="",1,U1954)&lt;=IF(V1954="",1,V1954),"Performance","Qualité"))))</f>
        <v/>
      </c>
      <c r="AA1954" s="59" t="str">
        <f>IF(AC1954=1,N(H1954)*N(IFERROR(INDEX(art_cost,MATCH(E1954,art_ref,0)),0)),"")</f>
        <v/>
      </c>
      <c r="AB1954" s="58" t="str">
        <f>IF(COUNTA(A1954:I1954)=0,"",IF(N(A1954)&lt;=0,"Date manquante ou invalide",IF(B1954="","Équipe manquante",IF(ISNA(MATCH(B1954,eq_code,0)),"Équipe inconnue",IF(INDEX(eq_check,MATCH(B1954,eq_code,0))&lt;&gt;"OK","Équipe à corriger dans Paramètres",IF(C1954="","Poste manquant",IF(ISNA(MATCH(C1954,po_code,0)),"Poste inconnu",IF(AND(E1954&lt;&gt;"",ISNA(MATCH(E1954,art_ref,0))),"Article inconnu",IF(IF(E1954="",FALSE,INDEX(art_check,MATCH(E1954,art_ref,0))&lt;&gt;"OK"),"Article à corriger (feuille Articles)",IF(COUNTIFS(sj_date,A1954,sj_eq,B1954,sj_po,C1954)&gt;1,"Ligne en double (même jour, équipe et poste)",IF(OR(NOT(ISNUMBER(K1954)),N(K1954)&lt;=0,N(K1954)&gt;1440),"Temps d'ouverture invalide",IF(OR(AND(G1954&lt;&gt;"",NOT(ISNUMBER(G1954))),N(G1954)&lt;0,N(G1954)&lt;&gt;INT(N(G1954)),AND(H1954&lt;&gt;"",NOT(ISNUMBER(H1954))),N(H1954)&lt;0,N(H1954)&lt;&gt;INT(N(H1954)),AND(I1954&lt;&gt;"",NOT(ISNUMBER(I1954))),N(I1954)&lt;0,N(I1954)&lt;&gt;INT(N(I1954))),"Quantité invalide",IF(Q1954&lt;=0,"Cadence manquante (poste ou article)",IF(M1954&lt;=0,"Arrêts planifiés supérieurs au temps d'ouverture",IF(O1954&lt;0,"Arrêts supérieurs au temps requis",IF(AND(P1954&gt;0,O1954=0),"Pièces déclarées sans temps de marche",IF(AND(P1954=0,O1954&gt;0),"Aucune pièce déclarée",IF(P1954*60/Q1954&gt;O1954+0.001,"Cadence dépassée : vérifiez la cadence","OK"))))))))))))))))))</f>
        <v/>
      </c>
      <c r="AC1954">
        <f>IF(OR(AB1954="OK",AB1954="Aucune pièce déclarée",AB1954="Cadence dépassée : vérifiez la cadence"),1,0)</f>
        <v>0.0</v>
      </c>
      <c r="AD1954">
        <f>IF(AND(AC1954=1,A1954&gt;=p_from,A1954&lt;=p_to),1,0)</f>
        <v>0.0</v>
      </c>
      <c r="AE1954">
        <f>IF(AD1954=1,IF(COUNTIFS($A$6:A1954,A1954,$AD$6:AD1954,1)=1,1,0),0)</f>
        <v>0.0</v>
      </c>
      <c r="AF1954" t="str">
        <f>IF(AE1954=1,COUNTIFS(sj_first,1,sj_date,"&lt;"&amp;A1954)+1,"")</f>
        <v/>
      </c>
      <c r="AG1954" t="str">
        <f>IF(AND(AD1954=1,N(W1954)&lt;p_alert),ROUND(W1954,4),"")</f>
        <v/>
      </c>
      <c r="AH1954" t="str">
        <f>IF(AG1954="","",COUNTIF(sj_akey,"&lt;"&amp;AG1954)+COUNTIF($AG$6:AG1954,AG1954))</f>
        <v/>
      </c>
    </row>
    <row r="1955">
      <c r="A1955" s="51" t="n"/>
      <c r="B1955" s="52" t="n"/>
      <c r="C1955" s="52" t="n"/>
      <c r="D1955" s="53" t="n"/>
      <c r="E1955" s="53" t="n"/>
      <c r="F1955" s="54" t="n"/>
      <c r="G1955" s="54" t="n"/>
      <c r="H1955" s="54" t="n"/>
      <c r="I1955" s="54" t="n"/>
      <c r="J1955" s="53" t="n"/>
      <c r="K1955" s="55" t="str">
        <f>IF(COUNTA(A1955:I1955)=0,"",IF(F1955="",IFERROR(INDEX(eq_dur,MATCH(B1955,eq_code,0)),""),F1955))</f>
        <v/>
      </c>
      <c r="L1955" s="55" t="str">
        <f>IF(ISNUMBER(K1955),N(IFERROR(INDEX(eq_pause,MATCH(B1955,eq_code,0)),0))+SUMIFS(st_min,st_date,A1955,st_eq,B1955,st_po,C1955,st_type,"Planifié"),"")</f>
        <v/>
      </c>
      <c r="M1955" s="55" t="str">
        <f>IF(ISNUMBER(K1955),K1955-L1955,"")</f>
        <v/>
      </c>
      <c r="N1955" s="55" t="str">
        <f>IF(ISNUMBER(K1955),SUMIFS(st_min,st_date,A1955,st_eq,B1955,st_po,C1955,st_type,"Non planifié"),"")</f>
        <v/>
      </c>
      <c r="O1955" s="55" t="str">
        <f>IF(ISNUMBER(K1955),M1955-N1955,"")</f>
        <v/>
      </c>
      <c r="P1955" s="55" t="str">
        <f>IF(COUNTA(A1955:I1955)=0,"",N(G1955)+N(H1955)+N(I1955))</f>
        <v/>
      </c>
      <c r="Q1955" s="56" t="str">
        <f>IF(COUNTA(A1955:I1955)=0,"",IF(N(IFERROR(INDEX(art_rate,MATCH(E1955,art_ref,0)),0))&gt;0,N(IFERROR(INDEX(art_rate,MATCH(E1955,art_ref,0)),0)),N(IFERROR(INDEX(po_rate,MATCH(C1955,po_code,0)),0))))</f>
        <v/>
      </c>
      <c r="R1955" s="55" t="str">
        <f>IF(AC1955=1,P1955*60/Q1955,"")</f>
        <v/>
      </c>
      <c r="S1955" s="55" t="str">
        <f>IF(AC1955=1,N(G1955)*60/Q1955,"")</f>
        <v/>
      </c>
      <c r="T1955" s="57" t="str">
        <f>IF(AC1955=1,O1955/M1955,"")</f>
        <v/>
      </c>
      <c r="U1955" s="57" t="str">
        <f>IF(AC1955=1,IF(O1955&gt;0,R1955/O1955,""),"")</f>
        <v/>
      </c>
      <c r="V1955" s="57" t="str">
        <f>IF(AC1955=1,IF(P1955&gt;0,N(G1955)/P1955,""),"")</f>
        <v/>
      </c>
      <c r="W1955" s="57" t="str">
        <f>IF(AC1955=1,S1955/M1955,"")</f>
        <v/>
      </c>
      <c r="X1955" s="57" t="str">
        <f>IF(AC1955=1,S1955/K1955,"")</f>
        <v/>
      </c>
      <c r="Y1955" s="58" t="str">
        <f>IF(W1955="","",IF(W1955&gt;=p_target,"Bon",IF(W1955&gt;=p_alert,"À surveiller","Faible")))</f>
        <v/>
      </c>
      <c r="Z1955" s="58" t="str">
        <f>IF(W1955="","",IF(MIN(IF(T1955="",1,T1955),IF(U1955="",1,U1955),IF(V1955="",1,V1955))&gt;=1,"Aucune",IF(IF(T1955="",1,T1955)&lt;=MIN(IF(U1955="",1,U1955),IF(V1955="",1,V1955)),"Disponibilité",IF(IF(U1955="",1,U1955)&lt;=IF(V1955="",1,V1955),"Performance","Qualité"))))</f>
        <v/>
      </c>
      <c r="AA1955" s="59" t="str">
        <f>IF(AC1955=1,N(H1955)*N(IFERROR(INDEX(art_cost,MATCH(E1955,art_ref,0)),0)),"")</f>
        <v/>
      </c>
      <c r="AB1955" s="58" t="str">
        <f>IF(COUNTA(A1955:I1955)=0,"",IF(N(A1955)&lt;=0,"Date manquante ou invalide",IF(B1955="","Équipe manquante",IF(ISNA(MATCH(B1955,eq_code,0)),"Équipe inconnue",IF(INDEX(eq_check,MATCH(B1955,eq_code,0))&lt;&gt;"OK","Équipe à corriger dans Paramètres",IF(C1955="","Poste manquant",IF(ISNA(MATCH(C1955,po_code,0)),"Poste inconnu",IF(AND(E1955&lt;&gt;"",ISNA(MATCH(E1955,art_ref,0))),"Article inconnu",IF(IF(E1955="",FALSE,INDEX(art_check,MATCH(E1955,art_ref,0))&lt;&gt;"OK"),"Article à corriger (feuille Articles)",IF(COUNTIFS(sj_date,A1955,sj_eq,B1955,sj_po,C1955)&gt;1,"Ligne en double (même jour, équipe et poste)",IF(OR(NOT(ISNUMBER(K1955)),N(K1955)&lt;=0,N(K1955)&gt;1440),"Temps d'ouverture invalide",IF(OR(AND(G1955&lt;&gt;"",NOT(ISNUMBER(G1955))),N(G1955)&lt;0,N(G1955)&lt;&gt;INT(N(G1955)),AND(H1955&lt;&gt;"",NOT(ISNUMBER(H1955))),N(H1955)&lt;0,N(H1955)&lt;&gt;INT(N(H1955)),AND(I1955&lt;&gt;"",NOT(ISNUMBER(I1955))),N(I1955)&lt;0,N(I1955)&lt;&gt;INT(N(I1955))),"Quantité invalide",IF(Q1955&lt;=0,"Cadence manquante (poste ou article)",IF(M1955&lt;=0,"Arrêts planifiés supérieurs au temps d'ouverture",IF(O1955&lt;0,"Arrêts supérieurs au temps requis",IF(AND(P1955&gt;0,O1955=0),"Pièces déclarées sans temps de marche",IF(AND(P1955=0,O1955&gt;0),"Aucune pièce déclarée",IF(P1955*60/Q1955&gt;O1955+0.001,"Cadence dépassée : vérifiez la cadence","OK"))))))))))))))))))</f>
        <v/>
      </c>
      <c r="AC1955">
        <f>IF(OR(AB1955="OK",AB1955="Aucune pièce déclarée",AB1955="Cadence dépassée : vérifiez la cadence"),1,0)</f>
        <v>0.0</v>
      </c>
      <c r="AD1955">
        <f>IF(AND(AC1955=1,A1955&gt;=p_from,A1955&lt;=p_to),1,0)</f>
        <v>0.0</v>
      </c>
      <c r="AE1955">
        <f>IF(AD1955=1,IF(COUNTIFS($A$6:A1955,A1955,$AD$6:AD1955,1)=1,1,0),0)</f>
        <v>0.0</v>
      </c>
      <c r="AF1955" t="str">
        <f>IF(AE1955=1,COUNTIFS(sj_first,1,sj_date,"&lt;"&amp;A1955)+1,"")</f>
        <v/>
      </c>
      <c r="AG1955" t="str">
        <f>IF(AND(AD1955=1,N(W1955)&lt;p_alert),ROUND(W1955,4),"")</f>
        <v/>
      </c>
      <c r="AH1955" t="str">
        <f>IF(AG1955="","",COUNTIF(sj_akey,"&lt;"&amp;AG1955)+COUNTIF($AG$6:AG1955,AG1955))</f>
        <v/>
      </c>
    </row>
    <row r="1956">
      <c r="A1956" s="51" t="n"/>
      <c r="B1956" s="52" t="n"/>
      <c r="C1956" s="52" t="n"/>
      <c r="D1956" s="53" t="n"/>
      <c r="E1956" s="53" t="n"/>
      <c r="F1956" s="54" t="n"/>
      <c r="G1956" s="54" t="n"/>
      <c r="H1956" s="54" t="n"/>
      <c r="I1956" s="54" t="n"/>
      <c r="J1956" s="53" t="n"/>
      <c r="K1956" s="55" t="str">
        <f>IF(COUNTA(A1956:I1956)=0,"",IF(F1956="",IFERROR(INDEX(eq_dur,MATCH(B1956,eq_code,0)),""),F1956))</f>
        <v/>
      </c>
      <c r="L1956" s="55" t="str">
        <f>IF(ISNUMBER(K1956),N(IFERROR(INDEX(eq_pause,MATCH(B1956,eq_code,0)),0))+SUMIFS(st_min,st_date,A1956,st_eq,B1956,st_po,C1956,st_type,"Planifié"),"")</f>
        <v/>
      </c>
      <c r="M1956" s="55" t="str">
        <f>IF(ISNUMBER(K1956),K1956-L1956,"")</f>
        <v/>
      </c>
      <c r="N1956" s="55" t="str">
        <f>IF(ISNUMBER(K1956),SUMIFS(st_min,st_date,A1956,st_eq,B1956,st_po,C1956,st_type,"Non planifié"),"")</f>
        <v/>
      </c>
      <c r="O1956" s="55" t="str">
        <f>IF(ISNUMBER(K1956),M1956-N1956,"")</f>
        <v/>
      </c>
      <c r="P1956" s="55" t="str">
        <f>IF(COUNTA(A1956:I1956)=0,"",N(G1956)+N(H1956)+N(I1956))</f>
        <v/>
      </c>
      <c r="Q1956" s="56" t="str">
        <f>IF(COUNTA(A1956:I1956)=0,"",IF(N(IFERROR(INDEX(art_rate,MATCH(E1956,art_ref,0)),0))&gt;0,N(IFERROR(INDEX(art_rate,MATCH(E1956,art_ref,0)),0)),N(IFERROR(INDEX(po_rate,MATCH(C1956,po_code,0)),0))))</f>
        <v/>
      </c>
      <c r="R1956" s="55" t="str">
        <f>IF(AC1956=1,P1956*60/Q1956,"")</f>
        <v/>
      </c>
      <c r="S1956" s="55" t="str">
        <f>IF(AC1956=1,N(G1956)*60/Q1956,"")</f>
        <v/>
      </c>
      <c r="T1956" s="57" t="str">
        <f>IF(AC1956=1,O1956/M1956,"")</f>
        <v/>
      </c>
      <c r="U1956" s="57" t="str">
        <f>IF(AC1956=1,IF(O1956&gt;0,R1956/O1956,""),"")</f>
        <v/>
      </c>
      <c r="V1956" s="57" t="str">
        <f>IF(AC1956=1,IF(P1956&gt;0,N(G1956)/P1956,""),"")</f>
        <v/>
      </c>
      <c r="W1956" s="57" t="str">
        <f>IF(AC1956=1,S1956/M1956,"")</f>
        <v/>
      </c>
      <c r="X1956" s="57" t="str">
        <f>IF(AC1956=1,S1956/K1956,"")</f>
        <v/>
      </c>
      <c r="Y1956" s="58" t="str">
        <f>IF(W1956="","",IF(W1956&gt;=p_target,"Bon",IF(W1956&gt;=p_alert,"À surveiller","Faible")))</f>
        <v/>
      </c>
      <c r="Z1956" s="58" t="str">
        <f>IF(W1956="","",IF(MIN(IF(T1956="",1,T1956),IF(U1956="",1,U1956),IF(V1956="",1,V1956))&gt;=1,"Aucune",IF(IF(T1956="",1,T1956)&lt;=MIN(IF(U1956="",1,U1956),IF(V1956="",1,V1956)),"Disponibilité",IF(IF(U1956="",1,U1956)&lt;=IF(V1956="",1,V1956),"Performance","Qualité"))))</f>
        <v/>
      </c>
      <c r="AA1956" s="59" t="str">
        <f>IF(AC1956=1,N(H1956)*N(IFERROR(INDEX(art_cost,MATCH(E1956,art_ref,0)),0)),"")</f>
        <v/>
      </c>
      <c r="AB1956" s="58" t="str">
        <f>IF(COUNTA(A1956:I1956)=0,"",IF(N(A1956)&lt;=0,"Date manquante ou invalide",IF(B1956="","Équipe manquante",IF(ISNA(MATCH(B1956,eq_code,0)),"Équipe inconnue",IF(INDEX(eq_check,MATCH(B1956,eq_code,0))&lt;&gt;"OK","Équipe à corriger dans Paramètres",IF(C1956="","Poste manquant",IF(ISNA(MATCH(C1956,po_code,0)),"Poste inconnu",IF(AND(E1956&lt;&gt;"",ISNA(MATCH(E1956,art_ref,0))),"Article inconnu",IF(IF(E1956="",FALSE,INDEX(art_check,MATCH(E1956,art_ref,0))&lt;&gt;"OK"),"Article à corriger (feuille Articles)",IF(COUNTIFS(sj_date,A1956,sj_eq,B1956,sj_po,C1956)&gt;1,"Ligne en double (même jour, équipe et poste)",IF(OR(NOT(ISNUMBER(K1956)),N(K1956)&lt;=0,N(K1956)&gt;1440),"Temps d'ouverture invalide",IF(OR(AND(G1956&lt;&gt;"",NOT(ISNUMBER(G1956))),N(G1956)&lt;0,N(G1956)&lt;&gt;INT(N(G1956)),AND(H1956&lt;&gt;"",NOT(ISNUMBER(H1956))),N(H1956)&lt;0,N(H1956)&lt;&gt;INT(N(H1956)),AND(I1956&lt;&gt;"",NOT(ISNUMBER(I1956))),N(I1956)&lt;0,N(I1956)&lt;&gt;INT(N(I1956))),"Quantité invalide",IF(Q1956&lt;=0,"Cadence manquante (poste ou article)",IF(M1956&lt;=0,"Arrêts planifiés supérieurs au temps d'ouverture",IF(O1956&lt;0,"Arrêts supérieurs au temps requis",IF(AND(P1956&gt;0,O1956=0),"Pièces déclarées sans temps de marche",IF(AND(P1956=0,O1956&gt;0),"Aucune pièce déclarée",IF(P1956*60/Q1956&gt;O1956+0.001,"Cadence dépassée : vérifiez la cadence","OK"))))))))))))))))))</f>
        <v/>
      </c>
      <c r="AC1956">
        <f>IF(OR(AB1956="OK",AB1956="Aucune pièce déclarée",AB1956="Cadence dépassée : vérifiez la cadence"),1,0)</f>
        <v>0.0</v>
      </c>
      <c r="AD1956">
        <f>IF(AND(AC1956=1,A1956&gt;=p_from,A1956&lt;=p_to),1,0)</f>
        <v>0.0</v>
      </c>
      <c r="AE1956">
        <f>IF(AD1956=1,IF(COUNTIFS($A$6:A1956,A1956,$AD$6:AD1956,1)=1,1,0),0)</f>
        <v>0.0</v>
      </c>
      <c r="AF1956" t="str">
        <f>IF(AE1956=1,COUNTIFS(sj_first,1,sj_date,"&lt;"&amp;A1956)+1,"")</f>
        <v/>
      </c>
      <c r="AG1956" t="str">
        <f>IF(AND(AD1956=1,N(W1956)&lt;p_alert),ROUND(W1956,4),"")</f>
        <v/>
      </c>
      <c r="AH1956" t="str">
        <f>IF(AG1956="","",COUNTIF(sj_akey,"&lt;"&amp;AG1956)+COUNTIF($AG$6:AG1956,AG1956))</f>
        <v/>
      </c>
    </row>
    <row r="1957">
      <c r="A1957" s="51" t="n"/>
      <c r="B1957" s="52" t="n"/>
      <c r="C1957" s="52" t="n"/>
      <c r="D1957" s="53" t="n"/>
      <c r="E1957" s="53" t="n"/>
      <c r="F1957" s="54" t="n"/>
      <c r="G1957" s="54" t="n"/>
      <c r="H1957" s="54" t="n"/>
      <c r="I1957" s="54" t="n"/>
      <c r="J1957" s="53" t="n"/>
      <c r="K1957" s="55" t="str">
        <f>IF(COUNTA(A1957:I1957)=0,"",IF(F1957="",IFERROR(INDEX(eq_dur,MATCH(B1957,eq_code,0)),""),F1957))</f>
        <v/>
      </c>
      <c r="L1957" s="55" t="str">
        <f>IF(ISNUMBER(K1957),N(IFERROR(INDEX(eq_pause,MATCH(B1957,eq_code,0)),0))+SUMIFS(st_min,st_date,A1957,st_eq,B1957,st_po,C1957,st_type,"Planifié"),"")</f>
        <v/>
      </c>
      <c r="M1957" s="55" t="str">
        <f>IF(ISNUMBER(K1957),K1957-L1957,"")</f>
        <v/>
      </c>
      <c r="N1957" s="55" t="str">
        <f>IF(ISNUMBER(K1957),SUMIFS(st_min,st_date,A1957,st_eq,B1957,st_po,C1957,st_type,"Non planifié"),"")</f>
        <v/>
      </c>
      <c r="O1957" s="55" t="str">
        <f>IF(ISNUMBER(K1957),M1957-N1957,"")</f>
        <v/>
      </c>
      <c r="P1957" s="55" t="str">
        <f>IF(COUNTA(A1957:I1957)=0,"",N(G1957)+N(H1957)+N(I1957))</f>
        <v/>
      </c>
      <c r="Q1957" s="56" t="str">
        <f>IF(COUNTA(A1957:I1957)=0,"",IF(N(IFERROR(INDEX(art_rate,MATCH(E1957,art_ref,0)),0))&gt;0,N(IFERROR(INDEX(art_rate,MATCH(E1957,art_ref,0)),0)),N(IFERROR(INDEX(po_rate,MATCH(C1957,po_code,0)),0))))</f>
        <v/>
      </c>
      <c r="R1957" s="55" t="str">
        <f>IF(AC1957=1,P1957*60/Q1957,"")</f>
        <v/>
      </c>
      <c r="S1957" s="55" t="str">
        <f>IF(AC1957=1,N(G1957)*60/Q1957,"")</f>
        <v/>
      </c>
      <c r="T1957" s="57" t="str">
        <f>IF(AC1957=1,O1957/M1957,"")</f>
        <v/>
      </c>
      <c r="U1957" s="57" t="str">
        <f>IF(AC1957=1,IF(O1957&gt;0,R1957/O1957,""),"")</f>
        <v/>
      </c>
      <c r="V1957" s="57" t="str">
        <f>IF(AC1957=1,IF(P1957&gt;0,N(G1957)/P1957,""),"")</f>
        <v/>
      </c>
      <c r="W1957" s="57" t="str">
        <f>IF(AC1957=1,S1957/M1957,"")</f>
        <v/>
      </c>
      <c r="X1957" s="57" t="str">
        <f>IF(AC1957=1,S1957/K1957,"")</f>
        <v/>
      </c>
      <c r="Y1957" s="58" t="str">
        <f>IF(W1957="","",IF(W1957&gt;=p_target,"Bon",IF(W1957&gt;=p_alert,"À surveiller","Faible")))</f>
        <v/>
      </c>
      <c r="Z1957" s="58" t="str">
        <f>IF(W1957="","",IF(MIN(IF(T1957="",1,T1957),IF(U1957="",1,U1957),IF(V1957="",1,V1957))&gt;=1,"Aucune",IF(IF(T1957="",1,T1957)&lt;=MIN(IF(U1957="",1,U1957),IF(V1957="",1,V1957)),"Disponibilité",IF(IF(U1957="",1,U1957)&lt;=IF(V1957="",1,V1957),"Performance","Qualité"))))</f>
        <v/>
      </c>
      <c r="AA1957" s="59" t="str">
        <f>IF(AC1957=1,N(H1957)*N(IFERROR(INDEX(art_cost,MATCH(E1957,art_ref,0)),0)),"")</f>
        <v/>
      </c>
      <c r="AB1957" s="58" t="str">
        <f>IF(COUNTA(A1957:I1957)=0,"",IF(N(A1957)&lt;=0,"Date manquante ou invalide",IF(B1957="","Équipe manquante",IF(ISNA(MATCH(B1957,eq_code,0)),"Équipe inconnue",IF(INDEX(eq_check,MATCH(B1957,eq_code,0))&lt;&gt;"OK","Équipe à corriger dans Paramètres",IF(C1957="","Poste manquant",IF(ISNA(MATCH(C1957,po_code,0)),"Poste inconnu",IF(AND(E1957&lt;&gt;"",ISNA(MATCH(E1957,art_ref,0))),"Article inconnu",IF(IF(E1957="",FALSE,INDEX(art_check,MATCH(E1957,art_ref,0))&lt;&gt;"OK"),"Article à corriger (feuille Articles)",IF(COUNTIFS(sj_date,A1957,sj_eq,B1957,sj_po,C1957)&gt;1,"Ligne en double (même jour, équipe et poste)",IF(OR(NOT(ISNUMBER(K1957)),N(K1957)&lt;=0,N(K1957)&gt;1440),"Temps d'ouverture invalide",IF(OR(AND(G1957&lt;&gt;"",NOT(ISNUMBER(G1957))),N(G1957)&lt;0,N(G1957)&lt;&gt;INT(N(G1957)),AND(H1957&lt;&gt;"",NOT(ISNUMBER(H1957))),N(H1957)&lt;0,N(H1957)&lt;&gt;INT(N(H1957)),AND(I1957&lt;&gt;"",NOT(ISNUMBER(I1957))),N(I1957)&lt;0,N(I1957)&lt;&gt;INT(N(I1957))),"Quantité invalide",IF(Q1957&lt;=0,"Cadence manquante (poste ou article)",IF(M1957&lt;=0,"Arrêts planifiés supérieurs au temps d'ouverture",IF(O1957&lt;0,"Arrêts supérieurs au temps requis",IF(AND(P1957&gt;0,O1957=0),"Pièces déclarées sans temps de marche",IF(AND(P1957=0,O1957&gt;0),"Aucune pièce déclarée",IF(P1957*60/Q1957&gt;O1957+0.001,"Cadence dépassée : vérifiez la cadence","OK"))))))))))))))))))</f>
        <v/>
      </c>
      <c r="AC1957">
        <f>IF(OR(AB1957="OK",AB1957="Aucune pièce déclarée",AB1957="Cadence dépassée : vérifiez la cadence"),1,0)</f>
        <v>0.0</v>
      </c>
      <c r="AD1957">
        <f>IF(AND(AC1957=1,A1957&gt;=p_from,A1957&lt;=p_to),1,0)</f>
        <v>0.0</v>
      </c>
      <c r="AE1957">
        <f>IF(AD1957=1,IF(COUNTIFS($A$6:A1957,A1957,$AD$6:AD1957,1)=1,1,0),0)</f>
        <v>0.0</v>
      </c>
      <c r="AF1957" t="str">
        <f>IF(AE1957=1,COUNTIFS(sj_first,1,sj_date,"&lt;"&amp;A1957)+1,"")</f>
        <v/>
      </c>
      <c r="AG1957" t="str">
        <f>IF(AND(AD1957=1,N(W1957)&lt;p_alert),ROUND(W1957,4),"")</f>
        <v/>
      </c>
      <c r="AH1957" t="str">
        <f>IF(AG1957="","",COUNTIF(sj_akey,"&lt;"&amp;AG1957)+COUNTIF($AG$6:AG1957,AG1957))</f>
        <v/>
      </c>
    </row>
    <row r="1958">
      <c r="A1958" s="51" t="n"/>
      <c r="B1958" s="52" t="n"/>
      <c r="C1958" s="52" t="n"/>
      <c r="D1958" s="53" t="n"/>
      <c r="E1958" s="53" t="n"/>
      <c r="F1958" s="54" t="n"/>
      <c r="G1958" s="54" t="n"/>
      <c r="H1958" s="54" t="n"/>
      <c r="I1958" s="54" t="n"/>
      <c r="J1958" s="53" t="n"/>
      <c r="K1958" s="55" t="str">
        <f>IF(COUNTA(A1958:I1958)=0,"",IF(F1958="",IFERROR(INDEX(eq_dur,MATCH(B1958,eq_code,0)),""),F1958))</f>
        <v/>
      </c>
      <c r="L1958" s="55" t="str">
        <f>IF(ISNUMBER(K1958),N(IFERROR(INDEX(eq_pause,MATCH(B1958,eq_code,0)),0))+SUMIFS(st_min,st_date,A1958,st_eq,B1958,st_po,C1958,st_type,"Planifié"),"")</f>
        <v/>
      </c>
      <c r="M1958" s="55" t="str">
        <f>IF(ISNUMBER(K1958),K1958-L1958,"")</f>
        <v/>
      </c>
      <c r="N1958" s="55" t="str">
        <f>IF(ISNUMBER(K1958),SUMIFS(st_min,st_date,A1958,st_eq,B1958,st_po,C1958,st_type,"Non planifié"),"")</f>
        <v/>
      </c>
      <c r="O1958" s="55" t="str">
        <f>IF(ISNUMBER(K1958),M1958-N1958,"")</f>
        <v/>
      </c>
      <c r="P1958" s="55" t="str">
        <f>IF(COUNTA(A1958:I1958)=0,"",N(G1958)+N(H1958)+N(I1958))</f>
        <v/>
      </c>
      <c r="Q1958" s="56" t="str">
        <f>IF(COUNTA(A1958:I1958)=0,"",IF(N(IFERROR(INDEX(art_rate,MATCH(E1958,art_ref,0)),0))&gt;0,N(IFERROR(INDEX(art_rate,MATCH(E1958,art_ref,0)),0)),N(IFERROR(INDEX(po_rate,MATCH(C1958,po_code,0)),0))))</f>
        <v/>
      </c>
      <c r="R1958" s="55" t="str">
        <f>IF(AC1958=1,P1958*60/Q1958,"")</f>
        <v/>
      </c>
      <c r="S1958" s="55" t="str">
        <f>IF(AC1958=1,N(G1958)*60/Q1958,"")</f>
        <v/>
      </c>
      <c r="T1958" s="57" t="str">
        <f>IF(AC1958=1,O1958/M1958,"")</f>
        <v/>
      </c>
      <c r="U1958" s="57" t="str">
        <f>IF(AC1958=1,IF(O1958&gt;0,R1958/O1958,""),"")</f>
        <v/>
      </c>
      <c r="V1958" s="57" t="str">
        <f>IF(AC1958=1,IF(P1958&gt;0,N(G1958)/P1958,""),"")</f>
        <v/>
      </c>
      <c r="W1958" s="57" t="str">
        <f>IF(AC1958=1,S1958/M1958,"")</f>
        <v/>
      </c>
      <c r="X1958" s="57" t="str">
        <f>IF(AC1958=1,S1958/K1958,"")</f>
        <v/>
      </c>
      <c r="Y1958" s="58" t="str">
        <f>IF(W1958="","",IF(W1958&gt;=p_target,"Bon",IF(W1958&gt;=p_alert,"À surveiller","Faible")))</f>
        <v/>
      </c>
      <c r="Z1958" s="58" t="str">
        <f>IF(W1958="","",IF(MIN(IF(T1958="",1,T1958),IF(U1958="",1,U1958),IF(V1958="",1,V1958))&gt;=1,"Aucune",IF(IF(T1958="",1,T1958)&lt;=MIN(IF(U1958="",1,U1958),IF(V1958="",1,V1958)),"Disponibilité",IF(IF(U1958="",1,U1958)&lt;=IF(V1958="",1,V1958),"Performance","Qualité"))))</f>
        <v/>
      </c>
      <c r="AA1958" s="59" t="str">
        <f>IF(AC1958=1,N(H1958)*N(IFERROR(INDEX(art_cost,MATCH(E1958,art_ref,0)),0)),"")</f>
        <v/>
      </c>
      <c r="AB1958" s="58" t="str">
        <f>IF(COUNTA(A1958:I1958)=0,"",IF(N(A1958)&lt;=0,"Date manquante ou invalide",IF(B1958="","Équipe manquante",IF(ISNA(MATCH(B1958,eq_code,0)),"Équipe inconnue",IF(INDEX(eq_check,MATCH(B1958,eq_code,0))&lt;&gt;"OK","Équipe à corriger dans Paramètres",IF(C1958="","Poste manquant",IF(ISNA(MATCH(C1958,po_code,0)),"Poste inconnu",IF(AND(E1958&lt;&gt;"",ISNA(MATCH(E1958,art_ref,0))),"Article inconnu",IF(IF(E1958="",FALSE,INDEX(art_check,MATCH(E1958,art_ref,0))&lt;&gt;"OK"),"Article à corriger (feuille Articles)",IF(COUNTIFS(sj_date,A1958,sj_eq,B1958,sj_po,C1958)&gt;1,"Ligne en double (même jour, équipe et poste)",IF(OR(NOT(ISNUMBER(K1958)),N(K1958)&lt;=0,N(K1958)&gt;1440),"Temps d'ouverture invalide",IF(OR(AND(G1958&lt;&gt;"",NOT(ISNUMBER(G1958))),N(G1958)&lt;0,N(G1958)&lt;&gt;INT(N(G1958)),AND(H1958&lt;&gt;"",NOT(ISNUMBER(H1958))),N(H1958)&lt;0,N(H1958)&lt;&gt;INT(N(H1958)),AND(I1958&lt;&gt;"",NOT(ISNUMBER(I1958))),N(I1958)&lt;0,N(I1958)&lt;&gt;INT(N(I1958))),"Quantité invalide",IF(Q1958&lt;=0,"Cadence manquante (poste ou article)",IF(M1958&lt;=0,"Arrêts planifiés supérieurs au temps d'ouverture",IF(O1958&lt;0,"Arrêts supérieurs au temps requis",IF(AND(P1958&gt;0,O1958=0),"Pièces déclarées sans temps de marche",IF(AND(P1958=0,O1958&gt;0),"Aucune pièce déclarée",IF(P1958*60/Q1958&gt;O1958+0.001,"Cadence dépassée : vérifiez la cadence","OK"))))))))))))))))))</f>
        <v/>
      </c>
      <c r="AC1958">
        <f>IF(OR(AB1958="OK",AB1958="Aucune pièce déclarée",AB1958="Cadence dépassée : vérifiez la cadence"),1,0)</f>
        <v>0.0</v>
      </c>
      <c r="AD1958">
        <f>IF(AND(AC1958=1,A1958&gt;=p_from,A1958&lt;=p_to),1,0)</f>
        <v>0.0</v>
      </c>
      <c r="AE1958">
        <f>IF(AD1958=1,IF(COUNTIFS($A$6:A1958,A1958,$AD$6:AD1958,1)=1,1,0),0)</f>
        <v>0.0</v>
      </c>
      <c r="AF1958" t="str">
        <f>IF(AE1958=1,COUNTIFS(sj_first,1,sj_date,"&lt;"&amp;A1958)+1,"")</f>
        <v/>
      </c>
      <c r="AG1958" t="str">
        <f>IF(AND(AD1958=1,N(W1958)&lt;p_alert),ROUND(W1958,4),"")</f>
        <v/>
      </c>
      <c r="AH1958" t="str">
        <f>IF(AG1958="","",COUNTIF(sj_akey,"&lt;"&amp;AG1958)+COUNTIF($AG$6:AG1958,AG1958))</f>
        <v/>
      </c>
    </row>
    <row r="1959">
      <c r="A1959" s="51" t="n"/>
      <c r="B1959" s="52" t="n"/>
      <c r="C1959" s="52" t="n"/>
      <c r="D1959" s="53" t="n"/>
      <c r="E1959" s="53" t="n"/>
      <c r="F1959" s="54" t="n"/>
      <c r="G1959" s="54" t="n"/>
      <c r="H1959" s="54" t="n"/>
      <c r="I1959" s="54" t="n"/>
      <c r="J1959" s="53" t="n"/>
      <c r="K1959" s="55" t="str">
        <f>IF(COUNTA(A1959:I1959)=0,"",IF(F1959="",IFERROR(INDEX(eq_dur,MATCH(B1959,eq_code,0)),""),F1959))</f>
        <v/>
      </c>
      <c r="L1959" s="55" t="str">
        <f>IF(ISNUMBER(K1959),N(IFERROR(INDEX(eq_pause,MATCH(B1959,eq_code,0)),0))+SUMIFS(st_min,st_date,A1959,st_eq,B1959,st_po,C1959,st_type,"Planifié"),"")</f>
        <v/>
      </c>
      <c r="M1959" s="55" t="str">
        <f>IF(ISNUMBER(K1959),K1959-L1959,"")</f>
        <v/>
      </c>
      <c r="N1959" s="55" t="str">
        <f>IF(ISNUMBER(K1959),SUMIFS(st_min,st_date,A1959,st_eq,B1959,st_po,C1959,st_type,"Non planifié"),"")</f>
        <v/>
      </c>
      <c r="O1959" s="55" t="str">
        <f>IF(ISNUMBER(K1959),M1959-N1959,"")</f>
        <v/>
      </c>
      <c r="P1959" s="55" t="str">
        <f>IF(COUNTA(A1959:I1959)=0,"",N(G1959)+N(H1959)+N(I1959))</f>
        <v/>
      </c>
      <c r="Q1959" s="56" t="str">
        <f>IF(COUNTA(A1959:I1959)=0,"",IF(N(IFERROR(INDEX(art_rate,MATCH(E1959,art_ref,0)),0))&gt;0,N(IFERROR(INDEX(art_rate,MATCH(E1959,art_ref,0)),0)),N(IFERROR(INDEX(po_rate,MATCH(C1959,po_code,0)),0))))</f>
        <v/>
      </c>
      <c r="R1959" s="55" t="str">
        <f>IF(AC1959=1,P1959*60/Q1959,"")</f>
        <v/>
      </c>
      <c r="S1959" s="55" t="str">
        <f>IF(AC1959=1,N(G1959)*60/Q1959,"")</f>
        <v/>
      </c>
      <c r="T1959" s="57" t="str">
        <f>IF(AC1959=1,O1959/M1959,"")</f>
        <v/>
      </c>
      <c r="U1959" s="57" t="str">
        <f>IF(AC1959=1,IF(O1959&gt;0,R1959/O1959,""),"")</f>
        <v/>
      </c>
      <c r="V1959" s="57" t="str">
        <f>IF(AC1959=1,IF(P1959&gt;0,N(G1959)/P1959,""),"")</f>
        <v/>
      </c>
      <c r="W1959" s="57" t="str">
        <f>IF(AC1959=1,S1959/M1959,"")</f>
        <v/>
      </c>
      <c r="X1959" s="57" t="str">
        <f>IF(AC1959=1,S1959/K1959,"")</f>
        <v/>
      </c>
      <c r="Y1959" s="58" t="str">
        <f>IF(W1959="","",IF(W1959&gt;=p_target,"Bon",IF(W1959&gt;=p_alert,"À surveiller","Faible")))</f>
        <v/>
      </c>
      <c r="Z1959" s="58" t="str">
        <f>IF(W1959="","",IF(MIN(IF(T1959="",1,T1959),IF(U1959="",1,U1959),IF(V1959="",1,V1959))&gt;=1,"Aucune",IF(IF(T1959="",1,T1959)&lt;=MIN(IF(U1959="",1,U1959),IF(V1959="",1,V1959)),"Disponibilité",IF(IF(U1959="",1,U1959)&lt;=IF(V1959="",1,V1959),"Performance","Qualité"))))</f>
        <v/>
      </c>
      <c r="AA1959" s="59" t="str">
        <f>IF(AC1959=1,N(H1959)*N(IFERROR(INDEX(art_cost,MATCH(E1959,art_ref,0)),0)),"")</f>
        <v/>
      </c>
      <c r="AB1959" s="58" t="str">
        <f>IF(COUNTA(A1959:I1959)=0,"",IF(N(A1959)&lt;=0,"Date manquante ou invalide",IF(B1959="","Équipe manquante",IF(ISNA(MATCH(B1959,eq_code,0)),"Équipe inconnue",IF(INDEX(eq_check,MATCH(B1959,eq_code,0))&lt;&gt;"OK","Équipe à corriger dans Paramètres",IF(C1959="","Poste manquant",IF(ISNA(MATCH(C1959,po_code,0)),"Poste inconnu",IF(AND(E1959&lt;&gt;"",ISNA(MATCH(E1959,art_ref,0))),"Article inconnu",IF(IF(E1959="",FALSE,INDEX(art_check,MATCH(E1959,art_ref,0))&lt;&gt;"OK"),"Article à corriger (feuille Articles)",IF(COUNTIFS(sj_date,A1959,sj_eq,B1959,sj_po,C1959)&gt;1,"Ligne en double (même jour, équipe et poste)",IF(OR(NOT(ISNUMBER(K1959)),N(K1959)&lt;=0,N(K1959)&gt;1440),"Temps d'ouverture invalide",IF(OR(AND(G1959&lt;&gt;"",NOT(ISNUMBER(G1959))),N(G1959)&lt;0,N(G1959)&lt;&gt;INT(N(G1959)),AND(H1959&lt;&gt;"",NOT(ISNUMBER(H1959))),N(H1959)&lt;0,N(H1959)&lt;&gt;INT(N(H1959)),AND(I1959&lt;&gt;"",NOT(ISNUMBER(I1959))),N(I1959)&lt;0,N(I1959)&lt;&gt;INT(N(I1959))),"Quantité invalide",IF(Q1959&lt;=0,"Cadence manquante (poste ou article)",IF(M1959&lt;=0,"Arrêts planifiés supérieurs au temps d'ouverture",IF(O1959&lt;0,"Arrêts supérieurs au temps requis",IF(AND(P1959&gt;0,O1959=0),"Pièces déclarées sans temps de marche",IF(AND(P1959=0,O1959&gt;0),"Aucune pièce déclarée",IF(P1959*60/Q1959&gt;O1959+0.001,"Cadence dépassée : vérifiez la cadence","OK"))))))))))))))))))</f>
        <v/>
      </c>
      <c r="AC1959">
        <f>IF(OR(AB1959="OK",AB1959="Aucune pièce déclarée",AB1959="Cadence dépassée : vérifiez la cadence"),1,0)</f>
        <v>0.0</v>
      </c>
      <c r="AD1959">
        <f>IF(AND(AC1959=1,A1959&gt;=p_from,A1959&lt;=p_to),1,0)</f>
        <v>0.0</v>
      </c>
      <c r="AE1959">
        <f>IF(AD1959=1,IF(COUNTIFS($A$6:A1959,A1959,$AD$6:AD1959,1)=1,1,0),0)</f>
        <v>0.0</v>
      </c>
      <c r="AF1959" t="str">
        <f>IF(AE1959=1,COUNTIFS(sj_first,1,sj_date,"&lt;"&amp;A1959)+1,"")</f>
        <v/>
      </c>
      <c r="AG1959" t="str">
        <f>IF(AND(AD1959=1,N(W1959)&lt;p_alert),ROUND(W1959,4),"")</f>
        <v/>
      </c>
      <c r="AH1959" t="str">
        <f>IF(AG1959="","",COUNTIF(sj_akey,"&lt;"&amp;AG1959)+COUNTIF($AG$6:AG1959,AG1959))</f>
        <v/>
      </c>
    </row>
    <row r="1960">
      <c r="A1960" s="51" t="n"/>
      <c r="B1960" s="52" t="n"/>
      <c r="C1960" s="52" t="n"/>
      <c r="D1960" s="53" t="n"/>
      <c r="E1960" s="53" t="n"/>
      <c r="F1960" s="54" t="n"/>
      <c r="G1960" s="54" t="n"/>
      <c r="H1960" s="54" t="n"/>
      <c r="I1960" s="54" t="n"/>
      <c r="J1960" s="53" t="n"/>
      <c r="K1960" s="55" t="str">
        <f>IF(COUNTA(A1960:I1960)=0,"",IF(F1960="",IFERROR(INDEX(eq_dur,MATCH(B1960,eq_code,0)),""),F1960))</f>
        <v/>
      </c>
      <c r="L1960" s="55" t="str">
        <f>IF(ISNUMBER(K1960),N(IFERROR(INDEX(eq_pause,MATCH(B1960,eq_code,0)),0))+SUMIFS(st_min,st_date,A1960,st_eq,B1960,st_po,C1960,st_type,"Planifié"),"")</f>
        <v/>
      </c>
      <c r="M1960" s="55" t="str">
        <f>IF(ISNUMBER(K1960),K1960-L1960,"")</f>
        <v/>
      </c>
      <c r="N1960" s="55" t="str">
        <f>IF(ISNUMBER(K1960),SUMIFS(st_min,st_date,A1960,st_eq,B1960,st_po,C1960,st_type,"Non planifié"),"")</f>
        <v/>
      </c>
      <c r="O1960" s="55" t="str">
        <f>IF(ISNUMBER(K1960),M1960-N1960,"")</f>
        <v/>
      </c>
      <c r="P1960" s="55" t="str">
        <f>IF(COUNTA(A1960:I1960)=0,"",N(G1960)+N(H1960)+N(I1960))</f>
        <v/>
      </c>
      <c r="Q1960" s="56" t="str">
        <f>IF(COUNTA(A1960:I1960)=0,"",IF(N(IFERROR(INDEX(art_rate,MATCH(E1960,art_ref,0)),0))&gt;0,N(IFERROR(INDEX(art_rate,MATCH(E1960,art_ref,0)),0)),N(IFERROR(INDEX(po_rate,MATCH(C1960,po_code,0)),0))))</f>
        <v/>
      </c>
      <c r="R1960" s="55" t="str">
        <f>IF(AC1960=1,P1960*60/Q1960,"")</f>
        <v/>
      </c>
      <c r="S1960" s="55" t="str">
        <f>IF(AC1960=1,N(G1960)*60/Q1960,"")</f>
        <v/>
      </c>
      <c r="T1960" s="57" t="str">
        <f>IF(AC1960=1,O1960/M1960,"")</f>
        <v/>
      </c>
      <c r="U1960" s="57" t="str">
        <f>IF(AC1960=1,IF(O1960&gt;0,R1960/O1960,""),"")</f>
        <v/>
      </c>
      <c r="V1960" s="57" t="str">
        <f>IF(AC1960=1,IF(P1960&gt;0,N(G1960)/P1960,""),"")</f>
        <v/>
      </c>
      <c r="W1960" s="57" t="str">
        <f>IF(AC1960=1,S1960/M1960,"")</f>
        <v/>
      </c>
      <c r="X1960" s="57" t="str">
        <f>IF(AC1960=1,S1960/K1960,"")</f>
        <v/>
      </c>
      <c r="Y1960" s="58" t="str">
        <f>IF(W1960="","",IF(W1960&gt;=p_target,"Bon",IF(W1960&gt;=p_alert,"À surveiller","Faible")))</f>
        <v/>
      </c>
      <c r="Z1960" s="58" t="str">
        <f>IF(W1960="","",IF(MIN(IF(T1960="",1,T1960),IF(U1960="",1,U1960),IF(V1960="",1,V1960))&gt;=1,"Aucune",IF(IF(T1960="",1,T1960)&lt;=MIN(IF(U1960="",1,U1960),IF(V1960="",1,V1960)),"Disponibilité",IF(IF(U1960="",1,U1960)&lt;=IF(V1960="",1,V1960),"Performance","Qualité"))))</f>
        <v/>
      </c>
      <c r="AA1960" s="59" t="str">
        <f>IF(AC1960=1,N(H1960)*N(IFERROR(INDEX(art_cost,MATCH(E1960,art_ref,0)),0)),"")</f>
        <v/>
      </c>
      <c r="AB1960" s="58" t="str">
        <f>IF(COUNTA(A1960:I1960)=0,"",IF(N(A1960)&lt;=0,"Date manquante ou invalide",IF(B1960="","Équipe manquante",IF(ISNA(MATCH(B1960,eq_code,0)),"Équipe inconnue",IF(INDEX(eq_check,MATCH(B1960,eq_code,0))&lt;&gt;"OK","Équipe à corriger dans Paramètres",IF(C1960="","Poste manquant",IF(ISNA(MATCH(C1960,po_code,0)),"Poste inconnu",IF(AND(E1960&lt;&gt;"",ISNA(MATCH(E1960,art_ref,0))),"Article inconnu",IF(IF(E1960="",FALSE,INDEX(art_check,MATCH(E1960,art_ref,0))&lt;&gt;"OK"),"Article à corriger (feuille Articles)",IF(COUNTIFS(sj_date,A1960,sj_eq,B1960,sj_po,C1960)&gt;1,"Ligne en double (même jour, équipe et poste)",IF(OR(NOT(ISNUMBER(K1960)),N(K1960)&lt;=0,N(K1960)&gt;1440),"Temps d'ouverture invalide",IF(OR(AND(G1960&lt;&gt;"",NOT(ISNUMBER(G1960))),N(G1960)&lt;0,N(G1960)&lt;&gt;INT(N(G1960)),AND(H1960&lt;&gt;"",NOT(ISNUMBER(H1960))),N(H1960)&lt;0,N(H1960)&lt;&gt;INT(N(H1960)),AND(I1960&lt;&gt;"",NOT(ISNUMBER(I1960))),N(I1960)&lt;0,N(I1960)&lt;&gt;INT(N(I1960))),"Quantité invalide",IF(Q1960&lt;=0,"Cadence manquante (poste ou article)",IF(M1960&lt;=0,"Arrêts planifiés supérieurs au temps d'ouverture",IF(O1960&lt;0,"Arrêts supérieurs au temps requis",IF(AND(P1960&gt;0,O1960=0),"Pièces déclarées sans temps de marche",IF(AND(P1960=0,O1960&gt;0),"Aucune pièce déclarée",IF(P1960*60/Q1960&gt;O1960+0.001,"Cadence dépassée : vérifiez la cadence","OK"))))))))))))))))))</f>
        <v/>
      </c>
      <c r="AC1960">
        <f>IF(OR(AB1960="OK",AB1960="Aucune pièce déclarée",AB1960="Cadence dépassée : vérifiez la cadence"),1,0)</f>
        <v>0.0</v>
      </c>
      <c r="AD1960">
        <f>IF(AND(AC1960=1,A1960&gt;=p_from,A1960&lt;=p_to),1,0)</f>
        <v>0.0</v>
      </c>
      <c r="AE1960">
        <f>IF(AD1960=1,IF(COUNTIFS($A$6:A1960,A1960,$AD$6:AD1960,1)=1,1,0),0)</f>
        <v>0.0</v>
      </c>
      <c r="AF1960" t="str">
        <f>IF(AE1960=1,COUNTIFS(sj_first,1,sj_date,"&lt;"&amp;A1960)+1,"")</f>
        <v/>
      </c>
      <c r="AG1960" t="str">
        <f>IF(AND(AD1960=1,N(W1960)&lt;p_alert),ROUND(W1960,4),"")</f>
        <v/>
      </c>
      <c r="AH1960" t="str">
        <f>IF(AG1960="","",COUNTIF(sj_akey,"&lt;"&amp;AG1960)+COUNTIF($AG$6:AG1960,AG1960))</f>
        <v/>
      </c>
    </row>
    <row r="1961">
      <c r="A1961" s="51" t="n"/>
      <c r="B1961" s="52" t="n"/>
      <c r="C1961" s="52" t="n"/>
      <c r="D1961" s="53" t="n"/>
      <c r="E1961" s="53" t="n"/>
      <c r="F1961" s="54" t="n"/>
      <c r="G1961" s="54" t="n"/>
      <c r="H1961" s="54" t="n"/>
      <c r="I1961" s="54" t="n"/>
      <c r="J1961" s="53" t="n"/>
      <c r="K1961" s="55" t="str">
        <f>IF(COUNTA(A1961:I1961)=0,"",IF(F1961="",IFERROR(INDEX(eq_dur,MATCH(B1961,eq_code,0)),""),F1961))</f>
        <v/>
      </c>
      <c r="L1961" s="55" t="str">
        <f>IF(ISNUMBER(K1961),N(IFERROR(INDEX(eq_pause,MATCH(B1961,eq_code,0)),0))+SUMIFS(st_min,st_date,A1961,st_eq,B1961,st_po,C1961,st_type,"Planifié"),"")</f>
        <v/>
      </c>
      <c r="M1961" s="55" t="str">
        <f>IF(ISNUMBER(K1961),K1961-L1961,"")</f>
        <v/>
      </c>
      <c r="N1961" s="55" t="str">
        <f>IF(ISNUMBER(K1961),SUMIFS(st_min,st_date,A1961,st_eq,B1961,st_po,C1961,st_type,"Non planifié"),"")</f>
        <v/>
      </c>
      <c r="O1961" s="55" t="str">
        <f>IF(ISNUMBER(K1961),M1961-N1961,"")</f>
        <v/>
      </c>
      <c r="P1961" s="55" t="str">
        <f>IF(COUNTA(A1961:I1961)=0,"",N(G1961)+N(H1961)+N(I1961))</f>
        <v/>
      </c>
      <c r="Q1961" s="56" t="str">
        <f>IF(COUNTA(A1961:I1961)=0,"",IF(N(IFERROR(INDEX(art_rate,MATCH(E1961,art_ref,0)),0))&gt;0,N(IFERROR(INDEX(art_rate,MATCH(E1961,art_ref,0)),0)),N(IFERROR(INDEX(po_rate,MATCH(C1961,po_code,0)),0))))</f>
        <v/>
      </c>
      <c r="R1961" s="55" t="str">
        <f>IF(AC1961=1,P1961*60/Q1961,"")</f>
        <v/>
      </c>
      <c r="S1961" s="55" t="str">
        <f>IF(AC1961=1,N(G1961)*60/Q1961,"")</f>
        <v/>
      </c>
      <c r="T1961" s="57" t="str">
        <f>IF(AC1961=1,O1961/M1961,"")</f>
        <v/>
      </c>
      <c r="U1961" s="57" t="str">
        <f>IF(AC1961=1,IF(O1961&gt;0,R1961/O1961,""),"")</f>
        <v/>
      </c>
      <c r="V1961" s="57" t="str">
        <f>IF(AC1961=1,IF(P1961&gt;0,N(G1961)/P1961,""),"")</f>
        <v/>
      </c>
      <c r="W1961" s="57" t="str">
        <f>IF(AC1961=1,S1961/M1961,"")</f>
        <v/>
      </c>
      <c r="X1961" s="57" t="str">
        <f>IF(AC1961=1,S1961/K1961,"")</f>
        <v/>
      </c>
      <c r="Y1961" s="58" t="str">
        <f>IF(W1961="","",IF(W1961&gt;=p_target,"Bon",IF(W1961&gt;=p_alert,"À surveiller","Faible")))</f>
        <v/>
      </c>
      <c r="Z1961" s="58" t="str">
        <f>IF(W1961="","",IF(MIN(IF(T1961="",1,T1961),IF(U1961="",1,U1961),IF(V1961="",1,V1961))&gt;=1,"Aucune",IF(IF(T1961="",1,T1961)&lt;=MIN(IF(U1961="",1,U1961),IF(V1961="",1,V1961)),"Disponibilité",IF(IF(U1961="",1,U1961)&lt;=IF(V1961="",1,V1961),"Performance","Qualité"))))</f>
        <v/>
      </c>
      <c r="AA1961" s="59" t="str">
        <f>IF(AC1961=1,N(H1961)*N(IFERROR(INDEX(art_cost,MATCH(E1961,art_ref,0)),0)),"")</f>
        <v/>
      </c>
      <c r="AB1961" s="58" t="str">
        <f>IF(COUNTA(A1961:I1961)=0,"",IF(N(A1961)&lt;=0,"Date manquante ou invalide",IF(B1961="","Équipe manquante",IF(ISNA(MATCH(B1961,eq_code,0)),"Équipe inconnue",IF(INDEX(eq_check,MATCH(B1961,eq_code,0))&lt;&gt;"OK","Équipe à corriger dans Paramètres",IF(C1961="","Poste manquant",IF(ISNA(MATCH(C1961,po_code,0)),"Poste inconnu",IF(AND(E1961&lt;&gt;"",ISNA(MATCH(E1961,art_ref,0))),"Article inconnu",IF(IF(E1961="",FALSE,INDEX(art_check,MATCH(E1961,art_ref,0))&lt;&gt;"OK"),"Article à corriger (feuille Articles)",IF(COUNTIFS(sj_date,A1961,sj_eq,B1961,sj_po,C1961)&gt;1,"Ligne en double (même jour, équipe et poste)",IF(OR(NOT(ISNUMBER(K1961)),N(K1961)&lt;=0,N(K1961)&gt;1440),"Temps d'ouverture invalide",IF(OR(AND(G1961&lt;&gt;"",NOT(ISNUMBER(G1961))),N(G1961)&lt;0,N(G1961)&lt;&gt;INT(N(G1961)),AND(H1961&lt;&gt;"",NOT(ISNUMBER(H1961))),N(H1961)&lt;0,N(H1961)&lt;&gt;INT(N(H1961)),AND(I1961&lt;&gt;"",NOT(ISNUMBER(I1961))),N(I1961)&lt;0,N(I1961)&lt;&gt;INT(N(I1961))),"Quantité invalide",IF(Q1961&lt;=0,"Cadence manquante (poste ou article)",IF(M1961&lt;=0,"Arrêts planifiés supérieurs au temps d'ouverture",IF(O1961&lt;0,"Arrêts supérieurs au temps requis",IF(AND(P1961&gt;0,O1961=0),"Pièces déclarées sans temps de marche",IF(AND(P1961=0,O1961&gt;0),"Aucune pièce déclarée",IF(P1961*60/Q1961&gt;O1961+0.001,"Cadence dépassée : vérifiez la cadence","OK"))))))))))))))))))</f>
        <v/>
      </c>
      <c r="AC1961">
        <f>IF(OR(AB1961="OK",AB1961="Aucune pièce déclarée",AB1961="Cadence dépassée : vérifiez la cadence"),1,0)</f>
        <v>0.0</v>
      </c>
      <c r="AD1961">
        <f>IF(AND(AC1961=1,A1961&gt;=p_from,A1961&lt;=p_to),1,0)</f>
        <v>0.0</v>
      </c>
      <c r="AE1961">
        <f>IF(AD1961=1,IF(COUNTIFS($A$6:A1961,A1961,$AD$6:AD1961,1)=1,1,0),0)</f>
        <v>0.0</v>
      </c>
      <c r="AF1961" t="str">
        <f>IF(AE1961=1,COUNTIFS(sj_first,1,sj_date,"&lt;"&amp;A1961)+1,"")</f>
        <v/>
      </c>
      <c r="AG1961" t="str">
        <f>IF(AND(AD1961=1,N(W1961)&lt;p_alert),ROUND(W1961,4),"")</f>
        <v/>
      </c>
      <c r="AH1961" t="str">
        <f>IF(AG1961="","",COUNTIF(sj_akey,"&lt;"&amp;AG1961)+COUNTIF($AG$6:AG1961,AG1961))</f>
        <v/>
      </c>
    </row>
    <row r="1962">
      <c r="A1962" s="51" t="n"/>
      <c r="B1962" s="52" t="n"/>
      <c r="C1962" s="52" t="n"/>
      <c r="D1962" s="53" t="n"/>
      <c r="E1962" s="53" t="n"/>
      <c r="F1962" s="54" t="n"/>
      <c r="G1962" s="54" t="n"/>
      <c r="H1962" s="54" t="n"/>
      <c r="I1962" s="54" t="n"/>
      <c r="J1962" s="53" t="n"/>
      <c r="K1962" s="55" t="str">
        <f>IF(COUNTA(A1962:I1962)=0,"",IF(F1962="",IFERROR(INDEX(eq_dur,MATCH(B1962,eq_code,0)),""),F1962))</f>
        <v/>
      </c>
      <c r="L1962" s="55" t="str">
        <f>IF(ISNUMBER(K1962),N(IFERROR(INDEX(eq_pause,MATCH(B1962,eq_code,0)),0))+SUMIFS(st_min,st_date,A1962,st_eq,B1962,st_po,C1962,st_type,"Planifié"),"")</f>
        <v/>
      </c>
      <c r="M1962" s="55" t="str">
        <f>IF(ISNUMBER(K1962),K1962-L1962,"")</f>
        <v/>
      </c>
      <c r="N1962" s="55" t="str">
        <f>IF(ISNUMBER(K1962),SUMIFS(st_min,st_date,A1962,st_eq,B1962,st_po,C1962,st_type,"Non planifié"),"")</f>
        <v/>
      </c>
      <c r="O1962" s="55" t="str">
        <f>IF(ISNUMBER(K1962),M1962-N1962,"")</f>
        <v/>
      </c>
      <c r="P1962" s="55" t="str">
        <f>IF(COUNTA(A1962:I1962)=0,"",N(G1962)+N(H1962)+N(I1962))</f>
        <v/>
      </c>
      <c r="Q1962" s="56" t="str">
        <f>IF(COUNTA(A1962:I1962)=0,"",IF(N(IFERROR(INDEX(art_rate,MATCH(E1962,art_ref,0)),0))&gt;0,N(IFERROR(INDEX(art_rate,MATCH(E1962,art_ref,0)),0)),N(IFERROR(INDEX(po_rate,MATCH(C1962,po_code,0)),0))))</f>
        <v/>
      </c>
      <c r="R1962" s="55" t="str">
        <f>IF(AC1962=1,P1962*60/Q1962,"")</f>
        <v/>
      </c>
      <c r="S1962" s="55" t="str">
        <f>IF(AC1962=1,N(G1962)*60/Q1962,"")</f>
        <v/>
      </c>
      <c r="T1962" s="57" t="str">
        <f>IF(AC1962=1,O1962/M1962,"")</f>
        <v/>
      </c>
      <c r="U1962" s="57" t="str">
        <f>IF(AC1962=1,IF(O1962&gt;0,R1962/O1962,""),"")</f>
        <v/>
      </c>
      <c r="V1962" s="57" t="str">
        <f>IF(AC1962=1,IF(P1962&gt;0,N(G1962)/P1962,""),"")</f>
        <v/>
      </c>
      <c r="W1962" s="57" t="str">
        <f>IF(AC1962=1,S1962/M1962,"")</f>
        <v/>
      </c>
      <c r="X1962" s="57" t="str">
        <f>IF(AC1962=1,S1962/K1962,"")</f>
        <v/>
      </c>
      <c r="Y1962" s="58" t="str">
        <f>IF(W1962="","",IF(W1962&gt;=p_target,"Bon",IF(W1962&gt;=p_alert,"À surveiller","Faible")))</f>
        <v/>
      </c>
      <c r="Z1962" s="58" t="str">
        <f>IF(W1962="","",IF(MIN(IF(T1962="",1,T1962),IF(U1962="",1,U1962),IF(V1962="",1,V1962))&gt;=1,"Aucune",IF(IF(T1962="",1,T1962)&lt;=MIN(IF(U1962="",1,U1962),IF(V1962="",1,V1962)),"Disponibilité",IF(IF(U1962="",1,U1962)&lt;=IF(V1962="",1,V1962),"Performance","Qualité"))))</f>
        <v/>
      </c>
      <c r="AA1962" s="59" t="str">
        <f>IF(AC1962=1,N(H1962)*N(IFERROR(INDEX(art_cost,MATCH(E1962,art_ref,0)),0)),"")</f>
        <v/>
      </c>
      <c r="AB1962" s="58" t="str">
        <f>IF(COUNTA(A1962:I1962)=0,"",IF(N(A1962)&lt;=0,"Date manquante ou invalide",IF(B1962="","Équipe manquante",IF(ISNA(MATCH(B1962,eq_code,0)),"Équipe inconnue",IF(INDEX(eq_check,MATCH(B1962,eq_code,0))&lt;&gt;"OK","Équipe à corriger dans Paramètres",IF(C1962="","Poste manquant",IF(ISNA(MATCH(C1962,po_code,0)),"Poste inconnu",IF(AND(E1962&lt;&gt;"",ISNA(MATCH(E1962,art_ref,0))),"Article inconnu",IF(IF(E1962="",FALSE,INDEX(art_check,MATCH(E1962,art_ref,0))&lt;&gt;"OK"),"Article à corriger (feuille Articles)",IF(COUNTIFS(sj_date,A1962,sj_eq,B1962,sj_po,C1962)&gt;1,"Ligne en double (même jour, équipe et poste)",IF(OR(NOT(ISNUMBER(K1962)),N(K1962)&lt;=0,N(K1962)&gt;1440),"Temps d'ouverture invalide",IF(OR(AND(G1962&lt;&gt;"",NOT(ISNUMBER(G1962))),N(G1962)&lt;0,N(G1962)&lt;&gt;INT(N(G1962)),AND(H1962&lt;&gt;"",NOT(ISNUMBER(H1962))),N(H1962)&lt;0,N(H1962)&lt;&gt;INT(N(H1962)),AND(I1962&lt;&gt;"",NOT(ISNUMBER(I1962))),N(I1962)&lt;0,N(I1962)&lt;&gt;INT(N(I1962))),"Quantité invalide",IF(Q1962&lt;=0,"Cadence manquante (poste ou article)",IF(M1962&lt;=0,"Arrêts planifiés supérieurs au temps d'ouverture",IF(O1962&lt;0,"Arrêts supérieurs au temps requis",IF(AND(P1962&gt;0,O1962=0),"Pièces déclarées sans temps de marche",IF(AND(P1962=0,O1962&gt;0),"Aucune pièce déclarée",IF(P1962*60/Q1962&gt;O1962+0.001,"Cadence dépassée : vérifiez la cadence","OK"))))))))))))))))))</f>
        <v/>
      </c>
      <c r="AC1962">
        <f>IF(OR(AB1962="OK",AB1962="Aucune pièce déclarée",AB1962="Cadence dépassée : vérifiez la cadence"),1,0)</f>
        <v>0.0</v>
      </c>
      <c r="AD1962">
        <f>IF(AND(AC1962=1,A1962&gt;=p_from,A1962&lt;=p_to),1,0)</f>
        <v>0.0</v>
      </c>
      <c r="AE1962">
        <f>IF(AD1962=1,IF(COUNTIFS($A$6:A1962,A1962,$AD$6:AD1962,1)=1,1,0),0)</f>
        <v>0.0</v>
      </c>
      <c r="AF1962" t="str">
        <f>IF(AE1962=1,COUNTIFS(sj_first,1,sj_date,"&lt;"&amp;A1962)+1,"")</f>
        <v/>
      </c>
      <c r="AG1962" t="str">
        <f>IF(AND(AD1962=1,N(W1962)&lt;p_alert),ROUND(W1962,4),"")</f>
        <v/>
      </c>
      <c r="AH1962" t="str">
        <f>IF(AG1962="","",COUNTIF(sj_akey,"&lt;"&amp;AG1962)+COUNTIF($AG$6:AG1962,AG1962))</f>
        <v/>
      </c>
    </row>
    <row r="1963">
      <c r="A1963" s="51" t="n"/>
      <c r="B1963" s="52" t="n"/>
      <c r="C1963" s="52" t="n"/>
      <c r="D1963" s="53" t="n"/>
      <c r="E1963" s="53" t="n"/>
      <c r="F1963" s="54" t="n"/>
      <c r="G1963" s="54" t="n"/>
      <c r="H1963" s="54" t="n"/>
      <c r="I1963" s="54" t="n"/>
      <c r="J1963" s="53" t="n"/>
      <c r="K1963" s="55" t="str">
        <f>IF(COUNTA(A1963:I1963)=0,"",IF(F1963="",IFERROR(INDEX(eq_dur,MATCH(B1963,eq_code,0)),""),F1963))</f>
        <v/>
      </c>
      <c r="L1963" s="55" t="str">
        <f>IF(ISNUMBER(K1963),N(IFERROR(INDEX(eq_pause,MATCH(B1963,eq_code,0)),0))+SUMIFS(st_min,st_date,A1963,st_eq,B1963,st_po,C1963,st_type,"Planifié"),"")</f>
        <v/>
      </c>
      <c r="M1963" s="55" t="str">
        <f>IF(ISNUMBER(K1963),K1963-L1963,"")</f>
        <v/>
      </c>
      <c r="N1963" s="55" t="str">
        <f>IF(ISNUMBER(K1963),SUMIFS(st_min,st_date,A1963,st_eq,B1963,st_po,C1963,st_type,"Non planifié"),"")</f>
        <v/>
      </c>
      <c r="O1963" s="55" t="str">
        <f>IF(ISNUMBER(K1963),M1963-N1963,"")</f>
        <v/>
      </c>
      <c r="P1963" s="55" t="str">
        <f>IF(COUNTA(A1963:I1963)=0,"",N(G1963)+N(H1963)+N(I1963))</f>
        <v/>
      </c>
      <c r="Q1963" s="56" t="str">
        <f>IF(COUNTA(A1963:I1963)=0,"",IF(N(IFERROR(INDEX(art_rate,MATCH(E1963,art_ref,0)),0))&gt;0,N(IFERROR(INDEX(art_rate,MATCH(E1963,art_ref,0)),0)),N(IFERROR(INDEX(po_rate,MATCH(C1963,po_code,0)),0))))</f>
        <v/>
      </c>
      <c r="R1963" s="55" t="str">
        <f>IF(AC1963=1,P1963*60/Q1963,"")</f>
        <v/>
      </c>
      <c r="S1963" s="55" t="str">
        <f>IF(AC1963=1,N(G1963)*60/Q1963,"")</f>
        <v/>
      </c>
      <c r="T1963" s="57" t="str">
        <f>IF(AC1963=1,O1963/M1963,"")</f>
        <v/>
      </c>
      <c r="U1963" s="57" t="str">
        <f>IF(AC1963=1,IF(O1963&gt;0,R1963/O1963,""),"")</f>
        <v/>
      </c>
      <c r="V1963" s="57" t="str">
        <f>IF(AC1963=1,IF(P1963&gt;0,N(G1963)/P1963,""),"")</f>
        <v/>
      </c>
      <c r="W1963" s="57" t="str">
        <f>IF(AC1963=1,S1963/M1963,"")</f>
        <v/>
      </c>
      <c r="X1963" s="57" t="str">
        <f>IF(AC1963=1,S1963/K1963,"")</f>
        <v/>
      </c>
      <c r="Y1963" s="58" t="str">
        <f>IF(W1963="","",IF(W1963&gt;=p_target,"Bon",IF(W1963&gt;=p_alert,"À surveiller","Faible")))</f>
        <v/>
      </c>
      <c r="Z1963" s="58" t="str">
        <f>IF(W1963="","",IF(MIN(IF(T1963="",1,T1963),IF(U1963="",1,U1963),IF(V1963="",1,V1963))&gt;=1,"Aucune",IF(IF(T1963="",1,T1963)&lt;=MIN(IF(U1963="",1,U1963),IF(V1963="",1,V1963)),"Disponibilité",IF(IF(U1963="",1,U1963)&lt;=IF(V1963="",1,V1963),"Performance","Qualité"))))</f>
        <v/>
      </c>
      <c r="AA1963" s="59" t="str">
        <f>IF(AC1963=1,N(H1963)*N(IFERROR(INDEX(art_cost,MATCH(E1963,art_ref,0)),0)),"")</f>
        <v/>
      </c>
      <c r="AB1963" s="58" t="str">
        <f>IF(COUNTA(A1963:I1963)=0,"",IF(N(A1963)&lt;=0,"Date manquante ou invalide",IF(B1963="","Équipe manquante",IF(ISNA(MATCH(B1963,eq_code,0)),"Équipe inconnue",IF(INDEX(eq_check,MATCH(B1963,eq_code,0))&lt;&gt;"OK","Équipe à corriger dans Paramètres",IF(C1963="","Poste manquant",IF(ISNA(MATCH(C1963,po_code,0)),"Poste inconnu",IF(AND(E1963&lt;&gt;"",ISNA(MATCH(E1963,art_ref,0))),"Article inconnu",IF(IF(E1963="",FALSE,INDEX(art_check,MATCH(E1963,art_ref,0))&lt;&gt;"OK"),"Article à corriger (feuille Articles)",IF(COUNTIFS(sj_date,A1963,sj_eq,B1963,sj_po,C1963)&gt;1,"Ligne en double (même jour, équipe et poste)",IF(OR(NOT(ISNUMBER(K1963)),N(K1963)&lt;=0,N(K1963)&gt;1440),"Temps d'ouverture invalide",IF(OR(AND(G1963&lt;&gt;"",NOT(ISNUMBER(G1963))),N(G1963)&lt;0,N(G1963)&lt;&gt;INT(N(G1963)),AND(H1963&lt;&gt;"",NOT(ISNUMBER(H1963))),N(H1963)&lt;0,N(H1963)&lt;&gt;INT(N(H1963)),AND(I1963&lt;&gt;"",NOT(ISNUMBER(I1963))),N(I1963)&lt;0,N(I1963)&lt;&gt;INT(N(I1963))),"Quantité invalide",IF(Q1963&lt;=0,"Cadence manquante (poste ou article)",IF(M1963&lt;=0,"Arrêts planifiés supérieurs au temps d'ouverture",IF(O1963&lt;0,"Arrêts supérieurs au temps requis",IF(AND(P1963&gt;0,O1963=0),"Pièces déclarées sans temps de marche",IF(AND(P1963=0,O1963&gt;0),"Aucune pièce déclarée",IF(P1963*60/Q1963&gt;O1963+0.001,"Cadence dépassée : vérifiez la cadence","OK"))))))))))))))))))</f>
        <v/>
      </c>
      <c r="AC1963">
        <f>IF(OR(AB1963="OK",AB1963="Aucune pièce déclarée",AB1963="Cadence dépassée : vérifiez la cadence"),1,0)</f>
        <v>0.0</v>
      </c>
      <c r="AD1963">
        <f>IF(AND(AC1963=1,A1963&gt;=p_from,A1963&lt;=p_to),1,0)</f>
        <v>0.0</v>
      </c>
      <c r="AE1963">
        <f>IF(AD1963=1,IF(COUNTIFS($A$6:A1963,A1963,$AD$6:AD1963,1)=1,1,0),0)</f>
        <v>0.0</v>
      </c>
      <c r="AF1963" t="str">
        <f>IF(AE1963=1,COUNTIFS(sj_first,1,sj_date,"&lt;"&amp;A1963)+1,"")</f>
        <v/>
      </c>
      <c r="AG1963" t="str">
        <f>IF(AND(AD1963=1,N(W1963)&lt;p_alert),ROUND(W1963,4),"")</f>
        <v/>
      </c>
      <c r="AH1963" t="str">
        <f>IF(AG1963="","",COUNTIF(sj_akey,"&lt;"&amp;AG1963)+COUNTIF($AG$6:AG1963,AG1963))</f>
        <v/>
      </c>
    </row>
    <row r="1964">
      <c r="A1964" s="51" t="n"/>
      <c r="B1964" s="52" t="n"/>
      <c r="C1964" s="52" t="n"/>
      <c r="D1964" s="53" t="n"/>
      <c r="E1964" s="53" t="n"/>
      <c r="F1964" s="54" t="n"/>
      <c r="G1964" s="54" t="n"/>
      <c r="H1964" s="54" t="n"/>
      <c r="I1964" s="54" t="n"/>
      <c r="J1964" s="53" t="n"/>
      <c r="K1964" s="55" t="str">
        <f>IF(COUNTA(A1964:I1964)=0,"",IF(F1964="",IFERROR(INDEX(eq_dur,MATCH(B1964,eq_code,0)),""),F1964))</f>
        <v/>
      </c>
      <c r="L1964" s="55" t="str">
        <f>IF(ISNUMBER(K1964),N(IFERROR(INDEX(eq_pause,MATCH(B1964,eq_code,0)),0))+SUMIFS(st_min,st_date,A1964,st_eq,B1964,st_po,C1964,st_type,"Planifié"),"")</f>
        <v/>
      </c>
      <c r="M1964" s="55" t="str">
        <f>IF(ISNUMBER(K1964),K1964-L1964,"")</f>
        <v/>
      </c>
      <c r="N1964" s="55" t="str">
        <f>IF(ISNUMBER(K1964),SUMIFS(st_min,st_date,A1964,st_eq,B1964,st_po,C1964,st_type,"Non planifié"),"")</f>
        <v/>
      </c>
      <c r="O1964" s="55" t="str">
        <f>IF(ISNUMBER(K1964),M1964-N1964,"")</f>
        <v/>
      </c>
      <c r="P1964" s="55" t="str">
        <f>IF(COUNTA(A1964:I1964)=0,"",N(G1964)+N(H1964)+N(I1964))</f>
        <v/>
      </c>
      <c r="Q1964" s="56" t="str">
        <f>IF(COUNTA(A1964:I1964)=0,"",IF(N(IFERROR(INDEX(art_rate,MATCH(E1964,art_ref,0)),0))&gt;0,N(IFERROR(INDEX(art_rate,MATCH(E1964,art_ref,0)),0)),N(IFERROR(INDEX(po_rate,MATCH(C1964,po_code,0)),0))))</f>
        <v/>
      </c>
      <c r="R1964" s="55" t="str">
        <f>IF(AC1964=1,P1964*60/Q1964,"")</f>
        <v/>
      </c>
      <c r="S1964" s="55" t="str">
        <f>IF(AC1964=1,N(G1964)*60/Q1964,"")</f>
        <v/>
      </c>
      <c r="T1964" s="57" t="str">
        <f>IF(AC1964=1,O1964/M1964,"")</f>
        <v/>
      </c>
      <c r="U1964" s="57" t="str">
        <f>IF(AC1964=1,IF(O1964&gt;0,R1964/O1964,""),"")</f>
        <v/>
      </c>
      <c r="V1964" s="57" t="str">
        <f>IF(AC1964=1,IF(P1964&gt;0,N(G1964)/P1964,""),"")</f>
        <v/>
      </c>
      <c r="W1964" s="57" t="str">
        <f>IF(AC1964=1,S1964/M1964,"")</f>
        <v/>
      </c>
      <c r="X1964" s="57" t="str">
        <f>IF(AC1964=1,S1964/K1964,"")</f>
        <v/>
      </c>
      <c r="Y1964" s="58" t="str">
        <f>IF(W1964="","",IF(W1964&gt;=p_target,"Bon",IF(W1964&gt;=p_alert,"À surveiller","Faible")))</f>
        <v/>
      </c>
      <c r="Z1964" s="58" t="str">
        <f>IF(W1964="","",IF(MIN(IF(T1964="",1,T1964),IF(U1964="",1,U1964),IF(V1964="",1,V1964))&gt;=1,"Aucune",IF(IF(T1964="",1,T1964)&lt;=MIN(IF(U1964="",1,U1964),IF(V1964="",1,V1964)),"Disponibilité",IF(IF(U1964="",1,U1964)&lt;=IF(V1964="",1,V1964),"Performance","Qualité"))))</f>
        <v/>
      </c>
      <c r="AA1964" s="59" t="str">
        <f>IF(AC1964=1,N(H1964)*N(IFERROR(INDEX(art_cost,MATCH(E1964,art_ref,0)),0)),"")</f>
        <v/>
      </c>
      <c r="AB1964" s="58" t="str">
        <f>IF(COUNTA(A1964:I1964)=0,"",IF(N(A1964)&lt;=0,"Date manquante ou invalide",IF(B1964="","Équipe manquante",IF(ISNA(MATCH(B1964,eq_code,0)),"Équipe inconnue",IF(INDEX(eq_check,MATCH(B1964,eq_code,0))&lt;&gt;"OK","Équipe à corriger dans Paramètres",IF(C1964="","Poste manquant",IF(ISNA(MATCH(C1964,po_code,0)),"Poste inconnu",IF(AND(E1964&lt;&gt;"",ISNA(MATCH(E1964,art_ref,0))),"Article inconnu",IF(IF(E1964="",FALSE,INDEX(art_check,MATCH(E1964,art_ref,0))&lt;&gt;"OK"),"Article à corriger (feuille Articles)",IF(COUNTIFS(sj_date,A1964,sj_eq,B1964,sj_po,C1964)&gt;1,"Ligne en double (même jour, équipe et poste)",IF(OR(NOT(ISNUMBER(K1964)),N(K1964)&lt;=0,N(K1964)&gt;1440),"Temps d'ouverture invalide",IF(OR(AND(G1964&lt;&gt;"",NOT(ISNUMBER(G1964))),N(G1964)&lt;0,N(G1964)&lt;&gt;INT(N(G1964)),AND(H1964&lt;&gt;"",NOT(ISNUMBER(H1964))),N(H1964)&lt;0,N(H1964)&lt;&gt;INT(N(H1964)),AND(I1964&lt;&gt;"",NOT(ISNUMBER(I1964))),N(I1964)&lt;0,N(I1964)&lt;&gt;INT(N(I1964))),"Quantité invalide",IF(Q1964&lt;=0,"Cadence manquante (poste ou article)",IF(M1964&lt;=0,"Arrêts planifiés supérieurs au temps d'ouverture",IF(O1964&lt;0,"Arrêts supérieurs au temps requis",IF(AND(P1964&gt;0,O1964=0),"Pièces déclarées sans temps de marche",IF(AND(P1964=0,O1964&gt;0),"Aucune pièce déclarée",IF(P1964*60/Q1964&gt;O1964+0.001,"Cadence dépassée : vérifiez la cadence","OK"))))))))))))))))))</f>
        <v/>
      </c>
      <c r="AC1964">
        <f>IF(OR(AB1964="OK",AB1964="Aucune pièce déclarée",AB1964="Cadence dépassée : vérifiez la cadence"),1,0)</f>
        <v>0.0</v>
      </c>
      <c r="AD1964">
        <f>IF(AND(AC1964=1,A1964&gt;=p_from,A1964&lt;=p_to),1,0)</f>
        <v>0.0</v>
      </c>
      <c r="AE1964">
        <f>IF(AD1964=1,IF(COUNTIFS($A$6:A1964,A1964,$AD$6:AD1964,1)=1,1,0),0)</f>
        <v>0.0</v>
      </c>
      <c r="AF1964" t="str">
        <f>IF(AE1964=1,COUNTIFS(sj_first,1,sj_date,"&lt;"&amp;A1964)+1,"")</f>
        <v/>
      </c>
      <c r="AG1964" t="str">
        <f>IF(AND(AD1964=1,N(W1964)&lt;p_alert),ROUND(W1964,4),"")</f>
        <v/>
      </c>
      <c r="AH1964" t="str">
        <f>IF(AG1964="","",COUNTIF(sj_akey,"&lt;"&amp;AG1964)+COUNTIF($AG$6:AG1964,AG1964))</f>
        <v/>
      </c>
    </row>
    <row r="1965">
      <c r="A1965" s="51" t="n"/>
      <c r="B1965" s="52" t="n"/>
      <c r="C1965" s="52" t="n"/>
      <c r="D1965" s="53" t="n"/>
      <c r="E1965" s="53" t="n"/>
      <c r="F1965" s="54" t="n"/>
      <c r="G1965" s="54" t="n"/>
      <c r="H1965" s="54" t="n"/>
      <c r="I1965" s="54" t="n"/>
      <c r="J1965" s="53" t="n"/>
      <c r="K1965" s="55" t="str">
        <f>IF(COUNTA(A1965:I1965)=0,"",IF(F1965="",IFERROR(INDEX(eq_dur,MATCH(B1965,eq_code,0)),""),F1965))</f>
        <v/>
      </c>
      <c r="L1965" s="55" t="str">
        <f>IF(ISNUMBER(K1965),N(IFERROR(INDEX(eq_pause,MATCH(B1965,eq_code,0)),0))+SUMIFS(st_min,st_date,A1965,st_eq,B1965,st_po,C1965,st_type,"Planifié"),"")</f>
        <v/>
      </c>
      <c r="M1965" s="55" t="str">
        <f>IF(ISNUMBER(K1965),K1965-L1965,"")</f>
        <v/>
      </c>
      <c r="N1965" s="55" t="str">
        <f>IF(ISNUMBER(K1965),SUMIFS(st_min,st_date,A1965,st_eq,B1965,st_po,C1965,st_type,"Non planifié"),"")</f>
        <v/>
      </c>
      <c r="O1965" s="55" t="str">
        <f>IF(ISNUMBER(K1965),M1965-N1965,"")</f>
        <v/>
      </c>
      <c r="P1965" s="55" t="str">
        <f>IF(COUNTA(A1965:I1965)=0,"",N(G1965)+N(H1965)+N(I1965))</f>
        <v/>
      </c>
      <c r="Q1965" s="56" t="str">
        <f>IF(COUNTA(A1965:I1965)=0,"",IF(N(IFERROR(INDEX(art_rate,MATCH(E1965,art_ref,0)),0))&gt;0,N(IFERROR(INDEX(art_rate,MATCH(E1965,art_ref,0)),0)),N(IFERROR(INDEX(po_rate,MATCH(C1965,po_code,0)),0))))</f>
        <v/>
      </c>
      <c r="R1965" s="55" t="str">
        <f>IF(AC1965=1,P1965*60/Q1965,"")</f>
        <v/>
      </c>
      <c r="S1965" s="55" t="str">
        <f>IF(AC1965=1,N(G1965)*60/Q1965,"")</f>
        <v/>
      </c>
      <c r="T1965" s="57" t="str">
        <f>IF(AC1965=1,O1965/M1965,"")</f>
        <v/>
      </c>
      <c r="U1965" s="57" t="str">
        <f>IF(AC1965=1,IF(O1965&gt;0,R1965/O1965,""),"")</f>
        <v/>
      </c>
      <c r="V1965" s="57" t="str">
        <f>IF(AC1965=1,IF(P1965&gt;0,N(G1965)/P1965,""),"")</f>
        <v/>
      </c>
      <c r="W1965" s="57" t="str">
        <f>IF(AC1965=1,S1965/M1965,"")</f>
        <v/>
      </c>
      <c r="X1965" s="57" t="str">
        <f>IF(AC1965=1,S1965/K1965,"")</f>
        <v/>
      </c>
      <c r="Y1965" s="58" t="str">
        <f>IF(W1965="","",IF(W1965&gt;=p_target,"Bon",IF(W1965&gt;=p_alert,"À surveiller","Faible")))</f>
        <v/>
      </c>
      <c r="Z1965" s="58" t="str">
        <f>IF(W1965="","",IF(MIN(IF(T1965="",1,T1965),IF(U1965="",1,U1965),IF(V1965="",1,V1965))&gt;=1,"Aucune",IF(IF(T1965="",1,T1965)&lt;=MIN(IF(U1965="",1,U1965),IF(V1965="",1,V1965)),"Disponibilité",IF(IF(U1965="",1,U1965)&lt;=IF(V1965="",1,V1965),"Performance","Qualité"))))</f>
        <v/>
      </c>
      <c r="AA1965" s="59" t="str">
        <f>IF(AC1965=1,N(H1965)*N(IFERROR(INDEX(art_cost,MATCH(E1965,art_ref,0)),0)),"")</f>
        <v/>
      </c>
      <c r="AB1965" s="58" t="str">
        <f>IF(COUNTA(A1965:I1965)=0,"",IF(N(A1965)&lt;=0,"Date manquante ou invalide",IF(B1965="","Équipe manquante",IF(ISNA(MATCH(B1965,eq_code,0)),"Équipe inconnue",IF(INDEX(eq_check,MATCH(B1965,eq_code,0))&lt;&gt;"OK","Équipe à corriger dans Paramètres",IF(C1965="","Poste manquant",IF(ISNA(MATCH(C1965,po_code,0)),"Poste inconnu",IF(AND(E1965&lt;&gt;"",ISNA(MATCH(E1965,art_ref,0))),"Article inconnu",IF(IF(E1965="",FALSE,INDEX(art_check,MATCH(E1965,art_ref,0))&lt;&gt;"OK"),"Article à corriger (feuille Articles)",IF(COUNTIFS(sj_date,A1965,sj_eq,B1965,sj_po,C1965)&gt;1,"Ligne en double (même jour, équipe et poste)",IF(OR(NOT(ISNUMBER(K1965)),N(K1965)&lt;=0,N(K1965)&gt;1440),"Temps d'ouverture invalide",IF(OR(AND(G1965&lt;&gt;"",NOT(ISNUMBER(G1965))),N(G1965)&lt;0,N(G1965)&lt;&gt;INT(N(G1965)),AND(H1965&lt;&gt;"",NOT(ISNUMBER(H1965))),N(H1965)&lt;0,N(H1965)&lt;&gt;INT(N(H1965)),AND(I1965&lt;&gt;"",NOT(ISNUMBER(I1965))),N(I1965)&lt;0,N(I1965)&lt;&gt;INT(N(I1965))),"Quantité invalide",IF(Q1965&lt;=0,"Cadence manquante (poste ou article)",IF(M1965&lt;=0,"Arrêts planifiés supérieurs au temps d'ouverture",IF(O1965&lt;0,"Arrêts supérieurs au temps requis",IF(AND(P1965&gt;0,O1965=0),"Pièces déclarées sans temps de marche",IF(AND(P1965=0,O1965&gt;0),"Aucune pièce déclarée",IF(P1965*60/Q1965&gt;O1965+0.001,"Cadence dépassée : vérifiez la cadence","OK"))))))))))))))))))</f>
        <v/>
      </c>
      <c r="AC1965">
        <f>IF(OR(AB1965="OK",AB1965="Aucune pièce déclarée",AB1965="Cadence dépassée : vérifiez la cadence"),1,0)</f>
        <v>0.0</v>
      </c>
      <c r="AD1965">
        <f>IF(AND(AC1965=1,A1965&gt;=p_from,A1965&lt;=p_to),1,0)</f>
        <v>0.0</v>
      </c>
      <c r="AE1965">
        <f>IF(AD1965=1,IF(COUNTIFS($A$6:A1965,A1965,$AD$6:AD1965,1)=1,1,0),0)</f>
        <v>0.0</v>
      </c>
      <c r="AF1965" t="str">
        <f>IF(AE1965=1,COUNTIFS(sj_first,1,sj_date,"&lt;"&amp;A1965)+1,"")</f>
        <v/>
      </c>
      <c r="AG1965" t="str">
        <f>IF(AND(AD1965=1,N(W1965)&lt;p_alert),ROUND(W1965,4),"")</f>
        <v/>
      </c>
      <c r="AH1965" t="str">
        <f>IF(AG1965="","",COUNTIF(sj_akey,"&lt;"&amp;AG1965)+COUNTIF($AG$6:AG1965,AG1965))</f>
        <v/>
      </c>
    </row>
    <row r="1966">
      <c r="A1966" s="51" t="n"/>
      <c r="B1966" s="52" t="n"/>
      <c r="C1966" s="52" t="n"/>
      <c r="D1966" s="53" t="n"/>
      <c r="E1966" s="53" t="n"/>
      <c r="F1966" s="54" t="n"/>
      <c r="G1966" s="54" t="n"/>
      <c r="H1966" s="54" t="n"/>
      <c r="I1966" s="54" t="n"/>
      <c r="J1966" s="53" t="n"/>
      <c r="K1966" s="55" t="str">
        <f>IF(COUNTA(A1966:I1966)=0,"",IF(F1966="",IFERROR(INDEX(eq_dur,MATCH(B1966,eq_code,0)),""),F1966))</f>
        <v/>
      </c>
      <c r="L1966" s="55" t="str">
        <f>IF(ISNUMBER(K1966),N(IFERROR(INDEX(eq_pause,MATCH(B1966,eq_code,0)),0))+SUMIFS(st_min,st_date,A1966,st_eq,B1966,st_po,C1966,st_type,"Planifié"),"")</f>
        <v/>
      </c>
      <c r="M1966" s="55" t="str">
        <f>IF(ISNUMBER(K1966),K1966-L1966,"")</f>
        <v/>
      </c>
      <c r="N1966" s="55" t="str">
        <f>IF(ISNUMBER(K1966),SUMIFS(st_min,st_date,A1966,st_eq,B1966,st_po,C1966,st_type,"Non planifié"),"")</f>
        <v/>
      </c>
      <c r="O1966" s="55" t="str">
        <f>IF(ISNUMBER(K1966),M1966-N1966,"")</f>
        <v/>
      </c>
      <c r="P1966" s="55" t="str">
        <f>IF(COUNTA(A1966:I1966)=0,"",N(G1966)+N(H1966)+N(I1966))</f>
        <v/>
      </c>
      <c r="Q1966" s="56" t="str">
        <f>IF(COUNTA(A1966:I1966)=0,"",IF(N(IFERROR(INDEX(art_rate,MATCH(E1966,art_ref,0)),0))&gt;0,N(IFERROR(INDEX(art_rate,MATCH(E1966,art_ref,0)),0)),N(IFERROR(INDEX(po_rate,MATCH(C1966,po_code,0)),0))))</f>
        <v/>
      </c>
      <c r="R1966" s="55" t="str">
        <f>IF(AC1966=1,P1966*60/Q1966,"")</f>
        <v/>
      </c>
      <c r="S1966" s="55" t="str">
        <f>IF(AC1966=1,N(G1966)*60/Q1966,"")</f>
        <v/>
      </c>
      <c r="T1966" s="57" t="str">
        <f>IF(AC1966=1,O1966/M1966,"")</f>
        <v/>
      </c>
      <c r="U1966" s="57" t="str">
        <f>IF(AC1966=1,IF(O1966&gt;0,R1966/O1966,""),"")</f>
        <v/>
      </c>
      <c r="V1966" s="57" t="str">
        <f>IF(AC1966=1,IF(P1966&gt;0,N(G1966)/P1966,""),"")</f>
        <v/>
      </c>
      <c r="W1966" s="57" t="str">
        <f>IF(AC1966=1,S1966/M1966,"")</f>
        <v/>
      </c>
      <c r="X1966" s="57" t="str">
        <f>IF(AC1966=1,S1966/K1966,"")</f>
        <v/>
      </c>
      <c r="Y1966" s="58" t="str">
        <f>IF(W1966="","",IF(W1966&gt;=p_target,"Bon",IF(W1966&gt;=p_alert,"À surveiller","Faible")))</f>
        <v/>
      </c>
      <c r="Z1966" s="58" t="str">
        <f>IF(W1966="","",IF(MIN(IF(T1966="",1,T1966),IF(U1966="",1,U1966),IF(V1966="",1,V1966))&gt;=1,"Aucune",IF(IF(T1966="",1,T1966)&lt;=MIN(IF(U1966="",1,U1966),IF(V1966="",1,V1966)),"Disponibilité",IF(IF(U1966="",1,U1966)&lt;=IF(V1966="",1,V1966),"Performance","Qualité"))))</f>
        <v/>
      </c>
      <c r="AA1966" s="59" t="str">
        <f>IF(AC1966=1,N(H1966)*N(IFERROR(INDEX(art_cost,MATCH(E1966,art_ref,0)),0)),"")</f>
        <v/>
      </c>
      <c r="AB1966" s="58" t="str">
        <f>IF(COUNTA(A1966:I1966)=0,"",IF(N(A1966)&lt;=0,"Date manquante ou invalide",IF(B1966="","Équipe manquante",IF(ISNA(MATCH(B1966,eq_code,0)),"Équipe inconnue",IF(INDEX(eq_check,MATCH(B1966,eq_code,0))&lt;&gt;"OK","Équipe à corriger dans Paramètres",IF(C1966="","Poste manquant",IF(ISNA(MATCH(C1966,po_code,0)),"Poste inconnu",IF(AND(E1966&lt;&gt;"",ISNA(MATCH(E1966,art_ref,0))),"Article inconnu",IF(IF(E1966="",FALSE,INDEX(art_check,MATCH(E1966,art_ref,0))&lt;&gt;"OK"),"Article à corriger (feuille Articles)",IF(COUNTIFS(sj_date,A1966,sj_eq,B1966,sj_po,C1966)&gt;1,"Ligne en double (même jour, équipe et poste)",IF(OR(NOT(ISNUMBER(K1966)),N(K1966)&lt;=0,N(K1966)&gt;1440),"Temps d'ouverture invalide",IF(OR(AND(G1966&lt;&gt;"",NOT(ISNUMBER(G1966))),N(G1966)&lt;0,N(G1966)&lt;&gt;INT(N(G1966)),AND(H1966&lt;&gt;"",NOT(ISNUMBER(H1966))),N(H1966)&lt;0,N(H1966)&lt;&gt;INT(N(H1966)),AND(I1966&lt;&gt;"",NOT(ISNUMBER(I1966))),N(I1966)&lt;0,N(I1966)&lt;&gt;INT(N(I1966))),"Quantité invalide",IF(Q1966&lt;=0,"Cadence manquante (poste ou article)",IF(M1966&lt;=0,"Arrêts planifiés supérieurs au temps d'ouverture",IF(O1966&lt;0,"Arrêts supérieurs au temps requis",IF(AND(P1966&gt;0,O1966=0),"Pièces déclarées sans temps de marche",IF(AND(P1966=0,O1966&gt;0),"Aucune pièce déclarée",IF(P1966*60/Q1966&gt;O1966+0.001,"Cadence dépassée : vérifiez la cadence","OK"))))))))))))))))))</f>
        <v/>
      </c>
      <c r="AC1966">
        <f>IF(OR(AB1966="OK",AB1966="Aucune pièce déclarée",AB1966="Cadence dépassée : vérifiez la cadence"),1,0)</f>
        <v>0.0</v>
      </c>
      <c r="AD1966">
        <f>IF(AND(AC1966=1,A1966&gt;=p_from,A1966&lt;=p_to),1,0)</f>
        <v>0.0</v>
      </c>
      <c r="AE1966">
        <f>IF(AD1966=1,IF(COUNTIFS($A$6:A1966,A1966,$AD$6:AD1966,1)=1,1,0),0)</f>
        <v>0.0</v>
      </c>
      <c r="AF1966" t="str">
        <f>IF(AE1966=1,COUNTIFS(sj_first,1,sj_date,"&lt;"&amp;A1966)+1,"")</f>
        <v/>
      </c>
      <c r="AG1966" t="str">
        <f>IF(AND(AD1966=1,N(W1966)&lt;p_alert),ROUND(W1966,4),"")</f>
        <v/>
      </c>
      <c r="AH1966" t="str">
        <f>IF(AG1966="","",COUNTIF(sj_akey,"&lt;"&amp;AG1966)+COUNTIF($AG$6:AG1966,AG1966))</f>
        <v/>
      </c>
    </row>
    <row r="1967">
      <c r="A1967" s="51" t="n"/>
      <c r="B1967" s="52" t="n"/>
      <c r="C1967" s="52" t="n"/>
      <c r="D1967" s="53" t="n"/>
      <c r="E1967" s="53" t="n"/>
      <c r="F1967" s="54" t="n"/>
      <c r="G1967" s="54" t="n"/>
      <c r="H1967" s="54" t="n"/>
      <c r="I1967" s="54" t="n"/>
      <c r="J1967" s="53" t="n"/>
      <c r="K1967" s="55" t="str">
        <f>IF(COUNTA(A1967:I1967)=0,"",IF(F1967="",IFERROR(INDEX(eq_dur,MATCH(B1967,eq_code,0)),""),F1967))</f>
        <v/>
      </c>
      <c r="L1967" s="55" t="str">
        <f>IF(ISNUMBER(K1967),N(IFERROR(INDEX(eq_pause,MATCH(B1967,eq_code,0)),0))+SUMIFS(st_min,st_date,A1967,st_eq,B1967,st_po,C1967,st_type,"Planifié"),"")</f>
        <v/>
      </c>
      <c r="M1967" s="55" t="str">
        <f>IF(ISNUMBER(K1967),K1967-L1967,"")</f>
        <v/>
      </c>
      <c r="N1967" s="55" t="str">
        <f>IF(ISNUMBER(K1967),SUMIFS(st_min,st_date,A1967,st_eq,B1967,st_po,C1967,st_type,"Non planifié"),"")</f>
        <v/>
      </c>
      <c r="O1967" s="55" t="str">
        <f>IF(ISNUMBER(K1967),M1967-N1967,"")</f>
        <v/>
      </c>
      <c r="P1967" s="55" t="str">
        <f>IF(COUNTA(A1967:I1967)=0,"",N(G1967)+N(H1967)+N(I1967))</f>
        <v/>
      </c>
      <c r="Q1967" s="56" t="str">
        <f>IF(COUNTA(A1967:I1967)=0,"",IF(N(IFERROR(INDEX(art_rate,MATCH(E1967,art_ref,0)),0))&gt;0,N(IFERROR(INDEX(art_rate,MATCH(E1967,art_ref,0)),0)),N(IFERROR(INDEX(po_rate,MATCH(C1967,po_code,0)),0))))</f>
        <v/>
      </c>
      <c r="R1967" s="55" t="str">
        <f>IF(AC1967=1,P1967*60/Q1967,"")</f>
        <v/>
      </c>
      <c r="S1967" s="55" t="str">
        <f>IF(AC1967=1,N(G1967)*60/Q1967,"")</f>
        <v/>
      </c>
      <c r="T1967" s="57" t="str">
        <f>IF(AC1967=1,O1967/M1967,"")</f>
        <v/>
      </c>
      <c r="U1967" s="57" t="str">
        <f>IF(AC1967=1,IF(O1967&gt;0,R1967/O1967,""),"")</f>
        <v/>
      </c>
      <c r="V1967" s="57" t="str">
        <f>IF(AC1967=1,IF(P1967&gt;0,N(G1967)/P1967,""),"")</f>
        <v/>
      </c>
      <c r="W1967" s="57" t="str">
        <f>IF(AC1967=1,S1967/M1967,"")</f>
        <v/>
      </c>
      <c r="X1967" s="57" t="str">
        <f>IF(AC1967=1,S1967/K1967,"")</f>
        <v/>
      </c>
      <c r="Y1967" s="58" t="str">
        <f>IF(W1967="","",IF(W1967&gt;=p_target,"Bon",IF(W1967&gt;=p_alert,"À surveiller","Faible")))</f>
        <v/>
      </c>
      <c r="Z1967" s="58" t="str">
        <f>IF(W1967="","",IF(MIN(IF(T1967="",1,T1967),IF(U1967="",1,U1967),IF(V1967="",1,V1967))&gt;=1,"Aucune",IF(IF(T1967="",1,T1967)&lt;=MIN(IF(U1967="",1,U1967),IF(V1967="",1,V1967)),"Disponibilité",IF(IF(U1967="",1,U1967)&lt;=IF(V1967="",1,V1967),"Performance","Qualité"))))</f>
        <v/>
      </c>
      <c r="AA1967" s="59" t="str">
        <f>IF(AC1967=1,N(H1967)*N(IFERROR(INDEX(art_cost,MATCH(E1967,art_ref,0)),0)),"")</f>
        <v/>
      </c>
      <c r="AB1967" s="58" t="str">
        <f>IF(COUNTA(A1967:I1967)=0,"",IF(N(A1967)&lt;=0,"Date manquante ou invalide",IF(B1967="","Équipe manquante",IF(ISNA(MATCH(B1967,eq_code,0)),"Équipe inconnue",IF(INDEX(eq_check,MATCH(B1967,eq_code,0))&lt;&gt;"OK","Équipe à corriger dans Paramètres",IF(C1967="","Poste manquant",IF(ISNA(MATCH(C1967,po_code,0)),"Poste inconnu",IF(AND(E1967&lt;&gt;"",ISNA(MATCH(E1967,art_ref,0))),"Article inconnu",IF(IF(E1967="",FALSE,INDEX(art_check,MATCH(E1967,art_ref,0))&lt;&gt;"OK"),"Article à corriger (feuille Articles)",IF(COUNTIFS(sj_date,A1967,sj_eq,B1967,sj_po,C1967)&gt;1,"Ligne en double (même jour, équipe et poste)",IF(OR(NOT(ISNUMBER(K1967)),N(K1967)&lt;=0,N(K1967)&gt;1440),"Temps d'ouverture invalide",IF(OR(AND(G1967&lt;&gt;"",NOT(ISNUMBER(G1967))),N(G1967)&lt;0,N(G1967)&lt;&gt;INT(N(G1967)),AND(H1967&lt;&gt;"",NOT(ISNUMBER(H1967))),N(H1967)&lt;0,N(H1967)&lt;&gt;INT(N(H1967)),AND(I1967&lt;&gt;"",NOT(ISNUMBER(I1967))),N(I1967)&lt;0,N(I1967)&lt;&gt;INT(N(I1967))),"Quantité invalide",IF(Q1967&lt;=0,"Cadence manquante (poste ou article)",IF(M1967&lt;=0,"Arrêts planifiés supérieurs au temps d'ouverture",IF(O1967&lt;0,"Arrêts supérieurs au temps requis",IF(AND(P1967&gt;0,O1967=0),"Pièces déclarées sans temps de marche",IF(AND(P1967=0,O1967&gt;0),"Aucune pièce déclarée",IF(P1967*60/Q1967&gt;O1967+0.001,"Cadence dépassée : vérifiez la cadence","OK"))))))))))))))))))</f>
        <v/>
      </c>
      <c r="AC1967">
        <f>IF(OR(AB1967="OK",AB1967="Aucune pièce déclarée",AB1967="Cadence dépassée : vérifiez la cadence"),1,0)</f>
        <v>0.0</v>
      </c>
      <c r="AD1967">
        <f>IF(AND(AC1967=1,A1967&gt;=p_from,A1967&lt;=p_to),1,0)</f>
        <v>0.0</v>
      </c>
      <c r="AE1967">
        <f>IF(AD1967=1,IF(COUNTIFS($A$6:A1967,A1967,$AD$6:AD1967,1)=1,1,0),0)</f>
        <v>0.0</v>
      </c>
      <c r="AF1967" t="str">
        <f>IF(AE1967=1,COUNTIFS(sj_first,1,sj_date,"&lt;"&amp;A1967)+1,"")</f>
        <v/>
      </c>
      <c r="AG1967" t="str">
        <f>IF(AND(AD1967=1,N(W1967)&lt;p_alert),ROUND(W1967,4),"")</f>
        <v/>
      </c>
      <c r="AH1967" t="str">
        <f>IF(AG1967="","",COUNTIF(sj_akey,"&lt;"&amp;AG1967)+COUNTIF($AG$6:AG1967,AG1967))</f>
        <v/>
      </c>
    </row>
    <row r="1968">
      <c r="A1968" s="51" t="n"/>
      <c r="B1968" s="52" t="n"/>
      <c r="C1968" s="52" t="n"/>
      <c r="D1968" s="53" t="n"/>
      <c r="E1968" s="53" t="n"/>
      <c r="F1968" s="54" t="n"/>
      <c r="G1968" s="54" t="n"/>
      <c r="H1968" s="54" t="n"/>
      <c r="I1968" s="54" t="n"/>
      <c r="J1968" s="53" t="n"/>
      <c r="K1968" s="55" t="str">
        <f>IF(COUNTA(A1968:I1968)=0,"",IF(F1968="",IFERROR(INDEX(eq_dur,MATCH(B1968,eq_code,0)),""),F1968))</f>
        <v/>
      </c>
      <c r="L1968" s="55" t="str">
        <f>IF(ISNUMBER(K1968),N(IFERROR(INDEX(eq_pause,MATCH(B1968,eq_code,0)),0))+SUMIFS(st_min,st_date,A1968,st_eq,B1968,st_po,C1968,st_type,"Planifié"),"")</f>
        <v/>
      </c>
      <c r="M1968" s="55" t="str">
        <f>IF(ISNUMBER(K1968),K1968-L1968,"")</f>
        <v/>
      </c>
      <c r="N1968" s="55" t="str">
        <f>IF(ISNUMBER(K1968),SUMIFS(st_min,st_date,A1968,st_eq,B1968,st_po,C1968,st_type,"Non planifié"),"")</f>
        <v/>
      </c>
      <c r="O1968" s="55" t="str">
        <f>IF(ISNUMBER(K1968),M1968-N1968,"")</f>
        <v/>
      </c>
      <c r="P1968" s="55" t="str">
        <f>IF(COUNTA(A1968:I1968)=0,"",N(G1968)+N(H1968)+N(I1968))</f>
        <v/>
      </c>
      <c r="Q1968" s="56" t="str">
        <f>IF(COUNTA(A1968:I1968)=0,"",IF(N(IFERROR(INDEX(art_rate,MATCH(E1968,art_ref,0)),0))&gt;0,N(IFERROR(INDEX(art_rate,MATCH(E1968,art_ref,0)),0)),N(IFERROR(INDEX(po_rate,MATCH(C1968,po_code,0)),0))))</f>
        <v/>
      </c>
      <c r="R1968" s="55" t="str">
        <f>IF(AC1968=1,P1968*60/Q1968,"")</f>
        <v/>
      </c>
      <c r="S1968" s="55" t="str">
        <f>IF(AC1968=1,N(G1968)*60/Q1968,"")</f>
        <v/>
      </c>
      <c r="T1968" s="57" t="str">
        <f>IF(AC1968=1,O1968/M1968,"")</f>
        <v/>
      </c>
      <c r="U1968" s="57" t="str">
        <f>IF(AC1968=1,IF(O1968&gt;0,R1968/O1968,""),"")</f>
        <v/>
      </c>
      <c r="V1968" s="57" t="str">
        <f>IF(AC1968=1,IF(P1968&gt;0,N(G1968)/P1968,""),"")</f>
        <v/>
      </c>
      <c r="W1968" s="57" t="str">
        <f>IF(AC1968=1,S1968/M1968,"")</f>
        <v/>
      </c>
      <c r="X1968" s="57" t="str">
        <f>IF(AC1968=1,S1968/K1968,"")</f>
        <v/>
      </c>
      <c r="Y1968" s="58" t="str">
        <f>IF(W1968="","",IF(W1968&gt;=p_target,"Bon",IF(W1968&gt;=p_alert,"À surveiller","Faible")))</f>
        <v/>
      </c>
      <c r="Z1968" s="58" t="str">
        <f>IF(W1968="","",IF(MIN(IF(T1968="",1,T1968),IF(U1968="",1,U1968),IF(V1968="",1,V1968))&gt;=1,"Aucune",IF(IF(T1968="",1,T1968)&lt;=MIN(IF(U1968="",1,U1968),IF(V1968="",1,V1968)),"Disponibilité",IF(IF(U1968="",1,U1968)&lt;=IF(V1968="",1,V1968),"Performance","Qualité"))))</f>
        <v/>
      </c>
      <c r="AA1968" s="59" t="str">
        <f>IF(AC1968=1,N(H1968)*N(IFERROR(INDEX(art_cost,MATCH(E1968,art_ref,0)),0)),"")</f>
        <v/>
      </c>
      <c r="AB1968" s="58" t="str">
        <f>IF(COUNTA(A1968:I1968)=0,"",IF(N(A1968)&lt;=0,"Date manquante ou invalide",IF(B1968="","Équipe manquante",IF(ISNA(MATCH(B1968,eq_code,0)),"Équipe inconnue",IF(INDEX(eq_check,MATCH(B1968,eq_code,0))&lt;&gt;"OK","Équipe à corriger dans Paramètres",IF(C1968="","Poste manquant",IF(ISNA(MATCH(C1968,po_code,0)),"Poste inconnu",IF(AND(E1968&lt;&gt;"",ISNA(MATCH(E1968,art_ref,0))),"Article inconnu",IF(IF(E1968="",FALSE,INDEX(art_check,MATCH(E1968,art_ref,0))&lt;&gt;"OK"),"Article à corriger (feuille Articles)",IF(COUNTIFS(sj_date,A1968,sj_eq,B1968,sj_po,C1968)&gt;1,"Ligne en double (même jour, équipe et poste)",IF(OR(NOT(ISNUMBER(K1968)),N(K1968)&lt;=0,N(K1968)&gt;1440),"Temps d'ouverture invalide",IF(OR(AND(G1968&lt;&gt;"",NOT(ISNUMBER(G1968))),N(G1968)&lt;0,N(G1968)&lt;&gt;INT(N(G1968)),AND(H1968&lt;&gt;"",NOT(ISNUMBER(H1968))),N(H1968)&lt;0,N(H1968)&lt;&gt;INT(N(H1968)),AND(I1968&lt;&gt;"",NOT(ISNUMBER(I1968))),N(I1968)&lt;0,N(I1968)&lt;&gt;INT(N(I1968))),"Quantité invalide",IF(Q1968&lt;=0,"Cadence manquante (poste ou article)",IF(M1968&lt;=0,"Arrêts planifiés supérieurs au temps d'ouverture",IF(O1968&lt;0,"Arrêts supérieurs au temps requis",IF(AND(P1968&gt;0,O1968=0),"Pièces déclarées sans temps de marche",IF(AND(P1968=0,O1968&gt;0),"Aucune pièce déclarée",IF(P1968*60/Q1968&gt;O1968+0.001,"Cadence dépassée : vérifiez la cadence","OK"))))))))))))))))))</f>
        <v/>
      </c>
      <c r="AC1968">
        <f>IF(OR(AB1968="OK",AB1968="Aucune pièce déclarée",AB1968="Cadence dépassée : vérifiez la cadence"),1,0)</f>
        <v>0.0</v>
      </c>
      <c r="AD1968">
        <f>IF(AND(AC1968=1,A1968&gt;=p_from,A1968&lt;=p_to),1,0)</f>
        <v>0.0</v>
      </c>
      <c r="AE1968">
        <f>IF(AD1968=1,IF(COUNTIFS($A$6:A1968,A1968,$AD$6:AD1968,1)=1,1,0),0)</f>
        <v>0.0</v>
      </c>
      <c r="AF1968" t="str">
        <f>IF(AE1968=1,COUNTIFS(sj_first,1,sj_date,"&lt;"&amp;A1968)+1,"")</f>
        <v/>
      </c>
      <c r="AG1968" t="str">
        <f>IF(AND(AD1968=1,N(W1968)&lt;p_alert),ROUND(W1968,4),"")</f>
        <v/>
      </c>
      <c r="AH1968" t="str">
        <f>IF(AG1968="","",COUNTIF(sj_akey,"&lt;"&amp;AG1968)+COUNTIF($AG$6:AG1968,AG1968))</f>
        <v/>
      </c>
    </row>
    <row r="1969">
      <c r="A1969" s="51" t="n"/>
      <c r="B1969" s="52" t="n"/>
      <c r="C1969" s="52" t="n"/>
      <c r="D1969" s="53" t="n"/>
      <c r="E1969" s="53" t="n"/>
      <c r="F1969" s="54" t="n"/>
      <c r="G1969" s="54" t="n"/>
      <c r="H1969" s="54" t="n"/>
      <c r="I1969" s="54" t="n"/>
      <c r="J1969" s="53" t="n"/>
      <c r="K1969" s="55" t="str">
        <f>IF(COUNTA(A1969:I1969)=0,"",IF(F1969="",IFERROR(INDEX(eq_dur,MATCH(B1969,eq_code,0)),""),F1969))</f>
        <v/>
      </c>
      <c r="L1969" s="55" t="str">
        <f>IF(ISNUMBER(K1969),N(IFERROR(INDEX(eq_pause,MATCH(B1969,eq_code,0)),0))+SUMIFS(st_min,st_date,A1969,st_eq,B1969,st_po,C1969,st_type,"Planifié"),"")</f>
        <v/>
      </c>
      <c r="M1969" s="55" t="str">
        <f>IF(ISNUMBER(K1969),K1969-L1969,"")</f>
        <v/>
      </c>
      <c r="N1969" s="55" t="str">
        <f>IF(ISNUMBER(K1969),SUMIFS(st_min,st_date,A1969,st_eq,B1969,st_po,C1969,st_type,"Non planifié"),"")</f>
        <v/>
      </c>
      <c r="O1969" s="55" t="str">
        <f>IF(ISNUMBER(K1969),M1969-N1969,"")</f>
        <v/>
      </c>
      <c r="P1969" s="55" t="str">
        <f>IF(COUNTA(A1969:I1969)=0,"",N(G1969)+N(H1969)+N(I1969))</f>
        <v/>
      </c>
      <c r="Q1969" s="56" t="str">
        <f>IF(COUNTA(A1969:I1969)=0,"",IF(N(IFERROR(INDEX(art_rate,MATCH(E1969,art_ref,0)),0))&gt;0,N(IFERROR(INDEX(art_rate,MATCH(E1969,art_ref,0)),0)),N(IFERROR(INDEX(po_rate,MATCH(C1969,po_code,0)),0))))</f>
        <v/>
      </c>
      <c r="R1969" s="55" t="str">
        <f>IF(AC1969=1,P1969*60/Q1969,"")</f>
        <v/>
      </c>
      <c r="S1969" s="55" t="str">
        <f>IF(AC1969=1,N(G1969)*60/Q1969,"")</f>
        <v/>
      </c>
      <c r="T1969" s="57" t="str">
        <f>IF(AC1969=1,O1969/M1969,"")</f>
        <v/>
      </c>
      <c r="U1969" s="57" t="str">
        <f>IF(AC1969=1,IF(O1969&gt;0,R1969/O1969,""),"")</f>
        <v/>
      </c>
      <c r="V1969" s="57" t="str">
        <f>IF(AC1969=1,IF(P1969&gt;0,N(G1969)/P1969,""),"")</f>
        <v/>
      </c>
      <c r="W1969" s="57" t="str">
        <f>IF(AC1969=1,S1969/M1969,"")</f>
        <v/>
      </c>
      <c r="X1969" s="57" t="str">
        <f>IF(AC1969=1,S1969/K1969,"")</f>
        <v/>
      </c>
      <c r="Y1969" s="58" t="str">
        <f>IF(W1969="","",IF(W1969&gt;=p_target,"Bon",IF(W1969&gt;=p_alert,"À surveiller","Faible")))</f>
        <v/>
      </c>
      <c r="Z1969" s="58" t="str">
        <f>IF(W1969="","",IF(MIN(IF(T1969="",1,T1969),IF(U1969="",1,U1969),IF(V1969="",1,V1969))&gt;=1,"Aucune",IF(IF(T1969="",1,T1969)&lt;=MIN(IF(U1969="",1,U1969),IF(V1969="",1,V1969)),"Disponibilité",IF(IF(U1969="",1,U1969)&lt;=IF(V1969="",1,V1969),"Performance","Qualité"))))</f>
        <v/>
      </c>
      <c r="AA1969" s="59" t="str">
        <f>IF(AC1969=1,N(H1969)*N(IFERROR(INDEX(art_cost,MATCH(E1969,art_ref,0)),0)),"")</f>
        <v/>
      </c>
      <c r="AB1969" s="58" t="str">
        <f>IF(COUNTA(A1969:I1969)=0,"",IF(N(A1969)&lt;=0,"Date manquante ou invalide",IF(B1969="","Équipe manquante",IF(ISNA(MATCH(B1969,eq_code,0)),"Équipe inconnue",IF(INDEX(eq_check,MATCH(B1969,eq_code,0))&lt;&gt;"OK","Équipe à corriger dans Paramètres",IF(C1969="","Poste manquant",IF(ISNA(MATCH(C1969,po_code,0)),"Poste inconnu",IF(AND(E1969&lt;&gt;"",ISNA(MATCH(E1969,art_ref,0))),"Article inconnu",IF(IF(E1969="",FALSE,INDEX(art_check,MATCH(E1969,art_ref,0))&lt;&gt;"OK"),"Article à corriger (feuille Articles)",IF(COUNTIFS(sj_date,A1969,sj_eq,B1969,sj_po,C1969)&gt;1,"Ligne en double (même jour, équipe et poste)",IF(OR(NOT(ISNUMBER(K1969)),N(K1969)&lt;=0,N(K1969)&gt;1440),"Temps d'ouverture invalide",IF(OR(AND(G1969&lt;&gt;"",NOT(ISNUMBER(G1969))),N(G1969)&lt;0,N(G1969)&lt;&gt;INT(N(G1969)),AND(H1969&lt;&gt;"",NOT(ISNUMBER(H1969))),N(H1969)&lt;0,N(H1969)&lt;&gt;INT(N(H1969)),AND(I1969&lt;&gt;"",NOT(ISNUMBER(I1969))),N(I1969)&lt;0,N(I1969)&lt;&gt;INT(N(I1969))),"Quantité invalide",IF(Q1969&lt;=0,"Cadence manquante (poste ou article)",IF(M1969&lt;=0,"Arrêts planifiés supérieurs au temps d'ouverture",IF(O1969&lt;0,"Arrêts supérieurs au temps requis",IF(AND(P1969&gt;0,O1969=0),"Pièces déclarées sans temps de marche",IF(AND(P1969=0,O1969&gt;0),"Aucune pièce déclarée",IF(P1969*60/Q1969&gt;O1969+0.001,"Cadence dépassée : vérifiez la cadence","OK"))))))))))))))))))</f>
        <v/>
      </c>
      <c r="AC1969">
        <f>IF(OR(AB1969="OK",AB1969="Aucune pièce déclarée",AB1969="Cadence dépassée : vérifiez la cadence"),1,0)</f>
        <v>0.0</v>
      </c>
      <c r="AD1969">
        <f>IF(AND(AC1969=1,A1969&gt;=p_from,A1969&lt;=p_to),1,0)</f>
        <v>0.0</v>
      </c>
      <c r="AE1969">
        <f>IF(AD1969=1,IF(COUNTIFS($A$6:A1969,A1969,$AD$6:AD1969,1)=1,1,0),0)</f>
        <v>0.0</v>
      </c>
      <c r="AF1969" t="str">
        <f>IF(AE1969=1,COUNTIFS(sj_first,1,sj_date,"&lt;"&amp;A1969)+1,"")</f>
        <v/>
      </c>
      <c r="AG1969" t="str">
        <f>IF(AND(AD1969=1,N(W1969)&lt;p_alert),ROUND(W1969,4),"")</f>
        <v/>
      </c>
      <c r="AH1969" t="str">
        <f>IF(AG1969="","",COUNTIF(sj_akey,"&lt;"&amp;AG1969)+COUNTIF($AG$6:AG1969,AG1969))</f>
        <v/>
      </c>
    </row>
    <row r="1970">
      <c r="A1970" s="51" t="n"/>
      <c r="B1970" s="52" t="n"/>
      <c r="C1970" s="52" t="n"/>
      <c r="D1970" s="53" t="n"/>
      <c r="E1970" s="53" t="n"/>
      <c r="F1970" s="54" t="n"/>
      <c r="G1970" s="54" t="n"/>
      <c r="H1970" s="54" t="n"/>
      <c r="I1970" s="54" t="n"/>
      <c r="J1970" s="53" t="n"/>
      <c r="K1970" s="55" t="str">
        <f>IF(COUNTA(A1970:I1970)=0,"",IF(F1970="",IFERROR(INDEX(eq_dur,MATCH(B1970,eq_code,0)),""),F1970))</f>
        <v/>
      </c>
      <c r="L1970" s="55" t="str">
        <f>IF(ISNUMBER(K1970),N(IFERROR(INDEX(eq_pause,MATCH(B1970,eq_code,0)),0))+SUMIFS(st_min,st_date,A1970,st_eq,B1970,st_po,C1970,st_type,"Planifié"),"")</f>
        <v/>
      </c>
      <c r="M1970" s="55" t="str">
        <f>IF(ISNUMBER(K1970),K1970-L1970,"")</f>
        <v/>
      </c>
      <c r="N1970" s="55" t="str">
        <f>IF(ISNUMBER(K1970),SUMIFS(st_min,st_date,A1970,st_eq,B1970,st_po,C1970,st_type,"Non planifié"),"")</f>
        <v/>
      </c>
      <c r="O1970" s="55" t="str">
        <f>IF(ISNUMBER(K1970),M1970-N1970,"")</f>
        <v/>
      </c>
      <c r="P1970" s="55" t="str">
        <f>IF(COUNTA(A1970:I1970)=0,"",N(G1970)+N(H1970)+N(I1970))</f>
        <v/>
      </c>
      <c r="Q1970" s="56" t="str">
        <f>IF(COUNTA(A1970:I1970)=0,"",IF(N(IFERROR(INDEX(art_rate,MATCH(E1970,art_ref,0)),0))&gt;0,N(IFERROR(INDEX(art_rate,MATCH(E1970,art_ref,0)),0)),N(IFERROR(INDEX(po_rate,MATCH(C1970,po_code,0)),0))))</f>
        <v/>
      </c>
      <c r="R1970" s="55" t="str">
        <f>IF(AC1970=1,P1970*60/Q1970,"")</f>
        <v/>
      </c>
      <c r="S1970" s="55" t="str">
        <f>IF(AC1970=1,N(G1970)*60/Q1970,"")</f>
        <v/>
      </c>
      <c r="T1970" s="57" t="str">
        <f>IF(AC1970=1,O1970/M1970,"")</f>
        <v/>
      </c>
      <c r="U1970" s="57" t="str">
        <f>IF(AC1970=1,IF(O1970&gt;0,R1970/O1970,""),"")</f>
        <v/>
      </c>
      <c r="V1970" s="57" t="str">
        <f>IF(AC1970=1,IF(P1970&gt;0,N(G1970)/P1970,""),"")</f>
        <v/>
      </c>
      <c r="W1970" s="57" t="str">
        <f>IF(AC1970=1,S1970/M1970,"")</f>
        <v/>
      </c>
      <c r="X1970" s="57" t="str">
        <f>IF(AC1970=1,S1970/K1970,"")</f>
        <v/>
      </c>
      <c r="Y1970" s="58" t="str">
        <f>IF(W1970="","",IF(W1970&gt;=p_target,"Bon",IF(W1970&gt;=p_alert,"À surveiller","Faible")))</f>
        <v/>
      </c>
      <c r="Z1970" s="58" t="str">
        <f>IF(W1970="","",IF(MIN(IF(T1970="",1,T1970),IF(U1970="",1,U1970),IF(V1970="",1,V1970))&gt;=1,"Aucune",IF(IF(T1970="",1,T1970)&lt;=MIN(IF(U1970="",1,U1970),IF(V1970="",1,V1970)),"Disponibilité",IF(IF(U1970="",1,U1970)&lt;=IF(V1970="",1,V1970),"Performance","Qualité"))))</f>
        <v/>
      </c>
      <c r="AA1970" s="59" t="str">
        <f>IF(AC1970=1,N(H1970)*N(IFERROR(INDEX(art_cost,MATCH(E1970,art_ref,0)),0)),"")</f>
        <v/>
      </c>
      <c r="AB1970" s="58" t="str">
        <f>IF(COUNTA(A1970:I1970)=0,"",IF(N(A1970)&lt;=0,"Date manquante ou invalide",IF(B1970="","Équipe manquante",IF(ISNA(MATCH(B1970,eq_code,0)),"Équipe inconnue",IF(INDEX(eq_check,MATCH(B1970,eq_code,0))&lt;&gt;"OK","Équipe à corriger dans Paramètres",IF(C1970="","Poste manquant",IF(ISNA(MATCH(C1970,po_code,0)),"Poste inconnu",IF(AND(E1970&lt;&gt;"",ISNA(MATCH(E1970,art_ref,0))),"Article inconnu",IF(IF(E1970="",FALSE,INDEX(art_check,MATCH(E1970,art_ref,0))&lt;&gt;"OK"),"Article à corriger (feuille Articles)",IF(COUNTIFS(sj_date,A1970,sj_eq,B1970,sj_po,C1970)&gt;1,"Ligne en double (même jour, équipe et poste)",IF(OR(NOT(ISNUMBER(K1970)),N(K1970)&lt;=0,N(K1970)&gt;1440),"Temps d'ouverture invalide",IF(OR(AND(G1970&lt;&gt;"",NOT(ISNUMBER(G1970))),N(G1970)&lt;0,N(G1970)&lt;&gt;INT(N(G1970)),AND(H1970&lt;&gt;"",NOT(ISNUMBER(H1970))),N(H1970)&lt;0,N(H1970)&lt;&gt;INT(N(H1970)),AND(I1970&lt;&gt;"",NOT(ISNUMBER(I1970))),N(I1970)&lt;0,N(I1970)&lt;&gt;INT(N(I1970))),"Quantité invalide",IF(Q1970&lt;=0,"Cadence manquante (poste ou article)",IF(M1970&lt;=0,"Arrêts planifiés supérieurs au temps d'ouverture",IF(O1970&lt;0,"Arrêts supérieurs au temps requis",IF(AND(P1970&gt;0,O1970=0),"Pièces déclarées sans temps de marche",IF(AND(P1970=0,O1970&gt;0),"Aucune pièce déclarée",IF(P1970*60/Q1970&gt;O1970+0.001,"Cadence dépassée : vérifiez la cadence","OK"))))))))))))))))))</f>
        <v/>
      </c>
      <c r="AC1970">
        <f>IF(OR(AB1970="OK",AB1970="Aucune pièce déclarée",AB1970="Cadence dépassée : vérifiez la cadence"),1,0)</f>
        <v>0.0</v>
      </c>
      <c r="AD1970">
        <f>IF(AND(AC1970=1,A1970&gt;=p_from,A1970&lt;=p_to),1,0)</f>
        <v>0.0</v>
      </c>
      <c r="AE1970">
        <f>IF(AD1970=1,IF(COUNTIFS($A$6:A1970,A1970,$AD$6:AD1970,1)=1,1,0),0)</f>
        <v>0.0</v>
      </c>
      <c r="AF1970" t="str">
        <f>IF(AE1970=1,COUNTIFS(sj_first,1,sj_date,"&lt;"&amp;A1970)+1,"")</f>
        <v/>
      </c>
      <c r="AG1970" t="str">
        <f>IF(AND(AD1970=1,N(W1970)&lt;p_alert),ROUND(W1970,4),"")</f>
        <v/>
      </c>
      <c r="AH1970" t="str">
        <f>IF(AG1970="","",COUNTIF(sj_akey,"&lt;"&amp;AG1970)+COUNTIF($AG$6:AG1970,AG1970))</f>
        <v/>
      </c>
    </row>
    <row r="1971">
      <c r="A1971" s="51" t="n"/>
      <c r="B1971" s="52" t="n"/>
      <c r="C1971" s="52" t="n"/>
      <c r="D1971" s="53" t="n"/>
      <c r="E1971" s="53" t="n"/>
      <c r="F1971" s="54" t="n"/>
      <c r="G1971" s="54" t="n"/>
      <c r="H1971" s="54" t="n"/>
      <c r="I1971" s="54" t="n"/>
      <c r="J1971" s="53" t="n"/>
      <c r="K1971" s="55" t="str">
        <f>IF(COUNTA(A1971:I1971)=0,"",IF(F1971="",IFERROR(INDEX(eq_dur,MATCH(B1971,eq_code,0)),""),F1971))</f>
        <v/>
      </c>
      <c r="L1971" s="55" t="str">
        <f>IF(ISNUMBER(K1971),N(IFERROR(INDEX(eq_pause,MATCH(B1971,eq_code,0)),0))+SUMIFS(st_min,st_date,A1971,st_eq,B1971,st_po,C1971,st_type,"Planifié"),"")</f>
        <v/>
      </c>
      <c r="M1971" s="55" t="str">
        <f>IF(ISNUMBER(K1971),K1971-L1971,"")</f>
        <v/>
      </c>
      <c r="N1971" s="55" t="str">
        <f>IF(ISNUMBER(K1971),SUMIFS(st_min,st_date,A1971,st_eq,B1971,st_po,C1971,st_type,"Non planifié"),"")</f>
        <v/>
      </c>
      <c r="O1971" s="55" t="str">
        <f>IF(ISNUMBER(K1971),M1971-N1971,"")</f>
        <v/>
      </c>
      <c r="P1971" s="55" t="str">
        <f>IF(COUNTA(A1971:I1971)=0,"",N(G1971)+N(H1971)+N(I1971))</f>
        <v/>
      </c>
      <c r="Q1971" s="56" t="str">
        <f>IF(COUNTA(A1971:I1971)=0,"",IF(N(IFERROR(INDEX(art_rate,MATCH(E1971,art_ref,0)),0))&gt;0,N(IFERROR(INDEX(art_rate,MATCH(E1971,art_ref,0)),0)),N(IFERROR(INDEX(po_rate,MATCH(C1971,po_code,0)),0))))</f>
        <v/>
      </c>
      <c r="R1971" s="55" t="str">
        <f>IF(AC1971=1,P1971*60/Q1971,"")</f>
        <v/>
      </c>
      <c r="S1971" s="55" t="str">
        <f>IF(AC1971=1,N(G1971)*60/Q1971,"")</f>
        <v/>
      </c>
      <c r="T1971" s="57" t="str">
        <f>IF(AC1971=1,O1971/M1971,"")</f>
        <v/>
      </c>
      <c r="U1971" s="57" t="str">
        <f>IF(AC1971=1,IF(O1971&gt;0,R1971/O1971,""),"")</f>
        <v/>
      </c>
      <c r="V1971" s="57" t="str">
        <f>IF(AC1971=1,IF(P1971&gt;0,N(G1971)/P1971,""),"")</f>
        <v/>
      </c>
      <c r="W1971" s="57" t="str">
        <f>IF(AC1971=1,S1971/M1971,"")</f>
        <v/>
      </c>
      <c r="X1971" s="57" t="str">
        <f>IF(AC1971=1,S1971/K1971,"")</f>
        <v/>
      </c>
      <c r="Y1971" s="58" t="str">
        <f>IF(W1971="","",IF(W1971&gt;=p_target,"Bon",IF(W1971&gt;=p_alert,"À surveiller","Faible")))</f>
        <v/>
      </c>
      <c r="Z1971" s="58" t="str">
        <f>IF(W1971="","",IF(MIN(IF(T1971="",1,T1971),IF(U1971="",1,U1971),IF(V1971="",1,V1971))&gt;=1,"Aucune",IF(IF(T1971="",1,T1971)&lt;=MIN(IF(U1971="",1,U1971),IF(V1971="",1,V1971)),"Disponibilité",IF(IF(U1971="",1,U1971)&lt;=IF(V1971="",1,V1971),"Performance","Qualité"))))</f>
        <v/>
      </c>
      <c r="AA1971" s="59" t="str">
        <f>IF(AC1971=1,N(H1971)*N(IFERROR(INDEX(art_cost,MATCH(E1971,art_ref,0)),0)),"")</f>
        <v/>
      </c>
      <c r="AB1971" s="58" t="str">
        <f>IF(COUNTA(A1971:I1971)=0,"",IF(N(A1971)&lt;=0,"Date manquante ou invalide",IF(B1971="","Équipe manquante",IF(ISNA(MATCH(B1971,eq_code,0)),"Équipe inconnue",IF(INDEX(eq_check,MATCH(B1971,eq_code,0))&lt;&gt;"OK","Équipe à corriger dans Paramètres",IF(C1971="","Poste manquant",IF(ISNA(MATCH(C1971,po_code,0)),"Poste inconnu",IF(AND(E1971&lt;&gt;"",ISNA(MATCH(E1971,art_ref,0))),"Article inconnu",IF(IF(E1971="",FALSE,INDEX(art_check,MATCH(E1971,art_ref,0))&lt;&gt;"OK"),"Article à corriger (feuille Articles)",IF(COUNTIFS(sj_date,A1971,sj_eq,B1971,sj_po,C1971)&gt;1,"Ligne en double (même jour, équipe et poste)",IF(OR(NOT(ISNUMBER(K1971)),N(K1971)&lt;=0,N(K1971)&gt;1440),"Temps d'ouverture invalide",IF(OR(AND(G1971&lt;&gt;"",NOT(ISNUMBER(G1971))),N(G1971)&lt;0,N(G1971)&lt;&gt;INT(N(G1971)),AND(H1971&lt;&gt;"",NOT(ISNUMBER(H1971))),N(H1971)&lt;0,N(H1971)&lt;&gt;INT(N(H1971)),AND(I1971&lt;&gt;"",NOT(ISNUMBER(I1971))),N(I1971)&lt;0,N(I1971)&lt;&gt;INT(N(I1971))),"Quantité invalide",IF(Q1971&lt;=0,"Cadence manquante (poste ou article)",IF(M1971&lt;=0,"Arrêts planifiés supérieurs au temps d'ouverture",IF(O1971&lt;0,"Arrêts supérieurs au temps requis",IF(AND(P1971&gt;0,O1971=0),"Pièces déclarées sans temps de marche",IF(AND(P1971=0,O1971&gt;0),"Aucune pièce déclarée",IF(P1971*60/Q1971&gt;O1971+0.001,"Cadence dépassée : vérifiez la cadence","OK"))))))))))))))))))</f>
        <v/>
      </c>
      <c r="AC1971">
        <f>IF(OR(AB1971="OK",AB1971="Aucune pièce déclarée",AB1971="Cadence dépassée : vérifiez la cadence"),1,0)</f>
        <v>0.0</v>
      </c>
      <c r="AD1971">
        <f>IF(AND(AC1971=1,A1971&gt;=p_from,A1971&lt;=p_to),1,0)</f>
        <v>0.0</v>
      </c>
      <c r="AE1971">
        <f>IF(AD1971=1,IF(COUNTIFS($A$6:A1971,A1971,$AD$6:AD1971,1)=1,1,0),0)</f>
        <v>0.0</v>
      </c>
      <c r="AF1971" t="str">
        <f>IF(AE1971=1,COUNTIFS(sj_first,1,sj_date,"&lt;"&amp;A1971)+1,"")</f>
        <v/>
      </c>
      <c r="AG1971" t="str">
        <f>IF(AND(AD1971=1,N(W1971)&lt;p_alert),ROUND(W1971,4),"")</f>
        <v/>
      </c>
      <c r="AH1971" t="str">
        <f>IF(AG1971="","",COUNTIF(sj_akey,"&lt;"&amp;AG1971)+COUNTIF($AG$6:AG1971,AG1971))</f>
        <v/>
      </c>
    </row>
    <row r="1972">
      <c r="A1972" s="51" t="n"/>
      <c r="B1972" s="52" t="n"/>
      <c r="C1972" s="52" t="n"/>
      <c r="D1972" s="53" t="n"/>
      <c r="E1972" s="53" t="n"/>
      <c r="F1972" s="54" t="n"/>
      <c r="G1972" s="54" t="n"/>
      <c r="H1972" s="54" t="n"/>
      <c r="I1972" s="54" t="n"/>
      <c r="J1972" s="53" t="n"/>
      <c r="K1972" s="55" t="str">
        <f>IF(COUNTA(A1972:I1972)=0,"",IF(F1972="",IFERROR(INDEX(eq_dur,MATCH(B1972,eq_code,0)),""),F1972))</f>
        <v/>
      </c>
      <c r="L1972" s="55" t="str">
        <f>IF(ISNUMBER(K1972),N(IFERROR(INDEX(eq_pause,MATCH(B1972,eq_code,0)),0))+SUMIFS(st_min,st_date,A1972,st_eq,B1972,st_po,C1972,st_type,"Planifié"),"")</f>
        <v/>
      </c>
      <c r="M1972" s="55" t="str">
        <f>IF(ISNUMBER(K1972),K1972-L1972,"")</f>
        <v/>
      </c>
      <c r="N1972" s="55" t="str">
        <f>IF(ISNUMBER(K1972),SUMIFS(st_min,st_date,A1972,st_eq,B1972,st_po,C1972,st_type,"Non planifié"),"")</f>
        <v/>
      </c>
      <c r="O1972" s="55" t="str">
        <f>IF(ISNUMBER(K1972),M1972-N1972,"")</f>
        <v/>
      </c>
      <c r="P1972" s="55" t="str">
        <f>IF(COUNTA(A1972:I1972)=0,"",N(G1972)+N(H1972)+N(I1972))</f>
        <v/>
      </c>
      <c r="Q1972" s="56" t="str">
        <f>IF(COUNTA(A1972:I1972)=0,"",IF(N(IFERROR(INDEX(art_rate,MATCH(E1972,art_ref,0)),0))&gt;0,N(IFERROR(INDEX(art_rate,MATCH(E1972,art_ref,0)),0)),N(IFERROR(INDEX(po_rate,MATCH(C1972,po_code,0)),0))))</f>
        <v/>
      </c>
      <c r="R1972" s="55" t="str">
        <f>IF(AC1972=1,P1972*60/Q1972,"")</f>
        <v/>
      </c>
      <c r="S1972" s="55" t="str">
        <f>IF(AC1972=1,N(G1972)*60/Q1972,"")</f>
        <v/>
      </c>
      <c r="T1972" s="57" t="str">
        <f>IF(AC1972=1,O1972/M1972,"")</f>
        <v/>
      </c>
      <c r="U1972" s="57" t="str">
        <f>IF(AC1972=1,IF(O1972&gt;0,R1972/O1972,""),"")</f>
        <v/>
      </c>
      <c r="V1972" s="57" t="str">
        <f>IF(AC1972=1,IF(P1972&gt;0,N(G1972)/P1972,""),"")</f>
        <v/>
      </c>
      <c r="W1972" s="57" t="str">
        <f>IF(AC1972=1,S1972/M1972,"")</f>
        <v/>
      </c>
      <c r="X1972" s="57" t="str">
        <f>IF(AC1972=1,S1972/K1972,"")</f>
        <v/>
      </c>
      <c r="Y1972" s="58" t="str">
        <f>IF(W1972="","",IF(W1972&gt;=p_target,"Bon",IF(W1972&gt;=p_alert,"À surveiller","Faible")))</f>
        <v/>
      </c>
      <c r="Z1972" s="58" t="str">
        <f>IF(W1972="","",IF(MIN(IF(T1972="",1,T1972),IF(U1972="",1,U1972),IF(V1972="",1,V1972))&gt;=1,"Aucune",IF(IF(T1972="",1,T1972)&lt;=MIN(IF(U1972="",1,U1972),IF(V1972="",1,V1972)),"Disponibilité",IF(IF(U1972="",1,U1972)&lt;=IF(V1972="",1,V1972),"Performance","Qualité"))))</f>
        <v/>
      </c>
      <c r="AA1972" s="59" t="str">
        <f>IF(AC1972=1,N(H1972)*N(IFERROR(INDEX(art_cost,MATCH(E1972,art_ref,0)),0)),"")</f>
        <v/>
      </c>
      <c r="AB1972" s="58" t="str">
        <f>IF(COUNTA(A1972:I1972)=0,"",IF(N(A1972)&lt;=0,"Date manquante ou invalide",IF(B1972="","Équipe manquante",IF(ISNA(MATCH(B1972,eq_code,0)),"Équipe inconnue",IF(INDEX(eq_check,MATCH(B1972,eq_code,0))&lt;&gt;"OK","Équipe à corriger dans Paramètres",IF(C1972="","Poste manquant",IF(ISNA(MATCH(C1972,po_code,0)),"Poste inconnu",IF(AND(E1972&lt;&gt;"",ISNA(MATCH(E1972,art_ref,0))),"Article inconnu",IF(IF(E1972="",FALSE,INDEX(art_check,MATCH(E1972,art_ref,0))&lt;&gt;"OK"),"Article à corriger (feuille Articles)",IF(COUNTIFS(sj_date,A1972,sj_eq,B1972,sj_po,C1972)&gt;1,"Ligne en double (même jour, équipe et poste)",IF(OR(NOT(ISNUMBER(K1972)),N(K1972)&lt;=0,N(K1972)&gt;1440),"Temps d'ouverture invalide",IF(OR(AND(G1972&lt;&gt;"",NOT(ISNUMBER(G1972))),N(G1972)&lt;0,N(G1972)&lt;&gt;INT(N(G1972)),AND(H1972&lt;&gt;"",NOT(ISNUMBER(H1972))),N(H1972)&lt;0,N(H1972)&lt;&gt;INT(N(H1972)),AND(I1972&lt;&gt;"",NOT(ISNUMBER(I1972))),N(I1972)&lt;0,N(I1972)&lt;&gt;INT(N(I1972))),"Quantité invalide",IF(Q1972&lt;=0,"Cadence manquante (poste ou article)",IF(M1972&lt;=0,"Arrêts planifiés supérieurs au temps d'ouverture",IF(O1972&lt;0,"Arrêts supérieurs au temps requis",IF(AND(P1972&gt;0,O1972=0),"Pièces déclarées sans temps de marche",IF(AND(P1972=0,O1972&gt;0),"Aucune pièce déclarée",IF(P1972*60/Q1972&gt;O1972+0.001,"Cadence dépassée : vérifiez la cadence","OK"))))))))))))))))))</f>
        <v/>
      </c>
      <c r="AC1972">
        <f>IF(OR(AB1972="OK",AB1972="Aucune pièce déclarée",AB1972="Cadence dépassée : vérifiez la cadence"),1,0)</f>
        <v>0.0</v>
      </c>
      <c r="AD1972">
        <f>IF(AND(AC1972=1,A1972&gt;=p_from,A1972&lt;=p_to),1,0)</f>
        <v>0.0</v>
      </c>
      <c r="AE1972">
        <f>IF(AD1972=1,IF(COUNTIFS($A$6:A1972,A1972,$AD$6:AD1972,1)=1,1,0),0)</f>
        <v>0.0</v>
      </c>
      <c r="AF1972" t="str">
        <f>IF(AE1972=1,COUNTIFS(sj_first,1,sj_date,"&lt;"&amp;A1972)+1,"")</f>
        <v/>
      </c>
      <c r="AG1972" t="str">
        <f>IF(AND(AD1972=1,N(W1972)&lt;p_alert),ROUND(W1972,4),"")</f>
        <v/>
      </c>
      <c r="AH1972" t="str">
        <f>IF(AG1972="","",COUNTIF(sj_akey,"&lt;"&amp;AG1972)+COUNTIF($AG$6:AG1972,AG1972))</f>
        <v/>
      </c>
    </row>
    <row r="1973">
      <c r="A1973" s="51" t="n"/>
      <c r="B1973" s="52" t="n"/>
      <c r="C1973" s="52" t="n"/>
      <c r="D1973" s="53" t="n"/>
      <c r="E1973" s="53" t="n"/>
      <c r="F1973" s="54" t="n"/>
      <c r="G1973" s="54" t="n"/>
      <c r="H1973" s="54" t="n"/>
      <c r="I1973" s="54" t="n"/>
      <c r="J1973" s="53" t="n"/>
      <c r="K1973" s="55" t="str">
        <f>IF(COUNTA(A1973:I1973)=0,"",IF(F1973="",IFERROR(INDEX(eq_dur,MATCH(B1973,eq_code,0)),""),F1973))</f>
        <v/>
      </c>
      <c r="L1973" s="55" t="str">
        <f>IF(ISNUMBER(K1973),N(IFERROR(INDEX(eq_pause,MATCH(B1973,eq_code,0)),0))+SUMIFS(st_min,st_date,A1973,st_eq,B1973,st_po,C1973,st_type,"Planifié"),"")</f>
        <v/>
      </c>
      <c r="M1973" s="55" t="str">
        <f>IF(ISNUMBER(K1973),K1973-L1973,"")</f>
        <v/>
      </c>
      <c r="N1973" s="55" t="str">
        <f>IF(ISNUMBER(K1973),SUMIFS(st_min,st_date,A1973,st_eq,B1973,st_po,C1973,st_type,"Non planifié"),"")</f>
        <v/>
      </c>
      <c r="O1973" s="55" t="str">
        <f>IF(ISNUMBER(K1973),M1973-N1973,"")</f>
        <v/>
      </c>
      <c r="P1973" s="55" t="str">
        <f>IF(COUNTA(A1973:I1973)=0,"",N(G1973)+N(H1973)+N(I1973))</f>
        <v/>
      </c>
      <c r="Q1973" s="56" t="str">
        <f>IF(COUNTA(A1973:I1973)=0,"",IF(N(IFERROR(INDEX(art_rate,MATCH(E1973,art_ref,0)),0))&gt;0,N(IFERROR(INDEX(art_rate,MATCH(E1973,art_ref,0)),0)),N(IFERROR(INDEX(po_rate,MATCH(C1973,po_code,0)),0))))</f>
        <v/>
      </c>
      <c r="R1973" s="55" t="str">
        <f>IF(AC1973=1,P1973*60/Q1973,"")</f>
        <v/>
      </c>
      <c r="S1973" s="55" t="str">
        <f>IF(AC1973=1,N(G1973)*60/Q1973,"")</f>
        <v/>
      </c>
      <c r="T1973" s="57" t="str">
        <f>IF(AC1973=1,O1973/M1973,"")</f>
        <v/>
      </c>
      <c r="U1973" s="57" t="str">
        <f>IF(AC1973=1,IF(O1973&gt;0,R1973/O1973,""),"")</f>
        <v/>
      </c>
      <c r="V1973" s="57" t="str">
        <f>IF(AC1973=1,IF(P1973&gt;0,N(G1973)/P1973,""),"")</f>
        <v/>
      </c>
      <c r="W1973" s="57" t="str">
        <f>IF(AC1973=1,S1973/M1973,"")</f>
        <v/>
      </c>
      <c r="X1973" s="57" t="str">
        <f>IF(AC1973=1,S1973/K1973,"")</f>
        <v/>
      </c>
      <c r="Y1973" s="58" t="str">
        <f>IF(W1973="","",IF(W1973&gt;=p_target,"Bon",IF(W1973&gt;=p_alert,"À surveiller","Faible")))</f>
        <v/>
      </c>
      <c r="Z1973" s="58" t="str">
        <f>IF(W1973="","",IF(MIN(IF(T1973="",1,T1973),IF(U1973="",1,U1973),IF(V1973="",1,V1973))&gt;=1,"Aucune",IF(IF(T1973="",1,T1973)&lt;=MIN(IF(U1973="",1,U1973),IF(V1973="",1,V1973)),"Disponibilité",IF(IF(U1973="",1,U1973)&lt;=IF(V1973="",1,V1973),"Performance","Qualité"))))</f>
        <v/>
      </c>
      <c r="AA1973" s="59" t="str">
        <f>IF(AC1973=1,N(H1973)*N(IFERROR(INDEX(art_cost,MATCH(E1973,art_ref,0)),0)),"")</f>
        <v/>
      </c>
      <c r="AB1973" s="58" t="str">
        <f>IF(COUNTA(A1973:I1973)=0,"",IF(N(A1973)&lt;=0,"Date manquante ou invalide",IF(B1973="","Équipe manquante",IF(ISNA(MATCH(B1973,eq_code,0)),"Équipe inconnue",IF(INDEX(eq_check,MATCH(B1973,eq_code,0))&lt;&gt;"OK","Équipe à corriger dans Paramètres",IF(C1973="","Poste manquant",IF(ISNA(MATCH(C1973,po_code,0)),"Poste inconnu",IF(AND(E1973&lt;&gt;"",ISNA(MATCH(E1973,art_ref,0))),"Article inconnu",IF(IF(E1973="",FALSE,INDEX(art_check,MATCH(E1973,art_ref,0))&lt;&gt;"OK"),"Article à corriger (feuille Articles)",IF(COUNTIFS(sj_date,A1973,sj_eq,B1973,sj_po,C1973)&gt;1,"Ligne en double (même jour, équipe et poste)",IF(OR(NOT(ISNUMBER(K1973)),N(K1973)&lt;=0,N(K1973)&gt;1440),"Temps d'ouverture invalide",IF(OR(AND(G1973&lt;&gt;"",NOT(ISNUMBER(G1973))),N(G1973)&lt;0,N(G1973)&lt;&gt;INT(N(G1973)),AND(H1973&lt;&gt;"",NOT(ISNUMBER(H1973))),N(H1973)&lt;0,N(H1973)&lt;&gt;INT(N(H1973)),AND(I1973&lt;&gt;"",NOT(ISNUMBER(I1973))),N(I1973)&lt;0,N(I1973)&lt;&gt;INT(N(I1973))),"Quantité invalide",IF(Q1973&lt;=0,"Cadence manquante (poste ou article)",IF(M1973&lt;=0,"Arrêts planifiés supérieurs au temps d'ouverture",IF(O1973&lt;0,"Arrêts supérieurs au temps requis",IF(AND(P1973&gt;0,O1973=0),"Pièces déclarées sans temps de marche",IF(AND(P1973=0,O1973&gt;0),"Aucune pièce déclarée",IF(P1973*60/Q1973&gt;O1973+0.001,"Cadence dépassée : vérifiez la cadence","OK"))))))))))))))))))</f>
        <v/>
      </c>
      <c r="AC1973">
        <f>IF(OR(AB1973="OK",AB1973="Aucune pièce déclarée",AB1973="Cadence dépassée : vérifiez la cadence"),1,0)</f>
        <v>0.0</v>
      </c>
      <c r="AD1973">
        <f>IF(AND(AC1973=1,A1973&gt;=p_from,A1973&lt;=p_to),1,0)</f>
        <v>0.0</v>
      </c>
      <c r="AE1973">
        <f>IF(AD1973=1,IF(COUNTIFS($A$6:A1973,A1973,$AD$6:AD1973,1)=1,1,0),0)</f>
        <v>0.0</v>
      </c>
      <c r="AF1973" t="str">
        <f>IF(AE1973=1,COUNTIFS(sj_first,1,sj_date,"&lt;"&amp;A1973)+1,"")</f>
        <v/>
      </c>
      <c r="AG1973" t="str">
        <f>IF(AND(AD1973=1,N(W1973)&lt;p_alert),ROUND(W1973,4),"")</f>
        <v/>
      </c>
      <c r="AH1973" t="str">
        <f>IF(AG1973="","",COUNTIF(sj_akey,"&lt;"&amp;AG1973)+COUNTIF($AG$6:AG1973,AG1973))</f>
        <v/>
      </c>
    </row>
    <row r="1974">
      <c r="A1974" s="51" t="n"/>
      <c r="B1974" s="52" t="n"/>
      <c r="C1974" s="52" t="n"/>
      <c r="D1974" s="53" t="n"/>
      <c r="E1974" s="53" t="n"/>
      <c r="F1974" s="54" t="n"/>
      <c r="G1974" s="54" t="n"/>
      <c r="H1974" s="54" t="n"/>
      <c r="I1974" s="54" t="n"/>
      <c r="J1974" s="53" t="n"/>
      <c r="K1974" s="55" t="str">
        <f>IF(COUNTA(A1974:I1974)=0,"",IF(F1974="",IFERROR(INDEX(eq_dur,MATCH(B1974,eq_code,0)),""),F1974))</f>
        <v/>
      </c>
      <c r="L1974" s="55" t="str">
        <f>IF(ISNUMBER(K1974),N(IFERROR(INDEX(eq_pause,MATCH(B1974,eq_code,0)),0))+SUMIFS(st_min,st_date,A1974,st_eq,B1974,st_po,C1974,st_type,"Planifié"),"")</f>
        <v/>
      </c>
      <c r="M1974" s="55" t="str">
        <f>IF(ISNUMBER(K1974),K1974-L1974,"")</f>
        <v/>
      </c>
      <c r="N1974" s="55" t="str">
        <f>IF(ISNUMBER(K1974),SUMIFS(st_min,st_date,A1974,st_eq,B1974,st_po,C1974,st_type,"Non planifié"),"")</f>
        <v/>
      </c>
      <c r="O1974" s="55" t="str">
        <f>IF(ISNUMBER(K1974),M1974-N1974,"")</f>
        <v/>
      </c>
      <c r="P1974" s="55" t="str">
        <f>IF(COUNTA(A1974:I1974)=0,"",N(G1974)+N(H1974)+N(I1974))</f>
        <v/>
      </c>
      <c r="Q1974" s="56" t="str">
        <f>IF(COUNTA(A1974:I1974)=0,"",IF(N(IFERROR(INDEX(art_rate,MATCH(E1974,art_ref,0)),0))&gt;0,N(IFERROR(INDEX(art_rate,MATCH(E1974,art_ref,0)),0)),N(IFERROR(INDEX(po_rate,MATCH(C1974,po_code,0)),0))))</f>
        <v/>
      </c>
      <c r="R1974" s="55" t="str">
        <f>IF(AC1974=1,P1974*60/Q1974,"")</f>
        <v/>
      </c>
      <c r="S1974" s="55" t="str">
        <f>IF(AC1974=1,N(G1974)*60/Q1974,"")</f>
        <v/>
      </c>
      <c r="T1974" s="57" t="str">
        <f>IF(AC1974=1,O1974/M1974,"")</f>
        <v/>
      </c>
      <c r="U1974" s="57" t="str">
        <f>IF(AC1974=1,IF(O1974&gt;0,R1974/O1974,""),"")</f>
        <v/>
      </c>
      <c r="V1974" s="57" t="str">
        <f>IF(AC1974=1,IF(P1974&gt;0,N(G1974)/P1974,""),"")</f>
        <v/>
      </c>
      <c r="W1974" s="57" t="str">
        <f>IF(AC1974=1,S1974/M1974,"")</f>
        <v/>
      </c>
      <c r="X1974" s="57" t="str">
        <f>IF(AC1974=1,S1974/K1974,"")</f>
        <v/>
      </c>
      <c r="Y1974" s="58" t="str">
        <f>IF(W1974="","",IF(W1974&gt;=p_target,"Bon",IF(W1974&gt;=p_alert,"À surveiller","Faible")))</f>
        <v/>
      </c>
      <c r="Z1974" s="58" t="str">
        <f>IF(W1974="","",IF(MIN(IF(T1974="",1,T1974),IF(U1974="",1,U1974),IF(V1974="",1,V1974))&gt;=1,"Aucune",IF(IF(T1974="",1,T1974)&lt;=MIN(IF(U1974="",1,U1974),IF(V1974="",1,V1974)),"Disponibilité",IF(IF(U1974="",1,U1974)&lt;=IF(V1974="",1,V1974),"Performance","Qualité"))))</f>
        <v/>
      </c>
      <c r="AA1974" s="59" t="str">
        <f>IF(AC1974=1,N(H1974)*N(IFERROR(INDEX(art_cost,MATCH(E1974,art_ref,0)),0)),"")</f>
        <v/>
      </c>
      <c r="AB1974" s="58" t="str">
        <f>IF(COUNTA(A1974:I1974)=0,"",IF(N(A1974)&lt;=0,"Date manquante ou invalide",IF(B1974="","Équipe manquante",IF(ISNA(MATCH(B1974,eq_code,0)),"Équipe inconnue",IF(INDEX(eq_check,MATCH(B1974,eq_code,0))&lt;&gt;"OK","Équipe à corriger dans Paramètres",IF(C1974="","Poste manquant",IF(ISNA(MATCH(C1974,po_code,0)),"Poste inconnu",IF(AND(E1974&lt;&gt;"",ISNA(MATCH(E1974,art_ref,0))),"Article inconnu",IF(IF(E1974="",FALSE,INDEX(art_check,MATCH(E1974,art_ref,0))&lt;&gt;"OK"),"Article à corriger (feuille Articles)",IF(COUNTIFS(sj_date,A1974,sj_eq,B1974,sj_po,C1974)&gt;1,"Ligne en double (même jour, équipe et poste)",IF(OR(NOT(ISNUMBER(K1974)),N(K1974)&lt;=0,N(K1974)&gt;1440),"Temps d'ouverture invalide",IF(OR(AND(G1974&lt;&gt;"",NOT(ISNUMBER(G1974))),N(G1974)&lt;0,N(G1974)&lt;&gt;INT(N(G1974)),AND(H1974&lt;&gt;"",NOT(ISNUMBER(H1974))),N(H1974)&lt;0,N(H1974)&lt;&gt;INT(N(H1974)),AND(I1974&lt;&gt;"",NOT(ISNUMBER(I1974))),N(I1974)&lt;0,N(I1974)&lt;&gt;INT(N(I1974))),"Quantité invalide",IF(Q1974&lt;=0,"Cadence manquante (poste ou article)",IF(M1974&lt;=0,"Arrêts planifiés supérieurs au temps d'ouverture",IF(O1974&lt;0,"Arrêts supérieurs au temps requis",IF(AND(P1974&gt;0,O1974=0),"Pièces déclarées sans temps de marche",IF(AND(P1974=0,O1974&gt;0),"Aucune pièce déclarée",IF(P1974*60/Q1974&gt;O1974+0.001,"Cadence dépassée : vérifiez la cadence","OK"))))))))))))))))))</f>
        <v/>
      </c>
      <c r="AC1974">
        <f>IF(OR(AB1974="OK",AB1974="Aucune pièce déclarée",AB1974="Cadence dépassée : vérifiez la cadence"),1,0)</f>
        <v>0.0</v>
      </c>
      <c r="AD1974">
        <f>IF(AND(AC1974=1,A1974&gt;=p_from,A1974&lt;=p_to),1,0)</f>
        <v>0.0</v>
      </c>
      <c r="AE1974">
        <f>IF(AD1974=1,IF(COUNTIFS($A$6:A1974,A1974,$AD$6:AD1974,1)=1,1,0),0)</f>
        <v>0.0</v>
      </c>
      <c r="AF1974" t="str">
        <f>IF(AE1974=1,COUNTIFS(sj_first,1,sj_date,"&lt;"&amp;A1974)+1,"")</f>
        <v/>
      </c>
      <c r="AG1974" t="str">
        <f>IF(AND(AD1974=1,N(W1974)&lt;p_alert),ROUND(W1974,4),"")</f>
        <v/>
      </c>
      <c r="AH1974" t="str">
        <f>IF(AG1974="","",COUNTIF(sj_akey,"&lt;"&amp;AG1974)+COUNTIF($AG$6:AG1974,AG1974))</f>
        <v/>
      </c>
    </row>
    <row r="1975">
      <c r="A1975" s="51" t="n"/>
      <c r="B1975" s="52" t="n"/>
      <c r="C1975" s="52" t="n"/>
      <c r="D1975" s="53" t="n"/>
      <c r="E1975" s="53" t="n"/>
      <c r="F1975" s="54" t="n"/>
      <c r="G1975" s="54" t="n"/>
      <c r="H1975" s="54" t="n"/>
      <c r="I1975" s="54" t="n"/>
      <c r="J1975" s="53" t="n"/>
      <c r="K1975" s="55" t="str">
        <f>IF(COUNTA(A1975:I1975)=0,"",IF(F1975="",IFERROR(INDEX(eq_dur,MATCH(B1975,eq_code,0)),""),F1975))</f>
        <v/>
      </c>
      <c r="L1975" s="55" t="str">
        <f>IF(ISNUMBER(K1975),N(IFERROR(INDEX(eq_pause,MATCH(B1975,eq_code,0)),0))+SUMIFS(st_min,st_date,A1975,st_eq,B1975,st_po,C1975,st_type,"Planifié"),"")</f>
        <v/>
      </c>
      <c r="M1975" s="55" t="str">
        <f>IF(ISNUMBER(K1975),K1975-L1975,"")</f>
        <v/>
      </c>
      <c r="N1975" s="55" t="str">
        <f>IF(ISNUMBER(K1975),SUMIFS(st_min,st_date,A1975,st_eq,B1975,st_po,C1975,st_type,"Non planifié"),"")</f>
        <v/>
      </c>
      <c r="O1975" s="55" t="str">
        <f>IF(ISNUMBER(K1975),M1975-N1975,"")</f>
        <v/>
      </c>
      <c r="P1975" s="55" t="str">
        <f>IF(COUNTA(A1975:I1975)=0,"",N(G1975)+N(H1975)+N(I1975))</f>
        <v/>
      </c>
      <c r="Q1975" s="56" t="str">
        <f>IF(COUNTA(A1975:I1975)=0,"",IF(N(IFERROR(INDEX(art_rate,MATCH(E1975,art_ref,0)),0))&gt;0,N(IFERROR(INDEX(art_rate,MATCH(E1975,art_ref,0)),0)),N(IFERROR(INDEX(po_rate,MATCH(C1975,po_code,0)),0))))</f>
        <v/>
      </c>
      <c r="R1975" s="55" t="str">
        <f>IF(AC1975=1,P1975*60/Q1975,"")</f>
        <v/>
      </c>
      <c r="S1975" s="55" t="str">
        <f>IF(AC1975=1,N(G1975)*60/Q1975,"")</f>
        <v/>
      </c>
      <c r="T1975" s="57" t="str">
        <f>IF(AC1975=1,O1975/M1975,"")</f>
        <v/>
      </c>
      <c r="U1975" s="57" t="str">
        <f>IF(AC1975=1,IF(O1975&gt;0,R1975/O1975,""),"")</f>
        <v/>
      </c>
      <c r="V1975" s="57" t="str">
        <f>IF(AC1975=1,IF(P1975&gt;0,N(G1975)/P1975,""),"")</f>
        <v/>
      </c>
      <c r="W1975" s="57" t="str">
        <f>IF(AC1975=1,S1975/M1975,"")</f>
        <v/>
      </c>
      <c r="X1975" s="57" t="str">
        <f>IF(AC1975=1,S1975/K1975,"")</f>
        <v/>
      </c>
      <c r="Y1975" s="58" t="str">
        <f>IF(W1975="","",IF(W1975&gt;=p_target,"Bon",IF(W1975&gt;=p_alert,"À surveiller","Faible")))</f>
        <v/>
      </c>
      <c r="Z1975" s="58" t="str">
        <f>IF(W1975="","",IF(MIN(IF(T1975="",1,T1975),IF(U1975="",1,U1975),IF(V1975="",1,V1975))&gt;=1,"Aucune",IF(IF(T1975="",1,T1975)&lt;=MIN(IF(U1975="",1,U1975),IF(V1975="",1,V1975)),"Disponibilité",IF(IF(U1975="",1,U1975)&lt;=IF(V1975="",1,V1975),"Performance","Qualité"))))</f>
        <v/>
      </c>
      <c r="AA1975" s="59" t="str">
        <f>IF(AC1975=1,N(H1975)*N(IFERROR(INDEX(art_cost,MATCH(E1975,art_ref,0)),0)),"")</f>
        <v/>
      </c>
      <c r="AB1975" s="58" t="str">
        <f>IF(COUNTA(A1975:I1975)=0,"",IF(N(A1975)&lt;=0,"Date manquante ou invalide",IF(B1975="","Équipe manquante",IF(ISNA(MATCH(B1975,eq_code,0)),"Équipe inconnue",IF(INDEX(eq_check,MATCH(B1975,eq_code,0))&lt;&gt;"OK","Équipe à corriger dans Paramètres",IF(C1975="","Poste manquant",IF(ISNA(MATCH(C1975,po_code,0)),"Poste inconnu",IF(AND(E1975&lt;&gt;"",ISNA(MATCH(E1975,art_ref,0))),"Article inconnu",IF(IF(E1975="",FALSE,INDEX(art_check,MATCH(E1975,art_ref,0))&lt;&gt;"OK"),"Article à corriger (feuille Articles)",IF(COUNTIFS(sj_date,A1975,sj_eq,B1975,sj_po,C1975)&gt;1,"Ligne en double (même jour, équipe et poste)",IF(OR(NOT(ISNUMBER(K1975)),N(K1975)&lt;=0,N(K1975)&gt;1440),"Temps d'ouverture invalide",IF(OR(AND(G1975&lt;&gt;"",NOT(ISNUMBER(G1975))),N(G1975)&lt;0,N(G1975)&lt;&gt;INT(N(G1975)),AND(H1975&lt;&gt;"",NOT(ISNUMBER(H1975))),N(H1975)&lt;0,N(H1975)&lt;&gt;INT(N(H1975)),AND(I1975&lt;&gt;"",NOT(ISNUMBER(I1975))),N(I1975)&lt;0,N(I1975)&lt;&gt;INT(N(I1975))),"Quantité invalide",IF(Q1975&lt;=0,"Cadence manquante (poste ou article)",IF(M1975&lt;=0,"Arrêts planifiés supérieurs au temps d'ouverture",IF(O1975&lt;0,"Arrêts supérieurs au temps requis",IF(AND(P1975&gt;0,O1975=0),"Pièces déclarées sans temps de marche",IF(AND(P1975=0,O1975&gt;0),"Aucune pièce déclarée",IF(P1975*60/Q1975&gt;O1975+0.001,"Cadence dépassée : vérifiez la cadence","OK"))))))))))))))))))</f>
        <v/>
      </c>
      <c r="AC1975">
        <f>IF(OR(AB1975="OK",AB1975="Aucune pièce déclarée",AB1975="Cadence dépassée : vérifiez la cadence"),1,0)</f>
        <v>0.0</v>
      </c>
      <c r="AD1975">
        <f>IF(AND(AC1975=1,A1975&gt;=p_from,A1975&lt;=p_to),1,0)</f>
        <v>0.0</v>
      </c>
      <c r="AE1975">
        <f>IF(AD1975=1,IF(COUNTIFS($A$6:A1975,A1975,$AD$6:AD1975,1)=1,1,0),0)</f>
        <v>0.0</v>
      </c>
      <c r="AF1975" t="str">
        <f>IF(AE1975=1,COUNTIFS(sj_first,1,sj_date,"&lt;"&amp;A1975)+1,"")</f>
        <v/>
      </c>
      <c r="AG1975" t="str">
        <f>IF(AND(AD1975=1,N(W1975)&lt;p_alert),ROUND(W1975,4),"")</f>
        <v/>
      </c>
      <c r="AH1975" t="str">
        <f>IF(AG1975="","",COUNTIF(sj_akey,"&lt;"&amp;AG1975)+COUNTIF($AG$6:AG1975,AG1975))</f>
        <v/>
      </c>
    </row>
    <row r="1976">
      <c r="A1976" s="51" t="n"/>
      <c r="B1976" s="52" t="n"/>
      <c r="C1976" s="52" t="n"/>
      <c r="D1976" s="53" t="n"/>
      <c r="E1976" s="53" t="n"/>
      <c r="F1976" s="54" t="n"/>
      <c r="G1976" s="54" t="n"/>
      <c r="H1976" s="54" t="n"/>
      <c r="I1976" s="54" t="n"/>
      <c r="J1976" s="53" t="n"/>
      <c r="K1976" s="55" t="str">
        <f>IF(COUNTA(A1976:I1976)=0,"",IF(F1976="",IFERROR(INDEX(eq_dur,MATCH(B1976,eq_code,0)),""),F1976))</f>
        <v/>
      </c>
      <c r="L1976" s="55" t="str">
        <f>IF(ISNUMBER(K1976),N(IFERROR(INDEX(eq_pause,MATCH(B1976,eq_code,0)),0))+SUMIFS(st_min,st_date,A1976,st_eq,B1976,st_po,C1976,st_type,"Planifié"),"")</f>
        <v/>
      </c>
      <c r="M1976" s="55" t="str">
        <f>IF(ISNUMBER(K1976),K1976-L1976,"")</f>
        <v/>
      </c>
      <c r="N1976" s="55" t="str">
        <f>IF(ISNUMBER(K1976),SUMIFS(st_min,st_date,A1976,st_eq,B1976,st_po,C1976,st_type,"Non planifié"),"")</f>
        <v/>
      </c>
      <c r="O1976" s="55" t="str">
        <f>IF(ISNUMBER(K1976),M1976-N1976,"")</f>
        <v/>
      </c>
      <c r="P1976" s="55" t="str">
        <f>IF(COUNTA(A1976:I1976)=0,"",N(G1976)+N(H1976)+N(I1976))</f>
        <v/>
      </c>
      <c r="Q1976" s="56" t="str">
        <f>IF(COUNTA(A1976:I1976)=0,"",IF(N(IFERROR(INDEX(art_rate,MATCH(E1976,art_ref,0)),0))&gt;0,N(IFERROR(INDEX(art_rate,MATCH(E1976,art_ref,0)),0)),N(IFERROR(INDEX(po_rate,MATCH(C1976,po_code,0)),0))))</f>
        <v/>
      </c>
      <c r="R1976" s="55" t="str">
        <f>IF(AC1976=1,P1976*60/Q1976,"")</f>
        <v/>
      </c>
      <c r="S1976" s="55" t="str">
        <f>IF(AC1976=1,N(G1976)*60/Q1976,"")</f>
        <v/>
      </c>
      <c r="T1976" s="57" t="str">
        <f>IF(AC1976=1,O1976/M1976,"")</f>
        <v/>
      </c>
      <c r="U1976" s="57" t="str">
        <f>IF(AC1976=1,IF(O1976&gt;0,R1976/O1976,""),"")</f>
        <v/>
      </c>
      <c r="V1976" s="57" t="str">
        <f>IF(AC1976=1,IF(P1976&gt;0,N(G1976)/P1976,""),"")</f>
        <v/>
      </c>
      <c r="W1976" s="57" t="str">
        <f>IF(AC1976=1,S1976/M1976,"")</f>
        <v/>
      </c>
      <c r="X1976" s="57" t="str">
        <f>IF(AC1976=1,S1976/K1976,"")</f>
        <v/>
      </c>
      <c r="Y1976" s="58" t="str">
        <f>IF(W1976="","",IF(W1976&gt;=p_target,"Bon",IF(W1976&gt;=p_alert,"À surveiller","Faible")))</f>
        <v/>
      </c>
      <c r="Z1976" s="58" t="str">
        <f>IF(W1976="","",IF(MIN(IF(T1976="",1,T1976),IF(U1976="",1,U1976),IF(V1976="",1,V1976))&gt;=1,"Aucune",IF(IF(T1976="",1,T1976)&lt;=MIN(IF(U1976="",1,U1976),IF(V1976="",1,V1976)),"Disponibilité",IF(IF(U1976="",1,U1976)&lt;=IF(V1976="",1,V1976),"Performance","Qualité"))))</f>
        <v/>
      </c>
      <c r="AA1976" s="59" t="str">
        <f>IF(AC1976=1,N(H1976)*N(IFERROR(INDEX(art_cost,MATCH(E1976,art_ref,0)),0)),"")</f>
        <v/>
      </c>
      <c r="AB1976" s="58" t="str">
        <f>IF(COUNTA(A1976:I1976)=0,"",IF(N(A1976)&lt;=0,"Date manquante ou invalide",IF(B1976="","Équipe manquante",IF(ISNA(MATCH(B1976,eq_code,0)),"Équipe inconnue",IF(INDEX(eq_check,MATCH(B1976,eq_code,0))&lt;&gt;"OK","Équipe à corriger dans Paramètres",IF(C1976="","Poste manquant",IF(ISNA(MATCH(C1976,po_code,0)),"Poste inconnu",IF(AND(E1976&lt;&gt;"",ISNA(MATCH(E1976,art_ref,0))),"Article inconnu",IF(IF(E1976="",FALSE,INDEX(art_check,MATCH(E1976,art_ref,0))&lt;&gt;"OK"),"Article à corriger (feuille Articles)",IF(COUNTIFS(sj_date,A1976,sj_eq,B1976,sj_po,C1976)&gt;1,"Ligne en double (même jour, équipe et poste)",IF(OR(NOT(ISNUMBER(K1976)),N(K1976)&lt;=0,N(K1976)&gt;1440),"Temps d'ouverture invalide",IF(OR(AND(G1976&lt;&gt;"",NOT(ISNUMBER(G1976))),N(G1976)&lt;0,N(G1976)&lt;&gt;INT(N(G1976)),AND(H1976&lt;&gt;"",NOT(ISNUMBER(H1976))),N(H1976)&lt;0,N(H1976)&lt;&gt;INT(N(H1976)),AND(I1976&lt;&gt;"",NOT(ISNUMBER(I1976))),N(I1976)&lt;0,N(I1976)&lt;&gt;INT(N(I1976))),"Quantité invalide",IF(Q1976&lt;=0,"Cadence manquante (poste ou article)",IF(M1976&lt;=0,"Arrêts planifiés supérieurs au temps d'ouverture",IF(O1976&lt;0,"Arrêts supérieurs au temps requis",IF(AND(P1976&gt;0,O1976=0),"Pièces déclarées sans temps de marche",IF(AND(P1976=0,O1976&gt;0),"Aucune pièce déclarée",IF(P1976*60/Q1976&gt;O1976+0.001,"Cadence dépassée : vérifiez la cadence","OK"))))))))))))))))))</f>
        <v/>
      </c>
      <c r="AC1976">
        <f>IF(OR(AB1976="OK",AB1976="Aucune pièce déclarée",AB1976="Cadence dépassée : vérifiez la cadence"),1,0)</f>
        <v>0.0</v>
      </c>
      <c r="AD1976">
        <f>IF(AND(AC1976=1,A1976&gt;=p_from,A1976&lt;=p_to),1,0)</f>
        <v>0.0</v>
      </c>
      <c r="AE1976">
        <f>IF(AD1976=1,IF(COUNTIFS($A$6:A1976,A1976,$AD$6:AD1976,1)=1,1,0),0)</f>
        <v>0.0</v>
      </c>
      <c r="AF1976" t="str">
        <f>IF(AE1976=1,COUNTIFS(sj_first,1,sj_date,"&lt;"&amp;A1976)+1,"")</f>
        <v/>
      </c>
      <c r="AG1976" t="str">
        <f>IF(AND(AD1976=1,N(W1976)&lt;p_alert),ROUND(W1976,4),"")</f>
        <v/>
      </c>
      <c r="AH1976" t="str">
        <f>IF(AG1976="","",COUNTIF(sj_akey,"&lt;"&amp;AG1976)+COUNTIF($AG$6:AG1976,AG1976))</f>
        <v/>
      </c>
    </row>
    <row r="1977">
      <c r="A1977" s="51" t="n"/>
      <c r="B1977" s="52" t="n"/>
      <c r="C1977" s="52" t="n"/>
      <c r="D1977" s="53" t="n"/>
      <c r="E1977" s="53" t="n"/>
      <c r="F1977" s="54" t="n"/>
      <c r="G1977" s="54" t="n"/>
      <c r="H1977" s="54" t="n"/>
      <c r="I1977" s="54" t="n"/>
      <c r="J1977" s="53" t="n"/>
      <c r="K1977" s="55" t="str">
        <f>IF(COUNTA(A1977:I1977)=0,"",IF(F1977="",IFERROR(INDEX(eq_dur,MATCH(B1977,eq_code,0)),""),F1977))</f>
        <v/>
      </c>
      <c r="L1977" s="55" t="str">
        <f>IF(ISNUMBER(K1977),N(IFERROR(INDEX(eq_pause,MATCH(B1977,eq_code,0)),0))+SUMIFS(st_min,st_date,A1977,st_eq,B1977,st_po,C1977,st_type,"Planifié"),"")</f>
        <v/>
      </c>
      <c r="M1977" s="55" t="str">
        <f>IF(ISNUMBER(K1977),K1977-L1977,"")</f>
        <v/>
      </c>
      <c r="N1977" s="55" t="str">
        <f>IF(ISNUMBER(K1977),SUMIFS(st_min,st_date,A1977,st_eq,B1977,st_po,C1977,st_type,"Non planifié"),"")</f>
        <v/>
      </c>
      <c r="O1977" s="55" t="str">
        <f>IF(ISNUMBER(K1977),M1977-N1977,"")</f>
        <v/>
      </c>
      <c r="P1977" s="55" t="str">
        <f>IF(COUNTA(A1977:I1977)=0,"",N(G1977)+N(H1977)+N(I1977))</f>
        <v/>
      </c>
      <c r="Q1977" s="56" t="str">
        <f>IF(COUNTA(A1977:I1977)=0,"",IF(N(IFERROR(INDEX(art_rate,MATCH(E1977,art_ref,0)),0))&gt;0,N(IFERROR(INDEX(art_rate,MATCH(E1977,art_ref,0)),0)),N(IFERROR(INDEX(po_rate,MATCH(C1977,po_code,0)),0))))</f>
        <v/>
      </c>
      <c r="R1977" s="55" t="str">
        <f>IF(AC1977=1,P1977*60/Q1977,"")</f>
        <v/>
      </c>
      <c r="S1977" s="55" t="str">
        <f>IF(AC1977=1,N(G1977)*60/Q1977,"")</f>
        <v/>
      </c>
      <c r="T1977" s="57" t="str">
        <f>IF(AC1977=1,O1977/M1977,"")</f>
        <v/>
      </c>
      <c r="U1977" s="57" t="str">
        <f>IF(AC1977=1,IF(O1977&gt;0,R1977/O1977,""),"")</f>
        <v/>
      </c>
      <c r="V1977" s="57" t="str">
        <f>IF(AC1977=1,IF(P1977&gt;0,N(G1977)/P1977,""),"")</f>
        <v/>
      </c>
      <c r="W1977" s="57" t="str">
        <f>IF(AC1977=1,S1977/M1977,"")</f>
        <v/>
      </c>
      <c r="X1977" s="57" t="str">
        <f>IF(AC1977=1,S1977/K1977,"")</f>
        <v/>
      </c>
      <c r="Y1977" s="58" t="str">
        <f>IF(W1977="","",IF(W1977&gt;=p_target,"Bon",IF(W1977&gt;=p_alert,"À surveiller","Faible")))</f>
        <v/>
      </c>
      <c r="Z1977" s="58" t="str">
        <f>IF(W1977="","",IF(MIN(IF(T1977="",1,T1977),IF(U1977="",1,U1977),IF(V1977="",1,V1977))&gt;=1,"Aucune",IF(IF(T1977="",1,T1977)&lt;=MIN(IF(U1977="",1,U1977),IF(V1977="",1,V1977)),"Disponibilité",IF(IF(U1977="",1,U1977)&lt;=IF(V1977="",1,V1977),"Performance","Qualité"))))</f>
        <v/>
      </c>
      <c r="AA1977" s="59" t="str">
        <f>IF(AC1977=1,N(H1977)*N(IFERROR(INDEX(art_cost,MATCH(E1977,art_ref,0)),0)),"")</f>
        <v/>
      </c>
      <c r="AB1977" s="58" t="str">
        <f>IF(COUNTA(A1977:I1977)=0,"",IF(N(A1977)&lt;=0,"Date manquante ou invalide",IF(B1977="","Équipe manquante",IF(ISNA(MATCH(B1977,eq_code,0)),"Équipe inconnue",IF(INDEX(eq_check,MATCH(B1977,eq_code,0))&lt;&gt;"OK","Équipe à corriger dans Paramètres",IF(C1977="","Poste manquant",IF(ISNA(MATCH(C1977,po_code,0)),"Poste inconnu",IF(AND(E1977&lt;&gt;"",ISNA(MATCH(E1977,art_ref,0))),"Article inconnu",IF(IF(E1977="",FALSE,INDEX(art_check,MATCH(E1977,art_ref,0))&lt;&gt;"OK"),"Article à corriger (feuille Articles)",IF(COUNTIFS(sj_date,A1977,sj_eq,B1977,sj_po,C1977)&gt;1,"Ligne en double (même jour, équipe et poste)",IF(OR(NOT(ISNUMBER(K1977)),N(K1977)&lt;=0,N(K1977)&gt;1440),"Temps d'ouverture invalide",IF(OR(AND(G1977&lt;&gt;"",NOT(ISNUMBER(G1977))),N(G1977)&lt;0,N(G1977)&lt;&gt;INT(N(G1977)),AND(H1977&lt;&gt;"",NOT(ISNUMBER(H1977))),N(H1977)&lt;0,N(H1977)&lt;&gt;INT(N(H1977)),AND(I1977&lt;&gt;"",NOT(ISNUMBER(I1977))),N(I1977)&lt;0,N(I1977)&lt;&gt;INT(N(I1977))),"Quantité invalide",IF(Q1977&lt;=0,"Cadence manquante (poste ou article)",IF(M1977&lt;=0,"Arrêts planifiés supérieurs au temps d'ouverture",IF(O1977&lt;0,"Arrêts supérieurs au temps requis",IF(AND(P1977&gt;0,O1977=0),"Pièces déclarées sans temps de marche",IF(AND(P1977=0,O1977&gt;0),"Aucune pièce déclarée",IF(P1977*60/Q1977&gt;O1977+0.001,"Cadence dépassée : vérifiez la cadence","OK"))))))))))))))))))</f>
        <v/>
      </c>
      <c r="AC1977">
        <f>IF(OR(AB1977="OK",AB1977="Aucune pièce déclarée",AB1977="Cadence dépassée : vérifiez la cadence"),1,0)</f>
        <v>0.0</v>
      </c>
      <c r="AD1977">
        <f>IF(AND(AC1977=1,A1977&gt;=p_from,A1977&lt;=p_to),1,0)</f>
        <v>0.0</v>
      </c>
      <c r="AE1977">
        <f>IF(AD1977=1,IF(COUNTIFS($A$6:A1977,A1977,$AD$6:AD1977,1)=1,1,0),0)</f>
        <v>0.0</v>
      </c>
      <c r="AF1977" t="str">
        <f>IF(AE1977=1,COUNTIFS(sj_first,1,sj_date,"&lt;"&amp;A1977)+1,"")</f>
        <v/>
      </c>
      <c r="AG1977" t="str">
        <f>IF(AND(AD1977=1,N(W1977)&lt;p_alert),ROUND(W1977,4),"")</f>
        <v/>
      </c>
      <c r="AH1977" t="str">
        <f>IF(AG1977="","",COUNTIF(sj_akey,"&lt;"&amp;AG1977)+COUNTIF($AG$6:AG1977,AG1977))</f>
        <v/>
      </c>
    </row>
    <row r="1978">
      <c r="A1978" s="51" t="n"/>
      <c r="B1978" s="52" t="n"/>
      <c r="C1978" s="52" t="n"/>
      <c r="D1978" s="53" t="n"/>
      <c r="E1978" s="53" t="n"/>
      <c r="F1978" s="54" t="n"/>
      <c r="G1978" s="54" t="n"/>
      <c r="H1978" s="54" t="n"/>
      <c r="I1978" s="54" t="n"/>
      <c r="J1978" s="53" t="n"/>
      <c r="K1978" s="55" t="str">
        <f>IF(COUNTA(A1978:I1978)=0,"",IF(F1978="",IFERROR(INDEX(eq_dur,MATCH(B1978,eq_code,0)),""),F1978))</f>
        <v/>
      </c>
      <c r="L1978" s="55" t="str">
        <f>IF(ISNUMBER(K1978),N(IFERROR(INDEX(eq_pause,MATCH(B1978,eq_code,0)),0))+SUMIFS(st_min,st_date,A1978,st_eq,B1978,st_po,C1978,st_type,"Planifié"),"")</f>
        <v/>
      </c>
      <c r="M1978" s="55" t="str">
        <f>IF(ISNUMBER(K1978),K1978-L1978,"")</f>
        <v/>
      </c>
      <c r="N1978" s="55" t="str">
        <f>IF(ISNUMBER(K1978),SUMIFS(st_min,st_date,A1978,st_eq,B1978,st_po,C1978,st_type,"Non planifié"),"")</f>
        <v/>
      </c>
      <c r="O1978" s="55" t="str">
        <f>IF(ISNUMBER(K1978),M1978-N1978,"")</f>
        <v/>
      </c>
      <c r="P1978" s="55" t="str">
        <f>IF(COUNTA(A1978:I1978)=0,"",N(G1978)+N(H1978)+N(I1978))</f>
        <v/>
      </c>
      <c r="Q1978" s="56" t="str">
        <f>IF(COUNTA(A1978:I1978)=0,"",IF(N(IFERROR(INDEX(art_rate,MATCH(E1978,art_ref,0)),0))&gt;0,N(IFERROR(INDEX(art_rate,MATCH(E1978,art_ref,0)),0)),N(IFERROR(INDEX(po_rate,MATCH(C1978,po_code,0)),0))))</f>
        <v/>
      </c>
      <c r="R1978" s="55" t="str">
        <f>IF(AC1978=1,P1978*60/Q1978,"")</f>
        <v/>
      </c>
      <c r="S1978" s="55" t="str">
        <f>IF(AC1978=1,N(G1978)*60/Q1978,"")</f>
        <v/>
      </c>
      <c r="T1978" s="57" t="str">
        <f>IF(AC1978=1,O1978/M1978,"")</f>
        <v/>
      </c>
      <c r="U1978" s="57" t="str">
        <f>IF(AC1978=1,IF(O1978&gt;0,R1978/O1978,""),"")</f>
        <v/>
      </c>
      <c r="V1978" s="57" t="str">
        <f>IF(AC1978=1,IF(P1978&gt;0,N(G1978)/P1978,""),"")</f>
        <v/>
      </c>
      <c r="W1978" s="57" t="str">
        <f>IF(AC1978=1,S1978/M1978,"")</f>
        <v/>
      </c>
      <c r="X1978" s="57" t="str">
        <f>IF(AC1978=1,S1978/K1978,"")</f>
        <v/>
      </c>
      <c r="Y1978" s="58" t="str">
        <f>IF(W1978="","",IF(W1978&gt;=p_target,"Bon",IF(W1978&gt;=p_alert,"À surveiller","Faible")))</f>
        <v/>
      </c>
      <c r="Z1978" s="58" t="str">
        <f>IF(W1978="","",IF(MIN(IF(T1978="",1,T1978),IF(U1978="",1,U1978),IF(V1978="",1,V1978))&gt;=1,"Aucune",IF(IF(T1978="",1,T1978)&lt;=MIN(IF(U1978="",1,U1978),IF(V1978="",1,V1978)),"Disponibilité",IF(IF(U1978="",1,U1978)&lt;=IF(V1978="",1,V1978),"Performance","Qualité"))))</f>
        <v/>
      </c>
      <c r="AA1978" s="59" t="str">
        <f>IF(AC1978=1,N(H1978)*N(IFERROR(INDEX(art_cost,MATCH(E1978,art_ref,0)),0)),"")</f>
        <v/>
      </c>
      <c r="AB1978" s="58" t="str">
        <f>IF(COUNTA(A1978:I1978)=0,"",IF(N(A1978)&lt;=0,"Date manquante ou invalide",IF(B1978="","Équipe manquante",IF(ISNA(MATCH(B1978,eq_code,0)),"Équipe inconnue",IF(INDEX(eq_check,MATCH(B1978,eq_code,0))&lt;&gt;"OK","Équipe à corriger dans Paramètres",IF(C1978="","Poste manquant",IF(ISNA(MATCH(C1978,po_code,0)),"Poste inconnu",IF(AND(E1978&lt;&gt;"",ISNA(MATCH(E1978,art_ref,0))),"Article inconnu",IF(IF(E1978="",FALSE,INDEX(art_check,MATCH(E1978,art_ref,0))&lt;&gt;"OK"),"Article à corriger (feuille Articles)",IF(COUNTIFS(sj_date,A1978,sj_eq,B1978,sj_po,C1978)&gt;1,"Ligne en double (même jour, équipe et poste)",IF(OR(NOT(ISNUMBER(K1978)),N(K1978)&lt;=0,N(K1978)&gt;1440),"Temps d'ouverture invalide",IF(OR(AND(G1978&lt;&gt;"",NOT(ISNUMBER(G1978))),N(G1978)&lt;0,N(G1978)&lt;&gt;INT(N(G1978)),AND(H1978&lt;&gt;"",NOT(ISNUMBER(H1978))),N(H1978)&lt;0,N(H1978)&lt;&gt;INT(N(H1978)),AND(I1978&lt;&gt;"",NOT(ISNUMBER(I1978))),N(I1978)&lt;0,N(I1978)&lt;&gt;INT(N(I1978))),"Quantité invalide",IF(Q1978&lt;=0,"Cadence manquante (poste ou article)",IF(M1978&lt;=0,"Arrêts planifiés supérieurs au temps d'ouverture",IF(O1978&lt;0,"Arrêts supérieurs au temps requis",IF(AND(P1978&gt;0,O1978=0),"Pièces déclarées sans temps de marche",IF(AND(P1978=0,O1978&gt;0),"Aucune pièce déclarée",IF(P1978*60/Q1978&gt;O1978+0.001,"Cadence dépassée : vérifiez la cadence","OK"))))))))))))))))))</f>
        <v/>
      </c>
      <c r="AC1978">
        <f>IF(OR(AB1978="OK",AB1978="Aucune pièce déclarée",AB1978="Cadence dépassée : vérifiez la cadence"),1,0)</f>
        <v>0.0</v>
      </c>
      <c r="AD1978">
        <f>IF(AND(AC1978=1,A1978&gt;=p_from,A1978&lt;=p_to),1,0)</f>
        <v>0.0</v>
      </c>
      <c r="AE1978">
        <f>IF(AD1978=1,IF(COUNTIFS($A$6:A1978,A1978,$AD$6:AD1978,1)=1,1,0),0)</f>
        <v>0.0</v>
      </c>
      <c r="AF1978" t="str">
        <f>IF(AE1978=1,COUNTIFS(sj_first,1,sj_date,"&lt;"&amp;A1978)+1,"")</f>
        <v/>
      </c>
      <c r="AG1978" t="str">
        <f>IF(AND(AD1978=1,N(W1978)&lt;p_alert),ROUND(W1978,4),"")</f>
        <v/>
      </c>
      <c r="AH1978" t="str">
        <f>IF(AG1978="","",COUNTIF(sj_akey,"&lt;"&amp;AG1978)+COUNTIF($AG$6:AG1978,AG1978))</f>
        <v/>
      </c>
    </row>
    <row r="1979">
      <c r="A1979" s="51" t="n"/>
      <c r="B1979" s="52" t="n"/>
      <c r="C1979" s="52" t="n"/>
      <c r="D1979" s="53" t="n"/>
      <c r="E1979" s="53" t="n"/>
      <c r="F1979" s="54" t="n"/>
      <c r="G1979" s="54" t="n"/>
      <c r="H1979" s="54" t="n"/>
      <c r="I1979" s="54" t="n"/>
      <c r="J1979" s="53" t="n"/>
      <c r="K1979" s="55" t="str">
        <f>IF(COUNTA(A1979:I1979)=0,"",IF(F1979="",IFERROR(INDEX(eq_dur,MATCH(B1979,eq_code,0)),""),F1979))</f>
        <v/>
      </c>
      <c r="L1979" s="55" t="str">
        <f>IF(ISNUMBER(K1979),N(IFERROR(INDEX(eq_pause,MATCH(B1979,eq_code,0)),0))+SUMIFS(st_min,st_date,A1979,st_eq,B1979,st_po,C1979,st_type,"Planifié"),"")</f>
        <v/>
      </c>
      <c r="M1979" s="55" t="str">
        <f>IF(ISNUMBER(K1979),K1979-L1979,"")</f>
        <v/>
      </c>
      <c r="N1979" s="55" t="str">
        <f>IF(ISNUMBER(K1979),SUMIFS(st_min,st_date,A1979,st_eq,B1979,st_po,C1979,st_type,"Non planifié"),"")</f>
        <v/>
      </c>
      <c r="O1979" s="55" t="str">
        <f>IF(ISNUMBER(K1979),M1979-N1979,"")</f>
        <v/>
      </c>
      <c r="P1979" s="55" t="str">
        <f>IF(COUNTA(A1979:I1979)=0,"",N(G1979)+N(H1979)+N(I1979))</f>
        <v/>
      </c>
      <c r="Q1979" s="56" t="str">
        <f>IF(COUNTA(A1979:I1979)=0,"",IF(N(IFERROR(INDEX(art_rate,MATCH(E1979,art_ref,0)),0))&gt;0,N(IFERROR(INDEX(art_rate,MATCH(E1979,art_ref,0)),0)),N(IFERROR(INDEX(po_rate,MATCH(C1979,po_code,0)),0))))</f>
        <v/>
      </c>
      <c r="R1979" s="55" t="str">
        <f>IF(AC1979=1,P1979*60/Q1979,"")</f>
        <v/>
      </c>
      <c r="S1979" s="55" t="str">
        <f>IF(AC1979=1,N(G1979)*60/Q1979,"")</f>
        <v/>
      </c>
      <c r="T1979" s="57" t="str">
        <f>IF(AC1979=1,O1979/M1979,"")</f>
        <v/>
      </c>
      <c r="U1979" s="57" t="str">
        <f>IF(AC1979=1,IF(O1979&gt;0,R1979/O1979,""),"")</f>
        <v/>
      </c>
      <c r="V1979" s="57" t="str">
        <f>IF(AC1979=1,IF(P1979&gt;0,N(G1979)/P1979,""),"")</f>
        <v/>
      </c>
      <c r="W1979" s="57" t="str">
        <f>IF(AC1979=1,S1979/M1979,"")</f>
        <v/>
      </c>
      <c r="X1979" s="57" t="str">
        <f>IF(AC1979=1,S1979/K1979,"")</f>
        <v/>
      </c>
      <c r="Y1979" s="58" t="str">
        <f>IF(W1979="","",IF(W1979&gt;=p_target,"Bon",IF(W1979&gt;=p_alert,"À surveiller","Faible")))</f>
        <v/>
      </c>
      <c r="Z1979" s="58" t="str">
        <f>IF(W1979="","",IF(MIN(IF(T1979="",1,T1979),IF(U1979="",1,U1979),IF(V1979="",1,V1979))&gt;=1,"Aucune",IF(IF(T1979="",1,T1979)&lt;=MIN(IF(U1979="",1,U1979),IF(V1979="",1,V1979)),"Disponibilité",IF(IF(U1979="",1,U1979)&lt;=IF(V1979="",1,V1979),"Performance","Qualité"))))</f>
        <v/>
      </c>
      <c r="AA1979" s="59" t="str">
        <f>IF(AC1979=1,N(H1979)*N(IFERROR(INDEX(art_cost,MATCH(E1979,art_ref,0)),0)),"")</f>
        <v/>
      </c>
      <c r="AB1979" s="58" t="str">
        <f>IF(COUNTA(A1979:I1979)=0,"",IF(N(A1979)&lt;=0,"Date manquante ou invalide",IF(B1979="","Équipe manquante",IF(ISNA(MATCH(B1979,eq_code,0)),"Équipe inconnue",IF(INDEX(eq_check,MATCH(B1979,eq_code,0))&lt;&gt;"OK","Équipe à corriger dans Paramètres",IF(C1979="","Poste manquant",IF(ISNA(MATCH(C1979,po_code,0)),"Poste inconnu",IF(AND(E1979&lt;&gt;"",ISNA(MATCH(E1979,art_ref,0))),"Article inconnu",IF(IF(E1979="",FALSE,INDEX(art_check,MATCH(E1979,art_ref,0))&lt;&gt;"OK"),"Article à corriger (feuille Articles)",IF(COUNTIFS(sj_date,A1979,sj_eq,B1979,sj_po,C1979)&gt;1,"Ligne en double (même jour, équipe et poste)",IF(OR(NOT(ISNUMBER(K1979)),N(K1979)&lt;=0,N(K1979)&gt;1440),"Temps d'ouverture invalide",IF(OR(AND(G1979&lt;&gt;"",NOT(ISNUMBER(G1979))),N(G1979)&lt;0,N(G1979)&lt;&gt;INT(N(G1979)),AND(H1979&lt;&gt;"",NOT(ISNUMBER(H1979))),N(H1979)&lt;0,N(H1979)&lt;&gt;INT(N(H1979)),AND(I1979&lt;&gt;"",NOT(ISNUMBER(I1979))),N(I1979)&lt;0,N(I1979)&lt;&gt;INT(N(I1979))),"Quantité invalide",IF(Q1979&lt;=0,"Cadence manquante (poste ou article)",IF(M1979&lt;=0,"Arrêts planifiés supérieurs au temps d'ouverture",IF(O1979&lt;0,"Arrêts supérieurs au temps requis",IF(AND(P1979&gt;0,O1979=0),"Pièces déclarées sans temps de marche",IF(AND(P1979=0,O1979&gt;0),"Aucune pièce déclarée",IF(P1979*60/Q1979&gt;O1979+0.001,"Cadence dépassée : vérifiez la cadence","OK"))))))))))))))))))</f>
        <v/>
      </c>
      <c r="AC1979">
        <f>IF(OR(AB1979="OK",AB1979="Aucune pièce déclarée",AB1979="Cadence dépassée : vérifiez la cadence"),1,0)</f>
        <v>0.0</v>
      </c>
      <c r="AD1979">
        <f>IF(AND(AC1979=1,A1979&gt;=p_from,A1979&lt;=p_to),1,0)</f>
        <v>0.0</v>
      </c>
      <c r="AE1979">
        <f>IF(AD1979=1,IF(COUNTIFS($A$6:A1979,A1979,$AD$6:AD1979,1)=1,1,0),0)</f>
        <v>0.0</v>
      </c>
      <c r="AF1979" t="str">
        <f>IF(AE1979=1,COUNTIFS(sj_first,1,sj_date,"&lt;"&amp;A1979)+1,"")</f>
        <v/>
      </c>
      <c r="AG1979" t="str">
        <f>IF(AND(AD1979=1,N(W1979)&lt;p_alert),ROUND(W1979,4),"")</f>
        <v/>
      </c>
      <c r="AH1979" t="str">
        <f>IF(AG1979="","",COUNTIF(sj_akey,"&lt;"&amp;AG1979)+COUNTIF($AG$6:AG1979,AG1979))</f>
        <v/>
      </c>
    </row>
    <row r="1980">
      <c r="A1980" s="51" t="n"/>
      <c r="B1980" s="52" t="n"/>
      <c r="C1980" s="52" t="n"/>
      <c r="D1980" s="53" t="n"/>
      <c r="E1980" s="53" t="n"/>
      <c r="F1980" s="54" t="n"/>
      <c r="G1980" s="54" t="n"/>
      <c r="H1980" s="54" t="n"/>
      <c r="I1980" s="54" t="n"/>
      <c r="J1980" s="53" t="n"/>
      <c r="K1980" s="55" t="str">
        <f>IF(COUNTA(A1980:I1980)=0,"",IF(F1980="",IFERROR(INDEX(eq_dur,MATCH(B1980,eq_code,0)),""),F1980))</f>
        <v/>
      </c>
      <c r="L1980" s="55" t="str">
        <f>IF(ISNUMBER(K1980),N(IFERROR(INDEX(eq_pause,MATCH(B1980,eq_code,0)),0))+SUMIFS(st_min,st_date,A1980,st_eq,B1980,st_po,C1980,st_type,"Planifié"),"")</f>
        <v/>
      </c>
      <c r="M1980" s="55" t="str">
        <f>IF(ISNUMBER(K1980),K1980-L1980,"")</f>
        <v/>
      </c>
      <c r="N1980" s="55" t="str">
        <f>IF(ISNUMBER(K1980),SUMIFS(st_min,st_date,A1980,st_eq,B1980,st_po,C1980,st_type,"Non planifié"),"")</f>
        <v/>
      </c>
      <c r="O1980" s="55" t="str">
        <f>IF(ISNUMBER(K1980),M1980-N1980,"")</f>
        <v/>
      </c>
      <c r="P1980" s="55" t="str">
        <f>IF(COUNTA(A1980:I1980)=0,"",N(G1980)+N(H1980)+N(I1980))</f>
        <v/>
      </c>
      <c r="Q1980" s="56" t="str">
        <f>IF(COUNTA(A1980:I1980)=0,"",IF(N(IFERROR(INDEX(art_rate,MATCH(E1980,art_ref,0)),0))&gt;0,N(IFERROR(INDEX(art_rate,MATCH(E1980,art_ref,0)),0)),N(IFERROR(INDEX(po_rate,MATCH(C1980,po_code,0)),0))))</f>
        <v/>
      </c>
      <c r="R1980" s="55" t="str">
        <f>IF(AC1980=1,P1980*60/Q1980,"")</f>
        <v/>
      </c>
      <c r="S1980" s="55" t="str">
        <f>IF(AC1980=1,N(G1980)*60/Q1980,"")</f>
        <v/>
      </c>
      <c r="T1980" s="57" t="str">
        <f>IF(AC1980=1,O1980/M1980,"")</f>
        <v/>
      </c>
      <c r="U1980" s="57" t="str">
        <f>IF(AC1980=1,IF(O1980&gt;0,R1980/O1980,""),"")</f>
        <v/>
      </c>
      <c r="V1980" s="57" t="str">
        <f>IF(AC1980=1,IF(P1980&gt;0,N(G1980)/P1980,""),"")</f>
        <v/>
      </c>
      <c r="W1980" s="57" t="str">
        <f>IF(AC1980=1,S1980/M1980,"")</f>
        <v/>
      </c>
      <c r="X1980" s="57" t="str">
        <f>IF(AC1980=1,S1980/K1980,"")</f>
        <v/>
      </c>
      <c r="Y1980" s="58" t="str">
        <f>IF(W1980="","",IF(W1980&gt;=p_target,"Bon",IF(W1980&gt;=p_alert,"À surveiller","Faible")))</f>
        <v/>
      </c>
      <c r="Z1980" s="58" t="str">
        <f>IF(W1980="","",IF(MIN(IF(T1980="",1,T1980),IF(U1980="",1,U1980),IF(V1980="",1,V1980))&gt;=1,"Aucune",IF(IF(T1980="",1,T1980)&lt;=MIN(IF(U1980="",1,U1980),IF(V1980="",1,V1980)),"Disponibilité",IF(IF(U1980="",1,U1980)&lt;=IF(V1980="",1,V1980),"Performance","Qualité"))))</f>
        <v/>
      </c>
      <c r="AA1980" s="59" t="str">
        <f>IF(AC1980=1,N(H1980)*N(IFERROR(INDEX(art_cost,MATCH(E1980,art_ref,0)),0)),"")</f>
        <v/>
      </c>
      <c r="AB1980" s="58" t="str">
        <f>IF(COUNTA(A1980:I1980)=0,"",IF(N(A1980)&lt;=0,"Date manquante ou invalide",IF(B1980="","Équipe manquante",IF(ISNA(MATCH(B1980,eq_code,0)),"Équipe inconnue",IF(INDEX(eq_check,MATCH(B1980,eq_code,0))&lt;&gt;"OK","Équipe à corriger dans Paramètres",IF(C1980="","Poste manquant",IF(ISNA(MATCH(C1980,po_code,0)),"Poste inconnu",IF(AND(E1980&lt;&gt;"",ISNA(MATCH(E1980,art_ref,0))),"Article inconnu",IF(IF(E1980="",FALSE,INDEX(art_check,MATCH(E1980,art_ref,0))&lt;&gt;"OK"),"Article à corriger (feuille Articles)",IF(COUNTIFS(sj_date,A1980,sj_eq,B1980,sj_po,C1980)&gt;1,"Ligne en double (même jour, équipe et poste)",IF(OR(NOT(ISNUMBER(K1980)),N(K1980)&lt;=0,N(K1980)&gt;1440),"Temps d'ouverture invalide",IF(OR(AND(G1980&lt;&gt;"",NOT(ISNUMBER(G1980))),N(G1980)&lt;0,N(G1980)&lt;&gt;INT(N(G1980)),AND(H1980&lt;&gt;"",NOT(ISNUMBER(H1980))),N(H1980)&lt;0,N(H1980)&lt;&gt;INT(N(H1980)),AND(I1980&lt;&gt;"",NOT(ISNUMBER(I1980))),N(I1980)&lt;0,N(I1980)&lt;&gt;INT(N(I1980))),"Quantité invalide",IF(Q1980&lt;=0,"Cadence manquante (poste ou article)",IF(M1980&lt;=0,"Arrêts planifiés supérieurs au temps d'ouverture",IF(O1980&lt;0,"Arrêts supérieurs au temps requis",IF(AND(P1980&gt;0,O1980=0),"Pièces déclarées sans temps de marche",IF(AND(P1980=0,O1980&gt;0),"Aucune pièce déclarée",IF(P1980*60/Q1980&gt;O1980+0.001,"Cadence dépassée : vérifiez la cadence","OK"))))))))))))))))))</f>
        <v/>
      </c>
      <c r="AC1980">
        <f>IF(OR(AB1980="OK",AB1980="Aucune pièce déclarée",AB1980="Cadence dépassée : vérifiez la cadence"),1,0)</f>
        <v>0.0</v>
      </c>
      <c r="AD1980">
        <f>IF(AND(AC1980=1,A1980&gt;=p_from,A1980&lt;=p_to),1,0)</f>
        <v>0.0</v>
      </c>
      <c r="AE1980">
        <f>IF(AD1980=1,IF(COUNTIFS($A$6:A1980,A1980,$AD$6:AD1980,1)=1,1,0),0)</f>
        <v>0.0</v>
      </c>
      <c r="AF1980" t="str">
        <f>IF(AE1980=1,COUNTIFS(sj_first,1,sj_date,"&lt;"&amp;A1980)+1,"")</f>
        <v/>
      </c>
      <c r="AG1980" t="str">
        <f>IF(AND(AD1980=1,N(W1980)&lt;p_alert),ROUND(W1980,4),"")</f>
        <v/>
      </c>
      <c r="AH1980" t="str">
        <f>IF(AG1980="","",COUNTIF(sj_akey,"&lt;"&amp;AG1980)+COUNTIF($AG$6:AG1980,AG1980))</f>
        <v/>
      </c>
    </row>
    <row r="1981">
      <c r="A1981" s="51" t="n"/>
      <c r="B1981" s="52" t="n"/>
      <c r="C1981" s="52" t="n"/>
      <c r="D1981" s="53" t="n"/>
      <c r="E1981" s="53" t="n"/>
      <c r="F1981" s="54" t="n"/>
      <c r="G1981" s="54" t="n"/>
      <c r="H1981" s="54" t="n"/>
      <c r="I1981" s="54" t="n"/>
      <c r="J1981" s="53" t="n"/>
      <c r="K1981" s="55" t="str">
        <f>IF(COUNTA(A1981:I1981)=0,"",IF(F1981="",IFERROR(INDEX(eq_dur,MATCH(B1981,eq_code,0)),""),F1981))</f>
        <v/>
      </c>
      <c r="L1981" s="55" t="str">
        <f>IF(ISNUMBER(K1981),N(IFERROR(INDEX(eq_pause,MATCH(B1981,eq_code,0)),0))+SUMIFS(st_min,st_date,A1981,st_eq,B1981,st_po,C1981,st_type,"Planifié"),"")</f>
        <v/>
      </c>
      <c r="M1981" s="55" t="str">
        <f>IF(ISNUMBER(K1981),K1981-L1981,"")</f>
        <v/>
      </c>
      <c r="N1981" s="55" t="str">
        <f>IF(ISNUMBER(K1981),SUMIFS(st_min,st_date,A1981,st_eq,B1981,st_po,C1981,st_type,"Non planifié"),"")</f>
        <v/>
      </c>
      <c r="O1981" s="55" t="str">
        <f>IF(ISNUMBER(K1981),M1981-N1981,"")</f>
        <v/>
      </c>
      <c r="P1981" s="55" t="str">
        <f>IF(COUNTA(A1981:I1981)=0,"",N(G1981)+N(H1981)+N(I1981))</f>
        <v/>
      </c>
      <c r="Q1981" s="56" t="str">
        <f>IF(COUNTA(A1981:I1981)=0,"",IF(N(IFERROR(INDEX(art_rate,MATCH(E1981,art_ref,0)),0))&gt;0,N(IFERROR(INDEX(art_rate,MATCH(E1981,art_ref,0)),0)),N(IFERROR(INDEX(po_rate,MATCH(C1981,po_code,0)),0))))</f>
        <v/>
      </c>
      <c r="R1981" s="55" t="str">
        <f>IF(AC1981=1,P1981*60/Q1981,"")</f>
        <v/>
      </c>
      <c r="S1981" s="55" t="str">
        <f>IF(AC1981=1,N(G1981)*60/Q1981,"")</f>
        <v/>
      </c>
      <c r="T1981" s="57" t="str">
        <f>IF(AC1981=1,O1981/M1981,"")</f>
        <v/>
      </c>
      <c r="U1981" s="57" t="str">
        <f>IF(AC1981=1,IF(O1981&gt;0,R1981/O1981,""),"")</f>
        <v/>
      </c>
      <c r="V1981" s="57" t="str">
        <f>IF(AC1981=1,IF(P1981&gt;0,N(G1981)/P1981,""),"")</f>
        <v/>
      </c>
      <c r="W1981" s="57" t="str">
        <f>IF(AC1981=1,S1981/M1981,"")</f>
        <v/>
      </c>
      <c r="X1981" s="57" t="str">
        <f>IF(AC1981=1,S1981/K1981,"")</f>
        <v/>
      </c>
      <c r="Y1981" s="58" t="str">
        <f>IF(W1981="","",IF(W1981&gt;=p_target,"Bon",IF(W1981&gt;=p_alert,"À surveiller","Faible")))</f>
        <v/>
      </c>
      <c r="Z1981" s="58" t="str">
        <f>IF(W1981="","",IF(MIN(IF(T1981="",1,T1981),IF(U1981="",1,U1981),IF(V1981="",1,V1981))&gt;=1,"Aucune",IF(IF(T1981="",1,T1981)&lt;=MIN(IF(U1981="",1,U1981),IF(V1981="",1,V1981)),"Disponibilité",IF(IF(U1981="",1,U1981)&lt;=IF(V1981="",1,V1981),"Performance","Qualité"))))</f>
        <v/>
      </c>
      <c r="AA1981" s="59" t="str">
        <f>IF(AC1981=1,N(H1981)*N(IFERROR(INDEX(art_cost,MATCH(E1981,art_ref,0)),0)),"")</f>
        <v/>
      </c>
      <c r="AB1981" s="58" t="str">
        <f>IF(COUNTA(A1981:I1981)=0,"",IF(N(A1981)&lt;=0,"Date manquante ou invalide",IF(B1981="","Équipe manquante",IF(ISNA(MATCH(B1981,eq_code,0)),"Équipe inconnue",IF(INDEX(eq_check,MATCH(B1981,eq_code,0))&lt;&gt;"OK","Équipe à corriger dans Paramètres",IF(C1981="","Poste manquant",IF(ISNA(MATCH(C1981,po_code,0)),"Poste inconnu",IF(AND(E1981&lt;&gt;"",ISNA(MATCH(E1981,art_ref,0))),"Article inconnu",IF(IF(E1981="",FALSE,INDEX(art_check,MATCH(E1981,art_ref,0))&lt;&gt;"OK"),"Article à corriger (feuille Articles)",IF(COUNTIFS(sj_date,A1981,sj_eq,B1981,sj_po,C1981)&gt;1,"Ligne en double (même jour, équipe et poste)",IF(OR(NOT(ISNUMBER(K1981)),N(K1981)&lt;=0,N(K1981)&gt;1440),"Temps d'ouverture invalide",IF(OR(AND(G1981&lt;&gt;"",NOT(ISNUMBER(G1981))),N(G1981)&lt;0,N(G1981)&lt;&gt;INT(N(G1981)),AND(H1981&lt;&gt;"",NOT(ISNUMBER(H1981))),N(H1981)&lt;0,N(H1981)&lt;&gt;INT(N(H1981)),AND(I1981&lt;&gt;"",NOT(ISNUMBER(I1981))),N(I1981)&lt;0,N(I1981)&lt;&gt;INT(N(I1981))),"Quantité invalide",IF(Q1981&lt;=0,"Cadence manquante (poste ou article)",IF(M1981&lt;=0,"Arrêts planifiés supérieurs au temps d'ouverture",IF(O1981&lt;0,"Arrêts supérieurs au temps requis",IF(AND(P1981&gt;0,O1981=0),"Pièces déclarées sans temps de marche",IF(AND(P1981=0,O1981&gt;0),"Aucune pièce déclarée",IF(P1981*60/Q1981&gt;O1981+0.001,"Cadence dépassée : vérifiez la cadence","OK"))))))))))))))))))</f>
        <v/>
      </c>
      <c r="AC1981">
        <f>IF(OR(AB1981="OK",AB1981="Aucune pièce déclarée",AB1981="Cadence dépassée : vérifiez la cadence"),1,0)</f>
        <v>0.0</v>
      </c>
      <c r="AD1981">
        <f>IF(AND(AC1981=1,A1981&gt;=p_from,A1981&lt;=p_to),1,0)</f>
        <v>0.0</v>
      </c>
      <c r="AE1981">
        <f>IF(AD1981=1,IF(COUNTIFS($A$6:A1981,A1981,$AD$6:AD1981,1)=1,1,0),0)</f>
        <v>0.0</v>
      </c>
      <c r="AF1981" t="str">
        <f>IF(AE1981=1,COUNTIFS(sj_first,1,sj_date,"&lt;"&amp;A1981)+1,"")</f>
        <v/>
      </c>
      <c r="AG1981" t="str">
        <f>IF(AND(AD1981=1,N(W1981)&lt;p_alert),ROUND(W1981,4),"")</f>
        <v/>
      </c>
      <c r="AH1981" t="str">
        <f>IF(AG1981="","",COUNTIF(sj_akey,"&lt;"&amp;AG1981)+COUNTIF($AG$6:AG1981,AG1981))</f>
        <v/>
      </c>
    </row>
    <row r="1982">
      <c r="A1982" s="51" t="n"/>
      <c r="B1982" s="52" t="n"/>
      <c r="C1982" s="52" t="n"/>
      <c r="D1982" s="53" t="n"/>
      <c r="E1982" s="53" t="n"/>
      <c r="F1982" s="54" t="n"/>
      <c r="G1982" s="54" t="n"/>
      <c r="H1982" s="54" t="n"/>
      <c r="I1982" s="54" t="n"/>
      <c r="J1982" s="53" t="n"/>
      <c r="K1982" s="55" t="str">
        <f>IF(COUNTA(A1982:I1982)=0,"",IF(F1982="",IFERROR(INDEX(eq_dur,MATCH(B1982,eq_code,0)),""),F1982))</f>
        <v/>
      </c>
      <c r="L1982" s="55" t="str">
        <f>IF(ISNUMBER(K1982),N(IFERROR(INDEX(eq_pause,MATCH(B1982,eq_code,0)),0))+SUMIFS(st_min,st_date,A1982,st_eq,B1982,st_po,C1982,st_type,"Planifié"),"")</f>
        <v/>
      </c>
      <c r="M1982" s="55" t="str">
        <f>IF(ISNUMBER(K1982),K1982-L1982,"")</f>
        <v/>
      </c>
      <c r="N1982" s="55" t="str">
        <f>IF(ISNUMBER(K1982),SUMIFS(st_min,st_date,A1982,st_eq,B1982,st_po,C1982,st_type,"Non planifié"),"")</f>
        <v/>
      </c>
      <c r="O1982" s="55" t="str">
        <f>IF(ISNUMBER(K1982),M1982-N1982,"")</f>
        <v/>
      </c>
      <c r="P1982" s="55" t="str">
        <f>IF(COUNTA(A1982:I1982)=0,"",N(G1982)+N(H1982)+N(I1982))</f>
        <v/>
      </c>
      <c r="Q1982" s="56" t="str">
        <f>IF(COUNTA(A1982:I1982)=0,"",IF(N(IFERROR(INDEX(art_rate,MATCH(E1982,art_ref,0)),0))&gt;0,N(IFERROR(INDEX(art_rate,MATCH(E1982,art_ref,0)),0)),N(IFERROR(INDEX(po_rate,MATCH(C1982,po_code,0)),0))))</f>
        <v/>
      </c>
      <c r="R1982" s="55" t="str">
        <f>IF(AC1982=1,P1982*60/Q1982,"")</f>
        <v/>
      </c>
      <c r="S1982" s="55" t="str">
        <f>IF(AC1982=1,N(G1982)*60/Q1982,"")</f>
        <v/>
      </c>
      <c r="T1982" s="57" t="str">
        <f>IF(AC1982=1,O1982/M1982,"")</f>
        <v/>
      </c>
      <c r="U1982" s="57" t="str">
        <f>IF(AC1982=1,IF(O1982&gt;0,R1982/O1982,""),"")</f>
        <v/>
      </c>
      <c r="V1982" s="57" t="str">
        <f>IF(AC1982=1,IF(P1982&gt;0,N(G1982)/P1982,""),"")</f>
        <v/>
      </c>
      <c r="W1982" s="57" t="str">
        <f>IF(AC1982=1,S1982/M1982,"")</f>
        <v/>
      </c>
      <c r="X1982" s="57" t="str">
        <f>IF(AC1982=1,S1982/K1982,"")</f>
        <v/>
      </c>
      <c r="Y1982" s="58" t="str">
        <f>IF(W1982="","",IF(W1982&gt;=p_target,"Bon",IF(W1982&gt;=p_alert,"À surveiller","Faible")))</f>
        <v/>
      </c>
      <c r="Z1982" s="58" t="str">
        <f>IF(W1982="","",IF(MIN(IF(T1982="",1,T1982),IF(U1982="",1,U1982),IF(V1982="",1,V1982))&gt;=1,"Aucune",IF(IF(T1982="",1,T1982)&lt;=MIN(IF(U1982="",1,U1982),IF(V1982="",1,V1982)),"Disponibilité",IF(IF(U1982="",1,U1982)&lt;=IF(V1982="",1,V1982),"Performance","Qualité"))))</f>
        <v/>
      </c>
      <c r="AA1982" s="59" t="str">
        <f>IF(AC1982=1,N(H1982)*N(IFERROR(INDEX(art_cost,MATCH(E1982,art_ref,0)),0)),"")</f>
        <v/>
      </c>
      <c r="AB1982" s="58" t="str">
        <f>IF(COUNTA(A1982:I1982)=0,"",IF(N(A1982)&lt;=0,"Date manquante ou invalide",IF(B1982="","Équipe manquante",IF(ISNA(MATCH(B1982,eq_code,0)),"Équipe inconnue",IF(INDEX(eq_check,MATCH(B1982,eq_code,0))&lt;&gt;"OK","Équipe à corriger dans Paramètres",IF(C1982="","Poste manquant",IF(ISNA(MATCH(C1982,po_code,0)),"Poste inconnu",IF(AND(E1982&lt;&gt;"",ISNA(MATCH(E1982,art_ref,0))),"Article inconnu",IF(IF(E1982="",FALSE,INDEX(art_check,MATCH(E1982,art_ref,0))&lt;&gt;"OK"),"Article à corriger (feuille Articles)",IF(COUNTIFS(sj_date,A1982,sj_eq,B1982,sj_po,C1982)&gt;1,"Ligne en double (même jour, équipe et poste)",IF(OR(NOT(ISNUMBER(K1982)),N(K1982)&lt;=0,N(K1982)&gt;1440),"Temps d'ouverture invalide",IF(OR(AND(G1982&lt;&gt;"",NOT(ISNUMBER(G1982))),N(G1982)&lt;0,N(G1982)&lt;&gt;INT(N(G1982)),AND(H1982&lt;&gt;"",NOT(ISNUMBER(H1982))),N(H1982)&lt;0,N(H1982)&lt;&gt;INT(N(H1982)),AND(I1982&lt;&gt;"",NOT(ISNUMBER(I1982))),N(I1982)&lt;0,N(I1982)&lt;&gt;INT(N(I1982))),"Quantité invalide",IF(Q1982&lt;=0,"Cadence manquante (poste ou article)",IF(M1982&lt;=0,"Arrêts planifiés supérieurs au temps d'ouverture",IF(O1982&lt;0,"Arrêts supérieurs au temps requis",IF(AND(P1982&gt;0,O1982=0),"Pièces déclarées sans temps de marche",IF(AND(P1982=0,O1982&gt;0),"Aucune pièce déclarée",IF(P1982*60/Q1982&gt;O1982+0.001,"Cadence dépassée : vérifiez la cadence","OK"))))))))))))))))))</f>
        <v/>
      </c>
      <c r="AC1982">
        <f>IF(OR(AB1982="OK",AB1982="Aucune pièce déclarée",AB1982="Cadence dépassée : vérifiez la cadence"),1,0)</f>
        <v>0.0</v>
      </c>
      <c r="AD1982">
        <f>IF(AND(AC1982=1,A1982&gt;=p_from,A1982&lt;=p_to),1,0)</f>
        <v>0.0</v>
      </c>
      <c r="AE1982">
        <f>IF(AD1982=1,IF(COUNTIFS($A$6:A1982,A1982,$AD$6:AD1982,1)=1,1,0),0)</f>
        <v>0.0</v>
      </c>
      <c r="AF1982" t="str">
        <f>IF(AE1982=1,COUNTIFS(sj_first,1,sj_date,"&lt;"&amp;A1982)+1,"")</f>
        <v/>
      </c>
      <c r="AG1982" t="str">
        <f>IF(AND(AD1982=1,N(W1982)&lt;p_alert),ROUND(W1982,4),"")</f>
        <v/>
      </c>
      <c r="AH1982" t="str">
        <f>IF(AG1982="","",COUNTIF(sj_akey,"&lt;"&amp;AG1982)+COUNTIF($AG$6:AG1982,AG1982))</f>
        <v/>
      </c>
    </row>
    <row r="1983">
      <c r="A1983" s="51" t="n"/>
      <c r="B1983" s="52" t="n"/>
      <c r="C1983" s="52" t="n"/>
      <c r="D1983" s="53" t="n"/>
      <c r="E1983" s="53" t="n"/>
      <c r="F1983" s="54" t="n"/>
      <c r="G1983" s="54" t="n"/>
      <c r="H1983" s="54" t="n"/>
      <c r="I1983" s="54" t="n"/>
      <c r="J1983" s="53" t="n"/>
      <c r="K1983" s="55" t="str">
        <f>IF(COUNTA(A1983:I1983)=0,"",IF(F1983="",IFERROR(INDEX(eq_dur,MATCH(B1983,eq_code,0)),""),F1983))</f>
        <v/>
      </c>
      <c r="L1983" s="55" t="str">
        <f>IF(ISNUMBER(K1983),N(IFERROR(INDEX(eq_pause,MATCH(B1983,eq_code,0)),0))+SUMIFS(st_min,st_date,A1983,st_eq,B1983,st_po,C1983,st_type,"Planifié"),"")</f>
        <v/>
      </c>
      <c r="M1983" s="55" t="str">
        <f>IF(ISNUMBER(K1983),K1983-L1983,"")</f>
        <v/>
      </c>
      <c r="N1983" s="55" t="str">
        <f>IF(ISNUMBER(K1983),SUMIFS(st_min,st_date,A1983,st_eq,B1983,st_po,C1983,st_type,"Non planifié"),"")</f>
        <v/>
      </c>
      <c r="O1983" s="55" t="str">
        <f>IF(ISNUMBER(K1983),M1983-N1983,"")</f>
        <v/>
      </c>
      <c r="P1983" s="55" t="str">
        <f>IF(COUNTA(A1983:I1983)=0,"",N(G1983)+N(H1983)+N(I1983))</f>
        <v/>
      </c>
      <c r="Q1983" s="56" t="str">
        <f>IF(COUNTA(A1983:I1983)=0,"",IF(N(IFERROR(INDEX(art_rate,MATCH(E1983,art_ref,0)),0))&gt;0,N(IFERROR(INDEX(art_rate,MATCH(E1983,art_ref,0)),0)),N(IFERROR(INDEX(po_rate,MATCH(C1983,po_code,0)),0))))</f>
        <v/>
      </c>
      <c r="R1983" s="55" t="str">
        <f>IF(AC1983=1,P1983*60/Q1983,"")</f>
        <v/>
      </c>
      <c r="S1983" s="55" t="str">
        <f>IF(AC1983=1,N(G1983)*60/Q1983,"")</f>
        <v/>
      </c>
      <c r="T1983" s="57" t="str">
        <f>IF(AC1983=1,O1983/M1983,"")</f>
        <v/>
      </c>
      <c r="U1983" s="57" t="str">
        <f>IF(AC1983=1,IF(O1983&gt;0,R1983/O1983,""),"")</f>
        <v/>
      </c>
      <c r="V1983" s="57" t="str">
        <f>IF(AC1983=1,IF(P1983&gt;0,N(G1983)/P1983,""),"")</f>
        <v/>
      </c>
      <c r="W1983" s="57" t="str">
        <f>IF(AC1983=1,S1983/M1983,"")</f>
        <v/>
      </c>
      <c r="X1983" s="57" t="str">
        <f>IF(AC1983=1,S1983/K1983,"")</f>
        <v/>
      </c>
      <c r="Y1983" s="58" t="str">
        <f>IF(W1983="","",IF(W1983&gt;=p_target,"Bon",IF(W1983&gt;=p_alert,"À surveiller","Faible")))</f>
        <v/>
      </c>
      <c r="Z1983" s="58" t="str">
        <f>IF(W1983="","",IF(MIN(IF(T1983="",1,T1983),IF(U1983="",1,U1983),IF(V1983="",1,V1983))&gt;=1,"Aucune",IF(IF(T1983="",1,T1983)&lt;=MIN(IF(U1983="",1,U1983),IF(V1983="",1,V1983)),"Disponibilité",IF(IF(U1983="",1,U1983)&lt;=IF(V1983="",1,V1983),"Performance","Qualité"))))</f>
        <v/>
      </c>
      <c r="AA1983" s="59" t="str">
        <f>IF(AC1983=1,N(H1983)*N(IFERROR(INDEX(art_cost,MATCH(E1983,art_ref,0)),0)),"")</f>
        <v/>
      </c>
      <c r="AB1983" s="58" t="str">
        <f>IF(COUNTA(A1983:I1983)=0,"",IF(N(A1983)&lt;=0,"Date manquante ou invalide",IF(B1983="","Équipe manquante",IF(ISNA(MATCH(B1983,eq_code,0)),"Équipe inconnue",IF(INDEX(eq_check,MATCH(B1983,eq_code,0))&lt;&gt;"OK","Équipe à corriger dans Paramètres",IF(C1983="","Poste manquant",IF(ISNA(MATCH(C1983,po_code,0)),"Poste inconnu",IF(AND(E1983&lt;&gt;"",ISNA(MATCH(E1983,art_ref,0))),"Article inconnu",IF(IF(E1983="",FALSE,INDEX(art_check,MATCH(E1983,art_ref,0))&lt;&gt;"OK"),"Article à corriger (feuille Articles)",IF(COUNTIFS(sj_date,A1983,sj_eq,B1983,sj_po,C1983)&gt;1,"Ligne en double (même jour, équipe et poste)",IF(OR(NOT(ISNUMBER(K1983)),N(K1983)&lt;=0,N(K1983)&gt;1440),"Temps d'ouverture invalide",IF(OR(AND(G1983&lt;&gt;"",NOT(ISNUMBER(G1983))),N(G1983)&lt;0,N(G1983)&lt;&gt;INT(N(G1983)),AND(H1983&lt;&gt;"",NOT(ISNUMBER(H1983))),N(H1983)&lt;0,N(H1983)&lt;&gt;INT(N(H1983)),AND(I1983&lt;&gt;"",NOT(ISNUMBER(I1983))),N(I1983)&lt;0,N(I1983)&lt;&gt;INT(N(I1983))),"Quantité invalide",IF(Q1983&lt;=0,"Cadence manquante (poste ou article)",IF(M1983&lt;=0,"Arrêts planifiés supérieurs au temps d'ouverture",IF(O1983&lt;0,"Arrêts supérieurs au temps requis",IF(AND(P1983&gt;0,O1983=0),"Pièces déclarées sans temps de marche",IF(AND(P1983=0,O1983&gt;0),"Aucune pièce déclarée",IF(P1983*60/Q1983&gt;O1983+0.001,"Cadence dépassée : vérifiez la cadence","OK"))))))))))))))))))</f>
        <v/>
      </c>
      <c r="AC1983">
        <f>IF(OR(AB1983="OK",AB1983="Aucune pièce déclarée",AB1983="Cadence dépassée : vérifiez la cadence"),1,0)</f>
        <v>0.0</v>
      </c>
      <c r="AD1983">
        <f>IF(AND(AC1983=1,A1983&gt;=p_from,A1983&lt;=p_to),1,0)</f>
        <v>0.0</v>
      </c>
      <c r="AE1983">
        <f>IF(AD1983=1,IF(COUNTIFS($A$6:A1983,A1983,$AD$6:AD1983,1)=1,1,0),0)</f>
        <v>0.0</v>
      </c>
      <c r="AF1983" t="str">
        <f>IF(AE1983=1,COUNTIFS(sj_first,1,sj_date,"&lt;"&amp;A1983)+1,"")</f>
        <v/>
      </c>
      <c r="AG1983" t="str">
        <f>IF(AND(AD1983=1,N(W1983)&lt;p_alert),ROUND(W1983,4),"")</f>
        <v/>
      </c>
      <c r="AH1983" t="str">
        <f>IF(AG1983="","",COUNTIF(sj_akey,"&lt;"&amp;AG1983)+COUNTIF($AG$6:AG1983,AG1983))</f>
        <v/>
      </c>
    </row>
    <row r="1984">
      <c r="A1984" s="51" t="n"/>
      <c r="B1984" s="52" t="n"/>
      <c r="C1984" s="52" t="n"/>
      <c r="D1984" s="53" t="n"/>
      <c r="E1984" s="53" t="n"/>
      <c r="F1984" s="54" t="n"/>
      <c r="G1984" s="54" t="n"/>
      <c r="H1984" s="54" t="n"/>
      <c r="I1984" s="54" t="n"/>
      <c r="J1984" s="53" t="n"/>
      <c r="K1984" s="55" t="str">
        <f>IF(COUNTA(A1984:I1984)=0,"",IF(F1984="",IFERROR(INDEX(eq_dur,MATCH(B1984,eq_code,0)),""),F1984))</f>
        <v/>
      </c>
      <c r="L1984" s="55" t="str">
        <f>IF(ISNUMBER(K1984),N(IFERROR(INDEX(eq_pause,MATCH(B1984,eq_code,0)),0))+SUMIFS(st_min,st_date,A1984,st_eq,B1984,st_po,C1984,st_type,"Planifié"),"")</f>
        <v/>
      </c>
      <c r="M1984" s="55" t="str">
        <f>IF(ISNUMBER(K1984),K1984-L1984,"")</f>
        <v/>
      </c>
      <c r="N1984" s="55" t="str">
        <f>IF(ISNUMBER(K1984),SUMIFS(st_min,st_date,A1984,st_eq,B1984,st_po,C1984,st_type,"Non planifié"),"")</f>
        <v/>
      </c>
      <c r="O1984" s="55" t="str">
        <f>IF(ISNUMBER(K1984),M1984-N1984,"")</f>
        <v/>
      </c>
      <c r="P1984" s="55" t="str">
        <f>IF(COUNTA(A1984:I1984)=0,"",N(G1984)+N(H1984)+N(I1984))</f>
        <v/>
      </c>
      <c r="Q1984" s="56" t="str">
        <f>IF(COUNTA(A1984:I1984)=0,"",IF(N(IFERROR(INDEX(art_rate,MATCH(E1984,art_ref,0)),0))&gt;0,N(IFERROR(INDEX(art_rate,MATCH(E1984,art_ref,0)),0)),N(IFERROR(INDEX(po_rate,MATCH(C1984,po_code,0)),0))))</f>
        <v/>
      </c>
      <c r="R1984" s="55" t="str">
        <f>IF(AC1984=1,P1984*60/Q1984,"")</f>
        <v/>
      </c>
      <c r="S1984" s="55" t="str">
        <f>IF(AC1984=1,N(G1984)*60/Q1984,"")</f>
        <v/>
      </c>
      <c r="T1984" s="57" t="str">
        <f>IF(AC1984=1,O1984/M1984,"")</f>
        <v/>
      </c>
      <c r="U1984" s="57" t="str">
        <f>IF(AC1984=1,IF(O1984&gt;0,R1984/O1984,""),"")</f>
        <v/>
      </c>
      <c r="V1984" s="57" t="str">
        <f>IF(AC1984=1,IF(P1984&gt;0,N(G1984)/P1984,""),"")</f>
        <v/>
      </c>
      <c r="W1984" s="57" t="str">
        <f>IF(AC1984=1,S1984/M1984,"")</f>
        <v/>
      </c>
      <c r="X1984" s="57" t="str">
        <f>IF(AC1984=1,S1984/K1984,"")</f>
        <v/>
      </c>
      <c r="Y1984" s="58" t="str">
        <f>IF(W1984="","",IF(W1984&gt;=p_target,"Bon",IF(W1984&gt;=p_alert,"À surveiller","Faible")))</f>
        <v/>
      </c>
      <c r="Z1984" s="58" t="str">
        <f>IF(W1984="","",IF(MIN(IF(T1984="",1,T1984),IF(U1984="",1,U1984),IF(V1984="",1,V1984))&gt;=1,"Aucune",IF(IF(T1984="",1,T1984)&lt;=MIN(IF(U1984="",1,U1984),IF(V1984="",1,V1984)),"Disponibilité",IF(IF(U1984="",1,U1984)&lt;=IF(V1984="",1,V1984),"Performance","Qualité"))))</f>
        <v/>
      </c>
      <c r="AA1984" s="59" t="str">
        <f>IF(AC1984=1,N(H1984)*N(IFERROR(INDEX(art_cost,MATCH(E1984,art_ref,0)),0)),"")</f>
        <v/>
      </c>
      <c r="AB1984" s="58" t="str">
        <f>IF(COUNTA(A1984:I1984)=0,"",IF(N(A1984)&lt;=0,"Date manquante ou invalide",IF(B1984="","Équipe manquante",IF(ISNA(MATCH(B1984,eq_code,0)),"Équipe inconnue",IF(INDEX(eq_check,MATCH(B1984,eq_code,0))&lt;&gt;"OK","Équipe à corriger dans Paramètres",IF(C1984="","Poste manquant",IF(ISNA(MATCH(C1984,po_code,0)),"Poste inconnu",IF(AND(E1984&lt;&gt;"",ISNA(MATCH(E1984,art_ref,0))),"Article inconnu",IF(IF(E1984="",FALSE,INDEX(art_check,MATCH(E1984,art_ref,0))&lt;&gt;"OK"),"Article à corriger (feuille Articles)",IF(COUNTIFS(sj_date,A1984,sj_eq,B1984,sj_po,C1984)&gt;1,"Ligne en double (même jour, équipe et poste)",IF(OR(NOT(ISNUMBER(K1984)),N(K1984)&lt;=0,N(K1984)&gt;1440),"Temps d'ouverture invalide",IF(OR(AND(G1984&lt;&gt;"",NOT(ISNUMBER(G1984))),N(G1984)&lt;0,N(G1984)&lt;&gt;INT(N(G1984)),AND(H1984&lt;&gt;"",NOT(ISNUMBER(H1984))),N(H1984)&lt;0,N(H1984)&lt;&gt;INT(N(H1984)),AND(I1984&lt;&gt;"",NOT(ISNUMBER(I1984))),N(I1984)&lt;0,N(I1984)&lt;&gt;INT(N(I1984))),"Quantité invalide",IF(Q1984&lt;=0,"Cadence manquante (poste ou article)",IF(M1984&lt;=0,"Arrêts planifiés supérieurs au temps d'ouverture",IF(O1984&lt;0,"Arrêts supérieurs au temps requis",IF(AND(P1984&gt;0,O1984=0),"Pièces déclarées sans temps de marche",IF(AND(P1984=0,O1984&gt;0),"Aucune pièce déclarée",IF(P1984*60/Q1984&gt;O1984+0.001,"Cadence dépassée : vérifiez la cadence","OK"))))))))))))))))))</f>
        <v/>
      </c>
      <c r="AC1984">
        <f>IF(OR(AB1984="OK",AB1984="Aucune pièce déclarée",AB1984="Cadence dépassée : vérifiez la cadence"),1,0)</f>
        <v>0.0</v>
      </c>
      <c r="AD1984">
        <f>IF(AND(AC1984=1,A1984&gt;=p_from,A1984&lt;=p_to),1,0)</f>
        <v>0.0</v>
      </c>
      <c r="AE1984">
        <f>IF(AD1984=1,IF(COUNTIFS($A$6:A1984,A1984,$AD$6:AD1984,1)=1,1,0),0)</f>
        <v>0.0</v>
      </c>
      <c r="AF1984" t="str">
        <f>IF(AE1984=1,COUNTIFS(sj_first,1,sj_date,"&lt;"&amp;A1984)+1,"")</f>
        <v/>
      </c>
      <c r="AG1984" t="str">
        <f>IF(AND(AD1984=1,N(W1984)&lt;p_alert),ROUND(W1984,4),"")</f>
        <v/>
      </c>
      <c r="AH1984" t="str">
        <f>IF(AG1984="","",COUNTIF(sj_akey,"&lt;"&amp;AG1984)+COUNTIF($AG$6:AG1984,AG1984))</f>
        <v/>
      </c>
    </row>
    <row r="1985">
      <c r="A1985" s="51" t="n"/>
      <c r="B1985" s="52" t="n"/>
      <c r="C1985" s="52" t="n"/>
      <c r="D1985" s="53" t="n"/>
      <c r="E1985" s="53" t="n"/>
      <c r="F1985" s="54" t="n"/>
      <c r="G1985" s="54" t="n"/>
      <c r="H1985" s="54" t="n"/>
      <c r="I1985" s="54" t="n"/>
      <c r="J1985" s="53" t="n"/>
      <c r="K1985" s="55" t="str">
        <f>IF(COUNTA(A1985:I1985)=0,"",IF(F1985="",IFERROR(INDEX(eq_dur,MATCH(B1985,eq_code,0)),""),F1985))</f>
        <v/>
      </c>
      <c r="L1985" s="55" t="str">
        <f>IF(ISNUMBER(K1985),N(IFERROR(INDEX(eq_pause,MATCH(B1985,eq_code,0)),0))+SUMIFS(st_min,st_date,A1985,st_eq,B1985,st_po,C1985,st_type,"Planifié"),"")</f>
        <v/>
      </c>
      <c r="M1985" s="55" t="str">
        <f>IF(ISNUMBER(K1985),K1985-L1985,"")</f>
        <v/>
      </c>
      <c r="N1985" s="55" t="str">
        <f>IF(ISNUMBER(K1985),SUMIFS(st_min,st_date,A1985,st_eq,B1985,st_po,C1985,st_type,"Non planifié"),"")</f>
        <v/>
      </c>
      <c r="O1985" s="55" t="str">
        <f>IF(ISNUMBER(K1985),M1985-N1985,"")</f>
        <v/>
      </c>
      <c r="P1985" s="55" t="str">
        <f>IF(COUNTA(A1985:I1985)=0,"",N(G1985)+N(H1985)+N(I1985))</f>
        <v/>
      </c>
      <c r="Q1985" s="56" t="str">
        <f>IF(COUNTA(A1985:I1985)=0,"",IF(N(IFERROR(INDEX(art_rate,MATCH(E1985,art_ref,0)),0))&gt;0,N(IFERROR(INDEX(art_rate,MATCH(E1985,art_ref,0)),0)),N(IFERROR(INDEX(po_rate,MATCH(C1985,po_code,0)),0))))</f>
        <v/>
      </c>
      <c r="R1985" s="55" t="str">
        <f>IF(AC1985=1,P1985*60/Q1985,"")</f>
        <v/>
      </c>
      <c r="S1985" s="55" t="str">
        <f>IF(AC1985=1,N(G1985)*60/Q1985,"")</f>
        <v/>
      </c>
      <c r="T1985" s="57" t="str">
        <f>IF(AC1985=1,O1985/M1985,"")</f>
        <v/>
      </c>
      <c r="U1985" s="57" t="str">
        <f>IF(AC1985=1,IF(O1985&gt;0,R1985/O1985,""),"")</f>
        <v/>
      </c>
      <c r="V1985" s="57" t="str">
        <f>IF(AC1985=1,IF(P1985&gt;0,N(G1985)/P1985,""),"")</f>
        <v/>
      </c>
      <c r="W1985" s="57" t="str">
        <f>IF(AC1985=1,S1985/M1985,"")</f>
        <v/>
      </c>
      <c r="X1985" s="57" t="str">
        <f>IF(AC1985=1,S1985/K1985,"")</f>
        <v/>
      </c>
      <c r="Y1985" s="58" t="str">
        <f>IF(W1985="","",IF(W1985&gt;=p_target,"Bon",IF(W1985&gt;=p_alert,"À surveiller","Faible")))</f>
        <v/>
      </c>
      <c r="Z1985" s="58" t="str">
        <f>IF(W1985="","",IF(MIN(IF(T1985="",1,T1985),IF(U1985="",1,U1985),IF(V1985="",1,V1985))&gt;=1,"Aucune",IF(IF(T1985="",1,T1985)&lt;=MIN(IF(U1985="",1,U1985),IF(V1985="",1,V1985)),"Disponibilité",IF(IF(U1985="",1,U1985)&lt;=IF(V1985="",1,V1985),"Performance","Qualité"))))</f>
        <v/>
      </c>
      <c r="AA1985" s="59" t="str">
        <f>IF(AC1985=1,N(H1985)*N(IFERROR(INDEX(art_cost,MATCH(E1985,art_ref,0)),0)),"")</f>
        <v/>
      </c>
      <c r="AB1985" s="58" t="str">
        <f>IF(COUNTA(A1985:I1985)=0,"",IF(N(A1985)&lt;=0,"Date manquante ou invalide",IF(B1985="","Équipe manquante",IF(ISNA(MATCH(B1985,eq_code,0)),"Équipe inconnue",IF(INDEX(eq_check,MATCH(B1985,eq_code,0))&lt;&gt;"OK","Équipe à corriger dans Paramètres",IF(C1985="","Poste manquant",IF(ISNA(MATCH(C1985,po_code,0)),"Poste inconnu",IF(AND(E1985&lt;&gt;"",ISNA(MATCH(E1985,art_ref,0))),"Article inconnu",IF(IF(E1985="",FALSE,INDEX(art_check,MATCH(E1985,art_ref,0))&lt;&gt;"OK"),"Article à corriger (feuille Articles)",IF(COUNTIFS(sj_date,A1985,sj_eq,B1985,sj_po,C1985)&gt;1,"Ligne en double (même jour, équipe et poste)",IF(OR(NOT(ISNUMBER(K1985)),N(K1985)&lt;=0,N(K1985)&gt;1440),"Temps d'ouverture invalide",IF(OR(AND(G1985&lt;&gt;"",NOT(ISNUMBER(G1985))),N(G1985)&lt;0,N(G1985)&lt;&gt;INT(N(G1985)),AND(H1985&lt;&gt;"",NOT(ISNUMBER(H1985))),N(H1985)&lt;0,N(H1985)&lt;&gt;INT(N(H1985)),AND(I1985&lt;&gt;"",NOT(ISNUMBER(I1985))),N(I1985)&lt;0,N(I1985)&lt;&gt;INT(N(I1985))),"Quantité invalide",IF(Q1985&lt;=0,"Cadence manquante (poste ou article)",IF(M1985&lt;=0,"Arrêts planifiés supérieurs au temps d'ouverture",IF(O1985&lt;0,"Arrêts supérieurs au temps requis",IF(AND(P1985&gt;0,O1985=0),"Pièces déclarées sans temps de marche",IF(AND(P1985=0,O1985&gt;0),"Aucune pièce déclarée",IF(P1985*60/Q1985&gt;O1985+0.001,"Cadence dépassée : vérifiez la cadence","OK"))))))))))))))))))</f>
        <v/>
      </c>
      <c r="AC1985">
        <f>IF(OR(AB1985="OK",AB1985="Aucune pièce déclarée",AB1985="Cadence dépassée : vérifiez la cadence"),1,0)</f>
        <v>0.0</v>
      </c>
      <c r="AD1985">
        <f>IF(AND(AC1985=1,A1985&gt;=p_from,A1985&lt;=p_to),1,0)</f>
        <v>0.0</v>
      </c>
      <c r="AE1985">
        <f>IF(AD1985=1,IF(COUNTIFS($A$6:A1985,A1985,$AD$6:AD1985,1)=1,1,0),0)</f>
        <v>0.0</v>
      </c>
      <c r="AF1985" t="str">
        <f>IF(AE1985=1,COUNTIFS(sj_first,1,sj_date,"&lt;"&amp;A1985)+1,"")</f>
        <v/>
      </c>
      <c r="AG1985" t="str">
        <f>IF(AND(AD1985=1,N(W1985)&lt;p_alert),ROUND(W1985,4),"")</f>
        <v/>
      </c>
      <c r="AH1985" t="str">
        <f>IF(AG1985="","",COUNTIF(sj_akey,"&lt;"&amp;AG1985)+COUNTIF($AG$6:AG1985,AG1985))</f>
        <v/>
      </c>
    </row>
    <row r="1986">
      <c r="A1986" s="51" t="n"/>
      <c r="B1986" s="52" t="n"/>
      <c r="C1986" s="52" t="n"/>
      <c r="D1986" s="53" t="n"/>
      <c r="E1986" s="53" t="n"/>
      <c r="F1986" s="54" t="n"/>
      <c r="G1986" s="54" t="n"/>
      <c r="H1986" s="54" t="n"/>
      <c r="I1986" s="54" t="n"/>
      <c r="J1986" s="53" t="n"/>
      <c r="K1986" s="55" t="str">
        <f>IF(COUNTA(A1986:I1986)=0,"",IF(F1986="",IFERROR(INDEX(eq_dur,MATCH(B1986,eq_code,0)),""),F1986))</f>
        <v/>
      </c>
      <c r="L1986" s="55" t="str">
        <f>IF(ISNUMBER(K1986),N(IFERROR(INDEX(eq_pause,MATCH(B1986,eq_code,0)),0))+SUMIFS(st_min,st_date,A1986,st_eq,B1986,st_po,C1986,st_type,"Planifié"),"")</f>
        <v/>
      </c>
      <c r="M1986" s="55" t="str">
        <f>IF(ISNUMBER(K1986),K1986-L1986,"")</f>
        <v/>
      </c>
      <c r="N1986" s="55" t="str">
        <f>IF(ISNUMBER(K1986),SUMIFS(st_min,st_date,A1986,st_eq,B1986,st_po,C1986,st_type,"Non planifié"),"")</f>
        <v/>
      </c>
      <c r="O1986" s="55" t="str">
        <f>IF(ISNUMBER(K1986),M1986-N1986,"")</f>
        <v/>
      </c>
      <c r="P1986" s="55" t="str">
        <f>IF(COUNTA(A1986:I1986)=0,"",N(G1986)+N(H1986)+N(I1986))</f>
        <v/>
      </c>
      <c r="Q1986" s="56" t="str">
        <f>IF(COUNTA(A1986:I1986)=0,"",IF(N(IFERROR(INDEX(art_rate,MATCH(E1986,art_ref,0)),0))&gt;0,N(IFERROR(INDEX(art_rate,MATCH(E1986,art_ref,0)),0)),N(IFERROR(INDEX(po_rate,MATCH(C1986,po_code,0)),0))))</f>
        <v/>
      </c>
      <c r="R1986" s="55" t="str">
        <f>IF(AC1986=1,P1986*60/Q1986,"")</f>
        <v/>
      </c>
      <c r="S1986" s="55" t="str">
        <f>IF(AC1986=1,N(G1986)*60/Q1986,"")</f>
        <v/>
      </c>
      <c r="T1986" s="57" t="str">
        <f>IF(AC1986=1,O1986/M1986,"")</f>
        <v/>
      </c>
      <c r="U1986" s="57" t="str">
        <f>IF(AC1986=1,IF(O1986&gt;0,R1986/O1986,""),"")</f>
        <v/>
      </c>
      <c r="V1986" s="57" t="str">
        <f>IF(AC1986=1,IF(P1986&gt;0,N(G1986)/P1986,""),"")</f>
        <v/>
      </c>
      <c r="W1986" s="57" t="str">
        <f>IF(AC1986=1,S1986/M1986,"")</f>
        <v/>
      </c>
      <c r="X1986" s="57" t="str">
        <f>IF(AC1986=1,S1986/K1986,"")</f>
        <v/>
      </c>
      <c r="Y1986" s="58" t="str">
        <f>IF(W1986="","",IF(W1986&gt;=p_target,"Bon",IF(W1986&gt;=p_alert,"À surveiller","Faible")))</f>
        <v/>
      </c>
      <c r="Z1986" s="58" t="str">
        <f>IF(W1986="","",IF(MIN(IF(T1986="",1,T1986),IF(U1986="",1,U1986),IF(V1986="",1,V1986))&gt;=1,"Aucune",IF(IF(T1986="",1,T1986)&lt;=MIN(IF(U1986="",1,U1986),IF(V1986="",1,V1986)),"Disponibilité",IF(IF(U1986="",1,U1986)&lt;=IF(V1986="",1,V1986),"Performance","Qualité"))))</f>
        <v/>
      </c>
      <c r="AA1986" s="59" t="str">
        <f>IF(AC1986=1,N(H1986)*N(IFERROR(INDEX(art_cost,MATCH(E1986,art_ref,0)),0)),"")</f>
        <v/>
      </c>
      <c r="AB1986" s="58" t="str">
        <f>IF(COUNTA(A1986:I1986)=0,"",IF(N(A1986)&lt;=0,"Date manquante ou invalide",IF(B1986="","Équipe manquante",IF(ISNA(MATCH(B1986,eq_code,0)),"Équipe inconnue",IF(INDEX(eq_check,MATCH(B1986,eq_code,0))&lt;&gt;"OK","Équipe à corriger dans Paramètres",IF(C1986="","Poste manquant",IF(ISNA(MATCH(C1986,po_code,0)),"Poste inconnu",IF(AND(E1986&lt;&gt;"",ISNA(MATCH(E1986,art_ref,0))),"Article inconnu",IF(IF(E1986="",FALSE,INDEX(art_check,MATCH(E1986,art_ref,0))&lt;&gt;"OK"),"Article à corriger (feuille Articles)",IF(COUNTIFS(sj_date,A1986,sj_eq,B1986,sj_po,C1986)&gt;1,"Ligne en double (même jour, équipe et poste)",IF(OR(NOT(ISNUMBER(K1986)),N(K1986)&lt;=0,N(K1986)&gt;1440),"Temps d'ouverture invalide",IF(OR(AND(G1986&lt;&gt;"",NOT(ISNUMBER(G1986))),N(G1986)&lt;0,N(G1986)&lt;&gt;INT(N(G1986)),AND(H1986&lt;&gt;"",NOT(ISNUMBER(H1986))),N(H1986)&lt;0,N(H1986)&lt;&gt;INT(N(H1986)),AND(I1986&lt;&gt;"",NOT(ISNUMBER(I1986))),N(I1986)&lt;0,N(I1986)&lt;&gt;INT(N(I1986))),"Quantité invalide",IF(Q1986&lt;=0,"Cadence manquante (poste ou article)",IF(M1986&lt;=0,"Arrêts planifiés supérieurs au temps d'ouverture",IF(O1986&lt;0,"Arrêts supérieurs au temps requis",IF(AND(P1986&gt;0,O1986=0),"Pièces déclarées sans temps de marche",IF(AND(P1986=0,O1986&gt;0),"Aucune pièce déclarée",IF(P1986*60/Q1986&gt;O1986+0.001,"Cadence dépassée : vérifiez la cadence","OK"))))))))))))))))))</f>
        <v/>
      </c>
      <c r="AC1986">
        <f>IF(OR(AB1986="OK",AB1986="Aucune pièce déclarée",AB1986="Cadence dépassée : vérifiez la cadence"),1,0)</f>
        <v>0.0</v>
      </c>
      <c r="AD1986">
        <f>IF(AND(AC1986=1,A1986&gt;=p_from,A1986&lt;=p_to),1,0)</f>
        <v>0.0</v>
      </c>
      <c r="AE1986">
        <f>IF(AD1986=1,IF(COUNTIFS($A$6:A1986,A1986,$AD$6:AD1986,1)=1,1,0),0)</f>
        <v>0.0</v>
      </c>
      <c r="AF1986" t="str">
        <f>IF(AE1986=1,COUNTIFS(sj_first,1,sj_date,"&lt;"&amp;A1986)+1,"")</f>
        <v/>
      </c>
      <c r="AG1986" t="str">
        <f>IF(AND(AD1986=1,N(W1986)&lt;p_alert),ROUND(W1986,4),"")</f>
        <v/>
      </c>
      <c r="AH1986" t="str">
        <f>IF(AG1986="","",COUNTIF(sj_akey,"&lt;"&amp;AG1986)+COUNTIF($AG$6:AG1986,AG1986))</f>
        <v/>
      </c>
    </row>
    <row r="1987">
      <c r="A1987" s="51" t="n"/>
      <c r="B1987" s="52" t="n"/>
      <c r="C1987" s="52" t="n"/>
      <c r="D1987" s="53" t="n"/>
      <c r="E1987" s="53" t="n"/>
      <c r="F1987" s="54" t="n"/>
      <c r="G1987" s="54" t="n"/>
      <c r="H1987" s="54" t="n"/>
      <c r="I1987" s="54" t="n"/>
      <c r="J1987" s="53" t="n"/>
      <c r="K1987" s="55" t="str">
        <f>IF(COUNTA(A1987:I1987)=0,"",IF(F1987="",IFERROR(INDEX(eq_dur,MATCH(B1987,eq_code,0)),""),F1987))</f>
        <v/>
      </c>
      <c r="L1987" s="55" t="str">
        <f>IF(ISNUMBER(K1987),N(IFERROR(INDEX(eq_pause,MATCH(B1987,eq_code,0)),0))+SUMIFS(st_min,st_date,A1987,st_eq,B1987,st_po,C1987,st_type,"Planifié"),"")</f>
        <v/>
      </c>
      <c r="M1987" s="55" t="str">
        <f>IF(ISNUMBER(K1987),K1987-L1987,"")</f>
        <v/>
      </c>
      <c r="N1987" s="55" t="str">
        <f>IF(ISNUMBER(K1987),SUMIFS(st_min,st_date,A1987,st_eq,B1987,st_po,C1987,st_type,"Non planifié"),"")</f>
        <v/>
      </c>
      <c r="O1987" s="55" t="str">
        <f>IF(ISNUMBER(K1987),M1987-N1987,"")</f>
        <v/>
      </c>
      <c r="P1987" s="55" t="str">
        <f>IF(COUNTA(A1987:I1987)=0,"",N(G1987)+N(H1987)+N(I1987))</f>
        <v/>
      </c>
      <c r="Q1987" s="56" t="str">
        <f>IF(COUNTA(A1987:I1987)=0,"",IF(N(IFERROR(INDEX(art_rate,MATCH(E1987,art_ref,0)),0))&gt;0,N(IFERROR(INDEX(art_rate,MATCH(E1987,art_ref,0)),0)),N(IFERROR(INDEX(po_rate,MATCH(C1987,po_code,0)),0))))</f>
        <v/>
      </c>
      <c r="R1987" s="55" t="str">
        <f>IF(AC1987=1,P1987*60/Q1987,"")</f>
        <v/>
      </c>
      <c r="S1987" s="55" t="str">
        <f>IF(AC1987=1,N(G1987)*60/Q1987,"")</f>
        <v/>
      </c>
      <c r="T1987" s="57" t="str">
        <f>IF(AC1987=1,O1987/M1987,"")</f>
        <v/>
      </c>
      <c r="U1987" s="57" t="str">
        <f>IF(AC1987=1,IF(O1987&gt;0,R1987/O1987,""),"")</f>
        <v/>
      </c>
      <c r="V1987" s="57" t="str">
        <f>IF(AC1987=1,IF(P1987&gt;0,N(G1987)/P1987,""),"")</f>
        <v/>
      </c>
      <c r="W1987" s="57" t="str">
        <f>IF(AC1987=1,S1987/M1987,"")</f>
        <v/>
      </c>
      <c r="X1987" s="57" t="str">
        <f>IF(AC1987=1,S1987/K1987,"")</f>
        <v/>
      </c>
      <c r="Y1987" s="58" t="str">
        <f>IF(W1987="","",IF(W1987&gt;=p_target,"Bon",IF(W1987&gt;=p_alert,"À surveiller","Faible")))</f>
        <v/>
      </c>
      <c r="Z1987" s="58" t="str">
        <f>IF(W1987="","",IF(MIN(IF(T1987="",1,T1987),IF(U1987="",1,U1987),IF(V1987="",1,V1987))&gt;=1,"Aucune",IF(IF(T1987="",1,T1987)&lt;=MIN(IF(U1987="",1,U1987),IF(V1987="",1,V1987)),"Disponibilité",IF(IF(U1987="",1,U1987)&lt;=IF(V1987="",1,V1987),"Performance","Qualité"))))</f>
        <v/>
      </c>
      <c r="AA1987" s="59" t="str">
        <f>IF(AC1987=1,N(H1987)*N(IFERROR(INDEX(art_cost,MATCH(E1987,art_ref,0)),0)),"")</f>
        <v/>
      </c>
      <c r="AB1987" s="58" t="str">
        <f>IF(COUNTA(A1987:I1987)=0,"",IF(N(A1987)&lt;=0,"Date manquante ou invalide",IF(B1987="","Équipe manquante",IF(ISNA(MATCH(B1987,eq_code,0)),"Équipe inconnue",IF(INDEX(eq_check,MATCH(B1987,eq_code,0))&lt;&gt;"OK","Équipe à corriger dans Paramètres",IF(C1987="","Poste manquant",IF(ISNA(MATCH(C1987,po_code,0)),"Poste inconnu",IF(AND(E1987&lt;&gt;"",ISNA(MATCH(E1987,art_ref,0))),"Article inconnu",IF(IF(E1987="",FALSE,INDEX(art_check,MATCH(E1987,art_ref,0))&lt;&gt;"OK"),"Article à corriger (feuille Articles)",IF(COUNTIFS(sj_date,A1987,sj_eq,B1987,sj_po,C1987)&gt;1,"Ligne en double (même jour, équipe et poste)",IF(OR(NOT(ISNUMBER(K1987)),N(K1987)&lt;=0,N(K1987)&gt;1440),"Temps d'ouverture invalide",IF(OR(AND(G1987&lt;&gt;"",NOT(ISNUMBER(G1987))),N(G1987)&lt;0,N(G1987)&lt;&gt;INT(N(G1987)),AND(H1987&lt;&gt;"",NOT(ISNUMBER(H1987))),N(H1987)&lt;0,N(H1987)&lt;&gt;INT(N(H1987)),AND(I1987&lt;&gt;"",NOT(ISNUMBER(I1987))),N(I1987)&lt;0,N(I1987)&lt;&gt;INT(N(I1987))),"Quantité invalide",IF(Q1987&lt;=0,"Cadence manquante (poste ou article)",IF(M1987&lt;=0,"Arrêts planifiés supérieurs au temps d'ouverture",IF(O1987&lt;0,"Arrêts supérieurs au temps requis",IF(AND(P1987&gt;0,O1987=0),"Pièces déclarées sans temps de marche",IF(AND(P1987=0,O1987&gt;0),"Aucune pièce déclarée",IF(P1987*60/Q1987&gt;O1987+0.001,"Cadence dépassée : vérifiez la cadence","OK"))))))))))))))))))</f>
        <v/>
      </c>
      <c r="AC1987">
        <f>IF(OR(AB1987="OK",AB1987="Aucune pièce déclarée",AB1987="Cadence dépassée : vérifiez la cadence"),1,0)</f>
        <v>0.0</v>
      </c>
      <c r="AD1987">
        <f>IF(AND(AC1987=1,A1987&gt;=p_from,A1987&lt;=p_to),1,0)</f>
        <v>0.0</v>
      </c>
      <c r="AE1987">
        <f>IF(AD1987=1,IF(COUNTIFS($A$6:A1987,A1987,$AD$6:AD1987,1)=1,1,0),0)</f>
        <v>0.0</v>
      </c>
      <c r="AF1987" t="str">
        <f>IF(AE1987=1,COUNTIFS(sj_first,1,sj_date,"&lt;"&amp;A1987)+1,"")</f>
        <v/>
      </c>
      <c r="AG1987" t="str">
        <f>IF(AND(AD1987=1,N(W1987)&lt;p_alert),ROUND(W1987,4),"")</f>
        <v/>
      </c>
      <c r="AH1987" t="str">
        <f>IF(AG1987="","",COUNTIF(sj_akey,"&lt;"&amp;AG1987)+COUNTIF($AG$6:AG1987,AG1987))</f>
        <v/>
      </c>
    </row>
    <row r="1988">
      <c r="A1988" s="51" t="n"/>
      <c r="B1988" s="52" t="n"/>
      <c r="C1988" s="52" t="n"/>
      <c r="D1988" s="53" t="n"/>
      <c r="E1988" s="53" t="n"/>
      <c r="F1988" s="54" t="n"/>
      <c r="G1988" s="54" t="n"/>
      <c r="H1988" s="54" t="n"/>
      <c r="I1988" s="54" t="n"/>
      <c r="J1988" s="53" t="n"/>
      <c r="K1988" s="55" t="str">
        <f>IF(COUNTA(A1988:I1988)=0,"",IF(F1988="",IFERROR(INDEX(eq_dur,MATCH(B1988,eq_code,0)),""),F1988))</f>
        <v/>
      </c>
      <c r="L1988" s="55" t="str">
        <f>IF(ISNUMBER(K1988),N(IFERROR(INDEX(eq_pause,MATCH(B1988,eq_code,0)),0))+SUMIFS(st_min,st_date,A1988,st_eq,B1988,st_po,C1988,st_type,"Planifié"),"")</f>
        <v/>
      </c>
      <c r="M1988" s="55" t="str">
        <f>IF(ISNUMBER(K1988),K1988-L1988,"")</f>
        <v/>
      </c>
      <c r="N1988" s="55" t="str">
        <f>IF(ISNUMBER(K1988),SUMIFS(st_min,st_date,A1988,st_eq,B1988,st_po,C1988,st_type,"Non planifié"),"")</f>
        <v/>
      </c>
      <c r="O1988" s="55" t="str">
        <f>IF(ISNUMBER(K1988),M1988-N1988,"")</f>
        <v/>
      </c>
      <c r="P1988" s="55" t="str">
        <f>IF(COUNTA(A1988:I1988)=0,"",N(G1988)+N(H1988)+N(I1988))</f>
        <v/>
      </c>
      <c r="Q1988" s="56" t="str">
        <f>IF(COUNTA(A1988:I1988)=0,"",IF(N(IFERROR(INDEX(art_rate,MATCH(E1988,art_ref,0)),0))&gt;0,N(IFERROR(INDEX(art_rate,MATCH(E1988,art_ref,0)),0)),N(IFERROR(INDEX(po_rate,MATCH(C1988,po_code,0)),0))))</f>
        <v/>
      </c>
      <c r="R1988" s="55" t="str">
        <f>IF(AC1988=1,P1988*60/Q1988,"")</f>
        <v/>
      </c>
      <c r="S1988" s="55" t="str">
        <f>IF(AC1988=1,N(G1988)*60/Q1988,"")</f>
        <v/>
      </c>
      <c r="T1988" s="57" t="str">
        <f>IF(AC1988=1,O1988/M1988,"")</f>
        <v/>
      </c>
      <c r="U1988" s="57" t="str">
        <f>IF(AC1988=1,IF(O1988&gt;0,R1988/O1988,""),"")</f>
        <v/>
      </c>
      <c r="V1988" s="57" t="str">
        <f>IF(AC1988=1,IF(P1988&gt;0,N(G1988)/P1988,""),"")</f>
        <v/>
      </c>
      <c r="W1988" s="57" t="str">
        <f>IF(AC1988=1,S1988/M1988,"")</f>
        <v/>
      </c>
      <c r="X1988" s="57" t="str">
        <f>IF(AC1988=1,S1988/K1988,"")</f>
        <v/>
      </c>
      <c r="Y1988" s="58" t="str">
        <f>IF(W1988="","",IF(W1988&gt;=p_target,"Bon",IF(W1988&gt;=p_alert,"À surveiller","Faible")))</f>
        <v/>
      </c>
      <c r="Z1988" s="58" t="str">
        <f>IF(W1988="","",IF(MIN(IF(T1988="",1,T1988),IF(U1988="",1,U1988),IF(V1988="",1,V1988))&gt;=1,"Aucune",IF(IF(T1988="",1,T1988)&lt;=MIN(IF(U1988="",1,U1988),IF(V1988="",1,V1988)),"Disponibilité",IF(IF(U1988="",1,U1988)&lt;=IF(V1988="",1,V1988),"Performance","Qualité"))))</f>
        <v/>
      </c>
      <c r="AA1988" s="59" t="str">
        <f>IF(AC1988=1,N(H1988)*N(IFERROR(INDEX(art_cost,MATCH(E1988,art_ref,0)),0)),"")</f>
        <v/>
      </c>
      <c r="AB1988" s="58" t="str">
        <f>IF(COUNTA(A1988:I1988)=0,"",IF(N(A1988)&lt;=0,"Date manquante ou invalide",IF(B1988="","Équipe manquante",IF(ISNA(MATCH(B1988,eq_code,0)),"Équipe inconnue",IF(INDEX(eq_check,MATCH(B1988,eq_code,0))&lt;&gt;"OK","Équipe à corriger dans Paramètres",IF(C1988="","Poste manquant",IF(ISNA(MATCH(C1988,po_code,0)),"Poste inconnu",IF(AND(E1988&lt;&gt;"",ISNA(MATCH(E1988,art_ref,0))),"Article inconnu",IF(IF(E1988="",FALSE,INDEX(art_check,MATCH(E1988,art_ref,0))&lt;&gt;"OK"),"Article à corriger (feuille Articles)",IF(COUNTIFS(sj_date,A1988,sj_eq,B1988,sj_po,C1988)&gt;1,"Ligne en double (même jour, équipe et poste)",IF(OR(NOT(ISNUMBER(K1988)),N(K1988)&lt;=0,N(K1988)&gt;1440),"Temps d'ouverture invalide",IF(OR(AND(G1988&lt;&gt;"",NOT(ISNUMBER(G1988))),N(G1988)&lt;0,N(G1988)&lt;&gt;INT(N(G1988)),AND(H1988&lt;&gt;"",NOT(ISNUMBER(H1988))),N(H1988)&lt;0,N(H1988)&lt;&gt;INT(N(H1988)),AND(I1988&lt;&gt;"",NOT(ISNUMBER(I1988))),N(I1988)&lt;0,N(I1988)&lt;&gt;INT(N(I1988))),"Quantité invalide",IF(Q1988&lt;=0,"Cadence manquante (poste ou article)",IF(M1988&lt;=0,"Arrêts planifiés supérieurs au temps d'ouverture",IF(O1988&lt;0,"Arrêts supérieurs au temps requis",IF(AND(P1988&gt;0,O1988=0),"Pièces déclarées sans temps de marche",IF(AND(P1988=0,O1988&gt;0),"Aucune pièce déclarée",IF(P1988*60/Q1988&gt;O1988+0.001,"Cadence dépassée : vérifiez la cadence","OK"))))))))))))))))))</f>
        <v/>
      </c>
      <c r="AC1988">
        <f>IF(OR(AB1988="OK",AB1988="Aucune pièce déclarée",AB1988="Cadence dépassée : vérifiez la cadence"),1,0)</f>
        <v>0.0</v>
      </c>
      <c r="AD1988">
        <f>IF(AND(AC1988=1,A1988&gt;=p_from,A1988&lt;=p_to),1,0)</f>
        <v>0.0</v>
      </c>
      <c r="AE1988">
        <f>IF(AD1988=1,IF(COUNTIFS($A$6:A1988,A1988,$AD$6:AD1988,1)=1,1,0),0)</f>
        <v>0.0</v>
      </c>
      <c r="AF1988" t="str">
        <f>IF(AE1988=1,COUNTIFS(sj_first,1,sj_date,"&lt;"&amp;A1988)+1,"")</f>
        <v/>
      </c>
      <c r="AG1988" t="str">
        <f>IF(AND(AD1988=1,N(W1988)&lt;p_alert),ROUND(W1988,4),"")</f>
        <v/>
      </c>
      <c r="AH1988" t="str">
        <f>IF(AG1988="","",COUNTIF(sj_akey,"&lt;"&amp;AG1988)+COUNTIF($AG$6:AG1988,AG1988))</f>
        <v/>
      </c>
    </row>
    <row r="1989">
      <c r="A1989" s="51" t="n"/>
      <c r="B1989" s="52" t="n"/>
      <c r="C1989" s="52" t="n"/>
      <c r="D1989" s="53" t="n"/>
      <c r="E1989" s="53" t="n"/>
      <c r="F1989" s="54" t="n"/>
      <c r="G1989" s="54" t="n"/>
      <c r="H1989" s="54" t="n"/>
      <c r="I1989" s="54" t="n"/>
      <c r="J1989" s="53" t="n"/>
      <c r="K1989" s="55" t="str">
        <f>IF(COUNTA(A1989:I1989)=0,"",IF(F1989="",IFERROR(INDEX(eq_dur,MATCH(B1989,eq_code,0)),""),F1989))</f>
        <v/>
      </c>
      <c r="L1989" s="55" t="str">
        <f>IF(ISNUMBER(K1989),N(IFERROR(INDEX(eq_pause,MATCH(B1989,eq_code,0)),0))+SUMIFS(st_min,st_date,A1989,st_eq,B1989,st_po,C1989,st_type,"Planifié"),"")</f>
        <v/>
      </c>
      <c r="M1989" s="55" t="str">
        <f>IF(ISNUMBER(K1989),K1989-L1989,"")</f>
        <v/>
      </c>
      <c r="N1989" s="55" t="str">
        <f>IF(ISNUMBER(K1989),SUMIFS(st_min,st_date,A1989,st_eq,B1989,st_po,C1989,st_type,"Non planifié"),"")</f>
        <v/>
      </c>
      <c r="O1989" s="55" t="str">
        <f>IF(ISNUMBER(K1989),M1989-N1989,"")</f>
        <v/>
      </c>
      <c r="P1989" s="55" t="str">
        <f>IF(COUNTA(A1989:I1989)=0,"",N(G1989)+N(H1989)+N(I1989))</f>
        <v/>
      </c>
      <c r="Q1989" s="56" t="str">
        <f>IF(COUNTA(A1989:I1989)=0,"",IF(N(IFERROR(INDEX(art_rate,MATCH(E1989,art_ref,0)),0))&gt;0,N(IFERROR(INDEX(art_rate,MATCH(E1989,art_ref,0)),0)),N(IFERROR(INDEX(po_rate,MATCH(C1989,po_code,0)),0))))</f>
        <v/>
      </c>
      <c r="R1989" s="55" t="str">
        <f>IF(AC1989=1,P1989*60/Q1989,"")</f>
        <v/>
      </c>
      <c r="S1989" s="55" t="str">
        <f>IF(AC1989=1,N(G1989)*60/Q1989,"")</f>
        <v/>
      </c>
      <c r="T1989" s="57" t="str">
        <f>IF(AC1989=1,O1989/M1989,"")</f>
        <v/>
      </c>
      <c r="U1989" s="57" t="str">
        <f>IF(AC1989=1,IF(O1989&gt;0,R1989/O1989,""),"")</f>
        <v/>
      </c>
      <c r="V1989" s="57" t="str">
        <f>IF(AC1989=1,IF(P1989&gt;0,N(G1989)/P1989,""),"")</f>
        <v/>
      </c>
      <c r="W1989" s="57" t="str">
        <f>IF(AC1989=1,S1989/M1989,"")</f>
        <v/>
      </c>
      <c r="X1989" s="57" t="str">
        <f>IF(AC1989=1,S1989/K1989,"")</f>
        <v/>
      </c>
      <c r="Y1989" s="58" t="str">
        <f>IF(W1989="","",IF(W1989&gt;=p_target,"Bon",IF(W1989&gt;=p_alert,"À surveiller","Faible")))</f>
        <v/>
      </c>
      <c r="Z1989" s="58" t="str">
        <f>IF(W1989="","",IF(MIN(IF(T1989="",1,T1989),IF(U1989="",1,U1989),IF(V1989="",1,V1989))&gt;=1,"Aucune",IF(IF(T1989="",1,T1989)&lt;=MIN(IF(U1989="",1,U1989),IF(V1989="",1,V1989)),"Disponibilité",IF(IF(U1989="",1,U1989)&lt;=IF(V1989="",1,V1989),"Performance","Qualité"))))</f>
        <v/>
      </c>
      <c r="AA1989" s="59" t="str">
        <f>IF(AC1989=1,N(H1989)*N(IFERROR(INDEX(art_cost,MATCH(E1989,art_ref,0)),0)),"")</f>
        <v/>
      </c>
      <c r="AB1989" s="58" t="str">
        <f>IF(COUNTA(A1989:I1989)=0,"",IF(N(A1989)&lt;=0,"Date manquante ou invalide",IF(B1989="","Équipe manquante",IF(ISNA(MATCH(B1989,eq_code,0)),"Équipe inconnue",IF(INDEX(eq_check,MATCH(B1989,eq_code,0))&lt;&gt;"OK","Équipe à corriger dans Paramètres",IF(C1989="","Poste manquant",IF(ISNA(MATCH(C1989,po_code,0)),"Poste inconnu",IF(AND(E1989&lt;&gt;"",ISNA(MATCH(E1989,art_ref,0))),"Article inconnu",IF(IF(E1989="",FALSE,INDEX(art_check,MATCH(E1989,art_ref,0))&lt;&gt;"OK"),"Article à corriger (feuille Articles)",IF(COUNTIFS(sj_date,A1989,sj_eq,B1989,sj_po,C1989)&gt;1,"Ligne en double (même jour, équipe et poste)",IF(OR(NOT(ISNUMBER(K1989)),N(K1989)&lt;=0,N(K1989)&gt;1440),"Temps d'ouverture invalide",IF(OR(AND(G1989&lt;&gt;"",NOT(ISNUMBER(G1989))),N(G1989)&lt;0,N(G1989)&lt;&gt;INT(N(G1989)),AND(H1989&lt;&gt;"",NOT(ISNUMBER(H1989))),N(H1989)&lt;0,N(H1989)&lt;&gt;INT(N(H1989)),AND(I1989&lt;&gt;"",NOT(ISNUMBER(I1989))),N(I1989)&lt;0,N(I1989)&lt;&gt;INT(N(I1989))),"Quantité invalide",IF(Q1989&lt;=0,"Cadence manquante (poste ou article)",IF(M1989&lt;=0,"Arrêts planifiés supérieurs au temps d'ouverture",IF(O1989&lt;0,"Arrêts supérieurs au temps requis",IF(AND(P1989&gt;0,O1989=0),"Pièces déclarées sans temps de marche",IF(AND(P1989=0,O1989&gt;0),"Aucune pièce déclarée",IF(P1989*60/Q1989&gt;O1989+0.001,"Cadence dépassée : vérifiez la cadence","OK"))))))))))))))))))</f>
        <v/>
      </c>
      <c r="AC1989">
        <f>IF(OR(AB1989="OK",AB1989="Aucune pièce déclarée",AB1989="Cadence dépassée : vérifiez la cadence"),1,0)</f>
        <v>0.0</v>
      </c>
      <c r="AD1989">
        <f>IF(AND(AC1989=1,A1989&gt;=p_from,A1989&lt;=p_to),1,0)</f>
        <v>0.0</v>
      </c>
      <c r="AE1989">
        <f>IF(AD1989=1,IF(COUNTIFS($A$6:A1989,A1989,$AD$6:AD1989,1)=1,1,0),0)</f>
        <v>0.0</v>
      </c>
      <c r="AF1989" t="str">
        <f>IF(AE1989=1,COUNTIFS(sj_first,1,sj_date,"&lt;"&amp;A1989)+1,"")</f>
        <v/>
      </c>
      <c r="AG1989" t="str">
        <f>IF(AND(AD1989=1,N(W1989)&lt;p_alert),ROUND(W1989,4),"")</f>
        <v/>
      </c>
      <c r="AH1989" t="str">
        <f>IF(AG1989="","",COUNTIF(sj_akey,"&lt;"&amp;AG1989)+COUNTIF($AG$6:AG1989,AG1989))</f>
        <v/>
      </c>
    </row>
    <row r="1990">
      <c r="A1990" s="51" t="n"/>
      <c r="B1990" s="52" t="n"/>
      <c r="C1990" s="52" t="n"/>
      <c r="D1990" s="53" t="n"/>
      <c r="E1990" s="53" t="n"/>
      <c r="F1990" s="54" t="n"/>
      <c r="G1990" s="54" t="n"/>
      <c r="H1990" s="54" t="n"/>
      <c r="I1990" s="54" t="n"/>
      <c r="J1990" s="53" t="n"/>
      <c r="K1990" s="55" t="str">
        <f>IF(COUNTA(A1990:I1990)=0,"",IF(F1990="",IFERROR(INDEX(eq_dur,MATCH(B1990,eq_code,0)),""),F1990))</f>
        <v/>
      </c>
      <c r="L1990" s="55" t="str">
        <f>IF(ISNUMBER(K1990),N(IFERROR(INDEX(eq_pause,MATCH(B1990,eq_code,0)),0))+SUMIFS(st_min,st_date,A1990,st_eq,B1990,st_po,C1990,st_type,"Planifié"),"")</f>
        <v/>
      </c>
      <c r="M1990" s="55" t="str">
        <f>IF(ISNUMBER(K1990),K1990-L1990,"")</f>
        <v/>
      </c>
      <c r="N1990" s="55" t="str">
        <f>IF(ISNUMBER(K1990),SUMIFS(st_min,st_date,A1990,st_eq,B1990,st_po,C1990,st_type,"Non planifié"),"")</f>
        <v/>
      </c>
      <c r="O1990" s="55" t="str">
        <f>IF(ISNUMBER(K1990),M1990-N1990,"")</f>
        <v/>
      </c>
      <c r="P1990" s="55" t="str">
        <f>IF(COUNTA(A1990:I1990)=0,"",N(G1990)+N(H1990)+N(I1990))</f>
        <v/>
      </c>
      <c r="Q1990" s="56" t="str">
        <f>IF(COUNTA(A1990:I1990)=0,"",IF(N(IFERROR(INDEX(art_rate,MATCH(E1990,art_ref,0)),0))&gt;0,N(IFERROR(INDEX(art_rate,MATCH(E1990,art_ref,0)),0)),N(IFERROR(INDEX(po_rate,MATCH(C1990,po_code,0)),0))))</f>
        <v/>
      </c>
      <c r="R1990" s="55" t="str">
        <f>IF(AC1990=1,P1990*60/Q1990,"")</f>
        <v/>
      </c>
      <c r="S1990" s="55" t="str">
        <f>IF(AC1990=1,N(G1990)*60/Q1990,"")</f>
        <v/>
      </c>
      <c r="T1990" s="57" t="str">
        <f>IF(AC1990=1,O1990/M1990,"")</f>
        <v/>
      </c>
      <c r="U1990" s="57" t="str">
        <f>IF(AC1990=1,IF(O1990&gt;0,R1990/O1990,""),"")</f>
        <v/>
      </c>
      <c r="V1990" s="57" t="str">
        <f>IF(AC1990=1,IF(P1990&gt;0,N(G1990)/P1990,""),"")</f>
        <v/>
      </c>
      <c r="W1990" s="57" t="str">
        <f>IF(AC1990=1,S1990/M1990,"")</f>
        <v/>
      </c>
      <c r="X1990" s="57" t="str">
        <f>IF(AC1990=1,S1990/K1990,"")</f>
        <v/>
      </c>
      <c r="Y1990" s="58" t="str">
        <f>IF(W1990="","",IF(W1990&gt;=p_target,"Bon",IF(W1990&gt;=p_alert,"À surveiller","Faible")))</f>
        <v/>
      </c>
      <c r="Z1990" s="58" t="str">
        <f>IF(W1990="","",IF(MIN(IF(T1990="",1,T1990),IF(U1990="",1,U1990),IF(V1990="",1,V1990))&gt;=1,"Aucune",IF(IF(T1990="",1,T1990)&lt;=MIN(IF(U1990="",1,U1990),IF(V1990="",1,V1990)),"Disponibilité",IF(IF(U1990="",1,U1990)&lt;=IF(V1990="",1,V1990),"Performance","Qualité"))))</f>
        <v/>
      </c>
      <c r="AA1990" s="59" t="str">
        <f>IF(AC1990=1,N(H1990)*N(IFERROR(INDEX(art_cost,MATCH(E1990,art_ref,0)),0)),"")</f>
        <v/>
      </c>
      <c r="AB1990" s="58" t="str">
        <f>IF(COUNTA(A1990:I1990)=0,"",IF(N(A1990)&lt;=0,"Date manquante ou invalide",IF(B1990="","Équipe manquante",IF(ISNA(MATCH(B1990,eq_code,0)),"Équipe inconnue",IF(INDEX(eq_check,MATCH(B1990,eq_code,0))&lt;&gt;"OK","Équipe à corriger dans Paramètres",IF(C1990="","Poste manquant",IF(ISNA(MATCH(C1990,po_code,0)),"Poste inconnu",IF(AND(E1990&lt;&gt;"",ISNA(MATCH(E1990,art_ref,0))),"Article inconnu",IF(IF(E1990="",FALSE,INDEX(art_check,MATCH(E1990,art_ref,0))&lt;&gt;"OK"),"Article à corriger (feuille Articles)",IF(COUNTIFS(sj_date,A1990,sj_eq,B1990,sj_po,C1990)&gt;1,"Ligne en double (même jour, équipe et poste)",IF(OR(NOT(ISNUMBER(K1990)),N(K1990)&lt;=0,N(K1990)&gt;1440),"Temps d'ouverture invalide",IF(OR(AND(G1990&lt;&gt;"",NOT(ISNUMBER(G1990))),N(G1990)&lt;0,N(G1990)&lt;&gt;INT(N(G1990)),AND(H1990&lt;&gt;"",NOT(ISNUMBER(H1990))),N(H1990)&lt;0,N(H1990)&lt;&gt;INT(N(H1990)),AND(I1990&lt;&gt;"",NOT(ISNUMBER(I1990))),N(I1990)&lt;0,N(I1990)&lt;&gt;INT(N(I1990))),"Quantité invalide",IF(Q1990&lt;=0,"Cadence manquante (poste ou article)",IF(M1990&lt;=0,"Arrêts planifiés supérieurs au temps d'ouverture",IF(O1990&lt;0,"Arrêts supérieurs au temps requis",IF(AND(P1990&gt;0,O1990=0),"Pièces déclarées sans temps de marche",IF(AND(P1990=0,O1990&gt;0),"Aucune pièce déclarée",IF(P1990*60/Q1990&gt;O1990+0.001,"Cadence dépassée : vérifiez la cadence","OK"))))))))))))))))))</f>
        <v/>
      </c>
      <c r="AC1990">
        <f>IF(OR(AB1990="OK",AB1990="Aucune pièce déclarée",AB1990="Cadence dépassée : vérifiez la cadence"),1,0)</f>
        <v>0.0</v>
      </c>
      <c r="AD1990">
        <f>IF(AND(AC1990=1,A1990&gt;=p_from,A1990&lt;=p_to),1,0)</f>
        <v>0.0</v>
      </c>
      <c r="AE1990">
        <f>IF(AD1990=1,IF(COUNTIFS($A$6:A1990,A1990,$AD$6:AD1990,1)=1,1,0),0)</f>
        <v>0.0</v>
      </c>
      <c r="AF1990" t="str">
        <f>IF(AE1990=1,COUNTIFS(sj_first,1,sj_date,"&lt;"&amp;A1990)+1,"")</f>
        <v/>
      </c>
      <c r="AG1990" t="str">
        <f>IF(AND(AD1990=1,N(W1990)&lt;p_alert),ROUND(W1990,4),"")</f>
        <v/>
      </c>
      <c r="AH1990" t="str">
        <f>IF(AG1990="","",COUNTIF(sj_akey,"&lt;"&amp;AG1990)+COUNTIF($AG$6:AG1990,AG1990))</f>
        <v/>
      </c>
    </row>
    <row r="1991">
      <c r="A1991" s="51" t="n"/>
      <c r="B1991" s="52" t="n"/>
      <c r="C1991" s="52" t="n"/>
      <c r="D1991" s="53" t="n"/>
      <c r="E1991" s="53" t="n"/>
      <c r="F1991" s="54" t="n"/>
      <c r="G1991" s="54" t="n"/>
      <c r="H1991" s="54" t="n"/>
      <c r="I1991" s="54" t="n"/>
      <c r="J1991" s="53" t="n"/>
      <c r="K1991" s="55" t="str">
        <f>IF(COUNTA(A1991:I1991)=0,"",IF(F1991="",IFERROR(INDEX(eq_dur,MATCH(B1991,eq_code,0)),""),F1991))</f>
        <v/>
      </c>
      <c r="L1991" s="55" t="str">
        <f>IF(ISNUMBER(K1991),N(IFERROR(INDEX(eq_pause,MATCH(B1991,eq_code,0)),0))+SUMIFS(st_min,st_date,A1991,st_eq,B1991,st_po,C1991,st_type,"Planifié"),"")</f>
        <v/>
      </c>
      <c r="M1991" s="55" t="str">
        <f>IF(ISNUMBER(K1991),K1991-L1991,"")</f>
        <v/>
      </c>
      <c r="N1991" s="55" t="str">
        <f>IF(ISNUMBER(K1991),SUMIFS(st_min,st_date,A1991,st_eq,B1991,st_po,C1991,st_type,"Non planifié"),"")</f>
        <v/>
      </c>
      <c r="O1991" s="55" t="str">
        <f>IF(ISNUMBER(K1991),M1991-N1991,"")</f>
        <v/>
      </c>
      <c r="P1991" s="55" t="str">
        <f>IF(COUNTA(A1991:I1991)=0,"",N(G1991)+N(H1991)+N(I1991))</f>
        <v/>
      </c>
      <c r="Q1991" s="56" t="str">
        <f>IF(COUNTA(A1991:I1991)=0,"",IF(N(IFERROR(INDEX(art_rate,MATCH(E1991,art_ref,0)),0))&gt;0,N(IFERROR(INDEX(art_rate,MATCH(E1991,art_ref,0)),0)),N(IFERROR(INDEX(po_rate,MATCH(C1991,po_code,0)),0))))</f>
        <v/>
      </c>
      <c r="R1991" s="55" t="str">
        <f>IF(AC1991=1,P1991*60/Q1991,"")</f>
        <v/>
      </c>
      <c r="S1991" s="55" t="str">
        <f>IF(AC1991=1,N(G1991)*60/Q1991,"")</f>
        <v/>
      </c>
      <c r="T1991" s="57" t="str">
        <f>IF(AC1991=1,O1991/M1991,"")</f>
        <v/>
      </c>
      <c r="U1991" s="57" t="str">
        <f>IF(AC1991=1,IF(O1991&gt;0,R1991/O1991,""),"")</f>
        <v/>
      </c>
      <c r="V1991" s="57" t="str">
        <f>IF(AC1991=1,IF(P1991&gt;0,N(G1991)/P1991,""),"")</f>
        <v/>
      </c>
      <c r="W1991" s="57" t="str">
        <f>IF(AC1991=1,S1991/M1991,"")</f>
        <v/>
      </c>
      <c r="X1991" s="57" t="str">
        <f>IF(AC1991=1,S1991/K1991,"")</f>
        <v/>
      </c>
      <c r="Y1991" s="58" t="str">
        <f>IF(W1991="","",IF(W1991&gt;=p_target,"Bon",IF(W1991&gt;=p_alert,"À surveiller","Faible")))</f>
        <v/>
      </c>
      <c r="Z1991" s="58" t="str">
        <f>IF(W1991="","",IF(MIN(IF(T1991="",1,T1991),IF(U1991="",1,U1991),IF(V1991="",1,V1991))&gt;=1,"Aucune",IF(IF(T1991="",1,T1991)&lt;=MIN(IF(U1991="",1,U1991),IF(V1991="",1,V1991)),"Disponibilité",IF(IF(U1991="",1,U1991)&lt;=IF(V1991="",1,V1991),"Performance","Qualité"))))</f>
        <v/>
      </c>
      <c r="AA1991" s="59" t="str">
        <f>IF(AC1991=1,N(H1991)*N(IFERROR(INDEX(art_cost,MATCH(E1991,art_ref,0)),0)),"")</f>
        <v/>
      </c>
      <c r="AB1991" s="58" t="str">
        <f>IF(COUNTA(A1991:I1991)=0,"",IF(N(A1991)&lt;=0,"Date manquante ou invalide",IF(B1991="","Équipe manquante",IF(ISNA(MATCH(B1991,eq_code,0)),"Équipe inconnue",IF(INDEX(eq_check,MATCH(B1991,eq_code,0))&lt;&gt;"OK","Équipe à corriger dans Paramètres",IF(C1991="","Poste manquant",IF(ISNA(MATCH(C1991,po_code,0)),"Poste inconnu",IF(AND(E1991&lt;&gt;"",ISNA(MATCH(E1991,art_ref,0))),"Article inconnu",IF(IF(E1991="",FALSE,INDEX(art_check,MATCH(E1991,art_ref,0))&lt;&gt;"OK"),"Article à corriger (feuille Articles)",IF(COUNTIFS(sj_date,A1991,sj_eq,B1991,sj_po,C1991)&gt;1,"Ligne en double (même jour, équipe et poste)",IF(OR(NOT(ISNUMBER(K1991)),N(K1991)&lt;=0,N(K1991)&gt;1440),"Temps d'ouverture invalide",IF(OR(AND(G1991&lt;&gt;"",NOT(ISNUMBER(G1991))),N(G1991)&lt;0,N(G1991)&lt;&gt;INT(N(G1991)),AND(H1991&lt;&gt;"",NOT(ISNUMBER(H1991))),N(H1991)&lt;0,N(H1991)&lt;&gt;INT(N(H1991)),AND(I1991&lt;&gt;"",NOT(ISNUMBER(I1991))),N(I1991)&lt;0,N(I1991)&lt;&gt;INT(N(I1991))),"Quantité invalide",IF(Q1991&lt;=0,"Cadence manquante (poste ou article)",IF(M1991&lt;=0,"Arrêts planifiés supérieurs au temps d'ouverture",IF(O1991&lt;0,"Arrêts supérieurs au temps requis",IF(AND(P1991&gt;0,O1991=0),"Pièces déclarées sans temps de marche",IF(AND(P1991=0,O1991&gt;0),"Aucune pièce déclarée",IF(P1991*60/Q1991&gt;O1991+0.001,"Cadence dépassée : vérifiez la cadence","OK"))))))))))))))))))</f>
        <v/>
      </c>
      <c r="AC1991">
        <f>IF(OR(AB1991="OK",AB1991="Aucune pièce déclarée",AB1991="Cadence dépassée : vérifiez la cadence"),1,0)</f>
        <v>0.0</v>
      </c>
      <c r="AD1991">
        <f>IF(AND(AC1991=1,A1991&gt;=p_from,A1991&lt;=p_to),1,0)</f>
        <v>0.0</v>
      </c>
      <c r="AE1991">
        <f>IF(AD1991=1,IF(COUNTIFS($A$6:A1991,A1991,$AD$6:AD1991,1)=1,1,0),0)</f>
        <v>0.0</v>
      </c>
      <c r="AF1991" t="str">
        <f>IF(AE1991=1,COUNTIFS(sj_first,1,sj_date,"&lt;"&amp;A1991)+1,"")</f>
        <v/>
      </c>
      <c r="AG1991" t="str">
        <f>IF(AND(AD1991=1,N(W1991)&lt;p_alert),ROUND(W1991,4),"")</f>
        <v/>
      </c>
      <c r="AH1991" t="str">
        <f>IF(AG1991="","",COUNTIF(sj_akey,"&lt;"&amp;AG1991)+COUNTIF($AG$6:AG1991,AG1991))</f>
        <v/>
      </c>
    </row>
    <row r="1992">
      <c r="A1992" s="51" t="n"/>
      <c r="B1992" s="52" t="n"/>
      <c r="C1992" s="52" t="n"/>
      <c r="D1992" s="53" t="n"/>
      <c r="E1992" s="53" t="n"/>
      <c r="F1992" s="54" t="n"/>
      <c r="G1992" s="54" t="n"/>
      <c r="H1992" s="54" t="n"/>
      <c r="I1992" s="54" t="n"/>
      <c r="J1992" s="53" t="n"/>
      <c r="K1992" s="55" t="str">
        <f>IF(COUNTA(A1992:I1992)=0,"",IF(F1992="",IFERROR(INDEX(eq_dur,MATCH(B1992,eq_code,0)),""),F1992))</f>
        <v/>
      </c>
      <c r="L1992" s="55" t="str">
        <f>IF(ISNUMBER(K1992),N(IFERROR(INDEX(eq_pause,MATCH(B1992,eq_code,0)),0))+SUMIFS(st_min,st_date,A1992,st_eq,B1992,st_po,C1992,st_type,"Planifié"),"")</f>
        <v/>
      </c>
      <c r="M1992" s="55" t="str">
        <f>IF(ISNUMBER(K1992),K1992-L1992,"")</f>
        <v/>
      </c>
      <c r="N1992" s="55" t="str">
        <f>IF(ISNUMBER(K1992),SUMIFS(st_min,st_date,A1992,st_eq,B1992,st_po,C1992,st_type,"Non planifié"),"")</f>
        <v/>
      </c>
      <c r="O1992" s="55" t="str">
        <f>IF(ISNUMBER(K1992),M1992-N1992,"")</f>
        <v/>
      </c>
      <c r="P1992" s="55" t="str">
        <f>IF(COUNTA(A1992:I1992)=0,"",N(G1992)+N(H1992)+N(I1992))</f>
        <v/>
      </c>
      <c r="Q1992" s="56" t="str">
        <f>IF(COUNTA(A1992:I1992)=0,"",IF(N(IFERROR(INDEX(art_rate,MATCH(E1992,art_ref,0)),0))&gt;0,N(IFERROR(INDEX(art_rate,MATCH(E1992,art_ref,0)),0)),N(IFERROR(INDEX(po_rate,MATCH(C1992,po_code,0)),0))))</f>
        <v/>
      </c>
      <c r="R1992" s="55" t="str">
        <f>IF(AC1992=1,P1992*60/Q1992,"")</f>
        <v/>
      </c>
      <c r="S1992" s="55" t="str">
        <f>IF(AC1992=1,N(G1992)*60/Q1992,"")</f>
        <v/>
      </c>
      <c r="T1992" s="57" t="str">
        <f>IF(AC1992=1,O1992/M1992,"")</f>
        <v/>
      </c>
      <c r="U1992" s="57" t="str">
        <f>IF(AC1992=1,IF(O1992&gt;0,R1992/O1992,""),"")</f>
        <v/>
      </c>
      <c r="V1992" s="57" t="str">
        <f>IF(AC1992=1,IF(P1992&gt;0,N(G1992)/P1992,""),"")</f>
        <v/>
      </c>
      <c r="W1992" s="57" t="str">
        <f>IF(AC1992=1,S1992/M1992,"")</f>
        <v/>
      </c>
      <c r="X1992" s="57" t="str">
        <f>IF(AC1992=1,S1992/K1992,"")</f>
        <v/>
      </c>
      <c r="Y1992" s="58" t="str">
        <f>IF(W1992="","",IF(W1992&gt;=p_target,"Bon",IF(W1992&gt;=p_alert,"À surveiller","Faible")))</f>
        <v/>
      </c>
      <c r="Z1992" s="58" t="str">
        <f>IF(W1992="","",IF(MIN(IF(T1992="",1,T1992),IF(U1992="",1,U1992),IF(V1992="",1,V1992))&gt;=1,"Aucune",IF(IF(T1992="",1,T1992)&lt;=MIN(IF(U1992="",1,U1992),IF(V1992="",1,V1992)),"Disponibilité",IF(IF(U1992="",1,U1992)&lt;=IF(V1992="",1,V1992),"Performance","Qualité"))))</f>
        <v/>
      </c>
      <c r="AA1992" s="59" t="str">
        <f>IF(AC1992=1,N(H1992)*N(IFERROR(INDEX(art_cost,MATCH(E1992,art_ref,0)),0)),"")</f>
        <v/>
      </c>
      <c r="AB1992" s="58" t="str">
        <f>IF(COUNTA(A1992:I1992)=0,"",IF(N(A1992)&lt;=0,"Date manquante ou invalide",IF(B1992="","Équipe manquante",IF(ISNA(MATCH(B1992,eq_code,0)),"Équipe inconnue",IF(INDEX(eq_check,MATCH(B1992,eq_code,0))&lt;&gt;"OK","Équipe à corriger dans Paramètres",IF(C1992="","Poste manquant",IF(ISNA(MATCH(C1992,po_code,0)),"Poste inconnu",IF(AND(E1992&lt;&gt;"",ISNA(MATCH(E1992,art_ref,0))),"Article inconnu",IF(IF(E1992="",FALSE,INDEX(art_check,MATCH(E1992,art_ref,0))&lt;&gt;"OK"),"Article à corriger (feuille Articles)",IF(COUNTIFS(sj_date,A1992,sj_eq,B1992,sj_po,C1992)&gt;1,"Ligne en double (même jour, équipe et poste)",IF(OR(NOT(ISNUMBER(K1992)),N(K1992)&lt;=0,N(K1992)&gt;1440),"Temps d'ouverture invalide",IF(OR(AND(G1992&lt;&gt;"",NOT(ISNUMBER(G1992))),N(G1992)&lt;0,N(G1992)&lt;&gt;INT(N(G1992)),AND(H1992&lt;&gt;"",NOT(ISNUMBER(H1992))),N(H1992)&lt;0,N(H1992)&lt;&gt;INT(N(H1992)),AND(I1992&lt;&gt;"",NOT(ISNUMBER(I1992))),N(I1992)&lt;0,N(I1992)&lt;&gt;INT(N(I1992))),"Quantité invalide",IF(Q1992&lt;=0,"Cadence manquante (poste ou article)",IF(M1992&lt;=0,"Arrêts planifiés supérieurs au temps d'ouverture",IF(O1992&lt;0,"Arrêts supérieurs au temps requis",IF(AND(P1992&gt;0,O1992=0),"Pièces déclarées sans temps de marche",IF(AND(P1992=0,O1992&gt;0),"Aucune pièce déclarée",IF(P1992*60/Q1992&gt;O1992+0.001,"Cadence dépassée : vérifiez la cadence","OK"))))))))))))))))))</f>
        <v/>
      </c>
      <c r="AC1992">
        <f>IF(OR(AB1992="OK",AB1992="Aucune pièce déclarée",AB1992="Cadence dépassée : vérifiez la cadence"),1,0)</f>
        <v>0.0</v>
      </c>
      <c r="AD1992">
        <f>IF(AND(AC1992=1,A1992&gt;=p_from,A1992&lt;=p_to),1,0)</f>
        <v>0.0</v>
      </c>
      <c r="AE1992">
        <f>IF(AD1992=1,IF(COUNTIFS($A$6:A1992,A1992,$AD$6:AD1992,1)=1,1,0),0)</f>
        <v>0.0</v>
      </c>
      <c r="AF1992" t="str">
        <f>IF(AE1992=1,COUNTIFS(sj_first,1,sj_date,"&lt;"&amp;A1992)+1,"")</f>
        <v/>
      </c>
      <c r="AG1992" t="str">
        <f>IF(AND(AD1992=1,N(W1992)&lt;p_alert),ROUND(W1992,4),"")</f>
        <v/>
      </c>
      <c r="AH1992" t="str">
        <f>IF(AG1992="","",COUNTIF(sj_akey,"&lt;"&amp;AG1992)+COUNTIF($AG$6:AG1992,AG1992))</f>
        <v/>
      </c>
    </row>
    <row r="1993">
      <c r="A1993" s="51" t="n"/>
      <c r="B1993" s="52" t="n"/>
      <c r="C1993" s="52" t="n"/>
      <c r="D1993" s="53" t="n"/>
      <c r="E1993" s="53" t="n"/>
      <c r="F1993" s="54" t="n"/>
      <c r="G1993" s="54" t="n"/>
      <c r="H1993" s="54" t="n"/>
      <c r="I1993" s="54" t="n"/>
      <c r="J1993" s="53" t="n"/>
      <c r="K1993" s="55" t="str">
        <f>IF(COUNTA(A1993:I1993)=0,"",IF(F1993="",IFERROR(INDEX(eq_dur,MATCH(B1993,eq_code,0)),""),F1993))</f>
        <v/>
      </c>
      <c r="L1993" s="55" t="str">
        <f>IF(ISNUMBER(K1993),N(IFERROR(INDEX(eq_pause,MATCH(B1993,eq_code,0)),0))+SUMIFS(st_min,st_date,A1993,st_eq,B1993,st_po,C1993,st_type,"Planifié"),"")</f>
        <v/>
      </c>
      <c r="M1993" s="55" t="str">
        <f>IF(ISNUMBER(K1993),K1993-L1993,"")</f>
        <v/>
      </c>
      <c r="N1993" s="55" t="str">
        <f>IF(ISNUMBER(K1993),SUMIFS(st_min,st_date,A1993,st_eq,B1993,st_po,C1993,st_type,"Non planifié"),"")</f>
        <v/>
      </c>
      <c r="O1993" s="55" t="str">
        <f>IF(ISNUMBER(K1993),M1993-N1993,"")</f>
        <v/>
      </c>
      <c r="P1993" s="55" t="str">
        <f>IF(COUNTA(A1993:I1993)=0,"",N(G1993)+N(H1993)+N(I1993))</f>
        <v/>
      </c>
      <c r="Q1993" s="56" t="str">
        <f>IF(COUNTA(A1993:I1993)=0,"",IF(N(IFERROR(INDEX(art_rate,MATCH(E1993,art_ref,0)),0))&gt;0,N(IFERROR(INDEX(art_rate,MATCH(E1993,art_ref,0)),0)),N(IFERROR(INDEX(po_rate,MATCH(C1993,po_code,0)),0))))</f>
        <v/>
      </c>
      <c r="R1993" s="55" t="str">
        <f>IF(AC1993=1,P1993*60/Q1993,"")</f>
        <v/>
      </c>
      <c r="S1993" s="55" t="str">
        <f>IF(AC1993=1,N(G1993)*60/Q1993,"")</f>
        <v/>
      </c>
      <c r="T1993" s="57" t="str">
        <f>IF(AC1993=1,O1993/M1993,"")</f>
        <v/>
      </c>
      <c r="U1993" s="57" t="str">
        <f>IF(AC1993=1,IF(O1993&gt;0,R1993/O1993,""),"")</f>
        <v/>
      </c>
      <c r="V1993" s="57" t="str">
        <f>IF(AC1993=1,IF(P1993&gt;0,N(G1993)/P1993,""),"")</f>
        <v/>
      </c>
      <c r="W1993" s="57" t="str">
        <f>IF(AC1993=1,S1993/M1993,"")</f>
        <v/>
      </c>
      <c r="X1993" s="57" t="str">
        <f>IF(AC1993=1,S1993/K1993,"")</f>
        <v/>
      </c>
      <c r="Y1993" s="58" t="str">
        <f>IF(W1993="","",IF(W1993&gt;=p_target,"Bon",IF(W1993&gt;=p_alert,"À surveiller","Faible")))</f>
        <v/>
      </c>
      <c r="Z1993" s="58" t="str">
        <f>IF(W1993="","",IF(MIN(IF(T1993="",1,T1993),IF(U1993="",1,U1993),IF(V1993="",1,V1993))&gt;=1,"Aucune",IF(IF(T1993="",1,T1993)&lt;=MIN(IF(U1993="",1,U1993),IF(V1993="",1,V1993)),"Disponibilité",IF(IF(U1993="",1,U1993)&lt;=IF(V1993="",1,V1993),"Performance","Qualité"))))</f>
        <v/>
      </c>
      <c r="AA1993" s="59" t="str">
        <f>IF(AC1993=1,N(H1993)*N(IFERROR(INDEX(art_cost,MATCH(E1993,art_ref,0)),0)),"")</f>
        <v/>
      </c>
      <c r="AB1993" s="58" t="str">
        <f>IF(COUNTA(A1993:I1993)=0,"",IF(N(A1993)&lt;=0,"Date manquante ou invalide",IF(B1993="","Équipe manquante",IF(ISNA(MATCH(B1993,eq_code,0)),"Équipe inconnue",IF(INDEX(eq_check,MATCH(B1993,eq_code,0))&lt;&gt;"OK","Équipe à corriger dans Paramètres",IF(C1993="","Poste manquant",IF(ISNA(MATCH(C1993,po_code,0)),"Poste inconnu",IF(AND(E1993&lt;&gt;"",ISNA(MATCH(E1993,art_ref,0))),"Article inconnu",IF(IF(E1993="",FALSE,INDEX(art_check,MATCH(E1993,art_ref,0))&lt;&gt;"OK"),"Article à corriger (feuille Articles)",IF(COUNTIFS(sj_date,A1993,sj_eq,B1993,sj_po,C1993)&gt;1,"Ligne en double (même jour, équipe et poste)",IF(OR(NOT(ISNUMBER(K1993)),N(K1993)&lt;=0,N(K1993)&gt;1440),"Temps d'ouverture invalide",IF(OR(AND(G1993&lt;&gt;"",NOT(ISNUMBER(G1993))),N(G1993)&lt;0,N(G1993)&lt;&gt;INT(N(G1993)),AND(H1993&lt;&gt;"",NOT(ISNUMBER(H1993))),N(H1993)&lt;0,N(H1993)&lt;&gt;INT(N(H1993)),AND(I1993&lt;&gt;"",NOT(ISNUMBER(I1993))),N(I1993)&lt;0,N(I1993)&lt;&gt;INT(N(I1993))),"Quantité invalide",IF(Q1993&lt;=0,"Cadence manquante (poste ou article)",IF(M1993&lt;=0,"Arrêts planifiés supérieurs au temps d'ouverture",IF(O1993&lt;0,"Arrêts supérieurs au temps requis",IF(AND(P1993&gt;0,O1993=0),"Pièces déclarées sans temps de marche",IF(AND(P1993=0,O1993&gt;0),"Aucune pièce déclarée",IF(P1993*60/Q1993&gt;O1993+0.001,"Cadence dépassée : vérifiez la cadence","OK"))))))))))))))))))</f>
        <v/>
      </c>
      <c r="AC1993">
        <f>IF(OR(AB1993="OK",AB1993="Aucune pièce déclarée",AB1993="Cadence dépassée : vérifiez la cadence"),1,0)</f>
        <v>0.0</v>
      </c>
      <c r="AD1993">
        <f>IF(AND(AC1993=1,A1993&gt;=p_from,A1993&lt;=p_to),1,0)</f>
        <v>0.0</v>
      </c>
      <c r="AE1993">
        <f>IF(AD1993=1,IF(COUNTIFS($A$6:A1993,A1993,$AD$6:AD1993,1)=1,1,0),0)</f>
        <v>0.0</v>
      </c>
      <c r="AF1993" t="str">
        <f>IF(AE1993=1,COUNTIFS(sj_first,1,sj_date,"&lt;"&amp;A1993)+1,"")</f>
        <v/>
      </c>
      <c r="AG1993" t="str">
        <f>IF(AND(AD1993=1,N(W1993)&lt;p_alert),ROUND(W1993,4),"")</f>
        <v/>
      </c>
      <c r="AH1993" t="str">
        <f>IF(AG1993="","",COUNTIF(sj_akey,"&lt;"&amp;AG1993)+COUNTIF($AG$6:AG1993,AG1993))</f>
        <v/>
      </c>
    </row>
    <row r="1994">
      <c r="A1994" s="51" t="n"/>
      <c r="B1994" s="52" t="n"/>
      <c r="C1994" s="52" t="n"/>
      <c r="D1994" s="53" t="n"/>
      <c r="E1994" s="53" t="n"/>
      <c r="F1994" s="54" t="n"/>
      <c r="G1994" s="54" t="n"/>
      <c r="H1994" s="54" t="n"/>
      <c r="I1994" s="54" t="n"/>
      <c r="J1994" s="53" t="n"/>
      <c r="K1994" s="55" t="str">
        <f>IF(COUNTA(A1994:I1994)=0,"",IF(F1994="",IFERROR(INDEX(eq_dur,MATCH(B1994,eq_code,0)),""),F1994))</f>
        <v/>
      </c>
      <c r="L1994" s="55" t="str">
        <f>IF(ISNUMBER(K1994),N(IFERROR(INDEX(eq_pause,MATCH(B1994,eq_code,0)),0))+SUMIFS(st_min,st_date,A1994,st_eq,B1994,st_po,C1994,st_type,"Planifié"),"")</f>
        <v/>
      </c>
      <c r="M1994" s="55" t="str">
        <f>IF(ISNUMBER(K1994),K1994-L1994,"")</f>
        <v/>
      </c>
      <c r="N1994" s="55" t="str">
        <f>IF(ISNUMBER(K1994),SUMIFS(st_min,st_date,A1994,st_eq,B1994,st_po,C1994,st_type,"Non planifié"),"")</f>
        <v/>
      </c>
      <c r="O1994" s="55" t="str">
        <f>IF(ISNUMBER(K1994),M1994-N1994,"")</f>
        <v/>
      </c>
      <c r="P1994" s="55" t="str">
        <f>IF(COUNTA(A1994:I1994)=0,"",N(G1994)+N(H1994)+N(I1994))</f>
        <v/>
      </c>
      <c r="Q1994" s="56" t="str">
        <f>IF(COUNTA(A1994:I1994)=0,"",IF(N(IFERROR(INDEX(art_rate,MATCH(E1994,art_ref,0)),0))&gt;0,N(IFERROR(INDEX(art_rate,MATCH(E1994,art_ref,0)),0)),N(IFERROR(INDEX(po_rate,MATCH(C1994,po_code,0)),0))))</f>
        <v/>
      </c>
      <c r="R1994" s="55" t="str">
        <f>IF(AC1994=1,P1994*60/Q1994,"")</f>
        <v/>
      </c>
      <c r="S1994" s="55" t="str">
        <f>IF(AC1994=1,N(G1994)*60/Q1994,"")</f>
        <v/>
      </c>
      <c r="T1994" s="57" t="str">
        <f>IF(AC1994=1,O1994/M1994,"")</f>
        <v/>
      </c>
      <c r="U1994" s="57" t="str">
        <f>IF(AC1994=1,IF(O1994&gt;0,R1994/O1994,""),"")</f>
        <v/>
      </c>
      <c r="V1994" s="57" t="str">
        <f>IF(AC1994=1,IF(P1994&gt;0,N(G1994)/P1994,""),"")</f>
        <v/>
      </c>
      <c r="W1994" s="57" t="str">
        <f>IF(AC1994=1,S1994/M1994,"")</f>
        <v/>
      </c>
      <c r="X1994" s="57" t="str">
        <f>IF(AC1994=1,S1994/K1994,"")</f>
        <v/>
      </c>
      <c r="Y1994" s="58" t="str">
        <f>IF(W1994="","",IF(W1994&gt;=p_target,"Bon",IF(W1994&gt;=p_alert,"À surveiller","Faible")))</f>
        <v/>
      </c>
      <c r="Z1994" s="58" t="str">
        <f>IF(W1994="","",IF(MIN(IF(T1994="",1,T1994),IF(U1994="",1,U1994),IF(V1994="",1,V1994))&gt;=1,"Aucune",IF(IF(T1994="",1,T1994)&lt;=MIN(IF(U1994="",1,U1994),IF(V1994="",1,V1994)),"Disponibilité",IF(IF(U1994="",1,U1994)&lt;=IF(V1994="",1,V1994),"Performance","Qualité"))))</f>
        <v/>
      </c>
      <c r="AA1994" s="59" t="str">
        <f>IF(AC1994=1,N(H1994)*N(IFERROR(INDEX(art_cost,MATCH(E1994,art_ref,0)),0)),"")</f>
        <v/>
      </c>
      <c r="AB1994" s="58" t="str">
        <f>IF(COUNTA(A1994:I1994)=0,"",IF(N(A1994)&lt;=0,"Date manquante ou invalide",IF(B1994="","Équipe manquante",IF(ISNA(MATCH(B1994,eq_code,0)),"Équipe inconnue",IF(INDEX(eq_check,MATCH(B1994,eq_code,0))&lt;&gt;"OK","Équipe à corriger dans Paramètres",IF(C1994="","Poste manquant",IF(ISNA(MATCH(C1994,po_code,0)),"Poste inconnu",IF(AND(E1994&lt;&gt;"",ISNA(MATCH(E1994,art_ref,0))),"Article inconnu",IF(IF(E1994="",FALSE,INDEX(art_check,MATCH(E1994,art_ref,0))&lt;&gt;"OK"),"Article à corriger (feuille Articles)",IF(COUNTIFS(sj_date,A1994,sj_eq,B1994,sj_po,C1994)&gt;1,"Ligne en double (même jour, équipe et poste)",IF(OR(NOT(ISNUMBER(K1994)),N(K1994)&lt;=0,N(K1994)&gt;1440),"Temps d'ouverture invalide",IF(OR(AND(G1994&lt;&gt;"",NOT(ISNUMBER(G1994))),N(G1994)&lt;0,N(G1994)&lt;&gt;INT(N(G1994)),AND(H1994&lt;&gt;"",NOT(ISNUMBER(H1994))),N(H1994)&lt;0,N(H1994)&lt;&gt;INT(N(H1994)),AND(I1994&lt;&gt;"",NOT(ISNUMBER(I1994))),N(I1994)&lt;0,N(I1994)&lt;&gt;INT(N(I1994))),"Quantité invalide",IF(Q1994&lt;=0,"Cadence manquante (poste ou article)",IF(M1994&lt;=0,"Arrêts planifiés supérieurs au temps d'ouverture",IF(O1994&lt;0,"Arrêts supérieurs au temps requis",IF(AND(P1994&gt;0,O1994=0),"Pièces déclarées sans temps de marche",IF(AND(P1994=0,O1994&gt;0),"Aucune pièce déclarée",IF(P1994*60/Q1994&gt;O1994+0.001,"Cadence dépassée : vérifiez la cadence","OK"))))))))))))))))))</f>
        <v/>
      </c>
      <c r="AC1994">
        <f>IF(OR(AB1994="OK",AB1994="Aucune pièce déclarée",AB1994="Cadence dépassée : vérifiez la cadence"),1,0)</f>
        <v>0.0</v>
      </c>
      <c r="AD1994">
        <f>IF(AND(AC1994=1,A1994&gt;=p_from,A1994&lt;=p_to),1,0)</f>
        <v>0.0</v>
      </c>
      <c r="AE1994">
        <f>IF(AD1994=1,IF(COUNTIFS($A$6:A1994,A1994,$AD$6:AD1994,1)=1,1,0),0)</f>
        <v>0.0</v>
      </c>
      <c r="AF1994" t="str">
        <f>IF(AE1994=1,COUNTIFS(sj_first,1,sj_date,"&lt;"&amp;A1994)+1,"")</f>
        <v/>
      </c>
      <c r="AG1994" t="str">
        <f>IF(AND(AD1994=1,N(W1994)&lt;p_alert),ROUND(W1994,4),"")</f>
        <v/>
      </c>
      <c r="AH1994" t="str">
        <f>IF(AG1994="","",COUNTIF(sj_akey,"&lt;"&amp;AG1994)+COUNTIF($AG$6:AG1994,AG1994))</f>
        <v/>
      </c>
    </row>
    <row r="1995">
      <c r="A1995" s="51" t="n"/>
      <c r="B1995" s="52" t="n"/>
      <c r="C1995" s="52" t="n"/>
      <c r="D1995" s="53" t="n"/>
      <c r="E1995" s="53" t="n"/>
      <c r="F1995" s="54" t="n"/>
      <c r="G1995" s="54" t="n"/>
      <c r="H1995" s="54" t="n"/>
      <c r="I1995" s="54" t="n"/>
      <c r="J1995" s="53" t="n"/>
      <c r="K1995" s="55" t="str">
        <f>IF(COUNTA(A1995:I1995)=0,"",IF(F1995="",IFERROR(INDEX(eq_dur,MATCH(B1995,eq_code,0)),""),F1995))</f>
        <v/>
      </c>
      <c r="L1995" s="55" t="str">
        <f>IF(ISNUMBER(K1995),N(IFERROR(INDEX(eq_pause,MATCH(B1995,eq_code,0)),0))+SUMIFS(st_min,st_date,A1995,st_eq,B1995,st_po,C1995,st_type,"Planifié"),"")</f>
        <v/>
      </c>
      <c r="M1995" s="55" t="str">
        <f>IF(ISNUMBER(K1995),K1995-L1995,"")</f>
        <v/>
      </c>
      <c r="N1995" s="55" t="str">
        <f>IF(ISNUMBER(K1995),SUMIFS(st_min,st_date,A1995,st_eq,B1995,st_po,C1995,st_type,"Non planifié"),"")</f>
        <v/>
      </c>
      <c r="O1995" s="55" t="str">
        <f>IF(ISNUMBER(K1995),M1995-N1995,"")</f>
        <v/>
      </c>
      <c r="P1995" s="55" t="str">
        <f>IF(COUNTA(A1995:I1995)=0,"",N(G1995)+N(H1995)+N(I1995))</f>
        <v/>
      </c>
      <c r="Q1995" s="56" t="str">
        <f>IF(COUNTA(A1995:I1995)=0,"",IF(N(IFERROR(INDEX(art_rate,MATCH(E1995,art_ref,0)),0))&gt;0,N(IFERROR(INDEX(art_rate,MATCH(E1995,art_ref,0)),0)),N(IFERROR(INDEX(po_rate,MATCH(C1995,po_code,0)),0))))</f>
        <v/>
      </c>
      <c r="R1995" s="55" t="str">
        <f>IF(AC1995=1,P1995*60/Q1995,"")</f>
        <v/>
      </c>
      <c r="S1995" s="55" t="str">
        <f>IF(AC1995=1,N(G1995)*60/Q1995,"")</f>
        <v/>
      </c>
      <c r="T1995" s="57" t="str">
        <f>IF(AC1995=1,O1995/M1995,"")</f>
        <v/>
      </c>
      <c r="U1995" s="57" t="str">
        <f>IF(AC1995=1,IF(O1995&gt;0,R1995/O1995,""),"")</f>
        <v/>
      </c>
      <c r="V1995" s="57" t="str">
        <f>IF(AC1995=1,IF(P1995&gt;0,N(G1995)/P1995,""),"")</f>
        <v/>
      </c>
      <c r="W1995" s="57" t="str">
        <f>IF(AC1995=1,S1995/M1995,"")</f>
        <v/>
      </c>
      <c r="X1995" s="57" t="str">
        <f>IF(AC1995=1,S1995/K1995,"")</f>
        <v/>
      </c>
      <c r="Y1995" s="58" t="str">
        <f>IF(W1995="","",IF(W1995&gt;=p_target,"Bon",IF(W1995&gt;=p_alert,"À surveiller","Faible")))</f>
        <v/>
      </c>
      <c r="Z1995" s="58" t="str">
        <f>IF(W1995="","",IF(MIN(IF(T1995="",1,T1995),IF(U1995="",1,U1995),IF(V1995="",1,V1995))&gt;=1,"Aucune",IF(IF(T1995="",1,T1995)&lt;=MIN(IF(U1995="",1,U1995),IF(V1995="",1,V1995)),"Disponibilité",IF(IF(U1995="",1,U1995)&lt;=IF(V1995="",1,V1995),"Performance","Qualité"))))</f>
        <v/>
      </c>
      <c r="AA1995" s="59" t="str">
        <f>IF(AC1995=1,N(H1995)*N(IFERROR(INDEX(art_cost,MATCH(E1995,art_ref,0)),0)),"")</f>
        <v/>
      </c>
      <c r="AB1995" s="58" t="str">
        <f>IF(COUNTA(A1995:I1995)=0,"",IF(N(A1995)&lt;=0,"Date manquante ou invalide",IF(B1995="","Équipe manquante",IF(ISNA(MATCH(B1995,eq_code,0)),"Équipe inconnue",IF(INDEX(eq_check,MATCH(B1995,eq_code,0))&lt;&gt;"OK","Équipe à corriger dans Paramètres",IF(C1995="","Poste manquant",IF(ISNA(MATCH(C1995,po_code,0)),"Poste inconnu",IF(AND(E1995&lt;&gt;"",ISNA(MATCH(E1995,art_ref,0))),"Article inconnu",IF(IF(E1995="",FALSE,INDEX(art_check,MATCH(E1995,art_ref,0))&lt;&gt;"OK"),"Article à corriger (feuille Articles)",IF(COUNTIFS(sj_date,A1995,sj_eq,B1995,sj_po,C1995)&gt;1,"Ligne en double (même jour, équipe et poste)",IF(OR(NOT(ISNUMBER(K1995)),N(K1995)&lt;=0,N(K1995)&gt;1440),"Temps d'ouverture invalide",IF(OR(AND(G1995&lt;&gt;"",NOT(ISNUMBER(G1995))),N(G1995)&lt;0,N(G1995)&lt;&gt;INT(N(G1995)),AND(H1995&lt;&gt;"",NOT(ISNUMBER(H1995))),N(H1995)&lt;0,N(H1995)&lt;&gt;INT(N(H1995)),AND(I1995&lt;&gt;"",NOT(ISNUMBER(I1995))),N(I1995)&lt;0,N(I1995)&lt;&gt;INT(N(I1995))),"Quantité invalide",IF(Q1995&lt;=0,"Cadence manquante (poste ou article)",IF(M1995&lt;=0,"Arrêts planifiés supérieurs au temps d'ouverture",IF(O1995&lt;0,"Arrêts supérieurs au temps requis",IF(AND(P1995&gt;0,O1995=0),"Pièces déclarées sans temps de marche",IF(AND(P1995=0,O1995&gt;0),"Aucune pièce déclarée",IF(P1995*60/Q1995&gt;O1995+0.001,"Cadence dépassée : vérifiez la cadence","OK"))))))))))))))))))</f>
        <v/>
      </c>
      <c r="AC1995">
        <f>IF(OR(AB1995="OK",AB1995="Aucune pièce déclarée",AB1995="Cadence dépassée : vérifiez la cadence"),1,0)</f>
        <v>0.0</v>
      </c>
      <c r="AD1995">
        <f>IF(AND(AC1995=1,A1995&gt;=p_from,A1995&lt;=p_to),1,0)</f>
        <v>0.0</v>
      </c>
      <c r="AE1995">
        <f>IF(AD1995=1,IF(COUNTIFS($A$6:A1995,A1995,$AD$6:AD1995,1)=1,1,0),0)</f>
        <v>0.0</v>
      </c>
      <c r="AF1995" t="str">
        <f>IF(AE1995=1,COUNTIFS(sj_first,1,sj_date,"&lt;"&amp;A1995)+1,"")</f>
        <v/>
      </c>
      <c r="AG1995" t="str">
        <f>IF(AND(AD1995=1,N(W1995)&lt;p_alert),ROUND(W1995,4),"")</f>
        <v/>
      </c>
      <c r="AH1995" t="str">
        <f>IF(AG1995="","",COUNTIF(sj_akey,"&lt;"&amp;AG1995)+COUNTIF($AG$6:AG1995,AG1995))</f>
        <v/>
      </c>
    </row>
    <row r="1996">
      <c r="A1996" s="51" t="n"/>
      <c r="B1996" s="52" t="n"/>
      <c r="C1996" s="52" t="n"/>
      <c r="D1996" s="53" t="n"/>
      <c r="E1996" s="53" t="n"/>
      <c r="F1996" s="54" t="n"/>
      <c r="G1996" s="54" t="n"/>
      <c r="H1996" s="54" t="n"/>
      <c r="I1996" s="54" t="n"/>
      <c r="J1996" s="53" t="n"/>
      <c r="K1996" s="55" t="str">
        <f>IF(COUNTA(A1996:I1996)=0,"",IF(F1996="",IFERROR(INDEX(eq_dur,MATCH(B1996,eq_code,0)),""),F1996))</f>
        <v/>
      </c>
      <c r="L1996" s="55" t="str">
        <f>IF(ISNUMBER(K1996),N(IFERROR(INDEX(eq_pause,MATCH(B1996,eq_code,0)),0))+SUMIFS(st_min,st_date,A1996,st_eq,B1996,st_po,C1996,st_type,"Planifié"),"")</f>
        <v/>
      </c>
      <c r="M1996" s="55" t="str">
        <f>IF(ISNUMBER(K1996),K1996-L1996,"")</f>
        <v/>
      </c>
      <c r="N1996" s="55" t="str">
        <f>IF(ISNUMBER(K1996),SUMIFS(st_min,st_date,A1996,st_eq,B1996,st_po,C1996,st_type,"Non planifié"),"")</f>
        <v/>
      </c>
      <c r="O1996" s="55" t="str">
        <f>IF(ISNUMBER(K1996),M1996-N1996,"")</f>
        <v/>
      </c>
      <c r="P1996" s="55" t="str">
        <f>IF(COUNTA(A1996:I1996)=0,"",N(G1996)+N(H1996)+N(I1996))</f>
        <v/>
      </c>
      <c r="Q1996" s="56" t="str">
        <f>IF(COUNTA(A1996:I1996)=0,"",IF(N(IFERROR(INDEX(art_rate,MATCH(E1996,art_ref,0)),0))&gt;0,N(IFERROR(INDEX(art_rate,MATCH(E1996,art_ref,0)),0)),N(IFERROR(INDEX(po_rate,MATCH(C1996,po_code,0)),0))))</f>
        <v/>
      </c>
      <c r="R1996" s="55" t="str">
        <f>IF(AC1996=1,P1996*60/Q1996,"")</f>
        <v/>
      </c>
      <c r="S1996" s="55" t="str">
        <f>IF(AC1996=1,N(G1996)*60/Q1996,"")</f>
        <v/>
      </c>
      <c r="T1996" s="57" t="str">
        <f>IF(AC1996=1,O1996/M1996,"")</f>
        <v/>
      </c>
      <c r="U1996" s="57" t="str">
        <f>IF(AC1996=1,IF(O1996&gt;0,R1996/O1996,""),"")</f>
        <v/>
      </c>
      <c r="V1996" s="57" t="str">
        <f>IF(AC1996=1,IF(P1996&gt;0,N(G1996)/P1996,""),"")</f>
        <v/>
      </c>
      <c r="W1996" s="57" t="str">
        <f>IF(AC1996=1,S1996/M1996,"")</f>
        <v/>
      </c>
      <c r="X1996" s="57" t="str">
        <f>IF(AC1996=1,S1996/K1996,"")</f>
        <v/>
      </c>
      <c r="Y1996" s="58" t="str">
        <f>IF(W1996="","",IF(W1996&gt;=p_target,"Bon",IF(W1996&gt;=p_alert,"À surveiller","Faible")))</f>
        <v/>
      </c>
      <c r="Z1996" s="58" t="str">
        <f>IF(W1996="","",IF(MIN(IF(T1996="",1,T1996),IF(U1996="",1,U1996),IF(V1996="",1,V1996))&gt;=1,"Aucune",IF(IF(T1996="",1,T1996)&lt;=MIN(IF(U1996="",1,U1996),IF(V1996="",1,V1996)),"Disponibilité",IF(IF(U1996="",1,U1996)&lt;=IF(V1996="",1,V1996),"Performance","Qualité"))))</f>
        <v/>
      </c>
      <c r="AA1996" s="59" t="str">
        <f>IF(AC1996=1,N(H1996)*N(IFERROR(INDEX(art_cost,MATCH(E1996,art_ref,0)),0)),"")</f>
        <v/>
      </c>
      <c r="AB1996" s="58" t="str">
        <f>IF(COUNTA(A1996:I1996)=0,"",IF(N(A1996)&lt;=0,"Date manquante ou invalide",IF(B1996="","Équipe manquante",IF(ISNA(MATCH(B1996,eq_code,0)),"Équipe inconnue",IF(INDEX(eq_check,MATCH(B1996,eq_code,0))&lt;&gt;"OK","Équipe à corriger dans Paramètres",IF(C1996="","Poste manquant",IF(ISNA(MATCH(C1996,po_code,0)),"Poste inconnu",IF(AND(E1996&lt;&gt;"",ISNA(MATCH(E1996,art_ref,0))),"Article inconnu",IF(IF(E1996="",FALSE,INDEX(art_check,MATCH(E1996,art_ref,0))&lt;&gt;"OK"),"Article à corriger (feuille Articles)",IF(COUNTIFS(sj_date,A1996,sj_eq,B1996,sj_po,C1996)&gt;1,"Ligne en double (même jour, équipe et poste)",IF(OR(NOT(ISNUMBER(K1996)),N(K1996)&lt;=0,N(K1996)&gt;1440),"Temps d'ouverture invalide",IF(OR(AND(G1996&lt;&gt;"",NOT(ISNUMBER(G1996))),N(G1996)&lt;0,N(G1996)&lt;&gt;INT(N(G1996)),AND(H1996&lt;&gt;"",NOT(ISNUMBER(H1996))),N(H1996)&lt;0,N(H1996)&lt;&gt;INT(N(H1996)),AND(I1996&lt;&gt;"",NOT(ISNUMBER(I1996))),N(I1996)&lt;0,N(I1996)&lt;&gt;INT(N(I1996))),"Quantité invalide",IF(Q1996&lt;=0,"Cadence manquante (poste ou article)",IF(M1996&lt;=0,"Arrêts planifiés supérieurs au temps d'ouverture",IF(O1996&lt;0,"Arrêts supérieurs au temps requis",IF(AND(P1996&gt;0,O1996=0),"Pièces déclarées sans temps de marche",IF(AND(P1996=0,O1996&gt;0),"Aucune pièce déclarée",IF(P1996*60/Q1996&gt;O1996+0.001,"Cadence dépassée : vérifiez la cadence","OK"))))))))))))))))))</f>
        <v/>
      </c>
      <c r="AC1996">
        <f>IF(OR(AB1996="OK",AB1996="Aucune pièce déclarée",AB1996="Cadence dépassée : vérifiez la cadence"),1,0)</f>
        <v>0.0</v>
      </c>
      <c r="AD1996">
        <f>IF(AND(AC1996=1,A1996&gt;=p_from,A1996&lt;=p_to),1,0)</f>
        <v>0.0</v>
      </c>
      <c r="AE1996">
        <f>IF(AD1996=1,IF(COUNTIFS($A$6:A1996,A1996,$AD$6:AD1996,1)=1,1,0),0)</f>
        <v>0.0</v>
      </c>
      <c r="AF1996" t="str">
        <f>IF(AE1996=1,COUNTIFS(sj_first,1,sj_date,"&lt;"&amp;A1996)+1,"")</f>
        <v/>
      </c>
      <c r="AG1996" t="str">
        <f>IF(AND(AD1996=1,N(W1996)&lt;p_alert),ROUND(W1996,4),"")</f>
        <v/>
      </c>
      <c r="AH1996" t="str">
        <f>IF(AG1996="","",COUNTIF(sj_akey,"&lt;"&amp;AG1996)+COUNTIF($AG$6:AG1996,AG1996))</f>
        <v/>
      </c>
    </row>
    <row r="1997">
      <c r="A1997" s="51" t="n"/>
      <c r="B1997" s="52" t="n"/>
      <c r="C1997" s="52" t="n"/>
      <c r="D1997" s="53" t="n"/>
      <c r="E1997" s="53" t="n"/>
      <c r="F1997" s="54" t="n"/>
      <c r="G1997" s="54" t="n"/>
      <c r="H1997" s="54" t="n"/>
      <c r="I1997" s="54" t="n"/>
      <c r="J1997" s="53" t="n"/>
      <c r="K1997" s="55" t="str">
        <f>IF(COUNTA(A1997:I1997)=0,"",IF(F1997="",IFERROR(INDEX(eq_dur,MATCH(B1997,eq_code,0)),""),F1997))</f>
        <v/>
      </c>
      <c r="L1997" s="55" t="str">
        <f>IF(ISNUMBER(K1997),N(IFERROR(INDEX(eq_pause,MATCH(B1997,eq_code,0)),0))+SUMIFS(st_min,st_date,A1997,st_eq,B1997,st_po,C1997,st_type,"Planifié"),"")</f>
        <v/>
      </c>
      <c r="M1997" s="55" t="str">
        <f>IF(ISNUMBER(K1997),K1997-L1997,"")</f>
        <v/>
      </c>
      <c r="N1997" s="55" t="str">
        <f>IF(ISNUMBER(K1997),SUMIFS(st_min,st_date,A1997,st_eq,B1997,st_po,C1997,st_type,"Non planifié"),"")</f>
        <v/>
      </c>
      <c r="O1997" s="55" t="str">
        <f>IF(ISNUMBER(K1997),M1997-N1997,"")</f>
        <v/>
      </c>
      <c r="P1997" s="55" t="str">
        <f>IF(COUNTA(A1997:I1997)=0,"",N(G1997)+N(H1997)+N(I1997))</f>
        <v/>
      </c>
      <c r="Q1997" s="56" t="str">
        <f>IF(COUNTA(A1997:I1997)=0,"",IF(N(IFERROR(INDEX(art_rate,MATCH(E1997,art_ref,0)),0))&gt;0,N(IFERROR(INDEX(art_rate,MATCH(E1997,art_ref,0)),0)),N(IFERROR(INDEX(po_rate,MATCH(C1997,po_code,0)),0))))</f>
        <v/>
      </c>
      <c r="R1997" s="55" t="str">
        <f>IF(AC1997=1,P1997*60/Q1997,"")</f>
        <v/>
      </c>
      <c r="S1997" s="55" t="str">
        <f>IF(AC1997=1,N(G1997)*60/Q1997,"")</f>
        <v/>
      </c>
      <c r="T1997" s="57" t="str">
        <f>IF(AC1997=1,O1997/M1997,"")</f>
        <v/>
      </c>
      <c r="U1997" s="57" t="str">
        <f>IF(AC1997=1,IF(O1997&gt;0,R1997/O1997,""),"")</f>
        <v/>
      </c>
      <c r="V1997" s="57" t="str">
        <f>IF(AC1997=1,IF(P1997&gt;0,N(G1997)/P1997,""),"")</f>
        <v/>
      </c>
      <c r="W1997" s="57" t="str">
        <f>IF(AC1997=1,S1997/M1997,"")</f>
        <v/>
      </c>
      <c r="X1997" s="57" t="str">
        <f>IF(AC1997=1,S1997/K1997,"")</f>
        <v/>
      </c>
      <c r="Y1997" s="58" t="str">
        <f>IF(W1997="","",IF(W1997&gt;=p_target,"Bon",IF(W1997&gt;=p_alert,"À surveiller","Faible")))</f>
        <v/>
      </c>
      <c r="Z1997" s="58" t="str">
        <f>IF(W1997="","",IF(MIN(IF(T1997="",1,T1997),IF(U1997="",1,U1997),IF(V1997="",1,V1997))&gt;=1,"Aucune",IF(IF(T1997="",1,T1997)&lt;=MIN(IF(U1997="",1,U1997),IF(V1997="",1,V1997)),"Disponibilité",IF(IF(U1997="",1,U1997)&lt;=IF(V1997="",1,V1997),"Performance","Qualité"))))</f>
        <v/>
      </c>
      <c r="AA1997" s="59" t="str">
        <f>IF(AC1997=1,N(H1997)*N(IFERROR(INDEX(art_cost,MATCH(E1997,art_ref,0)),0)),"")</f>
        <v/>
      </c>
      <c r="AB1997" s="58" t="str">
        <f>IF(COUNTA(A1997:I1997)=0,"",IF(N(A1997)&lt;=0,"Date manquante ou invalide",IF(B1997="","Équipe manquante",IF(ISNA(MATCH(B1997,eq_code,0)),"Équipe inconnue",IF(INDEX(eq_check,MATCH(B1997,eq_code,0))&lt;&gt;"OK","Équipe à corriger dans Paramètres",IF(C1997="","Poste manquant",IF(ISNA(MATCH(C1997,po_code,0)),"Poste inconnu",IF(AND(E1997&lt;&gt;"",ISNA(MATCH(E1997,art_ref,0))),"Article inconnu",IF(IF(E1997="",FALSE,INDEX(art_check,MATCH(E1997,art_ref,0))&lt;&gt;"OK"),"Article à corriger (feuille Articles)",IF(COUNTIFS(sj_date,A1997,sj_eq,B1997,sj_po,C1997)&gt;1,"Ligne en double (même jour, équipe et poste)",IF(OR(NOT(ISNUMBER(K1997)),N(K1997)&lt;=0,N(K1997)&gt;1440),"Temps d'ouverture invalide",IF(OR(AND(G1997&lt;&gt;"",NOT(ISNUMBER(G1997))),N(G1997)&lt;0,N(G1997)&lt;&gt;INT(N(G1997)),AND(H1997&lt;&gt;"",NOT(ISNUMBER(H1997))),N(H1997)&lt;0,N(H1997)&lt;&gt;INT(N(H1997)),AND(I1997&lt;&gt;"",NOT(ISNUMBER(I1997))),N(I1997)&lt;0,N(I1997)&lt;&gt;INT(N(I1997))),"Quantité invalide",IF(Q1997&lt;=0,"Cadence manquante (poste ou article)",IF(M1997&lt;=0,"Arrêts planifiés supérieurs au temps d'ouverture",IF(O1997&lt;0,"Arrêts supérieurs au temps requis",IF(AND(P1997&gt;0,O1997=0),"Pièces déclarées sans temps de marche",IF(AND(P1997=0,O1997&gt;0),"Aucune pièce déclarée",IF(P1997*60/Q1997&gt;O1997+0.001,"Cadence dépassée : vérifiez la cadence","OK"))))))))))))))))))</f>
        <v/>
      </c>
      <c r="AC1997">
        <f>IF(OR(AB1997="OK",AB1997="Aucune pièce déclarée",AB1997="Cadence dépassée : vérifiez la cadence"),1,0)</f>
        <v>0.0</v>
      </c>
      <c r="AD1997">
        <f>IF(AND(AC1997=1,A1997&gt;=p_from,A1997&lt;=p_to),1,0)</f>
        <v>0.0</v>
      </c>
      <c r="AE1997">
        <f>IF(AD1997=1,IF(COUNTIFS($A$6:A1997,A1997,$AD$6:AD1997,1)=1,1,0),0)</f>
        <v>0.0</v>
      </c>
      <c r="AF1997" t="str">
        <f>IF(AE1997=1,COUNTIFS(sj_first,1,sj_date,"&lt;"&amp;A1997)+1,"")</f>
        <v/>
      </c>
      <c r="AG1997" t="str">
        <f>IF(AND(AD1997=1,N(W1997)&lt;p_alert),ROUND(W1997,4),"")</f>
        <v/>
      </c>
      <c r="AH1997" t="str">
        <f>IF(AG1997="","",COUNTIF(sj_akey,"&lt;"&amp;AG1997)+COUNTIF($AG$6:AG1997,AG1997))</f>
        <v/>
      </c>
    </row>
    <row r="1998">
      <c r="A1998" s="51" t="n"/>
      <c r="B1998" s="52" t="n"/>
      <c r="C1998" s="52" t="n"/>
      <c r="D1998" s="53" t="n"/>
      <c r="E1998" s="53" t="n"/>
      <c r="F1998" s="54" t="n"/>
      <c r="G1998" s="54" t="n"/>
      <c r="H1998" s="54" t="n"/>
      <c r="I1998" s="54" t="n"/>
      <c r="J1998" s="53" t="n"/>
      <c r="K1998" s="55" t="str">
        <f>IF(COUNTA(A1998:I1998)=0,"",IF(F1998="",IFERROR(INDEX(eq_dur,MATCH(B1998,eq_code,0)),""),F1998))</f>
        <v/>
      </c>
      <c r="L1998" s="55" t="str">
        <f>IF(ISNUMBER(K1998),N(IFERROR(INDEX(eq_pause,MATCH(B1998,eq_code,0)),0))+SUMIFS(st_min,st_date,A1998,st_eq,B1998,st_po,C1998,st_type,"Planifié"),"")</f>
        <v/>
      </c>
      <c r="M1998" s="55" t="str">
        <f>IF(ISNUMBER(K1998),K1998-L1998,"")</f>
        <v/>
      </c>
      <c r="N1998" s="55" t="str">
        <f>IF(ISNUMBER(K1998),SUMIFS(st_min,st_date,A1998,st_eq,B1998,st_po,C1998,st_type,"Non planifié"),"")</f>
        <v/>
      </c>
      <c r="O1998" s="55" t="str">
        <f>IF(ISNUMBER(K1998),M1998-N1998,"")</f>
        <v/>
      </c>
      <c r="P1998" s="55" t="str">
        <f>IF(COUNTA(A1998:I1998)=0,"",N(G1998)+N(H1998)+N(I1998))</f>
        <v/>
      </c>
      <c r="Q1998" s="56" t="str">
        <f>IF(COUNTA(A1998:I1998)=0,"",IF(N(IFERROR(INDEX(art_rate,MATCH(E1998,art_ref,0)),0))&gt;0,N(IFERROR(INDEX(art_rate,MATCH(E1998,art_ref,0)),0)),N(IFERROR(INDEX(po_rate,MATCH(C1998,po_code,0)),0))))</f>
        <v/>
      </c>
      <c r="R1998" s="55" t="str">
        <f>IF(AC1998=1,P1998*60/Q1998,"")</f>
        <v/>
      </c>
      <c r="S1998" s="55" t="str">
        <f>IF(AC1998=1,N(G1998)*60/Q1998,"")</f>
        <v/>
      </c>
      <c r="T1998" s="57" t="str">
        <f>IF(AC1998=1,O1998/M1998,"")</f>
        <v/>
      </c>
      <c r="U1998" s="57" t="str">
        <f>IF(AC1998=1,IF(O1998&gt;0,R1998/O1998,""),"")</f>
        <v/>
      </c>
      <c r="V1998" s="57" t="str">
        <f>IF(AC1998=1,IF(P1998&gt;0,N(G1998)/P1998,""),"")</f>
        <v/>
      </c>
      <c r="W1998" s="57" t="str">
        <f>IF(AC1998=1,S1998/M1998,"")</f>
        <v/>
      </c>
      <c r="X1998" s="57" t="str">
        <f>IF(AC1998=1,S1998/K1998,"")</f>
        <v/>
      </c>
      <c r="Y1998" s="58" t="str">
        <f>IF(W1998="","",IF(W1998&gt;=p_target,"Bon",IF(W1998&gt;=p_alert,"À surveiller","Faible")))</f>
        <v/>
      </c>
      <c r="Z1998" s="58" t="str">
        <f>IF(W1998="","",IF(MIN(IF(T1998="",1,T1998),IF(U1998="",1,U1998),IF(V1998="",1,V1998))&gt;=1,"Aucune",IF(IF(T1998="",1,T1998)&lt;=MIN(IF(U1998="",1,U1998),IF(V1998="",1,V1998)),"Disponibilité",IF(IF(U1998="",1,U1998)&lt;=IF(V1998="",1,V1998),"Performance","Qualité"))))</f>
        <v/>
      </c>
      <c r="AA1998" s="59" t="str">
        <f>IF(AC1998=1,N(H1998)*N(IFERROR(INDEX(art_cost,MATCH(E1998,art_ref,0)),0)),"")</f>
        <v/>
      </c>
      <c r="AB1998" s="58" t="str">
        <f>IF(COUNTA(A1998:I1998)=0,"",IF(N(A1998)&lt;=0,"Date manquante ou invalide",IF(B1998="","Équipe manquante",IF(ISNA(MATCH(B1998,eq_code,0)),"Équipe inconnue",IF(INDEX(eq_check,MATCH(B1998,eq_code,0))&lt;&gt;"OK","Équipe à corriger dans Paramètres",IF(C1998="","Poste manquant",IF(ISNA(MATCH(C1998,po_code,0)),"Poste inconnu",IF(AND(E1998&lt;&gt;"",ISNA(MATCH(E1998,art_ref,0))),"Article inconnu",IF(IF(E1998="",FALSE,INDEX(art_check,MATCH(E1998,art_ref,0))&lt;&gt;"OK"),"Article à corriger (feuille Articles)",IF(COUNTIFS(sj_date,A1998,sj_eq,B1998,sj_po,C1998)&gt;1,"Ligne en double (même jour, équipe et poste)",IF(OR(NOT(ISNUMBER(K1998)),N(K1998)&lt;=0,N(K1998)&gt;1440),"Temps d'ouverture invalide",IF(OR(AND(G1998&lt;&gt;"",NOT(ISNUMBER(G1998))),N(G1998)&lt;0,N(G1998)&lt;&gt;INT(N(G1998)),AND(H1998&lt;&gt;"",NOT(ISNUMBER(H1998))),N(H1998)&lt;0,N(H1998)&lt;&gt;INT(N(H1998)),AND(I1998&lt;&gt;"",NOT(ISNUMBER(I1998))),N(I1998)&lt;0,N(I1998)&lt;&gt;INT(N(I1998))),"Quantité invalide",IF(Q1998&lt;=0,"Cadence manquante (poste ou article)",IF(M1998&lt;=0,"Arrêts planifiés supérieurs au temps d'ouverture",IF(O1998&lt;0,"Arrêts supérieurs au temps requis",IF(AND(P1998&gt;0,O1998=0),"Pièces déclarées sans temps de marche",IF(AND(P1998=0,O1998&gt;0),"Aucune pièce déclarée",IF(P1998*60/Q1998&gt;O1998+0.001,"Cadence dépassée : vérifiez la cadence","OK"))))))))))))))))))</f>
        <v/>
      </c>
      <c r="AC1998">
        <f>IF(OR(AB1998="OK",AB1998="Aucune pièce déclarée",AB1998="Cadence dépassée : vérifiez la cadence"),1,0)</f>
        <v>0.0</v>
      </c>
      <c r="AD1998">
        <f>IF(AND(AC1998=1,A1998&gt;=p_from,A1998&lt;=p_to),1,0)</f>
        <v>0.0</v>
      </c>
      <c r="AE1998">
        <f>IF(AD1998=1,IF(COUNTIFS($A$6:A1998,A1998,$AD$6:AD1998,1)=1,1,0),0)</f>
        <v>0.0</v>
      </c>
      <c r="AF1998" t="str">
        <f>IF(AE1998=1,COUNTIFS(sj_first,1,sj_date,"&lt;"&amp;A1998)+1,"")</f>
        <v/>
      </c>
      <c r="AG1998" t="str">
        <f>IF(AND(AD1998=1,N(W1998)&lt;p_alert),ROUND(W1998,4),"")</f>
        <v/>
      </c>
      <c r="AH1998" t="str">
        <f>IF(AG1998="","",COUNTIF(sj_akey,"&lt;"&amp;AG1998)+COUNTIF($AG$6:AG1998,AG1998))</f>
        <v/>
      </c>
    </row>
    <row r="1999">
      <c r="A1999" s="51" t="n"/>
      <c r="B1999" s="52" t="n"/>
      <c r="C1999" s="52" t="n"/>
      <c r="D1999" s="53" t="n"/>
      <c r="E1999" s="53" t="n"/>
      <c r="F1999" s="54" t="n"/>
      <c r="G1999" s="54" t="n"/>
      <c r="H1999" s="54" t="n"/>
      <c r="I1999" s="54" t="n"/>
      <c r="J1999" s="53" t="n"/>
      <c r="K1999" s="55" t="str">
        <f>IF(COUNTA(A1999:I1999)=0,"",IF(F1999="",IFERROR(INDEX(eq_dur,MATCH(B1999,eq_code,0)),""),F1999))</f>
        <v/>
      </c>
      <c r="L1999" s="55" t="str">
        <f>IF(ISNUMBER(K1999),N(IFERROR(INDEX(eq_pause,MATCH(B1999,eq_code,0)),0))+SUMIFS(st_min,st_date,A1999,st_eq,B1999,st_po,C1999,st_type,"Planifié"),"")</f>
        <v/>
      </c>
      <c r="M1999" s="55" t="str">
        <f>IF(ISNUMBER(K1999),K1999-L1999,"")</f>
        <v/>
      </c>
      <c r="N1999" s="55" t="str">
        <f>IF(ISNUMBER(K1999),SUMIFS(st_min,st_date,A1999,st_eq,B1999,st_po,C1999,st_type,"Non planifié"),"")</f>
        <v/>
      </c>
      <c r="O1999" s="55" t="str">
        <f>IF(ISNUMBER(K1999),M1999-N1999,"")</f>
        <v/>
      </c>
      <c r="P1999" s="55" t="str">
        <f>IF(COUNTA(A1999:I1999)=0,"",N(G1999)+N(H1999)+N(I1999))</f>
        <v/>
      </c>
      <c r="Q1999" s="56" t="str">
        <f>IF(COUNTA(A1999:I1999)=0,"",IF(N(IFERROR(INDEX(art_rate,MATCH(E1999,art_ref,0)),0))&gt;0,N(IFERROR(INDEX(art_rate,MATCH(E1999,art_ref,0)),0)),N(IFERROR(INDEX(po_rate,MATCH(C1999,po_code,0)),0))))</f>
        <v/>
      </c>
      <c r="R1999" s="55" t="str">
        <f>IF(AC1999=1,P1999*60/Q1999,"")</f>
        <v/>
      </c>
      <c r="S1999" s="55" t="str">
        <f>IF(AC1999=1,N(G1999)*60/Q1999,"")</f>
        <v/>
      </c>
      <c r="T1999" s="57" t="str">
        <f>IF(AC1999=1,O1999/M1999,"")</f>
        <v/>
      </c>
      <c r="U1999" s="57" t="str">
        <f>IF(AC1999=1,IF(O1999&gt;0,R1999/O1999,""),"")</f>
        <v/>
      </c>
      <c r="V1999" s="57" t="str">
        <f>IF(AC1999=1,IF(P1999&gt;0,N(G1999)/P1999,""),"")</f>
        <v/>
      </c>
      <c r="W1999" s="57" t="str">
        <f>IF(AC1999=1,S1999/M1999,"")</f>
        <v/>
      </c>
      <c r="X1999" s="57" t="str">
        <f>IF(AC1999=1,S1999/K1999,"")</f>
        <v/>
      </c>
      <c r="Y1999" s="58" t="str">
        <f>IF(W1999="","",IF(W1999&gt;=p_target,"Bon",IF(W1999&gt;=p_alert,"À surveiller","Faible")))</f>
        <v/>
      </c>
      <c r="Z1999" s="58" t="str">
        <f>IF(W1999="","",IF(MIN(IF(T1999="",1,T1999),IF(U1999="",1,U1999),IF(V1999="",1,V1999))&gt;=1,"Aucune",IF(IF(T1999="",1,T1999)&lt;=MIN(IF(U1999="",1,U1999),IF(V1999="",1,V1999)),"Disponibilité",IF(IF(U1999="",1,U1999)&lt;=IF(V1999="",1,V1999),"Performance","Qualité"))))</f>
        <v/>
      </c>
      <c r="AA1999" s="59" t="str">
        <f>IF(AC1999=1,N(H1999)*N(IFERROR(INDEX(art_cost,MATCH(E1999,art_ref,0)),0)),"")</f>
        <v/>
      </c>
      <c r="AB1999" s="58" t="str">
        <f>IF(COUNTA(A1999:I1999)=0,"",IF(N(A1999)&lt;=0,"Date manquante ou invalide",IF(B1999="","Équipe manquante",IF(ISNA(MATCH(B1999,eq_code,0)),"Équipe inconnue",IF(INDEX(eq_check,MATCH(B1999,eq_code,0))&lt;&gt;"OK","Équipe à corriger dans Paramètres",IF(C1999="","Poste manquant",IF(ISNA(MATCH(C1999,po_code,0)),"Poste inconnu",IF(AND(E1999&lt;&gt;"",ISNA(MATCH(E1999,art_ref,0))),"Article inconnu",IF(IF(E1999="",FALSE,INDEX(art_check,MATCH(E1999,art_ref,0))&lt;&gt;"OK"),"Article à corriger (feuille Articles)",IF(COUNTIFS(sj_date,A1999,sj_eq,B1999,sj_po,C1999)&gt;1,"Ligne en double (même jour, équipe et poste)",IF(OR(NOT(ISNUMBER(K1999)),N(K1999)&lt;=0,N(K1999)&gt;1440),"Temps d'ouverture invalide",IF(OR(AND(G1999&lt;&gt;"",NOT(ISNUMBER(G1999))),N(G1999)&lt;0,N(G1999)&lt;&gt;INT(N(G1999)),AND(H1999&lt;&gt;"",NOT(ISNUMBER(H1999))),N(H1999)&lt;0,N(H1999)&lt;&gt;INT(N(H1999)),AND(I1999&lt;&gt;"",NOT(ISNUMBER(I1999))),N(I1999)&lt;0,N(I1999)&lt;&gt;INT(N(I1999))),"Quantité invalide",IF(Q1999&lt;=0,"Cadence manquante (poste ou article)",IF(M1999&lt;=0,"Arrêts planifiés supérieurs au temps d'ouverture",IF(O1999&lt;0,"Arrêts supérieurs au temps requis",IF(AND(P1999&gt;0,O1999=0),"Pièces déclarées sans temps de marche",IF(AND(P1999=0,O1999&gt;0),"Aucune pièce déclarée",IF(P1999*60/Q1999&gt;O1999+0.001,"Cadence dépassée : vérifiez la cadence","OK"))))))))))))))))))</f>
        <v/>
      </c>
      <c r="AC1999">
        <f>IF(OR(AB1999="OK",AB1999="Aucune pièce déclarée",AB1999="Cadence dépassée : vérifiez la cadence"),1,0)</f>
        <v>0.0</v>
      </c>
      <c r="AD1999">
        <f>IF(AND(AC1999=1,A1999&gt;=p_from,A1999&lt;=p_to),1,0)</f>
        <v>0.0</v>
      </c>
      <c r="AE1999">
        <f>IF(AD1999=1,IF(COUNTIFS($A$6:A1999,A1999,$AD$6:AD1999,1)=1,1,0),0)</f>
        <v>0.0</v>
      </c>
      <c r="AF1999" t="str">
        <f>IF(AE1999=1,COUNTIFS(sj_first,1,sj_date,"&lt;"&amp;A1999)+1,"")</f>
        <v/>
      </c>
      <c r="AG1999" t="str">
        <f>IF(AND(AD1999=1,N(W1999)&lt;p_alert),ROUND(W1999,4),"")</f>
        <v/>
      </c>
      <c r="AH1999" t="str">
        <f>IF(AG1999="","",COUNTIF(sj_akey,"&lt;"&amp;AG1999)+COUNTIF($AG$6:AG1999,AG1999))</f>
        <v/>
      </c>
    </row>
    <row r="2000">
      <c r="A2000" s="51" t="n"/>
      <c r="B2000" s="52" t="n"/>
      <c r="C2000" s="52" t="n"/>
      <c r="D2000" s="53" t="n"/>
      <c r="E2000" s="53" t="n"/>
      <c r="F2000" s="54" t="n"/>
      <c r="G2000" s="54" t="n"/>
      <c r="H2000" s="54" t="n"/>
      <c r="I2000" s="54" t="n"/>
      <c r="J2000" s="53" t="n"/>
      <c r="K2000" s="55" t="str">
        <f>IF(COUNTA(A2000:I2000)=0,"",IF(F2000="",IFERROR(INDEX(eq_dur,MATCH(B2000,eq_code,0)),""),F2000))</f>
        <v/>
      </c>
      <c r="L2000" s="55" t="str">
        <f>IF(ISNUMBER(K2000),N(IFERROR(INDEX(eq_pause,MATCH(B2000,eq_code,0)),0))+SUMIFS(st_min,st_date,A2000,st_eq,B2000,st_po,C2000,st_type,"Planifié"),"")</f>
        <v/>
      </c>
      <c r="M2000" s="55" t="str">
        <f>IF(ISNUMBER(K2000),K2000-L2000,"")</f>
        <v/>
      </c>
      <c r="N2000" s="55" t="str">
        <f>IF(ISNUMBER(K2000),SUMIFS(st_min,st_date,A2000,st_eq,B2000,st_po,C2000,st_type,"Non planifié"),"")</f>
        <v/>
      </c>
      <c r="O2000" s="55" t="str">
        <f>IF(ISNUMBER(K2000),M2000-N2000,"")</f>
        <v/>
      </c>
      <c r="P2000" s="55" t="str">
        <f>IF(COUNTA(A2000:I2000)=0,"",N(G2000)+N(H2000)+N(I2000))</f>
        <v/>
      </c>
      <c r="Q2000" s="56" t="str">
        <f>IF(COUNTA(A2000:I2000)=0,"",IF(N(IFERROR(INDEX(art_rate,MATCH(E2000,art_ref,0)),0))&gt;0,N(IFERROR(INDEX(art_rate,MATCH(E2000,art_ref,0)),0)),N(IFERROR(INDEX(po_rate,MATCH(C2000,po_code,0)),0))))</f>
        <v/>
      </c>
      <c r="R2000" s="55" t="str">
        <f>IF(AC2000=1,P2000*60/Q2000,"")</f>
        <v/>
      </c>
      <c r="S2000" s="55" t="str">
        <f>IF(AC2000=1,N(G2000)*60/Q2000,"")</f>
        <v/>
      </c>
      <c r="T2000" s="57" t="str">
        <f>IF(AC2000=1,O2000/M2000,"")</f>
        <v/>
      </c>
      <c r="U2000" s="57" t="str">
        <f>IF(AC2000=1,IF(O2000&gt;0,R2000/O2000,""),"")</f>
        <v/>
      </c>
      <c r="V2000" s="57" t="str">
        <f>IF(AC2000=1,IF(P2000&gt;0,N(G2000)/P2000,""),"")</f>
        <v/>
      </c>
      <c r="W2000" s="57" t="str">
        <f>IF(AC2000=1,S2000/M2000,"")</f>
        <v/>
      </c>
      <c r="X2000" s="57" t="str">
        <f>IF(AC2000=1,S2000/K2000,"")</f>
        <v/>
      </c>
      <c r="Y2000" s="58" t="str">
        <f>IF(W2000="","",IF(W2000&gt;=p_target,"Bon",IF(W2000&gt;=p_alert,"À surveiller","Faible")))</f>
        <v/>
      </c>
      <c r="Z2000" s="58" t="str">
        <f>IF(W2000="","",IF(MIN(IF(T2000="",1,T2000),IF(U2000="",1,U2000),IF(V2000="",1,V2000))&gt;=1,"Aucune",IF(IF(T2000="",1,T2000)&lt;=MIN(IF(U2000="",1,U2000),IF(V2000="",1,V2000)),"Disponibilité",IF(IF(U2000="",1,U2000)&lt;=IF(V2000="",1,V2000),"Performance","Qualité"))))</f>
        <v/>
      </c>
      <c r="AA2000" s="59" t="str">
        <f>IF(AC2000=1,N(H2000)*N(IFERROR(INDEX(art_cost,MATCH(E2000,art_ref,0)),0)),"")</f>
        <v/>
      </c>
      <c r="AB2000" s="58" t="str">
        <f>IF(COUNTA(A2000:I2000)=0,"",IF(N(A2000)&lt;=0,"Date manquante ou invalide",IF(B2000="","Équipe manquante",IF(ISNA(MATCH(B2000,eq_code,0)),"Équipe inconnue",IF(INDEX(eq_check,MATCH(B2000,eq_code,0))&lt;&gt;"OK","Équipe à corriger dans Paramètres",IF(C2000="","Poste manquant",IF(ISNA(MATCH(C2000,po_code,0)),"Poste inconnu",IF(AND(E2000&lt;&gt;"",ISNA(MATCH(E2000,art_ref,0))),"Article inconnu",IF(IF(E2000="",FALSE,INDEX(art_check,MATCH(E2000,art_ref,0))&lt;&gt;"OK"),"Article à corriger (feuille Articles)",IF(COUNTIFS(sj_date,A2000,sj_eq,B2000,sj_po,C2000)&gt;1,"Ligne en double (même jour, équipe et poste)",IF(OR(NOT(ISNUMBER(K2000)),N(K2000)&lt;=0,N(K2000)&gt;1440),"Temps d'ouverture invalide",IF(OR(AND(G2000&lt;&gt;"",NOT(ISNUMBER(G2000))),N(G2000)&lt;0,N(G2000)&lt;&gt;INT(N(G2000)),AND(H2000&lt;&gt;"",NOT(ISNUMBER(H2000))),N(H2000)&lt;0,N(H2000)&lt;&gt;INT(N(H2000)),AND(I2000&lt;&gt;"",NOT(ISNUMBER(I2000))),N(I2000)&lt;0,N(I2000)&lt;&gt;INT(N(I2000))),"Quantité invalide",IF(Q2000&lt;=0,"Cadence manquante (poste ou article)",IF(M2000&lt;=0,"Arrêts planifiés supérieurs au temps d'ouverture",IF(O2000&lt;0,"Arrêts supérieurs au temps requis",IF(AND(P2000&gt;0,O2000=0),"Pièces déclarées sans temps de marche",IF(AND(P2000=0,O2000&gt;0),"Aucune pièce déclarée",IF(P2000*60/Q2000&gt;O2000+0.001,"Cadence dépassée : vérifiez la cadence","OK"))))))))))))))))))</f>
        <v/>
      </c>
      <c r="AC2000">
        <f>IF(OR(AB2000="OK",AB2000="Aucune pièce déclarée",AB2000="Cadence dépassée : vérifiez la cadence"),1,0)</f>
        <v>0.0</v>
      </c>
      <c r="AD2000">
        <f>IF(AND(AC2000=1,A2000&gt;=p_from,A2000&lt;=p_to),1,0)</f>
        <v>0.0</v>
      </c>
      <c r="AE2000">
        <f>IF(AD2000=1,IF(COUNTIFS($A$6:A2000,A2000,$AD$6:AD2000,1)=1,1,0),0)</f>
        <v>0.0</v>
      </c>
      <c r="AF2000" t="str">
        <f>IF(AE2000=1,COUNTIFS(sj_first,1,sj_date,"&lt;"&amp;A2000)+1,"")</f>
        <v/>
      </c>
      <c r="AG2000" t="str">
        <f>IF(AND(AD2000=1,N(W2000)&lt;p_alert),ROUND(W2000,4),"")</f>
        <v/>
      </c>
      <c r="AH2000" t="str">
        <f>IF(AG2000="","",COUNTIF(sj_akey,"&lt;"&amp;AG2000)+COUNTIF($AG$6:AG2000,AG2000))</f>
        <v/>
      </c>
    </row>
    <row r="2001">
      <c r="A2001" s="51" t="n"/>
      <c r="B2001" s="52" t="n"/>
      <c r="C2001" s="52" t="n"/>
      <c r="D2001" s="53" t="n"/>
      <c r="E2001" s="53" t="n"/>
      <c r="F2001" s="54" t="n"/>
      <c r="G2001" s="54" t="n"/>
      <c r="H2001" s="54" t="n"/>
      <c r="I2001" s="54" t="n"/>
      <c r="J2001" s="53" t="n"/>
      <c r="K2001" s="55" t="str">
        <f>IF(COUNTA(A2001:I2001)=0,"",IF(F2001="",IFERROR(INDEX(eq_dur,MATCH(B2001,eq_code,0)),""),F2001))</f>
        <v/>
      </c>
      <c r="L2001" s="55" t="str">
        <f>IF(ISNUMBER(K2001),N(IFERROR(INDEX(eq_pause,MATCH(B2001,eq_code,0)),0))+SUMIFS(st_min,st_date,A2001,st_eq,B2001,st_po,C2001,st_type,"Planifié"),"")</f>
        <v/>
      </c>
      <c r="M2001" s="55" t="str">
        <f>IF(ISNUMBER(K2001),K2001-L2001,"")</f>
        <v/>
      </c>
      <c r="N2001" s="55" t="str">
        <f>IF(ISNUMBER(K2001),SUMIFS(st_min,st_date,A2001,st_eq,B2001,st_po,C2001,st_type,"Non planifié"),"")</f>
        <v/>
      </c>
      <c r="O2001" s="55" t="str">
        <f>IF(ISNUMBER(K2001),M2001-N2001,"")</f>
        <v/>
      </c>
      <c r="P2001" s="55" t="str">
        <f>IF(COUNTA(A2001:I2001)=0,"",N(G2001)+N(H2001)+N(I2001))</f>
        <v/>
      </c>
      <c r="Q2001" s="56" t="str">
        <f>IF(COUNTA(A2001:I2001)=0,"",IF(N(IFERROR(INDEX(art_rate,MATCH(E2001,art_ref,0)),0))&gt;0,N(IFERROR(INDEX(art_rate,MATCH(E2001,art_ref,0)),0)),N(IFERROR(INDEX(po_rate,MATCH(C2001,po_code,0)),0))))</f>
        <v/>
      </c>
      <c r="R2001" s="55" t="str">
        <f>IF(AC2001=1,P2001*60/Q2001,"")</f>
        <v/>
      </c>
      <c r="S2001" s="55" t="str">
        <f>IF(AC2001=1,N(G2001)*60/Q2001,"")</f>
        <v/>
      </c>
      <c r="T2001" s="57" t="str">
        <f>IF(AC2001=1,O2001/M2001,"")</f>
        <v/>
      </c>
      <c r="U2001" s="57" t="str">
        <f>IF(AC2001=1,IF(O2001&gt;0,R2001/O2001,""),"")</f>
        <v/>
      </c>
      <c r="V2001" s="57" t="str">
        <f>IF(AC2001=1,IF(P2001&gt;0,N(G2001)/P2001,""),"")</f>
        <v/>
      </c>
      <c r="W2001" s="57" t="str">
        <f>IF(AC2001=1,S2001/M2001,"")</f>
        <v/>
      </c>
      <c r="X2001" s="57" t="str">
        <f>IF(AC2001=1,S2001/K2001,"")</f>
        <v/>
      </c>
      <c r="Y2001" s="58" t="str">
        <f>IF(W2001="","",IF(W2001&gt;=p_target,"Bon",IF(W2001&gt;=p_alert,"À surveiller","Faible")))</f>
        <v/>
      </c>
      <c r="Z2001" s="58" t="str">
        <f>IF(W2001="","",IF(MIN(IF(T2001="",1,T2001),IF(U2001="",1,U2001),IF(V2001="",1,V2001))&gt;=1,"Aucune",IF(IF(T2001="",1,T2001)&lt;=MIN(IF(U2001="",1,U2001),IF(V2001="",1,V2001)),"Disponibilité",IF(IF(U2001="",1,U2001)&lt;=IF(V2001="",1,V2001),"Performance","Qualité"))))</f>
        <v/>
      </c>
      <c r="AA2001" s="59" t="str">
        <f>IF(AC2001=1,N(H2001)*N(IFERROR(INDEX(art_cost,MATCH(E2001,art_ref,0)),0)),"")</f>
        <v/>
      </c>
      <c r="AB2001" s="58" t="str">
        <f>IF(COUNTA(A2001:I2001)=0,"",IF(N(A2001)&lt;=0,"Date manquante ou invalide",IF(B2001="","Équipe manquante",IF(ISNA(MATCH(B2001,eq_code,0)),"Équipe inconnue",IF(INDEX(eq_check,MATCH(B2001,eq_code,0))&lt;&gt;"OK","Équipe à corriger dans Paramètres",IF(C2001="","Poste manquant",IF(ISNA(MATCH(C2001,po_code,0)),"Poste inconnu",IF(AND(E2001&lt;&gt;"",ISNA(MATCH(E2001,art_ref,0))),"Article inconnu",IF(IF(E2001="",FALSE,INDEX(art_check,MATCH(E2001,art_ref,0))&lt;&gt;"OK"),"Article à corriger (feuille Articles)",IF(COUNTIFS(sj_date,A2001,sj_eq,B2001,sj_po,C2001)&gt;1,"Ligne en double (même jour, équipe et poste)",IF(OR(NOT(ISNUMBER(K2001)),N(K2001)&lt;=0,N(K2001)&gt;1440),"Temps d'ouverture invalide",IF(OR(AND(G2001&lt;&gt;"",NOT(ISNUMBER(G2001))),N(G2001)&lt;0,N(G2001)&lt;&gt;INT(N(G2001)),AND(H2001&lt;&gt;"",NOT(ISNUMBER(H2001))),N(H2001)&lt;0,N(H2001)&lt;&gt;INT(N(H2001)),AND(I2001&lt;&gt;"",NOT(ISNUMBER(I2001))),N(I2001)&lt;0,N(I2001)&lt;&gt;INT(N(I2001))),"Quantité invalide",IF(Q2001&lt;=0,"Cadence manquante (poste ou article)",IF(M2001&lt;=0,"Arrêts planifiés supérieurs au temps d'ouverture",IF(O2001&lt;0,"Arrêts supérieurs au temps requis",IF(AND(P2001&gt;0,O2001=0),"Pièces déclarées sans temps de marche",IF(AND(P2001=0,O2001&gt;0),"Aucune pièce déclarée",IF(P2001*60/Q2001&gt;O2001+0.001,"Cadence dépassée : vérifiez la cadence","OK"))))))))))))))))))</f>
        <v/>
      </c>
      <c r="AC2001">
        <f>IF(OR(AB2001="OK",AB2001="Aucune pièce déclarée",AB2001="Cadence dépassée : vérifiez la cadence"),1,0)</f>
        <v>0.0</v>
      </c>
      <c r="AD2001">
        <f>IF(AND(AC2001=1,A2001&gt;=p_from,A2001&lt;=p_to),1,0)</f>
        <v>0.0</v>
      </c>
      <c r="AE2001">
        <f>IF(AD2001=1,IF(COUNTIFS($A$6:A2001,A2001,$AD$6:AD2001,1)=1,1,0),0)</f>
        <v>0.0</v>
      </c>
      <c r="AF2001" t="str">
        <f>IF(AE2001=1,COUNTIFS(sj_first,1,sj_date,"&lt;"&amp;A2001)+1,"")</f>
        <v/>
      </c>
      <c r="AG2001" t="str">
        <f>IF(AND(AD2001=1,N(W2001)&lt;p_alert),ROUND(W2001,4),"")</f>
        <v/>
      </c>
      <c r="AH2001" t="str">
        <f>IF(AG2001="","",COUNTIF(sj_akey,"&lt;"&amp;AG2001)+COUNTIF($AG$6:AG2001,AG2001))</f>
        <v/>
      </c>
    </row>
    <row r="2002">
      <c r="A2002" s="51" t="n"/>
      <c r="B2002" s="52" t="n"/>
      <c r="C2002" s="52" t="n"/>
      <c r="D2002" s="53" t="n"/>
      <c r="E2002" s="53" t="n"/>
      <c r="F2002" s="54" t="n"/>
      <c r="G2002" s="54" t="n"/>
      <c r="H2002" s="54" t="n"/>
      <c r="I2002" s="54" t="n"/>
      <c r="J2002" s="53" t="n"/>
      <c r="K2002" s="55" t="str">
        <f>IF(COUNTA(A2002:I2002)=0,"",IF(F2002="",IFERROR(INDEX(eq_dur,MATCH(B2002,eq_code,0)),""),F2002))</f>
        <v/>
      </c>
      <c r="L2002" s="55" t="str">
        <f>IF(ISNUMBER(K2002),N(IFERROR(INDEX(eq_pause,MATCH(B2002,eq_code,0)),0))+SUMIFS(st_min,st_date,A2002,st_eq,B2002,st_po,C2002,st_type,"Planifié"),"")</f>
        <v/>
      </c>
      <c r="M2002" s="55" t="str">
        <f>IF(ISNUMBER(K2002),K2002-L2002,"")</f>
        <v/>
      </c>
      <c r="N2002" s="55" t="str">
        <f>IF(ISNUMBER(K2002),SUMIFS(st_min,st_date,A2002,st_eq,B2002,st_po,C2002,st_type,"Non planifié"),"")</f>
        <v/>
      </c>
      <c r="O2002" s="55" t="str">
        <f>IF(ISNUMBER(K2002),M2002-N2002,"")</f>
        <v/>
      </c>
      <c r="P2002" s="55" t="str">
        <f>IF(COUNTA(A2002:I2002)=0,"",N(G2002)+N(H2002)+N(I2002))</f>
        <v/>
      </c>
      <c r="Q2002" s="56" t="str">
        <f>IF(COUNTA(A2002:I2002)=0,"",IF(N(IFERROR(INDEX(art_rate,MATCH(E2002,art_ref,0)),0))&gt;0,N(IFERROR(INDEX(art_rate,MATCH(E2002,art_ref,0)),0)),N(IFERROR(INDEX(po_rate,MATCH(C2002,po_code,0)),0))))</f>
        <v/>
      </c>
      <c r="R2002" s="55" t="str">
        <f>IF(AC2002=1,P2002*60/Q2002,"")</f>
        <v/>
      </c>
      <c r="S2002" s="55" t="str">
        <f>IF(AC2002=1,N(G2002)*60/Q2002,"")</f>
        <v/>
      </c>
      <c r="T2002" s="57" t="str">
        <f>IF(AC2002=1,O2002/M2002,"")</f>
        <v/>
      </c>
      <c r="U2002" s="57" t="str">
        <f>IF(AC2002=1,IF(O2002&gt;0,R2002/O2002,""),"")</f>
        <v/>
      </c>
      <c r="V2002" s="57" t="str">
        <f>IF(AC2002=1,IF(P2002&gt;0,N(G2002)/P2002,""),"")</f>
        <v/>
      </c>
      <c r="W2002" s="57" t="str">
        <f>IF(AC2002=1,S2002/M2002,"")</f>
        <v/>
      </c>
      <c r="X2002" s="57" t="str">
        <f>IF(AC2002=1,S2002/K2002,"")</f>
        <v/>
      </c>
      <c r="Y2002" s="58" t="str">
        <f>IF(W2002="","",IF(W2002&gt;=p_target,"Bon",IF(W2002&gt;=p_alert,"À surveiller","Faible")))</f>
        <v/>
      </c>
      <c r="Z2002" s="58" t="str">
        <f>IF(W2002="","",IF(MIN(IF(T2002="",1,T2002),IF(U2002="",1,U2002),IF(V2002="",1,V2002))&gt;=1,"Aucune",IF(IF(T2002="",1,T2002)&lt;=MIN(IF(U2002="",1,U2002),IF(V2002="",1,V2002)),"Disponibilité",IF(IF(U2002="",1,U2002)&lt;=IF(V2002="",1,V2002),"Performance","Qualité"))))</f>
        <v/>
      </c>
      <c r="AA2002" s="59" t="str">
        <f>IF(AC2002=1,N(H2002)*N(IFERROR(INDEX(art_cost,MATCH(E2002,art_ref,0)),0)),"")</f>
        <v/>
      </c>
      <c r="AB2002" s="58" t="str">
        <f>IF(COUNTA(A2002:I2002)=0,"",IF(N(A2002)&lt;=0,"Date manquante ou invalide",IF(B2002="","Équipe manquante",IF(ISNA(MATCH(B2002,eq_code,0)),"Équipe inconnue",IF(INDEX(eq_check,MATCH(B2002,eq_code,0))&lt;&gt;"OK","Équipe à corriger dans Paramètres",IF(C2002="","Poste manquant",IF(ISNA(MATCH(C2002,po_code,0)),"Poste inconnu",IF(AND(E2002&lt;&gt;"",ISNA(MATCH(E2002,art_ref,0))),"Article inconnu",IF(IF(E2002="",FALSE,INDEX(art_check,MATCH(E2002,art_ref,0))&lt;&gt;"OK"),"Article à corriger (feuille Articles)",IF(COUNTIFS(sj_date,A2002,sj_eq,B2002,sj_po,C2002)&gt;1,"Ligne en double (même jour, équipe et poste)",IF(OR(NOT(ISNUMBER(K2002)),N(K2002)&lt;=0,N(K2002)&gt;1440),"Temps d'ouverture invalide",IF(OR(AND(G2002&lt;&gt;"",NOT(ISNUMBER(G2002))),N(G2002)&lt;0,N(G2002)&lt;&gt;INT(N(G2002)),AND(H2002&lt;&gt;"",NOT(ISNUMBER(H2002))),N(H2002)&lt;0,N(H2002)&lt;&gt;INT(N(H2002)),AND(I2002&lt;&gt;"",NOT(ISNUMBER(I2002))),N(I2002)&lt;0,N(I2002)&lt;&gt;INT(N(I2002))),"Quantité invalide",IF(Q2002&lt;=0,"Cadence manquante (poste ou article)",IF(M2002&lt;=0,"Arrêts planifiés supérieurs au temps d'ouverture",IF(O2002&lt;0,"Arrêts supérieurs au temps requis",IF(AND(P2002&gt;0,O2002=0),"Pièces déclarées sans temps de marche",IF(AND(P2002=0,O2002&gt;0),"Aucune pièce déclarée",IF(P2002*60/Q2002&gt;O2002+0.001,"Cadence dépassée : vérifiez la cadence","OK"))))))))))))))))))</f>
        <v/>
      </c>
      <c r="AC2002">
        <f>IF(OR(AB2002="OK",AB2002="Aucune pièce déclarée",AB2002="Cadence dépassée : vérifiez la cadence"),1,0)</f>
        <v>0.0</v>
      </c>
      <c r="AD2002">
        <f>IF(AND(AC2002=1,A2002&gt;=p_from,A2002&lt;=p_to),1,0)</f>
        <v>0.0</v>
      </c>
      <c r="AE2002">
        <f>IF(AD2002=1,IF(COUNTIFS($A$6:A2002,A2002,$AD$6:AD2002,1)=1,1,0),0)</f>
        <v>0.0</v>
      </c>
      <c r="AF2002" t="str">
        <f>IF(AE2002=1,COUNTIFS(sj_first,1,sj_date,"&lt;"&amp;A2002)+1,"")</f>
        <v/>
      </c>
      <c r="AG2002" t="str">
        <f>IF(AND(AD2002=1,N(W2002)&lt;p_alert),ROUND(W2002,4),"")</f>
        <v/>
      </c>
      <c r="AH2002" t="str">
        <f>IF(AG2002="","",COUNTIF(sj_akey,"&lt;"&amp;AG2002)+COUNTIF($AG$6:AG2002,AG2002))</f>
        <v/>
      </c>
    </row>
    <row r="2003">
      <c r="A2003" s="51" t="n"/>
      <c r="B2003" s="52" t="n"/>
      <c r="C2003" s="52" t="n"/>
      <c r="D2003" s="53" t="n"/>
      <c r="E2003" s="53" t="n"/>
      <c r="F2003" s="54" t="n"/>
      <c r="G2003" s="54" t="n"/>
      <c r="H2003" s="54" t="n"/>
      <c r="I2003" s="54" t="n"/>
      <c r="J2003" s="53" t="n"/>
      <c r="K2003" s="55" t="str">
        <f>IF(COUNTA(A2003:I2003)=0,"",IF(F2003="",IFERROR(INDEX(eq_dur,MATCH(B2003,eq_code,0)),""),F2003))</f>
        <v/>
      </c>
      <c r="L2003" s="55" t="str">
        <f>IF(ISNUMBER(K2003),N(IFERROR(INDEX(eq_pause,MATCH(B2003,eq_code,0)),0))+SUMIFS(st_min,st_date,A2003,st_eq,B2003,st_po,C2003,st_type,"Planifié"),"")</f>
        <v/>
      </c>
      <c r="M2003" s="55" t="str">
        <f>IF(ISNUMBER(K2003),K2003-L2003,"")</f>
        <v/>
      </c>
      <c r="N2003" s="55" t="str">
        <f>IF(ISNUMBER(K2003),SUMIFS(st_min,st_date,A2003,st_eq,B2003,st_po,C2003,st_type,"Non planifié"),"")</f>
        <v/>
      </c>
      <c r="O2003" s="55" t="str">
        <f>IF(ISNUMBER(K2003),M2003-N2003,"")</f>
        <v/>
      </c>
      <c r="P2003" s="55" t="str">
        <f>IF(COUNTA(A2003:I2003)=0,"",N(G2003)+N(H2003)+N(I2003))</f>
        <v/>
      </c>
      <c r="Q2003" s="56" t="str">
        <f>IF(COUNTA(A2003:I2003)=0,"",IF(N(IFERROR(INDEX(art_rate,MATCH(E2003,art_ref,0)),0))&gt;0,N(IFERROR(INDEX(art_rate,MATCH(E2003,art_ref,0)),0)),N(IFERROR(INDEX(po_rate,MATCH(C2003,po_code,0)),0))))</f>
        <v/>
      </c>
      <c r="R2003" s="55" t="str">
        <f>IF(AC2003=1,P2003*60/Q2003,"")</f>
        <v/>
      </c>
      <c r="S2003" s="55" t="str">
        <f>IF(AC2003=1,N(G2003)*60/Q2003,"")</f>
        <v/>
      </c>
      <c r="T2003" s="57" t="str">
        <f>IF(AC2003=1,O2003/M2003,"")</f>
        <v/>
      </c>
      <c r="U2003" s="57" t="str">
        <f>IF(AC2003=1,IF(O2003&gt;0,R2003/O2003,""),"")</f>
        <v/>
      </c>
      <c r="V2003" s="57" t="str">
        <f>IF(AC2003=1,IF(P2003&gt;0,N(G2003)/P2003,""),"")</f>
        <v/>
      </c>
      <c r="W2003" s="57" t="str">
        <f>IF(AC2003=1,S2003/M2003,"")</f>
        <v/>
      </c>
      <c r="X2003" s="57" t="str">
        <f>IF(AC2003=1,S2003/K2003,"")</f>
        <v/>
      </c>
      <c r="Y2003" s="58" t="str">
        <f>IF(W2003="","",IF(W2003&gt;=p_target,"Bon",IF(W2003&gt;=p_alert,"À surveiller","Faible")))</f>
        <v/>
      </c>
      <c r="Z2003" s="58" t="str">
        <f>IF(W2003="","",IF(MIN(IF(T2003="",1,T2003),IF(U2003="",1,U2003),IF(V2003="",1,V2003))&gt;=1,"Aucune",IF(IF(T2003="",1,T2003)&lt;=MIN(IF(U2003="",1,U2003),IF(V2003="",1,V2003)),"Disponibilité",IF(IF(U2003="",1,U2003)&lt;=IF(V2003="",1,V2003),"Performance","Qualité"))))</f>
        <v/>
      </c>
      <c r="AA2003" s="59" t="str">
        <f>IF(AC2003=1,N(H2003)*N(IFERROR(INDEX(art_cost,MATCH(E2003,art_ref,0)),0)),"")</f>
        <v/>
      </c>
      <c r="AB2003" s="58" t="str">
        <f>IF(COUNTA(A2003:I2003)=0,"",IF(N(A2003)&lt;=0,"Date manquante ou invalide",IF(B2003="","Équipe manquante",IF(ISNA(MATCH(B2003,eq_code,0)),"Équipe inconnue",IF(INDEX(eq_check,MATCH(B2003,eq_code,0))&lt;&gt;"OK","Équipe à corriger dans Paramètres",IF(C2003="","Poste manquant",IF(ISNA(MATCH(C2003,po_code,0)),"Poste inconnu",IF(AND(E2003&lt;&gt;"",ISNA(MATCH(E2003,art_ref,0))),"Article inconnu",IF(IF(E2003="",FALSE,INDEX(art_check,MATCH(E2003,art_ref,0))&lt;&gt;"OK"),"Article à corriger (feuille Articles)",IF(COUNTIFS(sj_date,A2003,sj_eq,B2003,sj_po,C2003)&gt;1,"Ligne en double (même jour, équipe et poste)",IF(OR(NOT(ISNUMBER(K2003)),N(K2003)&lt;=0,N(K2003)&gt;1440),"Temps d'ouverture invalide",IF(OR(AND(G2003&lt;&gt;"",NOT(ISNUMBER(G2003))),N(G2003)&lt;0,N(G2003)&lt;&gt;INT(N(G2003)),AND(H2003&lt;&gt;"",NOT(ISNUMBER(H2003))),N(H2003)&lt;0,N(H2003)&lt;&gt;INT(N(H2003)),AND(I2003&lt;&gt;"",NOT(ISNUMBER(I2003))),N(I2003)&lt;0,N(I2003)&lt;&gt;INT(N(I2003))),"Quantité invalide",IF(Q2003&lt;=0,"Cadence manquante (poste ou article)",IF(M2003&lt;=0,"Arrêts planifiés supérieurs au temps d'ouverture",IF(O2003&lt;0,"Arrêts supérieurs au temps requis",IF(AND(P2003&gt;0,O2003=0),"Pièces déclarées sans temps de marche",IF(AND(P2003=0,O2003&gt;0),"Aucune pièce déclarée",IF(P2003*60/Q2003&gt;O2003+0.001,"Cadence dépassée : vérifiez la cadence","OK"))))))))))))))))))</f>
        <v/>
      </c>
      <c r="AC2003">
        <f>IF(OR(AB2003="OK",AB2003="Aucune pièce déclarée",AB2003="Cadence dépassée : vérifiez la cadence"),1,0)</f>
        <v>0.0</v>
      </c>
      <c r="AD2003">
        <f>IF(AND(AC2003=1,A2003&gt;=p_from,A2003&lt;=p_to),1,0)</f>
        <v>0.0</v>
      </c>
      <c r="AE2003">
        <f>IF(AD2003=1,IF(COUNTIFS($A$6:A2003,A2003,$AD$6:AD2003,1)=1,1,0),0)</f>
        <v>0.0</v>
      </c>
      <c r="AF2003" t="str">
        <f>IF(AE2003=1,COUNTIFS(sj_first,1,sj_date,"&lt;"&amp;A2003)+1,"")</f>
        <v/>
      </c>
      <c r="AG2003" t="str">
        <f>IF(AND(AD2003=1,N(W2003)&lt;p_alert),ROUND(W2003,4),"")</f>
        <v/>
      </c>
      <c r="AH2003" t="str">
        <f>IF(AG2003="","",COUNTIF(sj_akey,"&lt;"&amp;AG2003)+COUNTIF($AG$6:AG2003,AG2003))</f>
        <v/>
      </c>
    </row>
    <row r="2004">
      <c r="A2004" s="51" t="n"/>
      <c r="B2004" s="52" t="n"/>
      <c r="C2004" s="52" t="n"/>
      <c r="D2004" s="53" t="n"/>
      <c r="E2004" s="53" t="n"/>
      <c r="F2004" s="54" t="n"/>
      <c r="G2004" s="54" t="n"/>
      <c r="H2004" s="54" t="n"/>
      <c r="I2004" s="54" t="n"/>
      <c r="J2004" s="53" t="n"/>
      <c r="K2004" s="55" t="str">
        <f>IF(COUNTA(A2004:I2004)=0,"",IF(F2004="",IFERROR(INDEX(eq_dur,MATCH(B2004,eq_code,0)),""),F2004))</f>
        <v/>
      </c>
      <c r="L2004" s="55" t="str">
        <f>IF(ISNUMBER(K2004),N(IFERROR(INDEX(eq_pause,MATCH(B2004,eq_code,0)),0))+SUMIFS(st_min,st_date,A2004,st_eq,B2004,st_po,C2004,st_type,"Planifié"),"")</f>
        <v/>
      </c>
      <c r="M2004" s="55" t="str">
        <f>IF(ISNUMBER(K2004),K2004-L2004,"")</f>
        <v/>
      </c>
      <c r="N2004" s="55" t="str">
        <f>IF(ISNUMBER(K2004),SUMIFS(st_min,st_date,A2004,st_eq,B2004,st_po,C2004,st_type,"Non planifié"),"")</f>
        <v/>
      </c>
      <c r="O2004" s="55" t="str">
        <f>IF(ISNUMBER(K2004),M2004-N2004,"")</f>
        <v/>
      </c>
      <c r="P2004" s="55" t="str">
        <f>IF(COUNTA(A2004:I2004)=0,"",N(G2004)+N(H2004)+N(I2004))</f>
        <v/>
      </c>
      <c r="Q2004" s="56" t="str">
        <f>IF(COUNTA(A2004:I2004)=0,"",IF(N(IFERROR(INDEX(art_rate,MATCH(E2004,art_ref,0)),0))&gt;0,N(IFERROR(INDEX(art_rate,MATCH(E2004,art_ref,0)),0)),N(IFERROR(INDEX(po_rate,MATCH(C2004,po_code,0)),0))))</f>
        <v/>
      </c>
      <c r="R2004" s="55" t="str">
        <f>IF(AC2004=1,P2004*60/Q2004,"")</f>
        <v/>
      </c>
      <c r="S2004" s="55" t="str">
        <f>IF(AC2004=1,N(G2004)*60/Q2004,"")</f>
        <v/>
      </c>
      <c r="T2004" s="57" t="str">
        <f>IF(AC2004=1,O2004/M2004,"")</f>
        <v/>
      </c>
      <c r="U2004" s="57" t="str">
        <f>IF(AC2004=1,IF(O2004&gt;0,R2004/O2004,""),"")</f>
        <v/>
      </c>
      <c r="V2004" s="57" t="str">
        <f>IF(AC2004=1,IF(P2004&gt;0,N(G2004)/P2004,""),"")</f>
        <v/>
      </c>
      <c r="W2004" s="57" t="str">
        <f>IF(AC2004=1,S2004/M2004,"")</f>
        <v/>
      </c>
      <c r="X2004" s="57" t="str">
        <f>IF(AC2004=1,S2004/K2004,"")</f>
        <v/>
      </c>
      <c r="Y2004" s="58" t="str">
        <f>IF(W2004="","",IF(W2004&gt;=p_target,"Bon",IF(W2004&gt;=p_alert,"À surveiller","Faible")))</f>
        <v/>
      </c>
      <c r="Z2004" s="58" t="str">
        <f>IF(W2004="","",IF(MIN(IF(T2004="",1,T2004),IF(U2004="",1,U2004),IF(V2004="",1,V2004))&gt;=1,"Aucune",IF(IF(T2004="",1,T2004)&lt;=MIN(IF(U2004="",1,U2004),IF(V2004="",1,V2004)),"Disponibilité",IF(IF(U2004="",1,U2004)&lt;=IF(V2004="",1,V2004),"Performance","Qualité"))))</f>
        <v/>
      </c>
      <c r="AA2004" s="59" t="str">
        <f>IF(AC2004=1,N(H2004)*N(IFERROR(INDEX(art_cost,MATCH(E2004,art_ref,0)),0)),"")</f>
        <v/>
      </c>
      <c r="AB2004" s="58" t="str">
        <f>IF(COUNTA(A2004:I2004)=0,"",IF(N(A2004)&lt;=0,"Date manquante ou invalide",IF(B2004="","Équipe manquante",IF(ISNA(MATCH(B2004,eq_code,0)),"Équipe inconnue",IF(INDEX(eq_check,MATCH(B2004,eq_code,0))&lt;&gt;"OK","Équipe à corriger dans Paramètres",IF(C2004="","Poste manquant",IF(ISNA(MATCH(C2004,po_code,0)),"Poste inconnu",IF(AND(E2004&lt;&gt;"",ISNA(MATCH(E2004,art_ref,0))),"Article inconnu",IF(IF(E2004="",FALSE,INDEX(art_check,MATCH(E2004,art_ref,0))&lt;&gt;"OK"),"Article à corriger (feuille Articles)",IF(COUNTIFS(sj_date,A2004,sj_eq,B2004,sj_po,C2004)&gt;1,"Ligne en double (même jour, équipe et poste)",IF(OR(NOT(ISNUMBER(K2004)),N(K2004)&lt;=0,N(K2004)&gt;1440),"Temps d'ouverture invalide",IF(OR(AND(G2004&lt;&gt;"",NOT(ISNUMBER(G2004))),N(G2004)&lt;0,N(G2004)&lt;&gt;INT(N(G2004)),AND(H2004&lt;&gt;"",NOT(ISNUMBER(H2004))),N(H2004)&lt;0,N(H2004)&lt;&gt;INT(N(H2004)),AND(I2004&lt;&gt;"",NOT(ISNUMBER(I2004))),N(I2004)&lt;0,N(I2004)&lt;&gt;INT(N(I2004))),"Quantité invalide",IF(Q2004&lt;=0,"Cadence manquante (poste ou article)",IF(M2004&lt;=0,"Arrêts planifiés supérieurs au temps d'ouverture",IF(O2004&lt;0,"Arrêts supérieurs au temps requis",IF(AND(P2004&gt;0,O2004=0),"Pièces déclarées sans temps de marche",IF(AND(P2004=0,O2004&gt;0),"Aucune pièce déclarée",IF(P2004*60/Q2004&gt;O2004+0.001,"Cadence dépassée : vérifiez la cadence","OK"))))))))))))))))))</f>
        <v/>
      </c>
      <c r="AC2004">
        <f>IF(OR(AB2004="OK",AB2004="Aucune pièce déclarée",AB2004="Cadence dépassée : vérifiez la cadence"),1,0)</f>
        <v>0.0</v>
      </c>
      <c r="AD2004">
        <f>IF(AND(AC2004=1,A2004&gt;=p_from,A2004&lt;=p_to),1,0)</f>
        <v>0.0</v>
      </c>
      <c r="AE2004">
        <f>IF(AD2004=1,IF(COUNTIFS($A$6:A2004,A2004,$AD$6:AD2004,1)=1,1,0),0)</f>
        <v>0.0</v>
      </c>
      <c r="AF2004" t="str">
        <f>IF(AE2004=1,COUNTIFS(sj_first,1,sj_date,"&lt;"&amp;A2004)+1,"")</f>
        <v/>
      </c>
      <c r="AG2004" t="str">
        <f>IF(AND(AD2004=1,N(W2004)&lt;p_alert),ROUND(W2004,4),"")</f>
        <v/>
      </c>
      <c r="AH2004" t="str">
        <f>IF(AG2004="","",COUNTIF(sj_akey,"&lt;"&amp;AG2004)+COUNTIF($AG$6:AG2004,AG2004))</f>
        <v/>
      </c>
    </row>
    <row r="2005">
      <c r="A2005" s="51" t="n"/>
      <c r="B2005" s="52" t="n"/>
      <c r="C2005" s="52" t="n"/>
      <c r="D2005" s="53" t="n"/>
      <c r="E2005" s="53" t="n"/>
      <c r="F2005" s="54" t="n"/>
      <c r="G2005" s="54" t="n"/>
      <c r="H2005" s="54" t="n"/>
      <c r="I2005" s="54" t="n"/>
      <c r="J2005" s="53" t="n"/>
      <c r="K2005" s="55" t="str">
        <f>IF(COUNTA(A2005:I2005)=0,"",IF(F2005="",IFERROR(INDEX(eq_dur,MATCH(B2005,eq_code,0)),""),F2005))</f>
        <v/>
      </c>
      <c r="L2005" s="55" t="str">
        <f>IF(ISNUMBER(K2005),N(IFERROR(INDEX(eq_pause,MATCH(B2005,eq_code,0)),0))+SUMIFS(st_min,st_date,A2005,st_eq,B2005,st_po,C2005,st_type,"Planifié"),"")</f>
        <v/>
      </c>
      <c r="M2005" s="55" t="str">
        <f>IF(ISNUMBER(K2005),K2005-L2005,"")</f>
        <v/>
      </c>
      <c r="N2005" s="55" t="str">
        <f>IF(ISNUMBER(K2005),SUMIFS(st_min,st_date,A2005,st_eq,B2005,st_po,C2005,st_type,"Non planifié"),"")</f>
        <v/>
      </c>
      <c r="O2005" s="55" t="str">
        <f>IF(ISNUMBER(K2005),M2005-N2005,"")</f>
        <v/>
      </c>
      <c r="P2005" s="55" t="str">
        <f>IF(COUNTA(A2005:I2005)=0,"",N(G2005)+N(H2005)+N(I2005))</f>
        <v/>
      </c>
      <c r="Q2005" s="56" t="str">
        <f>IF(COUNTA(A2005:I2005)=0,"",IF(N(IFERROR(INDEX(art_rate,MATCH(E2005,art_ref,0)),0))&gt;0,N(IFERROR(INDEX(art_rate,MATCH(E2005,art_ref,0)),0)),N(IFERROR(INDEX(po_rate,MATCH(C2005,po_code,0)),0))))</f>
        <v/>
      </c>
      <c r="R2005" s="55" t="str">
        <f>IF(AC2005=1,P2005*60/Q2005,"")</f>
        <v/>
      </c>
      <c r="S2005" s="55" t="str">
        <f>IF(AC2005=1,N(G2005)*60/Q2005,"")</f>
        <v/>
      </c>
      <c r="T2005" s="57" t="str">
        <f>IF(AC2005=1,O2005/M2005,"")</f>
        <v/>
      </c>
      <c r="U2005" s="57" t="str">
        <f>IF(AC2005=1,IF(O2005&gt;0,R2005/O2005,""),"")</f>
        <v/>
      </c>
      <c r="V2005" s="57" t="str">
        <f>IF(AC2005=1,IF(P2005&gt;0,N(G2005)/P2005,""),"")</f>
        <v/>
      </c>
      <c r="W2005" s="57" t="str">
        <f>IF(AC2005=1,S2005/M2005,"")</f>
        <v/>
      </c>
      <c r="X2005" s="57" t="str">
        <f>IF(AC2005=1,S2005/K2005,"")</f>
        <v/>
      </c>
      <c r="Y2005" s="58" t="str">
        <f>IF(W2005="","",IF(W2005&gt;=p_target,"Bon",IF(W2005&gt;=p_alert,"À surveiller","Faible")))</f>
        <v/>
      </c>
      <c r="Z2005" s="58" t="str">
        <f>IF(W2005="","",IF(MIN(IF(T2005="",1,T2005),IF(U2005="",1,U2005),IF(V2005="",1,V2005))&gt;=1,"Aucune",IF(IF(T2005="",1,T2005)&lt;=MIN(IF(U2005="",1,U2005),IF(V2005="",1,V2005)),"Disponibilité",IF(IF(U2005="",1,U2005)&lt;=IF(V2005="",1,V2005),"Performance","Qualité"))))</f>
        <v/>
      </c>
      <c r="AA2005" s="59" t="str">
        <f>IF(AC2005=1,N(H2005)*N(IFERROR(INDEX(art_cost,MATCH(E2005,art_ref,0)),0)),"")</f>
        <v/>
      </c>
      <c r="AB2005" s="58" t="str">
        <f>IF(COUNTA(A2005:I2005)=0,"",IF(N(A2005)&lt;=0,"Date manquante ou invalide",IF(B2005="","Équipe manquante",IF(ISNA(MATCH(B2005,eq_code,0)),"Équipe inconnue",IF(INDEX(eq_check,MATCH(B2005,eq_code,0))&lt;&gt;"OK","Équipe à corriger dans Paramètres",IF(C2005="","Poste manquant",IF(ISNA(MATCH(C2005,po_code,0)),"Poste inconnu",IF(AND(E2005&lt;&gt;"",ISNA(MATCH(E2005,art_ref,0))),"Article inconnu",IF(IF(E2005="",FALSE,INDEX(art_check,MATCH(E2005,art_ref,0))&lt;&gt;"OK"),"Article à corriger (feuille Articles)",IF(COUNTIFS(sj_date,A2005,sj_eq,B2005,sj_po,C2005)&gt;1,"Ligne en double (même jour, équipe et poste)",IF(OR(NOT(ISNUMBER(K2005)),N(K2005)&lt;=0,N(K2005)&gt;1440),"Temps d'ouverture invalide",IF(OR(AND(G2005&lt;&gt;"",NOT(ISNUMBER(G2005))),N(G2005)&lt;0,N(G2005)&lt;&gt;INT(N(G2005)),AND(H2005&lt;&gt;"",NOT(ISNUMBER(H2005))),N(H2005)&lt;0,N(H2005)&lt;&gt;INT(N(H2005)),AND(I2005&lt;&gt;"",NOT(ISNUMBER(I2005))),N(I2005)&lt;0,N(I2005)&lt;&gt;INT(N(I2005))),"Quantité invalide",IF(Q2005&lt;=0,"Cadence manquante (poste ou article)",IF(M2005&lt;=0,"Arrêts planifiés supérieurs au temps d'ouverture",IF(O2005&lt;0,"Arrêts supérieurs au temps requis",IF(AND(P2005&gt;0,O2005=0),"Pièces déclarées sans temps de marche",IF(AND(P2005=0,O2005&gt;0),"Aucune pièce déclarée",IF(P2005*60/Q2005&gt;O2005+0.001,"Cadence dépassée : vérifiez la cadence","OK"))))))))))))))))))</f>
        <v/>
      </c>
      <c r="AC2005">
        <f>IF(OR(AB2005="OK",AB2005="Aucune pièce déclarée",AB2005="Cadence dépassée : vérifiez la cadence"),1,0)</f>
        <v>0.0</v>
      </c>
      <c r="AD2005">
        <f>IF(AND(AC2005=1,A2005&gt;=p_from,A2005&lt;=p_to),1,0)</f>
        <v>0.0</v>
      </c>
      <c r="AE2005">
        <f>IF(AD2005=1,IF(COUNTIFS($A$6:A2005,A2005,$AD$6:AD2005,1)=1,1,0),0)</f>
        <v>0.0</v>
      </c>
      <c r="AF2005" t="str">
        <f>IF(AE2005=1,COUNTIFS(sj_first,1,sj_date,"&lt;"&amp;A2005)+1,"")</f>
        <v/>
      </c>
      <c r="AG2005" t="str">
        <f>IF(AND(AD2005=1,N(W2005)&lt;p_alert),ROUND(W2005,4),"")</f>
        <v/>
      </c>
      <c r="AH2005" t="str">
        <f>IF(AG2005="","",COUNTIF(sj_akey,"&lt;"&amp;AG2005)+COUNTIF($AG$6:AG2005,AG2005))</f>
        <v/>
      </c>
    </row>
  </sheetData>
  <autoFilter ref="A5:AB2005"/>
  <conditionalFormatting sqref="Y6:Y2005">
    <cfRule type="expression" priority="1" dxfId="3">
      <formula>$Y6="Bon"</formula>
    </cfRule>
    <cfRule type="expression" priority="2" dxfId="4">
      <formula>$Y6="À surveiller"</formula>
    </cfRule>
    <cfRule type="expression" priority="3" dxfId="5">
      <formula>$Y6="Faible"</formula>
    </cfRule>
  </conditionalFormatting>
  <conditionalFormatting sqref="W6:W2005">
    <cfRule type="expression" priority="4" dxfId="3">
      <formula>$Y6="Bon"</formula>
    </cfRule>
    <cfRule type="expression" priority="5" dxfId="4">
      <formula>$Y6="À surveiller"</formula>
    </cfRule>
    <cfRule type="expression" priority="6" dxfId="5">
      <formula>$Y6="Faible"</formula>
    </cfRule>
  </conditionalFormatting>
  <conditionalFormatting sqref="AB6:AB2005">
    <cfRule type="expression" priority="7" dxfId="9" stopIfTrue="1">
      <formula>$AB6="OK"</formula>
    </cfRule>
    <cfRule type="expression" priority="8" dxfId="4" stopIfTrue="1">
      <formula>$AB6="Aucune pièce déclarée"</formula>
    </cfRule>
    <cfRule type="expression" priority="9" dxfId="4" stopIfTrue="1">
      <formula>$AB6="Cadence dépassée : vérifiez la cadence"</formula>
    </cfRule>
    <cfRule type="expression" priority="10" dxfId="5">
      <formula>$AB6&lt;&gt;""</formula>
    </cfRule>
  </conditionalFormatting>
  <conditionalFormatting sqref="AA6:AA2005">
    <cfRule type="expression" priority="11" dxfId="10">
      <formula>p_currency="MAD"</formula>
    </cfRule>
    <cfRule type="expression" priority="12" dxfId="11">
      <formula>p_currency="EUR"</formula>
    </cfRule>
    <cfRule type="expression" priority="13" dxfId="12">
      <formula>p_currency="USD"</formula>
    </cfRule>
  </conditionalFormatting>
  <dataValidations count="8">
    <dataValidation sqref="A6:A2005" showDropDown="0" showInputMessage="1" showErrorMessage="1" allowBlank="1" errorTitle="Date" error="Date de la production (jj/mm/aaaa). Une équipe de nuit se saisit à la date de son début." promptTitle="Date" prompt="Date de la production (jj/mm/aaaa). Une équipe de nuit se saisit à la date de son début." type="date" operator="between">
      <formula1>36526</formula1>
      <formula2>73051</formula2>
    </dataValidation>
    <dataValidation sqref="B6:B2005" showDropDown="0" showInputMessage="1" showErrorMessage="1" allowBlank="1" errorTitle="Équipe" error="Choisissez l'équipe (liste dans Paramètres)." promptTitle="Équipe" prompt="Choisissez l'équipe (liste dans Paramètres)." type="list">
      <formula1>=eq_code</formula1>
    </dataValidation>
    <dataValidation sqref="C6:C2005" showDropDown="0" showInputMessage="1" showErrorMessage="1" allowBlank="1" errorTitle="Poste" error="Choisissez le poste (feuille Postes)." promptTitle="Poste" prompt="Choisissez le poste (feuille Postes)." type="list">
      <formula1>=po_code</formula1>
    </dataValidation>
    <dataValidation sqref="E6:E2005" showDropDown="0" showInputMessage="1" showErrorMessage="1" allowBlank="1" errorTitle="Article" error="Facultatif. L'article produit : sa cadence et son coût sont repris de la feuille Articles." promptTitle="Article" prompt="Facultatif. L'article produit : sa cadence et son coût sont repris de la feuille Articles." type="list">
      <formula1>=art_ref</formula1>
    </dataValidation>
    <dataValidation sqref="F6:F2005" showDropDown="0" showInputMessage="1" showErrorMessage="1" allowBlank="1" errorTitle="Temps d'ouverture" error="Facultatif, en minutes. Vide = durée de l'équipe. Saisissez 240 si le poste n'a ouvert que 4 heures." promptTitle="Temps d'ouverture" prompt="Facultatif, en minutes. Vide = durée de l'équipe. Saisissez 240 si le poste n'a ouvert que 4 heures." type="decimal" operator="between">
      <formula1>0</formula1>
      <formula2>1440</formula2>
    </dataValidation>
    <dataValidation sqref="G6:G2005" showDropDown="0" showInputMessage="1" showErrorMessage="1" allowBlank="1" errorTitle="Pièces bonnes" error="Pièces bonnes du premier coup, sans retouche. Nombre entier, 0 si aucune." promptTitle="Pièces bonnes" prompt="Pièces bonnes du premier coup, sans retouche. Nombre entier, 0 si aucune." type="whole" operator="greaterThanOrEqual">
      <formula1>0</formula1>
    </dataValidation>
    <dataValidation sqref="H6:H2005" showDropDown="0" showInputMessage="1" showErrorMessage="1" allowBlank="1" errorTitle="Rebuts" error="Pièces jetées ou déclassées sur cette équipe. Nombre entier, 0 si aucune." promptTitle="Rebuts" prompt="Pièces jetées ou déclassées sur cette équipe. Nombre entier, 0 si aucune." type="whole" operator="greaterThanOrEqual">
      <formula1>0</formula1>
    </dataValidation>
    <dataValidation sqref="I6:I2005" showDropDown="0" showInputMessage="1" showErrorMessage="1" allowBlank="1" errorTitle="Retouches" error="Pièces qu'il a fallu reprendre avant de les déclarer bonnes. Nombre entier, 0 si aucune." promptTitle="Retouches" prompt="Pièces qu'il a fallu reprendre avant de les déclarer bonnes. Nombre entier, 0 si aucune." type="whole" operator="greaterThanOrEqual">
      <formula1>0</formula1>
    </dataValidation>
  </dataValidations>
  <hyperlinks>
    <hyperlink ref="AB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0369A1"/>
    <outlinePr summaryBelow="1" summaryRight="1"/>
    <pageSetUpPr fitToPage="1"/>
  </sheetPr>
  <dimension ref="A1:L3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0" customWidth="1" min="3" max="3"/>
    <col width="34" customWidth="1" min="4" max="4"/>
    <col width="10" customWidth="1" min="5" max="5"/>
    <col width="30" customWidth="1" min="6" max="6"/>
    <col width="28" customWidth="1" min="7" max="7"/>
    <col width="13" customWidth="1" min="8" max="8"/>
    <col width="32" customWidth="1" min="9" max="9"/>
    <col hidden="1" width="13" customWidth="1" min="10" max="10"/>
    <col hidden="1" width="13" customWidth="1" min="11" max="11"/>
    <col hidden="1" width="13" customWidth="1" min="12" max="12"/>
  </cols>
  <sheetData>
    <row r="1" ht="38" customHeight="1">
      <c r="A1" s="2" t="inlineStr">
        <is>
          <t>Arrêts</t>
        </is>
      </c>
      <c r="B1" s="1" t="n"/>
      <c r="C1" s="1" t="n"/>
      <c r="D1" s="1" t="n"/>
      <c r="E1" s="1" t="n"/>
      <c r="F1" s="1" t="n"/>
      <c r="G1" s="1" t="n"/>
      <c r="H1" s="1" t="n"/>
      <c r="I1" s="18" t="inlineStr">
        <is>
          <t>⌂ Mode d'emploi</t>
        </is>
      </c>
    </row>
    <row r="2" ht="22" customHeight="1">
      <c r="A2" s="4" t="inlineStr">
        <is>
          <t>Une ligne par arrêt : date, équipe, poste, cause et durée en minutes. Les minutes s'ajoutent à la saisie du même jour, équipe et poste.</t>
        </is>
      </c>
      <c r="B2" s="3" t="n"/>
      <c r="C2" s="3" t="n"/>
      <c r="D2" s="3" t="n"/>
      <c r="E2" s="3" t="n"/>
      <c r="F2" s="3" t="n"/>
      <c r="G2" s="3" t="n"/>
      <c r="H2" s="3" t="n"/>
      <c r="I2" s="3" t="n"/>
    </row>
    <row r="3" ht="18" customHeight="1">
      <c r="G3" s="16" t="inlineStr">
        <is>
          <t>Saisie</t>
        </is>
      </c>
      <c r="H3" s="17" t="inlineStr">
        <is>
          <t>Calcul auto</t>
        </is>
      </c>
    </row>
    <row r="5" ht="34" customHeight="1">
      <c r="A5" s="38" t="inlineStr">
        <is>
          <t>Date</t>
        </is>
      </c>
      <c r="B5" s="38" t="inlineStr">
        <is>
          <t>Équipe</t>
        </is>
      </c>
      <c r="C5" s="38" t="inlineStr">
        <is>
          <t>Poste</t>
        </is>
      </c>
      <c r="D5" s="38" t="inlineStr">
        <is>
          <t>Cause</t>
        </is>
      </c>
      <c r="E5" s="38" t="inlineStr">
        <is>
          <t>Durée (min)</t>
        </is>
      </c>
      <c r="F5" s="38" t="inlineStr">
        <is>
          <t>Commentaire</t>
        </is>
      </c>
      <c r="G5" s="38" t="inlineStr">
        <is>
          <t>Famille</t>
        </is>
      </c>
      <c r="H5" s="38" t="inlineStr">
        <is>
          <t>Type</t>
        </is>
      </c>
      <c r="I5" s="38" t="inlineStr">
        <is>
          <t>Contrôle</t>
        </is>
      </c>
    </row>
    <row r="6">
      <c r="A6" s="51" t="n">
        <v>46286</v>
      </c>
      <c r="B6" s="52" t="inlineStr">
        <is>
          <t>Matin</t>
        </is>
      </c>
      <c r="C6" s="52" t="inlineStr">
        <is>
          <t>TOUR1</t>
        </is>
      </c>
      <c r="D6" s="53" t="inlineStr">
        <is>
          <t>Changement de série</t>
        </is>
      </c>
      <c r="E6" s="60" t="n">
        <v>43</v>
      </c>
      <c r="F6" s="53" t="n"/>
      <c r="G6" s="61" t="str">
        <f>IF(OR(COUNTA(A6:E6)=0,D6=""),"",IFERROR(INDEX(ca_fam,MATCH(D6,ca_name,0))&amp;"",""))</f>
        <v>Réglage et changement de série</v>
      </c>
      <c r="H6" s="58" t="str">
        <f>IF(OR(COUNTA(A6:E6)=0,D6=""),"",IFERROR(INDEX(ca_type,MATCH(D6,ca_name,0))&amp;"",""))</f>
        <v>Non planifié</v>
      </c>
      <c r="I6" s="58" t="str">
        <f>IF(COUNTA(A6:E6)=0,"",IF(N(A6)&lt;=0,"Date manquante ou invalide",IF(B6="","Équipe manquante",IF(ISNA(MATCH(B6,eq_code,0)),"Équipe inconnue",IF(C6="","Poste manquant",IF(ISNA(MATCH(C6,po_code,0)),"Poste inconnu",IF(D6="","Cause manquante",IF(ISNA(MATCH(D6,ca_name,0)),"Cause inconnue",IF(H6="","Cause à compléter dans Paramètres",IF(OR(NOT(ISNUMBER(E6)),N(E6)&lt;=0,N(E6)&gt;1440),"Durée invalide",IF(COUNTIFS(sj_date,A6,sj_eq,B6,sj_po,C6)=0,"Pas de saisie journalière ce jour-là","OK")))))))))))</f>
        <v>OK</v>
      </c>
      <c r="J6">
        <f>IF(OR(I6="OK",I6="Pas de saisie journalière ce jour-là"),E6,0)</f>
        <v>43.0</v>
      </c>
      <c r="K6">
        <f>IF(AND(J6&gt;0,A6&gt;=p_from,A6&lt;=p_to),1,0)</f>
        <v>1.0</v>
      </c>
      <c r="L6">
        <f>IF(AND(K6=1,OR(pa_po="",C6=pa_po),OR(pa_eq="",B6=pa_eq)),1,0)</f>
        <v>1.0</v>
      </c>
    </row>
    <row r="7">
      <c r="A7" s="51" t="n">
        <v>46286</v>
      </c>
      <c r="B7" s="52" t="inlineStr">
        <is>
          <t>Matin</t>
        </is>
      </c>
      <c r="C7" s="52" t="inlineStr">
        <is>
          <t>TOUR1</t>
        </is>
      </c>
      <c r="D7" s="53" t="inlineStr">
        <is>
          <t>Panne mécanique</t>
        </is>
      </c>
      <c r="E7" s="60" t="n">
        <v>71</v>
      </c>
      <c r="F7" s="53" t="n"/>
      <c r="G7" s="61" t="str">
        <f>IF(OR(COUNTA(A7:E7)=0,D7=""),"",IFERROR(INDEX(ca_fam,MATCH(D7,ca_name,0))&amp;"",""))</f>
        <v>Panne</v>
      </c>
      <c r="H7" s="58" t="str">
        <f>IF(OR(COUNTA(A7:E7)=0,D7=""),"",IFERROR(INDEX(ca_type,MATCH(D7,ca_name,0))&amp;"",""))</f>
        <v>Non planifié</v>
      </c>
      <c r="I7" s="58" t="str">
        <f>IF(COUNTA(A7:E7)=0,"",IF(N(A7)&lt;=0,"Date manquante ou invalide",IF(B7="","Équipe manquante",IF(ISNA(MATCH(B7,eq_code,0)),"Équipe inconnue",IF(C7="","Poste manquant",IF(ISNA(MATCH(C7,po_code,0)),"Poste inconnu",IF(D7="","Cause manquante",IF(ISNA(MATCH(D7,ca_name,0)),"Cause inconnue",IF(H7="","Cause à compléter dans Paramètres",IF(OR(NOT(ISNUMBER(E7)),N(E7)&lt;=0,N(E7)&gt;1440),"Durée invalide",IF(COUNTIFS(sj_date,A7,sj_eq,B7,sj_po,C7)=0,"Pas de saisie journalière ce jour-là","OK")))))))))))</f>
        <v>OK</v>
      </c>
      <c r="J7">
        <f>IF(OR(I7="OK",I7="Pas de saisie journalière ce jour-là"),E7,0)</f>
        <v>71.0</v>
      </c>
      <c r="K7">
        <f>IF(AND(J7&gt;0,A7&gt;=p_from,A7&lt;=p_to),1,0)</f>
        <v>1.0</v>
      </c>
      <c r="L7">
        <f>IF(AND(K7=1,OR(pa_po="",C7=pa_po),OR(pa_eq="",B7=pa_eq)),1,0)</f>
        <v>1.0</v>
      </c>
    </row>
    <row r="8">
      <c r="A8" s="51" t="n">
        <v>46286</v>
      </c>
      <c r="B8" s="52" t="inlineStr">
        <is>
          <t>Matin</t>
        </is>
      </c>
      <c r="C8" s="52" t="inlineStr">
        <is>
          <t>TOUR1</t>
        </is>
      </c>
      <c r="D8" s="53" t="inlineStr">
        <is>
          <t>Attente matière</t>
        </is>
      </c>
      <c r="E8" s="60" t="n">
        <v>49</v>
      </c>
      <c r="F8" s="53" t="n"/>
      <c r="G8" s="61" t="str">
        <f>IF(OR(COUNTA(A8:E8)=0,D8=""),"",IFERROR(INDEX(ca_fam,MATCH(D8,ca_name,0))&amp;"",""))</f>
        <v>Manque matière</v>
      </c>
      <c r="H8" s="58" t="str">
        <f>IF(OR(COUNTA(A8:E8)=0,D8=""),"",IFERROR(INDEX(ca_type,MATCH(D8,ca_name,0))&amp;"",""))</f>
        <v>Non planifié</v>
      </c>
      <c r="I8" s="58" t="str">
        <f>IF(COUNTA(A8:E8)=0,"",IF(N(A8)&lt;=0,"Date manquante ou invalide",IF(B8="","Équipe manquante",IF(ISNA(MATCH(B8,eq_code,0)),"Équipe inconnue",IF(C8="","Poste manquant",IF(ISNA(MATCH(C8,po_code,0)),"Poste inconnu",IF(D8="","Cause manquante",IF(ISNA(MATCH(D8,ca_name,0)),"Cause inconnue",IF(H8="","Cause à compléter dans Paramètres",IF(OR(NOT(ISNUMBER(E8)),N(E8)&lt;=0,N(E8)&gt;1440),"Durée invalide",IF(COUNTIFS(sj_date,A8,sj_eq,B8,sj_po,C8)=0,"Pas de saisie journalière ce jour-là","OK")))))))))))</f>
        <v>OK</v>
      </c>
      <c r="J8">
        <f>IF(OR(I8="OK",I8="Pas de saisie journalière ce jour-là"),E8,0)</f>
        <v>49.0</v>
      </c>
      <c r="K8">
        <f>IF(AND(J8&gt;0,A8&gt;=p_from,A8&lt;=p_to),1,0)</f>
        <v>1.0</v>
      </c>
      <c r="L8">
        <f>IF(AND(K8=1,OR(pa_po="",C8=pa_po),OR(pa_eq="",B8=pa_eq)),1,0)</f>
        <v>1.0</v>
      </c>
    </row>
    <row r="9">
      <c r="A9" s="51" t="n">
        <v>46286</v>
      </c>
      <c r="B9" s="52" t="inlineStr">
        <is>
          <t>Après-midi</t>
        </is>
      </c>
      <c r="C9" s="52" t="inlineStr">
        <is>
          <t>TOUR1</t>
        </is>
      </c>
      <c r="D9" s="53" t="inlineStr">
        <is>
          <t>Changement de série</t>
        </is>
      </c>
      <c r="E9" s="60" t="n">
        <v>44</v>
      </c>
      <c r="F9" s="53" t="n"/>
      <c r="G9" s="61" t="str">
        <f>IF(OR(COUNTA(A9:E9)=0,D9=""),"",IFERROR(INDEX(ca_fam,MATCH(D9,ca_name,0))&amp;"",""))</f>
        <v>Réglage et changement de série</v>
      </c>
      <c r="H9" s="58" t="str">
        <f>IF(OR(COUNTA(A9:E9)=0,D9=""),"",IFERROR(INDEX(ca_type,MATCH(D9,ca_name,0))&amp;"",""))</f>
        <v>Non planifié</v>
      </c>
      <c r="I9" s="58" t="str">
        <f>IF(COUNTA(A9:E9)=0,"",IF(N(A9)&lt;=0,"Date manquante ou invalide",IF(B9="","Équipe manquante",IF(ISNA(MATCH(B9,eq_code,0)),"Équipe inconnue",IF(C9="","Poste manquant",IF(ISNA(MATCH(C9,po_code,0)),"Poste inconnu",IF(D9="","Cause manquante",IF(ISNA(MATCH(D9,ca_name,0)),"Cause inconnue",IF(H9="","Cause à compléter dans Paramètres",IF(OR(NOT(ISNUMBER(E9)),N(E9)&lt;=0,N(E9)&gt;1440),"Durée invalide",IF(COUNTIFS(sj_date,A9,sj_eq,B9,sj_po,C9)=0,"Pas de saisie journalière ce jour-là","OK")))))))))))</f>
        <v>OK</v>
      </c>
      <c r="J9">
        <f>IF(OR(I9="OK",I9="Pas de saisie journalière ce jour-là"),E9,0)</f>
        <v>44.0</v>
      </c>
      <c r="K9">
        <f>IF(AND(J9&gt;0,A9&gt;=p_from,A9&lt;=p_to),1,0)</f>
        <v>1.0</v>
      </c>
      <c r="L9">
        <f>IF(AND(K9=1,OR(pa_po="",C9=pa_po),OR(pa_eq="",B9=pa_eq)),1,0)</f>
        <v>1.0</v>
      </c>
    </row>
    <row r="10">
      <c r="A10" s="51" t="n">
        <v>46286</v>
      </c>
      <c r="B10" s="52" t="inlineStr">
        <is>
          <t>Après-midi</t>
        </is>
      </c>
      <c r="C10" s="52" t="inlineStr">
        <is>
          <t>TOUR1</t>
        </is>
      </c>
      <c r="D10" s="53" t="inlineStr">
        <is>
          <t>Attente chariot élévateur</t>
        </is>
      </c>
      <c r="E10" s="60" t="n">
        <v>10</v>
      </c>
      <c r="F10" s="53" t="n"/>
      <c r="G10" s="61" t="str">
        <f>IF(OR(COUNTA(A10:E10)=0,D10=""),"",IFERROR(INDEX(ca_fam,MATCH(D10,ca_name,0))&amp;"",""))</f>
        <v>Organisation</v>
      </c>
      <c r="H10" s="58" t="str">
        <f>IF(OR(COUNTA(A10:E10)=0,D10=""),"",IFERROR(INDEX(ca_type,MATCH(D10,ca_name,0))&amp;"",""))</f>
        <v>Non planifié</v>
      </c>
      <c r="I10" s="58" t="str">
        <f>IF(COUNTA(A10:E10)=0,"",IF(N(A10)&lt;=0,"Date manquante ou invalide",IF(B10="","Équipe manquante",IF(ISNA(MATCH(B10,eq_code,0)),"Équipe inconnue",IF(C10="","Poste manquant",IF(ISNA(MATCH(C10,po_code,0)),"Poste inconnu",IF(D10="","Cause manquante",IF(ISNA(MATCH(D10,ca_name,0)),"Cause inconnue",IF(H10="","Cause à compléter dans Paramètres",IF(OR(NOT(ISNUMBER(E10)),N(E10)&lt;=0,N(E10)&gt;1440),"Durée invalide",IF(COUNTIFS(sj_date,A10,sj_eq,B10,sj_po,C10)=0,"Pas de saisie journalière ce jour-là","OK")))))))))))</f>
        <v>OK</v>
      </c>
      <c r="J10">
        <f>IF(OR(I10="OK",I10="Pas de saisie journalière ce jour-là"),E10,0)</f>
        <v>10.0</v>
      </c>
      <c r="K10">
        <f>IF(AND(J10&gt;0,A10&gt;=p_from,A10&lt;=p_to),1,0)</f>
        <v>1.0</v>
      </c>
      <c r="L10">
        <f>IF(AND(K10=1,OR(pa_po="",C10=pa_po),OR(pa_eq="",B10=pa_eq)),1,0)</f>
        <v>1.0</v>
      </c>
    </row>
    <row r="11">
      <c r="A11" s="51" t="n">
        <v>46286</v>
      </c>
      <c r="B11" s="52" t="inlineStr">
        <is>
          <t>Matin</t>
        </is>
      </c>
      <c r="C11" s="52" t="inlineStr">
        <is>
          <t>TOUR2</t>
        </is>
      </c>
      <c r="D11" s="53" t="inlineStr">
        <is>
          <t>Changement de série</t>
        </is>
      </c>
      <c r="E11" s="60" t="n">
        <v>63</v>
      </c>
      <c r="F11" s="53" t="n"/>
      <c r="G11" s="61" t="str">
        <f>IF(OR(COUNTA(A11:E11)=0,D11=""),"",IFERROR(INDEX(ca_fam,MATCH(D11,ca_name,0))&amp;"",""))</f>
        <v>Réglage et changement de série</v>
      </c>
      <c r="H11" s="58" t="str">
        <f>IF(OR(COUNTA(A11:E11)=0,D11=""),"",IFERROR(INDEX(ca_type,MATCH(D11,ca_name,0))&amp;"",""))</f>
        <v>Non planifié</v>
      </c>
      <c r="I11" s="58" t="str">
        <f>IF(COUNTA(A11:E11)=0,"",IF(N(A11)&lt;=0,"Date manquante ou invalide",IF(B11="","Équipe manquante",IF(ISNA(MATCH(B11,eq_code,0)),"Équipe inconnue",IF(C11="","Poste manquant",IF(ISNA(MATCH(C11,po_code,0)),"Poste inconnu",IF(D11="","Cause manquante",IF(ISNA(MATCH(D11,ca_name,0)),"Cause inconnue",IF(H11="","Cause à compléter dans Paramètres",IF(OR(NOT(ISNUMBER(E11)),N(E11)&lt;=0,N(E11)&gt;1440),"Durée invalide",IF(COUNTIFS(sj_date,A11,sj_eq,B11,sj_po,C11)=0,"Pas de saisie journalière ce jour-là","OK")))))))))))</f>
        <v>OK</v>
      </c>
      <c r="J11">
        <f>IF(OR(I11="OK",I11="Pas de saisie journalière ce jour-là"),E11,0)</f>
        <v>63.0</v>
      </c>
      <c r="K11">
        <f>IF(AND(J11&gt;0,A11&gt;=p_from,A11&lt;=p_to),1,0)</f>
        <v>1.0</v>
      </c>
      <c r="L11">
        <f>IF(AND(K11=1,OR(pa_po="",C11=pa_po),OR(pa_eq="",B11=pa_eq)),1,0)</f>
        <v>1.0</v>
      </c>
    </row>
    <row r="12">
      <c r="A12" s="51" t="n">
        <v>46286</v>
      </c>
      <c r="B12" s="52" t="inlineStr">
        <is>
          <t>Après-midi</t>
        </is>
      </c>
      <c r="C12" s="52" t="inlineStr">
        <is>
          <t>TOUR2</t>
        </is>
      </c>
      <c r="D12" s="53" t="inlineStr">
        <is>
          <t>Changement de série</t>
        </is>
      </c>
      <c r="E12" s="60" t="n">
        <v>26</v>
      </c>
      <c r="F12" s="53" t="n"/>
      <c r="G12" s="61" t="str">
        <f>IF(OR(COUNTA(A12:E12)=0,D12=""),"",IFERROR(INDEX(ca_fam,MATCH(D12,ca_name,0))&amp;"",""))</f>
        <v>Réglage et changement de série</v>
      </c>
      <c r="H12" s="58" t="str">
        <f>IF(OR(COUNTA(A12:E12)=0,D12=""),"",IFERROR(INDEX(ca_type,MATCH(D12,ca_name,0))&amp;"",""))</f>
        <v>Non planifié</v>
      </c>
      <c r="I12" s="58" t="str">
        <f>IF(COUNTA(A12:E12)=0,"",IF(N(A12)&lt;=0,"Date manquante ou invalide",IF(B12="","Équipe manquante",IF(ISNA(MATCH(B12,eq_code,0)),"Équipe inconnue",IF(C12="","Poste manquant",IF(ISNA(MATCH(C12,po_code,0)),"Poste inconnu",IF(D12="","Cause manquante",IF(ISNA(MATCH(D12,ca_name,0)),"Cause inconnue",IF(H12="","Cause à compléter dans Paramètres",IF(OR(NOT(ISNUMBER(E12)),N(E12)&lt;=0,N(E12)&gt;1440),"Durée invalide",IF(COUNTIFS(sj_date,A12,sj_eq,B12,sj_po,C12)=0,"Pas de saisie journalière ce jour-là","OK")))))))))))</f>
        <v>OK</v>
      </c>
      <c r="J12">
        <f>IF(OR(I12="OK",I12="Pas de saisie journalière ce jour-là"),E12,0)</f>
        <v>26.0</v>
      </c>
      <c r="K12">
        <f>IF(AND(J12&gt;0,A12&gt;=p_from,A12&lt;=p_to),1,0)</f>
        <v>1.0</v>
      </c>
      <c r="L12">
        <f>IF(AND(K12=1,OR(pa_po="",C12=pa_po),OR(pa_eq="",B12=pa_eq)),1,0)</f>
        <v>1.0</v>
      </c>
    </row>
    <row r="13">
      <c r="A13" s="51" t="n">
        <v>46286</v>
      </c>
      <c r="B13" s="52" t="inlineStr">
        <is>
          <t>Après-midi</t>
        </is>
      </c>
      <c r="C13" s="52" t="inlineStr">
        <is>
          <t>TOUR2</t>
        </is>
      </c>
      <c r="D13" s="53" t="inlineStr">
        <is>
          <t>Changement de série</t>
        </is>
      </c>
      <c r="E13" s="60" t="n">
        <v>40</v>
      </c>
      <c r="F13" s="53" t="n"/>
      <c r="G13" s="61" t="str">
        <f>IF(OR(COUNTA(A13:E13)=0,D13=""),"",IFERROR(INDEX(ca_fam,MATCH(D13,ca_name,0))&amp;"",""))</f>
        <v>Réglage et changement de série</v>
      </c>
      <c r="H13" s="58" t="str">
        <f>IF(OR(COUNTA(A13:E13)=0,D13=""),"",IFERROR(INDEX(ca_type,MATCH(D13,ca_name,0))&amp;"",""))</f>
        <v>Non planifié</v>
      </c>
      <c r="I13" s="58" t="str">
        <f>IF(COUNTA(A13:E13)=0,"",IF(N(A13)&lt;=0,"Date manquante ou invalide",IF(B13="","Équipe manquante",IF(ISNA(MATCH(B13,eq_code,0)),"Équipe inconnue",IF(C13="","Poste manquant",IF(ISNA(MATCH(C13,po_code,0)),"Poste inconnu",IF(D13="","Cause manquante",IF(ISNA(MATCH(D13,ca_name,0)),"Cause inconnue",IF(H13="","Cause à compléter dans Paramètres",IF(OR(NOT(ISNUMBER(E13)),N(E13)&lt;=0,N(E13)&gt;1440),"Durée invalide",IF(COUNTIFS(sj_date,A13,sj_eq,B13,sj_po,C13)=0,"Pas de saisie journalière ce jour-là","OK")))))))))))</f>
        <v>OK</v>
      </c>
      <c r="J13">
        <f>IF(OR(I13="OK",I13="Pas de saisie journalière ce jour-là"),E13,0)</f>
        <v>40.0</v>
      </c>
      <c r="K13">
        <f>IF(AND(J13&gt;0,A13&gt;=p_from,A13&lt;=p_to),1,0)</f>
        <v>1.0</v>
      </c>
      <c r="L13">
        <f>IF(AND(K13=1,OR(pa_po="",C13=pa_po),OR(pa_eq="",B13=pa_eq)),1,0)</f>
        <v>1.0</v>
      </c>
    </row>
    <row r="14">
      <c r="A14" s="51" t="n">
        <v>46286</v>
      </c>
      <c r="B14" s="52" t="inlineStr">
        <is>
          <t>Après-midi</t>
        </is>
      </c>
      <c r="C14" s="52" t="inlineStr">
        <is>
          <t>TOUR2</t>
        </is>
      </c>
      <c r="D14" s="53" t="inlineStr">
        <is>
          <t>Changement d'outil</t>
        </is>
      </c>
      <c r="E14" s="60" t="n">
        <v>13</v>
      </c>
      <c r="F14" s="53" t="n"/>
      <c r="G14" s="61" t="str">
        <f>IF(OR(COUNTA(A14:E14)=0,D14=""),"",IFERROR(INDEX(ca_fam,MATCH(D14,ca_name,0))&amp;"",""))</f>
        <v>Réglage et changement de série</v>
      </c>
      <c r="H14" s="58" t="str">
        <f>IF(OR(COUNTA(A14:E14)=0,D14=""),"",IFERROR(INDEX(ca_type,MATCH(D14,ca_name,0))&amp;"",""))</f>
        <v>Non planifié</v>
      </c>
      <c r="I14" s="58" t="str">
        <f>IF(COUNTA(A14:E14)=0,"",IF(N(A14)&lt;=0,"Date manquante ou invalide",IF(B14="","Équipe manquante",IF(ISNA(MATCH(B14,eq_code,0)),"Équipe inconnue",IF(C14="","Poste manquant",IF(ISNA(MATCH(C14,po_code,0)),"Poste inconnu",IF(D14="","Cause manquante",IF(ISNA(MATCH(D14,ca_name,0)),"Cause inconnue",IF(H14="","Cause à compléter dans Paramètres",IF(OR(NOT(ISNUMBER(E14)),N(E14)&lt;=0,N(E14)&gt;1440),"Durée invalide",IF(COUNTIFS(sj_date,A14,sj_eq,B14,sj_po,C14)=0,"Pas de saisie journalière ce jour-là","OK")))))))))))</f>
        <v>OK</v>
      </c>
      <c r="J14">
        <f>IF(OR(I14="OK",I14="Pas de saisie journalière ce jour-là"),E14,0)</f>
        <v>13.0</v>
      </c>
      <c r="K14">
        <f>IF(AND(J14&gt;0,A14&gt;=p_from,A14&lt;=p_to),1,0)</f>
        <v>1.0</v>
      </c>
      <c r="L14">
        <f>IF(AND(K14=1,OR(pa_po="",C14=pa_po),OR(pa_eq="",B14=pa_eq)),1,0)</f>
        <v>1.0</v>
      </c>
    </row>
    <row r="15">
      <c r="A15" s="51" t="n">
        <v>46286</v>
      </c>
      <c r="B15" s="52" t="inlineStr">
        <is>
          <t>Matin</t>
        </is>
      </c>
      <c r="C15" s="52" t="inlineStr">
        <is>
          <t>USIN</t>
        </is>
      </c>
      <c r="D15" s="53" t="inlineStr">
        <is>
          <t>Maintenance préventive</t>
        </is>
      </c>
      <c r="E15" s="60" t="n">
        <v>60</v>
      </c>
      <c r="F15" s="53" t="n"/>
      <c r="G15" s="61" t="str">
        <f>IF(OR(COUNTA(A15:E15)=0,D15=""),"",IFERROR(INDEX(ca_fam,MATCH(D15,ca_name,0))&amp;"",""))</f>
        <v>Arrêt planifié</v>
      </c>
      <c r="H15" s="58" t="str">
        <f>IF(OR(COUNTA(A15:E15)=0,D15=""),"",IFERROR(INDEX(ca_type,MATCH(D15,ca_name,0))&amp;"",""))</f>
        <v>Planifié</v>
      </c>
      <c r="I15" s="58" t="str">
        <f>IF(COUNTA(A15:E15)=0,"",IF(N(A15)&lt;=0,"Date manquante ou invalide",IF(B15="","Équipe manquante",IF(ISNA(MATCH(B15,eq_code,0)),"Équipe inconnue",IF(C15="","Poste manquant",IF(ISNA(MATCH(C15,po_code,0)),"Poste inconnu",IF(D15="","Cause manquante",IF(ISNA(MATCH(D15,ca_name,0)),"Cause inconnue",IF(H15="","Cause à compléter dans Paramètres",IF(OR(NOT(ISNUMBER(E15)),N(E15)&lt;=0,N(E15)&gt;1440),"Durée invalide",IF(COUNTIFS(sj_date,A15,sj_eq,B15,sj_po,C15)=0,"Pas de saisie journalière ce jour-là","OK")))))))))))</f>
        <v>OK</v>
      </c>
      <c r="J15">
        <f>IF(OR(I15="OK",I15="Pas de saisie journalière ce jour-là"),E15,0)</f>
        <v>60.0</v>
      </c>
      <c r="K15">
        <f>IF(AND(J15&gt;0,A15&gt;=p_from,A15&lt;=p_to),1,0)</f>
        <v>1.0</v>
      </c>
      <c r="L15">
        <f>IF(AND(K15=1,OR(pa_po="",C15=pa_po),OR(pa_eq="",B15=pa_eq)),1,0)</f>
        <v>1.0</v>
      </c>
    </row>
    <row r="16">
      <c r="A16" s="51" t="n">
        <v>46286</v>
      </c>
      <c r="B16" s="52" t="inlineStr">
        <is>
          <t>Matin</t>
        </is>
      </c>
      <c r="C16" s="52" t="inlineStr">
        <is>
          <t>USIN</t>
        </is>
      </c>
      <c r="D16" s="53" t="inlineStr">
        <is>
          <t>Changement de série</t>
        </is>
      </c>
      <c r="E16" s="60" t="n">
        <v>29</v>
      </c>
      <c r="F16" s="53" t="n"/>
      <c r="G16" s="61" t="str">
        <f>IF(OR(COUNTA(A16:E16)=0,D16=""),"",IFERROR(INDEX(ca_fam,MATCH(D16,ca_name,0))&amp;"",""))</f>
        <v>Réglage et changement de série</v>
      </c>
      <c r="H16" s="58" t="str">
        <f>IF(OR(COUNTA(A16:E16)=0,D16=""),"",IFERROR(INDEX(ca_type,MATCH(D16,ca_name,0))&amp;"",""))</f>
        <v>Non planifié</v>
      </c>
      <c r="I16" s="58" t="str">
        <f>IF(COUNTA(A16:E16)=0,"",IF(N(A16)&lt;=0,"Date manquante ou invalide",IF(B16="","Équipe manquante",IF(ISNA(MATCH(B16,eq_code,0)),"Équipe inconnue",IF(C16="","Poste manquant",IF(ISNA(MATCH(C16,po_code,0)),"Poste inconnu",IF(D16="","Cause manquante",IF(ISNA(MATCH(D16,ca_name,0)),"Cause inconnue",IF(H16="","Cause à compléter dans Paramètres",IF(OR(NOT(ISNUMBER(E16)),N(E16)&lt;=0,N(E16)&gt;1440),"Durée invalide",IF(COUNTIFS(sj_date,A16,sj_eq,B16,sj_po,C16)=0,"Pas de saisie journalière ce jour-là","OK")))))))))))</f>
        <v>OK</v>
      </c>
      <c r="J16">
        <f>IF(OR(I16="OK",I16="Pas de saisie journalière ce jour-là"),E16,0)</f>
        <v>29.0</v>
      </c>
      <c r="K16">
        <f>IF(AND(J16&gt;0,A16&gt;=p_from,A16&lt;=p_to),1,0)</f>
        <v>1.0</v>
      </c>
      <c r="L16">
        <f>IF(AND(K16=1,OR(pa_po="",C16=pa_po),OR(pa_eq="",B16=pa_eq)),1,0)</f>
        <v>1.0</v>
      </c>
    </row>
    <row r="17">
      <c r="A17" s="51" t="n">
        <v>46286</v>
      </c>
      <c r="B17" s="52" t="inlineStr">
        <is>
          <t>Après-midi</t>
        </is>
      </c>
      <c r="C17" s="52" t="inlineStr">
        <is>
          <t>USIN</t>
        </is>
      </c>
      <c r="D17" s="53" t="inlineStr">
        <is>
          <t>Changement de série</t>
        </is>
      </c>
      <c r="E17" s="60" t="n">
        <v>54</v>
      </c>
      <c r="F17" s="53" t="n"/>
      <c r="G17" s="61" t="str">
        <f>IF(OR(COUNTA(A17:E17)=0,D17=""),"",IFERROR(INDEX(ca_fam,MATCH(D17,ca_name,0))&amp;"",""))</f>
        <v>Réglage et changement de série</v>
      </c>
      <c r="H17" s="58" t="str">
        <f>IF(OR(COUNTA(A17:E17)=0,D17=""),"",IFERROR(INDEX(ca_type,MATCH(D17,ca_name,0))&amp;"",""))</f>
        <v>Non planifié</v>
      </c>
      <c r="I17" s="58" t="str">
        <f>IF(COUNTA(A17:E17)=0,"",IF(N(A17)&lt;=0,"Date manquante ou invalide",IF(B17="","Équipe manquante",IF(ISNA(MATCH(B17,eq_code,0)),"Équipe inconnue",IF(C17="","Poste manquant",IF(ISNA(MATCH(C17,po_code,0)),"Poste inconnu",IF(D17="","Cause manquante",IF(ISNA(MATCH(D17,ca_name,0)),"Cause inconnue",IF(H17="","Cause à compléter dans Paramètres",IF(OR(NOT(ISNUMBER(E17)),N(E17)&lt;=0,N(E17)&gt;1440),"Durée invalide",IF(COUNTIFS(sj_date,A17,sj_eq,B17,sj_po,C17)=0,"Pas de saisie journalière ce jour-là","OK")))))))))))</f>
        <v>OK</v>
      </c>
      <c r="J17">
        <f>IF(OR(I17="OK",I17="Pas de saisie journalière ce jour-là"),E17,0)</f>
        <v>54.0</v>
      </c>
      <c r="K17">
        <f>IF(AND(J17&gt;0,A17&gt;=p_from,A17&lt;=p_to),1,0)</f>
        <v>1.0</v>
      </c>
      <c r="L17">
        <f>IF(AND(K17=1,OR(pa_po="",C17=pa_po),OR(pa_eq="",B17=pa_eq)),1,0)</f>
        <v>1.0</v>
      </c>
    </row>
    <row r="18">
      <c r="A18" s="51" t="n">
        <v>46286</v>
      </c>
      <c r="B18" s="52" t="inlineStr">
        <is>
          <t>Après-midi</t>
        </is>
      </c>
      <c r="C18" s="52" t="inlineStr">
        <is>
          <t>USIN</t>
        </is>
      </c>
      <c r="D18" s="53" t="inlineStr">
        <is>
          <t>Attente matière</t>
        </is>
      </c>
      <c r="E18" s="60" t="n">
        <v>38</v>
      </c>
      <c r="F18" s="53" t="n"/>
      <c r="G18" s="61" t="str">
        <f>IF(OR(COUNTA(A18:E18)=0,D18=""),"",IFERROR(INDEX(ca_fam,MATCH(D18,ca_name,0))&amp;"",""))</f>
        <v>Manque matière</v>
      </c>
      <c r="H18" s="58" t="str">
        <f>IF(OR(COUNTA(A18:E18)=0,D18=""),"",IFERROR(INDEX(ca_type,MATCH(D18,ca_name,0))&amp;"",""))</f>
        <v>Non planifié</v>
      </c>
      <c r="I18" s="58" t="str">
        <f>IF(COUNTA(A18:E18)=0,"",IF(N(A18)&lt;=0,"Date manquante ou invalide",IF(B18="","Équipe manquante",IF(ISNA(MATCH(B18,eq_code,0)),"Équipe inconnue",IF(C18="","Poste manquant",IF(ISNA(MATCH(C18,po_code,0)),"Poste inconnu",IF(D18="","Cause manquante",IF(ISNA(MATCH(D18,ca_name,0)),"Cause inconnue",IF(H18="","Cause à compléter dans Paramètres",IF(OR(NOT(ISNUMBER(E18)),N(E18)&lt;=0,N(E18)&gt;1440),"Durée invalide",IF(COUNTIFS(sj_date,A18,sj_eq,B18,sj_po,C18)=0,"Pas de saisie journalière ce jour-là","OK")))))))))))</f>
        <v>OK</v>
      </c>
      <c r="J18">
        <f>IF(OR(I18="OK",I18="Pas de saisie journalière ce jour-là"),E18,0)</f>
        <v>38.0</v>
      </c>
      <c r="K18">
        <f>IF(AND(J18&gt;0,A18&gt;=p_from,A18&lt;=p_to),1,0)</f>
        <v>1.0</v>
      </c>
      <c r="L18">
        <f>IF(AND(K18=1,OR(pa_po="",C18=pa_po),OR(pa_eq="",B18=pa_eq)),1,0)</f>
        <v>1.0</v>
      </c>
    </row>
    <row r="19">
      <c r="A19" s="51" t="n">
        <v>46286</v>
      </c>
      <c r="B19" s="52" t="inlineStr">
        <is>
          <t>Après-midi</t>
        </is>
      </c>
      <c r="C19" s="52" t="inlineStr">
        <is>
          <t>USIN</t>
        </is>
      </c>
      <c r="D19" s="53" t="inlineStr">
        <is>
          <t>Attente contrôle qualité</t>
        </is>
      </c>
      <c r="E19" s="60" t="n">
        <v>26</v>
      </c>
      <c r="F19" s="53" t="n"/>
      <c r="G19" s="61" t="str">
        <f>IF(OR(COUNTA(A19:E19)=0,D19=""),"",IFERROR(INDEX(ca_fam,MATCH(D19,ca_name,0))&amp;"",""))</f>
        <v>Qualité</v>
      </c>
      <c r="H19" s="58" t="str">
        <f>IF(OR(COUNTA(A19:E19)=0,D19=""),"",IFERROR(INDEX(ca_type,MATCH(D19,ca_name,0))&amp;"",""))</f>
        <v>Non planifié</v>
      </c>
      <c r="I19" s="58" t="str">
        <f>IF(COUNTA(A19:E19)=0,"",IF(N(A19)&lt;=0,"Date manquante ou invalide",IF(B19="","Équipe manquante",IF(ISNA(MATCH(B19,eq_code,0)),"Équipe inconnue",IF(C19="","Poste manquant",IF(ISNA(MATCH(C19,po_code,0)),"Poste inconnu",IF(D19="","Cause manquante",IF(ISNA(MATCH(D19,ca_name,0)),"Cause inconnue",IF(H19="","Cause à compléter dans Paramètres",IF(OR(NOT(ISNUMBER(E19)),N(E19)&lt;=0,N(E19)&gt;1440),"Durée invalide",IF(COUNTIFS(sj_date,A19,sj_eq,B19,sj_po,C19)=0,"Pas de saisie journalière ce jour-là","OK")))))))))))</f>
        <v>OK</v>
      </c>
      <c r="J19">
        <f>IF(OR(I19="OK",I19="Pas de saisie journalière ce jour-là"),E19,0)</f>
        <v>26.0</v>
      </c>
      <c r="K19">
        <f>IF(AND(J19&gt;0,A19&gt;=p_from,A19&lt;=p_to),1,0)</f>
        <v>1.0</v>
      </c>
      <c r="L19">
        <f>IF(AND(K19=1,OR(pa_po="",C19=pa_po),OR(pa_eq="",B19=pa_eq)),1,0)</f>
        <v>1.0</v>
      </c>
    </row>
    <row r="20">
      <c r="A20" s="51" t="n">
        <v>46286</v>
      </c>
      <c r="B20" s="52" t="inlineStr">
        <is>
          <t>Après-midi</t>
        </is>
      </c>
      <c r="C20" s="52" t="inlineStr">
        <is>
          <t>USIN</t>
        </is>
      </c>
      <c r="D20" s="53" t="inlineStr">
        <is>
          <t>Changement de série</t>
        </is>
      </c>
      <c r="E20" s="60" t="n">
        <v>27</v>
      </c>
      <c r="F20" s="53" t="n"/>
      <c r="G20" s="61" t="str">
        <f>IF(OR(COUNTA(A20:E20)=0,D20=""),"",IFERROR(INDEX(ca_fam,MATCH(D20,ca_name,0))&amp;"",""))</f>
        <v>Réglage et changement de série</v>
      </c>
      <c r="H20" s="58" t="str">
        <f>IF(OR(COUNTA(A20:E20)=0,D20=""),"",IFERROR(INDEX(ca_type,MATCH(D20,ca_name,0))&amp;"",""))</f>
        <v>Non planifié</v>
      </c>
      <c r="I20" s="58" t="str">
        <f>IF(COUNTA(A20:E20)=0,"",IF(N(A20)&lt;=0,"Date manquante ou invalide",IF(B20="","Équipe manquante",IF(ISNA(MATCH(B20,eq_code,0)),"Équipe inconnue",IF(C20="","Poste manquant",IF(ISNA(MATCH(C20,po_code,0)),"Poste inconnu",IF(D20="","Cause manquante",IF(ISNA(MATCH(D20,ca_name,0)),"Cause inconnue",IF(H20="","Cause à compléter dans Paramètres",IF(OR(NOT(ISNUMBER(E20)),N(E20)&lt;=0,N(E20)&gt;1440),"Durée invalide",IF(COUNTIFS(sj_date,A20,sj_eq,B20,sj_po,C20)=0,"Pas de saisie journalière ce jour-là","OK")))))))))))</f>
        <v>OK</v>
      </c>
      <c r="J20">
        <f>IF(OR(I20="OK",I20="Pas de saisie journalière ce jour-là"),E20,0)</f>
        <v>27.0</v>
      </c>
      <c r="K20">
        <f>IF(AND(J20&gt;0,A20&gt;=p_from,A20&lt;=p_to),1,0)</f>
        <v>1.0</v>
      </c>
      <c r="L20">
        <f>IF(AND(K20=1,OR(pa_po="",C20=pa_po),OR(pa_eq="",B20=pa_eq)),1,0)</f>
        <v>1.0</v>
      </c>
    </row>
    <row r="21">
      <c r="A21" s="51" t="n">
        <v>46286</v>
      </c>
      <c r="B21" s="52" t="inlineStr">
        <is>
          <t>Matin</t>
        </is>
      </c>
      <c r="C21" s="52" t="inlineStr">
        <is>
          <t>PRESSE</t>
        </is>
      </c>
      <c r="D21" s="53" t="inlineStr">
        <is>
          <t>Maintenance préventive</t>
        </is>
      </c>
      <c r="E21" s="60" t="n">
        <v>60</v>
      </c>
      <c r="F21" s="53" t="n"/>
      <c r="G21" s="61" t="str">
        <f>IF(OR(COUNTA(A21:E21)=0,D21=""),"",IFERROR(INDEX(ca_fam,MATCH(D21,ca_name,0))&amp;"",""))</f>
        <v>Arrêt planifié</v>
      </c>
      <c r="H21" s="58" t="str">
        <f>IF(OR(COUNTA(A21:E21)=0,D21=""),"",IFERROR(INDEX(ca_type,MATCH(D21,ca_name,0))&amp;"",""))</f>
        <v>Planifié</v>
      </c>
      <c r="I21" s="58" t="str">
        <f>IF(COUNTA(A21:E21)=0,"",IF(N(A21)&lt;=0,"Date manquante ou invalide",IF(B21="","Équipe manquante",IF(ISNA(MATCH(B21,eq_code,0)),"Équipe inconnue",IF(C21="","Poste manquant",IF(ISNA(MATCH(C21,po_code,0)),"Poste inconnu",IF(D21="","Cause manquante",IF(ISNA(MATCH(D21,ca_name,0)),"Cause inconnue",IF(H21="","Cause à compléter dans Paramètres",IF(OR(NOT(ISNUMBER(E21)),N(E21)&lt;=0,N(E21)&gt;1440),"Durée invalide",IF(COUNTIFS(sj_date,A21,sj_eq,B21,sj_po,C21)=0,"Pas de saisie journalière ce jour-là","OK")))))))))))</f>
        <v>OK</v>
      </c>
      <c r="J21">
        <f>IF(OR(I21="OK",I21="Pas de saisie journalière ce jour-là"),E21,0)</f>
        <v>60.0</v>
      </c>
      <c r="K21">
        <f>IF(AND(J21&gt;0,A21&gt;=p_from,A21&lt;=p_to),1,0)</f>
        <v>1.0</v>
      </c>
      <c r="L21">
        <f>IF(AND(K21=1,OR(pa_po="",C21=pa_po),OR(pa_eq="",B21=pa_eq)),1,0)</f>
        <v>1.0</v>
      </c>
    </row>
    <row r="22">
      <c r="A22" s="51" t="n">
        <v>46286</v>
      </c>
      <c r="B22" s="52" t="inlineStr">
        <is>
          <t>Matin</t>
        </is>
      </c>
      <c r="C22" s="52" t="inlineStr">
        <is>
          <t>PRESSE</t>
        </is>
      </c>
      <c r="D22" s="53" t="inlineStr">
        <is>
          <t>Changement de série</t>
        </is>
      </c>
      <c r="E22" s="60" t="n">
        <v>63</v>
      </c>
      <c r="F22" s="53" t="n"/>
      <c r="G22" s="61" t="str">
        <f>IF(OR(COUNTA(A22:E22)=0,D22=""),"",IFERROR(INDEX(ca_fam,MATCH(D22,ca_name,0))&amp;"",""))</f>
        <v>Réglage et changement de série</v>
      </c>
      <c r="H22" s="58" t="str">
        <f>IF(OR(COUNTA(A22:E22)=0,D22=""),"",IFERROR(INDEX(ca_type,MATCH(D22,ca_name,0))&amp;"",""))</f>
        <v>Non planifié</v>
      </c>
      <c r="I22" s="58" t="str">
        <f>IF(COUNTA(A22:E22)=0,"",IF(N(A22)&lt;=0,"Date manquante ou invalide",IF(B22="","Équipe manquante",IF(ISNA(MATCH(B22,eq_code,0)),"Équipe inconnue",IF(C22="","Poste manquant",IF(ISNA(MATCH(C22,po_code,0)),"Poste inconnu",IF(D22="","Cause manquante",IF(ISNA(MATCH(D22,ca_name,0)),"Cause inconnue",IF(H22="","Cause à compléter dans Paramètres",IF(OR(NOT(ISNUMBER(E22)),N(E22)&lt;=0,N(E22)&gt;1440),"Durée invalide",IF(COUNTIFS(sj_date,A22,sj_eq,B22,sj_po,C22)=0,"Pas de saisie journalière ce jour-là","OK")))))))))))</f>
        <v>OK</v>
      </c>
      <c r="J22">
        <f>IF(OR(I22="OK",I22="Pas de saisie journalière ce jour-là"),E22,0)</f>
        <v>63.0</v>
      </c>
      <c r="K22">
        <f>IF(AND(J22&gt;0,A22&gt;=p_from,A22&lt;=p_to),1,0)</f>
        <v>1.0</v>
      </c>
      <c r="L22">
        <f>IF(AND(K22=1,OR(pa_po="",C22=pa_po),OR(pa_eq="",B22=pa_eq)),1,0)</f>
        <v>1.0</v>
      </c>
    </row>
    <row r="23">
      <c r="A23" s="51" t="n">
        <v>46286</v>
      </c>
      <c r="B23" s="52" t="inlineStr">
        <is>
          <t>Journée</t>
        </is>
      </c>
      <c r="C23" s="52" t="inlineStr">
        <is>
          <t>PLIE</t>
        </is>
      </c>
      <c r="D23" s="53" t="inlineStr">
        <is>
          <t>Changement de série</t>
        </is>
      </c>
      <c r="E23" s="60" t="n">
        <v>49</v>
      </c>
      <c r="F23" s="53" t="n"/>
      <c r="G23" s="61" t="str">
        <f>IF(OR(COUNTA(A23:E23)=0,D23=""),"",IFERROR(INDEX(ca_fam,MATCH(D23,ca_name,0))&amp;"",""))</f>
        <v>Réglage et changement de série</v>
      </c>
      <c r="H23" s="58" t="str">
        <f>IF(OR(COUNTA(A23:E23)=0,D23=""),"",IFERROR(INDEX(ca_type,MATCH(D23,ca_name,0))&amp;"",""))</f>
        <v>Non planifié</v>
      </c>
      <c r="I23" s="58" t="str">
        <f>IF(COUNTA(A23:E23)=0,"",IF(N(A23)&lt;=0,"Date manquante ou invalide",IF(B23="","Équipe manquante",IF(ISNA(MATCH(B23,eq_code,0)),"Équipe inconnue",IF(C23="","Poste manquant",IF(ISNA(MATCH(C23,po_code,0)),"Poste inconnu",IF(D23="","Cause manquante",IF(ISNA(MATCH(D23,ca_name,0)),"Cause inconnue",IF(H23="","Cause à compléter dans Paramètres",IF(OR(NOT(ISNUMBER(E23)),N(E23)&lt;=0,N(E23)&gt;1440),"Durée invalide",IF(COUNTIFS(sj_date,A23,sj_eq,B23,sj_po,C23)=0,"Pas de saisie journalière ce jour-là","OK")))))))))))</f>
        <v>OK</v>
      </c>
      <c r="J23">
        <f>IF(OR(I23="OK",I23="Pas de saisie journalière ce jour-là"),E23,0)</f>
        <v>49.0</v>
      </c>
      <c r="K23">
        <f>IF(AND(J23&gt;0,A23&gt;=p_from,A23&lt;=p_to),1,0)</f>
        <v>1.0</v>
      </c>
      <c r="L23">
        <f>IF(AND(K23=1,OR(pa_po="",C23=pa_po),OR(pa_eq="",B23=pa_eq)),1,0)</f>
        <v>1.0</v>
      </c>
    </row>
    <row r="24">
      <c r="A24" s="51" t="n">
        <v>46286</v>
      </c>
      <c r="B24" s="52" t="inlineStr">
        <is>
          <t>Journée</t>
        </is>
      </c>
      <c r="C24" s="52" t="inlineStr">
        <is>
          <t>PLIE</t>
        </is>
      </c>
      <c r="D24" s="53" t="inlineStr">
        <is>
          <t>Opérateur sur un autre poste</t>
        </is>
      </c>
      <c r="E24" s="60" t="n">
        <v>44</v>
      </c>
      <c r="F24" s="53" t="n"/>
      <c r="G24" s="61" t="str">
        <f>IF(OR(COUNTA(A24:E24)=0,D24=""),"",IFERROR(INDEX(ca_fam,MATCH(D24,ca_name,0))&amp;"",""))</f>
        <v>Manque personnel</v>
      </c>
      <c r="H24" s="58" t="str">
        <f>IF(OR(COUNTA(A24:E24)=0,D24=""),"",IFERROR(INDEX(ca_type,MATCH(D24,ca_name,0))&amp;"",""))</f>
        <v>Non planifié</v>
      </c>
      <c r="I24" s="58" t="str">
        <f>IF(COUNTA(A24:E24)=0,"",IF(N(A24)&lt;=0,"Date manquante ou invalide",IF(B24="","Équipe manquante",IF(ISNA(MATCH(B24,eq_code,0)),"Équipe inconnue",IF(C24="","Poste manquant",IF(ISNA(MATCH(C24,po_code,0)),"Poste inconnu",IF(D24="","Cause manquante",IF(ISNA(MATCH(D24,ca_name,0)),"Cause inconnue",IF(H24="","Cause à compléter dans Paramètres",IF(OR(NOT(ISNUMBER(E24)),N(E24)&lt;=0,N(E24)&gt;1440),"Durée invalide",IF(COUNTIFS(sj_date,A24,sj_eq,B24,sj_po,C24)=0,"Pas de saisie journalière ce jour-là","OK")))))))))))</f>
        <v>OK</v>
      </c>
      <c r="J24">
        <f>IF(OR(I24="OK",I24="Pas de saisie journalière ce jour-là"),E24,0)</f>
        <v>44.0</v>
      </c>
      <c r="K24">
        <f>IF(AND(J24&gt;0,A24&gt;=p_from,A24&lt;=p_to),1,0)</f>
        <v>1.0</v>
      </c>
      <c r="L24">
        <f>IF(AND(K24=1,OR(pa_po="",C24=pa_po),OR(pa_eq="",B24=pa_eq)),1,0)</f>
        <v>1.0</v>
      </c>
    </row>
    <row r="25">
      <c r="A25" s="51" t="n">
        <v>46286</v>
      </c>
      <c r="B25" s="52" t="inlineStr">
        <is>
          <t>Journée</t>
        </is>
      </c>
      <c r="C25" s="52" t="inlineStr">
        <is>
          <t>PLIE</t>
        </is>
      </c>
      <c r="D25" s="53" t="inlineStr">
        <is>
          <t>Changement de série</t>
        </is>
      </c>
      <c r="E25" s="60" t="n">
        <v>30</v>
      </c>
      <c r="F25" s="53" t="n"/>
      <c r="G25" s="61" t="str">
        <f>IF(OR(COUNTA(A25:E25)=0,D25=""),"",IFERROR(INDEX(ca_fam,MATCH(D25,ca_name,0))&amp;"",""))</f>
        <v>Réglage et changement de série</v>
      </c>
      <c r="H25" s="58" t="str">
        <f>IF(OR(COUNTA(A25:E25)=0,D25=""),"",IFERROR(INDEX(ca_type,MATCH(D25,ca_name,0))&amp;"",""))</f>
        <v>Non planifié</v>
      </c>
      <c r="I25" s="58" t="str">
        <f>IF(COUNTA(A25:E25)=0,"",IF(N(A25)&lt;=0,"Date manquante ou invalide",IF(B25="","Équipe manquante",IF(ISNA(MATCH(B25,eq_code,0)),"Équipe inconnue",IF(C25="","Poste manquant",IF(ISNA(MATCH(C25,po_code,0)),"Poste inconnu",IF(D25="","Cause manquante",IF(ISNA(MATCH(D25,ca_name,0)),"Cause inconnue",IF(H25="","Cause à compléter dans Paramètres",IF(OR(NOT(ISNUMBER(E25)),N(E25)&lt;=0,N(E25)&gt;1440),"Durée invalide",IF(COUNTIFS(sj_date,A25,sj_eq,B25,sj_po,C25)=0,"Pas de saisie journalière ce jour-là","OK")))))))))))</f>
        <v>OK</v>
      </c>
      <c r="J25">
        <f>IF(OR(I25="OK",I25="Pas de saisie journalière ce jour-là"),E25,0)</f>
        <v>30.0</v>
      </c>
      <c r="K25">
        <f>IF(AND(J25&gt;0,A25&gt;=p_from,A25&lt;=p_to),1,0)</f>
        <v>1.0</v>
      </c>
      <c r="L25">
        <f>IF(AND(K25=1,OR(pa_po="",C25=pa_po),OR(pa_eq="",B25=pa_eq)),1,0)</f>
        <v>1.0</v>
      </c>
    </row>
    <row r="26">
      <c r="A26" s="51" t="n">
        <v>46286</v>
      </c>
      <c r="B26" s="52" t="inlineStr">
        <is>
          <t>Journée</t>
        </is>
      </c>
      <c r="C26" s="52" t="inlineStr">
        <is>
          <t>PLIE</t>
        </is>
      </c>
      <c r="D26" s="53" t="inlineStr">
        <is>
          <t>Changement de série</t>
        </is>
      </c>
      <c r="E26" s="60" t="n">
        <v>39</v>
      </c>
      <c r="F26" s="53" t="n"/>
      <c r="G26" s="61" t="str">
        <f>IF(OR(COUNTA(A26:E26)=0,D26=""),"",IFERROR(INDEX(ca_fam,MATCH(D26,ca_name,0))&amp;"",""))</f>
        <v>Réglage et changement de série</v>
      </c>
      <c r="H26" s="58" t="str">
        <f>IF(OR(COUNTA(A26:E26)=0,D26=""),"",IFERROR(INDEX(ca_type,MATCH(D26,ca_name,0))&amp;"",""))</f>
        <v>Non planifié</v>
      </c>
      <c r="I26" s="58" t="str">
        <f>IF(COUNTA(A26:E26)=0,"",IF(N(A26)&lt;=0,"Date manquante ou invalide",IF(B26="","Équipe manquante",IF(ISNA(MATCH(B26,eq_code,0)),"Équipe inconnue",IF(C26="","Poste manquant",IF(ISNA(MATCH(C26,po_code,0)),"Poste inconnu",IF(D26="","Cause manquante",IF(ISNA(MATCH(D26,ca_name,0)),"Cause inconnue",IF(H26="","Cause à compléter dans Paramètres",IF(OR(NOT(ISNUMBER(E26)),N(E26)&lt;=0,N(E26)&gt;1440),"Durée invalide",IF(COUNTIFS(sj_date,A26,sj_eq,B26,sj_po,C26)=0,"Pas de saisie journalière ce jour-là","OK")))))))))))</f>
        <v>OK</v>
      </c>
      <c r="J26">
        <f>IF(OR(I26="OK",I26="Pas de saisie journalière ce jour-là"),E26,0)</f>
        <v>39.0</v>
      </c>
      <c r="K26">
        <f>IF(AND(J26&gt;0,A26&gt;=p_from,A26&lt;=p_to),1,0)</f>
        <v>1.0</v>
      </c>
      <c r="L26">
        <f>IF(AND(K26=1,OR(pa_po="",C26=pa_po),OR(pa_eq="",B26=pa_eq)),1,0)</f>
        <v>1.0</v>
      </c>
    </row>
    <row r="27">
      <c r="A27" s="51" t="n">
        <v>46286</v>
      </c>
      <c r="B27" s="52" t="inlineStr">
        <is>
          <t>Matin</t>
        </is>
      </c>
      <c r="C27" s="52" t="inlineStr">
        <is>
          <t>SOUD</t>
        </is>
      </c>
      <c r="D27" s="53" t="inlineStr">
        <is>
          <t>Changement de série</t>
        </is>
      </c>
      <c r="E27" s="60" t="n">
        <v>48</v>
      </c>
      <c r="F27" s="53" t="n"/>
      <c r="G27" s="61" t="str">
        <f>IF(OR(COUNTA(A27:E27)=0,D27=""),"",IFERROR(INDEX(ca_fam,MATCH(D27,ca_name,0))&amp;"",""))</f>
        <v>Réglage et changement de série</v>
      </c>
      <c r="H27" s="58" t="str">
        <f>IF(OR(COUNTA(A27:E27)=0,D27=""),"",IFERROR(INDEX(ca_type,MATCH(D27,ca_name,0))&amp;"",""))</f>
        <v>Non planifié</v>
      </c>
      <c r="I27" s="58" t="str">
        <f>IF(COUNTA(A27:E27)=0,"",IF(N(A27)&lt;=0,"Date manquante ou invalide",IF(B27="","Équipe manquante",IF(ISNA(MATCH(B27,eq_code,0)),"Équipe inconnue",IF(C27="","Poste manquant",IF(ISNA(MATCH(C27,po_code,0)),"Poste inconnu",IF(D27="","Cause manquante",IF(ISNA(MATCH(D27,ca_name,0)),"Cause inconnue",IF(H27="","Cause à compléter dans Paramètres",IF(OR(NOT(ISNUMBER(E27)),N(E27)&lt;=0,N(E27)&gt;1440),"Durée invalide",IF(COUNTIFS(sj_date,A27,sj_eq,B27,sj_po,C27)=0,"Pas de saisie journalière ce jour-là","OK")))))))))))</f>
        <v>OK</v>
      </c>
      <c r="J27">
        <f>IF(OR(I27="OK",I27="Pas de saisie journalière ce jour-là"),E27,0)</f>
        <v>48.0</v>
      </c>
      <c r="K27">
        <f>IF(AND(J27&gt;0,A27&gt;=p_from,A27&lt;=p_to),1,0)</f>
        <v>1.0</v>
      </c>
      <c r="L27">
        <f>IF(AND(K27=1,OR(pa_po="",C27=pa_po),OR(pa_eq="",B27=pa_eq)),1,0)</f>
        <v>1.0</v>
      </c>
    </row>
    <row r="28">
      <c r="A28" s="51" t="n">
        <v>46286</v>
      </c>
      <c r="B28" s="52" t="inlineStr">
        <is>
          <t>Matin</t>
        </is>
      </c>
      <c r="C28" s="52" t="inlineStr">
        <is>
          <t>SOUD</t>
        </is>
      </c>
      <c r="D28" s="53" t="inlineStr">
        <is>
          <t>Attente pièces de l'opération précédente</t>
        </is>
      </c>
      <c r="E28" s="60" t="n">
        <v>40</v>
      </c>
      <c r="F28" s="53" t="n"/>
      <c r="G28" s="61" t="str">
        <f>IF(OR(COUNTA(A28:E28)=0,D28=""),"",IFERROR(INDEX(ca_fam,MATCH(D28,ca_name,0))&amp;"",""))</f>
        <v>Manque matière</v>
      </c>
      <c r="H28" s="58" t="str">
        <f>IF(OR(COUNTA(A28:E28)=0,D28=""),"",IFERROR(INDEX(ca_type,MATCH(D28,ca_name,0))&amp;"",""))</f>
        <v>Non planifié</v>
      </c>
      <c r="I28" s="58" t="str">
        <f>IF(COUNTA(A28:E28)=0,"",IF(N(A28)&lt;=0,"Date manquante ou invalide",IF(B28="","Équipe manquante",IF(ISNA(MATCH(B28,eq_code,0)),"Équipe inconnue",IF(C28="","Poste manquant",IF(ISNA(MATCH(C28,po_code,0)),"Poste inconnu",IF(D28="","Cause manquante",IF(ISNA(MATCH(D28,ca_name,0)),"Cause inconnue",IF(H28="","Cause à compléter dans Paramètres",IF(OR(NOT(ISNUMBER(E28)),N(E28)&lt;=0,N(E28)&gt;1440),"Durée invalide",IF(COUNTIFS(sj_date,A28,sj_eq,B28,sj_po,C28)=0,"Pas de saisie journalière ce jour-là","OK")))))))))))</f>
        <v>OK</v>
      </c>
      <c r="J28">
        <f>IF(OR(I28="OK",I28="Pas de saisie journalière ce jour-là"),E28,0)</f>
        <v>40.0</v>
      </c>
      <c r="K28">
        <f>IF(AND(J28&gt;0,A28&gt;=p_from,A28&lt;=p_to),1,0)</f>
        <v>1.0</v>
      </c>
      <c r="L28">
        <f>IF(AND(K28=1,OR(pa_po="",C28=pa_po),OR(pa_eq="",B28=pa_eq)),1,0)</f>
        <v>1.0</v>
      </c>
    </row>
    <row r="29">
      <c r="A29" s="51" t="n">
        <v>46286</v>
      </c>
      <c r="B29" s="52" t="inlineStr">
        <is>
          <t>Matin</t>
        </is>
      </c>
      <c r="C29" s="52" t="inlineStr">
        <is>
          <t>SOUD</t>
        </is>
      </c>
      <c r="D29" s="53" t="inlineStr">
        <is>
          <t>Réglage en cours de production</t>
        </is>
      </c>
      <c r="E29" s="60" t="n">
        <v>23</v>
      </c>
      <c r="F29" s="53" t="n"/>
      <c r="G29" s="61" t="str">
        <f>IF(OR(COUNTA(A29:E29)=0,D29=""),"",IFERROR(INDEX(ca_fam,MATCH(D29,ca_name,0))&amp;"",""))</f>
        <v>Réglage et changement de série</v>
      </c>
      <c r="H29" s="58" t="str">
        <f>IF(OR(COUNTA(A29:E29)=0,D29=""),"",IFERROR(INDEX(ca_type,MATCH(D29,ca_name,0))&amp;"",""))</f>
        <v>Non planifié</v>
      </c>
      <c r="I29" s="58" t="str">
        <f>IF(COUNTA(A29:E29)=0,"",IF(N(A29)&lt;=0,"Date manquante ou invalide",IF(B29="","Équipe manquante",IF(ISNA(MATCH(B29,eq_code,0)),"Équipe inconnue",IF(C29="","Poste manquant",IF(ISNA(MATCH(C29,po_code,0)),"Poste inconnu",IF(D29="","Cause manquante",IF(ISNA(MATCH(D29,ca_name,0)),"Cause inconnue",IF(H29="","Cause à compléter dans Paramètres",IF(OR(NOT(ISNUMBER(E29)),N(E29)&lt;=0,N(E29)&gt;1440),"Durée invalide",IF(COUNTIFS(sj_date,A29,sj_eq,B29,sj_po,C29)=0,"Pas de saisie journalière ce jour-là","OK")))))))))))</f>
        <v>OK</v>
      </c>
      <c r="J29">
        <f>IF(OR(I29="OK",I29="Pas de saisie journalière ce jour-là"),E29,0)</f>
        <v>23.0</v>
      </c>
      <c r="K29">
        <f>IF(AND(J29&gt;0,A29&gt;=p_from,A29&lt;=p_to),1,0)</f>
        <v>1.0</v>
      </c>
      <c r="L29">
        <f>IF(AND(K29=1,OR(pa_po="",C29=pa_po),OR(pa_eq="",B29=pa_eq)),1,0)</f>
        <v>1.0</v>
      </c>
    </row>
    <row r="30">
      <c r="A30" s="51" t="n">
        <v>46286</v>
      </c>
      <c r="B30" s="52" t="inlineStr">
        <is>
          <t>Après-midi</t>
        </is>
      </c>
      <c r="C30" s="52" t="inlineStr">
        <is>
          <t>SOUD</t>
        </is>
      </c>
      <c r="D30" s="53" t="inlineStr">
        <is>
          <t>Changement de série</t>
        </is>
      </c>
      <c r="E30" s="60" t="n">
        <v>39</v>
      </c>
      <c r="F30" s="53" t="n"/>
      <c r="G30" s="61" t="str">
        <f>IF(OR(COUNTA(A30:E30)=0,D30=""),"",IFERROR(INDEX(ca_fam,MATCH(D30,ca_name,0))&amp;"",""))</f>
        <v>Réglage et changement de série</v>
      </c>
      <c r="H30" s="58" t="str">
        <f>IF(OR(COUNTA(A30:E30)=0,D30=""),"",IFERROR(INDEX(ca_type,MATCH(D30,ca_name,0))&amp;"",""))</f>
        <v>Non planifié</v>
      </c>
      <c r="I30" s="58" t="str">
        <f>IF(COUNTA(A30:E30)=0,"",IF(N(A30)&lt;=0,"Date manquante ou invalide",IF(B30="","Équipe manquante",IF(ISNA(MATCH(B30,eq_code,0)),"Équipe inconnue",IF(C30="","Poste manquant",IF(ISNA(MATCH(C30,po_code,0)),"Poste inconnu",IF(D30="","Cause manquante",IF(ISNA(MATCH(D30,ca_name,0)),"Cause inconnue",IF(H30="","Cause à compléter dans Paramètres",IF(OR(NOT(ISNUMBER(E30)),N(E30)&lt;=0,N(E30)&gt;1440),"Durée invalide",IF(COUNTIFS(sj_date,A30,sj_eq,B30,sj_po,C30)=0,"Pas de saisie journalière ce jour-là","OK")))))))))))</f>
        <v>OK</v>
      </c>
      <c r="J30">
        <f>IF(OR(I30="OK",I30="Pas de saisie journalière ce jour-là"),E30,0)</f>
        <v>39.0</v>
      </c>
      <c r="K30">
        <f>IF(AND(J30&gt;0,A30&gt;=p_from,A30&lt;=p_to),1,0)</f>
        <v>1.0</v>
      </c>
      <c r="L30">
        <f>IF(AND(K30=1,OR(pa_po="",C30=pa_po),OR(pa_eq="",B30=pa_eq)),1,0)</f>
        <v>1.0</v>
      </c>
    </row>
    <row r="31">
      <c r="A31" s="51" t="n">
        <v>46286</v>
      </c>
      <c r="B31" s="52" t="inlineStr">
        <is>
          <t>Après-midi</t>
        </is>
      </c>
      <c r="C31" s="52" t="inlineStr">
        <is>
          <t>SOUD</t>
        </is>
      </c>
      <c r="D31" s="53" t="inlineStr">
        <is>
          <t>Arrêt pour non-conformité</t>
        </is>
      </c>
      <c r="E31" s="60" t="n">
        <v>30</v>
      </c>
      <c r="F31" s="53" t="n"/>
      <c r="G31" s="61" t="str">
        <f>IF(OR(COUNTA(A31:E31)=0,D31=""),"",IFERROR(INDEX(ca_fam,MATCH(D31,ca_name,0))&amp;"",""))</f>
        <v>Qualité</v>
      </c>
      <c r="H31" s="58" t="str">
        <f>IF(OR(COUNTA(A31:E31)=0,D31=""),"",IFERROR(INDEX(ca_type,MATCH(D31,ca_name,0))&amp;"",""))</f>
        <v>Non planifié</v>
      </c>
      <c r="I31" s="58" t="str">
        <f>IF(COUNTA(A31:E31)=0,"",IF(N(A31)&lt;=0,"Date manquante ou invalide",IF(B31="","Équipe manquante",IF(ISNA(MATCH(B31,eq_code,0)),"Équipe inconnue",IF(C31="","Poste manquant",IF(ISNA(MATCH(C31,po_code,0)),"Poste inconnu",IF(D31="","Cause manquante",IF(ISNA(MATCH(D31,ca_name,0)),"Cause inconnue",IF(H31="","Cause à compléter dans Paramètres",IF(OR(NOT(ISNUMBER(E31)),N(E31)&lt;=0,N(E31)&gt;1440),"Durée invalide",IF(COUNTIFS(sj_date,A31,sj_eq,B31,sj_po,C31)=0,"Pas de saisie journalière ce jour-là","OK")))))))))))</f>
        <v>OK</v>
      </c>
      <c r="J31">
        <f>IF(OR(I31="OK",I31="Pas de saisie journalière ce jour-là"),E31,0)</f>
        <v>30.0</v>
      </c>
      <c r="K31">
        <f>IF(AND(J31&gt;0,A31&gt;=p_from,A31&lt;=p_to),1,0)</f>
        <v>1.0</v>
      </c>
      <c r="L31">
        <f>IF(AND(K31=1,OR(pa_po="",C31=pa_po),OR(pa_eq="",B31=pa_eq)),1,0)</f>
        <v>1.0</v>
      </c>
    </row>
    <row r="32">
      <c r="A32" s="51" t="n">
        <v>46286</v>
      </c>
      <c r="B32" s="52" t="inlineStr">
        <is>
          <t>Après-midi</t>
        </is>
      </c>
      <c r="C32" s="52" t="inlineStr">
        <is>
          <t>SOUD</t>
        </is>
      </c>
      <c r="D32" s="53" t="inlineStr">
        <is>
          <t>Changement de série</t>
        </is>
      </c>
      <c r="E32" s="60" t="n">
        <v>32</v>
      </c>
      <c r="F32" s="53" t="n"/>
      <c r="G32" s="61" t="str">
        <f>IF(OR(COUNTA(A32:E32)=0,D32=""),"",IFERROR(INDEX(ca_fam,MATCH(D32,ca_name,0))&amp;"",""))</f>
        <v>Réglage et changement de série</v>
      </c>
      <c r="H32" s="58" t="str">
        <f>IF(OR(COUNTA(A32:E32)=0,D32=""),"",IFERROR(INDEX(ca_type,MATCH(D32,ca_name,0))&amp;"",""))</f>
        <v>Non planifié</v>
      </c>
      <c r="I32" s="58" t="str">
        <f>IF(COUNTA(A32:E32)=0,"",IF(N(A32)&lt;=0,"Date manquante ou invalide",IF(B32="","Équipe manquante",IF(ISNA(MATCH(B32,eq_code,0)),"Équipe inconnue",IF(C32="","Poste manquant",IF(ISNA(MATCH(C32,po_code,0)),"Poste inconnu",IF(D32="","Cause manquante",IF(ISNA(MATCH(D32,ca_name,0)),"Cause inconnue",IF(H32="","Cause à compléter dans Paramètres",IF(OR(NOT(ISNUMBER(E32)),N(E32)&lt;=0,N(E32)&gt;1440),"Durée invalide",IF(COUNTIFS(sj_date,A32,sj_eq,B32,sj_po,C32)=0,"Pas de saisie journalière ce jour-là","OK")))))))))))</f>
        <v>OK</v>
      </c>
      <c r="J32">
        <f>IF(OR(I32="OK",I32="Pas de saisie journalière ce jour-là"),E32,0)</f>
        <v>32.0</v>
      </c>
      <c r="K32">
        <f>IF(AND(J32&gt;0,A32&gt;=p_from,A32&lt;=p_to),1,0)</f>
        <v>1.0</v>
      </c>
      <c r="L32">
        <f>IF(AND(K32=1,OR(pa_po="",C32=pa_po),OR(pa_eq="",B32=pa_eq)),1,0)</f>
        <v>1.0</v>
      </c>
    </row>
    <row r="33">
      <c r="A33" s="51" t="n">
        <v>46287</v>
      </c>
      <c r="B33" s="52" t="inlineStr">
        <is>
          <t>Matin</t>
        </is>
      </c>
      <c r="C33" s="52" t="inlineStr">
        <is>
          <t>TOUR1</t>
        </is>
      </c>
      <c r="D33" s="53" t="inlineStr">
        <is>
          <t>Changement de série</t>
        </is>
      </c>
      <c r="E33" s="60" t="n">
        <v>44</v>
      </c>
      <c r="F33" s="53" t="n"/>
      <c r="G33" s="61" t="str">
        <f>IF(OR(COUNTA(A33:E33)=0,D33=""),"",IFERROR(INDEX(ca_fam,MATCH(D33,ca_name,0))&amp;"",""))</f>
        <v>Réglage et changement de série</v>
      </c>
      <c r="H33" s="58" t="str">
        <f>IF(OR(COUNTA(A33:E33)=0,D33=""),"",IFERROR(INDEX(ca_type,MATCH(D33,ca_name,0))&amp;"",""))</f>
        <v>Non planifié</v>
      </c>
      <c r="I33" s="58" t="str">
        <f>IF(COUNTA(A33:E33)=0,"",IF(N(A33)&lt;=0,"Date manquante ou invalide",IF(B33="","Équipe manquante",IF(ISNA(MATCH(B33,eq_code,0)),"Équipe inconnue",IF(C33="","Poste manquant",IF(ISNA(MATCH(C33,po_code,0)),"Poste inconnu",IF(D33="","Cause manquante",IF(ISNA(MATCH(D33,ca_name,0)),"Cause inconnue",IF(H33="","Cause à compléter dans Paramètres",IF(OR(NOT(ISNUMBER(E33)),N(E33)&lt;=0,N(E33)&gt;1440),"Durée invalide",IF(COUNTIFS(sj_date,A33,sj_eq,B33,sj_po,C33)=0,"Pas de saisie journalière ce jour-là","OK")))))))))))</f>
        <v>OK</v>
      </c>
      <c r="J33">
        <f>IF(OR(I33="OK",I33="Pas de saisie journalière ce jour-là"),E33,0)</f>
        <v>44.0</v>
      </c>
      <c r="K33">
        <f>IF(AND(J33&gt;0,A33&gt;=p_from,A33&lt;=p_to),1,0)</f>
        <v>1.0</v>
      </c>
      <c r="L33">
        <f>IF(AND(K33=1,OR(pa_po="",C33=pa_po),OR(pa_eq="",B33=pa_eq)),1,0)</f>
        <v>1.0</v>
      </c>
    </row>
    <row r="34">
      <c r="A34" s="51" t="n">
        <v>46287</v>
      </c>
      <c r="B34" s="52" t="inlineStr">
        <is>
          <t>Après-midi</t>
        </is>
      </c>
      <c r="C34" s="52" t="inlineStr">
        <is>
          <t>TOUR1</t>
        </is>
      </c>
      <c r="D34" s="53" t="inlineStr">
        <is>
          <t>Changement de série</t>
        </is>
      </c>
      <c r="E34" s="60" t="n">
        <v>25</v>
      </c>
      <c r="F34" s="53" t="n"/>
      <c r="G34" s="61" t="str">
        <f>IF(OR(COUNTA(A34:E34)=0,D34=""),"",IFERROR(INDEX(ca_fam,MATCH(D34,ca_name,0))&amp;"",""))</f>
        <v>Réglage et changement de série</v>
      </c>
      <c r="H34" s="58" t="str">
        <f>IF(OR(COUNTA(A34:E34)=0,D34=""),"",IFERROR(INDEX(ca_type,MATCH(D34,ca_name,0))&amp;"",""))</f>
        <v>Non planifié</v>
      </c>
      <c r="I34" s="58" t="str">
        <f>IF(COUNTA(A34:E34)=0,"",IF(N(A34)&lt;=0,"Date manquante ou invalide",IF(B34="","Équipe manquante",IF(ISNA(MATCH(B34,eq_code,0)),"Équipe inconnue",IF(C34="","Poste manquant",IF(ISNA(MATCH(C34,po_code,0)),"Poste inconnu",IF(D34="","Cause manquante",IF(ISNA(MATCH(D34,ca_name,0)),"Cause inconnue",IF(H34="","Cause à compléter dans Paramètres",IF(OR(NOT(ISNUMBER(E34)),N(E34)&lt;=0,N(E34)&gt;1440),"Durée invalide",IF(COUNTIFS(sj_date,A34,sj_eq,B34,sj_po,C34)=0,"Pas de saisie journalière ce jour-là","OK")))))))))))</f>
        <v>OK</v>
      </c>
      <c r="J34">
        <f>IF(OR(I34="OK",I34="Pas de saisie journalière ce jour-là"),E34,0)</f>
        <v>25.0</v>
      </c>
      <c r="K34">
        <f>IF(AND(J34&gt;0,A34&gt;=p_from,A34&lt;=p_to),1,0)</f>
        <v>1.0</v>
      </c>
      <c r="L34">
        <f>IF(AND(K34=1,OR(pa_po="",C34=pa_po),OR(pa_eq="",B34=pa_eq)),1,0)</f>
        <v>1.0</v>
      </c>
    </row>
    <row r="35">
      <c r="A35" s="51" t="n">
        <v>46287</v>
      </c>
      <c r="B35" s="52" t="inlineStr">
        <is>
          <t>Après-midi</t>
        </is>
      </c>
      <c r="C35" s="52" t="inlineStr">
        <is>
          <t>TOUR1</t>
        </is>
      </c>
      <c r="D35" s="53" t="inlineStr">
        <is>
          <t>Casse outil</t>
        </is>
      </c>
      <c r="E35" s="60" t="n">
        <v>21</v>
      </c>
      <c r="F35" s="53" t="n"/>
      <c r="G35" s="61" t="str">
        <f>IF(OR(COUNTA(A35:E35)=0,D35=""),"",IFERROR(INDEX(ca_fam,MATCH(D35,ca_name,0))&amp;"",""))</f>
        <v>Panne</v>
      </c>
      <c r="H35" s="58" t="str">
        <f>IF(OR(COUNTA(A35:E35)=0,D35=""),"",IFERROR(INDEX(ca_type,MATCH(D35,ca_name,0))&amp;"",""))</f>
        <v>Non planifié</v>
      </c>
      <c r="I35" s="58" t="str">
        <f>IF(COUNTA(A35:E35)=0,"",IF(N(A35)&lt;=0,"Date manquante ou invalide",IF(B35="","Équipe manquante",IF(ISNA(MATCH(B35,eq_code,0)),"Équipe inconnue",IF(C35="","Poste manquant",IF(ISNA(MATCH(C35,po_code,0)),"Poste inconnu",IF(D35="","Cause manquante",IF(ISNA(MATCH(D35,ca_name,0)),"Cause inconnue",IF(H35="","Cause à compléter dans Paramètres",IF(OR(NOT(ISNUMBER(E35)),N(E35)&lt;=0,N(E35)&gt;1440),"Durée invalide",IF(COUNTIFS(sj_date,A35,sj_eq,B35,sj_po,C35)=0,"Pas de saisie journalière ce jour-là","OK")))))))))))</f>
        <v>OK</v>
      </c>
      <c r="J35">
        <f>IF(OR(I35="OK",I35="Pas de saisie journalière ce jour-là"),E35,0)</f>
        <v>21.0</v>
      </c>
      <c r="K35">
        <f>IF(AND(J35&gt;0,A35&gt;=p_from,A35&lt;=p_to),1,0)</f>
        <v>1.0</v>
      </c>
      <c r="L35">
        <f>IF(AND(K35=1,OR(pa_po="",C35=pa_po),OR(pa_eq="",B35=pa_eq)),1,0)</f>
        <v>1.0</v>
      </c>
    </row>
    <row r="36">
      <c r="A36" s="51" t="n">
        <v>46287</v>
      </c>
      <c r="B36" s="52" t="inlineStr">
        <is>
          <t>Matin</t>
        </is>
      </c>
      <c r="C36" s="52" t="inlineStr">
        <is>
          <t>TOUR2</t>
        </is>
      </c>
      <c r="D36" s="53" t="inlineStr">
        <is>
          <t>Changement d'outil</t>
        </is>
      </c>
      <c r="E36" s="60" t="n">
        <v>11</v>
      </c>
      <c r="F36" s="53" t="n"/>
      <c r="G36" s="61" t="str">
        <f>IF(OR(COUNTA(A36:E36)=0,D36=""),"",IFERROR(INDEX(ca_fam,MATCH(D36,ca_name,0))&amp;"",""))</f>
        <v>Réglage et changement de série</v>
      </c>
      <c r="H36" s="58" t="str">
        <f>IF(OR(COUNTA(A36:E36)=0,D36=""),"",IFERROR(INDEX(ca_type,MATCH(D36,ca_name,0))&amp;"",""))</f>
        <v>Non planifié</v>
      </c>
      <c r="I36" s="58" t="str">
        <f>IF(COUNTA(A36:E36)=0,"",IF(N(A36)&lt;=0,"Date manquante ou invalide",IF(B36="","Équipe manquante",IF(ISNA(MATCH(B36,eq_code,0)),"Équipe inconnue",IF(C36="","Poste manquant",IF(ISNA(MATCH(C36,po_code,0)),"Poste inconnu",IF(D36="","Cause manquante",IF(ISNA(MATCH(D36,ca_name,0)),"Cause inconnue",IF(H36="","Cause à compléter dans Paramètres",IF(OR(NOT(ISNUMBER(E36)),N(E36)&lt;=0,N(E36)&gt;1440),"Durée invalide",IF(COUNTIFS(sj_date,A36,sj_eq,B36,sj_po,C36)=0,"Pas de saisie journalière ce jour-là","OK")))))))))))</f>
        <v>OK</v>
      </c>
      <c r="J36">
        <f>IF(OR(I36="OK",I36="Pas de saisie journalière ce jour-là"),E36,0)</f>
        <v>11.0</v>
      </c>
      <c r="K36">
        <f>IF(AND(J36&gt;0,A36&gt;=p_from,A36&lt;=p_to),1,0)</f>
        <v>1.0</v>
      </c>
      <c r="L36">
        <f>IF(AND(K36=1,OR(pa_po="",C36=pa_po),OR(pa_eq="",B36=pa_eq)),1,0)</f>
        <v>1.0</v>
      </c>
    </row>
    <row r="37">
      <c r="A37" s="51" t="n">
        <v>46287</v>
      </c>
      <c r="B37" s="52" t="inlineStr">
        <is>
          <t>Après-midi</t>
        </is>
      </c>
      <c r="C37" s="52" t="inlineStr">
        <is>
          <t>TOUR2</t>
        </is>
      </c>
      <c r="D37" s="53" t="inlineStr">
        <is>
          <t>Changement de série</t>
        </is>
      </c>
      <c r="E37" s="60" t="n">
        <v>42</v>
      </c>
      <c r="F37" s="53" t="n"/>
      <c r="G37" s="61" t="str">
        <f>IF(OR(COUNTA(A37:E37)=0,D37=""),"",IFERROR(INDEX(ca_fam,MATCH(D37,ca_name,0))&amp;"",""))</f>
        <v>Réglage et changement de série</v>
      </c>
      <c r="H37" s="58" t="str">
        <f>IF(OR(COUNTA(A37:E37)=0,D37=""),"",IFERROR(INDEX(ca_type,MATCH(D37,ca_name,0))&amp;"",""))</f>
        <v>Non planifié</v>
      </c>
      <c r="I37" s="58" t="str">
        <f>IF(COUNTA(A37:E37)=0,"",IF(N(A37)&lt;=0,"Date manquante ou invalide",IF(B37="","Équipe manquante",IF(ISNA(MATCH(B37,eq_code,0)),"Équipe inconnue",IF(C37="","Poste manquant",IF(ISNA(MATCH(C37,po_code,0)),"Poste inconnu",IF(D37="","Cause manquante",IF(ISNA(MATCH(D37,ca_name,0)),"Cause inconnue",IF(H37="","Cause à compléter dans Paramètres",IF(OR(NOT(ISNUMBER(E37)),N(E37)&lt;=0,N(E37)&gt;1440),"Durée invalide",IF(COUNTIFS(sj_date,A37,sj_eq,B37,sj_po,C37)=0,"Pas de saisie journalière ce jour-là","OK")))))))))))</f>
        <v>OK</v>
      </c>
      <c r="J37">
        <f>IF(OR(I37="OK",I37="Pas de saisie journalière ce jour-là"),E37,0)</f>
        <v>42.0</v>
      </c>
      <c r="K37">
        <f>IF(AND(J37&gt;0,A37&gt;=p_from,A37&lt;=p_to),1,0)</f>
        <v>1.0</v>
      </c>
      <c r="L37">
        <f>IF(AND(K37=1,OR(pa_po="",C37=pa_po),OR(pa_eq="",B37=pa_eq)),1,0)</f>
        <v>1.0</v>
      </c>
    </row>
    <row r="38">
      <c r="A38" s="51" t="n">
        <v>46287</v>
      </c>
      <c r="B38" s="52" t="inlineStr">
        <is>
          <t>Après-midi</t>
        </is>
      </c>
      <c r="C38" s="52" t="inlineStr">
        <is>
          <t>TOUR2</t>
        </is>
      </c>
      <c r="D38" s="53" t="inlineStr">
        <is>
          <t>Changement de série</t>
        </is>
      </c>
      <c r="E38" s="60" t="n">
        <v>50</v>
      </c>
      <c r="F38" s="53" t="n"/>
      <c r="G38" s="61" t="str">
        <f>IF(OR(COUNTA(A38:E38)=0,D38=""),"",IFERROR(INDEX(ca_fam,MATCH(D38,ca_name,0))&amp;"",""))</f>
        <v>Réglage et changement de série</v>
      </c>
      <c r="H38" s="58" t="str">
        <f>IF(OR(COUNTA(A38:E38)=0,D38=""),"",IFERROR(INDEX(ca_type,MATCH(D38,ca_name,0))&amp;"",""))</f>
        <v>Non planifié</v>
      </c>
      <c r="I38" s="58" t="str">
        <f>IF(COUNTA(A38:E38)=0,"",IF(N(A38)&lt;=0,"Date manquante ou invalide",IF(B38="","Équipe manquante",IF(ISNA(MATCH(B38,eq_code,0)),"Équipe inconnue",IF(C38="","Poste manquant",IF(ISNA(MATCH(C38,po_code,0)),"Poste inconnu",IF(D38="","Cause manquante",IF(ISNA(MATCH(D38,ca_name,0)),"Cause inconnue",IF(H38="","Cause à compléter dans Paramètres",IF(OR(NOT(ISNUMBER(E38)),N(E38)&lt;=0,N(E38)&gt;1440),"Durée invalide",IF(COUNTIFS(sj_date,A38,sj_eq,B38,sj_po,C38)=0,"Pas de saisie journalière ce jour-là","OK")))))))))))</f>
        <v>OK</v>
      </c>
      <c r="J38">
        <f>IF(OR(I38="OK",I38="Pas de saisie journalière ce jour-là"),E38,0)</f>
        <v>50.0</v>
      </c>
      <c r="K38">
        <f>IF(AND(J38&gt;0,A38&gt;=p_from,A38&lt;=p_to),1,0)</f>
        <v>1.0</v>
      </c>
      <c r="L38">
        <f>IF(AND(K38=1,OR(pa_po="",C38=pa_po),OR(pa_eq="",B38=pa_eq)),1,0)</f>
        <v>1.0</v>
      </c>
    </row>
    <row r="39">
      <c r="A39" s="51" t="n">
        <v>46287</v>
      </c>
      <c r="B39" s="52" t="inlineStr">
        <is>
          <t>Après-midi</t>
        </is>
      </c>
      <c r="C39" s="52" t="inlineStr">
        <is>
          <t>TOUR2</t>
        </is>
      </c>
      <c r="D39" s="53" t="inlineStr">
        <is>
          <t>Changement de série</t>
        </is>
      </c>
      <c r="E39" s="60" t="n">
        <v>51</v>
      </c>
      <c r="F39" s="53" t="n"/>
      <c r="G39" s="61" t="str">
        <f>IF(OR(COUNTA(A39:E39)=0,D39=""),"",IFERROR(INDEX(ca_fam,MATCH(D39,ca_name,0))&amp;"",""))</f>
        <v>Réglage et changement de série</v>
      </c>
      <c r="H39" s="58" t="str">
        <f>IF(OR(COUNTA(A39:E39)=0,D39=""),"",IFERROR(INDEX(ca_type,MATCH(D39,ca_name,0))&amp;"",""))</f>
        <v>Non planifié</v>
      </c>
      <c r="I39" s="58" t="str">
        <f>IF(COUNTA(A39:E39)=0,"",IF(N(A39)&lt;=0,"Date manquante ou invalide",IF(B39="","Équipe manquante",IF(ISNA(MATCH(B39,eq_code,0)),"Équipe inconnue",IF(C39="","Poste manquant",IF(ISNA(MATCH(C39,po_code,0)),"Poste inconnu",IF(D39="","Cause manquante",IF(ISNA(MATCH(D39,ca_name,0)),"Cause inconnue",IF(H39="","Cause à compléter dans Paramètres",IF(OR(NOT(ISNUMBER(E39)),N(E39)&lt;=0,N(E39)&gt;1440),"Durée invalide",IF(COUNTIFS(sj_date,A39,sj_eq,B39,sj_po,C39)=0,"Pas de saisie journalière ce jour-là","OK")))))))))))</f>
        <v>OK</v>
      </c>
      <c r="J39">
        <f>IF(OR(I39="OK",I39="Pas de saisie journalière ce jour-là"),E39,0)</f>
        <v>51.0</v>
      </c>
      <c r="K39">
        <f>IF(AND(J39&gt;0,A39&gt;=p_from,A39&lt;=p_to),1,0)</f>
        <v>1.0</v>
      </c>
      <c r="L39">
        <f>IF(AND(K39=1,OR(pa_po="",C39=pa_po),OR(pa_eq="",B39=pa_eq)),1,0)</f>
        <v>1.0</v>
      </c>
    </row>
    <row r="40">
      <c r="A40" s="51" t="n">
        <v>46287</v>
      </c>
      <c r="B40" s="52" t="inlineStr">
        <is>
          <t>Après-midi</t>
        </is>
      </c>
      <c r="C40" s="52" t="inlineStr">
        <is>
          <t>TOUR2</t>
        </is>
      </c>
      <c r="D40" s="53" t="inlineStr">
        <is>
          <t>Absence opérateur</t>
        </is>
      </c>
      <c r="E40" s="60" t="n">
        <v>240</v>
      </c>
      <c r="F40" s="53" t="n"/>
      <c r="G40" s="61" t="str">
        <f>IF(OR(COUNTA(A40:E40)=0,D40=""),"",IFERROR(INDEX(ca_fam,MATCH(D40,ca_name,0))&amp;"",""))</f>
        <v>Manque personnel</v>
      </c>
      <c r="H40" s="58" t="str">
        <f>IF(OR(COUNTA(A40:E40)=0,D40=""),"",IFERROR(INDEX(ca_type,MATCH(D40,ca_name,0))&amp;"",""))</f>
        <v>Non planifié</v>
      </c>
      <c r="I40" s="58" t="str">
        <f>IF(COUNTA(A40:E40)=0,"",IF(N(A40)&lt;=0,"Date manquante ou invalide",IF(B40="","Équipe manquante",IF(ISNA(MATCH(B40,eq_code,0)),"Équipe inconnue",IF(C40="","Poste manquant",IF(ISNA(MATCH(C40,po_code,0)),"Poste inconnu",IF(D40="","Cause manquante",IF(ISNA(MATCH(D40,ca_name,0)),"Cause inconnue",IF(H40="","Cause à compléter dans Paramètres",IF(OR(NOT(ISNUMBER(E40)),N(E40)&lt;=0,N(E40)&gt;1440),"Durée invalide",IF(COUNTIFS(sj_date,A40,sj_eq,B40,sj_po,C40)=0,"Pas de saisie journalière ce jour-là","OK")))))))))))</f>
        <v>OK</v>
      </c>
      <c r="J40">
        <f>IF(OR(I40="OK",I40="Pas de saisie journalière ce jour-là"),E40,0)</f>
        <v>240.0</v>
      </c>
      <c r="K40">
        <f>IF(AND(J40&gt;0,A40&gt;=p_from,A40&lt;=p_to),1,0)</f>
        <v>1.0</v>
      </c>
      <c r="L40">
        <f>IF(AND(K40=1,OR(pa_po="",C40=pa_po),OR(pa_eq="",B40=pa_eq)),1,0)</f>
        <v>1.0</v>
      </c>
    </row>
    <row r="41">
      <c r="A41" s="51" t="n">
        <v>46287</v>
      </c>
      <c r="B41" s="52" t="inlineStr">
        <is>
          <t>Matin</t>
        </is>
      </c>
      <c r="C41" s="52" t="inlineStr">
        <is>
          <t>USIN</t>
        </is>
      </c>
      <c r="D41" s="53" t="inlineStr">
        <is>
          <t>Changement de série</t>
        </is>
      </c>
      <c r="E41" s="60" t="n">
        <v>56</v>
      </c>
      <c r="F41" s="53" t="n"/>
      <c r="G41" s="61" t="str">
        <f>IF(OR(COUNTA(A41:E41)=0,D41=""),"",IFERROR(INDEX(ca_fam,MATCH(D41,ca_name,0))&amp;"",""))</f>
        <v>Réglage et changement de série</v>
      </c>
      <c r="H41" s="58" t="str">
        <f>IF(OR(COUNTA(A41:E41)=0,D41=""),"",IFERROR(INDEX(ca_type,MATCH(D41,ca_name,0))&amp;"",""))</f>
        <v>Non planifié</v>
      </c>
      <c r="I41" s="58" t="str">
        <f>IF(COUNTA(A41:E41)=0,"",IF(N(A41)&lt;=0,"Date manquante ou invalide",IF(B41="","Équipe manquante",IF(ISNA(MATCH(B41,eq_code,0)),"Équipe inconnue",IF(C41="","Poste manquant",IF(ISNA(MATCH(C41,po_code,0)),"Poste inconnu",IF(D41="","Cause manquante",IF(ISNA(MATCH(D41,ca_name,0)),"Cause inconnue",IF(H41="","Cause à compléter dans Paramètres",IF(OR(NOT(ISNUMBER(E41)),N(E41)&lt;=0,N(E41)&gt;1440),"Durée invalide",IF(COUNTIFS(sj_date,A41,sj_eq,B41,sj_po,C41)=0,"Pas de saisie journalière ce jour-là","OK")))))))))))</f>
        <v>OK</v>
      </c>
      <c r="J41">
        <f>IF(OR(I41="OK",I41="Pas de saisie journalière ce jour-là"),E41,0)</f>
        <v>56.0</v>
      </c>
      <c r="K41">
        <f>IF(AND(J41&gt;0,A41&gt;=p_from,A41&lt;=p_to),1,0)</f>
        <v>1.0</v>
      </c>
      <c r="L41">
        <f>IF(AND(K41=1,OR(pa_po="",C41=pa_po),OR(pa_eq="",B41=pa_eq)),1,0)</f>
        <v>1.0</v>
      </c>
    </row>
    <row r="42">
      <c r="A42" s="51" t="n">
        <v>46287</v>
      </c>
      <c r="B42" s="52" t="inlineStr">
        <is>
          <t>Matin</t>
        </is>
      </c>
      <c r="C42" s="52" t="inlineStr">
        <is>
          <t>USIN</t>
        </is>
      </c>
      <c r="D42" s="53" t="inlineStr">
        <is>
          <t>Réglage en cours de production</t>
        </is>
      </c>
      <c r="E42" s="60" t="n">
        <v>9</v>
      </c>
      <c r="F42" s="53" t="n"/>
      <c r="G42" s="61" t="str">
        <f>IF(OR(COUNTA(A42:E42)=0,D42=""),"",IFERROR(INDEX(ca_fam,MATCH(D42,ca_name,0))&amp;"",""))</f>
        <v>Réglage et changement de série</v>
      </c>
      <c r="H42" s="58" t="str">
        <f>IF(OR(COUNTA(A42:E42)=0,D42=""),"",IFERROR(INDEX(ca_type,MATCH(D42,ca_name,0))&amp;"",""))</f>
        <v>Non planifié</v>
      </c>
      <c r="I42" s="58" t="str">
        <f>IF(COUNTA(A42:E42)=0,"",IF(N(A42)&lt;=0,"Date manquante ou invalide",IF(B42="","Équipe manquante",IF(ISNA(MATCH(B42,eq_code,0)),"Équipe inconnue",IF(C42="","Poste manquant",IF(ISNA(MATCH(C42,po_code,0)),"Poste inconnu",IF(D42="","Cause manquante",IF(ISNA(MATCH(D42,ca_name,0)),"Cause inconnue",IF(H42="","Cause à compléter dans Paramètres",IF(OR(NOT(ISNUMBER(E42)),N(E42)&lt;=0,N(E42)&gt;1440),"Durée invalide",IF(COUNTIFS(sj_date,A42,sj_eq,B42,sj_po,C42)=0,"Pas de saisie journalière ce jour-là","OK")))))))))))</f>
        <v>OK</v>
      </c>
      <c r="J42">
        <f>IF(OR(I42="OK",I42="Pas de saisie journalière ce jour-là"),E42,0)</f>
        <v>9.0</v>
      </c>
      <c r="K42">
        <f>IF(AND(J42&gt;0,A42&gt;=p_from,A42&lt;=p_to),1,0)</f>
        <v>1.0</v>
      </c>
      <c r="L42">
        <f>IF(AND(K42=1,OR(pa_po="",C42=pa_po),OR(pa_eq="",B42=pa_eq)),1,0)</f>
        <v>1.0</v>
      </c>
    </row>
    <row r="43">
      <c r="A43" s="51" t="n">
        <v>46287</v>
      </c>
      <c r="B43" s="52" t="inlineStr">
        <is>
          <t>Matin</t>
        </is>
      </c>
      <c r="C43" s="52" t="inlineStr">
        <is>
          <t>USIN</t>
        </is>
      </c>
      <c r="D43" s="53" t="inlineStr">
        <is>
          <t>Changement de série</t>
        </is>
      </c>
      <c r="E43" s="60" t="n">
        <v>63</v>
      </c>
      <c r="F43" s="53" t="n"/>
      <c r="G43" s="61" t="str">
        <f>IF(OR(COUNTA(A43:E43)=0,D43=""),"",IFERROR(INDEX(ca_fam,MATCH(D43,ca_name,0))&amp;"",""))</f>
        <v>Réglage et changement de série</v>
      </c>
      <c r="H43" s="58" t="str">
        <f>IF(OR(COUNTA(A43:E43)=0,D43=""),"",IFERROR(INDEX(ca_type,MATCH(D43,ca_name,0))&amp;"",""))</f>
        <v>Non planifié</v>
      </c>
      <c r="I43" s="58" t="str">
        <f>IF(COUNTA(A43:E43)=0,"",IF(N(A43)&lt;=0,"Date manquante ou invalide",IF(B43="","Équipe manquante",IF(ISNA(MATCH(B43,eq_code,0)),"Équipe inconnue",IF(C43="","Poste manquant",IF(ISNA(MATCH(C43,po_code,0)),"Poste inconnu",IF(D43="","Cause manquante",IF(ISNA(MATCH(D43,ca_name,0)),"Cause inconnue",IF(H43="","Cause à compléter dans Paramètres",IF(OR(NOT(ISNUMBER(E43)),N(E43)&lt;=0,N(E43)&gt;1440),"Durée invalide",IF(COUNTIFS(sj_date,A43,sj_eq,B43,sj_po,C43)=0,"Pas de saisie journalière ce jour-là","OK")))))))))))</f>
        <v>OK</v>
      </c>
      <c r="J43">
        <f>IF(OR(I43="OK",I43="Pas de saisie journalière ce jour-là"),E43,0)</f>
        <v>63.0</v>
      </c>
      <c r="K43">
        <f>IF(AND(J43&gt;0,A43&gt;=p_from,A43&lt;=p_to),1,0)</f>
        <v>1.0</v>
      </c>
      <c r="L43">
        <f>IF(AND(K43=1,OR(pa_po="",C43=pa_po),OR(pa_eq="",B43=pa_eq)),1,0)</f>
        <v>1.0</v>
      </c>
    </row>
    <row r="44">
      <c r="A44" s="51" t="n">
        <v>46287</v>
      </c>
      <c r="B44" s="52" t="inlineStr">
        <is>
          <t>Après-midi</t>
        </is>
      </c>
      <c r="C44" s="52" t="inlineStr">
        <is>
          <t>USIN</t>
        </is>
      </c>
      <c r="D44" s="53" t="inlineStr">
        <is>
          <t>Changement de série</t>
        </is>
      </c>
      <c r="E44" s="60" t="n">
        <v>50</v>
      </c>
      <c r="F44" s="53" t="n"/>
      <c r="G44" s="61" t="str">
        <f>IF(OR(COUNTA(A44:E44)=0,D44=""),"",IFERROR(INDEX(ca_fam,MATCH(D44,ca_name,0))&amp;"",""))</f>
        <v>Réglage et changement de série</v>
      </c>
      <c r="H44" s="58" t="str">
        <f>IF(OR(COUNTA(A44:E44)=0,D44=""),"",IFERROR(INDEX(ca_type,MATCH(D44,ca_name,0))&amp;"",""))</f>
        <v>Non planifié</v>
      </c>
      <c r="I44" s="58" t="str">
        <f>IF(COUNTA(A44:E44)=0,"",IF(N(A44)&lt;=0,"Date manquante ou invalide",IF(B44="","Équipe manquante",IF(ISNA(MATCH(B44,eq_code,0)),"Équipe inconnue",IF(C44="","Poste manquant",IF(ISNA(MATCH(C44,po_code,0)),"Poste inconnu",IF(D44="","Cause manquante",IF(ISNA(MATCH(D44,ca_name,0)),"Cause inconnue",IF(H44="","Cause à compléter dans Paramètres",IF(OR(NOT(ISNUMBER(E44)),N(E44)&lt;=0,N(E44)&gt;1440),"Durée invalide",IF(COUNTIFS(sj_date,A44,sj_eq,B44,sj_po,C44)=0,"Pas de saisie journalière ce jour-là","OK")))))))))))</f>
        <v>OK</v>
      </c>
      <c r="J44">
        <f>IF(OR(I44="OK",I44="Pas de saisie journalière ce jour-là"),E44,0)</f>
        <v>50.0</v>
      </c>
      <c r="K44">
        <f>IF(AND(J44&gt;0,A44&gt;=p_from,A44&lt;=p_to),1,0)</f>
        <v>1.0</v>
      </c>
      <c r="L44">
        <f>IF(AND(K44=1,OR(pa_po="",C44=pa_po),OR(pa_eq="",B44=pa_eq)),1,0)</f>
        <v>1.0</v>
      </c>
    </row>
    <row r="45">
      <c r="A45" s="51" t="n">
        <v>46287</v>
      </c>
      <c r="B45" s="52" t="inlineStr">
        <is>
          <t>Après-midi</t>
        </is>
      </c>
      <c r="C45" s="52" t="inlineStr">
        <is>
          <t>USIN</t>
        </is>
      </c>
      <c r="D45" s="53" t="inlineStr">
        <is>
          <t>Attente pièces de l'opération précédente</t>
        </is>
      </c>
      <c r="E45" s="60" t="n">
        <v>25</v>
      </c>
      <c r="F45" s="53" t="n"/>
      <c r="G45" s="61" t="str">
        <f>IF(OR(COUNTA(A45:E45)=0,D45=""),"",IFERROR(INDEX(ca_fam,MATCH(D45,ca_name,0))&amp;"",""))</f>
        <v>Manque matière</v>
      </c>
      <c r="H45" s="58" t="str">
        <f>IF(OR(COUNTA(A45:E45)=0,D45=""),"",IFERROR(INDEX(ca_type,MATCH(D45,ca_name,0))&amp;"",""))</f>
        <v>Non planifié</v>
      </c>
      <c r="I45" s="58" t="str">
        <f>IF(COUNTA(A45:E45)=0,"",IF(N(A45)&lt;=0,"Date manquante ou invalide",IF(B45="","Équipe manquante",IF(ISNA(MATCH(B45,eq_code,0)),"Équipe inconnue",IF(C45="","Poste manquant",IF(ISNA(MATCH(C45,po_code,0)),"Poste inconnu",IF(D45="","Cause manquante",IF(ISNA(MATCH(D45,ca_name,0)),"Cause inconnue",IF(H45="","Cause à compléter dans Paramètres",IF(OR(NOT(ISNUMBER(E45)),N(E45)&lt;=0,N(E45)&gt;1440),"Durée invalide",IF(COUNTIFS(sj_date,A45,sj_eq,B45,sj_po,C45)=0,"Pas de saisie journalière ce jour-là","OK")))))))))))</f>
        <v>OK</v>
      </c>
      <c r="J45">
        <f>IF(OR(I45="OK",I45="Pas de saisie journalière ce jour-là"),E45,0)</f>
        <v>25.0</v>
      </c>
      <c r="K45">
        <f>IF(AND(J45&gt;0,A45&gt;=p_from,A45&lt;=p_to),1,0)</f>
        <v>1.0</v>
      </c>
      <c r="L45">
        <f>IF(AND(K45=1,OR(pa_po="",C45=pa_po),OR(pa_eq="",B45=pa_eq)),1,0)</f>
        <v>1.0</v>
      </c>
    </row>
    <row r="46">
      <c r="A46" s="51" t="n">
        <v>46287</v>
      </c>
      <c r="B46" s="52" t="inlineStr">
        <is>
          <t>Après-midi</t>
        </is>
      </c>
      <c r="C46" s="52" t="inlineStr">
        <is>
          <t>USIN</t>
        </is>
      </c>
      <c r="D46" s="53" t="inlineStr">
        <is>
          <t>Attente programme ou consignes</t>
        </is>
      </c>
      <c r="E46" s="60" t="n">
        <v>20</v>
      </c>
      <c r="F46" s="53" t="n"/>
      <c r="G46" s="61" t="str">
        <f>IF(OR(COUNTA(A46:E46)=0,D46=""),"",IFERROR(INDEX(ca_fam,MATCH(D46,ca_name,0))&amp;"",""))</f>
        <v>Organisation</v>
      </c>
      <c r="H46" s="58" t="str">
        <f>IF(OR(COUNTA(A46:E46)=0,D46=""),"",IFERROR(INDEX(ca_type,MATCH(D46,ca_name,0))&amp;"",""))</f>
        <v>Non planifié</v>
      </c>
      <c r="I46" s="58" t="str">
        <f>IF(COUNTA(A46:E46)=0,"",IF(N(A46)&lt;=0,"Date manquante ou invalide",IF(B46="","Équipe manquante",IF(ISNA(MATCH(B46,eq_code,0)),"Équipe inconnue",IF(C46="","Poste manquant",IF(ISNA(MATCH(C46,po_code,0)),"Poste inconnu",IF(D46="","Cause manquante",IF(ISNA(MATCH(D46,ca_name,0)),"Cause inconnue",IF(H46="","Cause à compléter dans Paramètres",IF(OR(NOT(ISNUMBER(E46)),N(E46)&lt;=0,N(E46)&gt;1440),"Durée invalide",IF(COUNTIFS(sj_date,A46,sj_eq,B46,sj_po,C46)=0,"Pas de saisie journalière ce jour-là","OK")))))))))))</f>
        <v>OK</v>
      </c>
      <c r="J46">
        <f>IF(OR(I46="OK",I46="Pas de saisie journalière ce jour-là"),E46,0)</f>
        <v>20.0</v>
      </c>
      <c r="K46">
        <f>IF(AND(J46&gt;0,A46&gt;=p_from,A46&lt;=p_to),1,0)</f>
        <v>1.0</v>
      </c>
      <c r="L46">
        <f>IF(AND(K46=1,OR(pa_po="",C46=pa_po),OR(pa_eq="",B46=pa_eq)),1,0)</f>
        <v>1.0</v>
      </c>
    </row>
    <row r="47">
      <c r="A47" s="51" t="n">
        <v>46287</v>
      </c>
      <c r="B47" s="52" t="inlineStr">
        <is>
          <t>Après-midi</t>
        </is>
      </c>
      <c r="C47" s="52" t="inlineStr">
        <is>
          <t>USIN</t>
        </is>
      </c>
      <c r="D47" s="53" t="inlineStr">
        <is>
          <t>Changement de série</t>
        </is>
      </c>
      <c r="E47" s="60" t="n">
        <v>41</v>
      </c>
      <c r="F47" s="53" t="n"/>
      <c r="G47" s="61" t="str">
        <f>IF(OR(COUNTA(A47:E47)=0,D47=""),"",IFERROR(INDEX(ca_fam,MATCH(D47,ca_name,0))&amp;"",""))</f>
        <v>Réglage et changement de série</v>
      </c>
      <c r="H47" s="58" t="str">
        <f>IF(OR(COUNTA(A47:E47)=0,D47=""),"",IFERROR(INDEX(ca_type,MATCH(D47,ca_name,0))&amp;"",""))</f>
        <v>Non planifié</v>
      </c>
      <c r="I47" s="58" t="str">
        <f>IF(COUNTA(A47:E47)=0,"",IF(N(A47)&lt;=0,"Date manquante ou invalide",IF(B47="","Équipe manquante",IF(ISNA(MATCH(B47,eq_code,0)),"Équipe inconnue",IF(C47="","Poste manquant",IF(ISNA(MATCH(C47,po_code,0)),"Poste inconnu",IF(D47="","Cause manquante",IF(ISNA(MATCH(D47,ca_name,0)),"Cause inconnue",IF(H47="","Cause à compléter dans Paramètres",IF(OR(NOT(ISNUMBER(E47)),N(E47)&lt;=0,N(E47)&gt;1440),"Durée invalide",IF(COUNTIFS(sj_date,A47,sj_eq,B47,sj_po,C47)=0,"Pas de saisie journalière ce jour-là","OK")))))))))))</f>
        <v>OK</v>
      </c>
      <c r="J47">
        <f>IF(OR(I47="OK",I47="Pas de saisie journalière ce jour-là"),E47,0)</f>
        <v>41.0</v>
      </c>
      <c r="K47">
        <f>IF(AND(J47&gt;0,A47&gt;=p_from,A47&lt;=p_to),1,0)</f>
        <v>1.0</v>
      </c>
      <c r="L47">
        <f>IF(AND(K47=1,OR(pa_po="",C47=pa_po),OR(pa_eq="",B47=pa_eq)),1,0)</f>
        <v>1.0</v>
      </c>
    </row>
    <row r="48">
      <c r="A48" s="51" t="n">
        <v>46287</v>
      </c>
      <c r="B48" s="52" t="inlineStr">
        <is>
          <t>Matin</t>
        </is>
      </c>
      <c r="C48" s="52" t="inlineStr">
        <is>
          <t>PRESSE</t>
        </is>
      </c>
      <c r="D48" s="53" t="inlineStr">
        <is>
          <t>Changement d'outil</t>
        </is>
      </c>
      <c r="E48" s="60" t="n">
        <v>18</v>
      </c>
      <c r="F48" s="53" t="n"/>
      <c r="G48" s="61" t="str">
        <f>IF(OR(COUNTA(A48:E48)=0,D48=""),"",IFERROR(INDEX(ca_fam,MATCH(D48,ca_name,0))&amp;"",""))</f>
        <v>Réglage et changement de série</v>
      </c>
      <c r="H48" s="58" t="str">
        <f>IF(OR(COUNTA(A48:E48)=0,D48=""),"",IFERROR(INDEX(ca_type,MATCH(D48,ca_name,0))&amp;"",""))</f>
        <v>Non planifié</v>
      </c>
      <c r="I48" s="58" t="str">
        <f>IF(COUNTA(A48:E48)=0,"",IF(N(A48)&lt;=0,"Date manquante ou invalide",IF(B48="","Équipe manquante",IF(ISNA(MATCH(B48,eq_code,0)),"Équipe inconnue",IF(C48="","Poste manquant",IF(ISNA(MATCH(C48,po_code,0)),"Poste inconnu",IF(D48="","Cause manquante",IF(ISNA(MATCH(D48,ca_name,0)),"Cause inconnue",IF(H48="","Cause à compléter dans Paramètres",IF(OR(NOT(ISNUMBER(E48)),N(E48)&lt;=0,N(E48)&gt;1440),"Durée invalide",IF(COUNTIFS(sj_date,A48,sj_eq,B48,sj_po,C48)=0,"Pas de saisie journalière ce jour-là","OK")))))))))))</f>
        <v>OK</v>
      </c>
      <c r="J48">
        <f>IF(OR(I48="OK",I48="Pas de saisie journalière ce jour-là"),E48,0)</f>
        <v>18.0</v>
      </c>
      <c r="K48">
        <f>IF(AND(J48&gt;0,A48&gt;=p_from,A48&lt;=p_to),1,0)</f>
        <v>1.0</v>
      </c>
      <c r="L48">
        <f>IF(AND(K48=1,OR(pa_po="",C48=pa_po),OR(pa_eq="",B48=pa_eq)),1,0)</f>
        <v>1.0</v>
      </c>
    </row>
    <row r="49">
      <c r="A49" s="51" t="n">
        <v>46287</v>
      </c>
      <c r="B49" s="52" t="inlineStr">
        <is>
          <t>Journée</t>
        </is>
      </c>
      <c r="C49" s="52" t="inlineStr">
        <is>
          <t>PLIE</t>
        </is>
      </c>
      <c r="D49" s="53" t="inlineStr">
        <is>
          <t>Changement de série</t>
        </is>
      </c>
      <c r="E49" s="60" t="n">
        <v>38</v>
      </c>
      <c r="F49" s="53" t="n"/>
      <c r="G49" s="61" t="str">
        <f>IF(OR(COUNTA(A49:E49)=0,D49=""),"",IFERROR(INDEX(ca_fam,MATCH(D49,ca_name,0))&amp;"",""))</f>
        <v>Réglage et changement de série</v>
      </c>
      <c r="H49" s="58" t="str">
        <f>IF(OR(COUNTA(A49:E49)=0,D49=""),"",IFERROR(INDEX(ca_type,MATCH(D49,ca_name,0))&amp;"",""))</f>
        <v>Non planifié</v>
      </c>
      <c r="I49" s="58" t="str">
        <f>IF(COUNTA(A49:E49)=0,"",IF(N(A49)&lt;=0,"Date manquante ou invalide",IF(B49="","Équipe manquante",IF(ISNA(MATCH(B49,eq_code,0)),"Équipe inconnue",IF(C49="","Poste manquant",IF(ISNA(MATCH(C49,po_code,0)),"Poste inconnu",IF(D49="","Cause manquante",IF(ISNA(MATCH(D49,ca_name,0)),"Cause inconnue",IF(H49="","Cause à compléter dans Paramètres",IF(OR(NOT(ISNUMBER(E49)),N(E49)&lt;=0,N(E49)&gt;1440),"Durée invalide",IF(COUNTIFS(sj_date,A49,sj_eq,B49,sj_po,C49)=0,"Pas de saisie journalière ce jour-là","OK")))))))))))</f>
        <v>OK</v>
      </c>
      <c r="J49">
        <f>IF(OR(I49="OK",I49="Pas de saisie journalière ce jour-là"),E49,0)</f>
        <v>38.0</v>
      </c>
      <c r="K49">
        <f>IF(AND(J49&gt;0,A49&gt;=p_from,A49&lt;=p_to),1,0)</f>
        <v>1.0</v>
      </c>
      <c r="L49">
        <f>IF(AND(K49=1,OR(pa_po="",C49=pa_po),OR(pa_eq="",B49=pa_eq)),1,0)</f>
        <v>1.0</v>
      </c>
    </row>
    <row r="50">
      <c r="A50" s="51" t="n">
        <v>46287</v>
      </c>
      <c r="B50" s="52" t="inlineStr">
        <is>
          <t>Journée</t>
        </is>
      </c>
      <c r="C50" s="52" t="inlineStr">
        <is>
          <t>PLIE</t>
        </is>
      </c>
      <c r="D50" s="53" t="inlineStr">
        <is>
          <t>Opérateur sur un autre poste</t>
        </is>
      </c>
      <c r="E50" s="60" t="n">
        <v>56</v>
      </c>
      <c r="F50" s="53" t="n"/>
      <c r="G50" s="61" t="str">
        <f>IF(OR(COUNTA(A50:E50)=0,D50=""),"",IFERROR(INDEX(ca_fam,MATCH(D50,ca_name,0))&amp;"",""))</f>
        <v>Manque personnel</v>
      </c>
      <c r="H50" s="58" t="str">
        <f>IF(OR(COUNTA(A50:E50)=0,D50=""),"",IFERROR(INDEX(ca_type,MATCH(D50,ca_name,0))&amp;"",""))</f>
        <v>Non planifié</v>
      </c>
      <c r="I50" s="58" t="str">
        <f>IF(COUNTA(A50:E50)=0,"",IF(N(A50)&lt;=0,"Date manquante ou invalide",IF(B50="","Équipe manquante",IF(ISNA(MATCH(B50,eq_code,0)),"Équipe inconnue",IF(C50="","Poste manquant",IF(ISNA(MATCH(C50,po_code,0)),"Poste inconnu",IF(D50="","Cause manquante",IF(ISNA(MATCH(D50,ca_name,0)),"Cause inconnue",IF(H50="","Cause à compléter dans Paramètres",IF(OR(NOT(ISNUMBER(E50)),N(E50)&lt;=0,N(E50)&gt;1440),"Durée invalide",IF(COUNTIFS(sj_date,A50,sj_eq,B50,sj_po,C50)=0,"Pas de saisie journalière ce jour-là","OK")))))))))))</f>
        <v>OK</v>
      </c>
      <c r="J50">
        <f>IF(OR(I50="OK",I50="Pas de saisie journalière ce jour-là"),E50,0)</f>
        <v>56.0</v>
      </c>
      <c r="K50">
        <f>IF(AND(J50&gt;0,A50&gt;=p_from,A50&lt;=p_to),1,0)</f>
        <v>1.0</v>
      </c>
      <c r="L50">
        <f>IF(AND(K50=1,OR(pa_po="",C50=pa_po),OR(pa_eq="",B50=pa_eq)),1,0)</f>
        <v>1.0</v>
      </c>
    </row>
    <row r="51">
      <c r="A51" s="51" t="n">
        <v>46287</v>
      </c>
      <c r="B51" s="52" t="inlineStr">
        <is>
          <t>Journée</t>
        </is>
      </c>
      <c r="C51" s="52" t="inlineStr">
        <is>
          <t>PLIE</t>
        </is>
      </c>
      <c r="D51" s="53" t="inlineStr">
        <is>
          <t>Attente contrôle qualité</t>
        </is>
      </c>
      <c r="E51" s="60" t="n">
        <v>21</v>
      </c>
      <c r="F51" s="53" t="n"/>
      <c r="G51" s="61" t="str">
        <f>IF(OR(COUNTA(A51:E51)=0,D51=""),"",IFERROR(INDEX(ca_fam,MATCH(D51,ca_name,0))&amp;"",""))</f>
        <v>Qualité</v>
      </c>
      <c r="H51" s="58" t="str">
        <f>IF(OR(COUNTA(A51:E51)=0,D51=""),"",IFERROR(INDEX(ca_type,MATCH(D51,ca_name,0))&amp;"",""))</f>
        <v>Non planifié</v>
      </c>
      <c r="I51" s="58" t="str">
        <f>IF(COUNTA(A51:E51)=0,"",IF(N(A51)&lt;=0,"Date manquante ou invalide",IF(B51="","Équipe manquante",IF(ISNA(MATCH(B51,eq_code,0)),"Équipe inconnue",IF(C51="","Poste manquant",IF(ISNA(MATCH(C51,po_code,0)),"Poste inconnu",IF(D51="","Cause manquante",IF(ISNA(MATCH(D51,ca_name,0)),"Cause inconnue",IF(H51="","Cause à compléter dans Paramètres",IF(OR(NOT(ISNUMBER(E51)),N(E51)&lt;=0,N(E51)&gt;1440),"Durée invalide",IF(COUNTIFS(sj_date,A51,sj_eq,B51,sj_po,C51)=0,"Pas de saisie journalière ce jour-là","OK")))))))))))</f>
        <v>OK</v>
      </c>
      <c r="J51">
        <f>IF(OR(I51="OK",I51="Pas de saisie journalière ce jour-là"),E51,0)</f>
        <v>21.0</v>
      </c>
      <c r="K51">
        <f>IF(AND(J51&gt;0,A51&gt;=p_from,A51&lt;=p_to),1,0)</f>
        <v>1.0</v>
      </c>
      <c r="L51">
        <f>IF(AND(K51=1,OR(pa_po="",C51=pa_po),OR(pa_eq="",B51=pa_eq)),1,0)</f>
        <v>1.0</v>
      </c>
    </row>
    <row r="52">
      <c r="A52" s="51" t="n">
        <v>46287</v>
      </c>
      <c r="B52" s="52" t="inlineStr">
        <is>
          <t>Matin</t>
        </is>
      </c>
      <c r="C52" s="52" t="inlineStr">
        <is>
          <t>SOUD</t>
        </is>
      </c>
      <c r="D52" s="53" t="inlineStr">
        <is>
          <t>Changement de série</t>
        </is>
      </c>
      <c r="E52" s="60" t="n">
        <v>67</v>
      </c>
      <c r="F52" s="53" t="n"/>
      <c r="G52" s="61" t="str">
        <f>IF(OR(COUNTA(A52:E52)=0,D52=""),"",IFERROR(INDEX(ca_fam,MATCH(D52,ca_name,0))&amp;"",""))</f>
        <v>Réglage et changement de série</v>
      </c>
      <c r="H52" s="58" t="str">
        <f>IF(OR(COUNTA(A52:E52)=0,D52=""),"",IFERROR(INDEX(ca_type,MATCH(D52,ca_name,0))&amp;"",""))</f>
        <v>Non planifié</v>
      </c>
      <c r="I52" s="58" t="str">
        <f>IF(COUNTA(A52:E52)=0,"",IF(N(A52)&lt;=0,"Date manquante ou invalide",IF(B52="","Équipe manquante",IF(ISNA(MATCH(B52,eq_code,0)),"Équipe inconnue",IF(C52="","Poste manquant",IF(ISNA(MATCH(C52,po_code,0)),"Poste inconnu",IF(D52="","Cause manquante",IF(ISNA(MATCH(D52,ca_name,0)),"Cause inconnue",IF(H52="","Cause à compléter dans Paramètres",IF(OR(NOT(ISNUMBER(E52)),N(E52)&lt;=0,N(E52)&gt;1440),"Durée invalide",IF(COUNTIFS(sj_date,A52,sj_eq,B52,sj_po,C52)=0,"Pas de saisie journalière ce jour-là","OK")))))))))))</f>
        <v>OK</v>
      </c>
      <c r="J52">
        <f>IF(OR(I52="OK",I52="Pas de saisie journalière ce jour-là"),E52,0)</f>
        <v>67.0</v>
      </c>
      <c r="K52">
        <f>IF(AND(J52&gt;0,A52&gt;=p_from,A52&lt;=p_to),1,0)</f>
        <v>1.0</v>
      </c>
      <c r="L52">
        <f>IF(AND(K52=1,OR(pa_po="",C52=pa_po),OR(pa_eq="",B52=pa_eq)),1,0)</f>
        <v>1.0</v>
      </c>
    </row>
    <row r="53">
      <c r="A53" s="51" t="n">
        <v>46287</v>
      </c>
      <c r="B53" s="52" t="inlineStr">
        <is>
          <t>Matin</t>
        </is>
      </c>
      <c r="C53" s="52" t="inlineStr">
        <is>
          <t>SOUD</t>
        </is>
      </c>
      <c r="D53" s="53" t="inlineStr">
        <is>
          <t>Panne mécanique</t>
        </is>
      </c>
      <c r="E53" s="60" t="n">
        <v>137</v>
      </c>
      <c r="F53" s="53" t="n"/>
      <c r="G53" s="61" t="str">
        <f>IF(OR(COUNTA(A53:E53)=0,D53=""),"",IFERROR(INDEX(ca_fam,MATCH(D53,ca_name,0))&amp;"",""))</f>
        <v>Panne</v>
      </c>
      <c r="H53" s="58" t="str">
        <f>IF(OR(COUNTA(A53:E53)=0,D53=""),"",IFERROR(INDEX(ca_type,MATCH(D53,ca_name,0))&amp;"",""))</f>
        <v>Non planifié</v>
      </c>
      <c r="I53" s="58" t="str">
        <f>IF(COUNTA(A53:E53)=0,"",IF(N(A53)&lt;=0,"Date manquante ou invalide",IF(B53="","Équipe manquante",IF(ISNA(MATCH(B53,eq_code,0)),"Équipe inconnue",IF(C53="","Poste manquant",IF(ISNA(MATCH(C53,po_code,0)),"Poste inconnu",IF(D53="","Cause manquante",IF(ISNA(MATCH(D53,ca_name,0)),"Cause inconnue",IF(H53="","Cause à compléter dans Paramètres",IF(OR(NOT(ISNUMBER(E53)),N(E53)&lt;=0,N(E53)&gt;1440),"Durée invalide",IF(COUNTIFS(sj_date,A53,sj_eq,B53,sj_po,C53)=0,"Pas de saisie journalière ce jour-là","OK")))))))))))</f>
        <v>OK</v>
      </c>
      <c r="J53">
        <f>IF(OR(I53="OK",I53="Pas de saisie journalière ce jour-là"),E53,0)</f>
        <v>137.0</v>
      </c>
      <c r="K53">
        <f>IF(AND(J53&gt;0,A53&gt;=p_from,A53&lt;=p_to),1,0)</f>
        <v>1.0</v>
      </c>
      <c r="L53">
        <f>IF(AND(K53=1,OR(pa_po="",C53=pa_po),OR(pa_eq="",B53=pa_eq)),1,0)</f>
        <v>1.0</v>
      </c>
    </row>
    <row r="54">
      <c r="A54" s="51" t="n">
        <v>46287</v>
      </c>
      <c r="B54" s="52" t="inlineStr">
        <is>
          <t>Matin</t>
        </is>
      </c>
      <c r="C54" s="52" t="inlineStr">
        <is>
          <t>SOUD</t>
        </is>
      </c>
      <c r="D54" s="53" t="inlineStr">
        <is>
          <t>Casse outil</t>
        </is>
      </c>
      <c r="E54" s="60" t="n">
        <v>22</v>
      </c>
      <c r="F54" s="53" t="n"/>
      <c r="G54" s="61" t="str">
        <f>IF(OR(COUNTA(A54:E54)=0,D54=""),"",IFERROR(INDEX(ca_fam,MATCH(D54,ca_name,0))&amp;"",""))</f>
        <v>Panne</v>
      </c>
      <c r="H54" s="58" t="str">
        <f>IF(OR(COUNTA(A54:E54)=0,D54=""),"",IFERROR(INDEX(ca_type,MATCH(D54,ca_name,0))&amp;"",""))</f>
        <v>Non planifié</v>
      </c>
      <c r="I54" s="58" t="str">
        <f>IF(COUNTA(A54:E54)=0,"",IF(N(A54)&lt;=0,"Date manquante ou invalide",IF(B54="","Équipe manquante",IF(ISNA(MATCH(B54,eq_code,0)),"Équipe inconnue",IF(C54="","Poste manquant",IF(ISNA(MATCH(C54,po_code,0)),"Poste inconnu",IF(D54="","Cause manquante",IF(ISNA(MATCH(D54,ca_name,0)),"Cause inconnue",IF(H54="","Cause à compléter dans Paramètres",IF(OR(NOT(ISNUMBER(E54)),N(E54)&lt;=0,N(E54)&gt;1440),"Durée invalide",IF(COUNTIFS(sj_date,A54,sj_eq,B54,sj_po,C54)=0,"Pas de saisie journalière ce jour-là","OK")))))))))))</f>
        <v>OK</v>
      </c>
      <c r="J54">
        <f>IF(OR(I54="OK",I54="Pas de saisie journalière ce jour-là"),E54,0)</f>
        <v>22.0</v>
      </c>
      <c r="K54">
        <f>IF(AND(J54&gt;0,A54&gt;=p_from,A54&lt;=p_to),1,0)</f>
        <v>1.0</v>
      </c>
      <c r="L54">
        <f>IF(AND(K54=1,OR(pa_po="",C54=pa_po),OR(pa_eq="",B54=pa_eq)),1,0)</f>
        <v>1.0</v>
      </c>
    </row>
    <row r="55">
      <c r="A55" s="51" t="n">
        <v>46287</v>
      </c>
      <c r="B55" s="52" t="inlineStr">
        <is>
          <t>Après-midi</t>
        </is>
      </c>
      <c r="C55" s="52" t="inlineStr">
        <is>
          <t>SOUD</t>
        </is>
      </c>
      <c r="D55" s="53" t="inlineStr">
        <is>
          <t>Attente matière</t>
        </is>
      </c>
      <c r="E55" s="60" t="n">
        <v>64</v>
      </c>
      <c r="F55" s="53" t="n"/>
      <c r="G55" s="61" t="str">
        <f>IF(OR(COUNTA(A55:E55)=0,D55=""),"",IFERROR(INDEX(ca_fam,MATCH(D55,ca_name,0))&amp;"",""))</f>
        <v>Manque matière</v>
      </c>
      <c r="H55" s="58" t="str">
        <f>IF(OR(COUNTA(A55:E55)=0,D55=""),"",IFERROR(INDEX(ca_type,MATCH(D55,ca_name,0))&amp;"",""))</f>
        <v>Non planifié</v>
      </c>
      <c r="I55" s="58" t="str">
        <f>IF(COUNTA(A55:E55)=0,"",IF(N(A55)&lt;=0,"Date manquante ou invalide",IF(B55="","Équipe manquante",IF(ISNA(MATCH(B55,eq_code,0)),"Équipe inconnue",IF(C55="","Poste manquant",IF(ISNA(MATCH(C55,po_code,0)),"Poste inconnu",IF(D55="","Cause manquante",IF(ISNA(MATCH(D55,ca_name,0)),"Cause inconnue",IF(H55="","Cause à compléter dans Paramètres",IF(OR(NOT(ISNUMBER(E55)),N(E55)&lt;=0,N(E55)&gt;1440),"Durée invalide",IF(COUNTIFS(sj_date,A55,sj_eq,B55,sj_po,C55)=0,"Pas de saisie journalière ce jour-là","OK")))))))))))</f>
        <v>OK</v>
      </c>
      <c r="J55">
        <f>IF(OR(I55="OK",I55="Pas de saisie journalière ce jour-là"),E55,0)</f>
        <v>64.0</v>
      </c>
      <c r="K55">
        <f>IF(AND(J55&gt;0,A55&gt;=p_from,A55&lt;=p_to),1,0)</f>
        <v>1.0</v>
      </c>
      <c r="L55">
        <f>IF(AND(K55=1,OR(pa_po="",C55=pa_po),OR(pa_eq="",B55=pa_eq)),1,0)</f>
        <v>1.0</v>
      </c>
    </row>
    <row r="56">
      <c r="A56" s="51" t="n">
        <v>46287</v>
      </c>
      <c r="B56" s="52" t="inlineStr">
        <is>
          <t>Après-midi</t>
        </is>
      </c>
      <c r="C56" s="52" t="inlineStr">
        <is>
          <t>SOUD</t>
        </is>
      </c>
      <c r="D56" s="53" t="inlineStr">
        <is>
          <t>Casse outil</t>
        </is>
      </c>
      <c r="E56" s="60" t="n">
        <v>20</v>
      </c>
      <c r="F56" s="53" t="n"/>
      <c r="G56" s="61" t="str">
        <f>IF(OR(COUNTA(A56:E56)=0,D56=""),"",IFERROR(INDEX(ca_fam,MATCH(D56,ca_name,0))&amp;"",""))</f>
        <v>Panne</v>
      </c>
      <c r="H56" s="58" t="str">
        <f>IF(OR(COUNTA(A56:E56)=0,D56=""),"",IFERROR(INDEX(ca_type,MATCH(D56,ca_name,0))&amp;"",""))</f>
        <v>Non planifié</v>
      </c>
      <c r="I56" s="58" t="str">
        <f>IF(COUNTA(A56:E56)=0,"",IF(N(A56)&lt;=0,"Date manquante ou invalide",IF(B56="","Équipe manquante",IF(ISNA(MATCH(B56,eq_code,0)),"Équipe inconnue",IF(C56="","Poste manquant",IF(ISNA(MATCH(C56,po_code,0)),"Poste inconnu",IF(D56="","Cause manquante",IF(ISNA(MATCH(D56,ca_name,0)),"Cause inconnue",IF(H56="","Cause à compléter dans Paramètres",IF(OR(NOT(ISNUMBER(E56)),N(E56)&lt;=0,N(E56)&gt;1440),"Durée invalide",IF(COUNTIFS(sj_date,A56,sj_eq,B56,sj_po,C56)=0,"Pas de saisie journalière ce jour-là","OK")))))))))))</f>
        <v>OK</v>
      </c>
      <c r="J56">
        <f>IF(OR(I56="OK",I56="Pas de saisie journalière ce jour-là"),E56,0)</f>
        <v>20.0</v>
      </c>
      <c r="K56">
        <f>IF(AND(J56&gt;0,A56&gt;=p_from,A56&lt;=p_to),1,0)</f>
        <v>1.0</v>
      </c>
      <c r="L56">
        <f>IF(AND(K56=1,OR(pa_po="",C56=pa_po),OR(pa_eq="",B56=pa_eq)),1,0)</f>
        <v>1.0</v>
      </c>
    </row>
    <row r="57">
      <c r="A57" s="51" t="n">
        <v>46287</v>
      </c>
      <c r="B57" s="52" t="inlineStr">
        <is>
          <t>Après-midi</t>
        </is>
      </c>
      <c r="C57" s="52" t="inlineStr">
        <is>
          <t>SOUD</t>
        </is>
      </c>
      <c r="D57" s="53" t="inlineStr">
        <is>
          <t>Réglage en cours de production</t>
        </is>
      </c>
      <c r="E57" s="60" t="n">
        <v>20</v>
      </c>
      <c r="F57" s="53" t="n"/>
      <c r="G57" s="61" t="str">
        <f>IF(OR(COUNTA(A57:E57)=0,D57=""),"",IFERROR(INDEX(ca_fam,MATCH(D57,ca_name,0))&amp;"",""))</f>
        <v>Réglage et changement de série</v>
      </c>
      <c r="H57" s="58" t="str">
        <f>IF(OR(COUNTA(A57:E57)=0,D57=""),"",IFERROR(INDEX(ca_type,MATCH(D57,ca_name,0))&amp;"",""))</f>
        <v>Non planifié</v>
      </c>
      <c r="I57" s="58" t="str">
        <f>IF(COUNTA(A57:E57)=0,"",IF(N(A57)&lt;=0,"Date manquante ou invalide",IF(B57="","Équipe manquante",IF(ISNA(MATCH(B57,eq_code,0)),"Équipe inconnue",IF(C57="","Poste manquant",IF(ISNA(MATCH(C57,po_code,0)),"Poste inconnu",IF(D57="","Cause manquante",IF(ISNA(MATCH(D57,ca_name,0)),"Cause inconnue",IF(H57="","Cause à compléter dans Paramètres",IF(OR(NOT(ISNUMBER(E57)),N(E57)&lt;=0,N(E57)&gt;1440),"Durée invalide",IF(COUNTIFS(sj_date,A57,sj_eq,B57,sj_po,C57)=0,"Pas de saisie journalière ce jour-là","OK")))))))))))</f>
        <v>OK</v>
      </c>
      <c r="J57">
        <f>IF(OR(I57="OK",I57="Pas de saisie journalière ce jour-là"),E57,0)</f>
        <v>20.0</v>
      </c>
      <c r="K57">
        <f>IF(AND(J57&gt;0,A57&gt;=p_from,A57&lt;=p_to),1,0)</f>
        <v>1.0</v>
      </c>
      <c r="L57">
        <f>IF(AND(K57=1,OR(pa_po="",C57=pa_po),OR(pa_eq="",B57=pa_eq)),1,0)</f>
        <v>1.0</v>
      </c>
    </row>
    <row r="58">
      <c r="A58" s="51" t="n">
        <v>46288</v>
      </c>
      <c r="B58" s="52" t="inlineStr">
        <is>
          <t>Matin</t>
        </is>
      </c>
      <c r="C58" s="52" t="inlineStr">
        <is>
          <t>TOUR2</t>
        </is>
      </c>
      <c r="D58" s="53" t="inlineStr">
        <is>
          <t>Changement de série</t>
        </is>
      </c>
      <c r="E58" s="60" t="n">
        <v>37</v>
      </c>
      <c r="F58" s="53" t="n"/>
      <c r="G58" s="61" t="str">
        <f>IF(OR(COUNTA(A58:E58)=0,D58=""),"",IFERROR(INDEX(ca_fam,MATCH(D58,ca_name,0))&amp;"",""))</f>
        <v>Réglage et changement de série</v>
      </c>
      <c r="H58" s="58" t="str">
        <f>IF(OR(COUNTA(A58:E58)=0,D58=""),"",IFERROR(INDEX(ca_type,MATCH(D58,ca_name,0))&amp;"",""))</f>
        <v>Non planifié</v>
      </c>
      <c r="I58" s="58" t="str">
        <f>IF(COUNTA(A58:E58)=0,"",IF(N(A58)&lt;=0,"Date manquante ou invalide",IF(B58="","Équipe manquante",IF(ISNA(MATCH(B58,eq_code,0)),"Équipe inconnue",IF(C58="","Poste manquant",IF(ISNA(MATCH(C58,po_code,0)),"Poste inconnu",IF(D58="","Cause manquante",IF(ISNA(MATCH(D58,ca_name,0)),"Cause inconnue",IF(H58="","Cause à compléter dans Paramètres",IF(OR(NOT(ISNUMBER(E58)),N(E58)&lt;=0,N(E58)&gt;1440),"Durée invalide",IF(COUNTIFS(sj_date,A58,sj_eq,B58,sj_po,C58)=0,"Pas de saisie journalière ce jour-là","OK")))))))))))</f>
        <v>OK</v>
      </c>
      <c r="J58">
        <f>IF(OR(I58="OK",I58="Pas de saisie journalière ce jour-là"),E58,0)</f>
        <v>37.0</v>
      </c>
      <c r="K58">
        <f>IF(AND(J58&gt;0,A58&gt;=p_from,A58&lt;=p_to),1,0)</f>
        <v>1.0</v>
      </c>
      <c r="L58">
        <f>IF(AND(K58=1,OR(pa_po="",C58=pa_po),OR(pa_eq="",B58=pa_eq)),1,0)</f>
        <v>1.0</v>
      </c>
    </row>
    <row r="59">
      <c r="A59" s="51" t="n">
        <v>46288</v>
      </c>
      <c r="B59" s="52" t="inlineStr">
        <is>
          <t>Matin</t>
        </is>
      </c>
      <c r="C59" s="52" t="inlineStr">
        <is>
          <t>TOUR2</t>
        </is>
      </c>
      <c r="D59" s="53" t="inlineStr">
        <is>
          <t>Attente matière</t>
        </is>
      </c>
      <c r="E59" s="60" t="n">
        <v>70</v>
      </c>
      <c r="F59" s="53" t="n"/>
      <c r="G59" s="61" t="str">
        <f>IF(OR(COUNTA(A59:E59)=0,D59=""),"",IFERROR(INDEX(ca_fam,MATCH(D59,ca_name,0))&amp;"",""))</f>
        <v>Manque matière</v>
      </c>
      <c r="H59" s="58" t="str">
        <f>IF(OR(COUNTA(A59:E59)=0,D59=""),"",IFERROR(INDEX(ca_type,MATCH(D59,ca_name,0))&amp;"",""))</f>
        <v>Non planifié</v>
      </c>
      <c r="I59" s="58" t="str">
        <f>IF(COUNTA(A59:E59)=0,"",IF(N(A59)&lt;=0,"Date manquante ou invalide",IF(B59="","Équipe manquante",IF(ISNA(MATCH(B59,eq_code,0)),"Équipe inconnue",IF(C59="","Poste manquant",IF(ISNA(MATCH(C59,po_code,0)),"Poste inconnu",IF(D59="","Cause manquante",IF(ISNA(MATCH(D59,ca_name,0)),"Cause inconnue",IF(H59="","Cause à compléter dans Paramètres",IF(OR(NOT(ISNUMBER(E59)),N(E59)&lt;=0,N(E59)&gt;1440),"Durée invalide",IF(COUNTIFS(sj_date,A59,sj_eq,B59,sj_po,C59)=0,"Pas de saisie journalière ce jour-là","OK")))))))))))</f>
        <v>OK</v>
      </c>
      <c r="J59">
        <f>IF(OR(I59="OK",I59="Pas de saisie journalière ce jour-là"),E59,0)</f>
        <v>70.0</v>
      </c>
      <c r="K59">
        <f>IF(AND(J59&gt;0,A59&gt;=p_from,A59&lt;=p_to),1,0)</f>
        <v>1.0</v>
      </c>
      <c r="L59">
        <f>IF(AND(K59=1,OR(pa_po="",C59=pa_po),OR(pa_eq="",B59=pa_eq)),1,0)</f>
        <v>1.0</v>
      </c>
    </row>
    <row r="60">
      <c r="A60" s="51" t="n">
        <v>46288</v>
      </c>
      <c r="B60" s="52" t="inlineStr">
        <is>
          <t>Matin</t>
        </is>
      </c>
      <c r="C60" s="52" t="inlineStr">
        <is>
          <t>USIN</t>
        </is>
      </c>
      <c r="D60" s="53" t="inlineStr">
        <is>
          <t>Changement de série</t>
        </is>
      </c>
      <c r="E60" s="60" t="n">
        <v>35</v>
      </c>
      <c r="F60" s="53" t="n"/>
      <c r="G60" s="61" t="str">
        <f>IF(OR(COUNTA(A60:E60)=0,D60=""),"",IFERROR(INDEX(ca_fam,MATCH(D60,ca_name,0))&amp;"",""))</f>
        <v>Réglage et changement de série</v>
      </c>
      <c r="H60" s="58" t="str">
        <f>IF(OR(COUNTA(A60:E60)=0,D60=""),"",IFERROR(INDEX(ca_type,MATCH(D60,ca_name,0))&amp;"",""))</f>
        <v>Non planifié</v>
      </c>
      <c r="I60" s="58" t="str">
        <f>IF(COUNTA(A60:E60)=0,"",IF(N(A60)&lt;=0,"Date manquante ou invalide",IF(B60="","Équipe manquante",IF(ISNA(MATCH(B60,eq_code,0)),"Équipe inconnue",IF(C60="","Poste manquant",IF(ISNA(MATCH(C60,po_code,0)),"Poste inconnu",IF(D60="","Cause manquante",IF(ISNA(MATCH(D60,ca_name,0)),"Cause inconnue",IF(H60="","Cause à compléter dans Paramètres",IF(OR(NOT(ISNUMBER(E60)),N(E60)&lt;=0,N(E60)&gt;1440),"Durée invalide",IF(COUNTIFS(sj_date,A60,sj_eq,B60,sj_po,C60)=0,"Pas de saisie journalière ce jour-là","OK")))))))))))</f>
        <v>OK</v>
      </c>
      <c r="J60">
        <f>IF(OR(I60="OK",I60="Pas de saisie journalière ce jour-là"),E60,0)</f>
        <v>35.0</v>
      </c>
      <c r="K60">
        <f>IF(AND(J60&gt;0,A60&gt;=p_from,A60&lt;=p_to),1,0)</f>
        <v>1.0</v>
      </c>
      <c r="L60">
        <f>IF(AND(K60=1,OR(pa_po="",C60=pa_po),OR(pa_eq="",B60=pa_eq)),1,0)</f>
        <v>1.0</v>
      </c>
    </row>
    <row r="61">
      <c r="A61" s="51" t="n">
        <v>46288</v>
      </c>
      <c r="B61" s="52" t="inlineStr">
        <is>
          <t>Matin</t>
        </is>
      </c>
      <c r="C61" s="52" t="inlineStr">
        <is>
          <t>USIN</t>
        </is>
      </c>
      <c r="D61" s="53" t="inlineStr">
        <is>
          <t>Changement de série</t>
        </is>
      </c>
      <c r="E61" s="60" t="n">
        <v>52</v>
      </c>
      <c r="F61" s="53" t="n"/>
      <c r="G61" s="61" t="str">
        <f>IF(OR(COUNTA(A61:E61)=0,D61=""),"",IFERROR(INDEX(ca_fam,MATCH(D61,ca_name,0))&amp;"",""))</f>
        <v>Réglage et changement de série</v>
      </c>
      <c r="H61" s="58" t="str">
        <f>IF(OR(COUNTA(A61:E61)=0,D61=""),"",IFERROR(INDEX(ca_type,MATCH(D61,ca_name,0))&amp;"",""))</f>
        <v>Non planifié</v>
      </c>
      <c r="I61" s="58" t="str">
        <f>IF(COUNTA(A61:E61)=0,"",IF(N(A61)&lt;=0,"Date manquante ou invalide",IF(B61="","Équipe manquante",IF(ISNA(MATCH(B61,eq_code,0)),"Équipe inconnue",IF(C61="","Poste manquant",IF(ISNA(MATCH(C61,po_code,0)),"Poste inconnu",IF(D61="","Cause manquante",IF(ISNA(MATCH(D61,ca_name,0)),"Cause inconnue",IF(H61="","Cause à compléter dans Paramètres",IF(OR(NOT(ISNUMBER(E61)),N(E61)&lt;=0,N(E61)&gt;1440),"Durée invalide",IF(COUNTIFS(sj_date,A61,sj_eq,B61,sj_po,C61)=0,"Pas de saisie journalière ce jour-là","OK")))))))))))</f>
        <v>OK</v>
      </c>
      <c r="J61">
        <f>IF(OR(I61="OK",I61="Pas de saisie journalière ce jour-là"),E61,0)</f>
        <v>52.0</v>
      </c>
      <c r="K61">
        <f>IF(AND(J61&gt;0,A61&gt;=p_from,A61&lt;=p_to),1,0)</f>
        <v>1.0</v>
      </c>
      <c r="L61">
        <f>IF(AND(K61=1,OR(pa_po="",C61=pa_po),OR(pa_eq="",B61=pa_eq)),1,0)</f>
        <v>1.0</v>
      </c>
    </row>
    <row r="62">
      <c r="A62" s="51" t="n">
        <v>46288</v>
      </c>
      <c r="B62" s="52" t="inlineStr">
        <is>
          <t>Après-midi</t>
        </is>
      </c>
      <c r="C62" s="52" t="inlineStr">
        <is>
          <t>USIN</t>
        </is>
      </c>
      <c r="D62" s="53" t="inlineStr">
        <is>
          <t>Panne électrique</t>
        </is>
      </c>
      <c r="E62" s="60" t="n">
        <v>21</v>
      </c>
      <c r="F62" s="53" t="n"/>
      <c r="G62" s="61" t="str">
        <f>IF(OR(COUNTA(A62:E62)=0,D62=""),"",IFERROR(INDEX(ca_fam,MATCH(D62,ca_name,0))&amp;"",""))</f>
        <v>Panne</v>
      </c>
      <c r="H62" s="58" t="str">
        <f>IF(OR(COUNTA(A62:E62)=0,D62=""),"",IFERROR(INDEX(ca_type,MATCH(D62,ca_name,0))&amp;"",""))</f>
        <v>Non planifié</v>
      </c>
      <c r="I62" s="58" t="str">
        <f>IF(COUNTA(A62:E62)=0,"",IF(N(A62)&lt;=0,"Date manquante ou invalide",IF(B62="","Équipe manquante",IF(ISNA(MATCH(B62,eq_code,0)),"Équipe inconnue",IF(C62="","Poste manquant",IF(ISNA(MATCH(C62,po_code,0)),"Poste inconnu",IF(D62="","Cause manquante",IF(ISNA(MATCH(D62,ca_name,0)),"Cause inconnue",IF(H62="","Cause à compléter dans Paramètres",IF(OR(NOT(ISNUMBER(E62)),N(E62)&lt;=0,N(E62)&gt;1440),"Durée invalide",IF(COUNTIFS(sj_date,A62,sj_eq,B62,sj_po,C62)=0,"Pas de saisie journalière ce jour-là","OK")))))))))))</f>
        <v>OK</v>
      </c>
      <c r="J62">
        <f>IF(OR(I62="OK",I62="Pas de saisie journalière ce jour-là"),E62,0)</f>
        <v>21.0</v>
      </c>
      <c r="K62">
        <f>IF(AND(J62&gt;0,A62&gt;=p_from,A62&lt;=p_to),1,0)</f>
        <v>1.0</v>
      </c>
      <c r="L62">
        <f>IF(AND(K62=1,OR(pa_po="",C62=pa_po),OR(pa_eq="",B62=pa_eq)),1,0)</f>
        <v>1.0</v>
      </c>
    </row>
    <row r="63">
      <c r="A63" s="51" t="n">
        <v>46288</v>
      </c>
      <c r="B63" s="52" t="inlineStr">
        <is>
          <t>Matin</t>
        </is>
      </c>
      <c r="C63" s="52" t="inlineStr">
        <is>
          <t>PRESSE</t>
        </is>
      </c>
      <c r="D63" s="53" t="inlineStr">
        <is>
          <t>Changement de série</t>
        </is>
      </c>
      <c r="E63" s="60" t="n">
        <v>51</v>
      </c>
      <c r="F63" s="53" t="n"/>
      <c r="G63" s="61" t="str">
        <f>IF(OR(COUNTA(A63:E63)=0,D63=""),"",IFERROR(INDEX(ca_fam,MATCH(D63,ca_name,0))&amp;"",""))</f>
        <v>Réglage et changement de série</v>
      </c>
      <c r="H63" s="58" t="str">
        <f>IF(OR(COUNTA(A63:E63)=0,D63=""),"",IFERROR(INDEX(ca_type,MATCH(D63,ca_name,0))&amp;"",""))</f>
        <v>Non planifié</v>
      </c>
      <c r="I63" s="58" t="str">
        <f>IF(COUNTA(A63:E63)=0,"",IF(N(A63)&lt;=0,"Date manquante ou invalide",IF(B63="","Équipe manquante",IF(ISNA(MATCH(B63,eq_code,0)),"Équipe inconnue",IF(C63="","Poste manquant",IF(ISNA(MATCH(C63,po_code,0)),"Poste inconnu",IF(D63="","Cause manquante",IF(ISNA(MATCH(D63,ca_name,0)),"Cause inconnue",IF(H63="","Cause à compléter dans Paramètres",IF(OR(NOT(ISNUMBER(E63)),N(E63)&lt;=0,N(E63)&gt;1440),"Durée invalide",IF(COUNTIFS(sj_date,A63,sj_eq,B63,sj_po,C63)=0,"Pas de saisie journalière ce jour-là","OK")))))))))))</f>
        <v>OK</v>
      </c>
      <c r="J63">
        <f>IF(OR(I63="OK",I63="Pas de saisie journalière ce jour-là"),E63,0)</f>
        <v>51.0</v>
      </c>
      <c r="K63">
        <f>IF(AND(J63&gt;0,A63&gt;=p_from,A63&lt;=p_to),1,0)</f>
        <v>1.0</v>
      </c>
      <c r="L63">
        <f>IF(AND(K63=1,OR(pa_po="",C63=pa_po),OR(pa_eq="",B63=pa_eq)),1,0)</f>
        <v>1.0</v>
      </c>
    </row>
    <row r="64">
      <c r="A64" s="51" t="n">
        <v>46288</v>
      </c>
      <c r="B64" s="52" t="inlineStr">
        <is>
          <t>Journée</t>
        </is>
      </c>
      <c r="C64" s="52" t="inlineStr">
        <is>
          <t>PLIE</t>
        </is>
      </c>
      <c r="D64" s="53" t="inlineStr">
        <is>
          <t>Changement de série</t>
        </is>
      </c>
      <c r="E64" s="60" t="n">
        <v>53</v>
      </c>
      <c r="F64" s="53" t="n"/>
      <c r="G64" s="61" t="str">
        <f>IF(OR(COUNTA(A64:E64)=0,D64=""),"",IFERROR(INDEX(ca_fam,MATCH(D64,ca_name,0))&amp;"",""))</f>
        <v>Réglage et changement de série</v>
      </c>
      <c r="H64" s="58" t="str">
        <f>IF(OR(COUNTA(A64:E64)=0,D64=""),"",IFERROR(INDEX(ca_type,MATCH(D64,ca_name,0))&amp;"",""))</f>
        <v>Non planifié</v>
      </c>
      <c r="I64" s="58" t="str">
        <f>IF(COUNTA(A64:E64)=0,"",IF(N(A64)&lt;=0,"Date manquante ou invalide",IF(B64="","Équipe manquante",IF(ISNA(MATCH(B64,eq_code,0)),"Équipe inconnue",IF(C64="","Poste manquant",IF(ISNA(MATCH(C64,po_code,0)),"Poste inconnu",IF(D64="","Cause manquante",IF(ISNA(MATCH(D64,ca_name,0)),"Cause inconnue",IF(H64="","Cause à compléter dans Paramètres",IF(OR(NOT(ISNUMBER(E64)),N(E64)&lt;=0,N(E64)&gt;1440),"Durée invalide",IF(COUNTIFS(sj_date,A64,sj_eq,B64,sj_po,C64)=0,"Pas de saisie journalière ce jour-là","OK")))))))))))</f>
        <v>OK</v>
      </c>
      <c r="J64">
        <f>IF(OR(I64="OK",I64="Pas de saisie journalière ce jour-là"),E64,0)</f>
        <v>53.0</v>
      </c>
      <c r="K64">
        <f>IF(AND(J64&gt;0,A64&gt;=p_from,A64&lt;=p_to),1,0)</f>
        <v>1.0</v>
      </c>
      <c r="L64">
        <f>IF(AND(K64=1,OR(pa_po="",C64=pa_po),OR(pa_eq="",B64=pa_eq)),1,0)</f>
        <v>1.0</v>
      </c>
    </row>
    <row r="65">
      <c r="A65" s="51" t="n">
        <v>46288</v>
      </c>
      <c r="B65" s="52" t="inlineStr">
        <is>
          <t>Journée</t>
        </is>
      </c>
      <c r="C65" s="52" t="inlineStr">
        <is>
          <t>PLIE</t>
        </is>
      </c>
      <c r="D65" s="53" t="inlineStr">
        <is>
          <t>Arrêt pour non-conformité</t>
        </is>
      </c>
      <c r="E65" s="60" t="n">
        <v>46</v>
      </c>
      <c r="F65" s="53" t="n"/>
      <c r="G65" s="61" t="str">
        <f>IF(OR(COUNTA(A65:E65)=0,D65=""),"",IFERROR(INDEX(ca_fam,MATCH(D65,ca_name,0))&amp;"",""))</f>
        <v>Qualité</v>
      </c>
      <c r="H65" s="58" t="str">
        <f>IF(OR(COUNTA(A65:E65)=0,D65=""),"",IFERROR(INDEX(ca_type,MATCH(D65,ca_name,0))&amp;"",""))</f>
        <v>Non planifié</v>
      </c>
      <c r="I65" s="58" t="str">
        <f>IF(COUNTA(A65:E65)=0,"",IF(N(A65)&lt;=0,"Date manquante ou invalide",IF(B65="","Équipe manquante",IF(ISNA(MATCH(B65,eq_code,0)),"Équipe inconnue",IF(C65="","Poste manquant",IF(ISNA(MATCH(C65,po_code,0)),"Poste inconnu",IF(D65="","Cause manquante",IF(ISNA(MATCH(D65,ca_name,0)),"Cause inconnue",IF(H65="","Cause à compléter dans Paramètres",IF(OR(NOT(ISNUMBER(E65)),N(E65)&lt;=0,N(E65)&gt;1440),"Durée invalide",IF(COUNTIFS(sj_date,A65,sj_eq,B65,sj_po,C65)=0,"Pas de saisie journalière ce jour-là","OK")))))))))))</f>
        <v>OK</v>
      </c>
      <c r="J65">
        <f>IF(OR(I65="OK",I65="Pas de saisie journalière ce jour-là"),E65,0)</f>
        <v>46.0</v>
      </c>
      <c r="K65">
        <f>IF(AND(J65&gt;0,A65&gt;=p_from,A65&lt;=p_to),1,0)</f>
        <v>1.0</v>
      </c>
      <c r="L65">
        <f>IF(AND(K65=1,OR(pa_po="",C65=pa_po),OR(pa_eq="",B65=pa_eq)),1,0)</f>
        <v>1.0</v>
      </c>
    </row>
    <row r="66">
      <c r="A66" s="51" t="n">
        <v>46288</v>
      </c>
      <c r="B66" s="52" t="inlineStr">
        <is>
          <t>Journée</t>
        </is>
      </c>
      <c r="C66" s="52" t="inlineStr">
        <is>
          <t>PLIE</t>
        </is>
      </c>
      <c r="D66" s="53" t="inlineStr">
        <is>
          <t>Réglage en cours de production</t>
        </is>
      </c>
      <c r="E66" s="60" t="n">
        <v>20</v>
      </c>
      <c r="F66" s="53" t="n"/>
      <c r="G66" s="61" t="str">
        <f>IF(OR(COUNTA(A66:E66)=0,D66=""),"",IFERROR(INDEX(ca_fam,MATCH(D66,ca_name,0))&amp;"",""))</f>
        <v>Réglage et changement de série</v>
      </c>
      <c r="H66" s="58" t="str">
        <f>IF(OR(COUNTA(A66:E66)=0,D66=""),"",IFERROR(INDEX(ca_type,MATCH(D66,ca_name,0))&amp;"",""))</f>
        <v>Non planifié</v>
      </c>
      <c r="I66" s="58" t="str">
        <f>IF(COUNTA(A66:E66)=0,"",IF(N(A66)&lt;=0,"Date manquante ou invalide",IF(B66="","Équipe manquante",IF(ISNA(MATCH(B66,eq_code,0)),"Équipe inconnue",IF(C66="","Poste manquant",IF(ISNA(MATCH(C66,po_code,0)),"Poste inconnu",IF(D66="","Cause manquante",IF(ISNA(MATCH(D66,ca_name,0)),"Cause inconnue",IF(H66="","Cause à compléter dans Paramètres",IF(OR(NOT(ISNUMBER(E66)),N(E66)&lt;=0,N(E66)&gt;1440),"Durée invalide",IF(COUNTIFS(sj_date,A66,sj_eq,B66,sj_po,C66)=0,"Pas de saisie journalière ce jour-là","OK")))))))))))</f>
        <v>OK</v>
      </c>
      <c r="J66">
        <f>IF(OR(I66="OK",I66="Pas de saisie journalière ce jour-là"),E66,0)</f>
        <v>20.0</v>
      </c>
      <c r="K66">
        <f>IF(AND(J66&gt;0,A66&gt;=p_from,A66&lt;=p_to),1,0)</f>
        <v>1.0</v>
      </c>
      <c r="L66">
        <f>IF(AND(K66=1,OR(pa_po="",C66=pa_po),OR(pa_eq="",B66=pa_eq)),1,0)</f>
        <v>1.0</v>
      </c>
    </row>
    <row r="67">
      <c r="A67" s="51" t="n">
        <v>46288</v>
      </c>
      <c r="B67" s="52" t="inlineStr">
        <is>
          <t>Matin</t>
        </is>
      </c>
      <c r="C67" s="52" t="inlineStr">
        <is>
          <t>SOUD</t>
        </is>
      </c>
      <c r="D67" s="53" t="inlineStr">
        <is>
          <t>Changement d'outil</t>
        </is>
      </c>
      <c r="E67" s="60" t="n">
        <v>16</v>
      </c>
      <c r="F67" s="53" t="n"/>
      <c r="G67" s="61" t="str">
        <f>IF(OR(COUNTA(A67:E67)=0,D67=""),"",IFERROR(INDEX(ca_fam,MATCH(D67,ca_name,0))&amp;"",""))</f>
        <v>Réglage et changement de série</v>
      </c>
      <c r="H67" s="58" t="str">
        <f>IF(OR(COUNTA(A67:E67)=0,D67=""),"",IFERROR(INDEX(ca_type,MATCH(D67,ca_name,0))&amp;"",""))</f>
        <v>Non planifié</v>
      </c>
      <c r="I67" s="58" t="str">
        <f>IF(COUNTA(A67:E67)=0,"",IF(N(A67)&lt;=0,"Date manquante ou invalide",IF(B67="","Équipe manquante",IF(ISNA(MATCH(B67,eq_code,0)),"Équipe inconnue",IF(C67="","Poste manquant",IF(ISNA(MATCH(C67,po_code,0)),"Poste inconnu",IF(D67="","Cause manquante",IF(ISNA(MATCH(D67,ca_name,0)),"Cause inconnue",IF(H67="","Cause à compléter dans Paramètres",IF(OR(NOT(ISNUMBER(E67)),N(E67)&lt;=0,N(E67)&gt;1440),"Durée invalide",IF(COUNTIFS(sj_date,A67,sj_eq,B67,sj_po,C67)=0,"Pas de saisie journalière ce jour-là","OK")))))))))))</f>
        <v>OK</v>
      </c>
      <c r="J67">
        <f>IF(OR(I67="OK",I67="Pas de saisie journalière ce jour-là"),E67,0)</f>
        <v>16.0</v>
      </c>
      <c r="K67">
        <f>IF(AND(J67&gt;0,A67&gt;=p_from,A67&lt;=p_to),1,0)</f>
        <v>1.0</v>
      </c>
      <c r="L67">
        <f>IF(AND(K67=1,OR(pa_po="",C67=pa_po),OR(pa_eq="",B67=pa_eq)),1,0)</f>
        <v>1.0</v>
      </c>
    </row>
    <row r="68">
      <c r="A68" s="51" t="n">
        <v>46288</v>
      </c>
      <c r="B68" s="52" t="inlineStr">
        <is>
          <t>Matin</t>
        </is>
      </c>
      <c r="C68" s="52" t="inlineStr">
        <is>
          <t>SOUD</t>
        </is>
      </c>
      <c r="D68" s="53" t="inlineStr">
        <is>
          <t>Attente contrôle qualité</t>
        </is>
      </c>
      <c r="E68" s="60" t="n">
        <v>14</v>
      </c>
      <c r="F68" s="53" t="n"/>
      <c r="G68" s="61" t="str">
        <f>IF(OR(COUNTA(A68:E68)=0,D68=""),"",IFERROR(INDEX(ca_fam,MATCH(D68,ca_name,0))&amp;"",""))</f>
        <v>Qualité</v>
      </c>
      <c r="H68" s="58" t="str">
        <f>IF(OR(COUNTA(A68:E68)=0,D68=""),"",IFERROR(INDEX(ca_type,MATCH(D68,ca_name,0))&amp;"",""))</f>
        <v>Non planifié</v>
      </c>
      <c r="I68" s="58" t="str">
        <f>IF(COUNTA(A68:E68)=0,"",IF(N(A68)&lt;=0,"Date manquante ou invalide",IF(B68="","Équipe manquante",IF(ISNA(MATCH(B68,eq_code,0)),"Équipe inconnue",IF(C68="","Poste manquant",IF(ISNA(MATCH(C68,po_code,0)),"Poste inconnu",IF(D68="","Cause manquante",IF(ISNA(MATCH(D68,ca_name,0)),"Cause inconnue",IF(H68="","Cause à compléter dans Paramètres",IF(OR(NOT(ISNUMBER(E68)),N(E68)&lt;=0,N(E68)&gt;1440),"Durée invalide",IF(COUNTIFS(sj_date,A68,sj_eq,B68,sj_po,C68)=0,"Pas de saisie journalière ce jour-là","OK")))))))))))</f>
        <v>OK</v>
      </c>
      <c r="J68">
        <f>IF(OR(I68="OK",I68="Pas de saisie journalière ce jour-là"),E68,0)</f>
        <v>14.0</v>
      </c>
      <c r="K68">
        <f>IF(AND(J68&gt;0,A68&gt;=p_from,A68&lt;=p_to),1,0)</f>
        <v>1.0</v>
      </c>
      <c r="L68">
        <f>IF(AND(K68=1,OR(pa_po="",C68=pa_po),OR(pa_eq="",B68=pa_eq)),1,0)</f>
        <v>1.0</v>
      </c>
    </row>
    <row r="69">
      <c r="A69" s="51" t="n">
        <v>46288</v>
      </c>
      <c r="B69" s="52" t="inlineStr">
        <is>
          <t>Matin</t>
        </is>
      </c>
      <c r="C69" s="52" t="inlineStr">
        <is>
          <t>SOUD</t>
        </is>
      </c>
      <c r="D69" s="53" t="inlineStr">
        <is>
          <t>Changement de série</t>
        </is>
      </c>
      <c r="E69" s="60" t="n">
        <v>51</v>
      </c>
      <c r="F69" s="53" t="n"/>
      <c r="G69" s="61" t="str">
        <f>IF(OR(COUNTA(A69:E69)=0,D69=""),"",IFERROR(INDEX(ca_fam,MATCH(D69,ca_name,0))&amp;"",""))</f>
        <v>Réglage et changement de série</v>
      </c>
      <c r="H69" s="58" t="str">
        <f>IF(OR(COUNTA(A69:E69)=0,D69=""),"",IFERROR(INDEX(ca_type,MATCH(D69,ca_name,0))&amp;"",""))</f>
        <v>Non planifié</v>
      </c>
      <c r="I69" s="58" t="str">
        <f>IF(COUNTA(A69:E69)=0,"",IF(N(A69)&lt;=0,"Date manquante ou invalide",IF(B69="","Équipe manquante",IF(ISNA(MATCH(B69,eq_code,0)),"Équipe inconnue",IF(C69="","Poste manquant",IF(ISNA(MATCH(C69,po_code,0)),"Poste inconnu",IF(D69="","Cause manquante",IF(ISNA(MATCH(D69,ca_name,0)),"Cause inconnue",IF(H69="","Cause à compléter dans Paramètres",IF(OR(NOT(ISNUMBER(E69)),N(E69)&lt;=0,N(E69)&gt;1440),"Durée invalide",IF(COUNTIFS(sj_date,A69,sj_eq,B69,sj_po,C69)=0,"Pas de saisie journalière ce jour-là","OK")))))))))))</f>
        <v>OK</v>
      </c>
      <c r="J69">
        <f>IF(OR(I69="OK",I69="Pas de saisie journalière ce jour-là"),E69,0)</f>
        <v>51.0</v>
      </c>
      <c r="K69">
        <f>IF(AND(J69&gt;0,A69&gt;=p_from,A69&lt;=p_to),1,0)</f>
        <v>1.0</v>
      </c>
      <c r="L69">
        <f>IF(AND(K69=1,OR(pa_po="",C69=pa_po),OR(pa_eq="",B69=pa_eq)),1,0)</f>
        <v>1.0</v>
      </c>
    </row>
    <row r="70">
      <c r="A70" s="51" t="n">
        <v>46288</v>
      </c>
      <c r="B70" s="52" t="inlineStr">
        <is>
          <t>Après-midi</t>
        </is>
      </c>
      <c r="C70" s="52" t="inlineStr">
        <is>
          <t>SOUD</t>
        </is>
      </c>
      <c r="D70" s="53" t="inlineStr">
        <is>
          <t>Réglage en cours de production</t>
        </is>
      </c>
      <c r="E70" s="60" t="n">
        <v>6</v>
      </c>
      <c r="F70" s="53" t="n"/>
      <c r="G70" s="61" t="str">
        <f>IF(OR(COUNTA(A70:E70)=0,D70=""),"",IFERROR(INDEX(ca_fam,MATCH(D70,ca_name,0))&amp;"",""))</f>
        <v>Réglage et changement de série</v>
      </c>
      <c r="H70" s="58" t="str">
        <f>IF(OR(COUNTA(A70:E70)=0,D70=""),"",IFERROR(INDEX(ca_type,MATCH(D70,ca_name,0))&amp;"",""))</f>
        <v>Non planifié</v>
      </c>
      <c r="I70" s="58" t="str">
        <f>IF(COUNTA(A70:E70)=0,"",IF(N(A70)&lt;=0,"Date manquante ou invalide",IF(B70="","Équipe manquante",IF(ISNA(MATCH(B70,eq_code,0)),"Équipe inconnue",IF(C70="","Poste manquant",IF(ISNA(MATCH(C70,po_code,0)),"Poste inconnu",IF(D70="","Cause manquante",IF(ISNA(MATCH(D70,ca_name,0)),"Cause inconnue",IF(H70="","Cause à compléter dans Paramètres",IF(OR(NOT(ISNUMBER(E70)),N(E70)&lt;=0,N(E70)&gt;1440),"Durée invalide",IF(COUNTIFS(sj_date,A70,sj_eq,B70,sj_po,C70)=0,"Pas de saisie journalière ce jour-là","OK")))))))))))</f>
        <v>OK</v>
      </c>
      <c r="J70">
        <f>IF(OR(I70="OK",I70="Pas de saisie journalière ce jour-là"),E70,0)</f>
        <v>6.0</v>
      </c>
      <c r="K70">
        <f>IF(AND(J70&gt;0,A70&gt;=p_from,A70&lt;=p_to),1,0)</f>
        <v>1.0</v>
      </c>
      <c r="L70">
        <f>IF(AND(K70=1,OR(pa_po="",C70=pa_po),OR(pa_eq="",B70=pa_eq)),1,0)</f>
        <v>1.0</v>
      </c>
    </row>
    <row r="71">
      <c r="A71" s="51" t="n">
        <v>46288</v>
      </c>
      <c r="B71" s="52" t="inlineStr">
        <is>
          <t>Après-midi</t>
        </is>
      </c>
      <c r="C71" s="52" t="inlineStr">
        <is>
          <t>SOUD</t>
        </is>
      </c>
      <c r="D71" s="53" t="inlineStr">
        <is>
          <t>Attente contrôle qualité</t>
        </is>
      </c>
      <c r="E71" s="60" t="n">
        <v>20</v>
      </c>
      <c r="F71" s="53" t="n"/>
      <c r="G71" s="61" t="str">
        <f>IF(OR(COUNTA(A71:E71)=0,D71=""),"",IFERROR(INDEX(ca_fam,MATCH(D71,ca_name,0))&amp;"",""))</f>
        <v>Qualité</v>
      </c>
      <c r="H71" s="58" t="str">
        <f>IF(OR(COUNTA(A71:E71)=0,D71=""),"",IFERROR(INDEX(ca_type,MATCH(D71,ca_name,0))&amp;"",""))</f>
        <v>Non planifié</v>
      </c>
      <c r="I71" s="58" t="str">
        <f>IF(COUNTA(A71:E71)=0,"",IF(N(A71)&lt;=0,"Date manquante ou invalide",IF(B71="","Équipe manquante",IF(ISNA(MATCH(B71,eq_code,0)),"Équipe inconnue",IF(C71="","Poste manquant",IF(ISNA(MATCH(C71,po_code,0)),"Poste inconnu",IF(D71="","Cause manquante",IF(ISNA(MATCH(D71,ca_name,0)),"Cause inconnue",IF(H71="","Cause à compléter dans Paramètres",IF(OR(NOT(ISNUMBER(E71)),N(E71)&lt;=0,N(E71)&gt;1440),"Durée invalide",IF(COUNTIFS(sj_date,A71,sj_eq,B71,sj_po,C71)=0,"Pas de saisie journalière ce jour-là","OK")))))))))))</f>
        <v>OK</v>
      </c>
      <c r="J71">
        <f>IF(OR(I71="OK",I71="Pas de saisie journalière ce jour-là"),E71,0)</f>
        <v>20.0</v>
      </c>
      <c r="K71">
        <f>IF(AND(J71&gt;0,A71&gt;=p_from,A71&lt;=p_to),1,0)</f>
        <v>1.0</v>
      </c>
      <c r="L71">
        <f>IF(AND(K71=1,OR(pa_po="",C71=pa_po),OR(pa_eq="",B71=pa_eq)),1,0)</f>
        <v>1.0</v>
      </c>
    </row>
    <row r="72">
      <c r="A72" s="51" t="n">
        <v>46288</v>
      </c>
      <c r="B72" s="52" t="inlineStr">
        <is>
          <t>Après-midi</t>
        </is>
      </c>
      <c r="C72" s="52" t="inlineStr">
        <is>
          <t>SOUD</t>
        </is>
      </c>
      <c r="D72" s="53" t="inlineStr">
        <is>
          <t>Opérateur sur un autre poste</t>
        </is>
      </c>
      <c r="E72" s="60" t="n">
        <v>29</v>
      </c>
      <c r="F72" s="53" t="n"/>
      <c r="G72" s="61" t="str">
        <f>IF(OR(COUNTA(A72:E72)=0,D72=""),"",IFERROR(INDEX(ca_fam,MATCH(D72,ca_name,0))&amp;"",""))</f>
        <v>Manque personnel</v>
      </c>
      <c r="H72" s="58" t="str">
        <f>IF(OR(COUNTA(A72:E72)=0,D72=""),"",IFERROR(INDEX(ca_type,MATCH(D72,ca_name,0))&amp;"",""))</f>
        <v>Non planifié</v>
      </c>
      <c r="I72" s="58" t="str">
        <f>IF(COUNTA(A72:E72)=0,"",IF(N(A72)&lt;=0,"Date manquante ou invalide",IF(B72="","Équipe manquante",IF(ISNA(MATCH(B72,eq_code,0)),"Équipe inconnue",IF(C72="","Poste manquant",IF(ISNA(MATCH(C72,po_code,0)),"Poste inconnu",IF(D72="","Cause manquante",IF(ISNA(MATCH(D72,ca_name,0)),"Cause inconnue",IF(H72="","Cause à compléter dans Paramètres",IF(OR(NOT(ISNUMBER(E72)),N(E72)&lt;=0,N(E72)&gt;1440),"Durée invalide",IF(COUNTIFS(sj_date,A72,sj_eq,B72,sj_po,C72)=0,"Pas de saisie journalière ce jour-là","OK")))))))))))</f>
        <v>OK</v>
      </c>
      <c r="J72">
        <f>IF(OR(I72="OK",I72="Pas de saisie journalière ce jour-là"),E72,0)</f>
        <v>29.0</v>
      </c>
      <c r="K72">
        <f>IF(AND(J72&gt;0,A72&gt;=p_from,A72&lt;=p_to),1,0)</f>
        <v>1.0</v>
      </c>
      <c r="L72">
        <f>IF(AND(K72=1,OR(pa_po="",C72=pa_po),OR(pa_eq="",B72=pa_eq)),1,0)</f>
        <v>1.0</v>
      </c>
    </row>
    <row r="73">
      <c r="A73" s="51" t="n">
        <v>46289</v>
      </c>
      <c r="B73" s="52" t="inlineStr">
        <is>
          <t>Matin</t>
        </is>
      </c>
      <c r="C73" s="52" t="inlineStr">
        <is>
          <t>TOUR1</t>
        </is>
      </c>
      <c r="D73" s="53" t="inlineStr">
        <is>
          <t>Changement de série</t>
        </is>
      </c>
      <c r="E73" s="60" t="n">
        <v>43</v>
      </c>
      <c r="F73" s="53" t="n"/>
      <c r="G73" s="61" t="str">
        <f>IF(OR(COUNTA(A73:E73)=0,D73=""),"",IFERROR(INDEX(ca_fam,MATCH(D73,ca_name,0))&amp;"",""))</f>
        <v>Réglage et changement de série</v>
      </c>
      <c r="H73" s="58" t="str">
        <f>IF(OR(COUNTA(A73:E73)=0,D73=""),"",IFERROR(INDEX(ca_type,MATCH(D73,ca_name,0))&amp;"",""))</f>
        <v>Non planifié</v>
      </c>
      <c r="I73" s="58" t="str">
        <f>IF(COUNTA(A73:E73)=0,"",IF(N(A73)&lt;=0,"Date manquante ou invalide",IF(B73="","Équipe manquante",IF(ISNA(MATCH(B73,eq_code,0)),"Équipe inconnue",IF(C73="","Poste manquant",IF(ISNA(MATCH(C73,po_code,0)),"Poste inconnu",IF(D73="","Cause manquante",IF(ISNA(MATCH(D73,ca_name,0)),"Cause inconnue",IF(H73="","Cause à compléter dans Paramètres",IF(OR(NOT(ISNUMBER(E73)),N(E73)&lt;=0,N(E73)&gt;1440),"Durée invalide",IF(COUNTIFS(sj_date,A73,sj_eq,B73,sj_po,C73)=0,"Pas de saisie journalière ce jour-là","OK")))))))))))</f>
        <v>OK</v>
      </c>
      <c r="J73">
        <f>IF(OR(I73="OK",I73="Pas de saisie journalière ce jour-là"),E73,0)</f>
        <v>43.0</v>
      </c>
      <c r="K73">
        <f>IF(AND(J73&gt;0,A73&gt;=p_from,A73&lt;=p_to),1,0)</f>
        <v>1.0</v>
      </c>
      <c r="L73">
        <f>IF(AND(K73=1,OR(pa_po="",C73=pa_po),OR(pa_eq="",B73=pa_eq)),1,0)</f>
        <v>1.0</v>
      </c>
    </row>
    <row r="74">
      <c r="A74" s="51" t="n">
        <v>46289</v>
      </c>
      <c r="B74" s="52" t="inlineStr">
        <is>
          <t>Après-midi</t>
        </is>
      </c>
      <c r="C74" s="52" t="inlineStr">
        <is>
          <t>TOUR1</t>
        </is>
      </c>
      <c r="D74" s="53" t="inlineStr">
        <is>
          <t>Changement de série</t>
        </is>
      </c>
      <c r="E74" s="60" t="n">
        <v>50</v>
      </c>
      <c r="F74" s="53" t="n"/>
      <c r="G74" s="61" t="str">
        <f>IF(OR(COUNTA(A74:E74)=0,D74=""),"",IFERROR(INDEX(ca_fam,MATCH(D74,ca_name,0))&amp;"",""))</f>
        <v>Réglage et changement de série</v>
      </c>
      <c r="H74" s="58" t="str">
        <f>IF(OR(COUNTA(A74:E74)=0,D74=""),"",IFERROR(INDEX(ca_type,MATCH(D74,ca_name,0))&amp;"",""))</f>
        <v>Non planifié</v>
      </c>
      <c r="I74" s="58" t="str">
        <f>IF(COUNTA(A74:E74)=0,"",IF(N(A74)&lt;=0,"Date manquante ou invalide",IF(B74="","Équipe manquante",IF(ISNA(MATCH(B74,eq_code,0)),"Équipe inconnue",IF(C74="","Poste manquant",IF(ISNA(MATCH(C74,po_code,0)),"Poste inconnu",IF(D74="","Cause manquante",IF(ISNA(MATCH(D74,ca_name,0)),"Cause inconnue",IF(H74="","Cause à compléter dans Paramètres",IF(OR(NOT(ISNUMBER(E74)),N(E74)&lt;=0,N(E74)&gt;1440),"Durée invalide",IF(COUNTIFS(sj_date,A74,sj_eq,B74,sj_po,C74)=0,"Pas de saisie journalière ce jour-là","OK")))))))))))</f>
        <v>OK</v>
      </c>
      <c r="J74">
        <f>IF(OR(I74="OK",I74="Pas de saisie journalière ce jour-là"),E74,0)</f>
        <v>50.0</v>
      </c>
      <c r="K74">
        <f>IF(AND(J74&gt;0,A74&gt;=p_from,A74&lt;=p_to),1,0)</f>
        <v>1.0</v>
      </c>
      <c r="L74">
        <f>IF(AND(K74=1,OR(pa_po="",C74=pa_po),OR(pa_eq="",B74=pa_eq)),1,0)</f>
        <v>1.0</v>
      </c>
    </row>
    <row r="75">
      <c r="A75" s="51" t="n">
        <v>46289</v>
      </c>
      <c r="B75" s="52" t="inlineStr">
        <is>
          <t>Après-midi</t>
        </is>
      </c>
      <c r="C75" s="52" t="inlineStr">
        <is>
          <t>TOUR1</t>
        </is>
      </c>
      <c r="D75" s="53" t="inlineStr">
        <is>
          <t>Attente programme ou consignes</t>
        </is>
      </c>
      <c r="E75" s="60" t="n">
        <v>28</v>
      </c>
      <c r="F75" s="53" t="n"/>
      <c r="G75" s="61" t="str">
        <f>IF(OR(COUNTA(A75:E75)=0,D75=""),"",IFERROR(INDEX(ca_fam,MATCH(D75,ca_name,0))&amp;"",""))</f>
        <v>Organisation</v>
      </c>
      <c r="H75" s="58" t="str">
        <f>IF(OR(COUNTA(A75:E75)=0,D75=""),"",IFERROR(INDEX(ca_type,MATCH(D75,ca_name,0))&amp;"",""))</f>
        <v>Non planifié</v>
      </c>
      <c r="I75" s="58" t="str">
        <f>IF(COUNTA(A75:E75)=0,"",IF(N(A75)&lt;=0,"Date manquante ou invalide",IF(B75="","Équipe manquante",IF(ISNA(MATCH(B75,eq_code,0)),"Équipe inconnue",IF(C75="","Poste manquant",IF(ISNA(MATCH(C75,po_code,0)),"Poste inconnu",IF(D75="","Cause manquante",IF(ISNA(MATCH(D75,ca_name,0)),"Cause inconnue",IF(H75="","Cause à compléter dans Paramètres",IF(OR(NOT(ISNUMBER(E75)),N(E75)&lt;=0,N(E75)&gt;1440),"Durée invalide",IF(COUNTIFS(sj_date,A75,sj_eq,B75,sj_po,C75)=0,"Pas de saisie journalière ce jour-là","OK")))))))))))</f>
        <v>OK</v>
      </c>
      <c r="J75">
        <f>IF(OR(I75="OK",I75="Pas de saisie journalière ce jour-là"),E75,0)</f>
        <v>28.0</v>
      </c>
      <c r="K75">
        <f>IF(AND(J75&gt;0,A75&gt;=p_from,A75&lt;=p_to),1,0)</f>
        <v>1.0</v>
      </c>
      <c r="L75">
        <f>IF(AND(K75=1,OR(pa_po="",C75=pa_po),OR(pa_eq="",B75=pa_eq)),1,0)</f>
        <v>1.0</v>
      </c>
    </row>
    <row r="76">
      <c r="A76" s="51" t="n">
        <v>46289</v>
      </c>
      <c r="B76" s="52" t="inlineStr">
        <is>
          <t>Matin</t>
        </is>
      </c>
      <c r="C76" s="52" t="inlineStr">
        <is>
          <t>TOUR2</t>
        </is>
      </c>
      <c r="D76" s="53" t="inlineStr">
        <is>
          <t>Changement d'outil</t>
        </is>
      </c>
      <c r="E76" s="60" t="n">
        <v>12</v>
      </c>
      <c r="F76" s="53" t="n"/>
      <c r="G76" s="61" t="str">
        <f>IF(OR(COUNTA(A76:E76)=0,D76=""),"",IFERROR(INDEX(ca_fam,MATCH(D76,ca_name,0))&amp;"",""))</f>
        <v>Réglage et changement de série</v>
      </c>
      <c r="H76" s="58" t="str">
        <f>IF(OR(COUNTA(A76:E76)=0,D76=""),"",IFERROR(INDEX(ca_type,MATCH(D76,ca_name,0))&amp;"",""))</f>
        <v>Non planifié</v>
      </c>
      <c r="I76" s="58" t="str">
        <f>IF(COUNTA(A76:E76)=0,"",IF(N(A76)&lt;=0,"Date manquante ou invalide",IF(B76="","Équipe manquante",IF(ISNA(MATCH(B76,eq_code,0)),"Équipe inconnue",IF(C76="","Poste manquant",IF(ISNA(MATCH(C76,po_code,0)),"Poste inconnu",IF(D76="","Cause manquante",IF(ISNA(MATCH(D76,ca_name,0)),"Cause inconnue",IF(H76="","Cause à compléter dans Paramètres",IF(OR(NOT(ISNUMBER(E76)),N(E76)&lt;=0,N(E76)&gt;1440),"Durée invalide",IF(COUNTIFS(sj_date,A76,sj_eq,B76,sj_po,C76)=0,"Pas de saisie journalière ce jour-là","OK")))))))))))</f>
        <v>OK</v>
      </c>
      <c r="J76">
        <f>IF(OR(I76="OK",I76="Pas de saisie journalière ce jour-là"),E76,0)</f>
        <v>12.0</v>
      </c>
      <c r="K76">
        <f>IF(AND(J76&gt;0,A76&gt;=p_from,A76&lt;=p_to),1,0)</f>
        <v>1.0</v>
      </c>
      <c r="L76">
        <f>IF(AND(K76=1,OR(pa_po="",C76=pa_po),OR(pa_eq="",B76=pa_eq)),1,0)</f>
        <v>1.0</v>
      </c>
    </row>
    <row r="77">
      <c r="A77" s="51" t="n">
        <v>46289</v>
      </c>
      <c r="B77" s="52" t="inlineStr">
        <is>
          <t>Matin</t>
        </is>
      </c>
      <c r="C77" s="52" t="inlineStr">
        <is>
          <t>TOUR2</t>
        </is>
      </c>
      <c r="D77" s="53" t="inlineStr">
        <is>
          <t>Changement d'outil</t>
        </is>
      </c>
      <c r="E77" s="60" t="n">
        <v>8</v>
      </c>
      <c r="F77" s="53" t="n"/>
      <c r="G77" s="61" t="str">
        <f>IF(OR(COUNTA(A77:E77)=0,D77=""),"",IFERROR(INDEX(ca_fam,MATCH(D77,ca_name,0))&amp;"",""))</f>
        <v>Réglage et changement de série</v>
      </c>
      <c r="H77" s="58" t="str">
        <f>IF(OR(COUNTA(A77:E77)=0,D77=""),"",IFERROR(INDEX(ca_type,MATCH(D77,ca_name,0))&amp;"",""))</f>
        <v>Non planifié</v>
      </c>
      <c r="I77" s="58" t="str">
        <f>IF(COUNTA(A77:E77)=0,"",IF(N(A77)&lt;=0,"Date manquante ou invalide",IF(B77="","Équipe manquante",IF(ISNA(MATCH(B77,eq_code,0)),"Équipe inconnue",IF(C77="","Poste manquant",IF(ISNA(MATCH(C77,po_code,0)),"Poste inconnu",IF(D77="","Cause manquante",IF(ISNA(MATCH(D77,ca_name,0)),"Cause inconnue",IF(H77="","Cause à compléter dans Paramètres",IF(OR(NOT(ISNUMBER(E77)),N(E77)&lt;=0,N(E77)&gt;1440),"Durée invalide",IF(COUNTIFS(sj_date,A77,sj_eq,B77,sj_po,C77)=0,"Pas de saisie journalière ce jour-là","OK")))))))))))</f>
        <v>OK</v>
      </c>
      <c r="J77">
        <f>IF(OR(I77="OK",I77="Pas de saisie journalière ce jour-là"),E77,0)</f>
        <v>8.0</v>
      </c>
      <c r="K77">
        <f>IF(AND(J77&gt;0,A77&gt;=p_from,A77&lt;=p_to),1,0)</f>
        <v>1.0</v>
      </c>
      <c r="L77">
        <f>IF(AND(K77=1,OR(pa_po="",C77=pa_po),OR(pa_eq="",B77=pa_eq)),1,0)</f>
        <v>1.0</v>
      </c>
    </row>
    <row r="78">
      <c r="A78" s="51" t="n">
        <v>46289</v>
      </c>
      <c r="B78" s="52" t="inlineStr">
        <is>
          <t>Matin</t>
        </is>
      </c>
      <c r="C78" s="52" t="inlineStr">
        <is>
          <t>TOUR2</t>
        </is>
      </c>
      <c r="D78" s="53" t="inlineStr">
        <is>
          <t>Attente contrôle qualité</t>
        </is>
      </c>
      <c r="E78" s="60" t="n">
        <v>12</v>
      </c>
      <c r="F78" s="53" t="n"/>
      <c r="G78" s="61" t="str">
        <f>IF(OR(COUNTA(A78:E78)=0,D78=""),"",IFERROR(INDEX(ca_fam,MATCH(D78,ca_name,0))&amp;"",""))</f>
        <v>Qualité</v>
      </c>
      <c r="H78" s="58" t="str">
        <f>IF(OR(COUNTA(A78:E78)=0,D78=""),"",IFERROR(INDEX(ca_type,MATCH(D78,ca_name,0))&amp;"",""))</f>
        <v>Non planifié</v>
      </c>
      <c r="I78" s="58" t="str">
        <f>IF(COUNTA(A78:E78)=0,"",IF(N(A78)&lt;=0,"Date manquante ou invalide",IF(B78="","Équipe manquante",IF(ISNA(MATCH(B78,eq_code,0)),"Équipe inconnue",IF(C78="","Poste manquant",IF(ISNA(MATCH(C78,po_code,0)),"Poste inconnu",IF(D78="","Cause manquante",IF(ISNA(MATCH(D78,ca_name,0)),"Cause inconnue",IF(H78="","Cause à compléter dans Paramètres",IF(OR(NOT(ISNUMBER(E78)),N(E78)&lt;=0,N(E78)&gt;1440),"Durée invalide",IF(COUNTIFS(sj_date,A78,sj_eq,B78,sj_po,C78)=0,"Pas de saisie journalière ce jour-là","OK")))))))))))</f>
        <v>OK</v>
      </c>
      <c r="J78">
        <f>IF(OR(I78="OK",I78="Pas de saisie journalière ce jour-là"),E78,0)</f>
        <v>12.0</v>
      </c>
      <c r="K78">
        <f>IF(AND(J78&gt;0,A78&gt;=p_from,A78&lt;=p_to),1,0)</f>
        <v>1.0</v>
      </c>
      <c r="L78">
        <f>IF(AND(K78=1,OR(pa_po="",C78=pa_po),OR(pa_eq="",B78=pa_eq)),1,0)</f>
        <v>1.0</v>
      </c>
    </row>
    <row r="79">
      <c r="A79" s="51" t="n">
        <v>46289</v>
      </c>
      <c r="B79" s="52" t="inlineStr">
        <is>
          <t>Après-midi</t>
        </is>
      </c>
      <c r="C79" s="52" t="inlineStr">
        <is>
          <t>TOUR2</t>
        </is>
      </c>
      <c r="D79" s="53" t="inlineStr">
        <is>
          <t>Changement de série</t>
        </is>
      </c>
      <c r="E79" s="60" t="n">
        <v>63</v>
      </c>
      <c r="F79" s="53" t="n"/>
      <c r="G79" s="61" t="str">
        <f>IF(OR(COUNTA(A79:E79)=0,D79=""),"",IFERROR(INDEX(ca_fam,MATCH(D79,ca_name,0))&amp;"",""))</f>
        <v>Réglage et changement de série</v>
      </c>
      <c r="H79" s="58" t="str">
        <f>IF(OR(COUNTA(A79:E79)=0,D79=""),"",IFERROR(INDEX(ca_type,MATCH(D79,ca_name,0))&amp;"",""))</f>
        <v>Non planifié</v>
      </c>
      <c r="I79" s="58" t="str">
        <f>IF(COUNTA(A79:E79)=0,"",IF(N(A79)&lt;=0,"Date manquante ou invalide",IF(B79="","Équipe manquante",IF(ISNA(MATCH(B79,eq_code,0)),"Équipe inconnue",IF(C79="","Poste manquant",IF(ISNA(MATCH(C79,po_code,0)),"Poste inconnu",IF(D79="","Cause manquante",IF(ISNA(MATCH(D79,ca_name,0)),"Cause inconnue",IF(H79="","Cause à compléter dans Paramètres",IF(OR(NOT(ISNUMBER(E79)),N(E79)&lt;=0,N(E79)&gt;1440),"Durée invalide",IF(COUNTIFS(sj_date,A79,sj_eq,B79,sj_po,C79)=0,"Pas de saisie journalière ce jour-là","OK")))))))))))</f>
        <v>OK</v>
      </c>
      <c r="J79">
        <f>IF(OR(I79="OK",I79="Pas de saisie journalière ce jour-là"),E79,0)</f>
        <v>63.0</v>
      </c>
      <c r="K79">
        <f>IF(AND(J79&gt;0,A79&gt;=p_from,A79&lt;=p_to),1,0)</f>
        <v>1.0</v>
      </c>
      <c r="L79">
        <f>IF(AND(K79=1,OR(pa_po="",C79=pa_po),OR(pa_eq="",B79=pa_eq)),1,0)</f>
        <v>1.0</v>
      </c>
    </row>
    <row r="80">
      <c r="A80" s="51" t="n">
        <v>46289</v>
      </c>
      <c r="B80" s="52" t="inlineStr">
        <is>
          <t>Matin</t>
        </is>
      </c>
      <c r="C80" s="52" t="inlineStr">
        <is>
          <t>USIN</t>
        </is>
      </c>
      <c r="D80" s="53" t="inlineStr">
        <is>
          <t>Réglage en cours de production</t>
        </is>
      </c>
      <c r="E80" s="60" t="n">
        <v>22</v>
      </c>
      <c r="F80" s="53" t="n"/>
      <c r="G80" s="61" t="str">
        <f>IF(OR(COUNTA(A80:E80)=0,D80=""),"",IFERROR(INDEX(ca_fam,MATCH(D80,ca_name,0))&amp;"",""))</f>
        <v>Réglage et changement de série</v>
      </c>
      <c r="H80" s="58" t="str">
        <f>IF(OR(COUNTA(A80:E80)=0,D80=""),"",IFERROR(INDEX(ca_type,MATCH(D80,ca_name,0))&amp;"",""))</f>
        <v>Non planifié</v>
      </c>
      <c r="I80" s="58" t="str">
        <f>IF(COUNTA(A80:E80)=0,"",IF(N(A80)&lt;=0,"Date manquante ou invalide",IF(B80="","Équipe manquante",IF(ISNA(MATCH(B80,eq_code,0)),"Équipe inconnue",IF(C80="","Poste manquant",IF(ISNA(MATCH(C80,po_code,0)),"Poste inconnu",IF(D80="","Cause manquante",IF(ISNA(MATCH(D80,ca_name,0)),"Cause inconnue",IF(H80="","Cause à compléter dans Paramètres",IF(OR(NOT(ISNUMBER(E80)),N(E80)&lt;=0,N(E80)&gt;1440),"Durée invalide",IF(COUNTIFS(sj_date,A80,sj_eq,B80,sj_po,C80)=0,"Pas de saisie journalière ce jour-là","OK")))))))))))</f>
        <v>OK</v>
      </c>
      <c r="J80">
        <f>IF(OR(I80="OK",I80="Pas de saisie journalière ce jour-là"),E80,0)</f>
        <v>22.0</v>
      </c>
      <c r="K80">
        <f>IF(AND(J80&gt;0,A80&gt;=p_from,A80&lt;=p_to),1,0)</f>
        <v>1.0</v>
      </c>
      <c r="L80">
        <f>IF(AND(K80=1,OR(pa_po="",C80=pa_po),OR(pa_eq="",B80=pa_eq)),1,0)</f>
        <v>1.0</v>
      </c>
    </row>
    <row r="81">
      <c r="A81" s="51" t="n">
        <v>46289</v>
      </c>
      <c r="B81" s="52" t="inlineStr">
        <is>
          <t>Après-midi</t>
        </is>
      </c>
      <c r="C81" s="52" t="inlineStr">
        <is>
          <t>USIN</t>
        </is>
      </c>
      <c r="D81" s="53" t="inlineStr">
        <is>
          <t>Changement de série</t>
        </is>
      </c>
      <c r="E81" s="60" t="n">
        <v>42</v>
      </c>
      <c r="F81" s="53" t="n"/>
      <c r="G81" s="61" t="str">
        <f>IF(OR(COUNTA(A81:E81)=0,D81=""),"",IFERROR(INDEX(ca_fam,MATCH(D81,ca_name,0))&amp;"",""))</f>
        <v>Réglage et changement de série</v>
      </c>
      <c r="H81" s="58" t="str">
        <f>IF(OR(COUNTA(A81:E81)=0,D81=""),"",IFERROR(INDEX(ca_type,MATCH(D81,ca_name,0))&amp;"",""))</f>
        <v>Non planifié</v>
      </c>
      <c r="I81" s="58" t="str">
        <f>IF(COUNTA(A81:E81)=0,"",IF(N(A81)&lt;=0,"Date manquante ou invalide",IF(B81="","Équipe manquante",IF(ISNA(MATCH(B81,eq_code,0)),"Équipe inconnue",IF(C81="","Poste manquant",IF(ISNA(MATCH(C81,po_code,0)),"Poste inconnu",IF(D81="","Cause manquante",IF(ISNA(MATCH(D81,ca_name,0)),"Cause inconnue",IF(H81="","Cause à compléter dans Paramètres",IF(OR(NOT(ISNUMBER(E81)),N(E81)&lt;=0,N(E81)&gt;1440),"Durée invalide",IF(COUNTIFS(sj_date,A81,sj_eq,B81,sj_po,C81)=0,"Pas de saisie journalière ce jour-là","OK")))))))))))</f>
        <v>OK</v>
      </c>
      <c r="J81">
        <f>IF(OR(I81="OK",I81="Pas de saisie journalière ce jour-là"),E81,0)</f>
        <v>42.0</v>
      </c>
      <c r="K81">
        <f>IF(AND(J81&gt;0,A81&gt;=p_from,A81&lt;=p_to),1,0)</f>
        <v>1.0</v>
      </c>
      <c r="L81">
        <f>IF(AND(K81=1,OR(pa_po="",C81=pa_po),OR(pa_eq="",B81=pa_eq)),1,0)</f>
        <v>1.0</v>
      </c>
    </row>
    <row r="82">
      <c r="A82" s="51" t="n">
        <v>46289</v>
      </c>
      <c r="B82" s="52" t="inlineStr">
        <is>
          <t>Après-midi</t>
        </is>
      </c>
      <c r="C82" s="52" t="inlineStr">
        <is>
          <t>USIN</t>
        </is>
      </c>
      <c r="D82" s="53" t="inlineStr">
        <is>
          <t>Changement de série</t>
        </is>
      </c>
      <c r="E82" s="60" t="n">
        <v>55</v>
      </c>
      <c r="F82" s="53" t="n"/>
      <c r="G82" s="61" t="str">
        <f>IF(OR(COUNTA(A82:E82)=0,D82=""),"",IFERROR(INDEX(ca_fam,MATCH(D82,ca_name,0))&amp;"",""))</f>
        <v>Réglage et changement de série</v>
      </c>
      <c r="H82" s="58" t="str">
        <f>IF(OR(COUNTA(A82:E82)=0,D82=""),"",IFERROR(INDEX(ca_type,MATCH(D82,ca_name,0))&amp;"",""))</f>
        <v>Non planifié</v>
      </c>
      <c r="I82" s="58" t="str">
        <f>IF(COUNTA(A82:E82)=0,"",IF(N(A82)&lt;=0,"Date manquante ou invalide",IF(B82="","Équipe manquante",IF(ISNA(MATCH(B82,eq_code,0)),"Équipe inconnue",IF(C82="","Poste manquant",IF(ISNA(MATCH(C82,po_code,0)),"Poste inconnu",IF(D82="","Cause manquante",IF(ISNA(MATCH(D82,ca_name,0)),"Cause inconnue",IF(H82="","Cause à compléter dans Paramètres",IF(OR(NOT(ISNUMBER(E82)),N(E82)&lt;=0,N(E82)&gt;1440),"Durée invalide",IF(COUNTIFS(sj_date,A82,sj_eq,B82,sj_po,C82)=0,"Pas de saisie journalière ce jour-là","OK")))))))))))</f>
        <v>OK</v>
      </c>
      <c r="J82">
        <f>IF(OR(I82="OK",I82="Pas de saisie journalière ce jour-là"),E82,0)</f>
        <v>55.0</v>
      </c>
      <c r="K82">
        <f>IF(AND(J82&gt;0,A82&gt;=p_from,A82&lt;=p_to),1,0)</f>
        <v>1.0</v>
      </c>
      <c r="L82">
        <f>IF(AND(K82=1,OR(pa_po="",C82=pa_po),OR(pa_eq="",B82=pa_eq)),1,0)</f>
        <v>1.0</v>
      </c>
    </row>
    <row r="83">
      <c r="A83" s="51" t="n">
        <v>46289</v>
      </c>
      <c r="B83" s="52" t="inlineStr">
        <is>
          <t>Après-midi</t>
        </is>
      </c>
      <c r="C83" s="52" t="inlineStr">
        <is>
          <t>USIN</t>
        </is>
      </c>
      <c r="D83" s="53" t="inlineStr">
        <is>
          <t>Attente matière</t>
        </is>
      </c>
      <c r="E83" s="60" t="n">
        <v>73</v>
      </c>
      <c r="F83" s="53" t="n"/>
      <c r="G83" s="61" t="str">
        <f>IF(OR(COUNTA(A83:E83)=0,D83=""),"",IFERROR(INDEX(ca_fam,MATCH(D83,ca_name,0))&amp;"",""))</f>
        <v>Manque matière</v>
      </c>
      <c r="H83" s="58" t="str">
        <f>IF(OR(COUNTA(A83:E83)=0,D83=""),"",IFERROR(INDEX(ca_type,MATCH(D83,ca_name,0))&amp;"",""))</f>
        <v>Non planifié</v>
      </c>
      <c r="I83" s="58" t="str">
        <f>IF(COUNTA(A83:E83)=0,"",IF(N(A83)&lt;=0,"Date manquante ou invalide",IF(B83="","Équipe manquante",IF(ISNA(MATCH(B83,eq_code,0)),"Équipe inconnue",IF(C83="","Poste manquant",IF(ISNA(MATCH(C83,po_code,0)),"Poste inconnu",IF(D83="","Cause manquante",IF(ISNA(MATCH(D83,ca_name,0)),"Cause inconnue",IF(H83="","Cause à compléter dans Paramètres",IF(OR(NOT(ISNUMBER(E83)),N(E83)&lt;=0,N(E83)&gt;1440),"Durée invalide",IF(COUNTIFS(sj_date,A83,sj_eq,B83,sj_po,C83)=0,"Pas de saisie journalière ce jour-là","OK")))))))))))</f>
        <v>OK</v>
      </c>
      <c r="J83">
        <f>IF(OR(I83="OK",I83="Pas de saisie journalière ce jour-là"),E83,0)</f>
        <v>73.0</v>
      </c>
      <c r="K83">
        <f>IF(AND(J83&gt;0,A83&gt;=p_from,A83&lt;=p_to),1,0)</f>
        <v>1.0</v>
      </c>
      <c r="L83">
        <f>IF(AND(K83=1,OR(pa_po="",C83=pa_po),OR(pa_eq="",B83=pa_eq)),1,0)</f>
        <v>1.0</v>
      </c>
    </row>
    <row r="84">
      <c r="A84" s="51" t="n">
        <v>46289</v>
      </c>
      <c r="B84" s="52" t="inlineStr">
        <is>
          <t>Matin</t>
        </is>
      </c>
      <c r="C84" s="52" t="inlineStr">
        <is>
          <t>PRESSE</t>
        </is>
      </c>
      <c r="D84" s="53" t="inlineStr">
        <is>
          <t>Attente matière</t>
        </is>
      </c>
      <c r="E84" s="60" t="n">
        <v>26</v>
      </c>
      <c r="F84" s="53" t="n"/>
      <c r="G84" s="61" t="str">
        <f>IF(OR(COUNTA(A84:E84)=0,D84=""),"",IFERROR(INDEX(ca_fam,MATCH(D84,ca_name,0))&amp;"",""))</f>
        <v>Manque matière</v>
      </c>
      <c r="H84" s="58" t="str">
        <f>IF(OR(COUNTA(A84:E84)=0,D84=""),"",IFERROR(INDEX(ca_type,MATCH(D84,ca_name,0))&amp;"",""))</f>
        <v>Non planifié</v>
      </c>
      <c r="I84" s="58" t="str">
        <f>IF(COUNTA(A84:E84)=0,"",IF(N(A84)&lt;=0,"Date manquante ou invalide",IF(B84="","Équipe manquante",IF(ISNA(MATCH(B84,eq_code,0)),"Équipe inconnue",IF(C84="","Poste manquant",IF(ISNA(MATCH(C84,po_code,0)),"Poste inconnu",IF(D84="","Cause manquante",IF(ISNA(MATCH(D84,ca_name,0)),"Cause inconnue",IF(H84="","Cause à compléter dans Paramètres",IF(OR(NOT(ISNUMBER(E84)),N(E84)&lt;=0,N(E84)&gt;1440),"Durée invalide",IF(COUNTIFS(sj_date,A84,sj_eq,B84,sj_po,C84)=0,"Pas de saisie journalière ce jour-là","OK")))))))))))</f>
        <v>OK</v>
      </c>
      <c r="J84">
        <f>IF(OR(I84="OK",I84="Pas de saisie journalière ce jour-là"),E84,0)</f>
        <v>26.0</v>
      </c>
      <c r="K84">
        <f>IF(AND(J84&gt;0,A84&gt;=p_from,A84&lt;=p_to),1,0)</f>
        <v>1.0</v>
      </c>
      <c r="L84">
        <f>IF(AND(K84=1,OR(pa_po="",C84=pa_po),OR(pa_eq="",B84=pa_eq)),1,0)</f>
        <v>1.0</v>
      </c>
    </row>
    <row r="85">
      <c r="A85" s="51" t="n">
        <v>46289</v>
      </c>
      <c r="B85" s="52" t="inlineStr">
        <is>
          <t>Après-midi</t>
        </is>
      </c>
      <c r="C85" s="52" t="inlineStr">
        <is>
          <t>SOUD</t>
        </is>
      </c>
      <c r="D85" s="53" t="inlineStr">
        <is>
          <t>Changement de série</t>
        </is>
      </c>
      <c r="E85" s="60" t="n">
        <v>70</v>
      </c>
      <c r="F85" s="53" t="n"/>
      <c r="G85" s="61" t="str">
        <f>IF(OR(COUNTA(A85:E85)=0,D85=""),"",IFERROR(INDEX(ca_fam,MATCH(D85,ca_name,0))&amp;"",""))</f>
        <v>Réglage et changement de série</v>
      </c>
      <c r="H85" s="58" t="str">
        <f>IF(OR(COUNTA(A85:E85)=0,D85=""),"",IFERROR(INDEX(ca_type,MATCH(D85,ca_name,0))&amp;"",""))</f>
        <v>Non planifié</v>
      </c>
      <c r="I85" s="58" t="str">
        <f>IF(COUNTA(A85:E85)=0,"",IF(N(A85)&lt;=0,"Date manquante ou invalide",IF(B85="","Équipe manquante",IF(ISNA(MATCH(B85,eq_code,0)),"Équipe inconnue",IF(C85="","Poste manquant",IF(ISNA(MATCH(C85,po_code,0)),"Poste inconnu",IF(D85="","Cause manquante",IF(ISNA(MATCH(D85,ca_name,0)),"Cause inconnue",IF(H85="","Cause à compléter dans Paramètres",IF(OR(NOT(ISNUMBER(E85)),N(E85)&lt;=0,N(E85)&gt;1440),"Durée invalide",IF(COUNTIFS(sj_date,A85,sj_eq,B85,sj_po,C85)=0,"Pas de saisie journalière ce jour-là","OK")))))))))))</f>
        <v>OK</v>
      </c>
      <c r="J85">
        <f>IF(OR(I85="OK",I85="Pas de saisie journalière ce jour-là"),E85,0)</f>
        <v>70.0</v>
      </c>
      <c r="K85">
        <f>IF(AND(J85&gt;0,A85&gt;=p_from,A85&lt;=p_to),1,0)</f>
        <v>1.0</v>
      </c>
      <c r="L85">
        <f>IF(AND(K85=1,OR(pa_po="",C85=pa_po),OR(pa_eq="",B85=pa_eq)),1,0)</f>
        <v>1.0</v>
      </c>
    </row>
    <row r="86">
      <c r="A86" s="51" t="n">
        <v>46290</v>
      </c>
      <c r="B86" s="52" t="inlineStr">
        <is>
          <t>Matin</t>
        </is>
      </c>
      <c r="C86" s="52" t="inlineStr">
        <is>
          <t>TOUR1</t>
        </is>
      </c>
      <c r="D86" s="53" t="inlineStr">
        <is>
          <t>Changement de série</t>
        </is>
      </c>
      <c r="E86" s="60" t="n">
        <v>44</v>
      </c>
      <c r="F86" s="53" t="n"/>
      <c r="G86" s="61" t="str">
        <f>IF(OR(COUNTA(A86:E86)=0,D86=""),"",IFERROR(INDEX(ca_fam,MATCH(D86,ca_name,0))&amp;"",""))</f>
        <v>Réglage et changement de série</v>
      </c>
      <c r="H86" s="58" t="str">
        <f>IF(OR(COUNTA(A86:E86)=0,D86=""),"",IFERROR(INDEX(ca_type,MATCH(D86,ca_name,0))&amp;"",""))</f>
        <v>Non planifié</v>
      </c>
      <c r="I86" s="58" t="str">
        <f>IF(COUNTA(A86:E86)=0,"",IF(N(A86)&lt;=0,"Date manquante ou invalide",IF(B86="","Équipe manquante",IF(ISNA(MATCH(B86,eq_code,0)),"Équipe inconnue",IF(C86="","Poste manquant",IF(ISNA(MATCH(C86,po_code,0)),"Poste inconnu",IF(D86="","Cause manquante",IF(ISNA(MATCH(D86,ca_name,0)),"Cause inconnue",IF(H86="","Cause à compléter dans Paramètres",IF(OR(NOT(ISNUMBER(E86)),N(E86)&lt;=0,N(E86)&gt;1440),"Durée invalide",IF(COUNTIFS(sj_date,A86,sj_eq,B86,sj_po,C86)=0,"Pas de saisie journalière ce jour-là","OK")))))))))))</f>
        <v>OK</v>
      </c>
      <c r="J86">
        <f>IF(OR(I86="OK",I86="Pas de saisie journalière ce jour-là"),E86,0)</f>
        <v>44.0</v>
      </c>
      <c r="K86">
        <f>IF(AND(J86&gt;0,A86&gt;=p_from,A86&lt;=p_to),1,0)</f>
        <v>1.0</v>
      </c>
      <c r="L86">
        <f>IF(AND(K86=1,OR(pa_po="",C86=pa_po),OR(pa_eq="",B86=pa_eq)),1,0)</f>
        <v>1.0</v>
      </c>
    </row>
    <row r="87">
      <c r="A87" s="51" t="n">
        <v>46290</v>
      </c>
      <c r="B87" s="52" t="inlineStr">
        <is>
          <t>Après-midi</t>
        </is>
      </c>
      <c r="C87" s="52" t="inlineStr">
        <is>
          <t>TOUR2</t>
        </is>
      </c>
      <c r="D87" s="53" t="inlineStr">
        <is>
          <t>Casse outil</t>
        </is>
      </c>
      <c r="E87" s="60" t="n">
        <v>25</v>
      </c>
      <c r="F87" s="53" t="n"/>
      <c r="G87" s="61" t="str">
        <f>IF(OR(COUNTA(A87:E87)=0,D87=""),"",IFERROR(INDEX(ca_fam,MATCH(D87,ca_name,0))&amp;"",""))</f>
        <v>Panne</v>
      </c>
      <c r="H87" s="58" t="str">
        <f>IF(OR(COUNTA(A87:E87)=0,D87=""),"",IFERROR(INDEX(ca_type,MATCH(D87,ca_name,0))&amp;"",""))</f>
        <v>Non planifié</v>
      </c>
      <c r="I87" s="58" t="str">
        <f>IF(COUNTA(A87:E87)=0,"",IF(N(A87)&lt;=0,"Date manquante ou invalide",IF(B87="","Équipe manquante",IF(ISNA(MATCH(B87,eq_code,0)),"Équipe inconnue",IF(C87="","Poste manquant",IF(ISNA(MATCH(C87,po_code,0)),"Poste inconnu",IF(D87="","Cause manquante",IF(ISNA(MATCH(D87,ca_name,0)),"Cause inconnue",IF(H87="","Cause à compléter dans Paramètres",IF(OR(NOT(ISNUMBER(E87)),N(E87)&lt;=0,N(E87)&gt;1440),"Durée invalide",IF(COUNTIFS(sj_date,A87,sj_eq,B87,sj_po,C87)=0,"Pas de saisie journalière ce jour-là","OK")))))))))))</f>
        <v>OK</v>
      </c>
      <c r="J87">
        <f>IF(OR(I87="OK",I87="Pas de saisie journalière ce jour-là"),E87,0)</f>
        <v>25.0</v>
      </c>
      <c r="K87">
        <f>IF(AND(J87&gt;0,A87&gt;=p_from,A87&lt;=p_to),1,0)</f>
        <v>1.0</v>
      </c>
      <c r="L87">
        <f>IF(AND(K87=1,OR(pa_po="",C87=pa_po),OR(pa_eq="",B87=pa_eq)),1,0)</f>
        <v>1.0</v>
      </c>
    </row>
    <row r="88">
      <c r="A88" s="51" t="n">
        <v>46290</v>
      </c>
      <c r="B88" s="52" t="inlineStr">
        <is>
          <t>Après-midi</t>
        </is>
      </c>
      <c r="C88" s="52" t="inlineStr">
        <is>
          <t>TOUR2</t>
        </is>
      </c>
      <c r="D88" s="53" t="inlineStr">
        <is>
          <t>Attente matière</t>
        </is>
      </c>
      <c r="E88" s="60" t="n">
        <v>41</v>
      </c>
      <c r="F88" s="53" t="n"/>
      <c r="G88" s="61" t="str">
        <f>IF(OR(COUNTA(A88:E88)=0,D88=""),"",IFERROR(INDEX(ca_fam,MATCH(D88,ca_name,0))&amp;"",""))</f>
        <v>Manque matière</v>
      </c>
      <c r="H88" s="58" t="str">
        <f>IF(OR(COUNTA(A88:E88)=0,D88=""),"",IFERROR(INDEX(ca_type,MATCH(D88,ca_name,0))&amp;"",""))</f>
        <v>Non planifié</v>
      </c>
      <c r="I88" s="58" t="str">
        <f>IF(COUNTA(A88:E88)=0,"",IF(N(A88)&lt;=0,"Date manquante ou invalide",IF(B88="","Équipe manquante",IF(ISNA(MATCH(B88,eq_code,0)),"Équipe inconnue",IF(C88="","Poste manquant",IF(ISNA(MATCH(C88,po_code,0)),"Poste inconnu",IF(D88="","Cause manquante",IF(ISNA(MATCH(D88,ca_name,0)),"Cause inconnue",IF(H88="","Cause à compléter dans Paramètres",IF(OR(NOT(ISNUMBER(E88)),N(E88)&lt;=0,N(E88)&gt;1440),"Durée invalide",IF(COUNTIFS(sj_date,A88,sj_eq,B88,sj_po,C88)=0,"Pas de saisie journalière ce jour-là","OK")))))))))))</f>
        <v>OK</v>
      </c>
      <c r="J88">
        <f>IF(OR(I88="OK",I88="Pas de saisie journalière ce jour-là"),E88,0)</f>
        <v>41.0</v>
      </c>
      <c r="K88">
        <f>IF(AND(J88&gt;0,A88&gt;=p_from,A88&lt;=p_to),1,0)</f>
        <v>1.0</v>
      </c>
      <c r="L88">
        <f>IF(AND(K88=1,OR(pa_po="",C88=pa_po),OR(pa_eq="",B88=pa_eq)),1,0)</f>
        <v>1.0</v>
      </c>
    </row>
    <row r="89">
      <c r="A89" s="51" t="n">
        <v>46290</v>
      </c>
      <c r="B89" s="52" t="inlineStr">
        <is>
          <t>Matin</t>
        </is>
      </c>
      <c r="C89" s="52" t="inlineStr">
        <is>
          <t>USIN</t>
        </is>
      </c>
      <c r="D89" s="53" t="inlineStr">
        <is>
          <t>Changement de série</t>
        </is>
      </c>
      <c r="E89" s="60" t="n">
        <v>25</v>
      </c>
      <c r="F89" s="53" t="n"/>
      <c r="G89" s="61" t="str">
        <f>IF(OR(COUNTA(A89:E89)=0,D89=""),"",IFERROR(INDEX(ca_fam,MATCH(D89,ca_name,0))&amp;"",""))</f>
        <v>Réglage et changement de série</v>
      </c>
      <c r="H89" s="58" t="str">
        <f>IF(OR(COUNTA(A89:E89)=0,D89=""),"",IFERROR(INDEX(ca_type,MATCH(D89,ca_name,0))&amp;"",""))</f>
        <v>Non planifié</v>
      </c>
      <c r="I89" s="58" t="str">
        <f>IF(COUNTA(A89:E89)=0,"",IF(N(A89)&lt;=0,"Date manquante ou invalide",IF(B89="","Équipe manquante",IF(ISNA(MATCH(B89,eq_code,0)),"Équipe inconnue",IF(C89="","Poste manquant",IF(ISNA(MATCH(C89,po_code,0)),"Poste inconnu",IF(D89="","Cause manquante",IF(ISNA(MATCH(D89,ca_name,0)),"Cause inconnue",IF(H89="","Cause à compléter dans Paramètres",IF(OR(NOT(ISNUMBER(E89)),N(E89)&lt;=0,N(E89)&gt;1440),"Durée invalide",IF(COUNTIFS(sj_date,A89,sj_eq,B89,sj_po,C89)=0,"Pas de saisie journalière ce jour-là","OK")))))))))))</f>
        <v>OK</v>
      </c>
      <c r="J89">
        <f>IF(OR(I89="OK",I89="Pas de saisie journalière ce jour-là"),E89,0)</f>
        <v>25.0</v>
      </c>
      <c r="K89">
        <f>IF(AND(J89&gt;0,A89&gt;=p_from,A89&lt;=p_to),1,0)</f>
        <v>1.0</v>
      </c>
      <c r="L89">
        <f>IF(AND(K89=1,OR(pa_po="",C89=pa_po),OR(pa_eq="",B89=pa_eq)),1,0)</f>
        <v>1.0</v>
      </c>
    </row>
    <row r="90">
      <c r="A90" s="51" t="n">
        <v>46290</v>
      </c>
      <c r="B90" s="52" t="inlineStr">
        <is>
          <t>Matin</t>
        </is>
      </c>
      <c r="C90" s="52" t="inlineStr">
        <is>
          <t>USIN</t>
        </is>
      </c>
      <c r="D90" s="53" t="inlineStr">
        <is>
          <t>Changement de série</t>
        </is>
      </c>
      <c r="E90" s="60" t="n">
        <v>61</v>
      </c>
      <c r="F90" s="53" t="n"/>
      <c r="G90" s="61" t="str">
        <f>IF(OR(COUNTA(A90:E90)=0,D90=""),"",IFERROR(INDEX(ca_fam,MATCH(D90,ca_name,0))&amp;"",""))</f>
        <v>Réglage et changement de série</v>
      </c>
      <c r="H90" s="58" t="str">
        <f>IF(OR(COUNTA(A90:E90)=0,D90=""),"",IFERROR(INDEX(ca_type,MATCH(D90,ca_name,0))&amp;"",""))</f>
        <v>Non planifié</v>
      </c>
      <c r="I90" s="58" t="str">
        <f>IF(COUNTA(A90:E90)=0,"",IF(N(A90)&lt;=0,"Date manquante ou invalide",IF(B90="","Équipe manquante",IF(ISNA(MATCH(B90,eq_code,0)),"Équipe inconnue",IF(C90="","Poste manquant",IF(ISNA(MATCH(C90,po_code,0)),"Poste inconnu",IF(D90="","Cause manquante",IF(ISNA(MATCH(D90,ca_name,0)),"Cause inconnue",IF(H90="","Cause à compléter dans Paramètres",IF(OR(NOT(ISNUMBER(E90)),N(E90)&lt;=0,N(E90)&gt;1440),"Durée invalide",IF(COUNTIFS(sj_date,A90,sj_eq,B90,sj_po,C90)=0,"Pas de saisie journalière ce jour-là","OK")))))))))))</f>
        <v>OK</v>
      </c>
      <c r="J90">
        <f>IF(OR(I90="OK",I90="Pas de saisie journalière ce jour-là"),E90,0)</f>
        <v>61.0</v>
      </c>
      <c r="K90">
        <f>IF(AND(J90&gt;0,A90&gt;=p_from,A90&lt;=p_to),1,0)</f>
        <v>1.0</v>
      </c>
      <c r="L90">
        <f>IF(AND(K90=1,OR(pa_po="",C90=pa_po),OR(pa_eq="",B90=pa_eq)),1,0)</f>
        <v>1.0</v>
      </c>
    </row>
    <row r="91">
      <c r="A91" s="51" t="n">
        <v>46290</v>
      </c>
      <c r="B91" s="52" t="inlineStr">
        <is>
          <t>Après-midi</t>
        </is>
      </c>
      <c r="C91" s="52" t="inlineStr">
        <is>
          <t>USIN</t>
        </is>
      </c>
      <c r="D91" s="53" t="inlineStr">
        <is>
          <t>Changement de série</t>
        </is>
      </c>
      <c r="E91" s="60" t="n">
        <v>30</v>
      </c>
      <c r="F91" s="53" t="n"/>
      <c r="G91" s="61" t="str">
        <f>IF(OR(COUNTA(A91:E91)=0,D91=""),"",IFERROR(INDEX(ca_fam,MATCH(D91,ca_name,0))&amp;"",""))</f>
        <v>Réglage et changement de série</v>
      </c>
      <c r="H91" s="58" t="str">
        <f>IF(OR(COUNTA(A91:E91)=0,D91=""),"",IFERROR(INDEX(ca_type,MATCH(D91,ca_name,0))&amp;"",""))</f>
        <v>Non planifié</v>
      </c>
      <c r="I91" s="58" t="str">
        <f>IF(COUNTA(A91:E91)=0,"",IF(N(A91)&lt;=0,"Date manquante ou invalide",IF(B91="","Équipe manquante",IF(ISNA(MATCH(B91,eq_code,0)),"Équipe inconnue",IF(C91="","Poste manquant",IF(ISNA(MATCH(C91,po_code,0)),"Poste inconnu",IF(D91="","Cause manquante",IF(ISNA(MATCH(D91,ca_name,0)),"Cause inconnue",IF(H91="","Cause à compléter dans Paramètres",IF(OR(NOT(ISNUMBER(E91)),N(E91)&lt;=0,N(E91)&gt;1440),"Durée invalide",IF(COUNTIFS(sj_date,A91,sj_eq,B91,sj_po,C91)=0,"Pas de saisie journalière ce jour-là","OK")))))))))))</f>
        <v>OK</v>
      </c>
      <c r="J91">
        <f>IF(OR(I91="OK",I91="Pas de saisie journalière ce jour-là"),E91,0)</f>
        <v>30.0</v>
      </c>
      <c r="K91">
        <f>IF(AND(J91&gt;0,A91&gt;=p_from,A91&lt;=p_to),1,0)</f>
        <v>1.0</v>
      </c>
      <c r="L91">
        <f>IF(AND(K91=1,OR(pa_po="",C91=pa_po),OR(pa_eq="",B91=pa_eq)),1,0)</f>
        <v>1.0</v>
      </c>
    </row>
    <row r="92">
      <c r="A92" s="51" t="n">
        <v>46290</v>
      </c>
      <c r="B92" s="52" t="inlineStr">
        <is>
          <t>Après-midi</t>
        </is>
      </c>
      <c r="C92" s="52" t="inlineStr">
        <is>
          <t>USIN</t>
        </is>
      </c>
      <c r="D92" s="53" t="inlineStr">
        <is>
          <t>Réglage en cours de production</t>
        </is>
      </c>
      <c r="E92" s="60" t="n">
        <v>13</v>
      </c>
      <c r="F92" s="53" t="n"/>
      <c r="G92" s="61" t="str">
        <f>IF(OR(COUNTA(A92:E92)=0,D92=""),"",IFERROR(INDEX(ca_fam,MATCH(D92,ca_name,0))&amp;"",""))</f>
        <v>Réglage et changement de série</v>
      </c>
      <c r="H92" s="58" t="str">
        <f>IF(OR(COUNTA(A92:E92)=0,D92=""),"",IFERROR(INDEX(ca_type,MATCH(D92,ca_name,0))&amp;"",""))</f>
        <v>Non planifié</v>
      </c>
      <c r="I92" s="58" t="str">
        <f>IF(COUNTA(A92:E92)=0,"",IF(N(A92)&lt;=0,"Date manquante ou invalide",IF(B92="","Équipe manquante",IF(ISNA(MATCH(B92,eq_code,0)),"Équipe inconnue",IF(C92="","Poste manquant",IF(ISNA(MATCH(C92,po_code,0)),"Poste inconnu",IF(D92="","Cause manquante",IF(ISNA(MATCH(D92,ca_name,0)),"Cause inconnue",IF(H92="","Cause à compléter dans Paramètres",IF(OR(NOT(ISNUMBER(E92)),N(E92)&lt;=0,N(E92)&gt;1440),"Durée invalide",IF(COUNTIFS(sj_date,A92,sj_eq,B92,sj_po,C92)=0,"Pas de saisie journalière ce jour-là","OK")))))))))))</f>
        <v>OK</v>
      </c>
      <c r="J92">
        <f>IF(OR(I92="OK",I92="Pas de saisie journalière ce jour-là"),E92,0)</f>
        <v>13.0</v>
      </c>
      <c r="K92">
        <f>IF(AND(J92&gt;0,A92&gt;=p_from,A92&lt;=p_to),1,0)</f>
        <v>1.0</v>
      </c>
      <c r="L92">
        <f>IF(AND(K92=1,OR(pa_po="",C92=pa_po),OR(pa_eq="",B92=pa_eq)),1,0)</f>
        <v>1.0</v>
      </c>
    </row>
    <row r="93">
      <c r="A93" s="51" t="n">
        <v>46290</v>
      </c>
      <c r="B93" s="52" t="inlineStr">
        <is>
          <t>Après-midi</t>
        </is>
      </c>
      <c r="C93" s="52" t="inlineStr">
        <is>
          <t>USIN</t>
        </is>
      </c>
      <c r="D93" s="53" t="inlineStr">
        <is>
          <t>Attente matière</t>
        </is>
      </c>
      <c r="E93" s="60" t="n">
        <v>69</v>
      </c>
      <c r="F93" s="53" t="n"/>
      <c r="G93" s="61" t="str">
        <f>IF(OR(COUNTA(A93:E93)=0,D93=""),"",IFERROR(INDEX(ca_fam,MATCH(D93,ca_name,0))&amp;"",""))</f>
        <v>Manque matière</v>
      </c>
      <c r="H93" s="58" t="str">
        <f>IF(OR(COUNTA(A93:E93)=0,D93=""),"",IFERROR(INDEX(ca_type,MATCH(D93,ca_name,0))&amp;"",""))</f>
        <v>Non planifié</v>
      </c>
      <c r="I93" s="58" t="str">
        <f>IF(COUNTA(A93:E93)=0,"",IF(N(A93)&lt;=0,"Date manquante ou invalide",IF(B93="","Équipe manquante",IF(ISNA(MATCH(B93,eq_code,0)),"Équipe inconnue",IF(C93="","Poste manquant",IF(ISNA(MATCH(C93,po_code,0)),"Poste inconnu",IF(D93="","Cause manquante",IF(ISNA(MATCH(D93,ca_name,0)),"Cause inconnue",IF(H93="","Cause à compléter dans Paramètres",IF(OR(NOT(ISNUMBER(E93)),N(E93)&lt;=0,N(E93)&gt;1440),"Durée invalide",IF(COUNTIFS(sj_date,A93,sj_eq,B93,sj_po,C93)=0,"Pas de saisie journalière ce jour-là","OK")))))))))))</f>
        <v>OK</v>
      </c>
      <c r="J93">
        <f>IF(OR(I93="OK",I93="Pas de saisie journalière ce jour-là"),E93,0)</f>
        <v>69.0</v>
      </c>
      <c r="K93">
        <f>IF(AND(J93&gt;0,A93&gt;=p_from,A93&lt;=p_to),1,0)</f>
        <v>1.0</v>
      </c>
      <c r="L93">
        <f>IF(AND(K93=1,OR(pa_po="",C93=pa_po),OR(pa_eq="",B93=pa_eq)),1,0)</f>
        <v>1.0</v>
      </c>
    </row>
    <row r="94">
      <c r="A94" s="51" t="n">
        <v>46290</v>
      </c>
      <c r="B94" s="52" t="inlineStr">
        <is>
          <t>Après-midi</t>
        </is>
      </c>
      <c r="C94" s="52" t="inlineStr">
        <is>
          <t>USIN</t>
        </is>
      </c>
      <c r="D94" s="53" t="inlineStr">
        <is>
          <t>Attente matière</t>
        </is>
      </c>
      <c r="E94" s="60" t="n">
        <v>67</v>
      </c>
      <c r="F94" s="53" t="n"/>
      <c r="G94" s="61" t="str">
        <f>IF(OR(COUNTA(A94:E94)=0,D94=""),"",IFERROR(INDEX(ca_fam,MATCH(D94,ca_name,0))&amp;"",""))</f>
        <v>Manque matière</v>
      </c>
      <c r="H94" s="58" t="str">
        <f>IF(OR(COUNTA(A94:E94)=0,D94=""),"",IFERROR(INDEX(ca_type,MATCH(D94,ca_name,0))&amp;"",""))</f>
        <v>Non planifié</v>
      </c>
      <c r="I94" s="58" t="str">
        <f>IF(COUNTA(A94:E94)=0,"",IF(N(A94)&lt;=0,"Date manquante ou invalide",IF(B94="","Équipe manquante",IF(ISNA(MATCH(B94,eq_code,0)),"Équipe inconnue",IF(C94="","Poste manquant",IF(ISNA(MATCH(C94,po_code,0)),"Poste inconnu",IF(D94="","Cause manquante",IF(ISNA(MATCH(D94,ca_name,0)),"Cause inconnue",IF(H94="","Cause à compléter dans Paramètres",IF(OR(NOT(ISNUMBER(E94)),N(E94)&lt;=0,N(E94)&gt;1440),"Durée invalide",IF(COUNTIFS(sj_date,A94,sj_eq,B94,sj_po,C94)=0,"Pas de saisie journalière ce jour-là","OK")))))))))))</f>
        <v>OK</v>
      </c>
      <c r="J94">
        <f>IF(OR(I94="OK",I94="Pas de saisie journalière ce jour-là"),E94,0)</f>
        <v>67.0</v>
      </c>
      <c r="K94">
        <f>IF(AND(J94&gt;0,A94&gt;=p_from,A94&lt;=p_to),1,0)</f>
        <v>1.0</v>
      </c>
      <c r="L94">
        <f>IF(AND(K94=1,OR(pa_po="",C94=pa_po),OR(pa_eq="",B94=pa_eq)),1,0)</f>
        <v>1.0</v>
      </c>
    </row>
    <row r="95">
      <c r="A95" s="51" t="n">
        <v>46290</v>
      </c>
      <c r="B95" s="52" t="inlineStr">
        <is>
          <t>Matin</t>
        </is>
      </c>
      <c r="C95" s="52" t="inlineStr">
        <is>
          <t>PRESSE</t>
        </is>
      </c>
      <c r="D95" s="53" t="inlineStr">
        <is>
          <t>Changement de série</t>
        </is>
      </c>
      <c r="E95" s="60" t="n">
        <v>37</v>
      </c>
      <c r="F95" s="53" t="n"/>
      <c r="G95" s="61" t="str">
        <f>IF(OR(COUNTA(A95:E95)=0,D95=""),"",IFERROR(INDEX(ca_fam,MATCH(D95,ca_name,0))&amp;"",""))</f>
        <v>Réglage et changement de série</v>
      </c>
      <c r="H95" s="58" t="str">
        <f>IF(OR(COUNTA(A95:E95)=0,D95=""),"",IFERROR(INDEX(ca_type,MATCH(D95,ca_name,0))&amp;"",""))</f>
        <v>Non planifié</v>
      </c>
      <c r="I95" s="58" t="str">
        <f>IF(COUNTA(A95:E95)=0,"",IF(N(A95)&lt;=0,"Date manquante ou invalide",IF(B95="","Équipe manquante",IF(ISNA(MATCH(B95,eq_code,0)),"Équipe inconnue",IF(C95="","Poste manquant",IF(ISNA(MATCH(C95,po_code,0)),"Poste inconnu",IF(D95="","Cause manquante",IF(ISNA(MATCH(D95,ca_name,0)),"Cause inconnue",IF(H95="","Cause à compléter dans Paramètres",IF(OR(NOT(ISNUMBER(E95)),N(E95)&lt;=0,N(E95)&gt;1440),"Durée invalide",IF(COUNTIFS(sj_date,A95,sj_eq,B95,sj_po,C95)=0,"Pas de saisie journalière ce jour-là","OK")))))))))))</f>
        <v>OK</v>
      </c>
      <c r="J95">
        <f>IF(OR(I95="OK",I95="Pas de saisie journalière ce jour-là"),E95,0)</f>
        <v>37.0</v>
      </c>
      <c r="K95">
        <f>IF(AND(J95&gt;0,A95&gt;=p_from,A95&lt;=p_to),1,0)</f>
        <v>1.0</v>
      </c>
      <c r="L95">
        <f>IF(AND(K95=1,OR(pa_po="",C95=pa_po),OR(pa_eq="",B95=pa_eq)),1,0)</f>
        <v>1.0</v>
      </c>
    </row>
    <row r="96">
      <c r="A96" s="51" t="n">
        <v>46290</v>
      </c>
      <c r="B96" s="52" t="inlineStr">
        <is>
          <t>Après-midi</t>
        </is>
      </c>
      <c r="C96" s="52" t="inlineStr">
        <is>
          <t>SOUD</t>
        </is>
      </c>
      <c r="D96" s="53" t="inlineStr">
        <is>
          <t>Attente matière</t>
        </is>
      </c>
      <c r="E96" s="60" t="n">
        <v>73</v>
      </c>
      <c r="F96" s="53" t="n"/>
      <c r="G96" s="61" t="str">
        <f>IF(OR(COUNTA(A96:E96)=0,D96=""),"",IFERROR(INDEX(ca_fam,MATCH(D96,ca_name,0))&amp;"",""))</f>
        <v>Manque matière</v>
      </c>
      <c r="H96" s="58" t="str">
        <f>IF(OR(COUNTA(A96:E96)=0,D96=""),"",IFERROR(INDEX(ca_type,MATCH(D96,ca_name,0))&amp;"",""))</f>
        <v>Non planifié</v>
      </c>
      <c r="I96" s="58" t="str">
        <f>IF(COUNTA(A96:E96)=0,"",IF(N(A96)&lt;=0,"Date manquante ou invalide",IF(B96="","Équipe manquante",IF(ISNA(MATCH(B96,eq_code,0)),"Équipe inconnue",IF(C96="","Poste manquant",IF(ISNA(MATCH(C96,po_code,0)),"Poste inconnu",IF(D96="","Cause manquante",IF(ISNA(MATCH(D96,ca_name,0)),"Cause inconnue",IF(H96="","Cause à compléter dans Paramètres",IF(OR(NOT(ISNUMBER(E96)),N(E96)&lt;=0,N(E96)&gt;1440),"Durée invalide",IF(COUNTIFS(sj_date,A96,sj_eq,B96,sj_po,C96)=0,"Pas de saisie journalière ce jour-là","OK")))))))))))</f>
        <v>OK</v>
      </c>
      <c r="J96">
        <f>IF(OR(I96="OK",I96="Pas de saisie journalière ce jour-là"),E96,0)</f>
        <v>73.0</v>
      </c>
      <c r="K96">
        <f>IF(AND(J96&gt;0,A96&gt;=p_from,A96&lt;=p_to),1,0)</f>
        <v>1.0</v>
      </c>
      <c r="L96">
        <f>IF(AND(K96=1,OR(pa_po="",C96=pa_po),OR(pa_eq="",B96=pa_eq)),1,0)</f>
        <v>1.0</v>
      </c>
    </row>
    <row r="97">
      <c r="A97" s="51" t="n">
        <v>46290</v>
      </c>
      <c r="B97" s="52" t="inlineStr">
        <is>
          <t>Après-midi</t>
        </is>
      </c>
      <c r="C97" s="52" t="inlineStr">
        <is>
          <t>SOUD</t>
        </is>
      </c>
      <c r="D97" s="53" t="inlineStr">
        <is>
          <t>Changement de série</t>
        </is>
      </c>
      <c r="E97" s="60" t="n">
        <v>30</v>
      </c>
      <c r="F97" s="53" t="n"/>
      <c r="G97" s="61" t="str">
        <f>IF(OR(COUNTA(A97:E97)=0,D97=""),"",IFERROR(INDEX(ca_fam,MATCH(D97,ca_name,0))&amp;"",""))</f>
        <v>Réglage et changement de série</v>
      </c>
      <c r="H97" s="58" t="str">
        <f>IF(OR(COUNTA(A97:E97)=0,D97=""),"",IFERROR(INDEX(ca_type,MATCH(D97,ca_name,0))&amp;"",""))</f>
        <v>Non planifié</v>
      </c>
      <c r="I97" s="58" t="str">
        <f>IF(COUNTA(A97:E97)=0,"",IF(N(A97)&lt;=0,"Date manquante ou invalide",IF(B97="","Équipe manquante",IF(ISNA(MATCH(B97,eq_code,0)),"Équipe inconnue",IF(C97="","Poste manquant",IF(ISNA(MATCH(C97,po_code,0)),"Poste inconnu",IF(D97="","Cause manquante",IF(ISNA(MATCH(D97,ca_name,0)),"Cause inconnue",IF(H97="","Cause à compléter dans Paramètres",IF(OR(NOT(ISNUMBER(E97)),N(E97)&lt;=0,N(E97)&gt;1440),"Durée invalide",IF(COUNTIFS(sj_date,A97,sj_eq,B97,sj_po,C97)=0,"Pas de saisie journalière ce jour-là","OK")))))))))))</f>
        <v>OK</v>
      </c>
      <c r="J97">
        <f>IF(OR(I97="OK",I97="Pas de saisie journalière ce jour-là"),E97,0)</f>
        <v>30.0</v>
      </c>
      <c r="K97">
        <f>IF(AND(J97&gt;0,A97&gt;=p_from,A97&lt;=p_to),1,0)</f>
        <v>1.0</v>
      </c>
      <c r="L97">
        <f>IF(AND(K97=1,OR(pa_po="",C97=pa_po),OR(pa_eq="",B97=pa_eq)),1,0)</f>
        <v>1.0</v>
      </c>
    </row>
    <row r="98">
      <c r="A98" s="51" t="n">
        <v>46293</v>
      </c>
      <c r="B98" s="52" t="inlineStr">
        <is>
          <t>Matin</t>
        </is>
      </c>
      <c r="C98" s="52" t="inlineStr">
        <is>
          <t>TOUR1</t>
        </is>
      </c>
      <c r="D98" s="53" t="inlineStr">
        <is>
          <t>Changement de série</t>
        </is>
      </c>
      <c r="E98" s="60" t="n">
        <v>43</v>
      </c>
      <c r="F98" s="53" t="n"/>
      <c r="G98" s="61" t="str">
        <f>IF(OR(COUNTA(A98:E98)=0,D98=""),"",IFERROR(INDEX(ca_fam,MATCH(D98,ca_name,0))&amp;"",""))</f>
        <v>Réglage et changement de série</v>
      </c>
      <c r="H98" s="58" t="str">
        <f>IF(OR(COUNTA(A98:E98)=0,D98=""),"",IFERROR(INDEX(ca_type,MATCH(D98,ca_name,0))&amp;"",""))</f>
        <v>Non planifié</v>
      </c>
      <c r="I98" s="58" t="str">
        <f>IF(COUNTA(A98:E98)=0,"",IF(N(A98)&lt;=0,"Date manquante ou invalide",IF(B98="","Équipe manquante",IF(ISNA(MATCH(B98,eq_code,0)),"Équipe inconnue",IF(C98="","Poste manquant",IF(ISNA(MATCH(C98,po_code,0)),"Poste inconnu",IF(D98="","Cause manquante",IF(ISNA(MATCH(D98,ca_name,0)),"Cause inconnue",IF(H98="","Cause à compléter dans Paramètres",IF(OR(NOT(ISNUMBER(E98)),N(E98)&lt;=0,N(E98)&gt;1440),"Durée invalide",IF(COUNTIFS(sj_date,A98,sj_eq,B98,sj_po,C98)=0,"Pas de saisie journalière ce jour-là","OK")))))))))))</f>
        <v>OK</v>
      </c>
      <c r="J98">
        <f>IF(OR(I98="OK",I98="Pas de saisie journalière ce jour-là"),E98,0)</f>
        <v>43.0</v>
      </c>
      <c r="K98">
        <f>IF(AND(J98&gt;0,A98&gt;=p_from,A98&lt;=p_to),1,0)</f>
        <v>1.0</v>
      </c>
      <c r="L98">
        <f>IF(AND(K98=1,OR(pa_po="",C98=pa_po),OR(pa_eq="",B98=pa_eq)),1,0)</f>
        <v>1.0</v>
      </c>
    </row>
    <row r="99">
      <c r="A99" s="51" t="n">
        <v>46293</v>
      </c>
      <c r="B99" s="52" t="inlineStr">
        <is>
          <t>Matin</t>
        </is>
      </c>
      <c r="C99" s="52" t="inlineStr">
        <is>
          <t>TOUR1</t>
        </is>
      </c>
      <c r="D99" s="53" t="inlineStr">
        <is>
          <t>Attente matière</t>
        </is>
      </c>
      <c r="E99" s="60" t="n">
        <v>31</v>
      </c>
      <c r="F99" s="53" t="n"/>
      <c r="G99" s="61" t="str">
        <f>IF(OR(COUNTA(A99:E99)=0,D99=""),"",IFERROR(INDEX(ca_fam,MATCH(D99,ca_name,0))&amp;"",""))</f>
        <v>Manque matière</v>
      </c>
      <c r="H99" s="58" t="str">
        <f>IF(OR(COUNTA(A99:E99)=0,D99=""),"",IFERROR(INDEX(ca_type,MATCH(D99,ca_name,0))&amp;"",""))</f>
        <v>Non planifié</v>
      </c>
      <c r="I99" s="58" t="str">
        <f>IF(COUNTA(A99:E99)=0,"",IF(N(A99)&lt;=0,"Date manquante ou invalide",IF(B99="","Équipe manquante",IF(ISNA(MATCH(B99,eq_code,0)),"Équipe inconnue",IF(C99="","Poste manquant",IF(ISNA(MATCH(C99,po_code,0)),"Poste inconnu",IF(D99="","Cause manquante",IF(ISNA(MATCH(D99,ca_name,0)),"Cause inconnue",IF(H99="","Cause à compléter dans Paramètres",IF(OR(NOT(ISNUMBER(E99)),N(E99)&lt;=0,N(E99)&gt;1440),"Durée invalide",IF(COUNTIFS(sj_date,A99,sj_eq,B99,sj_po,C99)=0,"Pas de saisie journalière ce jour-là","OK")))))))))))</f>
        <v>OK</v>
      </c>
      <c r="J99">
        <f>IF(OR(I99="OK",I99="Pas de saisie journalière ce jour-là"),E99,0)</f>
        <v>31.0</v>
      </c>
      <c r="K99">
        <f>IF(AND(J99&gt;0,A99&gt;=p_from,A99&lt;=p_to),1,0)</f>
        <v>1.0</v>
      </c>
      <c r="L99">
        <f>IF(AND(K99=1,OR(pa_po="",C99=pa_po),OR(pa_eq="",B99=pa_eq)),1,0)</f>
        <v>1.0</v>
      </c>
    </row>
    <row r="100">
      <c r="A100" s="51" t="n">
        <v>46293</v>
      </c>
      <c r="B100" s="52" t="inlineStr">
        <is>
          <t>Après-midi</t>
        </is>
      </c>
      <c r="C100" s="52" t="inlineStr">
        <is>
          <t>TOUR1</t>
        </is>
      </c>
      <c r="D100" s="53" t="inlineStr">
        <is>
          <t>Casse outil</t>
        </is>
      </c>
      <c r="E100" s="60" t="n">
        <v>19</v>
      </c>
      <c r="F100" s="53" t="n"/>
      <c r="G100" s="61" t="str">
        <f>IF(OR(COUNTA(A100:E100)=0,D100=""),"",IFERROR(INDEX(ca_fam,MATCH(D100,ca_name,0))&amp;"",""))</f>
        <v>Panne</v>
      </c>
      <c r="H100" s="58" t="str">
        <f>IF(OR(COUNTA(A100:E100)=0,D100=""),"",IFERROR(INDEX(ca_type,MATCH(D100,ca_name,0))&amp;"",""))</f>
        <v>Non planifié</v>
      </c>
      <c r="I100" s="58" t="str">
        <f>IF(COUNTA(A100:E100)=0,"",IF(N(A100)&lt;=0,"Date manquante ou invalide",IF(B100="","Équipe manquante",IF(ISNA(MATCH(B100,eq_code,0)),"Équipe inconnue",IF(C100="","Poste manquant",IF(ISNA(MATCH(C100,po_code,0)),"Poste inconnu",IF(D100="","Cause manquante",IF(ISNA(MATCH(D100,ca_name,0)),"Cause inconnue",IF(H100="","Cause à compléter dans Paramètres",IF(OR(NOT(ISNUMBER(E100)),N(E100)&lt;=0,N(E100)&gt;1440),"Durée invalide",IF(COUNTIFS(sj_date,A100,sj_eq,B100,sj_po,C100)=0,"Pas de saisie journalière ce jour-là","OK")))))))))))</f>
        <v>OK</v>
      </c>
      <c r="J100">
        <f>IF(OR(I100="OK",I100="Pas de saisie journalière ce jour-là"),E100,0)</f>
        <v>19.0</v>
      </c>
      <c r="K100">
        <f>IF(AND(J100&gt;0,A100&gt;=p_from,A100&lt;=p_to),1,0)</f>
        <v>1.0</v>
      </c>
      <c r="L100">
        <f>IF(AND(K100=1,OR(pa_po="",C100=pa_po),OR(pa_eq="",B100=pa_eq)),1,0)</f>
        <v>1.0</v>
      </c>
    </row>
    <row r="101">
      <c r="A101" s="51" t="n">
        <v>46293</v>
      </c>
      <c r="B101" s="52" t="inlineStr">
        <is>
          <t>Après-midi</t>
        </is>
      </c>
      <c r="C101" s="52" t="inlineStr">
        <is>
          <t>TOUR2</t>
        </is>
      </c>
      <c r="D101" s="53" t="inlineStr">
        <is>
          <t>Changement de série</t>
        </is>
      </c>
      <c r="E101" s="60" t="n">
        <v>42</v>
      </c>
      <c r="F101" s="53" t="n"/>
      <c r="G101" s="61" t="str">
        <f>IF(OR(COUNTA(A101:E101)=0,D101=""),"",IFERROR(INDEX(ca_fam,MATCH(D101,ca_name,0))&amp;"",""))</f>
        <v>Réglage et changement de série</v>
      </c>
      <c r="H101" s="58" t="str">
        <f>IF(OR(COUNTA(A101:E101)=0,D101=""),"",IFERROR(INDEX(ca_type,MATCH(D101,ca_name,0))&amp;"",""))</f>
        <v>Non planifié</v>
      </c>
      <c r="I101" s="58" t="str">
        <f>IF(COUNTA(A101:E101)=0,"",IF(N(A101)&lt;=0,"Date manquante ou invalide",IF(B101="","Équipe manquante",IF(ISNA(MATCH(B101,eq_code,0)),"Équipe inconnue",IF(C101="","Poste manquant",IF(ISNA(MATCH(C101,po_code,0)),"Poste inconnu",IF(D101="","Cause manquante",IF(ISNA(MATCH(D101,ca_name,0)),"Cause inconnue",IF(H101="","Cause à compléter dans Paramètres",IF(OR(NOT(ISNUMBER(E101)),N(E101)&lt;=0,N(E101)&gt;1440),"Durée invalide",IF(COUNTIFS(sj_date,A101,sj_eq,B101,sj_po,C101)=0,"Pas de saisie journalière ce jour-là","OK")))))))))))</f>
        <v>OK</v>
      </c>
      <c r="J101">
        <f>IF(OR(I101="OK",I101="Pas de saisie journalière ce jour-là"),E101,0)</f>
        <v>42.0</v>
      </c>
      <c r="K101">
        <f>IF(AND(J101&gt;0,A101&gt;=p_from,A101&lt;=p_to),1,0)</f>
        <v>1.0</v>
      </c>
      <c r="L101">
        <f>IF(AND(K101=1,OR(pa_po="",C101=pa_po),OR(pa_eq="",B101=pa_eq)),1,0)</f>
        <v>1.0</v>
      </c>
    </row>
    <row r="102">
      <c r="A102" s="51" t="n">
        <v>46293</v>
      </c>
      <c r="B102" s="52" t="inlineStr">
        <is>
          <t>Après-midi</t>
        </is>
      </c>
      <c r="C102" s="52" t="inlineStr">
        <is>
          <t>TOUR2</t>
        </is>
      </c>
      <c r="D102" s="53" t="inlineStr">
        <is>
          <t>Attente matière</t>
        </is>
      </c>
      <c r="E102" s="60" t="n">
        <v>22</v>
      </c>
      <c r="F102" s="53" t="n"/>
      <c r="G102" s="61" t="str">
        <f>IF(OR(COUNTA(A102:E102)=0,D102=""),"",IFERROR(INDEX(ca_fam,MATCH(D102,ca_name,0))&amp;"",""))</f>
        <v>Manque matière</v>
      </c>
      <c r="H102" s="58" t="str">
        <f>IF(OR(COUNTA(A102:E102)=0,D102=""),"",IFERROR(INDEX(ca_type,MATCH(D102,ca_name,0))&amp;"",""))</f>
        <v>Non planifié</v>
      </c>
      <c r="I102" s="58" t="str">
        <f>IF(COUNTA(A102:E102)=0,"",IF(N(A102)&lt;=0,"Date manquante ou invalide",IF(B102="","Équipe manquante",IF(ISNA(MATCH(B102,eq_code,0)),"Équipe inconnue",IF(C102="","Poste manquant",IF(ISNA(MATCH(C102,po_code,0)),"Poste inconnu",IF(D102="","Cause manquante",IF(ISNA(MATCH(D102,ca_name,0)),"Cause inconnue",IF(H102="","Cause à compléter dans Paramètres",IF(OR(NOT(ISNUMBER(E102)),N(E102)&lt;=0,N(E102)&gt;1440),"Durée invalide",IF(COUNTIFS(sj_date,A102,sj_eq,B102,sj_po,C102)=0,"Pas de saisie journalière ce jour-là","OK")))))))))))</f>
        <v>OK</v>
      </c>
      <c r="J102">
        <f>IF(OR(I102="OK",I102="Pas de saisie journalière ce jour-là"),E102,0)</f>
        <v>22.0</v>
      </c>
      <c r="K102">
        <f>IF(AND(J102&gt;0,A102&gt;=p_from,A102&lt;=p_to),1,0)</f>
        <v>1.0</v>
      </c>
      <c r="L102">
        <f>IF(AND(K102=1,OR(pa_po="",C102=pa_po),OR(pa_eq="",B102=pa_eq)),1,0)</f>
        <v>1.0</v>
      </c>
    </row>
    <row r="103">
      <c r="A103" s="51" t="n">
        <v>46293</v>
      </c>
      <c r="B103" s="52" t="inlineStr">
        <is>
          <t>Matin</t>
        </is>
      </c>
      <c r="C103" s="52" t="inlineStr">
        <is>
          <t>USIN</t>
        </is>
      </c>
      <c r="D103" s="53" t="inlineStr">
        <is>
          <t>Maintenance préventive</t>
        </is>
      </c>
      <c r="E103" s="60" t="n">
        <v>60</v>
      </c>
      <c r="F103" s="53" t="n"/>
      <c r="G103" s="61" t="str">
        <f>IF(OR(COUNTA(A103:E103)=0,D103=""),"",IFERROR(INDEX(ca_fam,MATCH(D103,ca_name,0))&amp;"",""))</f>
        <v>Arrêt planifié</v>
      </c>
      <c r="H103" s="58" t="str">
        <f>IF(OR(COUNTA(A103:E103)=0,D103=""),"",IFERROR(INDEX(ca_type,MATCH(D103,ca_name,0))&amp;"",""))</f>
        <v>Planifié</v>
      </c>
      <c r="I103" s="58" t="str">
        <f>IF(COUNTA(A103:E103)=0,"",IF(N(A103)&lt;=0,"Date manquante ou invalide",IF(B103="","Équipe manquante",IF(ISNA(MATCH(B103,eq_code,0)),"Équipe inconnue",IF(C103="","Poste manquant",IF(ISNA(MATCH(C103,po_code,0)),"Poste inconnu",IF(D103="","Cause manquante",IF(ISNA(MATCH(D103,ca_name,0)),"Cause inconnue",IF(H103="","Cause à compléter dans Paramètres",IF(OR(NOT(ISNUMBER(E103)),N(E103)&lt;=0,N(E103)&gt;1440),"Durée invalide",IF(COUNTIFS(sj_date,A103,sj_eq,B103,sj_po,C103)=0,"Pas de saisie journalière ce jour-là","OK")))))))))))</f>
        <v>OK</v>
      </c>
      <c r="J103">
        <f>IF(OR(I103="OK",I103="Pas de saisie journalière ce jour-là"),E103,0)</f>
        <v>60.0</v>
      </c>
      <c r="K103">
        <f>IF(AND(J103&gt;0,A103&gt;=p_from,A103&lt;=p_to),1,0)</f>
        <v>1.0</v>
      </c>
      <c r="L103">
        <f>IF(AND(K103=1,OR(pa_po="",C103=pa_po),OR(pa_eq="",B103=pa_eq)),1,0)</f>
        <v>1.0</v>
      </c>
    </row>
    <row r="104">
      <c r="A104" s="51" t="n">
        <v>46293</v>
      </c>
      <c r="B104" s="52" t="inlineStr">
        <is>
          <t>Matin</t>
        </is>
      </c>
      <c r="C104" s="52" t="inlineStr">
        <is>
          <t>USIN</t>
        </is>
      </c>
      <c r="D104" s="53" t="inlineStr">
        <is>
          <t>Casse outil</t>
        </is>
      </c>
      <c r="E104" s="60" t="n">
        <v>29</v>
      </c>
      <c r="F104" s="53" t="n"/>
      <c r="G104" s="61" t="str">
        <f>IF(OR(COUNTA(A104:E104)=0,D104=""),"",IFERROR(INDEX(ca_fam,MATCH(D104,ca_name,0))&amp;"",""))</f>
        <v>Panne</v>
      </c>
      <c r="H104" s="58" t="str">
        <f>IF(OR(COUNTA(A104:E104)=0,D104=""),"",IFERROR(INDEX(ca_type,MATCH(D104,ca_name,0))&amp;"",""))</f>
        <v>Non planifié</v>
      </c>
      <c r="I104" s="58" t="str">
        <f>IF(COUNTA(A104:E104)=0,"",IF(N(A104)&lt;=0,"Date manquante ou invalide",IF(B104="","Équipe manquante",IF(ISNA(MATCH(B104,eq_code,0)),"Équipe inconnue",IF(C104="","Poste manquant",IF(ISNA(MATCH(C104,po_code,0)),"Poste inconnu",IF(D104="","Cause manquante",IF(ISNA(MATCH(D104,ca_name,0)),"Cause inconnue",IF(H104="","Cause à compléter dans Paramètres",IF(OR(NOT(ISNUMBER(E104)),N(E104)&lt;=0,N(E104)&gt;1440),"Durée invalide",IF(COUNTIFS(sj_date,A104,sj_eq,B104,sj_po,C104)=0,"Pas de saisie journalière ce jour-là","OK")))))))))))</f>
        <v>OK</v>
      </c>
      <c r="J104">
        <f>IF(OR(I104="OK",I104="Pas de saisie journalière ce jour-là"),E104,0)</f>
        <v>29.0</v>
      </c>
      <c r="K104">
        <f>IF(AND(J104&gt;0,A104&gt;=p_from,A104&lt;=p_to),1,0)</f>
        <v>1.0</v>
      </c>
      <c r="L104">
        <f>IF(AND(K104=1,OR(pa_po="",C104=pa_po),OR(pa_eq="",B104=pa_eq)),1,0)</f>
        <v>1.0</v>
      </c>
    </row>
    <row r="105">
      <c r="A105" s="51" t="n">
        <v>46293</v>
      </c>
      <c r="B105" s="52" t="inlineStr">
        <is>
          <t>Matin</t>
        </is>
      </c>
      <c r="C105" s="52" t="inlineStr">
        <is>
          <t>PRESSE</t>
        </is>
      </c>
      <c r="D105" s="53" t="inlineStr">
        <is>
          <t>Maintenance préventive</t>
        </is>
      </c>
      <c r="E105" s="60" t="n">
        <v>60</v>
      </c>
      <c r="F105" s="53" t="n"/>
      <c r="G105" s="61" t="str">
        <f>IF(OR(COUNTA(A105:E105)=0,D105=""),"",IFERROR(INDEX(ca_fam,MATCH(D105,ca_name,0))&amp;"",""))</f>
        <v>Arrêt planifié</v>
      </c>
      <c r="H105" s="58" t="str">
        <f>IF(OR(COUNTA(A105:E105)=0,D105=""),"",IFERROR(INDEX(ca_type,MATCH(D105,ca_name,0))&amp;"",""))</f>
        <v>Planifié</v>
      </c>
      <c r="I105" s="58" t="str">
        <f>IF(COUNTA(A105:E105)=0,"",IF(N(A105)&lt;=0,"Date manquante ou invalide",IF(B105="","Équipe manquante",IF(ISNA(MATCH(B105,eq_code,0)),"Équipe inconnue",IF(C105="","Poste manquant",IF(ISNA(MATCH(C105,po_code,0)),"Poste inconnu",IF(D105="","Cause manquante",IF(ISNA(MATCH(D105,ca_name,0)),"Cause inconnue",IF(H105="","Cause à compléter dans Paramètres",IF(OR(NOT(ISNUMBER(E105)),N(E105)&lt;=0,N(E105)&gt;1440),"Durée invalide",IF(COUNTIFS(sj_date,A105,sj_eq,B105,sj_po,C105)=0,"Pas de saisie journalière ce jour-là","OK")))))))))))</f>
        <v>OK</v>
      </c>
      <c r="J105">
        <f>IF(OR(I105="OK",I105="Pas de saisie journalière ce jour-là"),E105,0)</f>
        <v>60.0</v>
      </c>
      <c r="K105">
        <f>IF(AND(J105&gt;0,A105&gt;=p_from,A105&lt;=p_to),1,0)</f>
        <v>1.0</v>
      </c>
      <c r="L105">
        <f>IF(AND(K105=1,OR(pa_po="",C105=pa_po),OR(pa_eq="",B105=pa_eq)),1,0)</f>
        <v>1.0</v>
      </c>
    </row>
    <row r="106">
      <c r="A106" s="51" t="n">
        <v>46293</v>
      </c>
      <c r="B106" s="52" t="inlineStr">
        <is>
          <t>Matin</t>
        </is>
      </c>
      <c r="C106" s="52" t="inlineStr">
        <is>
          <t>PRESSE</t>
        </is>
      </c>
      <c r="D106" s="53" t="inlineStr">
        <is>
          <t>Changement de série</t>
        </is>
      </c>
      <c r="E106" s="60" t="n">
        <v>43</v>
      </c>
      <c r="F106" s="53" t="n"/>
      <c r="G106" s="61" t="str">
        <f>IF(OR(COUNTA(A106:E106)=0,D106=""),"",IFERROR(INDEX(ca_fam,MATCH(D106,ca_name,0))&amp;"",""))</f>
        <v>Réglage et changement de série</v>
      </c>
      <c r="H106" s="58" t="str">
        <f>IF(OR(COUNTA(A106:E106)=0,D106=""),"",IFERROR(INDEX(ca_type,MATCH(D106,ca_name,0))&amp;"",""))</f>
        <v>Non planifié</v>
      </c>
      <c r="I106" s="58" t="str">
        <f>IF(COUNTA(A106:E106)=0,"",IF(N(A106)&lt;=0,"Date manquante ou invalide",IF(B106="","Équipe manquante",IF(ISNA(MATCH(B106,eq_code,0)),"Équipe inconnue",IF(C106="","Poste manquant",IF(ISNA(MATCH(C106,po_code,0)),"Poste inconnu",IF(D106="","Cause manquante",IF(ISNA(MATCH(D106,ca_name,0)),"Cause inconnue",IF(H106="","Cause à compléter dans Paramètres",IF(OR(NOT(ISNUMBER(E106)),N(E106)&lt;=0,N(E106)&gt;1440),"Durée invalide",IF(COUNTIFS(sj_date,A106,sj_eq,B106,sj_po,C106)=0,"Pas de saisie journalière ce jour-là","OK")))))))))))</f>
        <v>OK</v>
      </c>
      <c r="J106">
        <f>IF(OR(I106="OK",I106="Pas de saisie journalière ce jour-là"),E106,0)</f>
        <v>43.0</v>
      </c>
      <c r="K106">
        <f>IF(AND(J106&gt;0,A106&gt;=p_from,A106&lt;=p_to),1,0)</f>
        <v>1.0</v>
      </c>
      <c r="L106">
        <f>IF(AND(K106=1,OR(pa_po="",C106=pa_po),OR(pa_eq="",B106=pa_eq)),1,0)</f>
        <v>1.0</v>
      </c>
    </row>
    <row r="107">
      <c r="A107" s="51" t="n">
        <v>46293</v>
      </c>
      <c r="B107" s="52" t="inlineStr">
        <is>
          <t>Matin</t>
        </is>
      </c>
      <c r="C107" s="52" t="inlineStr">
        <is>
          <t>PRESSE</t>
        </is>
      </c>
      <c r="D107" s="53" t="inlineStr">
        <is>
          <t>Réglage en cours de production</t>
        </is>
      </c>
      <c r="E107" s="60" t="n">
        <v>9</v>
      </c>
      <c r="F107" s="53" t="n"/>
      <c r="G107" s="61" t="str">
        <f>IF(OR(COUNTA(A107:E107)=0,D107=""),"",IFERROR(INDEX(ca_fam,MATCH(D107,ca_name,0))&amp;"",""))</f>
        <v>Réglage et changement de série</v>
      </c>
      <c r="H107" s="58" t="str">
        <f>IF(OR(COUNTA(A107:E107)=0,D107=""),"",IFERROR(INDEX(ca_type,MATCH(D107,ca_name,0))&amp;"",""))</f>
        <v>Non planifié</v>
      </c>
      <c r="I107" s="58" t="str">
        <f>IF(COUNTA(A107:E107)=0,"",IF(N(A107)&lt;=0,"Date manquante ou invalide",IF(B107="","Équipe manquante",IF(ISNA(MATCH(B107,eq_code,0)),"Équipe inconnue",IF(C107="","Poste manquant",IF(ISNA(MATCH(C107,po_code,0)),"Poste inconnu",IF(D107="","Cause manquante",IF(ISNA(MATCH(D107,ca_name,0)),"Cause inconnue",IF(H107="","Cause à compléter dans Paramètres",IF(OR(NOT(ISNUMBER(E107)),N(E107)&lt;=0,N(E107)&gt;1440),"Durée invalide",IF(COUNTIFS(sj_date,A107,sj_eq,B107,sj_po,C107)=0,"Pas de saisie journalière ce jour-là","OK")))))))))))</f>
        <v>OK</v>
      </c>
      <c r="J107">
        <f>IF(OR(I107="OK",I107="Pas de saisie journalière ce jour-là"),E107,0)</f>
        <v>9.0</v>
      </c>
      <c r="K107">
        <f>IF(AND(J107&gt;0,A107&gt;=p_from,A107&lt;=p_to),1,0)</f>
        <v>1.0</v>
      </c>
      <c r="L107">
        <f>IF(AND(K107=1,OR(pa_po="",C107=pa_po),OR(pa_eq="",B107=pa_eq)),1,0)</f>
        <v>1.0</v>
      </c>
    </row>
    <row r="108">
      <c r="A108" s="51" t="n">
        <v>46293</v>
      </c>
      <c r="B108" s="52" t="inlineStr">
        <is>
          <t>Journée</t>
        </is>
      </c>
      <c r="C108" s="52" t="inlineStr">
        <is>
          <t>PLIE</t>
        </is>
      </c>
      <c r="D108" s="53" t="inlineStr">
        <is>
          <t>Changement de série</t>
        </is>
      </c>
      <c r="E108" s="60" t="n">
        <v>27</v>
      </c>
      <c r="F108" s="53" t="n"/>
      <c r="G108" s="61" t="str">
        <f>IF(OR(COUNTA(A108:E108)=0,D108=""),"",IFERROR(INDEX(ca_fam,MATCH(D108,ca_name,0))&amp;"",""))</f>
        <v>Réglage et changement de série</v>
      </c>
      <c r="H108" s="58" t="str">
        <f>IF(OR(COUNTA(A108:E108)=0,D108=""),"",IFERROR(INDEX(ca_type,MATCH(D108,ca_name,0))&amp;"",""))</f>
        <v>Non planifié</v>
      </c>
      <c r="I108" s="58" t="str">
        <f>IF(COUNTA(A108:E108)=0,"",IF(N(A108)&lt;=0,"Date manquante ou invalide",IF(B108="","Équipe manquante",IF(ISNA(MATCH(B108,eq_code,0)),"Équipe inconnue",IF(C108="","Poste manquant",IF(ISNA(MATCH(C108,po_code,0)),"Poste inconnu",IF(D108="","Cause manquante",IF(ISNA(MATCH(D108,ca_name,0)),"Cause inconnue",IF(H108="","Cause à compléter dans Paramètres",IF(OR(NOT(ISNUMBER(E108)),N(E108)&lt;=0,N(E108)&gt;1440),"Durée invalide",IF(COUNTIFS(sj_date,A108,sj_eq,B108,sj_po,C108)=0,"Pas de saisie journalière ce jour-là","OK")))))))))))</f>
        <v>OK</v>
      </c>
      <c r="J108">
        <f>IF(OR(I108="OK",I108="Pas de saisie journalière ce jour-là"),E108,0)</f>
        <v>27.0</v>
      </c>
      <c r="K108">
        <f>IF(AND(J108&gt;0,A108&gt;=p_from,A108&lt;=p_to),1,0)</f>
        <v>1.0</v>
      </c>
      <c r="L108">
        <f>IF(AND(K108=1,OR(pa_po="",C108=pa_po),OR(pa_eq="",B108=pa_eq)),1,0)</f>
        <v>1.0</v>
      </c>
    </row>
    <row r="109">
      <c r="A109" s="51" t="n">
        <v>46293</v>
      </c>
      <c r="B109" s="52" t="inlineStr">
        <is>
          <t>Journée</t>
        </is>
      </c>
      <c r="C109" s="52" t="inlineStr">
        <is>
          <t>PLIE</t>
        </is>
      </c>
      <c r="D109" s="53" t="inlineStr">
        <is>
          <t>Attente matière</t>
        </is>
      </c>
      <c r="E109" s="60" t="n">
        <v>47</v>
      </c>
      <c r="F109" s="53" t="n"/>
      <c r="G109" s="61" t="str">
        <f>IF(OR(COUNTA(A109:E109)=0,D109=""),"",IFERROR(INDEX(ca_fam,MATCH(D109,ca_name,0))&amp;"",""))</f>
        <v>Manque matière</v>
      </c>
      <c r="H109" s="58" t="str">
        <f>IF(OR(COUNTA(A109:E109)=0,D109=""),"",IFERROR(INDEX(ca_type,MATCH(D109,ca_name,0))&amp;"",""))</f>
        <v>Non planifié</v>
      </c>
      <c r="I109" s="58" t="str">
        <f>IF(COUNTA(A109:E109)=0,"",IF(N(A109)&lt;=0,"Date manquante ou invalide",IF(B109="","Équipe manquante",IF(ISNA(MATCH(B109,eq_code,0)),"Équipe inconnue",IF(C109="","Poste manquant",IF(ISNA(MATCH(C109,po_code,0)),"Poste inconnu",IF(D109="","Cause manquante",IF(ISNA(MATCH(D109,ca_name,0)),"Cause inconnue",IF(H109="","Cause à compléter dans Paramètres",IF(OR(NOT(ISNUMBER(E109)),N(E109)&lt;=0,N(E109)&gt;1440),"Durée invalide",IF(COUNTIFS(sj_date,A109,sj_eq,B109,sj_po,C109)=0,"Pas de saisie journalière ce jour-là","OK")))))))))))</f>
        <v>OK</v>
      </c>
      <c r="J109">
        <f>IF(OR(I109="OK",I109="Pas de saisie journalière ce jour-là"),E109,0)</f>
        <v>47.0</v>
      </c>
      <c r="K109">
        <f>IF(AND(J109&gt;0,A109&gt;=p_from,A109&lt;=p_to),1,0)</f>
        <v>1.0</v>
      </c>
      <c r="L109">
        <f>IF(AND(K109=1,OR(pa_po="",C109=pa_po),OR(pa_eq="",B109=pa_eq)),1,0)</f>
        <v>1.0</v>
      </c>
    </row>
    <row r="110">
      <c r="A110" s="51" t="n">
        <v>46293</v>
      </c>
      <c r="B110" s="52" t="inlineStr">
        <is>
          <t>Journée</t>
        </is>
      </c>
      <c r="C110" s="52" t="inlineStr">
        <is>
          <t>PLIE</t>
        </is>
      </c>
      <c r="D110" s="53" t="inlineStr">
        <is>
          <t>Attente pièces de l'opération précédente</t>
        </is>
      </c>
      <c r="E110" s="60" t="n">
        <v>30</v>
      </c>
      <c r="F110" s="53" t="n"/>
      <c r="G110" s="61" t="str">
        <f>IF(OR(COUNTA(A110:E110)=0,D110=""),"",IFERROR(INDEX(ca_fam,MATCH(D110,ca_name,0))&amp;"",""))</f>
        <v>Manque matière</v>
      </c>
      <c r="H110" s="58" t="str">
        <f>IF(OR(COUNTA(A110:E110)=0,D110=""),"",IFERROR(INDEX(ca_type,MATCH(D110,ca_name,0))&amp;"",""))</f>
        <v>Non planifié</v>
      </c>
      <c r="I110" s="58" t="str">
        <f>IF(COUNTA(A110:E110)=0,"",IF(N(A110)&lt;=0,"Date manquante ou invalide",IF(B110="","Équipe manquante",IF(ISNA(MATCH(B110,eq_code,0)),"Équipe inconnue",IF(C110="","Poste manquant",IF(ISNA(MATCH(C110,po_code,0)),"Poste inconnu",IF(D110="","Cause manquante",IF(ISNA(MATCH(D110,ca_name,0)),"Cause inconnue",IF(H110="","Cause à compléter dans Paramètres",IF(OR(NOT(ISNUMBER(E110)),N(E110)&lt;=0,N(E110)&gt;1440),"Durée invalide",IF(COUNTIFS(sj_date,A110,sj_eq,B110,sj_po,C110)=0,"Pas de saisie journalière ce jour-là","OK")))))))))))</f>
        <v>OK</v>
      </c>
      <c r="J110">
        <f>IF(OR(I110="OK",I110="Pas de saisie journalière ce jour-là"),E110,0)</f>
        <v>30.0</v>
      </c>
      <c r="K110">
        <f>IF(AND(J110&gt;0,A110&gt;=p_from,A110&lt;=p_to),1,0)</f>
        <v>1.0</v>
      </c>
      <c r="L110">
        <f>IF(AND(K110=1,OR(pa_po="",C110=pa_po),OR(pa_eq="",B110=pa_eq)),1,0)</f>
        <v>1.0</v>
      </c>
    </row>
    <row r="111">
      <c r="A111" s="51" t="n">
        <v>46293</v>
      </c>
      <c r="B111" s="52" t="inlineStr">
        <is>
          <t>Matin</t>
        </is>
      </c>
      <c r="C111" s="52" t="inlineStr">
        <is>
          <t>SOUD</t>
        </is>
      </c>
      <c r="D111" s="53" t="inlineStr">
        <is>
          <t>Attente chariot élévateur</t>
        </is>
      </c>
      <c r="E111" s="60" t="n">
        <v>6</v>
      </c>
      <c r="F111" s="53" t="n"/>
      <c r="G111" s="61" t="str">
        <f>IF(OR(COUNTA(A111:E111)=0,D111=""),"",IFERROR(INDEX(ca_fam,MATCH(D111,ca_name,0))&amp;"",""))</f>
        <v>Organisation</v>
      </c>
      <c r="H111" s="58" t="str">
        <f>IF(OR(COUNTA(A111:E111)=0,D111=""),"",IFERROR(INDEX(ca_type,MATCH(D111,ca_name,0))&amp;"",""))</f>
        <v>Non planifié</v>
      </c>
      <c r="I111" s="58" t="str">
        <f>IF(COUNTA(A111:E111)=0,"",IF(N(A111)&lt;=0,"Date manquante ou invalide",IF(B111="","Équipe manquante",IF(ISNA(MATCH(B111,eq_code,0)),"Équipe inconnue",IF(C111="","Poste manquant",IF(ISNA(MATCH(C111,po_code,0)),"Poste inconnu",IF(D111="","Cause manquante",IF(ISNA(MATCH(D111,ca_name,0)),"Cause inconnue",IF(H111="","Cause à compléter dans Paramètres",IF(OR(NOT(ISNUMBER(E111)),N(E111)&lt;=0,N(E111)&gt;1440),"Durée invalide",IF(COUNTIFS(sj_date,A111,sj_eq,B111,sj_po,C111)=0,"Pas de saisie journalière ce jour-là","OK")))))))))))</f>
        <v>OK</v>
      </c>
      <c r="J111">
        <f>IF(OR(I111="OK",I111="Pas de saisie journalière ce jour-là"),E111,0)</f>
        <v>6.0</v>
      </c>
      <c r="K111">
        <f>IF(AND(J111&gt;0,A111&gt;=p_from,A111&lt;=p_to),1,0)</f>
        <v>1.0</v>
      </c>
      <c r="L111">
        <f>IF(AND(K111=1,OR(pa_po="",C111=pa_po),OR(pa_eq="",B111=pa_eq)),1,0)</f>
        <v>1.0</v>
      </c>
    </row>
    <row r="112">
      <c r="A112" s="51" t="n">
        <v>46293</v>
      </c>
      <c r="B112" s="52" t="inlineStr">
        <is>
          <t>Après-midi</t>
        </is>
      </c>
      <c r="C112" s="52" t="inlineStr">
        <is>
          <t>SOUD</t>
        </is>
      </c>
      <c r="D112" s="53" t="inlineStr">
        <is>
          <t>Changement de série</t>
        </is>
      </c>
      <c r="E112" s="60" t="n">
        <v>51</v>
      </c>
      <c r="F112" s="53" t="n"/>
      <c r="G112" s="61" t="str">
        <f>IF(OR(COUNTA(A112:E112)=0,D112=""),"",IFERROR(INDEX(ca_fam,MATCH(D112,ca_name,0))&amp;"",""))</f>
        <v>Réglage et changement de série</v>
      </c>
      <c r="H112" s="58" t="str">
        <f>IF(OR(COUNTA(A112:E112)=0,D112=""),"",IFERROR(INDEX(ca_type,MATCH(D112,ca_name,0))&amp;"",""))</f>
        <v>Non planifié</v>
      </c>
      <c r="I112" s="58" t="str">
        <f>IF(COUNTA(A112:E112)=0,"",IF(N(A112)&lt;=0,"Date manquante ou invalide",IF(B112="","Équipe manquante",IF(ISNA(MATCH(B112,eq_code,0)),"Équipe inconnue",IF(C112="","Poste manquant",IF(ISNA(MATCH(C112,po_code,0)),"Poste inconnu",IF(D112="","Cause manquante",IF(ISNA(MATCH(D112,ca_name,0)),"Cause inconnue",IF(H112="","Cause à compléter dans Paramètres",IF(OR(NOT(ISNUMBER(E112)),N(E112)&lt;=0,N(E112)&gt;1440),"Durée invalide",IF(COUNTIFS(sj_date,A112,sj_eq,B112,sj_po,C112)=0,"Pas de saisie journalière ce jour-là","OK")))))))))))</f>
        <v>OK</v>
      </c>
      <c r="J112">
        <f>IF(OR(I112="OK",I112="Pas de saisie journalière ce jour-là"),E112,0)</f>
        <v>51.0</v>
      </c>
      <c r="K112">
        <f>IF(AND(J112&gt;0,A112&gt;=p_from,A112&lt;=p_to),1,0)</f>
        <v>1.0</v>
      </c>
      <c r="L112">
        <f>IF(AND(K112=1,OR(pa_po="",C112=pa_po),OR(pa_eq="",B112=pa_eq)),1,0)</f>
        <v>1.0</v>
      </c>
    </row>
    <row r="113">
      <c r="A113" s="51" t="n">
        <v>46294</v>
      </c>
      <c r="B113" s="52" t="inlineStr">
        <is>
          <t>Matin</t>
        </is>
      </c>
      <c r="C113" s="52" t="inlineStr">
        <is>
          <t>TOUR1</t>
        </is>
      </c>
      <c r="D113" s="53" t="inlineStr">
        <is>
          <t>Changement de série</t>
        </is>
      </c>
      <c r="E113" s="60" t="n">
        <v>63</v>
      </c>
      <c r="F113" s="53" t="n"/>
      <c r="G113" s="61" t="str">
        <f>IF(OR(COUNTA(A113:E113)=0,D113=""),"",IFERROR(INDEX(ca_fam,MATCH(D113,ca_name,0))&amp;"",""))</f>
        <v>Réglage et changement de série</v>
      </c>
      <c r="H113" s="58" t="str">
        <f>IF(OR(COUNTA(A113:E113)=0,D113=""),"",IFERROR(INDEX(ca_type,MATCH(D113,ca_name,0))&amp;"",""))</f>
        <v>Non planifié</v>
      </c>
      <c r="I113" s="58" t="str">
        <f>IF(COUNTA(A113:E113)=0,"",IF(N(A113)&lt;=0,"Date manquante ou invalide",IF(B113="","Équipe manquante",IF(ISNA(MATCH(B113,eq_code,0)),"Équipe inconnue",IF(C113="","Poste manquant",IF(ISNA(MATCH(C113,po_code,0)),"Poste inconnu",IF(D113="","Cause manquante",IF(ISNA(MATCH(D113,ca_name,0)),"Cause inconnue",IF(H113="","Cause à compléter dans Paramètres",IF(OR(NOT(ISNUMBER(E113)),N(E113)&lt;=0,N(E113)&gt;1440),"Durée invalide",IF(COUNTIFS(sj_date,A113,sj_eq,B113,sj_po,C113)=0,"Pas de saisie journalière ce jour-là","OK")))))))))))</f>
        <v>OK</v>
      </c>
      <c r="J113">
        <f>IF(OR(I113="OK",I113="Pas de saisie journalière ce jour-là"),E113,0)</f>
        <v>63.0</v>
      </c>
      <c r="K113">
        <f>IF(AND(J113&gt;0,A113&gt;=p_from,A113&lt;=p_to),1,0)</f>
        <v>1.0</v>
      </c>
      <c r="L113">
        <f>IF(AND(K113=1,OR(pa_po="",C113=pa_po),OR(pa_eq="",B113=pa_eq)),1,0)</f>
        <v>1.0</v>
      </c>
    </row>
    <row r="114">
      <c r="A114" s="51" t="n">
        <v>46294</v>
      </c>
      <c r="B114" s="52" t="inlineStr">
        <is>
          <t>Après-midi</t>
        </is>
      </c>
      <c r="C114" s="52" t="inlineStr">
        <is>
          <t>TOUR1</t>
        </is>
      </c>
      <c r="D114" s="53" t="inlineStr">
        <is>
          <t>Changement de série</t>
        </is>
      </c>
      <c r="E114" s="60" t="n">
        <v>58</v>
      </c>
      <c r="F114" s="53" t="n"/>
      <c r="G114" s="61" t="str">
        <f>IF(OR(COUNTA(A114:E114)=0,D114=""),"",IFERROR(INDEX(ca_fam,MATCH(D114,ca_name,0))&amp;"",""))</f>
        <v>Réglage et changement de série</v>
      </c>
      <c r="H114" s="58" t="str">
        <f>IF(OR(COUNTA(A114:E114)=0,D114=""),"",IFERROR(INDEX(ca_type,MATCH(D114,ca_name,0))&amp;"",""))</f>
        <v>Non planifié</v>
      </c>
      <c r="I114" s="58" t="str">
        <f>IF(COUNTA(A114:E114)=0,"",IF(N(A114)&lt;=0,"Date manquante ou invalide",IF(B114="","Équipe manquante",IF(ISNA(MATCH(B114,eq_code,0)),"Équipe inconnue",IF(C114="","Poste manquant",IF(ISNA(MATCH(C114,po_code,0)),"Poste inconnu",IF(D114="","Cause manquante",IF(ISNA(MATCH(D114,ca_name,0)),"Cause inconnue",IF(H114="","Cause à compléter dans Paramètres",IF(OR(NOT(ISNUMBER(E114)),N(E114)&lt;=0,N(E114)&gt;1440),"Durée invalide",IF(COUNTIFS(sj_date,A114,sj_eq,B114,sj_po,C114)=0,"Pas de saisie journalière ce jour-là","OK")))))))))))</f>
        <v>OK</v>
      </c>
      <c r="J114">
        <f>IF(OR(I114="OK",I114="Pas de saisie journalière ce jour-là"),E114,0)</f>
        <v>58.0</v>
      </c>
      <c r="K114">
        <f>IF(AND(J114&gt;0,A114&gt;=p_from,A114&lt;=p_to),1,0)</f>
        <v>1.0</v>
      </c>
      <c r="L114">
        <f>IF(AND(K114=1,OR(pa_po="",C114=pa_po),OR(pa_eq="",B114=pa_eq)),1,0)</f>
        <v>1.0</v>
      </c>
    </row>
    <row r="115">
      <c r="A115" s="51" t="n">
        <v>46294</v>
      </c>
      <c r="B115" s="52" t="inlineStr">
        <is>
          <t>Matin</t>
        </is>
      </c>
      <c r="C115" s="52" t="inlineStr">
        <is>
          <t>TOUR2</t>
        </is>
      </c>
      <c r="D115" s="53" t="inlineStr">
        <is>
          <t>Réglage en cours de production</t>
        </is>
      </c>
      <c r="E115" s="60" t="n">
        <v>9</v>
      </c>
      <c r="F115" s="53" t="n"/>
      <c r="G115" s="61" t="str">
        <f>IF(OR(COUNTA(A115:E115)=0,D115=""),"",IFERROR(INDEX(ca_fam,MATCH(D115,ca_name,0))&amp;"",""))</f>
        <v>Réglage et changement de série</v>
      </c>
      <c r="H115" s="58" t="str">
        <f>IF(OR(COUNTA(A115:E115)=0,D115=""),"",IFERROR(INDEX(ca_type,MATCH(D115,ca_name,0))&amp;"",""))</f>
        <v>Non planifié</v>
      </c>
      <c r="I115" s="58" t="str">
        <f>IF(COUNTA(A115:E115)=0,"",IF(N(A115)&lt;=0,"Date manquante ou invalide",IF(B115="","Équipe manquante",IF(ISNA(MATCH(B115,eq_code,0)),"Équipe inconnue",IF(C115="","Poste manquant",IF(ISNA(MATCH(C115,po_code,0)),"Poste inconnu",IF(D115="","Cause manquante",IF(ISNA(MATCH(D115,ca_name,0)),"Cause inconnue",IF(H115="","Cause à compléter dans Paramètres",IF(OR(NOT(ISNUMBER(E115)),N(E115)&lt;=0,N(E115)&gt;1440),"Durée invalide",IF(COUNTIFS(sj_date,A115,sj_eq,B115,sj_po,C115)=0,"Pas de saisie journalière ce jour-là","OK")))))))))))</f>
        <v>OK</v>
      </c>
      <c r="J115">
        <f>IF(OR(I115="OK",I115="Pas de saisie journalière ce jour-là"),E115,0)</f>
        <v>9.0</v>
      </c>
      <c r="K115">
        <f>IF(AND(J115&gt;0,A115&gt;=p_from,A115&lt;=p_to),1,0)</f>
        <v>1.0</v>
      </c>
      <c r="L115">
        <f>IF(AND(K115=1,OR(pa_po="",C115=pa_po),OR(pa_eq="",B115=pa_eq)),1,0)</f>
        <v>1.0</v>
      </c>
    </row>
    <row r="116">
      <c r="A116" s="51" t="n">
        <v>46294</v>
      </c>
      <c r="B116" s="52" t="inlineStr">
        <is>
          <t>Après-midi</t>
        </is>
      </c>
      <c r="C116" s="52" t="inlineStr">
        <is>
          <t>TOUR2</t>
        </is>
      </c>
      <c r="D116" s="53" t="inlineStr">
        <is>
          <t>Changement de série</t>
        </is>
      </c>
      <c r="E116" s="60" t="n">
        <v>34</v>
      </c>
      <c r="F116" s="53" t="n"/>
      <c r="G116" s="61" t="str">
        <f>IF(OR(COUNTA(A116:E116)=0,D116=""),"",IFERROR(INDEX(ca_fam,MATCH(D116,ca_name,0))&amp;"",""))</f>
        <v>Réglage et changement de série</v>
      </c>
      <c r="H116" s="58" t="str">
        <f>IF(OR(COUNTA(A116:E116)=0,D116=""),"",IFERROR(INDEX(ca_type,MATCH(D116,ca_name,0))&amp;"",""))</f>
        <v>Non planifié</v>
      </c>
      <c r="I116" s="58" t="str">
        <f>IF(COUNTA(A116:E116)=0,"",IF(N(A116)&lt;=0,"Date manquante ou invalide",IF(B116="","Équipe manquante",IF(ISNA(MATCH(B116,eq_code,0)),"Équipe inconnue",IF(C116="","Poste manquant",IF(ISNA(MATCH(C116,po_code,0)),"Poste inconnu",IF(D116="","Cause manquante",IF(ISNA(MATCH(D116,ca_name,0)),"Cause inconnue",IF(H116="","Cause à compléter dans Paramètres",IF(OR(NOT(ISNUMBER(E116)),N(E116)&lt;=0,N(E116)&gt;1440),"Durée invalide",IF(COUNTIFS(sj_date,A116,sj_eq,B116,sj_po,C116)=0,"Pas de saisie journalière ce jour-là","OK")))))))))))</f>
        <v>OK</v>
      </c>
      <c r="J116">
        <f>IF(OR(I116="OK",I116="Pas de saisie journalière ce jour-là"),E116,0)</f>
        <v>34.0</v>
      </c>
      <c r="K116">
        <f>IF(AND(J116&gt;0,A116&gt;=p_from,A116&lt;=p_to),1,0)</f>
        <v>1.0</v>
      </c>
      <c r="L116">
        <f>IF(AND(K116=1,OR(pa_po="",C116=pa_po),OR(pa_eq="",B116=pa_eq)),1,0)</f>
        <v>1.0</v>
      </c>
    </row>
    <row r="117">
      <c r="A117" s="51" t="n">
        <v>46294</v>
      </c>
      <c r="B117" s="52" t="inlineStr">
        <is>
          <t>Après-midi</t>
        </is>
      </c>
      <c r="C117" s="52" t="inlineStr">
        <is>
          <t>TOUR2</t>
        </is>
      </c>
      <c r="D117" s="53" t="inlineStr">
        <is>
          <t>Changement de série</t>
        </is>
      </c>
      <c r="E117" s="60" t="n">
        <v>42</v>
      </c>
      <c r="F117" s="53" t="n"/>
      <c r="G117" s="61" t="str">
        <f>IF(OR(COUNTA(A117:E117)=0,D117=""),"",IFERROR(INDEX(ca_fam,MATCH(D117,ca_name,0))&amp;"",""))</f>
        <v>Réglage et changement de série</v>
      </c>
      <c r="H117" s="58" t="str">
        <f>IF(OR(COUNTA(A117:E117)=0,D117=""),"",IFERROR(INDEX(ca_type,MATCH(D117,ca_name,0))&amp;"",""))</f>
        <v>Non planifié</v>
      </c>
      <c r="I117" s="58" t="str">
        <f>IF(COUNTA(A117:E117)=0,"",IF(N(A117)&lt;=0,"Date manquante ou invalide",IF(B117="","Équipe manquante",IF(ISNA(MATCH(B117,eq_code,0)),"Équipe inconnue",IF(C117="","Poste manquant",IF(ISNA(MATCH(C117,po_code,0)),"Poste inconnu",IF(D117="","Cause manquante",IF(ISNA(MATCH(D117,ca_name,0)),"Cause inconnue",IF(H117="","Cause à compléter dans Paramètres",IF(OR(NOT(ISNUMBER(E117)),N(E117)&lt;=0,N(E117)&gt;1440),"Durée invalide",IF(COUNTIFS(sj_date,A117,sj_eq,B117,sj_po,C117)=0,"Pas de saisie journalière ce jour-là","OK")))))))))))</f>
        <v>OK</v>
      </c>
      <c r="J117">
        <f>IF(OR(I117="OK",I117="Pas de saisie journalière ce jour-là"),E117,0)</f>
        <v>42.0</v>
      </c>
      <c r="K117">
        <f>IF(AND(J117&gt;0,A117&gt;=p_from,A117&lt;=p_to),1,0)</f>
        <v>1.0</v>
      </c>
      <c r="L117">
        <f>IF(AND(K117=1,OR(pa_po="",C117=pa_po),OR(pa_eq="",B117=pa_eq)),1,0)</f>
        <v>1.0</v>
      </c>
    </row>
    <row r="118">
      <c r="A118" s="51" t="n">
        <v>46294</v>
      </c>
      <c r="B118" s="52" t="inlineStr">
        <is>
          <t>Après-midi</t>
        </is>
      </c>
      <c r="C118" s="52" t="inlineStr">
        <is>
          <t>TOUR2</t>
        </is>
      </c>
      <c r="D118" s="53" t="inlineStr">
        <is>
          <t>Changement de série</t>
        </is>
      </c>
      <c r="E118" s="60" t="n">
        <v>52</v>
      </c>
      <c r="F118" s="53" t="n"/>
      <c r="G118" s="61" t="str">
        <f>IF(OR(COUNTA(A118:E118)=0,D118=""),"",IFERROR(INDEX(ca_fam,MATCH(D118,ca_name,0))&amp;"",""))</f>
        <v>Réglage et changement de série</v>
      </c>
      <c r="H118" s="58" t="str">
        <f>IF(OR(COUNTA(A118:E118)=0,D118=""),"",IFERROR(INDEX(ca_type,MATCH(D118,ca_name,0))&amp;"",""))</f>
        <v>Non planifié</v>
      </c>
      <c r="I118" s="58" t="str">
        <f>IF(COUNTA(A118:E118)=0,"",IF(N(A118)&lt;=0,"Date manquante ou invalide",IF(B118="","Équipe manquante",IF(ISNA(MATCH(B118,eq_code,0)),"Équipe inconnue",IF(C118="","Poste manquant",IF(ISNA(MATCH(C118,po_code,0)),"Poste inconnu",IF(D118="","Cause manquante",IF(ISNA(MATCH(D118,ca_name,0)),"Cause inconnue",IF(H118="","Cause à compléter dans Paramètres",IF(OR(NOT(ISNUMBER(E118)),N(E118)&lt;=0,N(E118)&gt;1440),"Durée invalide",IF(COUNTIFS(sj_date,A118,sj_eq,B118,sj_po,C118)=0,"Pas de saisie journalière ce jour-là","OK")))))))))))</f>
        <v>OK</v>
      </c>
      <c r="J118">
        <f>IF(OR(I118="OK",I118="Pas de saisie journalière ce jour-là"),E118,0)</f>
        <v>52.0</v>
      </c>
      <c r="K118">
        <f>IF(AND(J118&gt;0,A118&gt;=p_from,A118&lt;=p_to),1,0)</f>
        <v>1.0</v>
      </c>
      <c r="L118">
        <f>IF(AND(K118=1,OR(pa_po="",C118=pa_po),OR(pa_eq="",B118=pa_eq)),1,0)</f>
        <v>1.0</v>
      </c>
    </row>
    <row r="119">
      <c r="A119" s="51" t="n">
        <v>46294</v>
      </c>
      <c r="B119" s="52" t="inlineStr">
        <is>
          <t>Matin</t>
        </is>
      </c>
      <c r="C119" s="52" t="inlineStr">
        <is>
          <t>USIN</t>
        </is>
      </c>
      <c r="D119" s="53" t="inlineStr">
        <is>
          <t>Changement d'outil</t>
        </is>
      </c>
      <c r="E119" s="60" t="n">
        <v>14</v>
      </c>
      <c r="F119" s="53" t="n"/>
      <c r="G119" s="61" t="str">
        <f>IF(OR(COUNTA(A119:E119)=0,D119=""),"",IFERROR(INDEX(ca_fam,MATCH(D119,ca_name,0))&amp;"",""))</f>
        <v>Réglage et changement de série</v>
      </c>
      <c r="H119" s="58" t="str">
        <f>IF(OR(COUNTA(A119:E119)=0,D119=""),"",IFERROR(INDEX(ca_type,MATCH(D119,ca_name,0))&amp;"",""))</f>
        <v>Non planifié</v>
      </c>
      <c r="I119" s="58" t="str">
        <f>IF(COUNTA(A119:E119)=0,"",IF(N(A119)&lt;=0,"Date manquante ou invalide",IF(B119="","Équipe manquante",IF(ISNA(MATCH(B119,eq_code,0)),"Équipe inconnue",IF(C119="","Poste manquant",IF(ISNA(MATCH(C119,po_code,0)),"Poste inconnu",IF(D119="","Cause manquante",IF(ISNA(MATCH(D119,ca_name,0)),"Cause inconnue",IF(H119="","Cause à compléter dans Paramètres",IF(OR(NOT(ISNUMBER(E119)),N(E119)&lt;=0,N(E119)&gt;1440),"Durée invalide",IF(COUNTIFS(sj_date,A119,sj_eq,B119,sj_po,C119)=0,"Pas de saisie journalière ce jour-là","OK")))))))))))</f>
        <v>OK</v>
      </c>
      <c r="J119">
        <f>IF(OR(I119="OK",I119="Pas de saisie journalière ce jour-là"),E119,0)</f>
        <v>14.0</v>
      </c>
      <c r="K119">
        <f>IF(AND(J119&gt;0,A119&gt;=p_from,A119&lt;=p_to),1,0)</f>
        <v>1.0</v>
      </c>
      <c r="L119">
        <f>IF(AND(K119=1,OR(pa_po="",C119=pa_po),OR(pa_eq="",B119=pa_eq)),1,0)</f>
        <v>1.0</v>
      </c>
    </row>
    <row r="120">
      <c r="A120" s="51" t="n">
        <v>46294</v>
      </c>
      <c r="B120" s="52" t="inlineStr">
        <is>
          <t>Matin</t>
        </is>
      </c>
      <c r="C120" s="52" t="inlineStr">
        <is>
          <t>USIN</t>
        </is>
      </c>
      <c r="D120" s="53" t="inlineStr">
        <is>
          <t>Casse outil</t>
        </is>
      </c>
      <c r="E120" s="60" t="n">
        <v>30</v>
      </c>
      <c r="F120" s="53" t="n"/>
      <c r="G120" s="61" t="str">
        <f>IF(OR(COUNTA(A120:E120)=0,D120=""),"",IFERROR(INDEX(ca_fam,MATCH(D120,ca_name,0))&amp;"",""))</f>
        <v>Panne</v>
      </c>
      <c r="H120" s="58" t="str">
        <f>IF(OR(COUNTA(A120:E120)=0,D120=""),"",IFERROR(INDEX(ca_type,MATCH(D120,ca_name,0))&amp;"",""))</f>
        <v>Non planifié</v>
      </c>
      <c r="I120" s="58" t="str">
        <f>IF(COUNTA(A120:E120)=0,"",IF(N(A120)&lt;=0,"Date manquante ou invalide",IF(B120="","Équipe manquante",IF(ISNA(MATCH(B120,eq_code,0)),"Équipe inconnue",IF(C120="","Poste manquant",IF(ISNA(MATCH(C120,po_code,0)),"Poste inconnu",IF(D120="","Cause manquante",IF(ISNA(MATCH(D120,ca_name,0)),"Cause inconnue",IF(H120="","Cause à compléter dans Paramètres",IF(OR(NOT(ISNUMBER(E120)),N(E120)&lt;=0,N(E120)&gt;1440),"Durée invalide",IF(COUNTIFS(sj_date,A120,sj_eq,B120,sj_po,C120)=0,"Pas de saisie journalière ce jour-là","OK")))))))))))</f>
        <v>OK</v>
      </c>
      <c r="J120">
        <f>IF(OR(I120="OK",I120="Pas de saisie journalière ce jour-là"),E120,0)</f>
        <v>30.0</v>
      </c>
      <c r="K120">
        <f>IF(AND(J120&gt;0,A120&gt;=p_from,A120&lt;=p_to),1,0)</f>
        <v>1.0</v>
      </c>
      <c r="L120">
        <f>IF(AND(K120=1,OR(pa_po="",C120=pa_po),OR(pa_eq="",B120=pa_eq)),1,0)</f>
        <v>1.0</v>
      </c>
    </row>
    <row r="121">
      <c r="A121" s="51" t="n">
        <v>46294</v>
      </c>
      <c r="B121" s="52" t="inlineStr">
        <is>
          <t>Après-midi</t>
        </is>
      </c>
      <c r="C121" s="52" t="inlineStr">
        <is>
          <t>USIN</t>
        </is>
      </c>
      <c r="D121" s="53" t="inlineStr">
        <is>
          <t>Changement de série</t>
        </is>
      </c>
      <c r="E121" s="60" t="n">
        <v>33</v>
      </c>
      <c r="F121" s="53" t="n"/>
      <c r="G121" s="61" t="str">
        <f>IF(OR(COUNTA(A121:E121)=0,D121=""),"",IFERROR(INDEX(ca_fam,MATCH(D121,ca_name,0))&amp;"",""))</f>
        <v>Réglage et changement de série</v>
      </c>
      <c r="H121" s="58" t="str">
        <f>IF(OR(COUNTA(A121:E121)=0,D121=""),"",IFERROR(INDEX(ca_type,MATCH(D121,ca_name,0))&amp;"",""))</f>
        <v>Non planifié</v>
      </c>
      <c r="I121" s="58" t="str">
        <f>IF(COUNTA(A121:E121)=0,"",IF(N(A121)&lt;=0,"Date manquante ou invalide",IF(B121="","Équipe manquante",IF(ISNA(MATCH(B121,eq_code,0)),"Équipe inconnue",IF(C121="","Poste manquant",IF(ISNA(MATCH(C121,po_code,0)),"Poste inconnu",IF(D121="","Cause manquante",IF(ISNA(MATCH(D121,ca_name,0)),"Cause inconnue",IF(H121="","Cause à compléter dans Paramètres",IF(OR(NOT(ISNUMBER(E121)),N(E121)&lt;=0,N(E121)&gt;1440),"Durée invalide",IF(COUNTIFS(sj_date,A121,sj_eq,B121,sj_po,C121)=0,"Pas de saisie journalière ce jour-là","OK")))))))))))</f>
        <v>OK</v>
      </c>
      <c r="J121">
        <f>IF(OR(I121="OK",I121="Pas de saisie journalière ce jour-là"),E121,0)</f>
        <v>33.0</v>
      </c>
      <c r="K121">
        <f>IF(AND(J121&gt;0,A121&gt;=p_from,A121&lt;=p_to),1,0)</f>
        <v>1.0</v>
      </c>
      <c r="L121">
        <f>IF(AND(K121=1,OR(pa_po="",C121=pa_po),OR(pa_eq="",B121=pa_eq)),1,0)</f>
        <v>1.0</v>
      </c>
    </row>
    <row r="122">
      <c r="A122" s="51" t="n">
        <v>46294</v>
      </c>
      <c r="B122" s="52" t="inlineStr">
        <is>
          <t>Matin</t>
        </is>
      </c>
      <c r="C122" s="52" t="inlineStr">
        <is>
          <t>PRESSE</t>
        </is>
      </c>
      <c r="D122" s="53" t="inlineStr">
        <is>
          <t>Changement de série</t>
        </is>
      </c>
      <c r="E122" s="60" t="n">
        <v>64</v>
      </c>
      <c r="F122" s="53" t="n"/>
      <c r="G122" s="61" t="str">
        <f>IF(OR(COUNTA(A122:E122)=0,D122=""),"",IFERROR(INDEX(ca_fam,MATCH(D122,ca_name,0))&amp;"",""))</f>
        <v>Réglage et changement de série</v>
      </c>
      <c r="H122" s="58" t="str">
        <f>IF(OR(COUNTA(A122:E122)=0,D122=""),"",IFERROR(INDEX(ca_type,MATCH(D122,ca_name,0))&amp;"",""))</f>
        <v>Non planifié</v>
      </c>
      <c r="I122" s="58" t="str">
        <f>IF(COUNTA(A122:E122)=0,"",IF(N(A122)&lt;=0,"Date manquante ou invalide",IF(B122="","Équipe manquante",IF(ISNA(MATCH(B122,eq_code,0)),"Équipe inconnue",IF(C122="","Poste manquant",IF(ISNA(MATCH(C122,po_code,0)),"Poste inconnu",IF(D122="","Cause manquante",IF(ISNA(MATCH(D122,ca_name,0)),"Cause inconnue",IF(H122="","Cause à compléter dans Paramètres",IF(OR(NOT(ISNUMBER(E122)),N(E122)&lt;=0,N(E122)&gt;1440),"Durée invalide",IF(COUNTIFS(sj_date,A122,sj_eq,B122,sj_po,C122)=0,"Pas de saisie journalière ce jour-là","OK")))))))))))</f>
        <v>OK</v>
      </c>
      <c r="J122">
        <f>IF(OR(I122="OK",I122="Pas de saisie journalière ce jour-là"),E122,0)</f>
        <v>64.0</v>
      </c>
      <c r="K122">
        <f>IF(AND(J122&gt;0,A122&gt;=p_from,A122&lt;=p_to),1,0)</f>
        <v>1.0</v>
      </c>
      <c r="L122">
        <f>IF(AND(K122=1,OR(pa_po="",C122=pa_po),OR(pa_eq="",B122=pa_eq)),1,0)</f>
        <v>1.0</v>
      </c>
    </row>
    <row r="123">
      <c r="A123" s="51" t="n">
        <v>46294</v>
      </c>
      <c r="B123" s="52" t="inlineStr">
        <is>
          <t>Journée</t>
        </is>
      </c>
      <c r="C123" s="52" t="inlineStr">
        <is>
          <t>PLIE</t>
        </is>
      </c>
      <c r="D123" s="53" t="inlineStr">
        <is>
          <t>Réglage en cours de production</t>
        </is>
      </c>
      <c r="E123" s="60" t="n">
        <v>24</v>
      </c>
      <c r="F123" s="53" t="n"/>
      <c r="G123" s="61" t="str">
        <f>IF(OR(COUNTA(A123:E123)=0,D123=""),"",IFERROR(INDEX(ca_fam,MATCH(D123,ca_name,0))&amp;"",""))</f>
        <v>Réglage et changement de série</v>
      </c>
      <c r="H123" s="58" t="str">
        <f>IF(OR(COUNTA(A123:E123)=0,D123=""),"",IFERROR(INDEX(ca_type,MATCH(D123,ca_name,0))&amp;"",""))</f>
        <v>Non planifié</v>
      </c>
      <c r="I123" s="58" t="str">
        <f>IF(COUNTA(A123:E123)=0,"",IF(N(A123)&lt;=0,"Date manquante ou invalide",IF(B123="","Équipe manquante",IF(ISNA(MATCH(B123,eq_code,0)),"Équipe inconnue",IF(C123="","Poste manquant",IF(ISNA(MATCH(C123,po_code,0)),"Poste inconnu",IF(D123="","Cause manquante",IF(ISNA(MATCH(D123,ca_name,0)),"Cause inconnue",IF(H123="","Cause à compléter dans Paramètres",IF(OR(NOT(ISNUMBER(E123)),N(E123)&lt;=0,N(E123)&gt;1440),"Durée invalide",IF(COUNTIFS(sj_date,A123,sj_eq,B123,sj_po,C123)=0,"Pas de saisie journalière ce jour-là","OK")))))))))))</f>
        <v>OK</v>
      </c>
      <c r="J123">
        <f>IF(OR(I123="OK",I123="Pas de saisie journalière ce jour-là"),E123,0)</f>
        <v>24.0</v>
      </c>
      <c r="K123">
        <f>IF(AND(J123&gt;0,A123&gt;=p_from,A123&lt;=p_to),1,0)</f>
        <v>1.0</v>
      </c>
      <c r="L123">
        <f>IF(AND(K123=1,OR(pa_po="",C123=pa_po),OR(pa_eq="",B123=pa_eq)),1,0)</f>
        <v>1.0</v>
      </c>
    </row>
    <row r="124">
      <c r="A124" s="51" t="n">
        <v>46294</v>
      </c>
      <c r="B124" s="52" t="inlineStr">
        <is>
          <t>Journée</t>
        </is>
      </c>
      <c r="C124" s="52" t="inlineStr">
        <is>
          <t>PLIE</t>
        </is>
      </c>
      <c r="D124" s="53" t="inlineStr">
        <is>
          <t>Absence opérateur</t>
        </is>
      </c>
      <c r="E124" s="60" t="n">
        <v>160</v>
      </c>
      <c r="F124" s="53" t="n"/>
      <c r="G124" s="61" t="str">
        <f>IF(OR(COUNTA(A124:E124)=0,D124=""),"",IFERROR(INDEX(ca_fam,MATCH(D124,ca_name,0))&amp;"",""))</f>
        <v>Manque personnel</v>
      </c>
      <c r="H124" s="58" t="str">
        <f>IF(OR(COUNTA(A124:E124)=0,D124=""),"",IFERROR(INDEX(ca_type,MATCH(D124,ca_name,0))&amp;"",""))</f>
        <v>Non planifié</v>
      </c>
      <c r="I124" s="58" t="str">
        <f>IF(COUNTA(A124:E124)=0,"",IF(N(A124)&lt;=0,"Date manquante ou invalide",IF(B124="","Équipe manquante",IF(ISNA(MATCH(B124,eq_code,0)),"Équipe inconnue",IF(C124="","Poste manquant",IF(ISNA(MATCH(C124,po_code,0)),"Poste inconnu",IF(D124="","Cause manquante",IF(ISNA(MATCH(D124,ca_name,0)),"Cause inconnue",IF(H124="","Cause à compléter dans Paramètres",IF(OR(NOT(ISNUMBER(E124)),N(E124)&lt;=0,N(E124)&gt;1440),"Durée invalide",IF(COUNTIFS(sj_date,A124,sj_eq,B124,sj_po,C124)=0,"Pas de saisie journalière ce jour-là","OK")))))))))))</f>
        <v>OK</v>
      </c>
      <c r="J124">
        <f>IF(OR(I124="OK",I124="Pas de saisie journalière ce jour-là"),E124,0)</f>
        <v>160.0</v>
      </c>
      <c r="K124">
        <f>IF(AND(J124&gt;0,A124&gt;=p_from,A124&lt;=p_to),1,0)</f>
        <v>1.0</v>
      </c>
      <c r="L124">
        <f>IF(AND(K124=1,OR(pa_po="",C124=pa_po),OR(pa_eq="",B124=pa_eq)),1,0)</f>
        <v>1.0</v>
      </c>
    </row>
    <row r="125">
      <c r="A125" s="51" t="n">
        <v>46294</v>
      </c>
      <c r="B125" s="52" t="inlineStr">
        <is>
          <t>Journée</t>
        </is>
      </c>
      <c r="C125" s="52" t="inlineStr">
        <is>
          <t>PLIE</t>
        </is>
      </c>
      <c r="D125" s="53" t="inlineStr">
        <is>
          <t>Attente programme ou consignes</t>
        </is>
      </c>
      <c r="E125" s="60" t="n">
        <v>13</v>
      </c>
      <c r="F125" s="53" t="n"/>
      <c r="G125" s="61" t="str">
        <f>IF(OR(COUNTA(A125:E125)=0,D125=""),"",IFERROR(INDEX(ca_fam,MATCH(D125,ca_name,0))&amp;"",""))</f>
        <v>Organisation</v>
      </c>
      <c r="H125" s="58" t="str">
        <f>IF(OR(COUNTA(A125:E125)=0,D125=""),"",IFERROR(INDEX(ca_type,MATCH(D125,ca_name,0))&amp;"",""))</f>
        <v>Non planifié</v>
      </c>
      <c r="I125" s="58" t="str">
        <f>IF(COUNTA(A125:E125)=0,"",IF(N(A125)&lt;=0,"Date manquante ou invalide",IF(B125="","Équipe manquante",IF(ISNA(MATCH(B125,eq_code,0)),"Équipe inconnue",IF(C125="","Poste manquant",IF(ISNA(MATCH(C125,po_code,0)),"Poste inconnu",IF(D125="","Cause manquante",IF(ISNA(MATCH(D125,ca_name,0)),"Cause inconnue",IF(H125="","Cause à compléter dans Paramètres",IF(OR(NOT(ISNUMBER(E125)),N(E125)&lt;=0,N(E125)&gt;1440),"Durée invalide",IF(COUNTIFS(sj_date,A125,sj_eq,B125,sj_po,C125)=0,"Pas de saisie journalière ce jour-là","OK")))))))))))</f>
        <v>OK</v>
      </c>
      <c r="J125">
        <f>IF(OR(I125="OK",I125="Pas de saisie journalière ce jour-là"),E125,0)</f>
        <v>13.0</v>
      </c>
      <c r="K125">
        <f>IF(AND(J125&gt;0,A125&gt;=p_from,A125&lt;=p_to),1,0)</f>
        <v>1.0</v>
      </c>
      <c r="L125">
        <f>IF(AND(K125=1,OR(pa_po="",C125=pa_po),OR(pa_eq="",B125=pa_eq)),1,0)</f>
        <v>1.0</v>
      </c>
    </row>
    <row r="126">
      <c r="A126" s="51" t="n">
        <v>46294</v>
      </c>
      <c r="B126" s="52" t="inlineStr">
        <is>
          <t>Matin</t>
        </is>
      </c>
      <c r="C126" s="52" t="inlineStr">
        <is>
          <t>SOUD</t>
        </is>
      </c>
      <c r="D126" s="53" t="inlineStr">
        <is>
          <t>Changement de série</t>
        </is>
      </c>
      <c r="E126" s="60" t="n">
        <v>26</v>
      </c>
      <c r="F126" s="53" t="n"/>
      <c r="G126" s="61" t="str">
        <f>IF(OR(COUNTA(A126:E126)=0,D126=""),"",IFERROR(INDEX(ca_fam,MATCH(D126,ca_name,0))&amp;"",""))</f>
        <v>Réglage et changement de série</v>
      </c>
      <c r="H126" s="58" t="str">
        <f>IF(OR(COUNTA(A126:E126)=0,D126=""),"",IFERROR(INDEX(ca_type,MATCH(D126,ca_name,0))&amp;"",""))</f>
        <v>Non planifié</v>
      </c>
      <c r="I126" s="58" t="str">
        <f>IF(COUNTA(A126:E126)=0,"",IF(N(A126)&lt;=0,"Date manquante ou invalide",IF(B126="","Équipe manquante",IF(ISNA(MATCH(B126,eq_code,0)),"Équipe inconnue",IF(C126="","Poste manquant",IF(ISNA(MATCH(C126,po_code,0)),"Poste inconnu",IF(D126="","Cause manquante",IF(ISNA(MATCH(D126,ca_name,0)),"Cause inconnue",IF(H126="","Cause à compléter dans Paramètres",IF(OR(NOT(ISNUMBER(E126)),N(E126)&lt;=0,N(E126)&gt;1440),"Durée invalide",IF(COUNTIFS(sj_date,A126,sj_eq,B126,sj_po,C126)=0,"Pas de saisie journalière ce jour-là","OK")))))))))))</f>
        <v>OK</v>
      </c>
      <c r="J126">
        <f>IF(OR(I126="OK",I126="Pas de saisie journalière ce jour-là"),E126,0)</f>
        <v>26.0</v>
      </c>
      <c r="K126">
        <f>IF(AND(J126&gt;0,A126&gt;=p_from,A126&lt;=p_to),1,0)</f>
        <v>1.0</v>
      </c>
      <c r="L126">
        <f>IF(AND(K126=1,OR(pa_po="",C126=pa_po),OR(pa_eq="",B126=pa_eq)),1,0)</f>
        <v>1.0</v>
      </c>
    </row>
    <row r="127">
      <c r="A127" s="51" t="n">
        <v>46294</v>
      </c>
      <c r="B127" s="52" t="inlineStr">
        <is>
          <t>Matin</t>
        </is>
      </c>
      <c r="C127" s="52" t="inlineStr">
        <is>
          <t>SOUD</t>
        </is>
      </c>
      <c r="D127" s="53" t="inlineStr">
        <is>
          <t>Changement de série</t>
        </is>
      </c>
      <c r="E127" s="60" t="n">
        <v>59</v>
      </c>
      <c r="F127" s="53" t="n"/>
      <c r="G127" s="61" t="str">
        <f>IF(OR(COUNTA(A127:E127)=0,D127=""),"",IFERROR(INDEX(ca_fam,MATCH(D127,ca_name,0))&amp;"",""))</f>
        <v>Réglage et changement de série</v>
      </c>
      <c r="H127" s="58" t="str">
        <f>IF(OR(COUNTA(A127:E127)=0,D127=""),"",IFERROR(INDEX(ca_type,MATCH(D127,ca_name,0))&amp;"",""))</f>
        <v>Non planifié</v>
      </c>
      <c r="I127" s="58" t="str">
        <f>IF(COUNTA(A127:E127)=0,"",IF(N(A127)&lt;=0,"Date manquante ou invalide",IF(B127="","Équipe manquante",IF(ISNA(MATCH(B127,eq_code,0)),"Équipe inconnue",IF(C127="","Poste manquant",IF(ISNA(MATCH(C127,po_code,0)),"Poste inconnu",IF(D127="","Cause manquante",IF(ISNA(MATCH(D127,ca_name,0)),"Cause inconnue",IF(H127="","Cause à compléter dans Paramètres",IF(OR(NOT(ISNUMBER(E127)),N(E127)&lt;=0,N(E127)&gt;1440),"Durée invalide",IF(COUNTIFS(sj_date,A127,sj_eq,B127,sj_po,C127)=0,"Pas de saisie journalière ce jour-là","OK")))))))))))</f>
        <v>OK</v>
      </c>
      <c r="J127">
        <f>IF(OR(I127="OK",I127="Pas de saisie journalière ce jour-là"),E127,0)</f>
        <v>59.0</v>
      </c>
      <c r="K127">
        <f>IF(AND(J127&gt;0,A127&gt;=p_from,A127&lt;=p_to),1,0)</f>
        <v>1.0</v>
      </c>
      <c r="L127">
        <f>IF(AND(K127=1,OR(pa_po="",C127=pa_po),OR(pa_eq="",B127=pa_eq)),1,0)</f>
        <v>1.0</v>
      </c>
    </row>
    <row r="128">
      <c r="A128" s="51" t="n">
        <v>46294</v>
      </c>
      <c r="B128" s="52" t="inlineStr">
        <is>
          <t>Après-midi</t>
        </is>
      </c>
      <c r="C128" s="52" t="inlineStr">
        <is>
          <t>SOUD</t>
        </is>
      </c>
      <c r="D128" s="53" t="inlineStr">
        <is>
          <t>Attente contrôle qualité</t>
        </is>
      </c>
      <c r="E128" s="60" t="n">
        <v>14</v>
      </c>
      <c r="F128" s="53" t="n"/>
      <c r="G128" s="61" t="str">
        <f>IF(OR(COUNTA(A128:E128)=0,D128=""),"",IFERROR(INDEX(ca_fam,MATCH(D128,ca_name,0))&amp;"",""))</f>
        <v>Qualité</v>
      </c>
      <c r="H128" s="58" t="str">
        <f>IF(OR(COUNTA(A128:E128)=0,D128=""),"",IFERROR(INDEX(ca_type,MATCH(D128,ca_name,0))&amp;"",""))</f>
        <v>Non planifié</v>
      </c>
      <c r="I128" s="58" t="str">
        <f>IF(COUNTA(A128:E128)=0,"",IF(N(A128)&lt;=0,"Date manquante ou invalide",IF(B128="","Équipe manquante",IF(ISNA(MATCH(B128,eq_code,0)),"Équipe inconnue",IF(C128="","Poste manquant",IF(ISNA(MATCH(C128,po_code,0)),"Poste inconnu",IF(D128="","Cause manquante",IF(ISNA(MATCH(D128,ca_name,0)),"Cause inconnue",IF(H128="","Cause à compléter dans Paramètres",IF(OR(NOT(ISNUMBER(E128)),N(E128)&lt;=0,N(E128)&gt;1440),"Durée invalide",IF(COUNTIFS(sj_date,A128,sj_eq,B128,sj_po,C128)=0,"Pas de saisie journalière ce jour-là","OK")))))))))))</f>
        <v>OK</v>
      </c>
      <c r="J128">
        <f>IF(OR(I128="OK",I128="Pas de saisie journalière ce jour-là"),E128,0)</f>
        <v>14.0</v>
      </c>
      <c r="K128">
        <f>IF(AND(J128&gt;0,A128&gt;=p_from,A128&lt;=p_to),1,0)</f>
        <v>1.0</v>
      </c>
      <c r="L128">
        <f>IF(AND(K128=1,OR(pa_po="",C128=pa_po),OR(pa_eq="",B128=pa_eq)),1,0)</f>
        <v>1.0</v>
      </c>
    </row>
    <row r="129">
      <c r="A129" s="51" t="n">
        <v>46294</v>
      </c>
      <c r="B129" s="52" t="inlineStr">
        <is>
          <t>Après-midi</t>
        </is>
      </c>
      <c r="C129" s="52" t="inlineStr">
        <is>
          <t>SOUD</t>
        </is>
      </c>
      <c r="D129" s="53" t="inlineStr">
        <is>
          <t>Réglage en cours de production</t>
        </is>
      </c>
      <c r="E129" s="60" t="n">
        <v>11</v>
      </c>
      <c r="F129" s="53" t="n"/>
      <c r="G129" s="61" t="str">
        <f>IF(OR(COUNTA(A129:E129)=0,D129=""),"",IFERROR(INDEX(ca_fam,MATCH(D129,ca_name,0))&amp;"",""))</f>
        <v>Réglage et changement de série</v>
      </c>
      <c r="H129" s="58" t="str">
        <f>IF(OR(COUNTA(A129:E129)=0,D129=""),"",IFERROR(INDEX(ca_type,MATCH(D129,ca_name,0))&amp;"",""))</f>
        <v>Non planifié</v>
      </c>
      <c r="I129" s="58" t="str">
        <f>IF(COUNTA(A129:E129)=0,"",IF(N(A129)&lt;=0,"Date manquante ou invalide",IF(B129="","Équipe manquante",IF(ISNA(MATCH(B129,eq_code,0)),"Équipe inconnue",IF(C129="","Poste manquant",IF(ISNA(MATCH(C129,po_code,0)),"Poste inconnu",IF(D129="","Cause manquante",IF(ISNA(MATCH(D129,ca_name,0)),"Cause inconnue",IF(H129="","Cause à compléter dans Paramètres",IF(OR(NOT(ISNUMBER(E129)),N(E129)&lt;=0,N(E129)&gt;1440),"Durée invalide",IF(COUNTIFS(sj_date,A129,sj_eq,B129,sj_po,C129)=0,"Pas de saisie journalière ce jour-là","OK")))))))))))</f>
        <v>OK</v>
      </c>
      <c r="J129">
        <f>IF(OR(I129="OK",I129="Pas de saisie journalière ce jour-là"),E129,0)</f>
        <v>11.0</v>
      </c>
      <c r="K129">
        <f>IF(AND(J129&gt;0,A129&gt;=p_from,A129&lt;=p_to),1,0)</f>
        <v>1.0</v>
      </c>
      <c r="L129">
        <f>IF(AND(K129=1,OR(pa_po="",C129=pa_po),OR(pa_eq="",B129=pa_eq)),1,0)</f>
        <v>1.0</v>
      </c>
    </row>
    <row r="130">
      <c r="A130" s="51" t="n">
        <v>46294</v>
      </c>
      <c r="B130" s="52" t="inlineStr">
        <is>
          <t>Après-midi</t>
        </is>
      </c>
      <c r="C130" s="52" t="inlineStr">
        <is>
          <t>SOUD</t>
        </is>
      </c>
      <c r="D130" s="53" t="inlineStr">
        <is>
          <t>Panne mécanique</t>
        </is>
      </c>
      <c r="E130" s="60" t="n">
        <v>87</v>
      </c>
      <c r="F130" s="53" t="n"/>
      <c r="G130" s="61" t="str">
        <f>IF(OR(COUNTA(A130:E130)=0,D130=""),"",IFERROR(INDEX(ca_fam,MATCH(D130,ca_name,0))&amp;"",""))</f>
        <v>Panne</v>
      </c>
      <c r="H130" s="58" t="str">
        <f>IF(OR(COUNTA(A130:E130)=0,D130=""),"",IFERROR(INDEX(ca_type,MATCH(D130,ca_name,0))&amp;"",""))</f>
        <v>Non planifié</v>
      </c>
      <c r="I130" s="58" t="str">
        <f>IF(COUNTA(A130:E130)=0,"",IF(N(A130)&lt;=0,"Date manquante ou invalide",IF(B130="","Équipe manquante",IF(ISNA(MATCH(B130,eq_code,0)),"Équipe inconnue",IF(C130="","Poste manquant",IF(ISNA(MATCH(C130,po_code,0)),"Poste inconnu",IF(D130="","Cause manquante",IF(ISNA(MATCH(D130,ca_name,0)),"Cause inconnue",IF(H130="","Cause à compléter dans Paramètres",IF(OR(NOT(ISNUMBER(E130)),N(E130)&lt;=0,N(E130)&gt;1440),"Durée invalide",IF(COUNTIFS(sj_date,A130,sj_eq,B130,sj_po,C130)=0,"Pas de saisie journalière ce jour-là","OK")))))))))))</f>
        <v>OK</v>
      </c>
      <c r="J130">
        <f>IF(OR(I130="OK",I130="Pas de saisie journalière ce jour-là"),E130,0)</f>
        <v>87.0</v>
      </c>
      <c r="K130">
        <f>IF(AND(J130&gt;0,A130&gt;=p_from,A130&lt;=p_to),1,0)</f>
        <v>1.0</v>
      </c>
      <c r="L130">
        <f>IF(AND(K130=1,OR(pa_po="",C130=pa_po),OR(pa_eq="",B130=pa_eq)),1,0)</f>
        <v>1.0</v>
      </c>
    </row>
    <row r="131">
      <c r="A131" s="51" t="n">
        <v>46295</v>
      </c>
      <c r="B131" s="52" t="inlineStr">
        <is>
          <t>Matin</t>
        </is>
      </c>
      <c r="C131" s="52" t="inlineStr">
        <is>
          <t>TOUR1</t>
        </is>
      </c>
      <c r="D131" s="53" t="inlineStr">
        <is>
          <t>Attente pièces de l'opération précédente</t>
        </is>
      </c>
      <c r="E131" s="60" t="n">
        <v>35</v>
      </c>
      <c r="F131" s="53" t="n"/>
      <c r="G131" s="61" t="str">
        <f>IF(OR(COUNTA(A131:E131)=0,D131=""),"",IFERROR(INDEX(ca_fam,MATCH(D131,ca_name,0))&amp;"",""))</f>
        <v>Manque matière</v>
      </c>
      <c r="H131" s="58" t="str">
        <f>IF(OR(COUNTA(A131:E131)=0,D131=""),"",IFERROR(INDEX(ca_type,MATCH(D131,ca_name,0))&amp;"",""))</f>
        <v>Non planifié</v>
      </c>
      <c r="I131" s="58" t="str">
        <f>IF(COUNTA(A131:E131)=0,"",IF(N(A131)&lt;=0,"Date manquante ou invalide",IF(B131="","Équipe manquante",IF(ISNA(MATCH(B131,eq_code,0)),"Équipe inconnue",IF(C131="","Poste manquant",IF(ISNA(MATCH(C131,po_code,0)),"Poste inconnu",IF(D131="","Cause manquante",IF(ISNA(MATCH(D131,ca_name,0)),"Cause inconnue",IF(H131="","Cause à compléter dans Paramètres",IF(OR(NOT(ISNUMBER(E131)),N(E131)&lt;=0,N(E131)&gt;1440),"Durée invalide",IF(COUNTIFS(sj_date,A131,sj_eq,B131,sj_po,C131)=0,"Pas de saisie journalière ce jour-là","OK")))))))))))</f>
        <v>OK</v>
      </c>
      <c r="J131">
        <f>IF(OR(I131="OK",I131="Pas de saisie journalière ce jour-là"),E131,0)</f>
        <v>35.0</v>
      </c>
      <c r="K131">
        <f>IF(AND(J131&gt;0,A131&gt;=p_from,A131&lt;=p_to),1,0)</f>
        <v>1.0</v>
      </c>
      <c r="L131">
        <f>IF(AND(K131=1,OR(pa_po="",C131=pa_po),OR(pa_eq="",B131=pa_eq)),1,0)</f>
        <v>1.0</v>
      </c>
    </row>
    <row r="132">
      <c r="A132" s="51" t="n">
        <v>46295</v>
      </c>
      <c r="B132" s="52" t="inlineStr">
        <is>
          <t>Matin</t>
        </is>
      </c>
      <c r="C132" s="52" t="inlineStr">
        <is>
          <t>TOUR2</t>
        </is>
      </c>
      <c r="D132" s="53" t="inlineStr">
        <is>
          <t>Attente matière</t>
        </is>
      </c>
      <c r="E132" s="60" t="n">
        <v>61</v>
      </c>
      <c r="F132" s="53" t="n"/>
      <c r="G132" s="61" t="str">
        <f>IF(OR(COUNTA(A132:E132)=0,D132=""),"",IFERROR(INDEX(ca_fam,MATCH(D132,ca_name,0))&amp;"",""))</f>
        <v>Manque matière</v>
      </c>
      <c r="H132" s="58" t="str">
        <f>IF(OR(COUNTA(A132:E132)=0,D132=""),"",IFERROR(INDEX(ca_type,MATCH(D132,ca_name,0))&amp;"",""))</f>
        <v>Non planifié</v>
      </c>
      <c r="I132" s="58" t="str">
        <f>IF(COUNTA(A132:E132)=0,"",IF(N(A132)&lt;=0,"Date manquante ou invalide",IF(B132="","Équipe manquante",IF(ISNA(MATCH(B132,eq_code,0)),"Équipe inconnue",IF(C132="","Poste manquant",IF(ISNA(MATCH(C132,po_code,0)),"Poste inconnu",IF(D132="","Cause manquante",IF(ISNA(MATCH(D132,ca_name,0)),"Cause inconnue",IF(H132="","Cause à compléter dans Paramètres",IF(OR(NOT(ISNUMBER(E132)),N(E132)&lt;=0,N(E132)&gt;1440),"Durée invalide",IF(COUNTIFS(sj_date,A132,sj_eq,B132,sj_po,C132)=0,"Pas de saisie journalière ce jour-là","OK")))))))))))</f>
        <v>OK</v>
      </c>
      <c r="J132">
        <f>IF(OR(I132="OK",I132="Pas de saisie journalière ce jour-là"),E132,0)</f>
        <v>61.0</v>
      </c>
      <c r="K132">
        <f>IF(AND(J132&gt;0,A132&gt;=p_from,A132&lt;=p_to),1,0)</f>
        <v>1.0</v>
      </c>
      <c r="L132">
        <f>IF(AND(K132=1,OR(pa_po="",C132=pa_po),OR(pa_eq="",B132=pa_eq)),1,0)</f>
        <v>1.0</v>
      </c>
    </row>
    <row r="133">
      <c r="A133" s="51" t="n">
        <v>46295</v>
      </c>
      <c r="B133" s="52" t="inlineStr">
        <is>
          <t>Matin</t>
        </is>
      </c>
      <c r="C133" s="52" t="inlineStr">
        <is>
          <t>TOUR2</t>
        </is>
      </c>
      <c r="D133" s="53" t="inlineStr">
        <is>
          <t>Réglage en cours de production</t>
        </is>
      </c>
      <c r="E133" s="60" t="n">
        <v>23</v>
      </c>
      <c r="F133" s="53" t="n"/>
      <c r="G133" s="61" t="str">
        <f>IF(OR(COUNTA(A133:E133)=0,D133=""),"",IFERROR(INDEX(ca_fam,MATCH(D133,ca_name,0))&amp;"",""))</f>
        <v>Réglage et changement de série</v>
      </c>
      <c r="H133" s="58" t="str">
        <f>IF(OR(COUNTA(A133:E133)=0,D133=""),"",IFERROR(INDEX(ca_type,MATCH(D133,ca_name,0))&amp;"",""))</f>
        <v>Non planifié</v>
      </c>
      <c r="I133" s="58" t="str">
        <f>IF(COUNTA(A133:E133)=0,"",IF(N(A133)&lt;=0,"Date manquante ou invalide",IF(B133="","Équipe manquante",IF(ISNA(MATCH(B133,eq_code,0)),"Équipe inconnue",IF(C133="","Poste manquant",IF(ISNA(MATCH(C133,po_code,0)),"Poste inconnu",IF(D133="","Cause manquante",IF(ISNA(MATCH(D133,ca_name,0)),"Cause inconnue",IF(H133="","Cause à compléter dans Paramètres",IF(OR(NOT(ISNUMBER(E133)),N(E133)&lt;=0,N(E133)&gt;1440),"Durée invalide",IF(COUNTIFS(sj_date,A133,sj_eq,B133,sj_po,C133)=0,"Pas de saisie journalière ce jour-là","OK")))))))))))</f>
        <v>OK</v>
      </c>
      <c r="J133">
        <f>IF(OR(I133="OK",I133="Pas de saisie journalière ce jour-là"),E133,0)</f>
        <v>23.0</v>
      </c>
      <c r="K133">
        <f>IF(AND(J133&gt;0,A133&gt;=p_from,A133&lt;=p_to),1,0)</f>
        <v>1.0</v>
      </c>
      <c r="L133">
        <f>IF(AND(K133=1,OR(pa_po="",C133=pa_po),OR(pa_eq="",B133=pa_eq)),1,0)</f>
        <v>1.0</v>
      </c>
    </row>
    <row r="134">
      <c r="A134" s="51" t="n">
        <v>46295</v>
      </c>
      <c r="B134" s="52" t="inlineStr">
        <is>
          <t>Après-midi</t>
        </is>
      </c>
      <c r="C134" s="52" t="inlineStr">
        <is>
          <t>TOUR2</t>
        </is>
      </c>
      <c r="D134" s="53" t="inlineStr">
        <is>
          <t>Changement de série</t>
        </is>
      </c>
      <c r="E134" s="60" t="n">
        <v>70</v>
      </c>
      <c r="F134" s="53" t="n"/>
      <c r="G134" s="61" t="str">
        <f>IF(OR(COUNTA(A134:E134)=0,D134=""),"",IFERROR(INDEX(ca_fam,MATCH(D134,ca_name,0))&amp;"",""))</f>
        <v>Réglage et changement de série</v>
      </c>
      <c r="H134" s="58" t="str">
        <f>IF(OR(COUNTA(A134:E134)=0,D134=""),"",IFERROR(INDEX(ca_type,MATCH(D134,ca_name,0))&amp;"",""))</f>
        <v>Non planifié</v>
      </c>
      <c r="I134" s="58" t="str">
        <f>IF(COUNTA(A134:E134)=0,"",IF(N(A134)&lt;=0,"Date manquante ou invalide",IF(B134="","Équipe manquante",IF(ISNA(MATCH(B134,eq_code,0)),"Équipe inconnue",IF(C134="","Poste manquant",IF(ISNA(MATCH(C134,po_code,0)),"Poste inconnu",IF(D134="","Cause manquante",IF(ISNA(MATCH(D134,ca_name,0)),"Cause inconnue",IF(H134="","Cause à compléter dans Paramètres",IF(OR(NOT(ISNUMBER(E134)),N(E134)&lt;=0,N(E134)&gt;1440),"Durée invalide",IF(COUNTIFS(sj_date,A134,sj_eq,B134,sj_po,C134)=0,"Pas de saisie journalière ce jour-là","OK")))))))))))</f>
        <v>OK</v>
      </c>
      <c r="J134">
        <f>IF(OR(I134="OK",I134="Pas de saisie journalière ce jour-là"),E134,0)</f>
        <v>70.0</v>
      </c>
      <c r="K134">
        <f>IF(AND(J134&gt;0,A134&gt;=p_from,A134&lt;=p_to),1,0)</f>
        <v>1.0</v>
      </c>
      <c r="L134">
        <f>IF(AND(K134=1,OR(pa_po="",C134=pa_po),OR(pa_eq="",B134=pa_eq)),1,0)</f>
        <v>1.0</v>
      </c>
    </row>
    <row r="135">
      <c r="A135" s="51" t="n">
        <v>46295</v>
      </c>
      <c r="B135" s="52" t="inlineStr">
        <is>
          <t>Après-midi</t>
        </is>
      </c>
      <c r="C135" s="52" t="inlineStr">
        <is>
          <t>TOUR2</t>
        </is>
      </c>
      <c r="D135" s="53" t="inlineStr">
        <is>
          <t>Changement de série</t>
        </is>
      </c>
      <c r="E135" s="60" t="n">
        <v>28</v>
      </c>
      <c r="F135" s="53" t="n"/>
      <c r="G135" s="61" t="str">
        <f>IF(OR(COUNTA(A135:E135)=0,D135=""),"",IFERROR(INDEX(ca_fam,MATCH(D135,ca_name,0))&amp;"",""))</f>
        <v>Réglage et changement de série</v>
      </c>
      <c r="H135" s="58" t="str">
        <f>IF(OR(COUNTA(A135:E135)=0,D135=""),"",IFERROR(INDEX(ca_type,MATCH(D135,ca_name,0))&amp;"",""))</f>
        <v>Non planifié</v>
      </c>
      <c r="I135" s="58" t="str">
        <f>IF(COUNTA(A135:E135)=0,"",IF(N(A135)&lt;=0,"Date manquante ou invalide",IF(B135="","Équipe manquante",IF(ISNA(MATCH(B135,eq_code,0)),"Équipe inconnue",IF(C135="","Poste manquant",IF(ISNA(MATCH(C135,po_code,0)),"Poste inconnu",IF(D135="","Cause manquante",IF(ISNA(MATCH(D135,ca_name,0)),"Cause inconnue",IF(H135="","Cause à compléter dans Paramètres",IF(OR(NOT(ISNUMBER(E135)),N(E135)&lt;=0,N(E135)&gt;1440),"Durée invalide",IF(COUNTIFS(sj_date,A135,sj_eq,B135,sj_po,C135)=0,"Pas de saisie journalière ce jour-là","OK")))))))))))</f>
        <v>OK</v>
      </c>
      <c r="J135">
        <f>IF(OR(I135="OK",I135="Pas de saisie journalière ce jour-là"),E135,0)</f>
        <v>28.0</v>
      </c>
      <c r="K135">
        <f>IF(AND(J135&gt;0,A135&gt;=p_from,A135&lt;=p_to),1,0)</f>
        <v>1.0</v>
      </c>
      <c r="L135">
        <f>IF(AND(K135=1,OR(pa_po="",C135=pa_po),OR(pa_eq="",B135=pa_eq)),1,0)</f>
        <v>1.0</v>
      </c>
    </row>
    <row r="136">
      <c r="A136" s="51" t="n">
        <v>46295</v>
      </c>
      <c r="B136" s="52" t="inlineStr">
        <is>
          <t>Matin</t>
        </is>
      </c>
      <c r="C136" s="52" t="inlineStr">
        <is>
          <t>USIN</t>
        </is>
      </c>
      <c r="D136" s="53" t="inlineStr">
        <is>
          <t>Attente contrôle qualité</t>
        </is>
      </c>
      <c r="E136" s="60" t="n">
        <v>24</v>
      </c>
      <c r="F136" s="53" t="n"/>
      <c r="G136" s="61" t="str">
        <f>IF(OR(COUNTA(A136:E136)=0,D136=""),"",IFERROR(INDEX(ca_fam,MATCH(D136,ca_name,0))&amp;"",""))</f>
        <v>Qualité</v>
      </c>
      <c r="H136" s="58" t="str">
        <f>IF(OR(COUNTA(A136:E136)=0,D136=""),"",IFERROR(INDEX(ca_type,MATCH(D136,ca_name,0))&amp;"",""))</f>
        <v>Non planifié</v>
      </c>
      <c r="I136" s="58" t="str">
        <f>IF(COUNTA(A136:E136)=0,"",IF(N(A136)&lt;=0,"Date manquante ou invalide",IF(B136="","Équipe manquante",IF(ISNA(MATCH(B136,eq_code,0)),"Équipe inconnue",IF(C136="","Poste manquant",IF(ISNA(MATCH(C136,po_code,0)),"Poste inconnu",IF(D136="","Cause manquante",IF(ISNA(MATCH(D136,ca_name,0)),"Cause inconnue",IF(H136="","Cause à compléter dans Paramètres",IF(OR(NOT(ISNUMBER(E136)),N(E136)&lt;=0,N(E136)&gt;1440),"Durée invalide",IF(COUNTIFS(sj_date,A136,sj_eq,B136,sj_po,C136)=0,"Pas de saisie journalière ce jour-là","OK")))))))))))</f>
        <v>OK</v>
      </c>
      <c r="J136">
        <f>IF(OR(I136="OK",I136="Pas de saisie journalière ce jour-là"),E136,0)</f>
        <v>24.0</v>
      </c>
      <c r="K136">
        <f>IF(AND(J136&gt;0,A136&gt;=p_from,A136&lt;=p_to),1,0)</f>
        <v>1.0</v>
      </c>
      <c r="L136">
        <f>IF(AND(K136=1,OR(pa_po="",C136=pa_po),OR(pa_eq="",B136=pa_eq)),1,0)</f>
        <v>1.0</v>
      </c>
    </row>
    <row r="137">
      <c r="A137" s="51" t="n">
        <v>46295</v>
      </c>
      <c r="B137" s="52" t="inlineStr">
        <is>
          <t>Après-midi</t>
        </is>
      </c>
      <c r="C137" s="52" t="inlineStr">
        <is>
          <t>USIN</t>
        </is>
      </c>
      <c r="D137" s="53" t="inlineStr">
        <is>
          <t>Casse outil</t>
        </is>
      </c>
      <c r="E137" s="60" t="n">
        <v>28</v>
      </c>
      <c r="F137" s="53" t="n"/>
      <c r="G137" s="61" t="str">
        <f>IF(OR(COUNTA(A137:E137)=0,D137=""),"",IFERROR(INDEX(ca_fam,MATCH(D137,ca_name,0))&amp;"",""))</f>
        <v>Panne</v>
      </c>
      <c r="H137" s="58" t="str">
        <f>IF(OR(COUNTA(A137:E137)=0,D137=""),"",IFERROR(INDEX(ca_type,MATCH(D137,ca_name,0))&amp;"",""))</f>
        <v>Non planifié</v>
      </c>
      <c r="I137" s="58" t="str">
        <f>IF(COUNTA(A137:E137)=0,"",IF(N(A137)&lt;=0,"Date manquante ou invalide",IF(B137="","Équipe manquante",IF(ISNA(MATCH(B137,eq_code,0)),"Équipe inconnue",IF(C137="","Poste manquant",IF(ISNA(MATCH(C137,po_code,0)),"Poste inconnu",IF(D137="","Cause manquante",IF(ISNA(MATCH(D137,ca_name,0)),"Cause inconnue",IF(H137="","Cause à compléter dans Paramètres",IF(OR(NOT(ISNUMBER(E137)),N(E137)&lt;=0,N(E137)&gt;1440),"Durée invalide",IF(COUNTIFS(sj_date,A137,sj_eq,B137,sj_po,C137)=0,"Pas de saisie journalière ce jour-là","OK")))))))))))</f>
        <v>OK</v>
      </c>
      <c r="J137">
        <f>IF(OR(I137="OK",I137="Pas de saisie journalière ce jour-là"),E137,0)</f>
        <v>28.0</v>
      </c>
      <c r="K137">
        <f>IF(AND(J137&gt;0,A137&gt;=p_from,A137&lt;=p_to),1,0)</f>
        <v>1.0</v>
      </c>
      <c r="L137">
        <f>IF(AND(K137=1,OR(pa_po="",C137=pa_po),OR(pa_eq="",B137=pa_eq)),1,0)</f>
        <v>1.0</v>
      </c>
    </row>
    <row r="138">
      <c r="A138" s="51" t="n">
        <v>46295</v>
      </c>
      <c r="B138" s="52" t="inlineStr">
        <is>
          <t>Après-midi</t>
        </is>
      </c>
      <c r="C138" s="52" t="inlineStr">
        <is>
          <t>USIN</t>
        </is>
      </c>
      <c r="D138" s="53" t="inlineStr">
        <is>
          <t>Opérateur sur un autre poste</t>
        </is>
      </c>
      <c r="E138" s="60" t="n">
        <v>51</v>
      </c>
      <c r="F138" s="53" t="n"/>
      <c r="G138" s="61" t="str">
        <f>IF(OR(COUNTA(A138:E138)=0,D138=""),"",IFERROR(INDEX(ca_fam,MATCH(D138,ca_name,0))&amp;"",""))</f>
        <v>Manque personnel</v>
      </c>
      <c r="H138" s="58" t="str">
        <f>IF(OR(COUNTA(A138:E138)=0,D138=""),"",IFERROR(INDEX(ca_type,MATCH(D138,ca_name,0))&amp;"",""))</f>
        <v>Non planifié</v>
      </c>
      <c r="I138" s="58" t="str">
        <f>IF(COUNTA(A138:E138)=0,"",IF(N(A138)&lt;=0,"Date manquante ou invalide",IF(B138="","Équipe manquante",IF(ISNA(MATCH(B138,eq_code,0)),"Équipe inconnue",IF(C138="","Poste manquant",IF(ISNA(MATCH(C138,po_code,0)),"Poste inconnu",IF(D138="","Cause manquante",IF(ISNA(MATCH(D138,ca_name,0)),"Cause inconnue",IF(H138="","Cause à compléter dans Paramètres",IF(OR(NOT(ISNUMBER(E138)),N(E138)&lt;=0,N(E138)&gt;1440),"Durée invalide",IF(COUNTIFS(sj_date,A138,sj_eq,B138,sj_po,C138)=0,"Pas de saisie journalière ce jour-là","OK")))))))))))</f>
        <v>OK</v>
      </c>
      <c r="J138">
        <f>IF(OR(I138="OK",I138="Pas de saisie journalière ce jour-là"),E138,0)</f>
        <v>51.0</v>
      </c>
      <c r="K138">
        <f>IF(AND(J138&gt;0,A138&gt;=p_from,A138&lt;=p_to),1,0)</f>
        <v>1.0</v>
      </c>
      <c r="L138">
        <f>IF(AND(K138=1,OR(pa_po="",C138=pa_po),OR(pa_eq="",B138=pa_eq)),1,0)</f>
        <v>1.0</v>
      </c>
    </row>
    <row r="139">
      <c r="A139" s="51" t="n">
        <v>46295</v>
      </c>
      <c r="B139" s="52" t="inlineStr">
        <is>
          <t>Après-midi</t>
        </is>
      </c>
      <c r="C139" s="52" t="inlineStr">
        <is>
          <t>USIN</t>
        </is>
      </c>
      <c r="D139" s="53" t="inlineStr">
        <is>
          <t>Absence opérateur</t>
        </is>
      </c>
      <c r="E139" s="60" t="n">
        <v>239</v>
      </c>
      <c r="F139" s="53" t="n"/>
      <c r="G139" s="61" t="str">
        <f>IF(OR(COUNTA(A139:E139)=0,D139=""),"",IFERROR(INDEX(ca_fam,MATCH(D139,ca_name,0))&amp;"",""))</f>
        <v>Manque personnel</v>
      </c>
      <c r="H139" s="58" t="str">
        <f>IF(OR(COUNTA(A139:E139)=0,D139=""),"",IFERROR(INDEX(ca_type,MATCH(D139,ca_name,0))&amp;"",""))</f>
        <v>Non planifié</v>
      </c>
      <c r="I139" s="58" t="str">
        <f>IF(COUNTA(A139:E139)=0,"",IF(N(A139)&lt;=0,"Date manquante ou invalide",IF(B139="","Équipe manquante",IF(ISNA(MATCH(B139,eq_code,0)),"Équipe inconnue",IF(C139="","Poste manquant",IF(ISNA(MATCH(C139,po_code,0)),"Poste inconnu",IF(D139="","Cause manquante",IF(ISNA(MATCH(D139,ca_name,0)),"Cause inconnue",IF(H139="","Cause à compléter dans Paramètres",IF(OR(NOT(ISNUMBER(E139)),N(E139)&lt;=0,N(E139)&gt;1440),"Durée invalide",IF(COUNTIFS(sj_date,A139,sj_eq,B139,sj_po,C139)=0,"Pas de saisie journalière ce jour-là","OK")))))))))))</f>
        <v>OK</v>
      </c>
      <c r="J139">
        <f>IF(OR(I139="OK",I139="Pas de saisie journalière ce jour-là"),E139,0)</f>
        <v>239.0</v>
      </c>
      <c r="K139">
        <f>IF(AND(J139&gt;0,A139&gt;=p_from,A139&lt;=p_to),1,0)</f>
        <v>1.0</v>
      </c>
      <c r="L139">
        <f>IF(AND(K139=1,OR(pa_po="",C139=pa_po),OR(pa_eq="",B139=pa_eq)),1,0)</f>
        <v>1.0</v>
      </c>
    </row>
    <row r="140">
      <c r="A140" s="51" t="n">
        <v>46295</v>
      </c>
      <c r="B140" s="52" t="inlineStr">
        <is>
          <t>Matin</t>
        </is>
      </c>
      <c r="C140" s="52" t="inlineStr">
        <is>
          <t>PRESSE</t>
        </is>
      </c>
      <c r="D140" s="53" t="inlineStr">
        <is>
          <t>Changement d'outil</t>
        </is>
      </c>
      <c r="E140" s="60" t="n">
        <v>10</v>
      </c>
      <c r="F140" s="53" t="n"/>
      <c r="G140" s="61" t="str">
        <f>IF(OR(COUNTA(A140:E140)=0,D140=""),"",IFERROR(INDEX(ca_fam,MATCH(D140,ca_name,0))&amp;"",""))</f>
        <v>Réglage et changement de série</v>
      </c>
      <c r="H140" s="58" t="str">
        <f>IF(OR(COUNTA(A140:E140)=0,D140=""),"",IFERROR(INDEX(ca_type,MATCH(D140,ca_name,0))&amp;"",""))</f>
        <v>Non planifié</v>
      </c>
      <c r="I140" s="58" t="str">
        <f>IF(COUNTA(A140:E140)=0,"",IF(N(A140)&lt;=0,"Date manquante ou invalide",IF(B140="","Équipe manquante",IF(ISNA(MATCH(B140,eq_code,0)),"Équipe inconnue",IF(C140="","Poste manquant",IF(ISNA(MATCH(C140,po_code,0)),"Poste inconnu",IF(D140="","Cause manquante",IF(ISNA(MATCH(D140,ca_name,0)),"Cause inconnue",IF(H140="","Cause à compléter dans Paramètres",IF(OR(NOT(ISNUMBER(E140)),N(E140)&lt;=0,N(E140)&gt;1440),"Durée invalide",IF(COUNTIFS(sj_date,A140,sj_eq,B140,sj_po,C140)=0,"Pas de saisie journalière ce jour-là","OK")))))))))))</f>
        <v>OK</v>
      </c>
      <c r="J140">
        <f>IF(OR(I140="OK",I140="Pas de saisie journalière ce jour-là"),E140,0)</f>
        <v>10.0</v>
      </c>
      <c r="K140">
        <f>IF(AND(J140&gt;0,A140&gt;=p_from,A140&lt;=p_to),1,0)</f>
        <v>1.0</v>
      </c>
      <c r="L140">
        <f>IF(AND(K140=1,OR(pa_po="",C140=pa_po),OR(pa_eq="",B140=pa_eq)),1,0)</f>
        <v>1.0</v>
      </c>
    </row>
    <row r="141">
      <c r="A141" s="51" t="n">
        <v>46295</v>
      </c>
      <c r="B141" s="52" t="inlineStr">
        <is>
          <t>Journée</t>
        </is>
      </c>
      <c r="C141" s="52" t="inlineStr">
        <is>
          <t>PLIE</t>
        </is>
      </c>
      <c r="D141" s="53" t="inlineStr">
        <is>
          <t>Changement d'outil</t>
        </is>
      </c>
      <c r="E141" s="60" t="n">
        <v>13</v>
      </c>
      <c r="F141" s="53" t="n"/>
      <c r="G141" s="61" t="str">
        <f>IF(OR(COUNTA(A141:E141)=0,D141=""),"",IFERROR(INDEX(ca_fam,MATCH(D141,ca_name,0))&amp;"",""))</f>
        <v>Réglage et changement de série</v>
      </c>
      <c r="H141" s="58" t="str">
        <f>IF(OR(COUNTA(A141:E141)=0,D141=""),"",IFERROR(INDEX(ca_type,MATCH(D141,ca_name,0))&amp;"",""))</f>
        <v>Non planifié</v>
      </c>
      <c r="I141" s="58" t="str">
        <f>IF(COUNTA(A141:E141)=0,"",IF(N(A141)&lt;=0,"Date manquante ou invalide",IF(B141="","Équipe manquante",IF(ISNA(MATCH(B141,eq_code,0)),"Équipe inconnue",IF(C141="","Poste manquant",IF(ISNA(MATCH(C141,po_code,0)),"Poste inconnu",IF(D141="","Cause manquante",IF(ISNA(MATCH(D141,ca_name,0)),"Cause inconnue",IF(H141="","Cause à compléter dans Paramètres",IF(OR(NOT(ISNUMBER(E141)),N(E141)&lt;=0,N(E141)&gt;1440),"Durée invalide",IF(COUNTIFS(sj_date,A141,sj_eq,B141,sj_po,C141)=0,"Pas de saisie journalière ce jour-là","OK")))))))))))</f>
        <v>OK</v>
      </c>
      <c r="J141">
        <f>IF(OR(I141="OK",I141="Pas de saisie journalière ce jour-là"),E141,0)</f>
        <v>13.0</v>
      </c>
      <c r="K141">
        <f>IF(AND(J141&gt;0,A141&gt;=p_from,A141&lt;=p_to),1,0)</f>
        <v>1.0</v>
      </c>
      <c r="L141">
        <f>IF(AND(K141=1,OR(pa_po="",C141=pa_po),OR(pa_eq="",B141=pa_eq)),1,0)</f>
        <v>1.0</v>
      </c>
    </row>
    <row r="142">
      <c r="A142" s="51" t="n">
        <v>46295</v>
      </c>
      <c r="B142" s="52" t="inlineStr">
        <is>
          <t>Journée</t>
        </is>
      </c>
      <c r="C142" s="52" t="inlineStr">
        <is>
          <t>PLIE</t>
        </is>
      </c>
      <c r="D142" s="53" t="inlineStr">
        <is>
          <t>Réglage en cours de production</t>
        </is>
      </c>
      <c r="E142" s="60" t="n">
        <v>7</v>
      </c>
      <c r="F142" s="53" t="n"/>
      <c r="G142" s="61" t="str">
        <f>IF(OR(COUNTA(A142:E142)=0,D142=""),"",IFERROR(INDEX(ca_fam,MATCH(D142,ca_name,0))&amp;"",""))</f>
        <v>Réglage et changement de série</v>
      </c>
      <c r="H142" s="58" t="str">
        <f>IF(OR(COUNTA(A142:E142)=0,D142=""),"",IFERROR(INDEX(ca_type,MATCH(D142,ca_name,0))&amp;"",""))</f>
        <v>Non planifié</v>
      </c>
      <c r="I142" s="58" t="str">
        <f>IF(COUNTA(A142:E142)=0,"",IF(N(A142)&lt;=0,"Date manquante ou invalide",IF(B142="","Équipe manquante",IF(ISNA(MATCH(B142,eq_code,0)),"Équipe inconnue",IF(C142="","Poste manquant",IF(ISNA(MATCH(C142,po_code,0)),"Poste inconnu",IF(D142="","Cause manquante",IF(ISNA(MATCH(D142,ca_name,0)),"Cause inconnue",IF(H142="","Cause à compléter dans Paramètres",IF(OR(NOT(ISNUMBER(E142)),N(E142)&lt;=0,N(E142)&gt;1440),"Durée invalide",IF(COUNTIFS(sj_date,A142,sj_eq,B142,sj_po,C142)=0,"Pas de saisie journalière ce jour-là","OK")))))))))))</f>
        <v>OK</v>
      </c>
      <c r="J142">
        <f>IF(OR(I142="OK",I142="Pas de saisie journalière ce jour-là"),E142,0)</f>
        <v>7.0</v>
      </c>
      <c r="K142">
        <f>IF(AND(J142&gt;0,A142&gt;=p_from,A142&lt;=p_to),1,0)</f>
        <v>1.0</v>
      </c>
      <c r="L142">
        <f>IF(AND(K142=1,OR(pa_po="",C142=pa_po),OR(pa_eq="",B142=pa_eq)),1,0)</f>
        <v>1.0</v>
      </c>
    </row>
    <row r="143">
      <c r="A143" s="51" t="n">
        <v>46295</v>
      </c>
      <c r="B143" s="52" t="inlineStr">
        <is>
          <t>Journée</t>
        </is>
      </c>
      <c r="C143" s="52" t="inlineStr">
        <is>
          <t>PLIE</t>
        </is>
      </c>
      <c r="D143" s="53" t="inlineStr">
        <is>
          <t>Réglage en cours de production</t>
        </is>
      </c>
      <c r="E143" s="60" t="n">
        <v>19</v>
      </c>
      <c r="F143" s="53" t="n"/>
      <c r="G143" s="61" t="str">
        <f>IF(OR(COUNTA(A143:E143)=0,D143=""),"",IFERROR(INDEX(ca_fam,MATCH(D143,ca_name,0))&amp;"",""))</f>
        <v>Réglage et changement de série</v>
      </c>
      <c r="H143" s="58" t="str">
        <f>IF(OR(COUNTA(A143:E143)=0,D143=""),"",IFERROR(INDEX(ca_type,MATCH(D143,ca_name,0))&amp;"",""))</f>
        <v>Non planifié</v>
      </c>
      <c r="I143" s="58" t="str">
        <f>IF(COUNTA(A143:E143)=0,"",IF(N(A143)&lt;=0,"Date manquante ou invalide",IF(B143="","Équipe manquante",IF(ISNA(MATCH(B143,eq_code,0)),"Équipe inconnue",IF(C143="","Poste manquant",IF(ISNA(MATCH(C143,po_code,0)),"Poste inconnu",IF(D143="","Cause manquante",IF(ISNA(MATCH(D143,ca_name,0)),"Cause inconnue",IF(H143="","Cause à compléter dans Paramètres",IF(OR(NOT(ISNUMBER(E143)),N(E143)&lt;=0,N(E143)&gt;1440),"Durée invalide",IF(COUNTIFS(sj_date,A143,sj_eq,B143,sj_po,C143)=0,"Pas de saisie journalière ce jour-là","OK")))))))))))</f>
        <v>OK</v>
      </c>
      <c r="J143">
        <f>IF(OR(I143="OK",I143="Pas de saisie journalière ce jour-là"),E143,0)</f>
        <v>19.0</v>
      </c>
      <c r="K143">
        <f>IF(AND(J143&gt;0,A143&gt;=p_from,A143&lt;=p_to),1,0)</f>
        <v>1.0</v>
      </c>
      <c r="L143">
        <f>IF(AND(K143=1,OR(pa_po="",C143=pa_po),OR(pa_eq="",B143=pa_eq)),1,0)</f>
        <v>1.0</v>
      </c>
    </row>
    <row r="144">
      <c r="A144" s="51" t="n">
        <v>46295</v>
      </c>
      <c r="B144" s="52" t="inlineStr">
        <is>
          <t>Matin</t>
        </is>
      </c>
      <c r="C144" s="52" t="inlineStr">
        <is>
          <t>SOUD</t>
        </is>
      </c>
      <c r="D144" s="53" t="inlineStr">
        <is>
          <t>Panne électrique</t>
        </is>
      </c>
      <c r="E144" s="60" t="n">
        <v>50</v>
      </c>
      <c r="F144" s="53" t="n"/>
      <c r="G144" s="61" t="str">
        <f>IF(OR(COUNTA(A144:E144)=0,D144=""),"",IFERROR(INDEX(ca_fam,MATCH(D144,ca_name,0))&amp;"",""))</f>
        <v>Panne</v>
      </c>
      <c r="H144" s="58" t="str">
        <f>IF(OR(COUNTA(A144:E144)=0,D144=""),"",IFERROR(INDEX(ca_type,MATCH(D144,ca_name,0))&amp;"",""))</f>
        <v>Non planifié</v>
      </c>
      <c r="I144" s="58" t="str">
        <f>IF(COUNTA(A144:E144)=0,"",IF(N(A144)&lt;=0,"Date manquante ou invalide",IF(B144="","Équipe manquante",IF(ISNA(MATCH(B144,eq_code,0)),"Équipe inconnue",IF(C144="","Poste manquant",IF(ISNA(MATCH(C144,po_code,0)),"Poste inconnu",IF(D144="","Cause manquante",IF(ISNA(MATCH(D144,ca_name,0)),"Cause inconnue",IF(H144="","Cause à compléter dans Paramètres",IF(OR(NOT(ISNUMBER(E144)),N(E144)&lt;=0,N(E144)&gt;1440),"Durée invalide",IF(COUNTIFS(sj_date,A144,sj_eq,B144,sj_po,C144)=0,"Pas de saisie journalière ce jour-là","OK")))))))))))</f>
        <v>OK</v>
      </c>
      <c r="J144">
        <f>IF(OR(I144="OK",I144="Pas de saisie journalière ce jour-là"),E144,0)</f>
        <v>50.0</v>
      </c>
      <c r="K144">
        <f>IF(AND(J144&gt;0,A144&gt;=p_from,A144&lt;=p_to),1,0)</f>
        <v>1.0</v>
      </c>
      <c r="L144">
        <f>IF(AND(K144=1,OR(pa_po="",C144=pa_po),OR(pa_eq="",B144=pa_eq)),1,0)</f>
        <v>1.0</v>
      </c>
    </row>
    <row r="145">
      <c r="A145" s="51" t="n">
        <v>46295</v>
      </c>
      <c r="B145" s="52" t="inlineStr">
        <is>
          <t>Matin</t>
        </is>
      </c>
      <c r="C145" s="52" t="inlineStr">
        <is>
          <t>SOUD</t>
        </is>
      </c>
      <c r="D145" s="53" t="inlineStr">
        <is>
          <t>Changement de série</t>
        </is>
      </c>
      <c r="E145" s="60" t="n">
        <v>26</v>
      </c>
      <c r="F145" s="53" t="n"/>
      <c r="G145" s="61" t="str">
        <f>IF(OR(COUNTA(A145:E145)=0,D145=""),"",IFERROR(INDEX(ca_fam,MATCH(D145,ca_name,0))&amp;"",""))</f>
        <v>Réglage et changement de série</v>
      </c>
      <c r="H145" s="58" t="str">
        <f>IF(OR(COUNTA(A145:E145)=0,D145=""),"",IFERROR(INDEX(ca_type,MATCH(D145,ca_name,0))&amp;"",""))</f>
        <v>Non planifié</v>
      </c>
      <c r="I145" s="58" t="str">
        <f>IF(COUNTA(A145:E145)=0,"",IF(N(A145)&lt;=0,"Date manquante ou invalide",IF(B145="","Équipe manquante",IF(ISNA(MATCH(B145,eq_code,0)),"Équipe inconnue",IF(C145="","Poste manquant",IF(ISNA(MATCH(C145,po_code,0)),"Poste inconnu",IF(D145="","Cause manquante",IF(ISNA(MATCH(D145,ca_name,0)),"Cause inconnue",IF(H145="","Cause à compléter dans Paramètres",IF(OR(NOT(ISNUMBER(E145)),N(E145)&lt;=0,N(E145)&gt;1440),"Durée invalide",IF(COUNTIFS(sj_date,A145,sj_eq,B145,sj_po,C145)=0,"Pas de saisie journalière ce jour-là","OK")))))))))))</f>
        <v>OK</v>
      </c>
      <c r="J145">
        <f>IF(OR(I145="OK",I145="Pas de saisie journalière ce jour-là"),E145,0)</f>
        <v>26.0</v>
      </c>
      <c r="K145">
        <f>IF(AND(J145&gt;0,A145&gt;=p_from,A145&lt;=p_to),1,0)</f>
        <v>1.0</v>
      </c>
      <c r="L145">
        <f>IF(AND(K145=1,OR(pa_po="",C145=pa_po),OR(pa_eq="",B145=pa_eq)),1,0)</f>
        <v>1.0</v>
      </c>
    </row>
    <row r="146">
      <c r="A146" s="51" t="n">
        <v>46295</v>
      </c>
      <c r="B146" s="52" t="inlineStr">
        <is>
          <t>Matin</t>
        </is>
      </c>
      <c r="C146" s="52" t="inlineStr">
        <is>
          <t>SOUD</t>
        </is>
      </c>
      <c r="D146" s="53" t="inlineStr">
        <is>
          <t>Absence opérateur</t>
        </is>
      </c>
      <c r="E146" s="60" t="n">
        <v>166</v>
      </c>
      <c r="F146" s="53" t="n"/>
      <c r="G146" s="61" t="str">
        <f>IF(OR(COUNTA(A146:E146)=0,D146=""),"",IFERROR(INDEX(ca_fam,MATCH(D146,ca_name,0))&amp;"",""))</f>
        <v>Manque personnel</v>
      </c>
      <c r="H146" s="58" t="str">
        <f>IF(OR(COUNTA(A146:E146)=0,D146=""),"",IFERROR(INDEX(ca_type,MATCH(D146,ca_name,0))&amp;"",""))</f>
        <v>Non planifié</v>
      </c>
      <c r="I146" s="58" t="str">
        <f>IF(COUNTA(A146:E146)=0,"",IF(N(A146)&lt;=0,"Date manquante ou invalide",IF(B146="","Équipe manquante",IF(ISNA(MATCH(B146,eq_code,0)),"Équipe inconnue",IF(C146="","Poste manquant",IF(ISNA(MATCH(C146,po_code,0)),"Poste inconnu",IF(D146="","Cause manquante",IF(ISNA(MATCH(D146,ca_name,0)),"Cause inconnue",IF(H146="","Cause à compléter dans Paramètres",IF(OR(NOT(ISNUMBER(E146)),N(E146)&lt;=0,N(E146)&gt;1440),"Durée invalide",IF(COUNTIFS(sj_date,A146,sj_eq,B146,sj_po,C146)=0,"Pas de saisie journalière ce jour-là","OK")))))))))))</f>
        <v>OK</v>
      </c>
      <c r="J146">
        <f>IF(OR(I146="OK",I146="Pas de saisie journalière ce jour-là"),E146,0)</f>
        <v>166.0</v>
      </c>
      <c r="K146">
        <f>IF(AND(J146&gt;0,A146&gt;=p_from,A146&lt;=p_to),1,0)</f>
        <v>1.0</v>
      </c>
      <c r="L146">
        <f>IF(AND(K146=1,OR(pa_po="",C146=pa_po),OR(pa_eq="",B146=pa_eq)),1,0)</f>
        <v>1.0</v>
      </c>
    </row>
    <row r="147">
      <c r="A147" s="51" t="n">
        <v>46295</v>
      </c>
      <c r="B147" s="52" t="inlineStr">
        <is>
          <t>Après-midi</t>
        </is>
      </c>
      <c r="C147" s="52" t="inlineStr">
        <is>
          <t>SOUD</t>
        </is>
      </c>
      <c r="D147" s="53" t="inlineStr">
        <is>
          <t>Réglage en cours de production</t>
        </is>
      </c>
      <c r="E147" s="60" t="n">
        <v>13</v>
      </c>
      <c r="F147" s="53" t="n"/>
      <c r="G147" s="61" t="str">
        <f>IF(OR(COUNTA(A147:E147)=0,D147=""),"",IFERROR(INDEX(ca_fam,MATCH(D147,ca_name,0))&amp;"",""))</f>
        <v>Réglage et changement de série</v>
      </c>
      <c r="H147" s="58" t="str">
        <f>IF(OR(COUNTA(A147:E147)=0,D147=""),"",IFERROR(INDEX(ca_type,MATCH(D147,ca_name,0))&amp;"",""))</f>
        <v>Non planifié</v>
      </c>
      <c r="I147" s="58" t="str">
        <f>IF(COUNTA(A147:E147)=0,"",IF(N(A147)&lt;=0,"Date manquante ou invalide",IF(B147="","Équipe manquante",IF(ISNA(MATCH(B147,eq_code,0)),"Équipe inconnue",IF(C147="","Poste manquant",IF(ISNA(MATCH(C147,po_code,0)),"Poste inconnu",IF(D147="","Cause manquante",IF(ISNA(MATCH(D147,ca_name,0)),"Cause inconnue",IF(H147="","Cause à compléter dans Paramètres",IF(OR(NOT(ISNUMBER(E147)),N(E147)&lt;=0,N(E147)&gt;1440),"Durée invalide",IF(COUNTIFS(sj_date,A147,sj_eq,B147,sj_po,C147)=0,"Pas de saisie journalière ce jour-là","OK")))))))))))</f>
        <v>OK</v>
      </c>
      <c r="J147">
        <f>IF(OR(I147="OK",I147="Pas de saisie journalière ce jour-là"),E147,0)</f>
        <v>13.0</v>
      </c>
      <c r="K147">
        <f>IF(AND(J147&gt;0,A147&gt;=p_from,A147&lt;=p_to),1,0)</f>
        <v>1.0</v>
      </c>
      <c r="L147">
        <f>IF(AND(K147=1,OR(pa_po="",C147=pa_po),OR(pa_eq="",B147=pa_eq)),1,0)</f>
        <v>1.0</v>
      </c>
    </row>
    <row r="148">
      <c r="A148" s="51" t="n">
        <v>46295</v>
      </c>
      <c r="B148" s="52" t="inlineStr">
        <is>
          <t>Après-midi</t>
        </is>
      </c>
      <c r="C148" s="52" t="inlineStr">
        <is>
          <t>SOUD</t>
        </is>
      </c>
      <c r="D148" s="53" t="inlineStr">
        <is>
          <t>Changement de série</t>
        </is>
      </c>
      <c r="E148" s="60" t="n">
        <v>46</v>
      </c>
      <c r="F148" s="53" t="n"/>
      <c r="G148" s="61" t="str">
        <f>IF(OR(COUNTA(A148:E148)=0,D148=""),"",IFERROR(INDEX(ca_fam,MATCH(D148,ca_name,0))&amp;"",""))</f>
        <v>Réglage et changement de série</v>
      </c>
      <c r="H148" s="58" t="str">
        <f>IF(OR(COUNTA(A148:E148)=0,D148=""),"",IFERROR(INDEX(ca_type,MATCH(D148,ca_name,0))&amp;"",""))</f>
        <v>Non planifié</v>
      </c>
      <c r="I148" s="58" t="str">
        <f>IF(COUNTA(A148:E148)=0,"",IF(N(A148)&lt;=0,"Date manquante ou invalide",IF(B148="","Équipe manquante",IF(ISNA(MATCH(B148,eq_code,0)),"Équipe inconnue",IF(C148="","Poste manquant",IF(ISNA(MATCH(C148,po_code,0)),"Poste inconnu",IF(D148="","Cause manquante",IF(ISNA(MATCH(D148,ca_name,0)),"Cause inconnue",IF(H148="","Cause à compléter dans Paramètres",IF(OR(NOT(ISNUMBER(E148)),N(E148)&lt;=0,N(E148)&gt;1440),"Durée invalide",IF(COUNTIFS(sj_date,A148,sj_eq,B148,sj_po,C148)=0,"Pas de saisie journalière ce jour-là","OK")))))))))))</f>
        <v>OK</v>
      </c>
      <c r="J148">
        <f>IF(OR(I148="OK",I148="Pas de saisie journalière ce jour-là"),E148,0)</f>
        <v>46.0</v>
      </c>
      <c r="K148">
        <f>IF(AND(J148&gt;0,A148&gt;=p_from,A148&lt;=p_to),1,0)</f>
        <v>1.0</v>
      </c>
      <c r="L148">
        <f>IF(AND(K148=1,OR(pa_po="",C148=pa_po),OR(pa_eq="",B148=pa_eq)),1,0)</f>
        <v>1.0</v>
      </c>
    </row>
    <row r="149">
      <c r="A149" s="51" t="n">
        <v>46296</v>
      </c>
      <c r="B149" s="52" t="inlineStr">
        <is>
          <t>Matin</t>
        </is>
      </c>
      <c r="C149" s="52" t="inlineStr">
        <is>
          <t>TOUR1</t>
        </is>
      </c>
      <c r="D149" s="53" t="inlineStr">
        <is>
          <t>Panne électrique</t>
        </is>
      </c>
      <c r="E149" s="60" t="n">
        <v>88</v>
      </c>
      <c r="F149" s="53" t="n"/>
      <c r="G149" s="61" t="str">
        <f>IF(OR(COUNTA(A149:E149)=0,D149=""),"",IFERROR(INDEX(ca_fam,MATCH(D149,ca_name,0))&amp;"",""))</f>
        <v>Panne</v>
      </c>
      <c r="H149" s="58" t="str">
        <f>IF(OR(COUNTA(A149:E149)=0,D149=""),"",IFERROR(INDEX(ca_type,MATCH(D149,ca_name,0))&amp;"",""))</f>
        <v>Non planifié</v>
      </c>
      <c r="I149" s="58" t="str">
        <f>IF(COUNTA(A149:E149)=0,"",IF(N(A149)&lt;=0,"Date manquante ou invalide",IF(B149="","Équipe manquante",IF(ISNA(MATCH(B149,eq_code,0)),"Équipe inconnue",IF(C149="","Poste manquant",IF(ISNA(MATCH(C149,po_code,0)),"Poste inconnu",IF(D149="","Cause manquante",IF(ISNA(MATCH(D149,ca_name,0)),"Cause inconnue",IF(H149="","Cause à compléter dans Paramètres",IF(OR(NOT(ISNUMBER(E149)),N(E149)&lt;=0,N(E149)&gt;1440),"Durée invalide",IF(COUNTIFS(sj_date,A149,sj_eq,B149,sj_po,C149)=0,"Pas de saisie journalière ce jour-là","OK")))))))))))</f>
        <v>OK</v>
      </c>
      <c r="J149">
        <f>IF(OR(I149="OK",I149="Pas de saisie journalière ce jour-là"),E149,0)</f>
        <v>88.0</v>
      </c>
      <c r="K149">
        <f>IF(AND(J149&gt;0,A149&gt;=p_from,A149&lt;=p_to),1,0)</f>
        <v>1.0</v>
      </c>
      <c r="L149">
        <f>IF(AND(K149=1,OR(pa_po="",C149=pa_po),OR(pa_eq="",B149=pa_eq)),1,0)</f>
        <v>1.0</v>
      </c>
    </row>
    <row r="150">
      <c r="A150" s="51" t="n">
        <v>46296</v>
      </c>
      <c r="B150" s="52" t="inlineStr">
        <is>
          <t>Matin</t>
        </is>
      </c>
      <c r="C150" s="52" t="inlineStr">
        <is>
          <t>TOUR1</t>
        </is>
      </c>
      <c r="D150" s="53" t="inlineStr">
        <is>
          <t>Attente programme ou consignes</t>
        </is>
      </c>
      <c r="E150" s="60" t="n">
        <v>25</v>
      </c>
      <c r="F150" s="53" t="n"/>
      <c r="G150" s="61" t="str">
        <f>IF(OR(COUNTA(A150:E150)=0,D150=""),"",IFERROR(INDEX(ca_fam,MATCH(D150,ca_name,0))&amp;"",""))</f>
        <v>Organisation</v>
      </c>
      <c r="H150" s="58" t="str">
        <f>IF(OR(COUNTA(A150:E150)=0,D150=""),"",IFERROR(INDEX(ca_type,MATCH(D150,ca_name,0))&amp;"",""))</f>
        <v>Non planifié</v>
      </c>
      <c r="I150" s="58" t="str">
        <f>IF(COUNTA(A150:E150)=0,"",IF(N(A150)&lt;=0,"Date manquante ou invalide",IF(B150="","Équipe manquante",IF(ISNA(MATCH(B150,eq_code,0)),"Équipe inconnue",IF(C150="","Poste manquant",IF(ISNA(MATCH(C150,po_code,0)),"Poste inconnu",IF(D150="","Cause manquante",IF(ISNA(MATCH(D150,ca_name,0)),"Cause inconnue",IF(H150="","Cause à compléter dans Paramètres",IF(OR(NOT(ISNUMBER(E150)),N(E150)&lt;=0,N(E150)&gt;1440),"Durée invalide",IF(COUNTIFS(sj_date,A150,sj_eq,B150,sj_po,C150)=0,"Pas de saisie journalière ce jour-là","OK")))))))))))</f>
        <v>OK</v>
      </c>
      <c r="J150">
        <f>IF(OR(I150="OK",I150="Pas de saisie journalière ce jour-là"),E150,0)</f>
        <v>25.0</v>
      </c>
      <c r="K150">
        <f>IF(AND(J150&gt;0,A150&gt;=p_from,A150&lt;=p_to),1,0)</f>
        <v>1.0</v>
      </c>
      <c r="L150">
        <f>IF(AND(K150=1,OR(pa_po="",C150=pa_po),OR(pa_eq="",B150=pa_eq)),1,0)</f>
        <v>1.0</v>
      </c>
    </row>
    <row r="151">
      <c r="A151" s="51" t="n">
        <v>46296</v>
      </c>
      <c r="B151" s="52" t="inlineStr">
        <is>
          <t>Après-midi</t>
        </is>
      </c>
      <c r="C151" s="52" t="inlineStr">
        <is>
          <t>TOUR2</t>
        </is>
      </c>
      <c r="D151" s="53" t="inlineStr">
        <is>
          <t>Changement de série</t>
        </is>
      </c>
      <c r="E151" s="60" t="n">
        <v>54</v>
      </c>
      <c r="F151" s="53" t="n"/>
      <c r="G151" s="61" t="str">
        <f>IF(OR(COUNTA(A151:E151)=0,D151=""),"",IFERROR(INDEX(ca_fam,MATCH(D151,ca_name,0))&amp;"",""))</f>
        <v>Réglage et changement de série</v>
      </c>
      <c r="H151" s="58" t="str">
        <f>IF(OR(COUNTA(A151:E151)=0,D151=""),"",IFERROR(INDEX(ca_type,MATCH(D151,ca_name,0))&amp;"",""))</f>
        <v>Non planifié</v>
      </c>
      <c r="I151" s="58" t="str">
        <f>IF(COUNTA(A151:E151)=0,"",IF(N(A151)&lt;=0,"Date manquante ou invalide",IF(B151="","Équipe manquante",IF(ISNA(MATCH(B151,eq_code,0)),"Équipe inconnue",IF(C151="","Poste manquant",IF(ISNA(MATCH(C151,po_code,0)),"Poste inconnu",IF(D151="","Cause manquante",IF(ISNA(MATCH(D151,ca_name,0)),"Cause inconnue",IF(H151="","Cause à compléter dans Paramètres",IF(OR(NOT(ISNUMBER(E151)),N(E151)&lt;=0,N(E151)&gt;1440),"Durée invalide",IF(COUNTIFS(sj_date,A151,sj_eq,B151,sj_po,C151)=0,"Pas de saisie journalière ce jour-là","OK")))))))))))</f>
        <v>OK</v>
      </c>
      <c r="J151">
        <f>IF(OR(I151="OK",I151="Pas de saisie journalière ce jour-là"),E151,0)</f>
        <v>54.0</v>
      </c>
      <c r="K151">
        <f>IF(AND(J151&gt;0,A151&gt;=p_from,A151&lt;=p_to),1,0)</f>
        <v>1.0</v>
      </c>
      <c r="L151">
        <f>IF(AND(K151=1,OR(pa_po="",C151=pa_po),OR(pa_eq="",B151=pa_eq)),1,0)</f>
        <v>1.0</v>
      </c>
    </row>
    <row r="152">
      <c r="A152" s="51" t="n">
        <v>46296</v>
      </c>
      <c r="B152" s="52" t="inlineStr">
        <is>
          <t>Matin</t>
        </is>
      </c>
      <c r="C152" s="52" t="inlineStr">
        <is>
          <t>USIN</t>
        </is>
      </c>
      <c r="D152" s="53" t="inlineStr">
        <is>
          <t>Panne électrique</t>
        </is>
      </c>
      <c r="E152" s="60" t="n">
        <v>37</v>
      </c>
      <c r="F152" s="53" t="n"/>
      <c r="G152" s="61" t="str">
        <f>IF(OR(COUNTA(A152:E152)=0,D152=""),"",IFERROR(INDEX(ca_fam,MATCH(D152,ca_name,0))&amp;"",""))</f>
        <v>Panne</v>
      </c>
      <c r="H152" s="58" t="str">
        <f>IF(OR(COUNTA(A152:E152)=0,D152=""),"",IFERROR(INDEX(ca_type,MATCH(D152,ca_name,0))&amp;"",""))</f>
        <v>Non planifié</v>
      </c>
      <c r="I152" s="58" t="str">
        <f>IF(COUNTA(A152:E152)=0,"",IF(N(A152)&lt;=0,"Date manquante ou invalide",IF(B152="","Équipe manquante",IF(ISNA(MATCH(B152,eq_code,0)),"Équipe inconnue",IF(C152="","Poste manquant",IF(ISNA(MATCH(C152,po_code,0)),"Poste inconnu",IF(D152="","Cause manquante",IF(ISNA(MATCH(D152,ca_name,0)),"Cause inconnue",IF(H152="","Cause à compléter dans Paramètres",IF(OR(NOT(ISNUMBER(E152)),N(E152)&lt;=0,N(E152)&gt;1440),"Durée invalide",IF(COUNTIFS(sj_date,A152,sj_eq,B152,sj_po,C152)=0,"Pas de saisie journalière ce jour-là","OK")))))))))))</f>
        <v>OK</v>
      </c>
      <c r="J152">
        <f>IF(OR(I152="OK",I152="Pas de saisie journalière ce jour-là"),E152,0)</f>
        <v>37.0</v>
      </c>
      <c r="K152">
        <f>IF(AND(J152&gt;0,A152&gt;=p_from,A152&lt;=p_to),1,0)</f>
        <v>1.0</v>
      </c>
      <c r="L152">
        <f>IF(AND(K152=1,OR(pa_po="",C152=pa_po),OR(pa_eq="",B152=pa_eq)),1,0)</f>
        <v>1.0</v>
      </c>
    </row>
    <row r="153">
      <c r="A153" s="51" t="n">
        <v>46296</v>
      </c>
      <c r="B153" s="52" t="inlineStr">
        <is>
          <t>Matin</t>
        </is>
      </c>
      <c r="C153" s="52" t="inlineStr">
        <is>
          <t>USIN</t>
        </is>
      </c>
      <c r="D153" s="53" t="inlineStr">
        <is>
          <t>Panne mécanique</t>
        </is>
      </c>
      <c r="E153" s="60" t="n">
        <v>114</v>
      </c>
      <c r="F153" s="53" t="n"/>
      <c r="G153" s="61" t="str">
        <f>IF(OR(COUNTA(A153:E153)=0,D153=""),"",IFERROR(INDEX(ca_fam,MATCH(D153,ca_name,0))&amp;"",""))</f>
        <v>Panne</v>
      </c>
      <c r="H153" s="58" t="str">
        <f>IF(OR(COUNTA(A153:E153)=0,D153=""),"",IFERROR(INDEX(ca_type,MATCH(D153,ca_name,0))&amp;"",""))</f>
        <v>Non planifié</v>
      </c>
      <c r="I153" s="58" t="str">
        <f>IF(COUNTA(A153:E153)=0,"",IF(N(A153)&lt;=0,"Date manquante ou invalide",IF(B153="","Équipe manquante",IF(ISNA(MATCH(B153,eq_code,0)),"Équipe inconnue",IF(C153="","Poste manquant",IF(ISNA(MATCH(C153,po_code,0)),"Poste inconnu",IF(D153="","Cause manquante",IF(ISNA(MATCH(D153,ca_name,0)),"Cause inconnue",IF(H153="","Cause à compléter dans Paramètres",IF(OR(NOT(ISNUMBER(E153)),N(E153)&lt;=0,N(E153)&gt;1440),"Durée invalide",IF(COUNTIFS(sj_date,A153,sj_eq,B153,sj_po,C153)=0,"Pas de saisie journalière ce jour-là","OK")))))))))))</f>
        <v>OK</v>
      </c>
      <c r="J153">
        <f>IF(OR(I153="OK",I153="Pas de saisie journalière ce jour-là"),E153,0)</f>
        <v>114.0</v>
      </c>
      <c r="K153">
        <f>IF(AND(J153&gt;0,A153&gt;=p_from,A153&lt;=p_to),1,0)</f>
        <v>1.0</v>
      </c>
      <c r="L153">
        <f>IF(AND(K153=1,OR(pa_po="",C153=pa_po),OR(pa_eq="",B153=pa_eq)),1,0)</f>
        <v>1.0</v>
      </c>
    </row>
    <row r="154">
      <c r="A154" s="51" t="n">
        <v>46296</v>
      </c>
      <c r="B154" s="52" t="inlineStr">
        <is>
          <t>Après-midi</t>
        </is>
      </c>
      <c r="C154" s="52" t="inlineStr">
        <is>
          <t>USIN</t>
        </is>
      </c>
      <c r="D154" s="53" t="inlineStr">
        <is>
          <t>Changement de série</t>
        </is>
      </c>
      <c r="E154" s="60" t="n">
        <v>53</v>
      </c>
      <c r="F154" s="53" t="n"/>
      <c r="G154" s="61" t="str">
        <f>IF(OR(COUNTA(A154:E154)=0,D154=""),"",IFERROR(INDEX(ca_fam,MATCH(D154,ca_name,0))&amp;"",""))</f>
        <v>Réglage et changement de série</v>
      </c>
      <c r="H154" s="58" t="str">
        <f>IF(OR(COUNTA(A154:E154)=0,D154=""),"",IFERROR(INDEX(ca_type,MATCH(D154,ca_name,0))&amp;"",""))</f>
        <v>Non planifié</v>
      </c>
      <c r="I154" s="58" t="str">
        <f>IF(COUNTA(A154:E154)=0,"",IF(N(A154)&lt;=0,"Date manquante ou invalide",IF(B154="","Équipe manquante",IF(ISNA(MATCH(B154,eq_code,0)),"Équipe inconnue",IF(C154="","Poste manquant",IF(ISNA(MATCH(C154,po_code,0)),"Poste inconnu",IF(D154="","Cause manquante",IF(ISNA(MATCH(D154,ca_name,0)),"Cause inconnue",IF(H154="","Cause à compléter dans Paramètres",IF(OR(NOT(ISNUMBER(E154)),N(E154)&lt;=0,N(E154)&gt;1440),"Durée invalide",IF(COUNTIFS(sj_date,A154,sj_eq,B154,sj_po,C154)=0,"Pas de saisie journalière ce jour-là","OK")))))))))))</f>
        <v>OK</v>
      </c>
      <c r="J154">
        <f>IF(OR(I154="OK",I154="Pas de saisie journalière ce jour-là"),E154,0)</f>
        <v>53.0</v>
      </c>
      <c r="K154">
        <f>IF(AND(J154&gt;0,A154&gt;=p_from,A154&lt;=p_to),1,0)</f>
        <v>1.0</v>
      </c>
      <c r="L154">
        <f>IF(AND(K154=1,OR(pa_po="",C154=pa_po),OR(pa_eq="",B154=pa_eq)),1,0)</f>
        <v>1.0</v>
      </c>
    </row>
    <row r="155">
      <c r="A155" s="51" t="n">
        <v>46296</v>
      </c>
      <c r="B155" s="52" t="inlineStr">
        <is>
          <t>Après-midi</t>
        </is>
      </c>
      <c r="C155" s="52" t="inlineStr">
        <is>
          <t>USIN</t>
        </is>
      </c>
      <c r="D155" s="53" t="inlineStr">
        <is>
          <t>Attente matière</t>
        </is>
      </c>
      <c r="E155" s="60" t="n">
        <v>16</v>
      </c>
      <c r="F155" s="53" t="n"/>
      <c r="G155" s="61" t="str">
        <f>IF(OR(COUNTA(A155:E155)=0,D155=""),"",IFERROR(INDEX(ca_fam,MATCH(D155,ca_name,0))&amp;"",""))</f>
        <v>Manque matière</v>
      </c>
      <c r="H155" s="58" t="str">
        <f>IF(OR(COUNTA(A155:E155)=0,D155=""),"",IFERROR(INDEX(ca_type,MATCH(D155,ca_name,0))&amp;"",""))</f>
        <v>Non planifié</v>
      </c>
      <c r="I155" s="58" t="str">
        <f>IF(COUNTA(A155:E155)=0,"",IF(N(A155)&lt;=0,"Date manquante ou invalide",IF(B155="","Équipe manquante",IF(ISNA(MATCH(B155,eq_code,0)),"Équipe inconnue",IF(C155="","Poste manquant",IF(ISNA(MATCH(C155,po_code,0)),"Poste inconnu",IF(D155="","Cause manquante",IF(ISNA(MATCH(D155,ca_name,0)),"Cause inconnue",IF(H155="","Cause à compléter dans Paramètres",IF(OR(NOT(ISNUMBER(E155)),N(E155)&lt;=0,N(E155)&gt;1440),"Durée invalide",IF(COUNTIFS(sj_date,A155,sj_eq,B155,sj_po,C155)=0,"Pas de saisie journalière ce jour-là","OK")))))))))))</f>
        <v>OK</v>
      </c>
      <c r="J155">
        <f>IF(OR(I155="OK",I155="Pas de saisie journalière ce jour-là"),E155,0)</f>
        <v>16.0</v>
      </c>
      <c r="K155">
        <f>IF(AND(J155&gt;0,A155&gt;=p_from,A155&lt;=p_to),1,0)</f>
        <v>1.0</v>
      </c>
      <c r="L155">
        <f>IF(AND(K155=1,OR(pa_po="",C155=pa_po),OR(pa_eq="",B155=pa_eq)),1,0)</f>
        <v>1.0</v>
      </c>
    </row>
    <row r="156">
      <c r="A156" s="51" t="n">
        <v>46296</v>
      </c>
      <c r="B156" s="52" t="inlineStr">
        <is>
          <t>Journée</t>
        </is>
      </c>
      <c r="C156" s="52" t="inlineStr">
        <is>
          <t>PLIE</t>
        </is>
      </c>
      <c r="D156" s="53" t="inlineStr">
        <is>
          <t>Changement d'outil</t>
        </is>
      </c>
      <c r="E156" s="60" t="n">
        <v>20</v>
      </c>
      <c r="F156" s="53" t="n"/>
      <c r="G156" s="61" t="str">
        <f>IF(OR(COUNTA(A156:E156)=0,D156=""),"",IFERROR(INDEX(ca_fam,MATCH(D156,ca_name,0))&amp;"",""))</f>
        <v>Réglage et changement de série</v>
      </c>
      <c r="H156" s="58" t="str">
        <f>IF(OR(COUNTA(A156:E156)=0,D156=""),"",IFERROR(INDEX(ca_type,MATCH(D156,ca_name,0))&amp;"",""))</f>
        <v>Non planifié</v>
      </c>
      <c r="I156" s="58" t="str">
        <f>IF(COUNTA(A156:E156)=0,"",IF(N(A156)&lt;=0,"Date manquante ou invalide",IF(B156="","Équipe manquante",IF(ISNA(MATCH(B156,eq_code,0)),"Équipe inconnue",IF(C156="","Poste manquant",IF(ISNA(MATCH(C156,po_code,0)),"Poste inconnu",IF(D156="","Cause manquante",IF(ISNA(MATCH(D156,ca_name,0)),"Cause inconnue",IF(H156="","Cause à compléter dans Paramètres",IF(OR(NOT(ISNUMBER(E156)),N(E156)&lt;=0,N(E156)&gt;1440),"Durée invalide",IF(COUNTIFS(sj_date,A156,sj_eq,B156,sj_po,C156)=0,"Pas de saisie journalière ce jour-là","OK")))))))))))</f>
        <v>OK</v>
      </c>
      <c r="J156">
        <f>IF(OR(I156="OK",I156="Pas de saisie journalière ce jour-là"),E156,0)</f>
        <v>20.0</v>
      </c>
      <c r="K156">
        <f>IF(AND(J156&gt;0,A156&gt;=p_from,A156&lt;=p_to),1,0)</f>
        <v>1.0</v>
      </c>
      <c r="L156">
        <f>IF(AND(K156=1,OR(pa_po="",C156=pa_po),OR(pa_eq="",B156=pa_eq)),1,0)</f>
        <v>1.0</v>
      </c>
    </row>
    <row r="157">
      <c r="A157" s="51" t="n">
        <v>46296</v>
      </c>
      <c r="B157" s="52" t="inlineStr">
        <is>
          <t>Journée</t>
        </is>
      </c>
      <c r="C157" s="52" t="inlineStr">
        <is>
          <t>PLIE</t>
        </is>
      </c>
      <c r="D157" s="53" t="inlineStr">
        <is>
          <t>Attente contrôle qualité</t>
        </is>
      </c>
      <c r="E157" s="60" t="n">
        <v>25</v>
      </c>
      <c r="F157" s="53" t="n"/>
      <c r="G157" s="61" t="str">
        <f>IF(OR(COUNTA(A157:E157)=0,D157=""),"",IFERROR(INDEX(ca_fam,MATCH(D157,ca_name,0))&amp;"",""))</f>
        <v>Qualité</v>
      </c>
      <c r="H157" s="58" t="str">
        <f>IF(OR(COUNTA(A157:E157)=0,D157=""),"",IFERROR(INDEX(ca_type,MATCH(D157,ca_name,0))&amp;"",""))</f>
        <v>Non planifié</v>
      </c>
      <c r="I157" s="58" t="str">
        <f>IF(COUNTA(A157:E157)=0,"",IF(N(A157)&lt;=0,"Date manquante ou invalide",IF(B157="","Équipe manquante",IF(ISNA(MATCH(B157,eq_code,0)),"Équipe inconnue",IF(C157="","Poste manquant",IF(ISNA(MATCH(C157,po_code,0)),"Poste inconnu",IF(D157="","Cause manquante",IF(ISNA(MATCH(D157,ca_name,0)),"Cause inconnue",IF(H157="","Cause à compléter dans Paramètres",IF(OR(NOT(ISNUMBER(E157)),N(E157)&lt;=0,N(E157)&gt;1440),"Durée invalide",IF(COUNTIFS(sj_date,A157,sj_eq,B157,sj_po,C157)=0,"Pas de saisie journalière ce jour-là","OK")))))))))))</f>
        <v>OK</v>
      </c>
      <c r="J157">
        <f>IF(OR(I157="OK",I157="Pas de saisie journalière ce jour-là"),E157,0)</f>
        <v>25.0</v>
      </c>
      <c r="K157">
        <f>IF(AND(J157&gt;0,A157&gt;=p_from,A157&lt;=p_to),1,0)</f>
        <v>1.0</v>
      </c>
      <c r="L157">
        <f>IF(AND(K157=1,OR(pa_po="",C157=pa_po),OR(pa_eq="",B157=pa_eq)),1,0)</f>
        <v>1.0</v>
      </c>
    </row>
    <row r="158">
      <c r="A158" s="51" t="n">
        <v>46296</v>
      </c>
      <c r="B158" s="52" t="inlineStr">
        <is>
          <t>Journée</t>
        </is>
      </c>
      <c r="C158" s="52" t="inlineStr">
        <is>
          <t>PLIE</t>
        </is>
      </c>
      <c r="D158" s="53" t="inlineStr">
        <is>
          <t>Changement de série</t>
        </is>
      </c>
      <c r="E158" s="60" t="n">
        <v>55</v>
      </c>
      <c r="F158" s="53" t="n"/>
      <c r="G158" s="61" t="str">
        <f>IF(OR(COUNTA(A158:E158)=0,D158=""),"",IFERROR(INDEX(ca_fam,MATCH(D158,ca_name,0))&amp;"",""))</f>
        <v>Réglage et changement de série</v>
      </c>
      <c r="H158" s="58" t="str">
        <f>IF(OR(COUNTA(A158:E158)=0,D158=""),"",IFERROR(INDEX(ca_type,MATCH(D158,ca_name,0))&amp;"",""))</f>
        <v>Non planifié</v>
      </c>
      <c r="I158" s="58" t="str">
        <f>IF(COUNTA(A158:E158)=0,"",IF(N(A158)&lt;=0,"Date manquante ou invalide",IF(B158="","Équipe manquante",IF(ISNA(MATCH(B158,eq_code,0)),"Équipe inconnue",IF(C158="","Poste manquant",IF(ISNA(MATCH(C158,po_code,0)),"Poste inconnu",IF(D158="","Cause manquante",IF(ISNA(MATCH(D158,ca_name,0)),"Cause inconnue",IF(H158="","Cause à compléter dans Paramètres",IF(OR(NOT(ISNUMBER(E158)),N(E158)&lt;=0,N(E158)&gt;1440),"Durée invalide",IF(COUNTIFS(sj_date,A158,sj_eq,B158,sj_po,C158)=0,"Pas de saisie journalière ce jour-là","OK")))))))))))</f>
        <v>OK</v>
      </c>
      <c r="J158">
        <f>IF(OR(I158="OK",I158="Pas de saisie journalière ce jour-là"),E158,0)</f>
        <v>55.0</v>
      </c>
      <c r="K158">
        <f>IF(AND(J158&gt;0,A158&gt;=p_from,A158&lt;=p_to),1,0)</f>
        <v>1.0</v>
      </c>
      <c r="L158">
        <f>IF(AND(K158=1,OR(pa_po="",C158=pa_po),OR(pa_eq="",B158=pa_eq)),1,0)</f>
        <v>1.0</v>
      </c>
    </row>
    <row r="159">
      <c r="A159" s="51" t="n">
        <v>46296</v>
      </c>
      <c r="B159" s="52" t="inlineStr">
        <is>
          <t>Matin</t>
        </is>
      </c>
      <c r="C159" s="52" t="inlineStr">
        <is>
          <t>SOUD</t>
        </is>
      </c>
      <c r="D159" s="53" t="inlineStr">
        <is>
          <t>Changement de série</t>
        </is>
      </c>
      <c r="E159" s="60" t="n">
        <v>36</v>
      </c>
      <c r="F159" s="53" t="n"/>
      <c r="G159" s="61" t="str">
        <f>IF(OR(COUNTA(A159:E159)=0,D159=""),"",IFERROR(INDEX(ca_fam,MATCH(D159,ca_name,0))&amp;"",""))</f>
        <v>Réglage et changement de série</v>
      </c>
      <c r="H159" s="58" t="str">
        <f>IF(OR(COUNTA(A159:E159)=0,D159=""),"",IFERROR(INDEX(ca_type,MATCH(D159,ca_name,0))&amp;"",""))</f>
        <v>Non planifié</v>
      </c>
      <c r="I159" s="58" t="str">
        <f>IF(COUNTA(A159:E159)=0,"",IF(N(A159)&lt;=0,"Date manquante ou invalide",IF(B159="","Équipe manquante",IF(ISNA(MATCH(B159,eq_code,0)),"Équipe inconnue",IF(C159="","Poste manquant",IF(ISNA(MATCH(C159,po_code,0)),"Poste inconnu",IF(D159="","Cause manquante",IF(ISNA(MATCH(D159,ca_name,0)),"Cause inconnue",IF(H159="","Cause à compléter dans Paramètres",IF(OR(NOT(ISNUMBER(E159)),N(E159)&lt;=0,N(E159)&gt;1440),"Durée invalide",IF(COUNTIFS(sj_date,A159,sj_eq,B159,sj_po,C159)=0,"Pas de saisie journalière ce jour-là","OK")))))))))))</f>
        <v>OK</v>
      </c>
      <c r="J159">
        <f>IF(OR(I159="OK",I159="Pas de saisie journalière ce jour-là"),E159,0)</f>
        <v>36.0</v>
      </c>
      <c r="K159">
        <f>IF(AND(J159&gt;0,A159&gt;=p_from,A159&lt;=p_to),1,0)</f>
        <v>1.0</v>
      </c>
      <c r="L159">
        <f>IF(AND(K159=1,OR(pa_po="",C159=pa_po),OR(pa_eq="",B159=pa_eq)),1,0)</f>
        <v>1.0</v>
      </c>
    </row>
    <row r="160">
      <c r="A160" s="51" t="n">
        <v>46296</v>
      </c>
      <c r="B160" s="52" t="inlineStr">
        <is>
          <t>Matin</t>
        </is>
      </c>
      <c r="C160" s="52" t="inlineStr">
        <is>
          <t>SOUD</t>
        </is>
      </c>
      <c r="D160" s="53" t="inlineStr">
        <is>
          <t>Panne mécanique</t>
        </is>
      </c>
      <c r="E160" s="60" t="n">
        <v>99</v>
      </c>
      <c r="F160" s="53" t="n"/>
      <c r="G160" s="61" t="str">
        <f>IF(OR(COUNTA(A160:E160)=0,D160=""),"",IFERROR(INDEX(ca_fam,MATCH(D160,ca_name,0))&amp;"",""))</f>
        <v>Panne</v>
      </c>
      <c r="H160" s="58" t="str">
        <f>IF(OR(COUNTA(A160:E160)=0,D160=""),"",IFERROR(INDEX(ca_type,MATCH(D160,ca_name,0))&amp;"",""))</f>
        <v>Non planifié</v>
      </c>
      <c r="I160" s="58" t="str">
        <f>IF(COUNTA(A160:E160)=0,"",IF(N(A160)&lt;=0,"Date manquante ou invalide",IF(B160="","Équipe manquante",IF(ISNA(MATCH(B160,eq_code,0)),"Équipe inconnue",IF(C160="","Poste manquant",IF(ISNA(MATCH(C160,po_code,0)),"Poste inconnu",IF(D160="","Cause manquante",IF(ISNA(MATCH(D160,ca_name,0)),"Cause inconnue",IF(H160="","Cause à compléter dans Paramètres",IF(OR(NOT(ISNUMBER(E160)),N(E160)&lt;=0,N(E160)&gt;1440),"Durée invalide",IF(COUNTIFS(sj_date,A160,sj_eq,B160,sj_po,C160)=0,"Pas de saisie journalière ce jour-là","OK")))))))))))</f>
        <v>OK</v>
      </c>
      <c r="J160">
        <f>IF(OR(I160="OK",I160="Pas de saisie journalière ce jour-là"),E160,0)</f>
        <v>99.0</v>
      </c>
      <c r="K160">
        <f>IF(AND(J160&gt;0,A160&gt;=p_from,A160&lt;=p_to),1,0)</f>
        <v>1.0</v>
      </c>
      <c r="L160">
        <f>IF(AND(K160=1,OR(pa_po="",C160=pa_po),OR(pa_eq="",B160=pa_eq)),1,0)</f>
        <v>1.0</v>
      </c>
    </row>
    <row r="161">
      <c r="A161" s="51" t="n">
        <v>46296</v>
      </c>
      <c r="B161" s="52" t="inlineStr">
        <is>
          <t>Matin</t>
        </is>
      </c>
      <c r="C161" s="52" t="inlineStr">
        <is>
          <t>SOUD</t>
        </is>
      </c>
      <c r="D161" s="53" t="inlineStr">
        <is>
          <t>Arrêt pour non-conformité</t>
        </is>
      </c>
      <c r="E161" s="60" t="n">
        <v>59</v>
      </c>
      <c r="F161" s="53" t="n"/>
      <c r="G161" s="61" t="str">
        <f>IF(OR(COUNTA(A161:E161)=0,D161=""),"",IFERROR(INDEX(ca_fam,MATCH(D161,ca_name,0))&amp;"",""))</f>
        <v>Qualité</v>
      </c>
      <c r="H161" s="58" t="str">
        <f>IF(OR(COUNTA(A161:E161)=0,D161=""),"",IFERROR(INDEX(ca_type,MATCH(D161,ca_name,0))&amp;"",""))</f>
        <v>Non planifié</v>
      </c>
      <c r="I161" s="58" t="str">
        <f>IF(COUNTA(A161:E161)=0,"",IF(N(A161)&lt;=0,"Date manquante ou invalide",IF(B161="","Équipe manquante",IF(ISNA(MATCH(B161,eq_code,0)),"Équipe inconnue",IF(C161="","Poste manquant",IF(ISNA(MATCH(C161,po_code,0)),"Poste inconnu",IF(D161="","Cause manquante",IF(ISNA(MATCH(D161,ca_name,0)),"Cause inconnue",IF(H161="","Cause à compléter dans Paramètres",IF(OR(NOT(ISNUMBER(E161)),N(E161)&lt;=0,N(E161)&gt;1440),"Durée invalide",IF(COUNTIFS(sj_date,A161,sj_eq,B161,sj_po,C161)=0,"Pas de saisie journalière ce jour-là","OK")))))))))))</f>
        <v>OK</v>
      </c>
      <c r="J161">
        <f>IF(OR(I161="OK",I161="Pas de saisie journalière ce jour-là"),E161,0)</f>
        <v>59.0</v>
      </c>
      <c r="K161">
        <f>IF(AND(J161&gt;0,A161&gt;=p_from,A161&lt;=p_to),1,0)</f>
        <v>1.0</v>
      </c>
      <c r="L161">
        <f>IF(AND(K161=1,OR(pa_po="",C161=pa_po),OR(pa_eq="",B161=pa_eq)),1,0)</f>
        <v>1.0</v>
      </c>
    </row>
    <row r="162">
      <c r="A162" s="51" t="n">
        <v>46296</v>
      </c>
      <c r="B162" s="52" t="inlineStr">
        <is>
          <t>Après-midi</t>
        </is>
      </c>
      <c r="C162" s="52" t="inlineStr">
        <is>
          <t>SOUD</t>
        </is>
      </c>
      <c r="D162" s="53" t="inlineStr">
        <is>
          <t>Attente pièces de l'opération précédente</t>
        </is>
      </c>
      <c r="E162" s="60" t="n">
        <v>14</v>
      </c>
      <c r="F162" s="53" t="n"/>
      <c r="G162" s="61" t="str">
        <f>IF(OR(COUNTA(A162:E162)=0,D162=""),"",IFERROR(INDEX(ca_fam,MATCH(D162,ca_name,0))&amp;"",""))</f>
        <v>Manque matière</v>
      </c>
      <c r="H162" s="58" t="str">
        <f>IF(OR(COUNTA(A162:E162)=0,D162=""),"",IFERROR(INDEX(ca_type,MATCH(D162,ca_name,0))&amp;"",""))</f>
        <v>Non planifié</v>
      </c>
      <c r="I162" s="58" t="str">
        <f>IF(COUNTA(A162:E162)=0,"",IF(N(A162)&lt;=0,"Date manquante ou invalide",IF(B162="","Équipe manquante",IF(ISNA(MATCH(B162,eq_code,0)),"Équipe inconnue",IF(C162="","Poste manquant",IF(ISNA(MATCH(C162,po_code,0)),"Poste inconnu",IF(D162="","Cause manquante",IF(ISNA(MATCH(D162,ca_name,0)),"Cause inconnue",IF(H162="","Cause à compléter dans Paramètres",IF(OR(NOT(ISNUMBER(E162)),N(E162)&lt;=0,N(E162)&gt;1440),"Durée invalide",IF(COUNTIFS(sj_date,A162,sj_eq,B162,sj_po,C162)=0,"Pas de saisie journalière ce jour-là","OK")))))))))))</f>
        <v>OK</v>
      </c>
      <c r="J162">
        <f>IF(OR(I162="OK",I162="Pas de saisie journalière ce jour-là"),E162,0)</f>
        <v>14.0</v>
      </c>
      <c r="K162">
        <f>IF(AND(J162&gt;0,A162&gt;=p_from,A162&lt;=p_to),1,0)</f>
        <v>1.0</v>
      </c>
      <c r="L162">
        <f>IF(AND(K162=1,OR(pa_po="",C162=pa_po),OR(pa_eq="",B162=pa_eq)),1,0)</f>
        <v>1.0</v>
      </c>
    </row>
    <row r="163">
      <c r="A163" s="51" t="n">
        <v>46297</v>
      </c>
      <c r="B163" s="52" t="inlineStr">
        <is>
          <t>Après-midi</t>
        </is>
      </c>
      <c r="C163" s="52" t="inlineStr">
        <is>
          <t>TOUR1</t>
        </is>
      </c>
      <c r="D163" s="53" t="inlineStr">
        <is>
          <t>Attente matière</t>
        </is>
      </c>
      <c r="E163" s="60" t="n">
        <v>65</v>
      </c>
      <c r="F163" s="53" t="n"/>
      <c r="G163" s="61" t="str">
        <f>IF(OR(COUNTA(A163:E163)=0,D163=""),"",IFERROR(INDEX(ca_fam,MATCH(D163,ca_name,0))&amp;"",""))</f>
        <v>Manque matière</v>
      </c>
      <c r="H163" s="58" t="str">
        <f>IF(OR(COUNTA(A163:E163)=0,D163=""),"",IFERROR(INDEX(ca_type,MATCH(D163,ca_name,0))&amp;"",""))</f>
        <v>Non planifié</v>
      </c>
      <c r="I163" s="58" t="str">
        <f>IF(COUNTA(A163:E163)=0,"",IF(N(A163)&lt;=0,"Date manquante ou invalide",IF(B163="","Équipe manquante",IF(ISNA(MATCH(B163,eq_code,0)),"Équipe inconnue",IF(C163="","Poste manquant",IF(ISNA(MATCH(C163,po_code,0)),"Poste inconnu",IF(D163="","Cause manquante",IF(ISNA(MATCH(D163,ca_name,0)),"Cause inconnue",IF(H163="","Cause à compléter dans Paramètres",IF(OR(NOT(ISNUMBER(E163)),N(E163)&lt;=0,N(E163)&gt;1440),"Durée invalide",IF(COUNTIFS(sj_date,A163,sj_eq,B163,sj_po,C163)=0,"Pas de saisie journalière ce jour-là","OK")))))))))))</f>
        <v>OK</v>
      </c>
      <c r="J163">
        <f>IF(OR(I163="OK",I163="Pas de saisie journalière ce jour-là"),E163,0)</f>
        <v>65.0</v>
      </c>
      <c r="K163">
        <f>IF(AND(J163&gt;0,A163&gt;=p_from,A163&lt;=p_to),1,0)</f>
        <v>1.0</v>
      </c>
      <c r="L163">
        <f>IF(AND(K163=1,OR(pa_po="",C163=pa_po),OR(pa_eq="",B163=pa_eq)),1,0)</f>
        <v>1.0</v>
      </c>
    </row>
    <row r="164">
      <c r="A164" s="51" t="n">
        <v>46297</v>
      </c>
      <c r="B164" s="52" t="inlineStr">
        <is>
          <t>Matin</t>
        </is>
      </c>
      <c r="C164" s="52" t="inlineStr">
        <is>
          <t>TOUR2</t>
        </is>
      </c>
      <c r="D164" s="53" t="inlineStr">
        <is>
          <t>Changement de série</t>
        </is>
      </c>
      <c r="E164" s="60" t="n">
        <v>33</v>
      </c>
      <c r="F164" s="53" t="n"/>
      <c r="G164" s="61" t="str">
        <f>IF(OR(COUNTA(A164:E164)=0,D164=""),"",IFERROR(INDEX(ca_fam,MATCH(D164,ca_name,0))&amp;"",""))</f>
        <v>Réglage et changement de série</v>
      </c>
      <c r="H164" s="58" t="str">
        <f>IF(OR(COUNTA(A164:E164)=0,D164=""),"",IFERROR(INDEX(ca_type,MATCH(D164,ca_name,0))&amp;"",""))</f>
        <v>Non planifié</v>
      </c>
      <c r="I164" s="58" t="str">
        <f>IF(COUNTA(A164:E164)=0,"",IF(N(A164)&lt;=0,"Date manquante ou invalide",IF(B164="","Équipe manquante",IF(ISNA(MATCH(B164,eq_code,0)),"Équipe inconnue",IF(C164="","Poste manquant",IF(ISNA(MATCH(C164,po_code,0)),"Poste inconnu",IF(D164="","Cause manquante",IF(ISNA(MATCH(D164,ca_name,0)),"Cause inconnue",IF(H164="","Cause à compléter dans Paramètres",IF(OR(NOT(ISNUMBER(E164)),N(E164)&lt;=0,N(E164)&gt;1440),"Durée invalide",IF(COUNTIFS(sj_date,A164,sj_eq,B164,sj_po,C164)=0,"Pas de saisie journalière ce jour-là","OK")))))))))))</f>
        <v>OK</v>
      </c>
      <c r="J164">
        <f>IF(OR(I164="OK",I164="Pas de saisie journalière ce jour-là"),E164,0)</f>
        <v>33.0</v>
      </c>
      <c r="K164">
        <f>IF(AND(J164&gt;0,A164&gt;=p_from,A164&lt;=p_to),1,0)</f>
        <v>1.0</v>
      </c>
      <c r="L164">
        <f>IF(AND(K164=1,OR(pa_po="",C164=pa_po),OR(pa_eq="",B164=pa_eq)),1,0)</f>
        <v>1.0</v>
      </c>
    </row>
    <row r="165">
      <c r="A165" s="51" t="n">
        <v>46297</v>
      </c>
      <c r="B165" s="52" t="inlineStr">
        <is>
          <t>Matin</t>
        </is>
      </c>
      <c r="C165" s="52" t="inlineStr">
        <is>
          <t>TOUR2</t>
        </is>
      </c>
      <c r="D165" s="53" t="inlineStr">
        <is>
          <t>Réglage en cours de production</t>
        </is>
      </c>
      <c r="E165" s="60" t="n">
        <v>17</v>
      </c>
      <c r="F165" s="53" t="n"/>
      <c r="G165" s="61" t="str">
        <f>IF(OR(COUNTA(A165:E165)=0,D165=""),"",IFERROR(INDEX(ca_fam,MATCH(D165,ca_name,0))&amp;"",""))</f>
        <v>Réglage et changement de série</v>
      </c>
      <c r="H165" s="58" t="str">
        <f>IF(OR(COUNTA(A165:E165)=0,D165=""),"",IFERROR(INDEX(ca_type,MATCH(D165,ca_name,0))&amp;"",""))</f>
        <v>Non planifié</v>
      </c>
      <c r="I165" s="58" t="str">
        <f>IF(COUNTA(A165:E165)=0,"",IF(N(A165)&lt;=0,"Date manquante ou invalide",IF(B165="","Équipe manquante",IF(ISNA(MATCH(B165,eq_code,0)),"Équipe inconnue",IF(C165="","Poste manquant",IF(ISNA(MATCH(C165,po_code,0)),"Poste inconnu",IF(D165="","Cause manquante",IF(ISNA(MATCH(D165,ca_name,0)),"Cause inconnue",IF(H165="","Cause à compléter dans Paramètres",IF(OR(NOT(ISNUMBER(E165)),N(E165)&lt;=0,N(E165)&gt;1440),"Durée invalide",IF(COUNTIFS(sj_date,A165,sj_eq,B165,sj_po,C165)=0,"Pas de saisie journalière ce jour-là","OK")))))))))))</f>
        <v>OK</v>
      </c>
      <c r="J165">
        <f>IF(OR(I165="OK",I165="Pas de saisie journalière ce jour-là"),E165,0)</f>
        <v>17.0</v>
      </c>
      <c r="K165">
        <f>IF(AND(J165&gt;0,A165&gt;=p_from,A165&lt;=p_to),1,0)</f>
        <v>1.0</v>
      </c>
      <c r="L165">
        <f>IF(AND(K165=1,OR(pa_po="",C165=pa_po),OR(pa_eq="",B165=pa_eq)),1,0)</f>
        <v>1.0</v>
      </c>
    </row>
    <row r="166">
      <c r="A166" s="51" t="n">
        <v>46297</v>
      </c>
      <c r="B166" s="52" t="inlineStr">
        <is>
          <t>Après-midi</t>
        </is>
      </c>
      <c r="C166" s="52" t="inlineStr">
        <is>
          <t>TOUR2</t>
        </is>
      </c>
      <c r="D166" s="53" t="inlineStr">
        <is>
          <t>Changement de série</t>
        </is>
      </c>
      <c r="E166" s="60" t="n">
        <v>35</v>
      </c>
      <c r="F166" s="53" t="n"/>
      <c r="G166" s="61" t="str">
        <f>IF(OR(COUNTA(A166:E166)=0,D166=""),"",IFERROR(INDEX(ca_fam,MATCH(D166,ca_name,0))&amp;"",""))</f>
        <v>Réglage et changement de série</v>
      </c>
      <c r="H166" s="58" t="str">
        <f>IF(OR(COUNTA(A166:E166)=0,D166=""),"",IFERROR(INDEX(ca_type,MATCH(D166,ca_name,0))&amp;"",""))</f>
        <v>Non planifié</v>
      </c>
      <c r="I166" s="58" t="str">
        <f>IF(COUNTA(A166:E166)=0,"",IF(N(A166)&lt;=0,"Date manquante ou invalide",IF(B166="","Équipe manquante",IF(ISNA(MATCH(B166,eq_code,0)),"Équipe inconnue",IF(C166="","Poste manquant",IF(ISNA(MATCH(C166,po_code,0)),"Poste inconnu",IF(D166="","Cause manquante",IF(ISNA(MATCH(D166,ca_name,0)),"Cause inconnue",IF(H166="","Cause à compléter dans Paramètres",IF(OR(NOT(ISNUMBER(E166)),N(E166)&lt;=0,N(E166)&gt;1440),"Durée invalide",IF(COUNTIFS(sj_date,A166,sj_eq,B166,sj_po,C166)=0,"Pas de saisie journalière ce jour-là","OK")))))))))))</f>
        <v>OK</v>
      </c>
      <c r="J166">
        <f>IF(OR(I166="OK",I166="Pas de saisie journalière ce jour-là"),E166,0)</f>
        <v>35.0</v>
      </c>
      <c r="K166">
        <f>IF(AND(J166&gt;0,A166&gt;=p_from,A166&lt;=p_to),1,0)</f>
        <v>1.0</v>
      </c>
      <c r="L166">
        <f>IF(AND(K166=1,OR(pa_po="",C166=pa_po),OR(pa_eq="",B166=pa_eq)),1,0)</f>
        <v>1.0</v>
      </c>
    </row>
    <row r="167">
      <c r="A167" s="51" t="n">
        <v>46297</v>
      </c>
      <c r="B167" s="52" t="inlineStr">
        <is>
          <t>Après-midi</t>
        </is>
      </c>
      <c r="C167" s="52" t="inlineStr">
        <is>
          <t>TOUR2</t>
        </is>
      </c>
      <c r="D167" s="53" t="inlineStr">
        <is>
          <t>Panne mécanique</t>
        </is>
      </c>
      <c r="E167" s="60" t="n">
        <v>49</v>
      </c>
      <c r="F167" s="53" t="n"/>
      <c r="G167" s="61" t="str">
        <f>IF(OR(COUNTA(A167:E167)=0,D167=""),"",IFERROR(INDEX(ca_fam,MATCH(D167,ca_name,0))&amp;"",""))</f>
        <v>Panne</v>
      </c>
      <c r="H167" s="58" t="str">
        <f>IF(OR(COUNTA(A167:E167)=0,D167=""),"",IFERROR(INDEX(ca_type,MATCH(D167,ca_name,0))&amp;"",""))</f>
        <v>Non planifié</v>
      </c>
      <c r="I167" s="58" t="str">
        <f>IF(COUNTA(A167:E167)=0,"",IF(N(A167)&lt;=0,"Date manquante ou invalide",IF(B167="","Équipe manquante",IF(ISNA(MATCH(B167,eq_code,0)),"Équipe inconnue",IF(C167="","Poste manquant",IF(ISNA(MATCH(C167,po_code,0)),"Poste inconnu",IF(D167="","Cause manquante",IF(ISNA(MATCH(D167,ca_name,0)),"Cause inconnue",IF(H167="","Cause à compléter dans Paramètres",IF(OR(NOT(ISNUMBER(E167)),N(E167)&lt;=0,N(E167)&gt;1440),"Durée invalide",IF(COUNTIFS(sj_date,A167,sj_eq,B167,sj_po,C167)=0,"Pas de saisie journalière ce jour-là","OK")))))))))))</f>
        <v>OK</v>
      </c>
      <c r="J167">
        <f>IF(OR(I167="OK",I167="Pas de saisie journalière ce jour-là"),E167,0)</f>
        <v>49.0</v>
      </c>
      <c r="K167">
        <f>IF(AND(J167&gt;0,A167&gt;=p_from,A167&lt;=p_to),1,0)</f>
        <v>1.0</v>
      </c>
      <c r="L167">
        <f>IF(AND(K167=1,OR(pa_po="",C167=pa_po),OR(pa_eq="",B167=pa_eq)),1,0)</f>
        <v>1.0</v>
      </c>
    </row>
    <row r="168">
      <c r="A168" s="51" t="n">
        <v>46297</v>
      </c>
      <c r="B168" s="52" t="inlineStr">
        <is>
          <t>Après-midi</t>
        </is>
      </c>
      <c r="C168" s="52" t="inlineStr">
        <is>
          <t>TOUR2</t>
        </is>
      </c>
      <c r="D168" s="53" t="inlineStr">
        <is>
          <t>Changement de série</t>
        </is>
      </c>
      <c r="E168" s="60" t="n">
        <v>57</v>
      </c>
      <c r="F168" s="53" t="n"/>
      <c r="G168" s="61" t="str">
        <f>IF(OR(COUNTA(A168:E168)=0,D168=""),"",IFERROR(INDEX(ca_fam,MATCH(D168,ca_name,0))&amp;"",""))</f>
        <v>Réglage et changement de série</v>
      </c>
      <c r="H168" s="58" t="str">
        <f>IF(OR(COUNTA(A168:E168)=0,D168=""),"",IFERROR(INDEX(ca_type,MATCH(D168,ca_name,0))&amp;"",""))</f>
        <v>Non planifié</v>
      </c>
      <c r="I168" s="58" t="str">
        <f>IF(COUNTA(A168:E168)=0,"",IF(N(A168)&lt;=0,"Date manquante ou invalide",IF(B168="","Équipe manquante",IF(ISNA(MATCH(B168,eq_code,0)),"Équipe inconnue",IF(C168="","Poste manquant",IF(ISNA(MATCH(C168,po_code,0)),"Poste inconnu",IF(D168="","Cause manquante",IF(ISNA(MATCH(D168,ca_name,0)),"Cause inconnue",IF(H168="","Cause à compléter dans Paramètres",IF(OR(NOT(ISNUMBER(E168)),N(E168)&lt;=0,N(E168)&gt;1440),"Durée invalide",IF(COUNTIFS(sj_date,A168,sj_eq,B168,sj_po,C168)=0,"Pas de saisie journalière ce jour-là","OK")))))))))))</f>
        <v>OK</v>
      </c>
      <c r="J168">
        <f>IF(OR(I168="OK",I168="Pas de saisie journalière ce jour-là"),E168,0)</f>
        <v>57.0</v>
      </c>
      <c r="K168">
        <f>IF(AND(J168&gt;0,A168&gt;=p_from,A168&lt;=p_to),1,0)</f>
        <v>1.0</v>
      </c>
      <c r="L168">
        <f>IF(AND(K168=1,OR(pa_po="",C168=pa_po),OR(pa_eq="",B168=pa_eq)),1,0)</f>
        <v>1.0</v>
      </c>
    </row>
    <row r="169">
      <c r="A169" s="51" t="n">
        <v>46297</v>
      </c>
      <c r="B169" s="52" t="inlineStr">
        <is>
          <t>Après-midi</t>
        </is>
      </c>
      <c r="C169" s="52" t="inlineStr">
        <is>
          <t>TOUR2</t>
        </is>
      </c>
      <c r="D169" s="53" t="inlineStr">
        <is>
          <t>Opérateur sur un autre poste</t>
        </is>
      </c>
      <c r="E169" s="60" t="n">
        <v>39</v>
      </c>
      <c r="F169" s="53" t="n"/>
      <c r="G169" s="61" t="str">
        <f>IF(OR(COUNTA(A169:E169)=0,D169=""),"",IFERROR(INDEX(ca_fam,MATCH(D169,ca_name,0))&amp;"",""))</f>
        <v>Manque personnel</v>
      </c>
      <c r="H169" s="58" t="str">
        <f>IF(OR(COUNTA(A169:E169)=0,D169=""),"",IFERROR(INDEX(ca_type,MATCH(D169,ca_name,0))&amp;"",""))</f>
        <v>Non planifié</v>
      </c>
      <c r="I169" s="58" t="str">
        <f>IF(COUNTA(A169:E169)=0,"",IF(N(A169)&lt;=0,"Date manquante ou invalide",IF(B169="","Équipe manquante",IF(ISNA(MATCH(B169,eq_code,0)),"Équipe inconnue",IF(C169="","Poste manquant",IF(ISNA(MATCH(C169,po_code,0)),"Poste inconnu",IF(D169="","Cause manquante",IF(ISNA(MATCH(D169,ca_name,0)),"Cause inconnue",IF(H169="","Cause à compléter dans Paramètres",IF(OR(NOT(ISNUMBER(E169)),N(E169)&lt;=0,N(E169)&gt;1440),"Durée invalide",IF(COUNTIFS(sj_date,A169,sj_eq,B169,sj_po,C169)=0,"Pas de saisie journalière ce jour-là","OK")))))))))))</f>
        <v>OK</v>
      </c>
      <c r="J169">
        <f>IF(OR(I169="OK",I169="Pas de saisie journalière ce jour-là"),E169,0)</f>
        <v>39.0</v>
      </c>
      <c r="K169">
        <f>IF(AND(J169&gt;0,A169&gt;=p_from,A169&lt;=p_to),1,0)</f>
        <v>1.0</v>
      </c>
      <c r="L169">
        <f>IF(AND(K169=1,OR(pa_po="",C169=pa_po),OR(pa_eq="",B169=pa_eq)),1,0)</f>
        <v>1.0</v>
      </c>
    </row>
    <row r="170">
      <c r="A170" s="51" t="n">
        <v>46297</v>
      </c>
      <c r="B170" s="52" t="inlineStr">
        <is>
          <t>Après-midi</t>
        </is>
      </c>
      <c r="C170" s="52" t="inlineStr">
        <is>
          <t>USIN</t>
        </is>
      </c>
      <c r="D170" s="53" t="inlineStr">
        <is>
          <t>Changement de série</t>
        </is>
      </c>
      <c r="E170" s="60" t="n">
        <v>43</v>
      </c>
      <c r="F170" s="53" t="n"/>
      <c r="G170" s="61" t="str">
        <f>IF(OR(COUNTA(A170:E170)=0,D170=""),"",IFERROR(INDEX(ca_fam,MATCH(D170,ca_name,0))&amp;"",""))</f>
        <v>Réglage et changement de série</v>
      </c>
      <c r="H170" s="58" t="str">
        <f>IF(OR(COUNTA(A170:E170)=0,D170=""),"",IFERROR(INDEX(ca_type,MATCH(D170,ca_name,0))&amp;"",""))</f>
        <v>Non planifié</v>
      </c>
      <c r="I170" s="58" t="str">
        <f>IF(COUNTA(A170:E170)=0,"",IF(N(A170)&lt;=0,"Date manquante ou invalide",IF(B170="","Équipe manquante",IF(ISNA(MATCH(B170,eq_code,0)),"Équipe inconnue",IF(C170="","Poste manquant",IF(ISNA(MATCH(C170,po_code,0)),"Poste inconnu",IF(D170="","Cause manquante",IF(ISNA(MATCH(D170,ca_name,0)),"Cause inconnue",IF(H170="","Cause à compléter dans Paramètres",IF(OR(NOT(ISNUMBER(E170)),N(E170)&lt;=0,N(E170)&gt;1440),"Durée invalide",IF(COUNTIFS(sj_date,A170,sj_eq,B170,sj_po,C170)=0,"Pas de saisie journalière ce jour-là","OK")))))))))))</f>
        <v>OK</v>
      </c>
      <c r="J170">
        <f>IF(OR(I170="OK",I170="Pas de saisie journalière ce jour-là"),E170,0)</f>
        <v>43.0</v>
      </c>
      <c r="K170">
        <f>IF(AND(J170&gt;0,A170&gt;=p_from,A170&lt;=p_to),1,0)</f>
        <v>1.0</v>
      </c>
      <c r="L170">
        <f>IF(AND(K170=1,OR(pa_po="",C170=pa_po),OR(pa_eq="",B170=pa_eq)),1,0)</f>
        <v>1.0</v>
      </c>
    </row>
    <row r="171">
      <c r="A171" s="51" t="n">
        <v>46297</v>
      </c>
      <c r="B171" s="52" t="inlineStr">
        <is>
          <t>Après-midi</t>
        </is>
      </c>
      <c r="C171" s="52" t="inlineStr">
        <is>
          <t>USIN</t>
        </is>
      </c>
      <c r="D171" s="53" t="inlineStr">
        <is>
          <t>Changement de série</t>
        </is>
      </c>
      <c r="E171" s="60" t="n">
        <v>68</v>
      </c>
      <c r="F171" s="53" t="n"/>
      <c r="G171" s="61" t="str">
        <f>IF(OR(COUNTA(A171:E171)=0,D171=""),"",IFERROR(INDEX(ca_fam,MATCH(D171,ca_name,0))&amp;"",""))</f>
        <v>Réglage et changement de série</v>
      </c>
      <c r="H171" s="58" t="str">
        <f>IF(OR(COUNTA(A171:E171)=0,D171=""),"",IFERROR(INDEX(ca_type,MATCH(D171,ca_name,0))&amp;"",""))</f>
        <v>Non planifié</v>
      </c>
      <c r="I171" s="58" t="str">
        <f>IF(COUNTA(A171:E171)=0,"",IF(N(A171)&lt;=0,"Date manquante ou invalide",IF(B171="","Équipe manquante",IF(ISNA(MATCH(B171,eq_code,0)),"Équipe inconnue",IF(C171="","Poste manquant",IF(ISNA(MATCH(C171,po_code,0)),"Poste inconnu",IF(D171="","Cause manquante",IF(ISNA(MATCH(D171,ca_name,0)),"Cause inconnue",IF(H171="","Cause à compléter dans Paramètres",IF(OR(NOT(ISNUMBER(E171)),N(E171)&lt;=0,N(E171)&gt;1440),"Durée invalide",IF(COUNTIFS(sj_date,A171,sj_eq,B171,sj_po,C171)=0,"Pas de saisie journalière ce jour-là","OK")))))))))))</f>
        <v>OK</v>
      </c>
      <c r="J171">
        <f>IF(OR(I171="OK",I171="Pas de saisie journalière ce jour-là"),E171,0)</f>
        <v>68.0</v>
      </c>
      <c r="K171">
        <f>IF(AND(J171&gt;0,A171&gt;=p_from,A171&lt;=p_to),1,0)</f>
        <v>1.0</v>
      </c>
      <c r="L171">
        <f>IF(AND(K171=1,OR(pa_po="",C171=pa_po),OR(pa_eq="",B171=pa_eq)),1,0)</f>
        <v>1.0</v>
      </c>
    </row>
    <row r="172">
      <c r="A172" s="51" t="n">
        <v>46297</v>
      </c>
      <c r="B172" s="52" t="inlineStr">
        <is>
          <t>Matin</t>
        </is>
      </c>
      <c r="C172" s="52" t="inlineStr">
        <is>
          <t>PRESSE</t>
        </is>
      </c>
      <c r="D172" s="53" t="inlineStr">
        <is>
          <t>Réglage en cours de production</t>
        </is>
      </c>
      <c r="E172" s="60" t="n">
        <v>5</v>
      </c>
      <c r="F172" s="53" t="n"/>
      <c r="G172" s="61" t="str">
        <f>IF(OR(COUNTA(A172:E172)=0,D172=""),"",IFERROR(INDEX(ca_fam,MATCH(D172,ca_name,0))&amp;"",""))</f>
        <v>Réglage et changement de série</v>
      </c>
      <c r="H172" s="58" t="str">
        <f>IF(OR(COUNTA(A172:E172)=0,D172=""),"",IFERROR(INDEX(ca_type,MATCH(D172,ca_name,0))&amp;"",""))</f>
        <v>Non planifié</v>
      </c>
      <c r="I172" s="58" t="str">
        <f>IF(COUNTA(A172:E172)=0,"",IF(N(A172)&lt;=0,"Date manquante ou invalide",IF(B172="","Équipe manquante",IF(ISNA(MATCH(B172,eq_code,0)),"Équipe inconnue",IF(C172="","Poste manquant",IF(ISNA(MATCH(C172,po_code,0)),"Poste inconnu",IF(D172="","Cause manquante",IF(ISNA(MATCH(D172,ca_name,0)),"Cause inconnue",IF(H172="","Cause à compléter dans Paramètres",IF(OR(NOT(ISNUMBER(E172)),N(E172)&lt;=0,N(E172)&gt;1440),"Durée invalide",IF(COUNTIFS(sj_date,A172,sj_eq,B172,sj_po,C172)=0,"Pas de saisie journalière ce jour-là","OK")))))))))))</f>
        <v>OK</v>
      </c>
      <c r="J172">
        <f>IF(OR(I172="OK",I172="Pas de saisie journalière ce jour-là"),E172,0)</f>
        <v>5.0</v>
      </c>
      <c r="K172">
        <f>IF(AND(J172&gt;0,A172&gt;=p_from,A172&lt;=p_to),1,0)</f>
        <v>1.0</v>
      </c>
      <c r="L172">
        <f>IF(AND(K172=1,OR(pa_po="",C172=pa_po),OR(pa_eq="",B172=pa_eq)),1,0)</f>
        <v>1.0</v>
      </c>
    </row>
    <row r="173">
      <c r="A173" s="51" t="n">
        <v>46297</v>
      </c>
      <c r="B173" s="52" t="inlineStr">
        <is>
          <t>Journée</t>
        </is>
      </c>
      <c r="C173" s="52" t="inlineStr">
        <is>
          <t>PLIE</t>
        </is>
      </c>
      <c r="D173" s="53" t="inlineStr">
        <is>
          <t>Attente pièces de l'opération précédente</t>
        </is>
      </c>
      <c r="E173" s="60" t="n">
        <v>36</v>
      </c>
      <c r="F173" s="53" t="n"/>
      <c r="G173" s="61" t="str">
        <f>IF(OR(COUNTA(A173:E173)=0,D173=""),"",IFERROR(INDEX(ca_fam,MATCH(D173,ca_name,0))&amp;"",""))</f>
        <v>Manque matière</v>
      </c>
      <c r="H173" s="58" t="str">
        <f>IF(OR(COUNTA(A173:E173)=0,D173=""),"",IFERROR(INDEX(ca_type,MATCH(D173,ca_name,0))&amp;"",""))</f>
        <v>Non planifié</v>
      </c>
      <c r="I173" s="58" t="str">
        <f>IF(COUNTA(A173:E173)=0,"",IF(N(A173)&lt;=0,"Date manquante ou invalide",IF(B173="","Équipe manquante",IF(ISNA(MATCH(B173,eq_code,0)),"Équipe inconnue",IF(C173="","Poste manquant",IF(ISNA(MATCH(C173,po_code,0)),"Poste inconnu",IF(D173="","Cause manquante",IF(ISNA(MATCH(D173,ca_name,0)),"Cause inconnue",IF(H173="","Cause à compléter dans Paramètres",IF(OR(NOT(ISNUMBER(E173)),N(E173)&lt;=0,N(E173)&gt;1440),"Durée invalide",IF(COUNTIFS(sj_date,A173,sj_eq,B173,sj_po,C173)=0,"Pas de saisie journalière ce jour-là","OK")))))))))))</f>
        <v>OK</v>
      </c>
      <c r="J173">
        <f>IF(OR(I173="OK",I173="Pas de saisie journalière ce jour-là"),E173,0)</f>
        <v>36.0</v>
      </c>
      <c r="K173">
        <f>IF(AND(J173&gt;0,A173&gt;=p_from,A173&lt;=p_to),1,0)</f>
        <v>1.0</v>
      </c>
      <c r="L173">
        <f>IF(AND(K173=1,OR(pa_po="",C173=pa_po),OR(pa_eq="",B173=pa_eq)),1,0)</f>
        <v>1.0</v>
      </c>
    </row>
    <row r="174">
      <c r="A174" s="51" t="n">
        <v>46297</v>
      </c>
      <c r="B174" s="52" t="inlineStr">
        <is>
          <t>Journée</t>
        </is>
      </c>
      <c r="C174" s="52" t="inlineStr">
        <is>
          <t>PLIE</t>
        </is>
      </c>
      <c r="D174" s="53" t="inlineStr">
        <is>
          <t>Attente chariot élévateur</t>
        </is>
      </c>
      <c r="E174" s="60" t="n">
        <v>12</v>
      </c>
      <c r="F174" s="53" t="n"/>
      <c r="G174" s="61" t="str">
        <f>IF(OR(COUNTA(A174:E174)=0,D174=""),"",IFERROR(INDEX(ca_fam,MATCH(D174,ca_name,0))&amp;"",""))</f>
        <v>Organisation</v>
      </c>
      <c r="H174" s="58" t="str">
        <f>IF(OR(COUNTA(A174:E174)=0,D174=""),"",IFERROR(INDEX(ca_type,MATCH(D174,ca_name,0))&amp;"",""))</f>
        <v>Non planifié</v>
      </c>
      <c r="I174" s="58" t="str">
        <f>IF(COUNTA(A174:E174)=0,"",IF(N(A174)&lt;=0,"Date manquante ou invalide",IF(B174="","Équipe manquante",IF(ISNA(MATCH(B174,eq_code,0)),"Équipe inconnue",IF(C174="","Poste manquant",IF(ISNA(MATCH(C174,po_code,0)),"Poste inconnu",IF(D174="","Cause manquante",IF(ISNA(MATCH(D174,ca_name,0)),"Cause inconnue",IF(H174="","Cause à compléter dans Paramètres",IF(OR(NOT(ISNUMBER(E174)),N(E174)&lt;=0,N(E174)&gt;1440),"Durée invalide",IF(COUNTIFS(sj_date,A174,sj_eq,B174,sj_po,C174)=0,"Pas de saisie journalière ce jour-là","OK")))))))))))</f>
        <v>OK</v>
      </c>
      <c r="J174">
        <f>IF(OR(I174="OK",I174="Pas de saisie journalière ce jour-là"),E174,0)</f>
        <v>12.0</v>
      </c>
      <c r="K174">
        <f>IF(AND(J174&gt;0,A174&gt;=p_from,A174&lt;=p_to),1,0)</f>
        <v>1.0</v>
      </c>
      <c r="L174">
        <f>IF(AND(K174=1,OR(pa_po="",C174=pa_po),OR(pa_eq="",B174=pa_eq)),1,0)</f>
        <v>1.0</v>
      </c>
    </row>
    <row r="175">
      <c r="A175" s="51" t="n">
        <v>46297</v>
      </c>
      <c r="B175" s="52" t="inlineStr">
        <is>
          <t>Matin</t>
        </is>
      </c>
      <c r="C175" s="52" t="inlineStr">
        <is>
          <t>SOUD</t>
        </is>
      </c>
      <c r="D175" s="53" t="inlineStr">
        <is>
          <t>Changement de série</t>
        </is>
      </c>
      <c r="E175" s="60" t="n">
        <v>64</v>
      </c>
      <c r="F175" s="53" t="n"/>
      <c r="G175" s="61" t="str">
        <f>IF(OR(COUNTA(A175:E175)=0,D175=""),"",IFERROR(INDEX(ca_fam,MATCH(D175,ca_name,0))&amp;"",""))</f>
        <v>Réglage et changement de série</v>
      </c>
      <c r="H175" s="58" t="str">
        <f>IF(OR(COUNTA(A175:E175)=0,D175=""),"",IFERROR(INDEX(ca_type,MATCH(D175,ca_name,0))&amp;"",""))</f>
        <v>Non planifié</v>
      </c>
      <c r="I175" s="58" t="str">
        <f>IF(COUNTA(A175:E175)=0,"",IF(N(A175)&lt;=0,"Date manquante ou invalide",IF(B175="","Équipe manquante",IF(ISNA(MATCH(B175,eq_code,0)),"Équipe inconnue",IF(C175="","Poste manquant",IF(ISNA(MATCH(C175,po_code,0)),"Poste inconnu",IF(D175="","Cause manquante",IF(ISNA(MATCH(D175,ca_name,0)),"Cause inconnue",IF(H175="","Cause à compléter dans Paramètres",IF(OR(NOT(ISNUMBER(E175)),N(E175)&lt;=0,N(E175)&gt;1440),"Durée invalide",IF(COUNTIFS(sj_date,A175,sj_eq,B175,sj_po,C175)=0,"Pas de saisie journalière ce jour-là","OK")))))))))))</f>
        <v>OK</v>
      </c>
      <c r="J175">
        <f>IF(OR(I175="OK",I175="Pas de saisie journalière ce jour-là"),E175,0)</f>
        <v>64.0</v>
      </c>
      <c r="K175">
        <f>IF(AND(J175&gt;0,A175&gt;=p_from,A175&lt;=p_to),1,0)</f>
        <v>1.0</v>
      </c>
      <c r="L175">
        <f>IF(AND(K175=1,OR(pa_po="",C175=pa_po),OR(pa_eq="",B175=pa_eq)),1,0)</f>
        <v>1.0</v>
      </c>
    </row>
    <row r="176">
      <c r="A176" s="51" t="n">
        <v>46297</v>
      </c>
      <c r="B176" s="52" t="inlineStr">
        <is>
          <t>Après-midi</t>
        </is>
      </c>
      <c r="C176" s="52" t="inlineStr">
        <is>
          <t>SOUD</t>
        </is>
      </c>
      <c r="D176" s="53" t="inlineStr">
        <is>
          <t>Attente chariot élévateur</t>
        </is>
      </c>
      <c r="E176" s="60" t="n">
        <v>13</v>
      </c>
      <c r="F176" s="53" t="n"/>
      <c r="G176" s="61" t="str">
        <f>IF(OR(COUNTA(A176:E176)=0,D176=""),"",IFERROR(INDEX(ca_fam,MATCH(D176,ca_name,0))&amp;"",""))</f>
        <v>Organisation</v>
      </c>
      <c r="H176" s="58" t="str">
        <f>IF(OR(COUNTA(A176:E176)=0,D176=""),"",IFERROR(INDEX(ca_type,MATCH(D176,ca_name,0))&amp;"",""))</f>
        <v>Non planifié</v>
      </c>
      <c r="I176" s="58" t="str">
        <f>IF(COUNTA(A176:E176)=0,"",IF(N(A176)&lt;=0,"Date manquante ou invalide",IF(B176="","Équipe manquante",IF(ISNA(MATCH(B176,eq_code,0)),"Équipe inconnue",IF(C176="","Poste manquant",IF(ISNA(MATCH(C176,po_code,0)),"Poste inconnu",IF(D176="","Cause manquante",IF(ISNA(MATCH(D176,ca_name,0)),"Cause inconnue",IF(H176="","Cause à compléter dans Paramètres",IF(OR(NOT(ISNUMBER(E176)),N(E176)&lt;=0,N(E176)&gt;1440),"Durée invalide",IF(COUNTIFS(sj_date,A176,sj_eq,B176,sj_po,C176)=0,"Pas de saisie journalière ce jour-là","OK")))))))))))</f>
        <v>OK</v>
      </c>
      <c r="J176">
        <f>IF(OR(I176="OK",I176="Pas de saisie journalière ce jour-là"),E176,0)</f>
        <v>13.0</v>
      </c>
      <c r="K176">
        <f>IF(AND(J176&gt;0,A176&gt;=p_from,A176&lt;=p_to),1,0)</f>
        <v>1.0</v>
      </c>
      <c r="L176">
        <f>IF(AND(K176=1,OR(pa_po="",C176=pa_po),OR(pa_eq="",B176=pa_eq)),1,0)</f>
        <v>1.0</v>
      </c>
    </row>
    <row r="177">
      <c r="A177" s="51" t="n">
        <v>46297</v>
      </c>
      <c r="B177" s="52" t="inlineStr">
        <is>
          <t>Après-midi</t>
        </is>
      </c>
      <c r="C177" s="52" t="inlineStr">
        <is>
          <t>SOUD</t>
        </is>
      </c>
      <c r="D177" s="53" t="inlineStr">
        <is>
          <t>Panne mécanique</t>
        </is>
      </c>
      <c r="E177" s="60" t="n">
        <v>33</v>
      </c>
      <c r="F177" s="53" t="n"/>
      <c r="G177" s="61" t="str">
        <f>IF(OR(COUNTA(A177:E177)=0,D177=""),"",IFERROR(INDEX(ca_fam,MATCH(D177,ca_name,0))&amp;"",""))</f>
        <v>Panne</v>
      </c>
      <c r="H177" s="58" t="str">
        <f>IF(OR(COUNTA(A177:E177)=0,D177=""),"",IFERROR(INDEX(ca_type,MATCH(D177,ca_name,0))&amp;"",""))</f>
        <v>Non planifié</v>
      </c>
      <c r="I177" s="58" t="str">
        <f>IF(COUNTA(A177:E177)=0,"",IF(N(A177)&lt;=0,"Date manquante ou invalide",IF(B177="","Équipe manquante",IF(ISNA(MATCH(B177,eq_code,0)),"Équipe inconnue",IF(C177="","Poste manquant",IF(ISNA(MATCH(C177,po_code,0)),"Poste inconnu",IF(D177="","Cause manquante",IF(ISNA(MATCH(D177,ca_name,0)),"Cause inconnue",IF(H177="","Cause à compléter dans Paramètres",IF(OR(NOT(ISNUMBER(E177)),N(E177)&lt;=0,N(E177)&gt;1440),"Durée invalide",IF(COUNTIFS(sj_date,A177,sj_eq,B177,sj_po,C177)=0,"Pas de saisie journalière ce jour-là","OK")))))))))))</f>
        <v>OK</v>
      </c>
      <c r="J177">
        <f>IF(OR(I177="OK",I177="Pas de saisie journalière ce jour-là"),E177,0)</f>
        <v>33.0</v>
      </c>
      <c r="K177">
        <f>IF(AND(J177&gt;0,A177&gt;=p_from,A177&lt;=p_to),1,0)</f>
        <v>1.0</v>
      </c>
      <c r="L177">
        <f>IF(AND(K177=1,OR(pa_po="",C177=pa_po),OR(pa_eq="",B177=pa_eq)),1,0)</f>
        <v>1.0</v>
      </c>
    </row>
    <row r="178">
      <c r="A178" s="51" t="n">
        <v>46297</v>
      </c>
      <c r="B178" s="52" t="inlineStr">
        <is>
          <t>Après-midi</t>
        </is>
      </c>
      <c r="C178" s="52" t="inlineStr">
        <is>
          <t>SOUD</t>
        </is>
      </c>
      <c r="D178" s="53" t="inlineStr">
        <is>
          <t>Réglage en cours de production</t>
        </is>
      </c>
      <c r="E178" s="60" t="n">
        <v>22</v>
      </c>
      <c r="F178" s="53" t="n"/>
      <c r="G178" s="61" t="str">
        <f>IF(OR(COUNTA(A178:E178)=0,D178=""),"",IFERROR(INDEX(ca_fam,MATCH(D178,ca_name,0))&amp;"",""))</f>
        <v>Réglage et changement de série</v>
      </c>
      <c r="H178" s="58" t="str">
        <f>IF(OR(COUNTA(A178:E178)=0,D178=""),"",IFERROR(INDEX(ca_type,MATCH(D178,ca_name,0))&amp;"",""))</f>
        <v>Non planifié</v>
      </c>
      <c r="I178" s="58" t="str">
        <f>IF(COUNTA(A178:E178)=0,"",IF(N(A178)&lt;=0,"Date manquante ou invalide",IF(B178="","Équipe manquante",IF(ISNA(MATCH(B178,eq_code,0)),"Équipe inconnue",IF(C178="","Poste manquant",IF(ISNA(MATCH(C178,po_code,0)),"Poste inconnu",IF(D178="","Cause manquante",IF(ISNA(MATCH(D178,ca_name,0)),"Cause inconnue",IF(H178="","Cause à compléter dans Paramètres",IF(OR(NOT(ISNUMBER(E178)),N(E178)&lt;=0,N(E178)&gt;1440),"Durée invalide",IF(COUNTIFS(sj_date,A178,sj_eq,B178,sj_po,C178)=0,"Pas de saisie journalière ce jour-là","OK")))))))))))</f>
        <v>OK</v>
      </c>
      <c r="J178">
        <f>IF(OR(I178="OK",I178="Pas de saisie journalière ce jour-là"),E178,0)</f>
        <v>22.0</v>
      </c>
      <c r="K178">
        <f>IF(AND(J178&gt;0,A178&gt;=p_from,A178&lt;=p_to),1,0)</f>
        <v>1.0</v>
      </c>
      <c r="L178">
        <f>IF(AND(K178=1,OR(pa_po="",C178=pa_po),OR(pa_eq="",B178=pa_eq)),1,0)</f>
        <v>1.0</v>
      </c>
    </row>
    <row r="179">
      <c r="A179" s="51" t="n">
        <v>46300</v>
      </c>
      <c r="B179" s="52" t="inlineStr">
        <is>
          <t>Matin</t>
        </is>
      </c>
      <c r="C179" s="52" t="inlineStr">
        <is>
          <t>TOUR1</t>
        </is>
      </c>
      <c r="D179" s="53" t="inlineStr">
        <is>
          <t>Changement de série</t>
        </is>
      </c>
      <c r="E179" s="60" t="n">
        <v>53</v>
      </c>
      <c r="F179" s="53" t="n"/>
      <c r="G179" s="61" t="str">
        <f>IF(OR(COUNTA(A179:E179)=0,D179=""),"",IFERROR(INDEX(ca_fam,MATCH(D179,ca_name,0))&amp;"",""))</f>
        <v>Réglage et changement de série</v>
      </c>
      <c r="H179" s="58" t="str">
        <f>IF(OR(COUNTA(A179:E179)=0,D179=""),"",IFERROR(INDEX(ca_type,MATCH(D179,ca_name,0))&amp;"",""))</f>
        <v>Non planifié</v>
      </c>
      <c r="I179" s="58" t="str">
        <f>IF(COUNTA(A179:E179)=0,"",IF(N(A179)&lt;=0,"Date manquante ou invalide",IF(B179="","Équipe manquante",IF(ISNA(MATCH(B179,eq_code,0)),"Équipe inconnue",IF(C179="","Poste manquant",IF(ISNA(MATCH(C179,po_code,0)),"Poste inconnu",IF(D179="","Cause manquante",IF(ISNA(MATCH(D179,ca_name,0)),"Cause inconnue",IF(H179="","Cause à compléter dans Paramètres",IF(OR(NOT(ISNUMBER(E179)),N(E179)&lt;=0,N(E179)&gt;1440),"Durée invalide",IF(COUNTIFS(sj_date,A179,sj_eq,B179,sj_po,C179)=0,"Pas de saisie journalière ce jour-là","OK")))))))))))</f>
        <v>OK</v>
      </c>
      <c r="J179">
        <f>IF(OR(I179="OK",I179="Pas de saisie journalière ce jour-là"),E179,0)</f>
        <v>53.0</v>
      </c>
      <c r="K179">
        <f>IF(AND(J179&gt;0,A179&gt;=p_from,A179&lt;=p_to),1,0)</f>
        <v>1.0</v>
      </c>
      <c r="L179">
        <f>IF(AND(K179=1,OR(pa_po="",C179=pa_po),OR(pa_eq="",B179=pa_eq)),1,0)</f>
        <v>1.0</v>
      </c>
    </row>
    <row r="180">
      <c r="A180" s="51" t="n">
        <v>46300</v>
      </c>
      <c r="B180" s="52" t="inlineStr">
        <is>
          <t>Après-midi</t>
        </is>
      </c>
      <c r="C180" s="52" t="inlineStr">
        <is>
          <t>TOUR1</t>
        </is>
      </c>
      <c r="D180" s="53" t="inlineStr">
        <is>
          <t>Changement de série</t>
        </is>
      </c>
      <c r="E180" s="60" t="n">
        <v>30</v>
      </c>
      <c r="F180" s="53" t="n"/>
      <c r="G180" s="61" t="str">
        <f>IF(OR(COUNTA(A180:E180)=0,D180=""),"",IFERROR(INDEX(ca_fam,MATCH(D180,ca_name,0))&amp;"",""))</f>
        <v>Réglage et changement de série</v>
      </c>
      <c r="H180" s="58" t="str">
        <f>IF(OR(COUNTA(A180:E180)=0,D180=""),"",IFERROR(INDEX(ca_type,MATCH(D180,ca_name,0))&amp;"",""))</f>
        <v>Non planifié</v>
      </c>
      <c r="I180" s="58" t="str">
        <f>IF(COUNTA(A180:E180)=0,"",IF(N(A180)&lt;=0,"Date manquante ou invalide",IF(B180="","Équipe manquante",IF(ISNA(MATCH(B180,eq_code,0)),"Équipe inconnue",IF(C180="","Poste manquant",IF(ISNA(MATCH(C180,po_code,0)),"Poste inconnu",IF(D180="","Cause manquante",IF(ISNA(MATCH(D180,ca_name,0)),"Cause inconnue",IF(H180="","Cause à compléter dans Paramètres",IF(OR(NOT(ISNUMBER(E180)),N(E180)&lt;=0,N(E180)&gt;1440),"Durée invalide",IF(COUNTIFS(sj_date,A180,sj_eq,B180,sj_po,C180)=0,"Pas de saisie journalière ce jour-là","OK")))))))))))</f>
        <v>OK</v>
      </c>
      <c r="J180">
        <f>IF(OR(I180="OK",I180="Pas de saisie journalière ce jour-là"),E180,0)</f>
        <v>30.0</v>
      </c>
      <c r="K180">
        <f>IF(AND(J180&gt;0,A180&gt;=p_from,A180&lt;=p_to),1,0)</f>
        <v>1.0</v>
      </c>
      <c r="L180">
        <f>IF(AND(K180=1,OR(pa_po="",C180=pa_po),OR(pa_eq="",B180=pa_eq)),1,0)</f>
        <v>1.0</v>
      </c>
    </row>
    <row r="181">
      <c r="A181" s="51" t="n">
        <v>46300</v>
      </c>
      <c r="B181" s="52" t="inlineStr">
        <is>
          <t>Après-midi</t>
        </is>
      </c>
      <c r="C181" s="52" t="inlineStr">
        <is>
          <t>TOUR1</t>
        </is>
      </c>
      <c r="D181" s="53" t="inlineStr">
        <is>
          <t>Changement de série</t>
        </is>
      </c>
      <c r="E181" s="60" t="n">
        <v>67</v>
      </c>
      <c r="F181" s="53" t="n"/>
      <c r="G181" s="61" t="str">
        <f>IF(OR(COUNTA(A181:E181)=0,D181=""),"",IFERROR(INDEX(ca_fam,MATCH(D181,ca_name,0))&amp;"",""))</f>
        <v>Réglage et changement de série</v>
      </c>
      <c r="H181" s="58" t="str">
        <f>IF(OR(COUNTA(A181:E181)=0,D181=""),"",IFERROR(INDEX(ca_type,MATCH(D181,ca_name,0))&amp;"",""))</f>
        <v>Non planifié</v>
      </c>
      <c r="I181" s="58" t="str">
        <f>IF(COUNTA(A181:E181)=0,"",IF(N(A181)&lt;=0,"Date manquante ou invalide",IF(B181="","Équipe manquante",IF(ISNA(MATCH(B181,eq_code,0)),"Équipe inconnue",IF(C181="","Poste manquant",IF(ISNA(MATCH(C181,po_code,0)),"Poste inconnu",IF(D181="","Cause manquante",IF(ISNA(MATCH(D181,ca_name,0)),"Cause inconnue",IF(H181="","Cause à compléter dans Paramètres",IF(OR(NOT(ISNUMBER(E181)),N(E181)&lt;=0,N(E181)&gt;1440),"Durée invalide",IF(COUNTIFS(sj_date,A181,sj_eq,B181,sj_po,C181)=0,"Pas de saisie journalière ce jour-là","OK")))))))))))</f>
        <v>OK</v>
      </c>
      <c r="J181">
        <f>IF(OR(I181="OK",I181="Pas de saisie journalière ce jour-là"),E181,0)</f>
        <v>67.0</v>
      </c>
      <c r="K181">
        <f>IF(AND(J181&gt;0,A181&gt;=p_from,A181&lt;=p_to),1,0)</f>
        <v>1.0</v>
      </c>
      <c r="L181">
        <f>IF(AND(K181=1,OR(pa_po="",C181=pa_po),OR(pa_eq="",B181=pa_eq)),1,0)</f>
        <v>1.0</v>
      </c>
    </row>
    <row r="182">
      <c r="A182" s="51" t="n">
        <v>46300</v>
      </c>
      <c r="B182" s="52" t="inlineStr">
        <is>
          <t>Matin</t>
        </is>
      </c>
      <c r="C182" s="52" t="inlineStr">
        <is>
          <t>TOUR2</t>
        </is>
      </c>
      <c r="D182" s="53" t="inlineStr">
        <is>
          <t>Arrêt pour non-conformité</t>
        </is>
      </c>
      <c r="E182" s="60" t="n">
        <v>25</v>
      </c>
      <c r="F182" s="53" t="n"/>
      <c r="G182" s="61" t="str">
        <f>IF(OR(COUNTA(A182:E182)=0,D182=""),"",IFERROR(INDEX(ca_fam,MATCH(D182,ca_name,0))&amp;"",""))</f>
        <v>Qualité</v>
      </c>
      <c r="H182" s="58" t="str">
        <f>IF(OR(COUNTA(A182:E182)=0,D182=""),"",IFERROR(INDEX(ca_type,MATCH(D182,ca_name,0))&amp;"",""))</f>
        <v>Non planifié</v>
      </c>
      <c r="I182" s="58" t="str">
        <f>IF(COUNTA(A182:E182)=0,"",IF(N(A182)&lt;=0,"Date manquante ou invalide",IF(B182="","Équipe manquante",IF(ISNA(MATCH(B182,eq_code,0)),"Équipe inconnue",IF(C182="","Poste manquant",IF(ISNA(MATCH(C182,po_code,0)),"Poste inconnu",IF(D182="","Cause manquante",IF(ISNA(MATCH(D182,ca_name,0)),"Cause inconnue",IF(H182="","Cause à compléter dans Paramètres",IF(OR(NOT(ISNUMBER(E182)),N(E182)&lt;=0,N(E182)&gt;1440),"Durée invalide",IF(COUNTIFS(sj_date,A182,sj_eq,B182,sj_po,C182)=0,"Pas de saisie journalière ce jour-là","OK")))))))))))</f>
        <v>OK</v>
      </c>
      <c r="J182">
        <f>IF(OR(I182="OK",I182="Pas de saisie journalière ce jour-là"),E182,0)</f>
        <v>25.0</v>
      </c>
      <c r="K182">
        <f>IF(AND(J182&gt;0,A182&gt;=p_from,A182&lt;=p_to),1,0)</f>
        <v>1.0</v>
      </c>
      <c r="L182">
        <f>IF(AND(K182=1,OR(pa_po="",C182=pa_po),OR(pa_eq="",B182=pa_eq)),1,0)</f>
        <v>1.0</v>
      </c>
    </row>
    <row r="183">
      <c r="A183" s="51" t="n">
        <v>46300</v>
      </c>
      <c r="B183" s="52" t="inlineStr">
        <is>
          <t>Après-midi</t>
        </is>
      </c>
      <c r="C183" s="52" t="inlineStr">
        <is>
          <t>TOUR2</t>
        </is>
      </c>
      <c r="D183" s="53" t="inlineStr">
        <is>
          <t>Casse outil</t>
        </is>
      </c>
      <c r="E183" s="60" t="n">
        <v>28</v>
      </c>
      <c r="F183" s="53" t="n"/>
      <c r="G183" s="61" t="str">
        <f>IF(OR(COUNTA(A183:E183)=0,D183=""),"",IFERROR(INDEX(ca_fam,MATCH(D183,ca_name,0))&amp;"",""))</f>
        <v>Panne</v>
      </c>
      <c r="H183" s="58" t="str">
        <f>IF(OR(COUNTA(A183:E183)=0,D183=""),"",IFERROR(INDEX(ca_type,MATCH(D183,ca_name,0))&amp;"",""))</f>
        <v>Non planifié</v>
      </c>
      <c r="I183" s="58" t="str">
        <f>IF(COUNTA(A183:E183)=0,"",IF(N(A183)&lt;=0,"Date manquante ou invalide",IF(B183="","Équipe manquante",IF(ISNA(MATCH(B183,eq_code,0)),"Équipe inconnue",IF(C183="","Poste manquant",IF(ISNA(MATCH(C183,po_code,0)),"Poste inconnu",IF(D183="","Cause manquante",IF(ISNA(MATCH(D183,ca_name,0)),"Cause inconnue",IF(H183="","Cause à compléter dans Paramètres",IF(OR(NOT(ISNUMBER(E183)),N(E183)&lt;=0,N(E183)&gt;1440),"Durée invalide",IF(COUNTIFS(sj_date,A183,sj_eq,B183,sj_po,C183)=0,"Pas de saisie journalière ce jour-là","OK")))))))))))</f>
        <v>OK</v>
      </c>
      <c r="J183">
        <f>IF(OR(I183="OK",I183="Pas de saisie journalière ce jour-là"),E183,0)</f>
        <v>28.0</v>
      </c>
      <c r="K183">
        <f>IF(AND(J183&gt;0,A183&gt;=p_from,A183&lt;=p_to),1,0)</f>
        <v>1.0</v>
      </c>
      <c r="L183">
        <f>IF(AND(K183=1,OR(pa_po="",C183=pa_po),OR(pa_eq="",B183=pa_eq)),1,0)</f>
        <v>1.0</v>
      </c>
    </row>
    <row r="184">
      <c r="A184" s="51" t="n">
        <v>46300</v>
      </c>
      <c r="B184" s="52" t="inlineStr">
        <is>
          <t>Après-midi</t>
        </is>
      </c>
      <c r="C184" s="52" t="inlineStr">
        <is>
          <t>TOUR2</t>
        </is>
      </c>
      <c r="D184" s="53" t="inlineStr">
        <is>
          <t>Changement de série</t>
        </is>
      </c>
      <c r="E184" s="60" t="n">
        <v>45</v>
      </c>
      <c r="F184" s="53" t="n"/>
      <c r="G184" s="61" t="str">
        <f>IF(OR(COUNTA(A184:E184)=0,D184=""),"",IFERROR(INDEX(ca_fam,MATCH(D184,ca_name,0))&amp;"",""))</f>
        <v>Réglage et changement de série</v>
      </c>
      <c r="H184" s="58" t="str">
        <f>IF(OR(COUNTA(A184:E184)=0,D184=""),"",IFERROR(INDEX(ca_type,MATCH(D184,ca_name,0))&amp;"",""))</f>
        <v>Non planifié</v>
      </c>
      <c r="I184" s="58" t="str">
        <f>IF(COUNTA(A184:E184)=0,"",IF(N(A184)&lt;=0,"Date manquante ou invalide",IF(B184="","Équipe manquante",IF(ISNA(MATCH(B184,eq_code,0)),"Équipe inconnue",IF(C184="","Poste manquant",IF(ISNA(MATCH(C184,po_code,0)),"Poste inconnu",IF(D184="","Cause manquante",IF(ISNA(MATCH(D184,ca_name,0)),"Cause inconnue",IF(H184="","Cause à compléter dans Paramètres",IF(OR(NOT(ISNUMBER(E184)),N(E184)&lt;=0,N(E184)&gt;1440),"Durée invalide",IF(COUNTIFS(sj_date,A184,sj_eq,B184,sj_po,C184)=0,"Pas de saisie journalière ce jour-là","OK")))))))))))</f>
        <v>OK</v>
      </c>
      <c r="J184">
        <f>IF(OR(I184="OK",I184="Pas de saisie journalière ce jour-là"),E184,0)</f>
        <v>45.0</v>
      </c>
      <c r="K184">
        <f>IF(AND(J184&gt;0,A184&gt;=p_from,A184&lt;=p_to),1,0)</f>
        <v>1.0</v>
      </c>
      <c r="L184">
        <f>IF(AND(K184=1,OR(pa_po="",C184=pa_po),OR(pa_eq="",B184=pa_eq)),1,0)</f>
        <v>1.0</v>
      </c>
    </row>
    <row r="185">
      <c r="A185" s="51" t="n">
        <v>46300</v>
      </c>
      <c r="B185" s="52" t="inlineStr">
        <is>
          <t>Après-midi</t>
        </is>
      </c>
      <c r="C185" s="52" t="inlineStr">
        <is>
          <t>TOUR2</t>
        </is>
      </c>
      <c r="D185" s="53" t="inlineStr">
        <is>
          <t>Attente matière</t>
        </is>
      </c>
      <c r="E185" s="60" t="n">
        <v>52</v>
      </c>
      <c r="F185" s="53" t="n"/>
      <c r="G185" s="61" t="str">
        <f>IF(OR(COUNTA(A185:E185)=0,D185=""),"",IFERROR(INDEX(ca_fam,MATCH(D185,ca_name,0))&amp;"",""))</f>
        <v>Manque matière</v>
      </c>
      <c r="H185" s="58" t="str">
        <f>IF(OR(COUNTA(A185:E185)=0,D185=""),"",IFERROR(INDEX(ca_type,MATCH(D185,ca_name,0))&amp;"",""))</f>
        <v>Non planifié</v>
      </c>
      <c r="I185" s="58" t="str">
        <f>IF(COUNTA(A185:E185)=0,"",IF(N(A185)&lt;=0,"Date manquante ou invalide",IF(B185="","Équipe manquante",IF(ISNA(MATCH(B185,eq_code,0)),"Équipe inconnue",IF(C185="","Poste manquant",IF(ISNA(MATCH(C185,po_code,0)),"Poste inconnu",IF(D185="","Cause manquante",IF(ISNA(MATCH(D185,ca_name,0)),"Cause inconnue",IF(H185="","Cause à compléter dans Paramètres",IF(OR(NOT(ISNUMBER(E185)),N(E185)&lt;=0,N(E185)&gt;1440),"Durée invalide",IF(COUNTIFS(sj_date,A185,sj_eq,B185,sj_po,C185)=0,"Pas de saisie journalière ce jour-là","OK")))))))))))</f>
        <v>OK</v>
      </c>
      <c r="J185">
        <f>IF(OR(I185="OK",I185="Pas de saisie journalière ce jour-là"),E185,0)</f>
        <v>52.0</v>
      </c>
      <c r="K185">
        <f>IF(AND(J185&gt;0,A185&gt;=p_from,A185&lt;=p_to),1,0)</f>
        <v>1.0</v>
      </c>
      <c r="L185">
        <f>IF(AND(K185=1,OR(pa_po="",C185=pa_po),OR(pa_eq="",B185=pa_eq)),1,0)</f>
        <v>1.0</v>
      </c>
    </row>
    <row r="186">
      <c r="A186" s="51" t="n">
        <v>46300</v>
      </c>
      <c r="B186" s="52" t="inlineStr">
        <is>
          <t>Matin</t>
        </is>
      </c>
      <c r="C186" s="52" t="inlineStr">
        <is>
          <t>USIN</t>
        </is>
      </c>
      <c r="D186" s="53" t="inlineStr">
        <is>
          <t>Maintenance préventive</t>
        </is>
      </c>
      <c r="E186" s="60" t="n">
        <v>60</v>
      </c>
      <c r="F186" s="53" t="n"/>
      <c r="G186" s="61" t="str">
        <f>IF(OR(COUNTA(A186:E186)=0,D186=""),"",IFERROR(INDEX(ca_fam,MATCH(D186,ca_name,0))&amp;"",""))</f>
        <v>Arrêt planifié</v>
      </c>
      <c r="H186" s="58" t="str">
        <f>IF(OR(COUNTA(A186:E186)=0,D186=""),"",IFERROR(INDEX(ca_type,MATCH(D186,ca_name,0))&amp;"",""))</f>
        <v>Planifié</v>
      </c>
      <c r="I186" s="58" t="str">
        <f>IF(COUNTA(A186:E186)=0,"",IF(N(A186)&lt;=0,"Date manquante ou invalide",IF(B186="","Équipe manquante",IF(ISNA(MATCH(B186,eq_code,0)),"Équipe inconnue",IF(C186="","Poste manquant",IF(ISNA(MATCH(C186,po_code,0)),"Poste inconnu",IF(D186="","Cause manquante",IF(ISNA(MATCH(D186,ca_name,0)),"Cause inconnue",IF(H186="","Cause à compléter dans Paramètres",IF(OR(NOT(ISNUMBER(E186)),N(E186)&lt;=0,N(E186)&gt;1440),"Durée invalide",IF(COUNTIFS(sj_date,A186,sj_eq,B186,sj_po,C186)=0,"Pas de saisie journalière ce jour-là","OK")))))))))))</f>
        <v>OK</v>
      </c>
      <c r="J186">
        <f>IF(OR(I186="OK",I186="Pas de saisie journalière ce jour-là"),E186,0)</f>
        <v>60.0</v>
      </c>
      <c r="K186">
        <f>IF(AND(J186&gt;0,A186&gt;=p_from,A186&lt;=p_to),1,0)</f>
        <v>1.0</v>
      </c>
      <c r="L186">
        <f>IF(AND(K186=1,OR(pa_po="",C186=pa_po),OR(pa_eq="",B186=pa_eq)),1,0)</f>
        <v>1.0</v>
      </c>
    </row>
    <row r="187">
      <c r="A187" s="51" t="n">
        <v>46300</v>
      </c>
      <c r="B187" s="52" t="inlineStr">
        <is>
          <t>Après-midi</t>
        </is>
      </c>
      <c r="C187" s="52" t="inlineStr">
        <is>
          <t>USIN</t>
        </is>
      </c>
      <c r="D187" s="53" t="inlineStr">
        <is>
          <t>Attente chariot élévateur</t>
        </is>
      </c>
      <c r="E187" s="60" t="n">
        <v>16</v>
      </c>
      <c r="F187" s="53" t="n"/>
      <c r="G187" s="61" t="str">
        <f>IF(OR(COUNTA(A187:E187)=0,D187=""),"",IFERROR(INDEX(ca_fam,MATCH(D187,ca_name,0))&amp;"",""))</f>
        <v>Organisation</v>
      </c>
      <c r="H187" s="58" t="str">
        <f>IF(OR(COUNTA(A187:E187)=0,D187=""),"",IFERROR(INDEX(ca_type,MATCH(D187,ca_name,0))&amp;"",""))</f>
        <v>Non planifié</v>
      </c>
      <c r="I187" s="58" t="str">
        <f>IF(COUNTA(A187:E187)=0,"",IF(N(A187)&lt;=0,"Date manquante ou invalide",IF(B187="","Équipe manquante",IF(ISNA(MATCH(B187,eq_code,0)),"Équipe inconnue",IF(C187="","Poste manquant",IF(ISNA(MATCH(C187,po_code,0)),"Poste inconnu",IF(D187="","Cause manquante",IF(ISNA(MATCH(D187,ca_name,0)),"Cause inconnue",IF(H187="","Cause à compléter dans Paramètres",IF(OR(NOT(ISNUMBER(E187)),N(E187)&lt;=0,N(E187)&gt;1440),"Durée invalide",IF(COUNTIFS(sj_date,A187,sj_eq,B187,sj_po,C187)=0,"Pas de saisie journalière ce jour-là","OK")))))))))))</f>
        <v>OK</v>
      </c>
      <c r="J187">
        <f>IF(OR(I187="OK",I187="Pas de saisie journalière ce jour-là"),E187,0)</f>
        <v>16.0</v>
      </c>
      <c r="K187">
        <f>IF(AND(J187&gt;0,A187&gt;=p_from,A187&lt;=p_to),1,0)</f>
        <v>1.0</v>
      </c>
      <c r="L187">
        <f>IF(AND(K187=1,OR(pa_po="",C187=pa_po),OR(pa_eq="",B187=pa_eq)),1,0)</f>
        <v>1.0</v>
      </c>
    </row>
    <row r="188">
      <c r="A188" s="51" t="n">
        <v>46300</v>
      </c>
      <c r="B188" s="52" t="inlineStr">
        <is>
          <t>Après-midi</t>
        </is>
      </c>
      <c r="C188" s="52" t="inlineStr">
        <is>
          <t>USIN</t>
        </is>
      </c>
      <c r="D188" s="53" t="inlineStr">
        <is>
          <t>Panne électrique</t>
        </is>
      </c>
      <c r="E188" s="60" t="n">
        <v>48</v>
      </c>
      <c r="F188" s="53" t="n"/>
      <c r="G188" s="61" t="str">
        <f>IF(OR(COUNTA(A188:E188)=0,D188=""),"",IFERROR(INDEX(ca_fam,MATCH(D188,ca_name,0))&amp;"",""))</f>
        <v>Panne</v>
      </c>
      <c r="H188" s="58" t="str">
        <f>IF(OR(COUNTA(A188:E188)=0,D188=""),"",IFERROR(INDEX(ca_type,MATCH(D188,ca_name,0))&amp;"",""))</f>
        <v>Non planifié</v>
      </c>
      <c r="I188" s="58" t="str">
        <f>IF(COUNTA(A188:E188)=0,"",IF(N(A188)&lt;=0,"Date manquante ou invalide",IF(B188="","Équipe manquante",IF(ISNA(MATCH(B188,eq_code,0)),"Équipe inconnue",IF(C188="","Poste manquant",IF(ISNA(MATCH(C188,po_code,0)),"Poste inconnu",IF(D188="","Cause manquante",IF(ISNA(MATCH(D188,ca_name,0)),"Cause inconnue",IF(H188="","Cause à compléter dans Paramètres",IF(OR(NOT(ISNUMBER(E188)),N(E188)&lt;=0,N(E188)&gt;1440),"Durée invalide",IF(COUNTIFS(sj_date,A188,sj_eq,B188,sj_po,C188)=0,"Pas de saisie journalière ce jour-là","OK")))))))))))</f>
        <v>OK</v>
      </c>
      <c r="J188">
        <f>IF(OR(I188="OK",I188="Pas de saisie journalière ce jour-là"),E188,0)</f>
        <v>48.0</v>
      </c>
      <c r="K188">
        <f>IF(AND(J188&gt;0,A188&gt;=p_from,A188&lt;=p_to),1,0)</f>
        <v>1.0</v>
      </c>
      <c r="L188">
        <f>IF(AND(K188=1,OR(pa_po="",C188=pa_po),OR(pa_eq="",B188=pa_eq)),1,0)</f>
        <v>1.0</v>
      </c>
    </row>
    <row r="189">
      <c r="A189" s="51" t="n">
        <v>46300</v>
      </c>
      <c r="B189" s="52" t="inlineStr">
        <is>
          <t>Après-midi</t>
        </is>
      </c>
      <c r="C189" s="52" t="inlineStr">
        <is>
          <t>USIN</t>
        </is>
      </c>
      <c r="D189" s="53" t="inlineStr">
        <is>
          <t>Changement d'outil</t>
        </is>
      </c>
      <c r="E189" s="60" t="n">
        <v>20</v>
      </c>
      <c r="F189" s="53" t="n"/>
      <c r="G189" s="61" t="str">
        <f>IF(OR(COUNTA(A189:E189)=0,D189=""),"",IFERROR(INDEX(ca_fam,MATCH(D189,ca_name,0))&amp;"",""))</f>
        <v>Réglage et changement de série</v>
      </c>
      <c r="H189" s="58" t="str">
        <f>IF(OR(COUNTA(A189:E189)=0,D189=""),"",IFERROR(INDEX(ca_type,MATCH(D189,ca_name,0))&amp;"",""))</f>
        <v>Non planifié</v>
      </c>
      <c r="I189" s="58" t="str">
        <f>IF(COUNTA(A189:E189)=0,"",IF(N(A189)&lt;=0,"Date manquante ou invalide",IF(B189="","Équipe manquante",IF(ISNA(MATCH(B189,eq_code,0)),"Équipe inconnue",IF(C189="","Poste manquant",IF(ISNA(MATCH(C189,po_code,0)),"Poste inconnu",IF(D189="","Cause manquante",IF(ISNA(MATCH(D189,ca_name,0)),"Cause inconnue",IF(H189="","Cause à compléter dans Paramètres",IF(OR(NOT(ISNUMBER(E189)),N(E189)&lt;=0,N(E189)&gt;1440),"Durée invalide",IF(COUNTIFS(sj_date,A189,sj_eq,B189,sj_po,C189)=0,"Pas de saisie journalière ce jour-là","OK")))))))))))</f>
        <v>OK</v>
      </c>
      <c r="J189">
        <f>IF(OR(I189="OK",I189="Pas de saisie journalière ce jour-là"),E189,0)</f>
        <v>20.0</v>
      </c>
      <c r="K189">
        <f>IF(AND(J189&gt;0,A189&gt;=p_from,A189&lt;=p_to),1,0)</f>
        <v>1.0</v>
      </c>
      <c r="L189">
        <f>IF(AND(K189=1,OR(pa_po="",C189=pa_po),OR(pa_eq="",B189=pa_eq)),1,0)</f>
        <v>1.0</v>
      </c>
    </row>
    <row r="190">
      <c r="A190" s="51" t="n">
        <v>46300</v>
      </c>
      <c r="B190" s="52" t="inlineStr">
        <is>
          <t>Matin</t>
        </is>
      </c>
      <c r="C190" s="52" t="inlineStr">
        <is>
          <t>PRESSE</t>
        </is>
      </c>
      <c r="D190" s="53" t="inlineStr">
        <is>
          <t>Maintenance préventive</t>
        </is>
      </c>
      <c r="E190" s="60" t="n">
        <v>60</v>
      </c>
      <c r="F190" s="53" t="n"/>
      <c r="G190" s="61" t="str">
        <f>IF(OR(COUNTA(A190:E190)=0,D190=""),"",IFERROR(INDEX(ca_fam,MATCH(D190,ca_name,0))&amp;"",""))</f>
        <v>Arrêt planifié</v>
      </c>
      <c r="H190" s="58" t="str">
        <f>IF(OR(COUNTA(A190:E190)=0,D190=""),"",IFERROR(INDEX(ca_type,MATCH(D190,ca_name,0))&amp;"",""))</f>
        <v>Planifié</v>
      </c>
      <c r="I190" s="58" t="str">
        <f>IF(COUNTA(A190:E190)=0,"",IF(N(A190)&lt;=0,"Date manquante ou invalide",IF(B190="","Équipe manquante",IF(ISNA(MATCH(B190,eq_code,0)),"Équipe inconnue",IF(C190="","Poste manquant",IF(ISNA(MATCH(C190,po_code,0)),"Poste inconnu",IF(D190="","Cause manquante",IF(ISNA(MATCH(D190,ca_name,0)),"Cause inconnue",IF(H190="","Cause à compléter dans Paramètres",IF(OR(NOT(ISNUMBER(E190)),N(E190)&lt;=0,N(E190)&gt;1440),"Durée invalide",IF(COUNTIFS(sj_date,A190,sj_eq,B190,sj_po,C190)=0,"Pas de saisie journalière ce jour-là","OK")))))))))))</f>
        <v>OK</v>
      </c>
      <c r="J190">
        <f>IF(OR(I190="OK",I190="Pas de saisie journalière ce jour-là"),E190,0)</f>
        <v>60.0</v>
      </c>
      <c r="K190">
        <f>IF(AND(J190&gt;0,A190&gt;=p_from,A190&lt;=p_to),1,0)</f>
        <v>1.0</v>
      </c>
      <c r="L190">
        <f>IF(AND(K190=1,OR(pa_po="",C190=pa_po),OR(pa_eq="",B190=pa_eq)),1,0)</f>
        <v>1.0</v>
      </c>
    </row>
    <row r="191">
      <c r="A191" s="51" t="n">
        <v>46300</v>
      </c>
      <c r="B191" s="52" t="inlineStr">
        <is>
          <t>Matin</t>
        </is>
      </c>
      <c r="C191" s="52" t="inlineStr">
        <is>
          <t>SOUD</t>
        </is>
      </c>
      <c r="D191" s="53" t="inlineStr">
        <is>
          <t>Changement de série</t>
        </is>
      </c>
      <c r="E191" s="60" t="n">
        <v>62</v>
      </c>
      <c r="F191" s="53" t="n"/>
      <c r="G191" s="61" t="str">
        <f>IF(OR(COUNTA(A191:E191)=0,D191=""),"",IFERROR(INDEX(ca_fam,MATCH(D191,ca_name,0))&amp;"",""))</f>
        <v>Réglage et changement de série</v>
      </c>
      <c r="H191" s="58" t="str">
        <f>IF(OR(COUNTA(A191:E191)=0,D191=""),"",IFERROR(INDEX(ca_type,MATCH(D191,ca_name,0))&amp;"",""))</f>
        <v>Non planifié</v>
      </c>
      <c r="I191" s="58" t="str">
        <f>IF(COUNTA(A191:E191)=0,"",IF(N(A191)&lt;=0,"Date manquante ou invalide",IF(B191="","Équipe manquante",IF(ISNA(MATCH(B191,eq_code,0)),"Équipe inconnue",IF(C191="","Poste manquant",IF(ISNA(MATCH(C191,po_code,0)),"Poste inconnu",IF(D191="","Cause manquante",IF(ISNA(MATCH(D191,ca_name,0)),"Cause inconnue",IF(H191="","Cause à compléter dans Paramètres",IF(OR(NOT(ISNUMBER(E191)),N(E191)&lt;=0,N(E191)&gt;1440),"Durée invalide",IF(COUNTIFS(sj_date,A191,sj_eq,B191,sj_po,C191)=0,"Pas de saisie journalière ce jour-là","OK")))))))))))</f>
        <v>OK</v>
      </c>
      <c r="J191">
        <f>IF(OR(I191="OK",I191="Pas de saisie journalière ce jour-là"),E191,0)</f>
        <v>62.0</v>
      </c>
      <c r="K191">
        <f>IF(AND(J191&gt;0,A191&gt;=p_from,A191&lt;=p_to),1,0)</f>
        <v>1.0</v>
      </c>
      <c r="L191">
        <f>IF(AND(K191=1,OR(pa_po="",C191=pa_po),OR(pa_eq="",B191=pa_eq)),1,0)</f>
        <v>1.0</v>
      </c>
    </row>
    <row r="192">
      <c r="A192" s="51" t="n">
        <v>46300</v>
      </c>
      <c r="B192" s="52" t="inlineStr">
        <is>
          <t>Matin</t>
        </is>
      </c>
      <c r="C192" s="52" t="inlineStr">
        <is>
          <t>SOUD</t>
        </is>
      </c>
      <c r="D192" s="53" t="inlineStr">
        <is>
          <t>Attente programme ou consignes</t>
        </is>
      </c>
      <c r="E192" s="60" t="n">
        <v>19</v>
      </c>
      <c r="F192" s="53" t="n"/>
      <c r="G192" s="61" t="str">
        <f>IF(OR(COUNTA(A192:E192)=0,D192=""),"",IFERROR(INDEX(ca_fam,MATCH(D192,ca_name,0))&amp;"",""))</f>
        <v>Organisation</v>
      </c>
      <c r="H192" s="58" t="str">
        <f>IF(OR(COUNTA(A192:E192)=0,D192=""),"",IFERROR(INDEX(ca_type,MATCH(D192,ca_name,0))&amp;"",""))</f>
        <v>Non planifié</v>
      </c>
      <c r="I192" s="58" t="str">
        <f>IF(COUNTA(A192:E192)=0,"",IF(N(A192)&lt;=0,"Date manquante ou invalide",IF(B192="","Équipe manquante",IF(ISNA(MATCH(B192,eq_code,0)),"Équipe inconnue",IF(C192="","Poste manquant",IF(ISNA(MATCH(C192,po_code,0)),"Poste inconnu",IF(D192="","Cause manquante",IF(ISNA(MATCH(D192,ca_name,0)),"Cause inconnue",IF(H192="","Cause à compléter dans Paramètres",IF(OR(NOT(ISNUMBER(E192)),N(E192)&lt;=0,N(E192)&gt;1440),"Durée invalide",IF(COUNTIFS(sj_date,A192,sj_eq,B192,sj_po,C192)=0,"Pas de saisie journalière ce jour-là","OK")))))))))))</f>
        <v>OK</v>
      </c>
      <c r="J192">
        <f>IF(OR(I192="OK",I192="Pas de saisie journalière ce jour-là"),E192,0)</f>
        <v>19.0</v>
      </c>
      <c r="K192">
        <f>IF(AND(J192&gt;0,A192&gt;=p_from,A192&lt;=p_to),1,0)</f>
        <v>1.0</v>
      </c>
      <c r="L192">
        <f>IF(AND(K192=1,OR(pa_po="",C192=pa_po),OR(pa_eq="",B192=pa_eq)),1,0)</f>
        <v>1.0</v>
      </c>
    </row>
    <row r="193">
      <c r="A193" s="51" t="n">
        <v>46300</v>
      </c>
      <c r="B193" s="52" t="inlineStr">
        <is>
          <t>Après-midi</t>
        </is>
      </c>
      <c r="C193" s="52" t="inlineStr">
        <is>
          <t>SOUD</t>
        </is>
      </c>
      <c r="D193" s="53" t="inlineStr">
        <is>
          <t>Changement de série</t>
        </is>
      </c>
      <c r="E193" s="60" t="n">
        <v>45</v>
      </c>
      <c r="F193" s="53" t="n"/>
      <c r="G193" s="61" t="str">
        <f>IF(OR(COUNTA(A193:E193)=0,D193=""),"",IFERROR(INDEX(ca_fam,MATCH(D193,ca_name,0))&amp;"",""))</f>
        <v>Réglage et changement de série</v>
      </c>
      <c r="H193" s="58" t="str">
        <f>IF(OR(COUNTA(A193:E193)=0,D193=""),"",IFERROR(INDEX(ca_type,MATCH(D193,ca_name,0))&amp;"",""))</f>
        <v>Non planifié</v>
      </c>
      <c r="I193" s="58" t="str">
        <f>IF(COUNTA(A193:E193)=0,"",IF(N(A193)&lt;=0,"Date manquante ou invalide",IF(B193="","Équipe manquante",IF(ISNA(MATCH(B193,eq_code,0)),"Équipe inconnue",IF(C193="","Poste manquant",IF(ISNA(MATCH(C193,po_code,0)),"Poste inconnu",IF(D193="","Cause manquante",IF(ISNA(MATCH(D193,ca_name,0)),"Cause inconnue",IF(H193="","Cause à compléter dans Paramètres",IF(OR(NOT(ISNUMBER(E193)),N(E193)&lt;=0,N(E193)&gt;1440),"Durée invalide",IF(COUNTIFS(sj_date,A193,sj_eq,B193,sj_po,C193)=0,"Pas de saisie journalière ce jour-là","OK")))))))))))</f>
        <v>OK</v>
      </c>
      <c r="J193">
        <f>IF(OR(I193="OK",I193="Pas de saisie journalière ce jour-là"),E193,0)</f>
        <v>45.0</v>
      </c>
      <c r="K193">
        <f>IF(AND(J193&gt;0,A193&gt;=p_from,A193&lt;=p_to),1,0)</f>
        <v>1.0</v>
      </c>
      <c r="L193">
        <f>IF(AND(K193=1,OR(pa_po="",C193=pa_po),OR(pa_eq="",B193=pa_eq)),1,0)</f>
        <v>1.0</v>
      </c>
    </row>
    <row r="194">
      <c r="A194" s="51" t="n">
        <v>46300</v>
      </c>
      <c r="B194" s="52" t="inlineStr">
        <is>
          <t>Après-midi</t>
        </is>
      </c>
      <c r="C194" s="52" t="inlineStr">
        <is>
          <t>SOUD</t>
        </is>
      </c>
      <c r="D194" s="53" t="inlineStr">
        <is>
          <t>Changement de série</t>
        </is>
      </c>
      <c r="E194" s="60" t="n">
        <v>67</v>
      </c>
      <c r="F194" s="53" t="n"/>
      <c r="G194" s="61" t="str">
        <f>IF(OR(COUNTA(A194:E194)=0,D194=""),"",IFERROR(INDEX(ca_fam,MATCH(D194,ca_name,0))&amp;"",""))</f>
        <v>Réglage et changement de série</v>
      </c>
      <c r="H194" s="58" t="str">
        <f>IF(OR(COUNTA(A194:E194)=0,D194=""),"",IFERROR(INDEX(ca_type,MATCH(D194,ca_name,0))&amp;"",""))</f>
        <v>Non planifié</v>
      </c>
      <c r="I194" s="58" t="str">
        <f>IF(COUNTA(A194:E194)=0,"",IF(N(A194)&lt;=0,"Date manquante ou invalide",IF(B194="","Équipe manquante",IF(ISNA(MATCH(B194,eq_code,0)),"Équipe inconnue",IF(C194="","Poste manquant",IF(ISNA(MATCH(C194,po_code,0)),"Poste inconnu",IF(D194="","Cause manquante",IF(ISNA(MATCH(D194,ca_name,0)),"Cause inconnue",IF(H194="","Cause à compléter dans Paramètres",IF(OR(NOT(ISNUMBER(E194)),N(E194)&lt;=0,N(E194)&gt;1440),"Durée invalide",IF(COUNTIFS(sj_date,A194,sj_eq,B194,sj_po,C194)=0,"Pas de saisie journalière ce jour-là","OK")))))))))))</f>
        <v>OK</v>
      </c>
      <c r="J194">
        <f>IF(OR(I194="OK",I194="Pas de saisie journalière ce jour-là"),E194,0)</f>
        <v>67.0</v>
      </c>
      <c r="K194">
        <f>IF(AND(J194&gt;0,A194&gt;=p_from,A194&lt;=p_to),1,0)</f>
        <v>1.0</v>
      </c>
      <c r="L194">
        <f>IF(AND(K194=1,OR(pa_po="",C194=pa_po),OR(pa_eq="",B194=pa_eq)),1,0)</f>
        <v>1.0</v>
      </c>
    </row>
    <row r="195">
      <c r="A195" s="51" t="n">
        <v>46300</v>
      </c>
      <c r="B195" s="52" t="inlineStr">
        <is>
          <t>Après-midi</t>
        </is>
      </c>
      <c r="C195" s="52" t="inlineStr">
        <is>
          <t>SOUD</t>
        </is>
      </c>
      <c r="D195" s="53" t="inlineStr">
        <is>
          <t>Réglage en cours de production</t>
        </is>
      </c>
      <c r="E195" s="60" t="n">
        <v>14</v>
      </c>
      <c r="F195" s="53" t="n"/>
      <c r="G195" s="61" t="str">
        <f>IF(OR(COUNTA(A195:E195)=0,D195=""),"",IFERROR(INDEX(ca_fam,MATCH(D195,ca_name,0))&amp;"",""))</f>
        <v>Réglage et changement de série</v>
      </c>
      <c r="H195" s="58" t="str">
        <f>IF(OR(COUNTA(A195:E195)=0,D195=""),"",IFERROR(INDEX(ca_type,MATCH(D195,ca_name,0))&amp;"",""))</f>
        <v>Non planifié</v>
      </c>
      <c r="I195" s="58" t="str">
        <f>IF(COUNTA(A195:E195)=0,"",IF(N(A195)&lt;=0,"Date manquante ou invalide",IF(B195="","Équipe manquante",IF(ISNA(MATCH(B195,eq_code,0)),"Équipe inconnue",IF(C195="","Poste manquant",IF(ISNA(MATCH(C195,po_code,0)),"Poste inconnu",IF(D195="","Cause manquante",IF(ISNA(MATCH(D195,ca_name,0)),"Cause inconnue",IF(H195="","Cause à compléter dans Paramètres",IF(OR(NOT(ISNUMBER(E195)),N(E195)&lt;=0,N(E195)&gt;1440),"Durée invalide",IF(COUNTIFS(sj_date,A195,sj_eq,B195,sj_po,C195)=0,"Pas de saisie journalière ce jour-là","OK")))))))))))</f>
        <v>OK</v>
      </c>
      <c r="J195">
        <f>IF(OR(I195="OK",I195="Pas de saisie journalière ce jour-là"),E195,0)</f>
        <v>14.0</v>
      </c>
      <c r="K195">
        <f>IF(AND(J195&gt;0,A195&gt;=p_from,A195&lt;=p_to),1,0)</f>
        <v>1.0</v>
      </c>
      <c r="L195">
        <f>IF(AND(K195=1,OR(pa_po="",C195=pa_po),OR(pa_eq="",B195=pa_eq)),1,0)</f>
        <v>1.0</v>
      </c>
    </row>
    <row r="196">
      <c r="A196" s="51" t="n">
        <v>46301</v>
      </c>
      <c r="B196" s="52" t="inlineStr">
        <is>
          <t>Matin</t>
        </is>
      </c>
      <c r="C196" s="52" t="inlineStr">
        <is>
          <t>TOUR1</t>
        </is>
      </c>
      <c r="D196" s="53" t="inlineStr">
        <is>
          <t>Panne électrique</t>
        </is>
      </c>
      <c r="E196" s="60" t="n">
        <v>25</v>
      </c>
      <c r="F196" s="53" t="n"/>
      <c r="G196" s="61" t="str">
        <f>IF(OR(COUNTA(A196:E196)=0,D196=""),"",IFERROR(INDEX(ca_fam,MATCH(D196,ca_name,0))&amp;"",""))</f>
        <v>Panne</v>
      </c>
      <c r="H196" s="58" t="str">
        <f>IF(OR(COUNTA(A196:E196)=0,D196=""),"",IFERROR(INDEX(ca_type,MATCH(D196,ca_name,0))&amp;"",""))</f>
        <v>Non planifié</v>
      </c>
      <c r="I196" s="58" t="str">
        <f>IF(COUNTA(A196:E196)=0,"",IF(N(A196)&lt;=0,"Date manquante ou invalide",IF(B196="","Équipe manquante",IF(ISNA(MATCH(B196,eq_code,0)),"Équipe inconnue",IF(C196="","Poste manquant",IF(ISNA(MATCH(C196,po_code,0)),"Poste inconnu",IF(D196="","Cause manquante",IF(ISNA(MATCH(D196,ca_name,0)),"Cause inconnue",IF(H196="","Cause à compléter dans Paramètres",IF(OR(NOT(ISNUMBER(E196)),N(E196)&lt;=0,N(E196)&gt;1440),"Durée invalide",IF(COUNTIFS(sj_date,A196,sj_eq,B196,sj_po,C196)=0,"Pas de saisie journalière ce jour-là","OK")))))))))))</f>
        <v>OK</v>
      </c>
      <c r="J196">
        <f>IF(OR(I196="OK",I196="Pas de saisie journalière ce jour-là"),E196,0)</f>
        <v>25.0</v>
      </c>
      <c r="K196">
        <f>IF(AND(J196&gt;0,A196&gt;=p_from,A196&lt;=p_to),1,0)</f>
        <v>1.0</v>
      </c>
      <c r="L196">
        <f>IF(AND(K196=1,OR(pa_po="",C196=pa_po),OR(pa_eq="",B196=pa_eq)),1,0)</f>
        <v>1.0</v>
      </c>
    </row>
    <row r="197">
      <c r="A197" s="51" t="n">
        <v>46301</v>
      </c>
      <c r="B197" s="52" t="inlineStr">
        <is>
          <t>Après-midi</t>
        </is>
      </c>
      <c r="C197" s="52" t="inlineStr">
        <is>
          <t>TOUR1</t>
        </is>
      </c>
      <c r="D197" s="53" t="inlineStr">
        <is>
          <t>Panne électrique</t>
        </is>
      </c>
      <c r="E197" s="60" t="n">
        <v>42</v>
      </c>
      <c r="F197" s="53" t="n"/>
      <c r="G197" s="61" t="str">
        <f>IF(OR(COUNTA(A197:E197)=0,D197=""),"",IFERROR(INDEX(ca_fam,MATCH(D197,ca_name,0))&amp;"",""))</f>
        <v>Panne</v>
      </c>
      <c r="H197" s="58" t="str">
        <f>IF(OR(COUNTA(A197:E197)=0,D197=""),"",IFERROR(INDEX(ca_type,MATCH(D197,ca_name,0))&amp;"",""))</f>
        <v>Non planifié</v>
      </c>
      <c r="I197" s="58" t="str">
        <f>IF(COUNTA(A197:E197)=0,"",IF(N(A197)&lt;=0,"Date manquante ou invalide",IF(B197="","Équipe manquante",IF(ISNA(MATCH(B197,eq_code,0)),"Équipe inconnue",IF(C197="","Poste manquant",IF(ISNA(MATCH(C197,po_code,0)),"Poste inconnu",IF(D197="","Cause manquante",IF(ISNA(MATCH(D197,ca_name,0)),"Cause inconnue",IF(H197="","Cause à compléter dans Paramètres",IF(OR(NOT(ISNUMBER(E197)),N(E197)&lt;=0,N(E197)&gt;1440),"Durée invalide",IF(COUNTIFS(sj_date,A197,sj_eq,B197,sj_po,C197)=0,"Pas de saisie journalière ce jour-là","OK")))))))))))</f>
        <v>OK</v>
      </c>
      <c r="J197">
        <f>IF(OR(I197="OK",I197="Pas de saisie journalière ce jour-là"),E197,0)</f>
        <v>42.0</v>
      </c>
      <c r="K197">
        <f>IF(AND(J197&gt;0,A197&gt;=p_from,A197&lt;=p_to),1,0)</f>
        <v>1.0</v>
      </c>
      <c r="L197">
        <f>IF(AND(K197=1,OR(pa_po="",C197=pa_po),OR(pa_eq="",B197=pa_eq)),1,0)</f>
        <v>1.0</v>
      </c>
    </row>
    <row r="198">
      <c r="A198" s="51" t="n">
        <v>46301</v>
      </c>
      <c r="B198" s="52" t="inlineStr">
        <is>
          <t>Matin</t>
        </is>
      </c>
      <c r="C198" s="52" t="inlineStr">
        <is>
          <t>TOUR2</t>
        </is>
      </c>
      <c r="D198" s="53" t="inlineStr">
        <is>
          <t>Attente chariot élévateur</t>
        </is>
      </c>
      <c r="E198" s="60" t="n">
        <v>13</v>
      </c>
      <c r="F198" s="53" t="n"/>
      <c r="G198" s="61" t="str">
        <f>IF(OR(COUNTA(A198:E198)=0,D198=""),"",IFERROR(INDEX(ca_fam,MATCH(D198,ca_name,0))&amp;"",""))</f>
        <v>Organisation</v>
      </c>
      <c r="H198" s="58" t="str">
        <f>IF(OR(COUNTA(A198:E198)=0,D198=""),"",IFERROR(INDEX(ca_type,MATCH(D198,ca_name,0))&amp;"",""))</f>
        <v>Non planifié</v>
      </c>
      <c r="I198" s="58" t="str">
        <f>IF(COUNTA(A198:E198)=0,"",IF(N(A198)&lt;=0,"Date manquante ou invalide",IF(B198="","Équipe manquante",IF(ISNA(MATCH(B198,eq_code,0)),"Équipe inconnue",IF(C198="","Poste manquant",IF(ISNA(MATCH(C198,po_code,0)),"Poste inconnu",IF(D198="","Cause manquante",IF(ISNA(MATCH(D198,ca_name,0)),"Cause inconnue",IF(H198="","Cause à compléter dans Paramètres",IF(OR(NOT(ISNUMBER(E198)),N(E198)&lt;=0,N(E198)&gt;1440),"Durée invalide",IF(COUNTIFS(sj_date,A198,sj_eq,B198,sj_po,C198)=0,"Pas de saisie journalière ce jour-là","OK")))))))))))</f>
        <v>OK</v>
      </c>
      <c r="J198">
        <f>IF(OR(I198="OK",I198="Pas de saisie journalière ce jour-là"),E198,0)</f>
        <v>13.0</v>
      </c>
      <c r="K198">
        <f>IF(AND(J198&gt;0,A198&gt;=p_from,A198&lt;=p_to),1,0)</f>
        <v>1.0</v>
      </c>
      <c r="L198">
        <f>IF(AND(K198=1,OR(pa_po="",C198=pa_po),OR(pa_eq="",B198=pa_eq)),1,0)</f>
        <v>1.0</v>
      </c>
    </row>
    <row r="199">
      <c r="A199" s="51" t="n">
        <v>46301</v>
      </c>
      <c r="B199" s="52" t="inlineStr">
        <is>
          <t>Après-midi</t>
        </is>
      </c>
      <c r="C199" s="52" t="inlineStr">
        <is>
          <t>TOUR2</t>
        </is>
      </c>
      <c r="D199" s="53" t="inlineStr">
        <is>
          <t>Réglage en cours de production</t>
        </is>
      </c>
      <c r="E199" s="60" t="n">
        <v>18</v>
      </c>
      <c r="F199" s="53" t="n"/>
      <c r="G199" s="61" t="str">
        <f>IF(OR(COUNTA(A199:E199)=0,D199=""),"",IFERROR(INDEX(ca_fam,MATCH(D199,ca_name,0))&amp;"",""))</f>
        <v>Réglage et changement de série</v>
      </c>
      <c r="H199" s="58" t="str">
        <f>IF(OR(COUNTA(A199:E199)=0,D199=""),"",IFERROR(INDEX(ca_type,MATCH(D199,ca_name,0))&amp;"",""))</f>
        <v>Non planifié</v>
      </c>
      <c r="I199" s="58" t="str">
        <f>IF(COUNTA(A199:E199)=0,"",IF(N(A199)&lt;=0,"Date manquante ou invalide",IF(B199="","Équipe manquante",IF(ISNA(MATCH(B199,eq_code,0)),"Équipe inconnue",IF(C199="","Poste manquant",IF(ISNA(MATCH(C199,po_code,0)),"Poste inconnu",IF(D199="","Cause manquante",IF(ISNA(MATCH(D199,ca_name,0)),"Cause inconnue",IF(H199="","Cause à compléter dans Paramètres",IF(OR(NOT(ISNUMBER(E199)),N(E199)&lt;=0,N(E199)&gt;1440),"Durée invalide",IF(COUNTIFS(sj_date,A199,sj_eq,B199,sj_po,C199)=0,"Pas de saisie journalière ce jour-là","OK")))))))))))</f>
        <v>OK</v>
      </c>
      <c r="J199">
        <f>IF(OR(I199="OK",I199="Pas de saisie journalière ce jour-là"),E199,0)</f>
        <v>18.0</v>
      </c>
      <c r="K199">
        <f>IF(AND(J199&gt;0,A199&gt;=p_from,A199&lt;=p_to),1,0)</f>
        <v>1.0</v>
      </c>
      <c r="L199">
        <f>IF(AND(K199=1,OR(pa_po="",C199=pa_po),OR(pa_eq="",B199=pa_eq)),1,0)</f>
        <v>1.0</v>
      </c>
    </row>
    <row r="200">
      <c r="A200" s="51" t="n">
        <v>46301</v>
      </c>
      <c r="B200" s="52" t="inlineStr">
        <is>
          <t>Après-midi</t>
        </is>
      </c>
      <c r="C200" s="52" t="inlineStr">
        <is>
          <t>TOUR2</t>
        </is>
      </c>
      <c r="D200" s="53" t="inlineStr">
        <is>
          <t>Attente pièces de l'opération précédente</t>
        </is>
      </c>
      <c r="E200" s="60" t="n">
        <v>19</v>
      </c>
      <c r="F200" s="53" t="n"/>
      <c r="G200" s="61" t="str">
        <f>IF(OR(COUNTA(A200:E200)=0,D200=""),"",IFERROR(INDEX(ca_fam,MATCH(D200,ca_name,0))&amp;"",""))</f>
        <v>Manque matière</v>
      </c>
      <c r="H200" s="58" t="str">
        <f>IF(OR(COUNTA(A200:E200)=0,D200=""),"",IFERROR(INDEX(ca_type,MATCH(D200,ca_name,0))&amp;"",""))</f>
        <v>Non planifié</v>
      </c>
      <c r="I200" s="58" t="str">
        <f>IF(COUNTA(A200:E200)=0,"",IF(N(A200)&lt;=0,"Date manquante ou invalide",IF(B200="","Équipe manquante",IF(ISNA(MATCH(B200,eq_code,0)),"Équipe inconnue",IF(C200="","Poste manquant",IF(ISNA(MATCH(C200,po_code,0)),"Poste inconnu",IF(D200="","Cause manquante",IF(ISNA(MATCH(D200,ca_name,0)),"Cause inconnue",IF(H200="","Cause à compléter dans Paramètres",IF(OR(NOT(ISNUMBER(E200)),N(E200)&lt;=0,N(E200)&gt;1440),"Durée invalide",IF(COUNTIFS(sj_date,A200,sj_eq,B200,sj_po,C200)=0,"Pas de saisie journalière ce jour-là","OK")))))))))))</f>
        <v>OK</v>
      </c>
      <c r="J200">
        <f>IF(OR(I200="OK",I200="Pas de saisie journalière ce jour-là"),E200,0)</f>
        <v>19.0</v>
      </c>
      <c r="K200">
        <f>IF(AND(J200&gt;0,A200&gt;=p_from,A200&lt;=p_to),1,0)</f>
        <v>1.0</v>
      </c>
      <c r="L200">
        <f>IF(AND(K200=1,OR(pa_po="",C200=pa_po),OR(pa_eq="",B200=pa_eq)),1,0)</f>
        <v>1.0</v>
      </c>
    </row>
    <row r="201">
      <c r="A201" s="51" t="n">
        <v>46301</v>
      </c>
      <c r="B201" s="52" t="inlineStr">
        <is>
          <t>Matin</t>
        </is>
      </c>
      <c r="C201" s="52" t="inlineStr">
        <is>
          <t>USIN</t>
        </is>
      </c>
      <c r="D201" s="53" t="inlineStr">
        <is>
          <t>Changement de série</t>
        </is>
      </c>
      <c r="E201" s="60" t="n">
        <v>69</v>
      </c>
      <c r="F201" s="53" t="n"/>
      <c r="G201" s="61" t="str">
        <f>IF(OR(COUNTA(A201:E201)=0,D201=""),"",IFERROR(INDEX(ca_fam,MATCH(D201,ca_name,0))&amp;"",""))</f>
        <v>Réglage et changement de série</v>
      </c>
      <c r="H201" s="58" t="str">
        <f>IF(OR(COUNTA(A201:E201)=0,D201=""),"",IFERROR(INDEX(ca_type,MATCH(D201,ca_name,0))&amp;"",""))</f>
        <v>Non planifié</v>
      </c>
      <c r="I201" s="58" t="str">
        <f>IF(COUNTA(A201:E201)=0,"",IF(N(A201)&lt;=0,"Date manquante ou invalide",IF(B201="","Équipe manquante",IF(ISNA(MATCH(B201,eq_code,0)),"Équipe inconnue",IF(C201="","Poste manquant",IF(ISNA(MATCH(C201,po_code,0)),"Poste inconnu",IF(D201="","Cause manquante",IF(ISNA(MATCH(D201,ca_name,0)),"Cause inconnue",IF(H201="","Cause à compléter dans Paramètres",IF(OR(NOT(ISNUMBER(E201)),N(E201)&lt;=0,N(E201)&gt;1440),"Durée invalide",IF(COUNTIFS(sj_date,A201,sj_eq,B201,sj_po,C201)=0,"Pas de saisie journalière ce jour-là","OK")))))))))))</f>
        <v>OK</v>
      </c>
      <c r="J201">
        <f>IF(OR(I201="OK",I201="Pas de saisie journalière ce jour-là"),E201,0)</f>
        <v>69.0</v>
      </c>
      <c r="K201">
        <f>IF(AND(J201&gt;0,A201&gt;=p_from,A201&lt;=p_to),1,0)</f>
        <v>1.0</v>
      </c>
      <c r="L201">
        <f>IF(AND(K201=1,OR(pa_po="",C201=pa_po),OR(pa_eq="",B201=pa_eq)),1,0)</f>
        <v>1.0</v>
      </c>
    </row>
    <row r="202">
      <c r="A202" s="51" t="n">
        <v>46301</v>
      </c>
      <c r="B202" s="52" t="inlineStr">
        <is>
          <t>Matin</t>
        </is>
      </c>
      <c r="C202" s="52" t="inlineStr">
        <is>
          <t>USIN</t>
        </is>
      </c>
      <c r="D202" s="53" t="inlineStr">
        <is>
          <t>Panne mécanique</t>
        </is>
      </c>
      <c r="E202" s="60" t="n">
        <v>54</v>
      </c>
      <c r="F202" s="53" t="n"/>
      <c r="G202" s="61" t="str">
        <f>IF(OR(COUNTA(A202:E202)=0,D202=""),"",IFERROR(INDEX(ca_fam,MATCH(D202,ca_name,0))&amp;"",""))</f>
        <v>Panne</v>
      </c>
      <c r="H202" s="58" t="str">
        <f>IF(OR(COUNTA(A202:E202)=0,D202=""),"",IFERROR(INDEX(ca_type,MATCH(D202,ca_name,0))&amp;"",""))</f>
        <v>Non planifié</v>
      </c>
      <c r="I202" s="58" t="str">
        <f>IF(COUNTA(A202:E202)=0,"",IF(N(A202)&lt;=0,"Date manquante ou invalide",IF(B202="","Équipe manquante",IF(ISNA(MATCH(B202,eq_code,0)),"Équipe inconnue",IF(C202="","Poste manquant",IF(ISNA(MATCH(C202,po_code,0)),"Poste inconnu",IF(D202="","Cause manquante",IF(ISNA(MATCH(D202,ca_name,0)),"Cause inconnue",IF(H202="","Cause à compléter dans Paramètres",IF(OR(NOT(ISNUMBER(E202)),N(E202)&lt;=0,N(E202)&gt;1440),"Durée invalide",IF(COUNTIFS(sj_date,A202,sj_eq,B202,sj_po,C202)=0,"Pas de saisie journalière ce jour-là","OK")))))))))))</f>
        <v>OK</v>
      </c>
      <c r="J202">
        <f>IF(OR(I202="OK",I202="Pas de saisie journalière ce jour-là"),E202,0)</f>
        <v>54.0</v>
      </c>
      <c r="K202">
        <f>IF(AND(J202&gt;0,A202&gt;=p_from,A202&lt;=p_to),1,0)</f>
        <v>1.0</v>
      </c>
      <c r="L202">
        <f>IF(AND(K202=1,OR(pa_po="",C202=pa_po),OR(pa_eq="",B202=pa_eq)),1,0)</f>
        <v>1.0</v>
      </c>
    </row>
    <row r="203">
      <c r="A203" s="51" t="n">
        <v>46301</v>
      </c>
      <c r="B203" s="52" t="inlineStr">
        <is>
          <t>Matin</t>
        </is>
      </c>
      <c r="C203" s="52" t="inlineStr">
        <is>
          <t>USIN</t>
        </is>
      </c>
      <c r="D203" s="53" t="inlineStr">
        <is>
          <t>Panne mécanique</t>
        </is>
      </c>
      <c r="E203" s="60" t="n">
        <v>99</v>
      </c>
      <c r="F203" s="53" t="n"/>
      <c r="G203" s="61" t="str">
        <f>IF(OR(COUNTA(A203:E203)=0,D203=""),"",IFERROR(INDEX(ca_fam,MATCH(D203,ca_name,0))&amp;"",""))</f>
        <v>Panne</v>
      </c>
      <c r="H203" s="58" t="str">
        <f>IF(OR(COUNTA(A203:E203)=0,D203=""),"",IFERROR(INDEX(ca_type,MATCH(D203,ca_name,0))&amp;"",""))</f>
        <v>Non planifié</v>
      </c>
      <c r="I203" s="58" t="str">
        <f>IF(COUNTA(A203:E203)=0,"",IF(N(A203)&lt;=0,"Date manquante ou invalide",IF(B203="","Équipe manquante",IF(ISNA(MATCH(B203,eq_code,0)),"Équipe inconnue",IF(C203="","Poste manquant",IF(ISNA(MATCH(C203,po_code,0)),"Poste inconnu",IF(D203="","Cause manquante",IF(ISNA(MATCH(D203,ca_name,0)),"Cause inconnue",IF(H203="","Cause à compléter dans Paramètres",IF(OR(NOT(ISNUMBER(E203)),N(E203)&lt;=0,N(E203)&gt;1440),"Durée invalide",IF(COUNTIFS(sj_date,A203,sj_eq,B203,sj_po,C203)=0,"Pas de saisie journalière ce jour-là","OK")))))))))))</f>
        <v>OK</v>
      </c>
      <c r="J203">
        <f>IF(OR(I203="OK",I203="Pas de saisie journalière ce jour-là"),E203,0)</f>
        <v>99.0</v>
      </c>
      <c r="K203">
        <f>IF(AND(J203&gt;0,A203&gt;=p_from,A203&lt;=p_to),1,0)</f>
        <v>1.0</v>
      </c>
      <c r="L203">
        <f>IF(AND(K203=1,OR(pa_po="",C203=pa_po),OR(pa_eq="",B203=pa_eq)),1,0)</f>
        <v>1.0</v>
      </c>
    </row>
    <row r="204">
      <c r="A204" s="51" t="n">
        <v>46301</v>
      </c>
      <c r="B204" s="52" t="inlineStr">
        <is>
          <t>Matin</t>
        </is>
      </c>
      <c r="C204" s="52" t="inlineStr">
        <is>
          <t>USIN</t>
        </is>
      </c>
      <c r="D204" s="53" t="inlineStr">
        <is>
          <t>Attente contrôle qualité</t>
        </is>
      </c>
      <c r="E204" s="60" t="n">
        <v>20</v>
      </c>
      <c r="F204" s="53" t="n"/>
      <c r="G204" s="61" t="str">
        <f>IF(OR(COUNTA(A204:E204)=0,D204=""),"",IFERROR(INDEX(ca_fam,MATCH(D204,ca_name,0))&amp;"",""))</f>
        <v>Qualité</v>
      </c>
      <c r="H204" s="58" t="str">
        <f>IF(OR(COUNTA(A204:E204)=0,D204=""),"",IFERROR(INDEX(ca_type,MATCH(D204,ca_name,0))&amp;"",""))</f>
        <v>Non planifié</v>
      </c>
      <c r="I204" s="58" t="str">
        <f>IF(COUNTA(A204:E204)=0,"",IF(N(A204)&lt;=0,"Date manquante ou invalide",IF(B204="","Équipe manquante",IF(ISNA(MATCH(B204,eq_code,0)),"Équipe inconnue",IF(C204="","Poste manquant",IF(ISNA(MATCH(C204,po_code,0)),"Poste inconnu",IF(D204="","Cause manquante",IF(ISNA(MATCH(D204,ca_name,0)),"Cause inconnue",IF(H204="","Cause à compléter dans Paramètres",IF(OR(NOT(ISNUMBER(E204)),N(E204)&lt;=0,N(E204)&gt;1440),"Durée invalide",IF(COUNTIFS(sj_date,A204,sj_eq,B204,sj_po,C204)=0,"Pas de saisie journalière ce jour-là","OK")))))))))))</f>
        <v>OK</v>
      </c>
      <c r="J204">
        <f>IF(OR(I204="OK",I204="Pas de saisie journalière ce jour-là"),E204,0)</f>
        <v>20.0</v>
      </c>
      <c r="K204">
        <f>IF(AND(J204&gt;0,A204&gt;=p_from,A204&lt;=p_to),1,0)</f>
        <v>1.0</v>
      </c>
      <c r="L204">
        <f>IF(AND(K204=1,OR(pa_po="",C204=pa_po),OR(pa_eq="",B204=pa_eq)),1,0)</f>
        <v>1.0</v>
      </c>
    </row>
    <row r="205">
      <c r="A205" s="51" t="n">
        <v>46301</v>
      </c>
      <c r="B205" s="52" t="inlineStr">
        <is>
          <t>Matin</t>
        </is>
      </c>
      <c r="C205" s="52" t="inlineStr">
        <is>
          <t>PRESSE</t>
        </is>
      </c>
      <c r="D205" s="53" t="inlineStr">
        <is>
          <t>Attente matière</t>
        </is>
      </c>
      <c r="E205" s="60" t="n">
        <v>39</v>
      </c>
      <c r="F205" s="53" t="n"/>
      <c r="G205" s="61" t="str">
        <f>IF(OR(COUNTA(A205:E205)=0,D205=""),"",IFERROR(INDEX(ca_fam,MATCH(D205,ca_name,0))&amp;"",""))</f>
        <v>Manque matière</v>
      </c>
      <c r="H205" s="58" t="str">
        <f>IF(OR(COUNTA(A205:E205)=0,D205=""),"",IFERROR(INDEX(ca_type,MATCH(D205,ca_name,0))&amp;"",""))</f>
        <v>Non planifié</v>
      </c>
      <c r="I205" s="58" t="str">
        <f>IF(COUNTA(A205:E205)=0,"",IF(N(A205)&lt;=0,"Date manquante ou invalide",IF(B205="","Équipe manquante",IF(ISNA(MATCH(B205,eq_code,0)),"Équipe inconnue",IF(C205="","Poste manquant",IF(ISNA(MATCH(C205,po_code,0)),"Poste inconnu",IF(D205="","Cause manquante",IF(ISNA(MATCH(D205,ca_name,0)),"Cause inconnue",IF(H205="","Cause à compléter dans Paramètres",IF(OR(NOT(ISNUMBER(E205)),N(E205)&lt;=0,N(E205)&gt;1440),"Durée invalide",IF(COUNTIFS(sj_date,A205,sj_eq,B205,sj_po,C205)=0,"Pas de saisie journalière ce jour-là","OK")))))))))))</f>
        <v>OK</v>
      </c>
      <c r="J205">
        <f>IF(OR(I205="OK",I205="Pas de saisie journalière ce jour-là"),E205,0)</f>
        <v>39.0</v>
      </c>
      <c r="K205">
        <f>IF(AND(J205&gt;0,A205&gt;=p_from,A205&lt;=p_to),1,0)</f>
        <v>1.0</v>
      </c>
      <c r="L205">
        <f>IF(AND(K205=1,OR(pa_po="",C205=pa_po),OR(pa_eq="",B205=pa_eq)),1,0)</f>
        <v>1.0</v>
      </c>
    </row>
    <row r="206">
      <c r="A206" s="51" t="n">
        <v>46301</v>
      </c>
      <c r="B206" s="52" t="inlineStr">
        <is>
          <t>Journée</t>
        </is>
      </c>
      <c r="C206" s="52" t="inlineStr">
        <is>
          <t>PLIE</t>
        </is>
      </c>
      <c r="D206" s="53" t="inlineStr">
        <is>
          <t>Attente contrôle qualité</t>
        </is>
      </c>
      <c r="E206" s="60" t="n">
        <v>28</v>
      </c>
      <c r="F206" s="53" t="n"/>
      <c r="G206" s="61" t="str">
        <f>IF(OR(COUNTA(A206:E206)=0,D206=""),"",IFERROR(INDEX(ca_fam,MATCH(D206,ca_name,0))&amp;"",""))</f>
        <v>Qualité</v>
      </c>
      <c r="H206" s="58" t="str">
        <f>IF(OR(COUNTA(A206:E206)=0,D206=""),"",IFERROR(INDEX(ca_type,MATCH(D206,ca_name,0))&amp;"",""))</f>
        <v>Non planifié</v>
      </c>
      <c r="I206" s="58" t="str">
        <f>IF(COUNTA(A206:E206)=0,"",IF(N(A206)&lt;=0,"Date manquante ou invalide",IF(B206="","Équipe manquante",IF(ISNA(MATCH(B206,eq_code,0)),"Équipe inconnue",IF(C206="","Poste manquant",IF(ISNA(MATCH(C206,po_code,0)),"Poste inconnu",IF(D206="","Cause manquante",IF(ISNA(MATCH(D206,ca_name,0)),"Cause inconnue",IF(H206="","Cause à compléter dans Paramètres",IF(OR(NOT(ISNUMBER(E206)),N(E206)&lt;=0,N(E206)&gt;1440),"Durée invalide",IF(COUNTIFS(sj_date,A206,sj_eq,B206,sj_po,C206)=0,"Pas de saisie journalière ce jour-là","OK")))))))))))</f>
        <v>OK</v>
      </c>
      <c r="J206">
        <f>IF(OR(I206="OK",I206="Pas de saisie journalière ce jour-là"),E206,0)</f>
        <v>28.0</v>
      </c>
      <c r="K206">
        <f>IF(AND(J206&gt;0,A206&gt;=p_from,A206&lt;=p_to),1,0)</f>
        <v>1.0</v>
      </c>
      <c r="L206">
        <f>IF(AND(K206=1,OR(pa_po="",C206=pa_po),OR(pa_eq="",B206=pa_eq)),1,0)</f>
        <v>1.0</v>
      </c>
    </row>
    <row r="207">
      <c r="A207" s="51" t="n">
        <v>46301</v>
      </c>
      <c r="B207" s="52" t="inlineStr">
        <is>
          <t>Journée</t>
        </is>
      </c>
      <c r="C207" s="52" t="inlineStr">
        <is>
          <t>PLIE</t>
        </is>
      </c>
      <c r="D207" s="53" t="inlineStr">
        <is>
          <t>Panne mécanique</t>
        </is>
      </c>
      <c r="E207" s="60" t="n">
        <v>75</v>
      </c>
      <c r="F207" s="53" t="n"/>
      <c r="G207" s="61" t="str">
        <f>IF(OR(COUNTA(A207:E207)=0,D207=""),"",IFERROR(INDEX(ca_fam,MATCH(D207,ca_name,0))&amp;"",""))</f>
        <v>Panne</v>
      </c>
      <c r="H207" s="58" t="str">
        <f>IF(OR(COUNTA(A207:E207)=0,D207=""),"",IFERROR(INDEX(ca_type,MATCH(D207,ca_name,0))&amp;"",""))</f>
        <v>Non planifié</v>
      </c>
      <c r="I207" s="58" t="str">
        <f>IF(COUNTA(A207:E207)=0,"",IF(N(A207)&lt;=0,"Date manquante ou invalide",IF(B207="","Équipe manquante",IF(ISNA(MATCH(B207,eq_code,0)),"Équipe inconnue",IF(C207="","Poste manquant",IF(ISNA(MATCH(C207,po_code,0)),"Poste inconnu",IF(D207="","Cause manquante",IF(ISNA(MATCH(D207,ca_name,0)),"Cause inconnue",IF(H207="","Cause à compléter dans Paramètres",IF(OR(NOT(ISNUMBER(E207)),N(E207)&lt;=0,N(E207)&gt;1440),"Durée invalide",IF(COUNTIFS(sj_date,A207,sj_eq,B207,sj_po,C207)=0,"Pas de saisie journalière ce jour-là","OK")))))))))))</f>
        <v>OK</v>
      </c>
      <c r="J207">
        <f>IF(OR(I207="OK",I207="Pas de saisie journalière ce jour-là"),E207,0)</f>
        <v>75.0</v>
      </c>
      <c r="K207">
        <f>IF(AND(J207&gt;0,A207&gt;=p_from,A207&lt;=p_to),1,0)</f>
        <v>1.0</v>
      </c>
      <c r="L207">
        <f>IF(AND(K207=1,OR(pa_po="",C207=pa_po),OR(pa_eq="",B207=pa_eq)),1,0)</f>
        <v>1.0</v>
      </c>
    </row>
    <row r="208">
      <c r="A208" s="51" t="n">
        <v>46301</v>
      </c>
      <c r="B208" s="52" t="inlineStr">
        <is>
          <t>Journée</t>
        </is>
      </c>
      <c r="C208" s="52" t="inlineStr">
        <is>
          <t>PLIE</t>
        </is>
      </c>
      <c r="D208" s="53" t="inlineStr">
        <is>
          <t>Changement de série</t>
        </is>
      </c>
      <c r="E208" s="60" t="n">
        <v>57</v>
      </c>
      <c r="F208" s="53" t="n"/>
      <c r="G208" s="61" t="str">
        <f>IF(OR(COUNTA(A208:E208)=0,D208=""),"",IFERROR(INDEX(ca_fam,MATCH(D208,ca_name,0))&amp;"",""))</f>
        <v>Réglage et changement de série</v>
      </c>
      <c r="H208" s="58" t="str">
        <f>IF(OR(COUNTA(A208:E208)=0,D208=""),"",IFERROR(INDEX(ca_type,MATCH(D208,ca_name,0))&amp;"",""))</f>
        <v>Non planifié</v>
      </c>
      <c r="I208" s="58" t="str">
        <f>IF(COUNTA(A208:E208)=0,"",IF(N(A208)&lt;=0,"Date manquante ou invalide",IF(B208="","Équipe manquante",IF(ISNA(MATCH(B208,eq_code,0)),"Équipe inconnue",IF(C208="","Poste manquant",IF(ISNA(MATCH(C208,po_code,0)),"Poste inconnu",IF(D208="","Cause manquante",IF(ISNA(MATCH(D208,ca_name,0)),"Cause inconnue",IF(H208="","Cause à compléter dans Paramètres",IF(OR(NOT(ISNUMBER(E208)),N(E208)&lt;=0,N(E208)&gt;1440),"Durée invalide",IF(COUNTIFS(sj_date,A208,sj_eq,B208,sj_po,C208)=0,"Pas de saisie journalière ce jour-là","OK")))))))))))</f>
        <v>OK</v>
      </c>
      <c r="J208">
        <f>IF(OR(I208="OK",I208="Pas de saisie journalière ce jour-là"),E208,0)</f>
        <v>57.0</v>
      </c>
      <c r="K208">
        <f>IF(AND(J208&gt;0,A208&gt;=p_from,A208&lt;=p_to),1,0)</f>
        <v>1.0</v>
      </c>
      <c r="L208">
        <f>IF(AND(K208=1,OR(pa_po="",C208=pa_po),OR(pa_eq="",B208=pa_eq)),1,0)</f>
        <v>1.0</v>
      </c>
    </row>
    <row r="209">
      <c r="A209" s="51" t="n">
        <v>46301</v>
      </c>
      <c r="B209" s="52" t="inlineStr">
        <is>
          <t>Matin</t>
        </is>
      </c>
      <c r="C209" s="52" t="inlineStr">
        <is>
          <t>SOUD</t>
        </is>
      </c>
      <c r="D209" s="53" t="inlineStr">
        <is>
          <t>Changement de série</t>
        </is>
      </c>
      <c r="E209" s="60" t="n">
        <v>64</v>
      </c>
      <c r="F209" s="53" t="n"/>
      <c r="G209" s="61" t="str">
        <f>IF(OR(COUNTA(A209:E209)=0,D209=""),"",IFERROR(INDEX(ca_fam,MATCH(D209,ca_name,0))&amp;"",""))</f>
        <v>Réglage et changement de série</v>
      </c>
      <c r="H209" s="58" t="str">
        <f>IF(OR(COUNTA(A209:E209)=0,D209=""),"",IFERROR(INDEX(ca_type,MATCH(D209,ca_name,0))&amp;"",""))</f>
        <v>Non planifié</v>
      </c>
      <c r="I209" s="58" t="str">
        <f>IF(COUNTA(A209:E209)=0,"",IF(N(A209)&lt;=0,"Date manquante ou invalide",IF(B209="","Équipe manquante",IF(ISNA(MATCH(B209,eq_code,0)),"Équipe inconnue",IF(C209="","Poste manquant",IF(ISNA(MATCH(C209,po_code,0)),"Poste inconnu",IF(D209="","Cause manquante",IF(ISNA(MATCH(D209,ca_name,0)),"Cause inconnue",IF(H209="","Cause à compléter dans Paramètres",IF(OR(NOT(ISNUMBER(E209)),N(E209)&lt;=0,N(E209)&gt;1440),"Durée invalide",IF(COUNTIFS(sj_date,A209,sj_eq,B209,sj_po,C209)=0,"Pas de saisie journalière ce jour-là","OK")))))))))))</f>
        <v>OK</v>
      </c>
      <c r="J209">
        <f>IF(OR(I209="OK",I209="Pas de saisie journalière ce jour-là"),E209,0)</f>
        <v>64.0</v>
      </c>
      <c r="K209">
        <f>IF(AND(J209&gt;0,A209&gt;=p_from,A209&lt;=p_to),1,0)</f>
        <v>1.0</v>
      </c>
      <c r="L209">
        <f>IF(AND(K209=1,OR(pa_po="",C209=pa_po),OR(pa_eq="",B209=pa_eq)),1,0)</f>
        <v>1.0</v>
      </c>
    </row>
    <row r="210">
      <c r="A210" s="51" t="n">
        <v>46301</v>
      </c>
      <c r="B210" s="52" t="inlineStr">
        <is>
          <t>Matin</t>
        </is>
      </c>
      <c r="C210" s="52" t="inlineStr">
        <is>
          <t>SOUD</t>
        </is>
      </c>
      <c r="D210" s="53" t="inlineStr">
        <is>
          <t>Casse outil</t>
        </is>
      </c>
      <c r="E210" s="60" t="n">
        <v>33</v>
      </c>
      <c r="F210" s="53" t="n"/>
      <c r="G210" s="61" t="str">
        <f>IF(OR(COUNTA(A210:E210)=0,D210=""),"",IFERROR(INDEX(ca_fam,MATCH(D210,ca_name,0))&amp;"",""))</f>
        <v>Panne</v>
      </c>
      <c r="H210" s="58" t="str">
        <f>IF(OR(COUNTA(A210:E210)=0,D210=""),"",IFERROR(INDEX(ca_type,MATCH(D210,ca_name,0))&amp;"",""))</f>
        <v>Non planifié</v>
      </c>
      <c r="I210" s="58" t="str">
        <f>IF(COUNTA(A210:E210)=0,"",IF(N(A210)&lt;=0,"Date manquante ou invalide",IF(B210="","Équipe manquante",IF(ISNA(MATCH(B210,eq_code,0)),"Équipe inconnue",IF(C210="","Poste manquant",IF(ISNA(MATCH(C210,po_code,0)),"Poste inconnu",IF(D210="","Cause manquante",IF(ISNA(MATCH(D210,ca_name,0)),"Cause inconnue",IF(H210="","Cause à compléter dans Paramètres",IF(OR(NOT(ISNUMBER(E210)),N(E210)&lt;=0,N(E210)&gt;1440),"Durée invalide",IF(COUNTIFS(sj_date,A210,sj_eq,B210,sj_po,C210)=0,"Pas de saisie journalière ce jour-là","OK")))))))))))</f>
        <v>OK</v>
      </c>
      <c r="J210">
        <f>IF(OR(I210="OK",I210="Pas de saisie journalière ce jour-là"),E210,0)</f>
        <v>33.0</v>
      </c>
      <c r="K210">
        <f>IF(AND(J210&gt;0,A210&gt;=p_from,A210&lt;=p_to),1,0)</f>
        <v>1.0</v>
      </c>
      <c r="L210">
        <f>IF(AND(K210=1,OR(pa_po="",C210=pa_po),OR(pa_eq="",B210=pa_eq)),1,0)</f>
        <v>1.0</v>
      </c>
    </row>
    <row r="211">
      <c r="A211" s="51" t="n">
        <v>46301</v>
      </c>
      <c r="B211" s="52" t="inlineStr">
        <is>
          <t>Après-midi</t>
        </is>
      </c>
      <c r="C211" s="52" t="inlineStr">
        <is>
          <t>SOUD</t>
        </is>
      </c>
      <c r="D211" s="53" t="inlineStr">
        <is>
          <t>Changement d'outil</t>
        </is>
      </c>
      <c r="E211" s="60" t="n">
        <v>9</v>
      </c>
      <c r="F211" s="53" t="n"/>
      <c r="G211" s="61" t="str">
        <f>IF(OR(COUNTA(A211:E211)=0,D211=""),"",IFERROR(INDEX(ca_fam,MATCH(D211,ca_name,0))&amp;"",""))</f>
        <v>Réglage et changement de série</v>
      </c>
      <c r="H211" s="58" t="str">
        <f>IF(OR(COUNTA(A211:E211)=0,D211=""),"",IFERROR(INDEX(ca_type,MATCH(D211,ca_name,0))&amp;"",""))</f>
        <v>Non planifié</v>
      </c>
      <c r="I211" s="58" t="str">
        <f>IF(COUNTA(A211:E211)=0,"",IF(N(A211)&lt;=0,"Date manquante ou invalide",IF(B211="","Équipe manquante",IF(ISNA(MATCH(B211,eq_code,0)),"Équipe inconnue",IF(C211="","Poste manquant",IF(ISNA(MATCH(C211,po_code,0)),"Poste inconnu",IF(D211="","Cause manquante",IF(ISNA(MATCH(D211,ca_name,0)),"Cause inconnue",IF(H211="","Cause à compléter dans Paramètres",IF(OR(NOT(ISNUMBER(E211)),N(E211)&lt;=0,N(E211)&gt;1440),"Durée invalide",IF(COUNTIFS(sj_date,A211,sj_eq,B211,sj_po,C211)=0,"Pas de saisie journalière ce jour-là","OK")))))))))))</f>
        <v>OK</v>
      </c>
      <c r="J211">
        <f>IF(OR(I211="OK",I211="Pas de saisie journalière ce jour-là"),E211,0)</f>
        <v>9.0</v>
      </c>
      <c r="K211">
        <f>IF(AND(J211&gt;0,A211&gt;=p_from,A211&lt;=p_to),1,0)</f>
        <v>1.0</v>
      </c>
      <c r="L211">
        <f>IF(AND(K211=1,OR(pa_po="",C211=pa_po),OR(pa_eq="",B211=pa_eq)),1,0)</f>
        <v>1.0</v>
      </c>
    </row>
    <row r="212">
      <c r="A212" s="51" t="n">
        <v>46301</v>
      </c>
      <c r="B212" s="52" t="inlineStr">
        <is>
          <t>Après-midi</t>
        </is>
      </c>
      <c r="C212" s="52" t="inlineStr">
        <is>
          <t>SOUD</t>
        </is>
      </c>
      <c r="D212" s="53" t="inlineStr">
        <is>
          <t>Changement de série</t>
        </is>
      </c>
      <c r="E212" s="60" t="n">
        <v>35</v>
      </c>
      <c r="F212" s="53" t="n"/>
      <c r="G212" s="61" t="str">
        <f>IF(OR(COUNTA(A212:E212)=0,D212=""),"",IFERROR(INDEX(ca_fam,MATCH(D212,ca_name,0))&amp;"",""))</f>
        <v>Réglage et changement de série</v>
      </c>
      <c r="H212" s="58" t="str">
        <f>IF(OR(COUNTA(A212:E212)=0,D212=""),"",IFERROR(INDEX(ca_type,MATCH(D212,ca_name,0))&amp;"",""))</f>
        <v>Non planifié</v>
      </c>
      <c r="I212" s="58" t="str">
        <f>IF(COUNTA(A212:E212)=0,"",IF(N(A212)&lt;=0,"Date manquante ou invalide",IF(B212="","Équipe manquante",IF(ISNA(MATCH(B212,eq_code,0)),"Équipe inconnue",IF(C212="","Poste manquant",IF(ISNA(MATCH(C212,po_code,0)),"Poste inconnu",IF(D212="","Cause manquante",IF(ISNA(MATCH(D212,ca_name,0)),"Cause inconnue",IF(H212="","Cause à compléter dans Paramètres",IF(OR(NOT(ISNUMBER(E212)),N(E212)&lt;=0,N(E212)&gt;1440),"Durée invalide",IF(COUNTIFS(sj_date,A212,sj_eq,B212,sj_po,C212)=0,"Pas de saisie journalière ce jour-là","OK")))))))))))</f>
        <v>OK</v>
      </c>
      <c r="J212">
        <f>IF(OR(I212="OK",I212="Pas de saisie journalière ce jour-là"),E212,0)</f>
        <v>35.0</v>
      </c>
      <c r="K212">
        <f>IF(AND(J212&gt;0,A212&gt;=p_from,A212&lt;=p_to),1,0)</f>
        <v>1.0</v>
      </c>
      <c r="L212">
        <f>IF(AND(K212=1,OR(pa_po="",C212=pa_po),OR(pa_eq="",B212=pa_eq)),1,0)</f>
        <v>1.0</v>
      </c>
    </row>
    <row r="213">
      <c r="A213" s="51" t="n">
        <v>46302</v>
      </c>
      <c r="B213" s="52" t="inlineStr">
        <is>
          <t>Matin</t>
        </is>
      </c>
      <c r="C213" s="52" t="inlineStr">
        <is>
          <t>TOUR1</t>
        </is>
      </c>
      <c r="D213" s="53" t="inlineStr">
        <is>
          <t>Changement de série</t>
        </is>
      </c>
      <c r="E213" s="60" t="n">
        <v>60</v>
      </c>
      <c r="F213" s="53" t="n"/>
      <c r="G213" s="61" t="str">
        <f>IF(OR(COUNTA(A213:E213)=0,D213=""),"",IFERROR(INDEX(ca_fam,MATCH(D213,ca_name,0))&amp;"",""))</f>
        <v>Réglage et changement de série</v>
      </c>
      <c r="H213" s="58" t="str">
        <f>IF(OR(COUNTA(A213:E213)=0,D213=""),"",IFERROR(INDEX(ca_type,MATCH(D213,ca_name,0))&amp;"",""))</f>
        <v>Non planifié</v>
      </c>
      <c r="I213" s="58" t="str">
        <f>IF(COUNTA(A213:E213)=0,"",IF(N(A213)&lt;=0,"Date manquante ou invalide",IF(B213="","Équipe manquante",IF(ISNA(MATCH(B213,eq_code,0)),"Équipe inconnue",IF(C213="","Poste manquant",IF(ISNA(MATCH(C213,po_code,0)),"Poste inconnu",IF(D213="","Cause manquante",IF(ISNA(MATCH(D213,ca_name,0)),"Cause inconnue",IF(H213="","Cause à compléter dans Paramètres",IF(OR(NOT(ISNUMBER(E213)),N(E213)&lt;=0,N(E213)&gt;1440),"Durée invalide",IF(COUNTIFS(sj_date,A213,sj_eq,B213,sj_po,C213)=0,"Pas de saisie journalière ce jour-là","OK")))))))))))</f>
        <v>OK</v>
      </c>
      <c r="J213">
        <f>IF(OR(I213="OK",I213="Pas de saisie journalière ce jour-là"),E213,0)</f>
        <v>60.0</v>
      </c>
      <c r="K213">
        <f>IF(AND(J213&gt;0,A213&gt;=p_from,A213&lt;=p_to),1,0)</f>
        <v>1.0</v>
      </c>
      <c r="L213">
        <f>IF(AND(K213=1,OR(pa_po="",C213=pa_po),OR(pa_eq="",B213=pa_eq)),1,0)</f>
        <v>1.0</v>
      </c>
    </row>
    <row r="214">
      <c r="A214" s="51" t="n">
        <v>46302</v>
      </c>
      <c r="B214" s="52" t="inlineStr">
        <is>
          <t>Matin</t>
        </is>
      </c>
      <c r="C214" s="52" t="inlineStr">
        <is>
          <t>TOUR1</t>
        </is>
      </c>
      <c r="D214" s="53" t="inlineStr">
        <is>
          <t>Opérateur sur un autre poste</t>
        </is>
      </c>
      <c r="E214" s="60" t="n">
        <v>24</v>
      </c>
      <c r="F214" s="53" t="n"/>
      <c r="G214" s="61" t="str">
        <f>IF(OR(COUNTA(A214:E214)=0,D214=""),"",IFERROR(INDEX(ca_fam,MATCH(D214,ca_name,0))&amp;"",""))</f>
        <v>Manque personnel</v>
      </c>
      <c r="H214" s="58" t="str">
        <f>IF(OR(COUNTA(A214:E214)=0,D214=""),"",IFERROR(INDEX(ca_type,MATCH(D214,ca_name,0))&amp;"",""))</f>
        <v>Non planifié</v>
      </c>
      <c r="I214" s="58" t="str">
        <f>IF(COUNTA(A214:E214)=0,"",IF(N(A214)&lt;=0,"Date manquante ou invalide",IF(B214="","Équipe manquante",IF(ISNA(MATCH(B214,eq_code,0)),"Équipe inconnue",IF(C214="","Poste manquant",IF(ISNA(MATCH(C214,po_code,0)),"Poste inconnu",IF(D214="","Cause manquante",IF(ISNA(MATCH(D214,ca_name,0)),"Cause inconnue",IF(H214="","Cause à compléter dans Paramètres",IF(OR(NOT(ISNUMBER(E214)),N(E214)&lt;=0,N(E214)&gt;1440),"Durée invalide",IF(COUNTIFS(sj_date,A214,sj_eq,B214,sj_po,C214)=0,"Pas de saisie journalière ce jour-là","OK")))))))))))</f>
        <v>OK</v>
      </c>
      <c r="J214">
        <f>IF(OR(I214="OK",I214="Pas de saisie journalière ce jour-là"),E214,0)</f>
        <v>24.0</v>
      </c>
      <c r="K214">
        <f>IF(AND(J214&gt;0,A214&gt;=p_from,A214&lt;=p_to),1,0)</f>
        <v>1.0</v>
      </c>
      <c r="L214">
        <f>IF(AND(K214=1,OR(pa_po="",C214=pa_po),OR(pa_eq="",B214=pa_eq)),1,0)</f>
        <v>1.0</v>
      </c>
    </row>
    <row r="215">
      <c r="A215" s="51" t="n">
        <v>46302</v>
      </c>
      <c r="B215" s="52" t="inlineStr">
        <is>
          <t>Matin</t>
        </is>
      </c>
      <c r="C215" s="52" t="inlineStr">
        <is>
          <t>TOUR1</t>
        </is>
      </c>
      <c r="D215" s="53" t="inlineStr">
        <is>
          <t>Arrêt pour non-conformité</t>
        </is>
      </c>
      <c r="E215" s="60" t="n">
        <v>52</v>
      </c>
      <c r="F215" s="53" t="n"/>
      <c r="G215" s="61" t="str">
        <f>IF(OR(COUNTA(A215:E215)=0,D215=""),"",IFERROR(INDEX(ca_fam,MATCH(D215,ca_name,0))&amp;"",""))</f>
        <v>Qualité</v>
      </c>
      <c r="H215" s="58" t="str">
        <f>IF(OR(COUNTA(A215:E215)=0,D215=""),"",IFERROR(INDEX(ca_type,MATCH(D215,ca_name,0))&amp;"",""))</f>
        <v>Non planifié</v>
      </c>
      <c r="I215" s="58" t="str">
        <f>IF(COUNTA(A215:E215)=0,"",IF(N(A215)&lt;=0,"Date manquante ou invalide",IF(B215="","Équipe manquante",IF(ISNA(MATCH(B215,eq_code,0)),"Équipe inconnue",IF(C215="","Poste manquant",IF(ISNA(MATCH(C215,po_code,0)),"Poste inconnu",IF(D215="","Cause manquante",IF(ISNA(MATCH(D215,ca_name,0)),"Cause inconnue",IF(H215="","Cause à compléter dans Paramètres",IF(OR(NOT(ISNUMBER(E215)),N(E215)&lt;=0,N(E215)&gt;1440),"Durée invalide",IF(COUNTIFS(sj_date,A215,sj_eq,B215,sj_po,C215)=0,"Pas de saisie journalière ce jour-là","OK")))))))))))</f>
        <v>OK</v>
      </c>
      <c r="J215">
        <f>IF(OR(I215="OK",I215="Pas de saisie journalière ce jour-là"),E215,0)</f>
        <v>52.0</v>
      </c>
      <c r="K215">
        <f>IF(AND(J215&gt;0,A215&gt;=p_from,A215&lt;=p_to),1,0)</f>
        <v>1.0</v>
      </c>
      <c r="L215">
        <f>IF(AND(K215=1,OR(pa_po="",C215=pa_po),OR(pa_eq="",B215=pa_eq)),1,0)</f>
        <v>1.0</v>
      </c>
    </row>
    <row r="216">
      <c r="A216" s="51" t="n">
        <v>46302</v>
      </c>
      <c r="B216" s="52" t="inlineStr">
        <is>
          <t>Après-midi</t>
        </is>
      </c>
      <c r="C216" s="52" t="inlineStr">
        <is>
          <t>TOUR1</t>
        </is>
      </c>
      <c r="D216" s="53" t="inlineStr">
        <is>
          <t>Réglage en cours de production</t>
        </is>
      </c>
      <c r="E216" s="60" t="n">
        <v>10</v>
      </c>
      <c r="F216" s="53" t="n"/>
      <c r="G216" s="61" t="str">
        <f>IF(OR(COUNTA(A216:E216)=0,D216=""),"",IFERROR(INDEX(ca_fam,MATCH(D216,ca_name,0))&amp;"",""))</f>
        <v>Réglage et changement de série</v>
      </c>
      <c r="H216" s="58" t="str">
        <f>IF(OR(COUNTA(A216:E216)=0,D216=""),"",IFERROR(INDEX(ca_type,MATCH(D216,ca_name,0))&amp;"",""))</f>
        <v>Non planifié</v>
      </c>
      <c r="I216" s="58" t="str">
        <f>IF(COUNTA(A216:E216)=0,"",IF(N(A216)&lt;=0,"Date manquante ou invalide",IF(B216="","Équipe manquante",IF(ISNA(MATCH(B216,eq_code,0)),"Équipe inconnue",IF(C216="","Poste manquant",IF(ISNA(MATCH(C216,po_code,0)),"Poste inconnu",IF(D216="","Cause manquante",IF(ISNA(MATCH(D216,ca_name,0)),"Cause inconnue",IF(H216="","Cause à compléter dans Paramètres",IF(OR(NOT(ISNUMBER(E216)),N(E216)&lt;=0,N(E216)&gt;1440),"Durée invalide",IF(COUNTIFS(sj_date,A216,sj_eq,B216,sj_po,C216)=0,"Pas de saisie journalière ce jour-là","OK")))))))))))</f>
        <v>OK</v>
      </c>
      <c r="J216">
        <f>IF(OR(I216="OK",I216="Pas de saisie journalière ce jour-là"),E216,0)</f>
        <v>10.0</v>
      </c>
      <c r="K216">
        <f>IF(AND(J216&gt;0,A216&gt;=p_from,A216&lt;=p_to),1,0)</f>
        <v>1.0</v>
      </c>
      <c r="L216">
        <f>IF(AND(K216=1,OR(pa_po="",C216=pa_po),OR(pa_eq="",B216=pa_eq)),1,0)</f>
        <v>1.0</v>
      </c>
    </row>
    <row r="217">
      <c r="A217" s="51" t="n">
        <v>46302</v>
      </c>
      <c r="B217" s="52" t="inlineStr">
        <is>
          <t>Après-midi</t>
        </is>
      </c>
      <c r="C217" s="52" t="inlineStr">
        <is>
          <t>TOUR1</t>
        </is>
      </c>
      <c r="D217" s="53" t="inlineStr">
        <is>
          <t>Opérateur sur un autre poste</t>
        </is>
      </c>
      <c r="E217" s="60" t="n">
        <v>35</v>
      </c>
      <c r="F217" s="53" t="n"/>
      <c r="G217" s="61" t="str">
        <f>IF(OR(COUNTA(A217:E217)=0,D217=""),"",IFERROR(INDEX(ca_fam,MATCH(D217,ca_name,0))&amp;"",""))</f>
        <v>Manque personnel</v>
      </c>
      <c r="H217" s="58" t="str">
        <f>IF(OR(COUNTA(A217:E217)=0,D217=""),"",IFERROR(INDEX(ca_type,MATCH(D217,ca_name,0))&amp;"",""))</f>
        <v>Non planifié</v>
      </c>
      <c r="I217" s="58" t="str">
        <f>IF(COUNTA(A217:E217)=0,"",IF(N(A217)&lt;=0,"Date manquante ou invalide",IF(B217="","Équipe manquante",IF(ISNA(MATCH(B217,eq_code,0)),"Équipe inconnue",IF(C217="","Poste manquant",IF(ISNA(MATCH(C217,po_code,0)),"Poste inconnu",IF(D217="","Cause manquante",IF(ISNA(MATCH(D217,ca_name,0)),"Cause inconnue",IF(H217="","Cause à compléter dans Paramètres",IF(OR(NOT(ISNUMBER(E217)),N(E217)&lt;=0,N(E217)&gt;1440),"Durée invalide",IF(COUNTIFS(sj_date,A217,sj_eq,B217,sj_po,C217)=0,"Pas de saisie journalière ce jour-là","OK")))))))))))</f>
        <v>OK</v>
      </c>
      <c r="J217">
        <f>IF(OR(I217="OK",I217="Pas de saisie journalière ce jour-là"),E217,0)</f>
        <v>35.0</v>
      </c>
      <c r="K217">
        <f>IF(AND(J217&gt;0,A217&gt;=p_from,A217&lt;=p_to),1,0)</f>
        <v>1.0</v>
      </c>
      <c r="L217">
        <f>IF(AND(K217=1,OR(pa_po="",C217=pa_po),OR(pa_eq="",B217=pa_eq)),1,0)</f>
        <v>1.0</v>
      </c>
    </row>
    <row r="218">
      <c r="A218" s="51" t="n">
        <v>46302</v>
      </c>
      <c r="B218" s="52" t="inlineStr">
        <is>
          <t>Matin</t>
        </is>
      </c>
      <c r="C218" s="52" t="inlineStr">
        <is>
          <t>TOUR2</t>
        </is>
      </c>
      <c r="D218" s="53" t="inlineStr">
        <is>
          <t>Changement de série</t>
        </is>
      </c>
      <c r="E218" s="60" t="n">
        <v>53</v>
      </c>
      <c r="F218" s="53" t="n"/>
      <c r="G218" s="61" t="str">
        <f>IF(OR(COUNTA(A218:E218)=0,D218=""),"",IFERROR(INDEX(ca_fam,MATCH(D218,ca_name,0))&amp;"",""))</f>
        <v>Réglage et changement de série</v>
      </c>
      <c r="H218" s="58" t="str">
        <f>IF(OR(COUNTA(A218:E218)=0,D218=""),"",IFERROR(INDEX(ca_type,MATCH(D218,ca_name,0))&amp;"",""))</f>
        <v>Non planifié</v>
      </c>
      <c r="I218" s="58" t="str">
        <f>IF(COUNTA(A218:E218)=0,"",IF(N(A218)&lt;=0,"Date manquante ou invalide",IF(B218="","Équipe manquante",IF(ISNA(MATCH(B218,eq_code,0)),"Équipe inconnue",IF(C218="","Poste manquant",IF(ISNA(MATCH(C218,po_code,0)),"Poste inconnu",IF(D218="","Cause manquante",IF(ISNA(MATCH(D218,ca_name,0)),"Cause inconnue",IF(H218="","Cause à compléter dans Paramètres",IF(OR(NOT(ISNUMBER(E218)),N(E218)&lt;=0,N(E218)&gt;1440),"Durée invalide",IF(COUNTIFS(sj_date,A218,sj_eq,B218,sj_po,C218)=0,"Pas de saisie journalière ce jour-là","OK")))))))))))</f>
        <v>OK</v>
      </c>
      <c r="J218">
        <f>IF(OR(I218="OK",I218="Pas de saisie journalière ce jour-là"),E218,0)</f>
        <v>53.0</v>
      </c>
      <c r="K218">
        <f>IF(AND(J218&gt;0,A218&gt;=p_from,A218&lt;=p_to),1,0)</f>
        <v>1.0</v>
      </c>
      <c r="L218">
        <f>IF(AND(K218=1,OR(pa_po="",C218=pa_po),OR(pa_eq="",B218=pa_eq)),1,0)</f>
        <v>1.0</v>
      </c>
    </row>
    <row r="219">
      <c r="A219" s="51" t="n">
        <v>46302</v>
      </c>
      <c r="B219" s="52" t="inlineStr">
        <is>
          <t>Matin</t>
        </is>
      </c>
      <c r="C219" s="52" t="inlineStr">
        <is>
          <t>TOUR2</t>
        </is>
      </c>
      <c r="D219" s="53" t="inlineStr">
        <is>
          <t>Opérateur sur un autre poste</t>
        </is>
      </c>
      <c r="E219" s="60" t="n">
        <v>24</v>
      </c>
      <c r="F219" s="53" t="n"/>
      <c r="G219" s="61" t="str">
        <f>IF(OR(COUNTA(A219:E219)=0,D219=""),"",IFERROR(INDEX(ca_fam,MATCH(D219,ca_name,0))&amp;"",""))</f>
        <v>Manque personnel</v>
      </c>
      <c r="H219" s="58" t="str">
        <f>IF(OR(COUNTA(A219:E219)=0,D219=""),"",IFERROR(INDEX(ca_type,MATCH(D219,ca_name,0))&amp;"",""))</f>
        <v>Non planifié</v>
      </c>
      <c r="I219" s="58" t="str">
        <f>IF(COUNTA(A219:E219)=0,"",IF(N(A219)&lt;=0,"Date manquante ou invalide",IF(B219="","Équipe manquante",IF(ISNA(MATCH(B219,eq_code,0)),"Équipe inconnue",IF(C219="","Poste manquant",IF(ISNA(MATCH(C219,po_code,0)),"Poste inconnu",IF(D219="","Cause manquante",IF(ISNA(MATCH(D219,ca_name,0)),"Cause inconnue",IF(H219="","Cause à compléter dans Paramètres",IF(OR(NOT(ISNUMBER(E219)),N(E219)&lt;=0,N(E219)&gt;1440),"Durée invalide",IF(COUNTIFS(sj_date,A219,sj_eq,B219,sj_po,C219)=0,"Pas de saisie journalière ce jour-là","OK")))))))))))</f>
        <v>OK</v>
      </c>
      <c r="J219">
        <f>IF(OR(I219="OK",I219="Pas de saisie journalière ce jour-là"),E219,0)</f>
        <v>24.0</v>
      </c>
      <c r="K219">
        <f>IF(AND(J219&gt;0,A219&gt;=p_from,A219&lt;=p_to),1,0)</f>
        <v>1.0</v>
      </c>
      <c r="L219">
        <f>IF(AND(K219=1,OR(pa_po="",C219=pa_po),OR(pa_eq="",B219=pa_eq)),1,0)</f>
        <v>1.0</v>
      </c>
    </row>
    <row r="220">
      <c r="A220" s="51" t="n">
        <v>46302</v>
      </c>
      <c r="B220" s="52" t="inlineStr">
        <is>
          <t>Matin</t>
        </is>
      </c>
      <c r="C220" s="52" t="inlineStr">
        <is>
          <t>TOUR2</t>
        </is>
      </c>
      <c r="D220" s="53" t="inlineStr">
        <is>
          <t>Attente pièces de l'opération précédente</t>
        </is>
      </c>
      <c r="E220" s="60" t="n">
        <v>19</v>
      </c>
      <c r="F220" s="53" t="n"/>
      <c r="G220" s="61" t="str">
        <f>IF(OR(COUNTA(A220:E220)=0,D220=""),"",IFERROR(INDEX(ca_fam,MATCH(D220,ca_name,0))&amp;"",""))</f>
        <v>Manque matière</v>
      </c>
      <c r="H220" s="58" t="str">
        <f>IF(OR(COUNTA(A220:E220)=0,D220=""),"",IFERROR(INDEX(ca_type,MATCH(D220,ca_name,0))&amp;"",""))</f>
        <v>Non planifié</v>
      </c>
      <c r="I220" s="58" t="str">
        <f>IF(COUNTA(A220:E220)=0,"",IF(N(A220)&lt;=0,"Date manquante ou invalide",IF(B220="","Équipe manquante",IF(ISNA(MATCH(B220,eq_code,0)),"Équipe inconnue",IF(C220="","Poste manquant",IF(ISNA(MATCH(C220,po_code,0)),"Poste inconnu",IF(D220="","Cause manquante",IF(ISNA(MATCH(D220,ca_name,0)),"Cause inconnue",IF(H220="","Cause à compléter dans Paramètres",IF(OR(NOT(ISNUMBER(E220)),N(E220)&lt;=0,N(E220)&gt;1440),"Durée invalide",IF(COUNTIFS(sj_date,A220,sj_eq,B220,sj_po,C220)=0,"Pas de saisie journalière ce jour-là","OK")))))))))))</f>
        <v>OK</v>
      </c>
      <c r="J220">
        <f>IF(OR(I220="OK",I220="Pas de saisie journalière ce jour-là"),E220,0)</f>
        <v>19.0</v>
      </c>
      <c r="K220">
        <f>IF(AND(J220&gt;0,A220&gt;=p_from,A220&lt;=p_to),1,0)</f>
        <v>1.0</v>
      </c>
      <c r="L220">
        <f>IF(AND(K220=1,OR(pa_po="",C220=pa_po),OR(pa_eq="",B220=pa_eq)),1,0)</f>
        <v>1.0</v>
      </c>
    </row>
    <row r="221">
      <c r="A221" s="51" t="n">
        <v>46302</v>
      </c>
      <c r="B221" s="52" t="inlineStr">
        <is>
          <t>Après-midi</t>
        </is>
      </c>
      <c r="C221" s="52" t="inlineStr">
        <is>
          <t>TOUR2</t>
        </is>
      </c>
      <c r="D221" s="53" t="inlineStr">
        <is>
          <t>Panne mécanique</t>
        </is>
      </c>
      <c r="E221" s="60" t="n">
        <v>33</v>
      </c>
      <c r="F221" s="53" t="n"/>
      <c r="G221" s="61" t="str">
        <f>IF(OR(COUNTA(A221:E221)=0,D221=""),"",IFERROR(INDEX(ca_fam,MATCH(D221,ca_name,0))&amp;"",""))</f>
        <v>Panne</v>
      </c>
      <c r="H221" s="58" t="str">
        <f>IF(OR(COUNTA(A221:E221)=0,D221=""),"",IFERROR(INDEX(ca_type,MATCH(D221,ca_name,0))&amp;"",""))</f>
        <v>Non planifié</v>
      </c>
      <c r="I221" s="58" t="str">
        <f>IF(COUNTA(A221:E221)=0,"",IF(N(A221)&lt;=0,"Date manquante ou invalide",IF(B221="","Équipe manquante",IF(ISNA(MATCH(B221,eq_code,0)),"Équipe inconnue",IF(C221="","Poste manquant",IF(ISNA(MATCH(C221,po_code,0)),"Poste inconnu",IF(D221="","Cause manquante",IF(ISNA(MATCH(D221,ca_name,0)),"Cause inconnue",IF(H221="","Cause à compléter dans Paramètres",IF(OR(NOT(ISNUMBER(E221)),N(E221)&lt;=0,N(E221)&gt;1440),"Durée invalide",IF(COUNTIFS(sj_date,A221,sj_eq,B221,sj_po,C221)=0,"Pas de saisie journalière ce jour-là","OK")))))))))))</f>
        <v>OK</v>
      </c>
      <c r="J221">
        <f>IF(OR(I221="OK",I221="Pas de saisie journalière ce jour-là"),E221,0)</f>
        <v>33.0</v>
      </c>
      <c r="K221">
        <f>IF(AND(J221&gt;0,A221&gt;=p_from,A221&lt;=p_to),1,0)</f>
        <v>1.0</v>
      </c>
      <c r="L221">
        <f>IF(AND(K221=1,OR(pa_po="",C221=pa_po),OR(pa_eq="",B221=pa_eq)),1,0)</f>
        <v>1.0</v>
      </c>
    </row>
    <row r="222">
      <c r="A222" s="51" t="n">
        <v>46302</v>
      </c>
      <c r="B222" s="52" t="inlineStr">
        <is>
          <t>Après-midi</t>
        </is>
      </c>
      <c r="C222" s="52" t="inlineStr">
        <is>
          <t>TOUR2</t>
        </is>
      </c>
      <c r="D222" s="53" t="inlineStr">
        <is>
          <t>Attente matière</t>
        </is>
      </c>
      <c r="E222" s="60" t="n">
        <v>66</v>
      </c>
      <c r="F222" s="53" t="n"/>
      <c r="G222" s="61" t="str">
        <f>IF(OR(COUNTA(A222:E222)=0,D222=""),"",IFERROR(INDEX(ca_fam,MATCH(D222,ca_name,0))&amp;"",""))</f>
        <v>Manque matière</v>
      </c>
      <c r="H222" s="58" t="str">
        <f>IF(OR(COUNTA(A222:E222)=0,D222=""),"",IFERROR(INDEX(ca_type,MATCH(D222,ca_name,0))&amp;"",""))</f>
        <v>Non planifié</v>
      </c>
      <c r="I222" s="58" t="str">
        <f>IF(COUNTA(A222:E222)=0,"",IF(N(A222)&lt;=0,"Date manquante ou invalide",IF(B222="","Équipe manquante",IF(ISNA(MATCH(B222,eq_code,0)),"Équipe inconnue",IF(C222="","Poste manquant",IF(ISNA(MATCH(C222,po_code,0)),"Poste inconnu",IF(D222="","Cause manquante",IF(ISNA(MATCH(D222,ca_name,0)),"Cause inconnue",IF(H222="","Cause à compléter dans Paramètres",IF(OR(NOT(ISNUMBER(E222)),N(E222)&lt;=0,N(E222)&gt;1440),"Durée invalide",IF(COUNTIFS(sj_date,A222,sj_eq,B222,sj_po,C222)=0,"Pas de saisie journalière ce jour-là","OK")))))))))))</f>
        <v>OK</v>
      </c>
      <c r="J222">
        <f>IF(OR(I222="OK",I222="Pas de saisie journalière ce jour-là"),E222,0)</f>
        <v>66.0</v>
      </c>
      <c r="K222">
        <f>IF(AND(J222&gt;0,A222&gt;=p_from,A222&lt;=p_to),1,0)</f>
        <v>1.0</v>
      </c>
      <c r="L222">
        <f>IF(AND(K222=1,OR(pa_po="",C222=pa_po),OR(pa_eq="",B222=pa_eq)),1,0)</f>
        <v>1.0</v>
      </c>
    </row>
    <row r="223">
      <c r="A223" s="51" t="n">
        <v>46302</v>
      </c>
      <c r="B223" s="52" t="inlineStr">
        <is>
          <t>Matin</t>
        </is>
      </c>
      <c r="C223" s="52" t="inlineStr">
        <is>
          <t>USIN</t>
        </is>
      </c>
      <c r="D223" s="53" t="inlineStr">
        <is>
          <t>Changement de série</t>
        </is>
      </c>
      <c r="E223" s="60" t="n">
        <v>64</v>
      </c>
      <c r="F223" s="53" t="n"/>
      <c r="G223" s="61" t="str">
        <f>IF(OR(COUNTA(A223:E223)=0,D223=""),"",IFERROR(INDEX(ca_fam,MATCH(D223,ca_name,0))&amp;"",""))</f>
        <v>Réglage et changement de série</v>
      </c>
      <c r="H223" s="58" t="str">
        <f>IF(OR(COUNTA(A223:E223)=0,D223=""),"",IFERROR(INDEX(ca_type,MATCH(D223,ca_name,0))&amp;"",""))</f>
        <v>Non planifié</v>
      </c>
      <c r="I223" s="58" t="str">
        <f>IF(COUNTA(A223:E223)=0,"",IF(N(A223)&lt;=0,"Date manquante ou invalide",IF(B223="","Équipe manquante",IF(ISNA(MATCH(B223,eq_code,0)),"Équipe inconnue",IF(C223="","Poste manquant",IF(ISNA(MATCH(C223,po_code,0)),"Poste inconnu",IF(D223="","Cause manquante",IF(ISNA(MATCH(D223,ca_name,0)),"Cause inconnue",IF(H223="","Cause à compléter dans Paramètres",IF(OR(NOT(ISNUMBER(E223)),N(E223)&lt;=0,N(E223)&gt;1440),"Durée invalide",IF(COUNTIFS(sj_date,A223,sj_eq,B223,sj_po,C223)=0,"Pas de saisie journalière ce jour-là","OK")))))))))))</f>
        <v>OK</v>
      </c>
      <c r="J223">
        <f>IF(OR(I223="OK",I223="Pas de saisie journalière ce jour-là"),E223,0)</f>
        <v>64.0</v>
      </c>
      <c r="K223">
        <f>IF(AND(J223&gt;0,A223&gt;=p_from,A223&lt;=p_to),1,0)</f>
        <v>1.0</v>
      </c>
      <c r="L223">
        <f>IF(AND(K223=1,OR(pa_po="",C223=pa_po),OR(pa_eq="",B223=pa_eq)),1,0)</f>
        <v>1.0</v>
      </c>
    </row>
    <row r="224">
      <c r="A224" s="51" t="n">
        <v>46302</v>
      </c>
      <c r="B224" s="52" t="inlineStr">
        <is>
          <t>Après-midi</t>
        </is>
      </c>
      <c r="C224" s="52" t="inlineStr">
        <is>
          <t>USIN</t>
        </is>
      </c>
      <c r="D224" s="53" t="inlineStr">
        <is>
          <t>Attente matière</t>
        </is>
      </c>
      <c r="E224" s="60" t="n">
        <v>40</v>
      </c>
      <c r="F224" s="53" t="n"/>
      <c r="G224" s="61" t="str">
        <f>IF(OR(COUNTA(A224:E224)=0,D224=""),"",IFERROR(INDEX(ca_fam,MATCH(D224,ca_name,0))&amp;"",""))</f>
        <v>Manque matière</v>
      </c>
      <c r="H224" s="58" t="str">
        <f>IF(OR(COUNTA(A224:E224)=0,D224=""),"",IFERROR(INDEX(ca_type,MATCH(D224,ca_name,0))&amp;"",""))</f>
        <v>Non planifié</v>
      </c>
      <c r="I224" s="58" t="str">
        <f>IF(COUNTA(A224:E224)=0,"",IF(N(A224)&lt;=0,"Date manquante ou invalide",IF(B224="","Équipe manquante",IF(ISNA(MATCH(B224,eq_code,0)),"Équipe inconnue",IF(C224="","Poste manquant",IF(ISNA(MATCH(C224,po_code,0)),"Poste inconnu",IF(D224="","Cause manquante",IF(ISNA(MATCH(D224,ca_name,0)),"Cause inconnue",IF(H224="","Cause à compléter dans Paramètres",IF(OR(NOT(ISNUMBER(E224)),N(E224)&lt;=0,N(E224)&gt;1440),"Durée invalide",IF(COUNTIFS(sj_date,A224,sj_eq,B224,sj_po,C224)=0,"Pas de saisie journalière ce jour-là","OK")))))))))))</f>
        <v>OK</v>
      </c>
      <c r="J224">
        <f>IF(OR(I224="OK",I224="Pas de saisie journalière ce jour-là"),E224,0)</f>
        <v>40.0</v>
      </c>
      <c r="K224">
        <f>IF(AND(J224&gt;0,A224&gt;=p_from,A224&lt;=p_to),1,0)</f>
        <v>1.0</v>
      </c>
      <c r="L224">
        <f>IF(AND(K224=1,OR(pa_po="",C224=pa_po),OR(pa_eq="",B224=pa_eq)),1,0)</f>
        <v>1.0</v>
      </c>
    </row>
    <row r="225">
      <c r="A225" s="51" t="n">
        <v>46302</v>
      </c>
      <c r="B225" s="52" t="inlineStr">
        <is>
          <t>Après-midi</t>
        </is>
      </c>
      <c r="C225" s="52" t="inlineStr">
        <is>
          <t>USIN</t>
        </is>
      </c>
      <c r="D225" s="53" t="inlineStr">
        <is>
          <t>Attente contrôle qualité</t>
        </is>
      </c>
      <c r="E225" s="60" t="n">
        <v>15</v>
      </c>
      <c r="F225" s="53" t="n"/>
      <c r="G225" s="61" t="str">
        <f>IF(OR(COUNTA(A225:E225)=0,D225=""),"",IFERROR(INDEX(ca_fam,MATCH(D225,ca_name,0))&amp;"",""))</f>
        <v>Qualité</v>
      </c>
      <c r="H225" s="58" t="str">
        <f>IF(OR(COUNTA(A225:E225)=0,D225=""),"",IFERROR(INDEX(ca_type,MATCH(D225,ca_name,0))&amp;"",""))</f>
        <v>Non planifié</v>
      </c>
      <c r="I225" s="58" t="str">
        <f>IF(COUNTA(A225:E225)=0,"",IF(N(A225)&lt;=0,"Date manquante ou invalide",IF(B225="","Équipe manquante",IF(ISNA(MATCH(B225,eq_code,0)),"Équipe inconnue",IF(C225="","Poste manquant",IF(ISNA(MATCH(C225,po_code,0)),"Poste inconnu",IF(D225="","Cause manquante",IF(ISNA(MATCH(D225,ca_name,0)),"Cause inconnue",IF(H225="","Cause à compléter dans Paramètres",IF(OR(NOT(ISNUMBER(E225)),N(E225)&lt;=0,N(E225)&gt;1440),"Durée invalide",IF(COUNTIFS(sj_date,A225,sj_eq,B225,sj_po,C225)=0,"Pas de saisie journalière ce jour-là","OK")))))))))))</f>
        <v>OK</v>
      </c>
      <c r="J225">
        <f>IF(OR(I225="OK",I225="Pas de saisie journalière ce jour-là"),E225,0)</f>
        <v>15.0</v>
      </c>
      <c r="K225">
        <f>IF(AND(J225&gt;0,A225&gt;=p_from,A225&lt;=p_to),1,0)</f>
        <v>1.0</v>
      </c>
      <c r="L225">
        <f>IF(AND(K225=1,OR(pa_po="",C225=pa_po),OR(pa_eq="",B225=pa_eq)),1,0)</f>
        <v>1.0</v>
      </c>
    </row>
    <row r="226">
      <c r="A226" s="51" t="n">
        <v>46302</v>
      </c>
      <c r="B226" s="52" t="inlineStr">
        <is>
          <t>Journée</t>
        </is>
      </c>
      <c r="C226" s="52" t="inlineStr">
        <is>
          <t>PLIE</t>
        </is>
      </c>
      <c r="D226" s="53" t="inlineStr">
        <is>
          <t>Changement de série</t>
        </is>
      </c>
      <c r="E226" s="60" t="n">
        <v>70</v>
      </c>
      <c r="F226" s="53" t="n"/>
      <c r="G226" s="61" t="str">
        <f>IF(OR(COUNTA(A226:E226)=0,D226=""),"",IFERROR(INDEX(ca_fam,MATCH(D226,ca_name,0))&amp;"",""))</f>
        <v>Réglage et changement de série</v>
      </c>
      <c r="H226" s="58" t="str">
        <f>IF(OR(COUNTA(A226:E226)=0,D226=""),"",IFERROR(INDEX(ca_type,MATCH(D226,ca_name,0))&amp;"",""))</f>
        <v>Non planifié</v>
      </c>
      <c r="I226" s="58" t="str">
        <f>IF(COUNTA(A226:E226)=0,"",IF(N(A226)&lt;=0,"Date manquante ou invalide",IF(B226="","Équipe manquante",IF(ISNA(MATCH(B226,eq_code,0)),"Équipe inconnue",IF(C226="","Poste manquant",IF(ISNA(MATCH(C226,po_code,0)),"Poste inconnu",IF(D226="","Cause manquante",IF(ISNA(MATCH(D226,ca_name,0)),"Cause inconnue",IF(H226="","Cause à compléter dans Paramètres",IF(OR(NOT(ISNUMBER(E226)),N(E226)&lt;=0,N(E226)&gt;1440),"Durée invalide",IF(COUNTIFS(sj_date,A226,sj_eq,B226,sj_po,C226)=0,"Pas de saisie journalière ce jour-là","OK")))))))))))</f>
        <v>OK</v>
      </c>
      <c r="J226">
        <f>IF(OR(I226="OK",I226="Pas de saisie journalière ce jour-là"),E226,0)</f>
        <v>70.0</v>
      </c>
      <c r="K226">
        <f>IF(AND(J226&gt;0,A226&gt;=p_from,A226&lt;=p_to),1,0)</f>
        <v>1.0</v>
      </c>
      <c r="L226">
        <f>IF(AND(K226=1,OR(pa_po="",C226=pa_po),OR(pa_eq="",B226=pa_eq)),1,0)</f>
        <v>1.0</v>
      </c>
    </row>
    <row r="227">
      <c r="A227" s="51" t="n">
        <v>46302</v>
      </c>
      <c r="B227" s="52" t="inlineStr">
        <is>
          <t>Journée</t>
        </is>
      </c>
      <c r="C227" s="52" t="inlineStr">
        <is>
          <t>PLIE</t>
        </is>
      </c>
      <c r="D227" s="53" t="inlineStr">
        <is>
          <t>Attente chariot élévateur</t>
        </is>
      </c>
      <c r="E227" s="60" t="n">
        <v>8</v>
      </c>
      <c r="F227" s="53" t="n"/>
      <c r="G227" s="61" t="str">
        <f>IF(OR(COUNTA(A227:E227)=0,D227=""),"",IFERROR(INDEX(ca_fam,MATCH(D227,ca_name,0))&amp;"",""))</f>
        <v>Organisation</v>
      </c>
      <c r="H227" s="58" t="str">
        <f>IF(OR(COUNTA(A227:E227)=0,D227=""),"",IFERROR(INDEX(ca_type,MATCH(D227,ca_name,0))&amp;"",""))</f>
        <v>Non planifié</v>
      </c>
      <c r="I227" s="58" t="str">
        <f>IF(COUNTA(A227:E227)=0,"",IF(N(A227)&lt;=0,"Date manquante ou invalide",IF(B227="","Équipe manquante",IF(ISNA(MATCH(B227,eq_code,0)),"Équipe inconnue",IF(C227="","Poste manquant",IF(ISNA(MATCH(C227,po_code,0)),"Poste inconnu",IF(D227="","Cause manquante",IF(ISNA(MATCH(D227,ca_name,0)),"Cause inconnue",IF(H227="","Cause à compléter dans Paramètres",IF(OR(NOT(ISNUMBER(E227)),N(E227)&lt;=0,N(E227)&gt;1440),"Durée invalide",IF(COUNTIFS(sj_date,A227,sj_eq,B227,sj_po,C227)=0,"Pas de saisie journalière ce jour-là","OK")))))))))))</f>
        <v>OK</v>
      </c>
      <c r="J227">
        <f>IF(OR(I227="OK",I227="Pas de saisie journalière ce jour-là"),E227,0)</f>
        <v>8.0</v>
      </c>
      <c r="K227">
        <f>IF(AND(J227&gt;0,A227&gt;=p_from,A227&lt;=p_to),1,0)</f>
        <v>1.0</v>
      </c>
      <c r="L227">
        <f>IF(AND(K227=1,OR(pa_po="",C227=pa_po),OR(pa_eq="",B227=pa_eq)),1,0)</f>
        <v>1.0</v>
      </c>
    </row>
    <row r="228">
      <c r="A228" s="51" t="n">
        <v>46302</v>
      </c>
      <c r="B228" s="52" t="inlineStr">
        <is>
          <t>Matin</t>
        </is>
      </c>
      <c r="C228" s="52" t="inlineStr">
        <is>
          <t>SOUD</t>
        </is>
      </c>
      <c r="D228" s="53" t="inlineStr">
        <is>
          <t>Attente programme ou consignes</t>
        </is>
      </c>
      <c r="E228" s="60" t="n">
        <v>27</v>
      </c>
      <c r="F228" s="53" t="n"/>
      <c r="G228" s="61" t="str">
        <f>IF(OR(COUNTA(A228:E228)=0,D228=""),"",IFERROR(INDEX(ca_fam,MATCH(D228,ca_name,0))&amp;"",""))</f>
        <v>Organisation</v>
      </c>
      <c r="H228" s="58" t="str">
        <f>IF(OR(COUNTA(A228:E228)=0,D228=""),"",IFERROR(INDEX(ca_type,MATCH(D228,ca_name,0))&amp;"",""))</f>
        <v>Non planifié</v>
      </c>
      <c r="I228" s="58" t="str">
        <f>IF(COUNTA(A228:E228)=0,"",IF(N(A228)&lt;=0,"Date manquante ou invalide",IF(B228="","Équipe manquante",IF(ISNA(MATCH(B228,eq_code,0)),"Équipe inconnue",IF(C228="","Poste manquant",IF(ISNA(MATCH(C228,po_code,0)),"Poste inconnu",IF(D228="","Cause manquante",IF(ISNA(MATCH(D228,ca_name,0)),"Cause inconnue",IF(H228="","Cause à compléter dans Paramètres",IF(OR(NOT(ISNUMBER(E228)),N(E228)&lt;=0,N(E228)&gt;1440),"Durée invalide",IF(COUNTIFS(sj_date,A228,sj_eq,B228,sj_po,C228)=0,"Pas de saisie journalière ce jour-là","OK")))))))))))</f>
        <v>OK</v>
      </c>
      <c r="J228">
        <f>IF(OR(I228="OK",I228="Pas de saisie journalière ce jour-là"),E228,0)</f>
        <v>27.0</v>
      </c>
      <c r="K228">
        <f>IF(AND(J228&gt;0,A228&gt;=p_from,A228&lt;=p_to),1,0)</f>
        <v>1.0</v>
      </c>
      <c r="L228">
        <f>IF(AND(K228=1,OR(pa_po="",C228=pa_po),OR(pa_eq="",B228=pa_eq)),1,0)</f>
        <v>1.0</v>
      </c>
    </row>
    <row r="229">
      <c r="A229" s="51" t="n">
        <v>46302</v>
      </c>
      <c r="B229" s="52" t="inlineStr">
        <is>
          <t>Matin</t>
        </is>
      </c>
      <c r="C229" s="52" t="inlineStr">
        <is>
          <t>SOUD</t>
        </is>
      </c>
      <c r="D229" s="53" t="inlineStr">
        <is>
          <t>Attente pièces de l'opération précédente</t>
        </is>
      </c>
      <c r="E229" s="60" t="n">
        <v>33</v>
      </c>
      <c r="F229" s="53" t="n"/>
      <c r="G229" s="61" t="str">
        <f>IF(OR(COUNTA(A229:E229)=0,D229=""),"",IFERROR(INDEX(ca_fam,MATCH(D229,ca_name,0))&amp;"",""))</f>
        <v>Manque matière</v>
      </c>
      <c r="H229" s="58" t="str">
        <f>IF(OR(COUNTA(A229:E229)=0,D229=""),"",IFERROR(INDEX(ca_type,MATCH(D229,ca_name,0))&amp;"",""))</f>
        <v>Non planifié</v>
      </c>
      <c r="I229" s="58" t="str">
        <f>IF(COUNTA(A229:E229)=0,"",IF(N(A229)&lt;=0,"Date manquante ou invalide",IF(B229="","Équipe manquante",IF(ISNA(MATCH(B229,eq_code,0)),"Équipe inconnue",IF(C229="","Poste manquant",IF(ISNA(MATCH(C229,po_code,0)),"Poste inconnu",IF(D229="","Cause manquante",IF(ISNA(MATCH(D229,ca_name,0)),"Cause inconnue",IF(H229="","Cause à compléter dans Paramètres",IF(OR(NOT(ISNUMBER(E229)),N(E229)&lt;=0,N(E229)&gt;1440),"Durée invalide",IF(COUNTIFS(sj_date,A229,sj_eq,B229,sj_po,C229)=0,"Pas de saisie journalière ce jour-là","OK")))))))))))</f>
        <v>OK</v>
      </c>
      <c r="J229">
        <f>IF(OR(I229="OK",I229="Pas de saisie journalière ce jour-là"),E229,0)</f>
        <v>33.0</v>
      </c>
      <c r="K229">
        <f>IF(AND(J229&gt;0,A229&gt;=p_from,A229&lt;=p_to),1,0)</f>
        <v>1.0</v>
      </c>
      <c r="L229">
        <f>IF(AND(K229=1,OR(pa_po="",C229=pa_po),OR(pa_eq="",B229=pa_eq)),1,0)</f>
        <v>1.0</v>
      </c>
    </row>
    <row r="230">
      <c r="A230" s="51" t="n">
        <v>46302</v>
      </c>
      <c r="B230" s="52" t="inlineStr">
        <is>
          <t>Matin</t>
        </is>
      </c>
      <c r="C230" s="52" t="inlineStr">
        <is>
          <t>SOUD</t>
        </is>
      </c>
      <c r="D230" s="53" t="inlineStr">
        <is>
          <t>Changement de série</t>
        </is>
      </c>
      <c r="E230" s="60" t="n">
        <v>49</v>
      </c>
      <c r="F230" s="53" t="n"/>
      <c r="G230" s="61" t="str">
        <f>IF(OR(COUNTA(A230:E230)=0,D230=""),"",IFERROR(INDEX(ca_fam,MATCH(D230,ca_name,0))&amp;"",""))</f>
        <v>Réglage et changement de série</v>
      </c>
      <c r="H230" s="58" t="str">
        <f>IF(OR(COUNTA(A230:E230)=0,D230=""),"",IFERROR(INDEX(ca_type,MATCH(D230,ca_name,0))&amp;"",""))</f>
        <v>Non planifié</v>
      </c>
      <c r="I230" s="58" t="str">
        <f>IF(COUNTA(A230:E230)=0,"",IF(N(A230)&lt;=0,"Date manquante ou invalide",IF(B230="","Équipe manquante",IF(ISNA(MATCH(B230,eq_code,0)),"Équipe inconnue",IF(C230="","Poste manquant",IF(ISNA(MATCH(C230,po_code,0)),"Poste inconnu",IF(D230="","Cause manquante",IF(ISNA(MATCH(D230,ca_name,0)),"Cause inconnue",IF(H230="","Cause à compléter dans Paramètres",IF(OR(NOT(ISNUMBER(E230)),N(E230)&lt;=0,N(E230)&gt;1440),"Durée invalide",IF(COUNTIFS(sj_date,A230,sj_eq,B230,sj_po,C230)=0,"Pas de saisie journalière ce jour-là","OK")))))))))))</f>
        <v>OK</v>
      </c>
      <c r="J230">
        <f>IF(OR(I230="OK",I230="Pas de saisie journalière ce jour-là"),E230,0)</f>
        <v>49.0</v>
      </c>
      <c r="K230">
        <f>IF(AND(J230&gt;0,A230&gt;=p_from,A230&lt;=p_to),1,0)</f>
        <v>1.0</v>
      </c>
      <c r="L230">
        <f>IF(AND(K230=1,OR(pa_po="",C230=pa_po),OR(pa_eq="",B230=pa_eq)),1,0)</f>
        <v>1.0</v>
      </c>
    </row>
    <row r="231">
      <c r="A231" s="51" t="n">
        <v>46302</v>
      </c>
      <c r="B231" s="52" t="inlineStr">
        <is>
          <t>Après-midi</t>
        </is>
      </c>
      <c r="C231" s="52" t="inlineStr">
        <is>
          <t>SOUD</t>
        </is>
      </c>
      <c r="D231" s="53" t="inlineStr">
        <is>
          <t>Changement de série</t>
        </is>
      </c>
      <c r="E231" s="60" t="n">
        <v>29</v>
      </c>
      <c r="F231" s="53" t="n"/>
      <c r="G231" s="61" t="str">
        <f>IF(OR(COUNTA(A231:E231)=0,D231=""),"",IFERROR(INDEX(ca_fam,MATCH(D231,ca_name,0))&amp;"",""))</f>
        <v>Réglage et changement de série</v>
      </c>
      <c r="H231" s="58" t="str">
        <f>IF(OR(COUNTA(A231:E231)=0,D231=""),"",IFERROR(INDEX(ca_type,MATCH(D231,ca_name,0))&amp;"",""))</f>
        <v>Non planifié</v>
      </c>
      <c r="I231" s="58" t="str">
        <f>IF(COUNTA(A231:E231)=0,"",IF(N(A231)&lt;=0,"Date manquante ou invalide",IF(B231="","Équipe manquante",IF(ISNA(MATCH(B231,eq_code,0)),"Équipe inconnue",IF(C231="","Poste manquant",IF(ISNA(MATCH(C231,po_code,0)),"Poste inconnu",IF(D231="","Cause manquante",IF(ISNA(MATCH(D231,ca_name,0)),"Cause inconnue",IF(H231="","Cause à compléter dans Paramètres",IF(OR(NOT(ISNUMBER(E231)),N(E231)&lt;=0,N(E231)&gt;1440),"Durée invalide",IF(COUNTIFS(sj_date,A231,sj_eq,B231,sj_po,C231)=0,"Pas de saisie journalière ce jour-là","OK")))))))))))</f>
        <v>OK</v>
      </c>
      <c r="J231">
        <f>IF(OR(I231="OK",I231="Pas de saisie journalière ce jour-là"),E231,0)</f>
        <v>29.0</v>
      </c>
      <c r="K231">
        <f>IF(AND(J231&gt;0,A231&gt;=p_from,A231&lt;=p_to),1,0)</f>
        <v>1.0</v>
      </c>
      <c r="L231">
        <f>IF(AND(K231=1,OR(pa_po="",C231=pa_po),OR(pa_eq="",B231=pa_eq)),1,0)</f>
        <v>1.0</v>
      </c>
    </row>
    <row r="232">
      <c r="A232" s="51" t="n">
        <v>46302</v>
      </c>
      <c r="B232" s="52" t="inlineStr">
        <is>
          <t>Après-midi</t>
        </is>
      </c>
      <c r="C232" s="52" t="inlineStr">
        <is>
          <t>SOUD</t>
        </is>
      </c>
      <c r="D232" s="53" t="inlineStr">
        <is>
          <t>Réglage en cours de production</t>
        </is>
      </c>
      <c r="E232" s="60" t="n">
        <v>14</v>
      </c>
      <c r="F232" s="53" t="n"/>
      <c r="G232" s="61" t="str">
        <f>IF(OR(COUNTA(A232:E232)=0,D232=""),"",IFERROR(INDEX(ca_fam,MATCH(D232,ca_name,0))&amp;"",""))</f>
        <v>Réglage et changement de série</v>
      </c>
      <c r="H232" s="58" t="str">
        <f>IF(OR(COUNTA(A232:E232)=0,D232=""),"",IFERROR(INDEX(ca_type,MATCH(D232,ca_name,0))&amp;"",""))</f>
        <v>Non planifié</v>
      </c>
      <c r="I232" s="58" t="str">
        <f>IF(COUNTA(A232:E232)=0,"",IF(N(A232)&lt;=0,"Date manquante ou invalide",IF(B232="","Équipe manquante",IF(ISNA(MATCH(B232,eq_code,0)),"Équipe inconnue",IF(C232="","Poste manquant",IF(ISNA(MATCH(C232,po_code,0)),"Poste inconnu",IF(D232="","Cause manquante",IF(ISNA(MATCH(D232,ca_name,0)),"Cause inconnue",IF(H232="","Cause à compléter dans Paramètres",IF(OR(NOT(ISNUMBER(E232)),N(E232)&lt;=0,N(E232)&gt;1440),"Durée invalide",IF(COUNTIFS(sj_date,A232,sj_eq,B232,sj_po,C232)=0,"Pas de saisie journalière ce jour-là","OK")))))))))))</f>
        <v>OK</v>
      </c>
      <c r="J232">
        <f>IF(OR(I232="OK",I232="Pas de saisie journalière ce jour-là"),E232,0)</f>
        <v>14.0</v>
      </c>
      <c r="K232">
        <f>IF(AND(J232&gt;0,A232&gt;=p_from,A232&lt;=p_to),1,0)</f>
        <v>1.0</v>
      </c>
      <c r="L232">
        <f>IF(AND(K232=1,OR(pa_po="",C232=pa_po),OR(pa_eq="",B232=pa_eq)),1,0)</f>
        <v>1.0</v>
      </c>
    </row>
    <row r="233">
      <c r="A233" s="51" t="n">
        <v>46302</v>
      </c>
      <c r="B233" s="52" t="inlineStr">
        <is>
          <t>Après-midi</t>
        </is>
      </c>
      <c r="C233" s="52" t="inlineStr">
        <is>
          <t>SOUD</t>
        </is>
      </c>
      <c r="D233" s="53" t="inlineStr">
        <is>
          <t>Changement de série</t>
        </is>
      </c>
      <c r="E233" s="60" t="n">
        <v>38</v>
      </c>
      <c r="F233" s="53" t="n"/>
      <c r="G233" s="61" t="str">
        <f>IF(OR(COUNTA(A233:E233)=0,D233=""),"",IFERROR(INDEX(ca_fam,MATCH(D233,ca_name,0))&amp;"",""))</f>
        <v>Réglage et changement de série</v>
      </c>
      <c r="H233" s="58" t="str">
        <f>IF(OR(COUNTA(A233:E233)=0,D233=""),"",IFERROR(INDEX(ca_type,MATCH(D233,ca_name,0))&amp;"",""))</f>
        <v>Non planifié</v>
      </c>
      <c r="I233" s="58" t="str">
        <f>IF(COUNTA(A233:E233)=0,"",IF(N(A233)&lt;=0,"Date manquante ou invalide",IF(B233="","Équipe manquante",IF(ISNA(MATCH(B233,eq_code,0)),"Équipe inconnue",IF(C233="","Poste manquant",IF(ISNA(MATCH(C233,po_code,0)),"Poste inconnu",IF(D233="","Cause manquante",IF(ISNA(MATCH(D233,ca_name,0)),"Cause inconnue",IF(H233="","Cause à compléter dans Paramètres",IF(OR(NOT(ISNUMBER(E233)),N(E233)&lt;=0,N(E233)&gt;1440),"Durée invalide",IF(COUNTIFS(sj_date,A233,sj_eq,B233,sj_po,C233)=0,"Pas de saisie journalière ce jour-là","OK")))))))))))</f>
        <v>OK</v>
      </c>
      <c r="J233">
        <f>IF(OR(I233="OK",I233="Pas de saisie journalière ce jour-là"),E233,0)</f>
        <v>38.0</v>
      </c>
      <c r="K233">
        <f>IF(AND(J233&gt;0,A233&gt;=p_from,A233&lt;=p_to),1,0)</f>
        <v>1.0</v>
      </c>
      <c r="L233">
        <f>IF(AND(K233=1,OR(pa_po="",C233=pa_po),OR(pa_eq="",B233=pa_eq)),1,0)</f>
        <v>1.0</v>
      </c>
    </row>
    <row r="234">
      <c r="A234" s="51" t="n">
        <v>46302</v>
      </c>
      <c r="B234" s="52" t="inlineStr">
        <is>
          <t>Après-midi</t>
        </is>
      </c>
      <c r="C234" s="52" t="inlineStr">
        <is>
          <t>SOUD</t>
        </is>
      </c>
      <c r="D234" s="53" t="inlineStr">
        <is>
          <t>Changement d'outil</t>
        </is>
      </c>
      <c r="E234" s="60" t="n">
        <v>17</v>
      </c>
      <c r="F234" s="53" t="n"/>
      <c r="G234" s="61" t="str">
        <f>IF(OR(COUNTA(A234:E234)=0,D234=""),"",IFERROR(INDEX(ca_fam,MATCH(D234,ca_name,0))&amp;"",""))</f>
        <v>Réglage et changement de série</v>
      </c>
      <c r="H234" s="58" t="str">
        <f>IF(OR(COUNTA(A234:E234)=0,D234=""),"",IFERROR(INDEX(ca_type,MATCH(D234,ca_name,0))&amp;"",""))</f>
        <v>Non planifié</v>
      </c>
      <c r="I234" s="58" t="str">
        <f>IF(COUNTA(A234:E234)=0,"",IF(N(A234)&lt;=0,"Date manquante ou invalide",IF(B234="","Équipe manquante",IF(ISNA(MATCH(B234,eq_code,0)),"Équipe inconnue",IF(C234="","Poste manquant",IF(ISNA(MATCH(C234,po_code,0)),"Poste inconnu",IF(D234="","Cause manquante",IF(ISNA(MATCH(D234,ca_name,0)),"Cause inconnue",IF(H234="","Cause à compléter dans Paramètres",IF(OR(NOT(ISNUMBER(E234)),N(E234)&lt;=0,N(E234)&gt;1440),"Durée invalide",IF(COUNTIFS(sj_date,A234,sj_eq,B234,sj_po,C234)=0,"Pas de saisie journalière ce jour-là","OK")))))))))))</f>
        <v>OK</v>
      </c>
      <c r="J234">
        <f>IF(OR(I234="OK",I234="Pas de saisie journalière ce jour-là"),E234,0)</f>
        <v>17.0</v>
      </c>
      <c r="K234">
        <f>IF(AND(J234&gt;0,A234&gt;=p_from,A234&lt;=p_to),1,0)</f>
        <v>1.0</v>
      </c>
      <c r="L234">
        <f>IF(AND(K234=1,OR(pa_po="",C234=pa_po),OR(pa_eq="",B234=pa_eq)),1,0)</f>
        <v>1.0</v>
      </c>
    </row>
    <row r="235">
      <c r="A235" s="51" t="n">
        <v>46303</v>
      </c>
      <c r="B235" s="52" t="inlineStr">
        <is>
          <t>Après-midi</t>
        </is>
      </c>
      <c r="C235" s="52" t="inlineStr">
        <is>
          <t>TOUR1</t>
        </is>
      </c>
      <c r="D235" s="53" t="inlineStr">
        <is>
          <t>Attente contrôle qualité</t>
        </is>
      </c>
      <c r="E235" s="60" t="n">
        <v>18</v>
      </c>
      <c r="F235" s="53" t="n"/>
      <c r="G235" s="61" t="str">
        <f>IF(OR(COUNTA(A235:E235)=0,D235=""),"",IFERROR(INDEX(ca_fam,MATCH(D235,ca_name,0))&amp;"",""))</f>
        <v>Qualité</v>
      </c>
      <c r="H235" s="58" t="str">
        <f>IF(OR(COUNTA(A235:E235)=0,D235=""),"",IFERROR(INDEX(ca_type,MATCH(D235,ca_name,0))&amp;"",""))</f>
        <v>Non planifié</v>
      </c>
      <c r="I235" s="58" t="str">
        <f>IF(COUNTA(A235:E235)=0,"",IF(N(A235)&lt;=0,"Date manquante ou invalide",IF(B235="","Équipe manquante",IF(ISNA(MATCH(B235,eq_code,0)),"Équipe inconnue",IF(C235="","Poste manquant",IF(ISNA(MATCH(C235,po_code,0)),"Poste inconnu",IF(D235="","Cause manquante",IF(ISNA(MATCH(D235,ca_name,0)),"Cause inconnue",IF(H235="","Cause à compléter dans Paramètres",IF(OR(NOT(ISNUMBER(E235)),N(E235)&lt;=0,N(E235)&gt;1440),"Durée invalide",IF(COUNTIFS(sj_date,A235,sj_eq,B235,sj_po,C235)=0,"Pas de saisie journalière ce jour-là","OK")))))))))))</f>
        <v>OK</v>
      </c>
      <c r="J235">
        <f>IF(OR(I235="OK",I235="Pas de saisie journalière ce jour-là"),E235,0)</f>
        <v>18.0</v>
      </c>
      <c r="K235">
        <f>IF(AND(J235&gt;0,A235&gt;=p_from,A235&lt;=p_to),1,0)</f>
        <v>1.0</v>
      </c>
      <c r="L235">
        <f>IF(AND(K235=1,OR(pa_po="",C235=pa_po),OR(pa_eq="",B235=pa_eq)),1,0)</f>
        <v>1.0</v>
      </c>
    </row>
    <row r="236">
      <c r="A236" s="51" t="n">
        <v>46303</v>
      </c>
      <c r="B236" s="52" t="inlineStr">
        <is>
          <t>Après-midi</t>
        </is>
      </c>
      <c r="C236" s="52" t="inlineStr">
        <is>
          <t>TOUR2</t>
        </is>
      </c>
      <c r="D236" s="53" t="inlineStr">
        <is>
          <t>Changement de série</t>
        </is>
      </c>
      <c r="E236" s="60" t="n">
        <v>63</v>
      </c>
      <c r="F236" s="53" t="n"/>
      <c r="G236" s="61" t="str">
        <f>IF(OR(COUNTA(A236:E236)=0,D236=""),"",IFERROR(INDEX(ca_fam,MATCH(D236,ca_name,0))&amp;"",""))</f>
        <v>Réglage et changement de série</v>
      </c>
      <c r="H236" s="58" t="str">
        <f>IF(OR(COUNTA(A236:E236)=0,D236=""),"",IFERROR(INDEX(ca_type,MATCH(D236,ca_name,0))&amp;"",""))</f>
        <v>Non planifié</v>
      </c>
      <c r="I236" s="58" t="str">
        <f>IF(COUNTA(A236:E236)=0,"",IF(N(A236)&lt;=0,"Date manquante ou invalide",IF(B236="","Équipe manquante",IF(ISNA(MATCH(B236,eq_code,0)),"Équipe inconnue",IF(C236="","Poste manquant",IF(ISNA(MATCH(C236,po_code,0)),"Poste inconnu",IF(D236="","Cause manquante",IF(ISNA(MATCH(D236,ca_name,0)),"Cause inconnue",IF(H236="","Cause à compléter dans Paramètres",IF(OR(NOT(ISNUMBER(E236)),N(E236)&lt;=0,N(E236)&gt;1440),"Durée invalide",IF(COUNTIFS(sj_date,A236,sj_eq,B236,sj_po,C236)=0,"Pas de saisie journalière ce jour-là","OK")))))))))))</f>
        <v>OK</v>
      </c>
      <c r="J236">
        <f>IF(OR(I236="OK",I236="Pas de saisie journalière ce jour-là"),E236,0)</f>
        <v>63.0</v>
      </c>
      <c r="K236">
        <f>IF(AND(J236&gt;0,A236&gt;=p_from,A236&lt;=p_to),1,0)</f>
        <v>1.0</v>
      </c>
      <c r="L236">
        <f>IF(AND(K236=1,OR(pa_po="",C236=pa_po),OR(pa_eq="",B236=pa_eq)),1,0)</f>
        <v>1.0</v>
      </c>
    </row>
    <row r="237">
      <c r="A237" s="51" t="n">
        <v>46303</v>
      </c>
      <c r="B237" s="52" t="inlineStr">
        <is>
          <t>Après-midi</t>
        </is>
      </c>
      <c r="C237" s="52" t="inlineStr">
        <is>
          <t>TOUR2</t>
        </is>
      </c>
      <c r="D237" s="53" t="inlineStr">
        <is>
          <t>Attente programme ou consignes</t>
        </is>
      </c>
      <c r="E237" s="60" t="n">
        <v>21</v>
      </c>
      <c r="F237" s="53" t="n"/>
      <c r="G237" s="61" t="str">
        <f>IF(OR(COUNTA(A237:E237)=0,D237=""),"",IFERROR(INDEX(ca_fam,MATCH(D237,ca_name,0))&amp;"",""))</f>
        <v>Organisation</v>
      </c>
      <c r="H237" s="58" t="str">
        <f>IF(OR(COUNTA(A237:E237)=0,D237=""),"",IFERROR(INDEX(ca_type,MATCH(D237,ca_name,0))&amp;"",""))</f>
        <v>Non planifié</v>
      </c>
      <c r="I237" s="58" t="str">
        <f>IF(COUNTA(A237:E237)=0,"",IF(N(A237)&lt;=0,"Date manquante ou invalide",IF(B237="","Équipe manquante",IF(ISNA(MATCH(B237,eq_code,0)),"Équipe inconnue",IF(C237="","Poste manquant",IF(ISNA(MATCH(C237,po_code,0)),"Poste inconnu",IF(D237="","Cause manquante",IF(ISNA(MATCH(D237,ca_name,0)),"Cause inconnue",IF(H237="","Cause à compléter dans Paramètres",IF(OR(NOT(ISNUMBER(E237)),N(E237)&lt;=0,N(E237)&gt;1440),"Durée invalide",IF(COUNTIFS(sj_date,A237,sj_eq,B237,sj_po,C237)=0,"Pas de saisie journalière ce jour-là","OK")))))))))))</f>
        <v>OK</v>
      </c>
      <c r="J237">
        <f>IF(OR(I237="OK",I237="Pas de saisie journalière ce jour-là"),E237,0)</f>
        <v>21.0</v>
      </c>
      <c r="K237">
        <f>IF(AND(J237&gt;0,A237&gt;=p_from,A237&lt;=p_to),1,0)</f>
        <v>1.0</v>
      </c>
      <c r="L237">
        <f>IF(AND(K237=1,OR(pa_po="",C237=pa_po),OR(pa_eq="",B237=pa_eq)),1,0)</f>
        <v>1.0</v>
      </c>
    </row>
    <row r="238">
      <c r="A238" s="51" t="n">
        <v>46303</v>
      </c>
      <c r="B238" s="52" t="inlineStr">
        <is>
          <t>Matin</t>
        </is>
      </c>
      <c r="C238" s="52" t="inlineStr">
        <is>
          <t>USIN</t>
        </is>
      </c>
      <c r="D238" s="53" t="inlineStr">
        <is>
          <t>Casse outil</t>
        </is>
      </c>
      <c r="E238" s="60" t="n">
        <v>28</v>
      </c>
      <c r="F238" s="53" t="n"/>
      <c r="G238" s="61" t="str">
        <f>IF(OR(COUNTA(A238:E238)=0,D238=""),"",IFERROR(INDEX(ca_fam,MATCH(D238,ca_name,0))&amp;"",""))</f>
        <v>Panne</v>
      </c>
      <c r="H238" s="58" t="str">
        <f>IF(OR(COUNTA(A238:E238)=0,D238=""),"",IFERROR(INDEX(ca_type,MATCH(D238,ca_name,0))&amp;"",""))</f>
        <v>Non planifié</v>
      </c>
      <c r="I238" s="58" t="str">
        <f>IF(COUNTA(A238:E238)=0,"",IF(N(A238)&lt;=0,"Date manquante ou invalide",IF(B238="","Équipe manquante",IF(ISNA(MATCH(B238,eq_code,0)),"Équipe inconnue",IF(C238="","Poste manquant",IF(ISNA(MATCH(C238,po_code,0)),"Poste inconnu",IF(D238="","Cause manquante",IF(ISNA(MATCH(D238,ca_name,0)),"Cause inconnue",IF(H238="","Cause à compléter dans Paramètres",IF(OR(NOT(ISNUMBER(E238)),N(E238)&lt;=0,N(E238)&gt;1440),"Durée invalide",IF(COUNTIFS(sj_date,A238,sj_eq,B238,sj_po,C238)=0,"Pas de saisie journalière ce jour-là","OK")))))))))))</f>
        <v>OK</v>
      </c>
      <c r="J238">
        <f>IF(OR(I238="OK",I238="Pas de saisie journalière ce jour-là"),E238,0)</f>
        <v>28.0</v>
      </c>
      <c r="K238">
        <f>IF(AND(J238&gt;0,A238&gt;=p_from,A238&lt;=p_to),1,0)</f>
        <v>1.0</v>
      </c>
      <c r="L238">
        <f>IF(AND(K238=1,OR(pa_po="",C238=pa_po),OR(pa_eq="",B238=pa_eq)),1,0)</f>
        <v>1.0</v>
      </c>
    </row>
    <row r="239">
      <c r="A239" s="51" t="n">
        <v>46303</v>
      </c>
      <c r="B239" s="52" t="inlineStr">
        <is>
          <t>Après-midi</t>
        </is>
      </c>
      <c r="C239" s="52" t="inlineStr">
        <is>
          <t>USIN</t>
        </is>
      </c>
      <c r="D239" s="53" t="inlineStr">
        <is>
          <t>Attente contrôle qualité</t>
        </is>
      </c>
      <c r="E239" s="60" t="n">
        <v>12</v>
      </c>
      <c r="F239" s="53" t="n"/>
      <c r="G239" s="61" t="str">
        <f>IF(OR(COUNTA(A239:E239)=0,D239=""),"",IFERROR(INDEX(ca_fam,MATCH(D239,ca_name,0))&amp;"",""))</f>
        <v>Qualité</v>
      </c>
      <c r="H239" s="58" t="str">
        <f>IF(OR(COUNTA(A239:E239)=0,D239=""),"",IFERROR(INDEX(ca_type,MATCH(D239,ca_name,0))&amp;"",""))</f>
        <v>Non planifié</v>
      </c>
      <c r="I239" s="58" t="str">
        <f>IF(COUNTA(A239:E239)=0,"",IF(N(A239)&lt;=0,"Date manquante ou invalide",IF(B239="","Équipe manquante",IF(ISNA(MATCH(B239,eq_code,0)),"Équipe inconnue",IF(C239="","Poste manquant",IF(ISNA(MATCH(C239,po_code,0)),"Poste inconnu",IF(D239="","Cause manquante",IF(ISNA(MATCH(D239,ca_name,0)),"Cause inconnue",IF(H239="","Cause à compléter dans Paramètres",IF(OR(NOT(ISNUMBER(E239)),N(E239)&lt;=0,N(E239)&gt;1440),"Durée invalide",IF(COUNTIFS(sj_date,A239,sj_eq,B239,sj_po,C239)=0,"Pas de saisie journalière ce jour-là","OK")))))))))))</f>
        <v>OK</v>
      </c>
      <c r="J239">
        <f>IF(OR(I239="OK",I239="Pas de saisie journalière ce jour-là"),E239,0)</f>
        <v>12.0</v>
      </c>
      <c r="K239">
        <f>IF(AND(J239&gt;0,A239&gt;=p_from,A239&lt;=p_to),1,0)</f>
        <v>1.0</v>
      </c>
      <c r="L239">
        <f>IF(AND(K239=1,OR(pa_po="",C239=pa_po),OR(pa_eq="",B239=pa_eq)),1,0)</f>
        <v>1.0</v>
      </c>
    </row>
    <row r="240">
      <c r="A240" s="51" t="n">
        <v>46303</v>
      </c>
      <c r="B240" s="52" t="inlineStr">
        <is>
          <t>Après-midi</t>
        </is>
      </c>
      <c r="C240" s="52" t="inlineStr">
        <is>
          <t>USIN</t>
        </is>
      </c>
      <c r="D240" s="53" t="inlineStr">
        <is>
          <t>Panne mécanique</t>
        </is>
      </c>
      <c r="E240" s="60" t="n">
        <v>88</v>
      </c>
      <c r="F240" s="53" t="n"/>
      <c r="G240" s="61" t="str">
        <f>IF(OR(COUNTA(A240:E240)=0,D240=""),"",IFERROR(INDEX(ca_fam,MATCH(D240,ca_name,0))&amp;"",""))</f>
        <v>Panne</v>
      </c>
      <c r="H240" s="58" t="str">
        <f>IF(OR(COUNTA(A240:E240)=0,D240=""),"",IFERROR(INDEX(ca_type,MATCH(D240,ca_name,0))&amp;"",""))</f>
        <v>Non planifié</v>
      </c>
      <c r="I240" s="58" t="str">
        <f>IF(COUNTA(A240:E240)=0,"",IF(N(A240)&lt;=0,"Date manquante ou invalide",IF(B240="","Équipe manquante",IF(ISNA(MATCH(B240,eq_code,0)),"Équipe inconnue",IF(C240="","Poste manquant",IF(ISNA(MATCH(C240,po_code,0)),"Poste inconnu",IF(D240="","Cause manquante",IF(ISNA(MATCH(D240,ca_name,0)),"Cause inconnue",IF(H240="","Cause à compléter dans Paramètres",IF(OR(NOT(ISNUMBER(E240)),N(E240)&lt;=0,N(E240)&gt;1440),"Durée invalide",IF(COUNTIFS(sj_date,A240,sj_eq,B240,sj_po,C240)=0,"Pas de saisie journalière ce jour-là","OK")))))))))))</f>
        <v>OK</v>
      </c>
      <c r="J240">
        <f>IF(OR(I240="OK",I240="Pas de saisie journalière ce jour-là"),E240,0)</f>
        <v>88.0</v>
      </c>
      <c r="K240">
        <f>IF(AND(J240&gt;0,A240&gt;=p_from,A240&lt;=p_to),1,0)</f>
        <v>1.0</v>
      </c>
      <c r="L240">
        <f>IF(AND(K240=1,OR(pa_po="",C240=pa_po),OR(pa_eq="",B240=pa_eq)),1,0)</f>
        <v>1.0</v>
      </c>
    </row>
    <row r="241">
      <c r="A241" s="51" t="n">
        <v>46303</v>
      </c>
      <c r="B241" s="52" t="inlineStr">
        <is>
          <t>Matin</t>
        </is>
      </c>
      <c r="C241" s="52" t="inlineStr">
        <is>
          <t>PRESSE</t>
        </is>
      </c>
      <c r="D241" s="53" t="inlineStr">
        <is>
          <t>Changement de série</t>
        </is>
      </c>
      <c r="E241" s="60" t="n">
        <v>51</v>
      </c>
      <c r="F241" s="53" t="n"/>
      <c r="G241" s="61" t="str">
        <f>IF(OR(COUNTA(A241:E241)=0,D241=""),"",IFERROR(INDEX(ca_fam,MATCH(D241,ca_name,0))&amp;"",""))</f>
        <v>Réglage et changement de série</v>
      </c>
      <c r="H241" s="58" t="str">
        <f>IF(OR(COUNTA(A241:E241)=0,D241=""),"",IFERROR(INDEX(ca_type,MATCH(D241,ca_name,0))&amp;"",""))</f>
        <v>Non planifié</v>
      </c>
      <c r="I241" s="58" t="str">
        <f>IF(COUNTA(A241:E241)=0,"",IF(N(A241)&lt;=0,"Date manquante ou invalide",IF(B241="","Équipe manquante",IF(ISNA(MATCH(B241,eq_code,0)),"Équipe inconnue",IF(C241="","Poste manquant",IF(ISNA(MATCH(C241,po_code,0)),"Poste inconnu",IF(D241="","Cause manquante",IF(ISNA(MATCH(D241,ca_name,0)),"Cause inconnue",IF(H241="","Cause à compléter dans Paramètres",IF(OR(NOT(ISNUMBER(E241)),N(E241)&lt;=0,N(E241)&gt;1440),"Durée invalide",IF(COUNTIFS(sj_date,A241,sj_eq,B241,sj_po,C241)=0,"Pas de saisie journalière ce jour-là","OK")))))))))))</f>
        <v>OK</v>
      </c>
      <c r="J241">
        <f>IF(OR(I241="OK",I241="Pas de saisie journalière ce jour-là"),E241,0)</f>
        <v>51.0</v>
      </c>
      <c r="K241">
        <f>IF(AND(J241&gt;0,A241&gt;=p_from,A241&lt;=p_to),1,0)</f>
        <v>1.0</v>
      </c>
      <c r="L241">
        <f>IF(AND(K241=1,OR(pa_po="",C241=pa_po),OR(pa_eq="",B241=pa_eq)),1,0)</f>
        <v>1.0</v>
      </c>
    </row>
    <row r="242">
      <c r="A242" s="51" t="n">
        <v>46303</v>
      </c>
      <c r="B242" s="52" t="inlineStr">
        <is>
          <t>Journée</t>
        </is>
      </c>
      <c r="C242" s="52" t="inlineStr">
        <is>
          <t>PLIE</t>
        </is>
      </c>
      <c r="D242" s="53" t="inlineStr">
        <is>
          <t>Attente pièces de l'opération précédente</t>
        </is>
      </c>
      <c r="E242" s="60" t="n">
        <v>26</v>
      </c>
      <c r="F242" s="53" t="n"/>
      <c r="G242" s="61" t="str">
        <f>IF(OR(COUNTA(A242:E242)=0,D242=""),"",IFERROR(INDEX(ca_fam,MATCH(D242,ca_name,0))&amp;"",""))</f>
        <v>Manque matière</v>
      </c>
      <c r="H242" s="58" t="str">
        <f>IF(OR(COUNTA(A242:E242)=0,D242=""),"",IFERROR(INDEX(ca_type,MATCH(D242,ca_name,0))&amp;"",""))</f>
        <v>Non planifié</v>
      </c>
      <c r="I242" s="58" t="str">
        <f>IF(COUNTA(A242:E242)=0,"",IF(N(A242)&lt;=0,"Date manquante ou invalide",IF(B242="","Équipe manquante",IF(ISNA(MATCH(B242,eq_code,0)),"Équipe inconnue",IF(C242="","Poste manquant",IF(ISNA(MATCH(C242,po_code,0)),"Poste inconnu",IF(D242="","Cause manquante",IF(ISNA(MATCH(D242,ca_name,0)),"Cause inconnue",IF(H242="","Cause à compléter dans Paramètres",IF(OR(NOT(ISNUMBER(E242)),N(E242)&lt;=0,N(E242)&gt;1440),"Durée invalide",IF(COUNTIFS(sj_date,A242,sj_eq,B242,sj_po,C242)=0,"Pas de saisie journalière ce jour-là","OK")))))))))))</f>
        <v>OK</v>
      </c>
      <c r="J242">
        <f>IF(OR(I242="OK",I242="Pas de saisie journalière ce jour-là"),E242,0)</f>
        <v>26.0</v>
      </c>
      <c r="K242">
        <f>IF(AND(J242&gt;0,A242&gt;=p_from,A242&lt;=p_to),1,0)</f>
        <v>1.0</v>
      </c>
      <c r="L242">
        <f>IF(AND(K242=1,OR(pa_po="",C242=pa_po),OR(pa_eq="",B242=pa_eq)),1,0)</f>
        <v>1.0</v>
      </c>
    </row>
    <row r="243">
      <c r="A243" s="51" t="n">
        <v>46303</v>
      </c>
      <c r="B243" s="52" t="inlineStr">
        <is>
          <t>Journée</t>
        </is>
      </c>
      <c r="C243" s="52" t="inlineStr">
        <is>
          <t>PLIE</t>
        </is>
      </c>
      <c r="D243" s="53" t="inlineStr">
        <is>
          <t>Changement de série</t>
        </is>
      </c>
      <c r="E243" s="60" t="n">
        <v>57</v>
      </c>
      <c r="F243" s="53" t="n"/>
      <c r="G243" s="61" t="str">
        <f>IF(OR(COUNTA(A243:E243)=0,D243=""),"",IFERROR(INDEX(ca_fam,MATCH(D243,ca_name,0))&amp;"",""))</f>
        <v>Réglage et changement de série</v>
      </c>
      <c r="H243" s="58" t="str">
        <f>IF(OR(COUNTA(A243:E243)=0,D243=""),"",IFERROR(INDEX(ca_type,MATCH(D243,ca_name,0))&amp;"",""))</f>
        <v>Non planifié</v>
      </c>
      <c r="I243" s="58" t="str">
        <f>IF(COUNTA(A243:E243)=0,"",IF(N(A243)&lt;=0,"Date manquante ou invalide",IF(B243="","Équipe manquante",IF(ISNA(MATCH(B243,eq_code,0)),"Équipe inconnue",IF(C243="","Poste manquant",IF(ISNA(MATCH(C243,po_code,0)),"Poste inconnu",IF(D243="","Cause manquante",IF(ISNA(MATCH(D243,ca_name,0)),"Cause inconnue",IF(H243="","Cause à compléter dans Paramètres",IF(OR(NOT(ISNUMBER(E243)),N(E243)&lt;=0,N(E243)&gt;1440),"Durée invalide",IF(COUNTIFS(sj_date,A243,sj_eq,B243,sj_po,C243)=0,"Pas de saisie journalière ce jour-là","OK")))))))))))</f>
        <v>OK</v>
      </c>
      <c r="J243">
        <f>IF(OR(I243="OK",I243="Pas de saisie journalière ce jour-là"),E243,0)</f>
        <v>57.0</v>
      </c>
      <c r="K243">
        <f>IF(AND(J243&gt;0,A243&gt;=p_from,A243&lt;=p_to),1,0)</f>
        <v>1.0</v>
      </c>
      <c r="L243">
        <f>IF(AND(K243=1,OR(pa_po="",C243=pa_po),OR(pa_eq="",B243=pa_eq)),1,0)</f>
        <v>1.0</v>
      </c>
    </row>
    <row r="244">
      <c r="A244" s="51" t="n">
        <v>46303</v>
      </c>
      <c r="B244" s="52" t="inlineStr">
        <is>
          <t>Matin</t>
        </is>
      </c>
      <c r="C244" s="52" t="inlineStr">
        <is>
          <t>SOUD</t>
        </is>
      </c>
      <c r="D244" s="53" t="inlineStr">
        <is>
          <t>Changement de série</t>
        </is>
      </c>
      <c r="E244" s="60" t="n">
        <v>42</v>
      </c>
      <c r="F244" s="53" t="n"/>
      <c r="G244" s="61" t="str">
        <f>IF(OR(COUNTA(A244:E244)=0,D244=""),"",IFERROR(INDEX(ca_fam,MATCH(D244,ca_name,0))&amp;"",""))</f>
        <v>Réglage et changement de série</v>
      </c>
      <c r="H244" s="58" t="str">
        <f>IF(OR(COUNTA(A244:E244)=0,D244=""),"",IFERROR(INDEX(ca_type,MATCH(D244,ca_name,0))&amp;"",""))</f>
        <v>Non planifié</v>
      </c>
      <c r="I244" s="58" t="str">
        <f>IF(COUNTA(A244:E244)=0,"",IF(N(A244)&lt;=0,"Date manquante ou invalide",IF(B244="","Équipe manquante",IF(ISNA(MATCH(B244,eq_code,0)),"Équipe inconnue",IF(C244="","Poste manquant",IF(ISNA(MATCH(C244,po_code,0)),"Poste inconnu",IF(D244="","Cause manquante",IF(ISNA(MATCH(D244,ca_name,0)),"Cause inconnue",IF(H244="","Cause à compléter dans Paramètres",IF(OR(NOT(ISNUMBER(E244)),N(E244)&lt;=0,N(E244)&gt;1440),"Durée invalide",IF(COUNTIFS(sj_date,A244,sj_eq,B244,sj_po,C244)=0,"Pas de saisie journalière ce jour-là","OK")))))))))))</f>
        <v>OK</v>
      </c>
      <c r="J244">
        <f>IF(OR(I244="OK",I244="Pas de saisie journalière ce jour-là"),E244,0)</f>
        <v>42.0</v>
      </c>
      <c r="K244">
        <f>IF(AND(J244&gt;0,A244&gt;=p_from,A244&lt;=p_to),1,0)</f>
        <v>1.0</v>
      </c>
      <c r="L244">
        <f>IF(AND(K244=1,OR(pa_po="",C244=pa_po),OR(pa_eq="",B244=pa_eq)),1,0)</f>
        <v>1.0</v>
      </c>
    </row>
    <row r="245">
      <c r="A245" s="51" t="n">
        <v>46303</v>
      </c>
      <c r="B245" s="52" t="inlineStr">
        <is>
          <t>Matin</t>
        </is>
      </c>
      <c r="C245" s="52" t="inlineStr">
        <is>
          <t>SOUD</t>
        </is>
      </c>
      <c r="D245" s="53" t="inlineStr">
        <is>
          <t>Arrêt pour non-conformité</t>
        </is>
      </c>
      <c r="E245" s="60" t="n">
        <v>28</v>
      </c>
      <c r="F245" s="53" t="n"/>
      <c r="G245" s="61" t="str">
        <f>IF(OR(COUNTA(A245:E245)=0,D245=""),"",IFERROR(INDEX(ca_fam,MATCH(D245,ca_name,0))&amp;"",""))</f>
        <v>Qualité</v>
      </c>
      <c r="H245" s="58" t="str">
        <f>IF(OR(COUNTA(A245:E245)=0,D245=""),"",IFERROR(INDEX(ca_type,MATCH(D245,ca_name,0))&amp;"",""))</f>
        <v>Non planifié</v>
      </c>
      <c r="I245" s="58" t="str">
        <f>IF(COUNTA(A245:E245)=0,"",IF(N(A245)&lt;=0,"Date manquante ou invalide",IF(B245="","Équipe manquante",IF(ISNA(MATCH(B245,eq_code,0)),"Équipe inconnue",IF(C245="","Poste manquant",IF(ISNA(MATCH(C245,po_code,0)),"Poste inconnu",IF(D245="","Cause manquante",IF(ISNA(MATCH(D245,ca_name,0)),"Cause inconnue",IF(H245="","Cause à compléter dans Paramètres",IF(OR(NOT(ISNUMBER(E245)),N(E245)&lt;=0,N(E245)&gt;1440),"Durée invalide",IF(COUNTIFS(sj_date,A245,sj_eq,B245,sj_po,C245)=0,"Pas de saisie journalière ce jour-là","OK")))))))))))</f>
        <v>OK</v>
      </c>
      <c r="J245">
        <f>IF(OR(I245="OK",I245="Pas de saisie journalière ce jour-là"),E245,0)</f>
        <v>28.0</v>
      </c>
      <c r="K245">
        <f>IF(AND(J245&gt;0,A245&gt;=p_from,A245&lt;=p_to),1,0)</f>
        <v>1.0</v>
      </c>
      <c r="L245">
        <f>IF(AND(K245=1,OR(pa_po="",C245=pa_po),OR(pa_eq="",B245=pa_eq)),1,0)</f>
        <v>1.0</v>
      </c>
    </row>
    <row r="246">
      <c r="A246" s="51" t="n">
        <v>46303</v>
      </c>
      <c r="B246" s="52" t="inlineStr">
        <is>
          <t>Matin</t>
        </is>
      </c>
      <c r="C246" s="52" t="inlineStr">
        <is>
          <t>SOUD</t>
        </is>
      </c>
      <c r="D246" s="53" t="inlineStr">
        <is>
          <t>Changement d'outil</t>
        </is>
      </c>
      <c r="E246" s="60" t="n">
        <v>10</v>
      </c>
      <c r="F246" s="53" t="n"/>
      <c r="G246" s="61" t="str">
        <f>IF(OR(COUNTA(A246:E246)=0,D246=""),"",IFERROR(INDEX(ca_fam,MATCH(D246,ca_name,0))&amp;"",""))</f>
        <v>Réglage et changement de série</v>
      </c>
      <c r="H246" s="58" t="str">
        <f>IF(OR(COUNTA(A246:E246)=0,D246=""),"",IFERROR(INDEX(ca_type,MATCH(D246,ca_name,0))&amp;"",""))</f>
        <v>Non planifié</v>
      </c>
      <c r="I246" s="58" t="str">
        <f>IF(COUNTA(A246:E246)=0,"",IF(N(A246)&lt;=0,"Date manquante ou invalide",IF(B246="","Équipe manquante",IF(ISNA(MATCH(B246,eq_code,0)),"Équipe inconnue",IF(C246="","Poste manquant",IF(ISNA(MATCH(C246,po_code,0)),"Poste inconnu",IF(D246="","Cause manquante",IF(ISNA(MATCH(D246,ca_name,0)),"Cause inconnue",IF(H246="","Cause à compléter dans Paramètres",IF(OR(NOT(ISNUMBER(E246)),N(E246)&lt;=0,N(E246)&gt;1440),"Durée invalide",IF(COUNTIFS(sj_date,A246,sj_eq,B246,sj_po,C246)=0,"Pas de saisie journalière ce jour-là","OK")))))))))))</f>
        <v>OK</v>
      </c>
      <c r="J246">
        <f>IF(OR(I246="OK",I246="Pas de saisie journalière ce jour-là"),E246,0)</f>
        <v>10.0</v>
      </c>
      <c r="K246">
        <f>IF(AND(J246&gt;0,A246&gt;=p_from,A246&lt;=p_to),1,0)</f>
        <v>1.0</v>
      </c>
      <c r="L246">
        <f>IF(AND(K246=1,OR(pa_po="",C246=pa_po),OR(pa_eq="",B246=pa_eq)),1,0)</f>
        <v>1.0</v>
      </c>
    </row>
    <row r="247">
      <c r="A247" s="51" t="n">
        <v>46303</v>
      </c>
      <c r="B247" s="52" t="inlineStr">
        <is>
          <t>Matin</t>
        </is>
      </c>
      <c r="C247" s="52" t="inlineStr">
        <is>
          <t>SOUD</t>
        </is>
      </c>
      <c r="D247" s="53" t="inlineStr">
        <is>
          <t>Attente programme ou consignes</t>
        </is>
      </c>
      <c r="E247" s="60" t="n">
        <v>22</v>
      </c>
      <c r="F247" s="53" t="n"/>
      <c r="G247" s="61" t="str">
        <f>IF(OR(COUNTA(A247:E247)=0,D247=""),"",IFERROR(INDEX(ca_fam,MATCH(D247,ca_name,0))&amp;"",""))</f>
        <v>Organisation</v>
      </c>
      <c r="H247" s="58" t="str">
        <f>IF(OR(COUNTA(A247:E247)=0,D247=""),"",IFERROR(INDEX(ca_type,MATCH(D247,ca_name,0))&amp;"",""))</f>
        <v>Non planifié</v>
      </c>
      <c r="I247" s="58" t="str">
        <f>IF(COUNTA(A247:E247)=0,"",IF(N(A247)&lt;=0,"Date manquante ou invalide",IF(B247="","Équipe manquante",IF(ISNA(MATCH(B247,eq_code,0)),"Équipe inconnue",IF(C247="","Poste manquant",IF(ISNA(MATCH(C247,po_code,0)),"Poste inconnu",IF(D247="","Cause manquante",IF(ISNA(MATCH(D247,ca_name,0)),"Cause inconnue",IF(H247="","Cause à compléter dans Paramètres",IF(OR(NOT(ISNUMBER(E247)),N(E247)&lt;=0,N(E247)&gt;1440),"Durée invalide",IF(COUNTIFS(sj_date,A247,sj_eq,B247,sj_po,C247)=0,"Pas de saisie journalière ce jour-là","OK")))))))))))</f>
        <v>OK</v>
      </c>
      <c r="J247">
        <f>IF(OR(I247="OK",I247="Pas de saisie journalière ce jour-là"),E247,0)</f>
        <v>22.0</v>
      </c>
      <c r="K247">
        <f>IF(AND(J247&gt;0,A247&gt;=p_from,A247&lt;=p_to),1,0)</f>
        <v>1.0</v>
      </c>
      <c r="L247">
        <f>IF(AND(K247=1,OR(pa_po="",C247=pa_po),OR(pa_eq="",B247=pa_eq)),1,0)</f>
        <v>1.0</v>
      </c>
    </row>
    <row r="248">
      <c r="A248" s="51" t="n">
        <v>46303</v>
      </c>
      <c r="B248" s="52" t="inlineStr">
        <is>
          <t>Après-midi</t>
        </is>
      </c>
      <c r="C248" s="52" t="inlineStr">
        <is>
          <t>SOUD</t>
        </is>
      </c>
      <c r="D248" s="53" t="inlineStr">
        <is>
          <t>Attente contrôle qualité</t>
        </is>
      </c>
      <c r="E248" s="60" t="n">
        <v>21</v>
      </c>
      <c r="F248" s="53" t="n"/>
      <c r="G248" s="61" t="str">
        <f>IF(OR(COUNTA(A248:E248)=0,D248=""),"",IFERROR(INDEX(ca_fam,MATCH(D248,ca_name,0))&amp;"",""))</f>
        <v>Qualité</v>
      </c>
      <c r="H248" s="58" t="str">
        <f>IF(OR(COUNTA(A248:E248)=0,D248=""),"",IFERROR(INDEX(ca_type,MATCH(D248,ca_name,0))&amp;"",""))</f>
        <v>Non planifié</v>
      </c>
      <c r="I248" s="58" t="str">
        <f>IF(COUNTA(A248:E248)=0,"",IF(N(A248)&lt;=0,"Date manquante ou invalide",IF(B248="","Équipe manquante",IF(ISNA(MATCH(B248,eq_code,0)),"Équipe inconnue",IF(C248="","Poste manquant",IF(ISNA(MATCH(C248,po_code,0)),"Poste inconnu",IF(D248="","Cause manquante",IF(ISNA(MATCH(D248,ca_name,0)),"Cause inconnue",IF(H248="","Cause à compléter dans Paramètres",IF(OR(NOT(ISNUMBER(E248)),N(E248)&lt;=0,N(E248)&gt;1440),"Durée invalide",IF(COUNTIFS(sj_date,A248,sj_eq,B248,sj_po,C248)=0,"Pas de saisie journalière ce jour-là","OK")))))))))))</f>
        <v>OK</v>
      </c>
      <c r="J248">
        <f>IF(OR(I248="OK",I248="Pas de saisie journalière ce jour-là"),E248,0)</f>
        <v>21.0</v>
      </c>
      <c r="K248">
        <f>IF(AND(J248&gt;0,A248&gt;=p_from,A248&lt;=p_to),1,0)</f>
        <v>1.0</v>
      </c>
      <c r="L248">
        <f>IF(AND(K248=1,OR(pa_po="",C248=pa_po),OR(pa_eq="",B248=pa_eq)),1,0)</f>
        <v>1.0</v>
      </c>
    </row>
    <row r="249">
      <c r="A249" s="51" t="n">
        <v>46304</v>
      </c>
      <c r="B249" s="52" t="inlineStr">
        <is>
          <t>Matin</t>
        </is>
      </c>
      <c r="C249" s="52" t="inlineStr">
        <is>
          <t>TOUR1</t>
        </is>
      </c>
      <c r="D249" s="53" t="inlineStr">
        <is>
          <t>Attente chariot élévateur</t>
        </is>
      </c>
      <c r="E249" s="60" t="n">
        <v>16</v>
      </c>
      <c r="F249" s="53" t="n"/>
      <c r="G249" s="61" t="str">
        <f>IF(OR(COUNTA(A249:E249)=0,D249=""),"",IFERROR(INDEX(ca_fam,MATCH(D249,ca_name,0))&amp;"",""))</f>
        <v>Organisation</v>
      </c>
      <c r="H249" s="58" t="str">
        <f>IF(OR(COUNTA(A249:E249)=0,D249=""),"",IFERROR(INDEX(ca_type,MATCH(D249,ca_name,0))&amp;"",""))</f>
        <v>Non planifié</v>
      </c>
      <c r="I249" s="58" t="str">
        <f>IF(COUNTA(A249:E249)=0,"",IF(N(A249)&lt;=0,"Date manquante ou invalide",IF(B249="","Équipe manquante",IF(ISNA(MATCH(B249,eq_code,0)),"Équipe inconnue",IF(C249="","Poste manquant",IF(ISNA(MATCH(C249,po_code,0)),"Poste inconnu",IF(D249="","Cause manquante",IF(ISNA(MATCH(D249,ca_name,0)),"Cause inconnue",IF(H249="","Cause à compléter dans Paramètres",IF(OR(NOT(ISNUMBER(E249)),N(E249)&lt;=0,N(E249)&gt;1440),"Durée invalide",IF(COUNTIFS(sj_date,A249,sj_eq,B249,sj_po,C249)=0,"Pas de saisie journalière ce jour-là","OK")))))))))))</f>
        <v>OK</v>
      </c>
      <c r="J249">
        <f>IF(OR(I249="OK",I249="Pas de saisie journalière ce jour-là"),E249,0)</f>
        <v>16.0</v>
      </c>
      <c r="K249">
        <f>IF(AND(J249&gt;0,A249&gt;=p_from,A249&lt;=p_to),1,0)</f>
        <v>1.0</v>
      </c>
      <c r="L249">
        <f>IF(AND(K249=1,OR(pa_po="",C249=pa_po),OR(pa_eq="",B249=pa_eq)),1,0)</f>
        <v>1.0</v>
      </c>
    </row>
    <row r="250">
      <c r="A250" s="51" t="n">
        <v>46304</v>
      </c>
      <c r="B250" s="52" t="inlineStr">
        <is>
          <t>Matin</t>
        </is>
      </c>
      <c r="C250" s="52" t="inlineStr">
        <is>
          <t>TOUR2</t>
        </is>
      </c>
      <c r="D250" s="53" t="inlineStr">
        <is>
          <t>Changement de série</t>
        </is>
      </c>
      <c r="E250" s="60" t="n">
        <v>57</v>
      </c>
      <c r="F250" s="53" t="n"/>
      <c r="G250" s="61" t="str">
        <f>IF(OR(COUNTA(A250:E250)=0,D250=""),"",IFERROR(INDEX(ca_fam,MATCH(D250,ca_name,0))&amp;"",""))</f>
        <v>Réglage et changement de série</v>
      </c>
      <c r="H250" s="58" t="str">
        <f>IF(OR(COUNTA(A250:E250)=0,D250=""),"",IFERROR(INDEX(ca_type,MATCH(D250,ca_name,0))&amp;"",""))</f>
        <v>Non planifié</v>
      </c>
      <c r="I250" s="58" t="str">
        <f>IF(COUNTA(A250:E250)=0,"",IF(N(A250)&lt;=0,"Date manquante ou invalide",IF(B250="","Équipe manquante",IF(ISNA(MATCH(B250,eq_code,0)),"Équipe inconnue",IF(C250="","Poste manquant",IF(ISNA(MATCH(C250,po_code,0)),"Poste inconnu",IF(D250="","Cause manquante",IF(ISNA(MATCH(D250,ca_name,0)),"Cause inconnue",IF(H250="","Cause à compléter dans Paramètres",IF(OR(NOT(ISNUMBER(E250)),N(E250)&lt;=0,N(E250)&gt;1440),"Durée invalide",IF(COUNTIFS(sj_date,A250,sj_eq,B250,sj_po,C250)=0,"Pas de saisie journalière ce jour-là","OK")))))))))))</f>
        <v>OK</v>
      </c>
      <c r="J250">
        <f>IF(OR(I250="OK",I250="Pas de saisie journalière ce jour-là"),E250,0)</f>
        <v>57.0</v>
      </c>
      <c r="K250">
        <f>IF(AND(J250&gt;0,A250&gt;=p_from,A250&lt;=p_to),1,0)</f>
        <v>1.0</v>
      </c>
      <c r="L250">
        <f>IF(AND(K250=1,OR(pa_po="",C250=pa_po),OR(pa_eq="",B250=pa_eq)),1,0)</f>
        <v>1.0</v>
      </c>
    </row>
    <row r="251">
      <c r="A251" s="51" t="n">
        <v>46304</v>
      </c>
      <c r="B251" s="52" t="inlineStr">
        <is>
          <t>Matin</t>
        </is>
      </c>
      <c r="C251" s="52" t="inlineStr">
        <is>
          <t>TOUR2</t>
        </is>
      </c>
      <c r="D251" s="53" t="inlineStr">
        <is>
          <t>Changement de série</t>
        </is>
      </c>
      <c r="E251" s="60" t="n">
        <v>57</v>
      </c>
      <c r="F251" s="53" t="n"/>
      <c r="G251" s="61" t="str">
        <f>IF(OR(COUNTA(A251:E251)=0,D251=""),"",IFERROR(INDEX(ca_fam,MATCH(D251,ca_name,0))&amp;"",""))</f>
        <v>Réglage et changement de série</v>
      </c>
      <c r="H251" s="58" t="str">
        <f>IF(OR(COUNTA(A251:E251)=0,D251=""),"",IFERROR(INDEX(ca_type,MATCH(D251,ca_name,0))&amp;"",""))</f>
        <v>Non planifié</v>
      </c>
      <c r="I251" s="58" t="str">
        <f>IF(COUNTA(A251:E251)=0,"",IF(N(A251)&lt;=0,"Date manquante ou invalide",IF(B251="","Équipe manquante",IF(ISNA(MATCH(B251,eq_code,0)),"Équipe inconnue",IF(C251="","Poste manquant",IF(ISNA(MATCH(C251,po_code,0)),"Poste inconnu",IF(D251="","Cause manquante",IF(ISNA(MATCH(D251,ca_name,0)),"Cause inconnue",IF(H251="","Cause à compléter dans Paramètres",IF(OR(NOT(ISNUMBER(E251)),N(E251)&lt;=0,N(E251)&gt;1440),"Durée invalide",IF(COUNTIFS(sj_date,A251,sj_eq,B251,sj_po,C251)=0,"Pas de saisie journalière ce jour-là","OK")))))))))))</f>
        <v>OK</v>
      </c>
      <c r="J251">
        <f>IF(OR(I251="OK",I251="Pas de saisie journalière ce jour-là"),E251,0)</f>
        <v>57.0</v>
      </c>
      <c r="K251">
        <f>IF(AND(J251&gt;0,A251&gt;=p_from,A251&lt;=p_to),1,0)</f>
        <v>1.0</v>
      </c>
      <c r="L251">
        <f>IF(AND(K251=1,OR(pa_po="",C251=pa_po),OR(pa_eq="",B251=pa_eq)),1,0)</f>
        <v>1.0</v>
      </c>
    </row>
    <row r="252">
      <c r="A252" s="51" t="n">
        <v>46304</v>
      </c>
      <c r="B252" s="52" t="inlineStr">
        <is>
          <t>Matin</t>
        </is>
      </c>
      <c r="C252" s="52" t="inlineStr">
        <is>
          <t>TOUR2</t>
        </is>
      </c>
      <c r="D252" s="53" t="inlineStr">
        <is>
          <t>Panne électrique</t>
        </is>
      </c>
      <c r="E252" s="60" t="n">
        <v>32</v>
      </c>
      <c r="F252" s="53" t="n"/>
      <c r="G252" s="61" t="str">
        <f>IF(OR(COUNTA(A252:E252)=0,D252=""),"",IFERROR(INDEX(ca_fam,MATCH(D252,ca_name,0))&amp;"",""))</f>
        <v>Panne</v>
      </c>
      <c r="H252" s="58" t="str">
        <f>IF(OR(COUNTA(A252:E252)=0,D252=""),"",IFERROR(INDEX(ca_type,MATCH(D252,ca_name,0))&amp;"",""))</f>
        <v>Non planifié</v>
      </c>
      <c r="I252" s="58" t="str">
        <f>IF(COUNTA(A252:E252)=0,"",IF(N(A252)&lt;=0,"Date manquante ou invalide",IF(B252="","Équipe manquante",IF(ISNA(MATCH(B252,eq_code,0)),"Équipe inconnue",IF(C252="","Poste manquant",IF(ISNA(MATCH(C252,po_code,0)),"Poste inconnu",IF(D252="","Cause manquante",IF(ISNA(MATCH(D252,ca_name,0)),"Cause inconnue",IF(H252="","Cause à compléter dans Paramètres",IF(OR(NOT(ISNUMBER(E252)),N(E252)&lt;=0,N(E252)&gt;1440),"Durée invalide",IF(COUNTIFS(sj_date,A252,sj_eq,B252,sj_po,C252)=0,"Pas de saisie journalière ce jour-là","OK")))))))))))</f>
        <v>OK</v>
      </c>
      <c r="J252">
        <f>IF(OR(I252="OK",I252="Pas de saisie journalière ce jour-là"),E252,0)</f>
        <v>32.0</v>
      </c>
      <c r="K252">
        <f>IF(AND(J252&gt;0,A252&gt;=p_from,A252&lt;=p_to),1,0)</f>
        <v>1.0</v>
      </c>
      <c r="L252">
        <f>IF(AND(K252=1,OR(pa_po="",C252=pa_po),OR(pa_eq="",B252=pa_eq)),1,0)</f>
        <v>1.0</v>
      </c>
    </row>
    <row r="253">
      <c r="A253" s="51" t="n">
        <v>46304</v>
      </c>
      <c r="B253" s="52" t="inlineStr">
        <is>
          <t>Après-midi</t>
        </is>
      </c>
      <c r="C253" s="52" t="inlineStr">
        <is>
          <t>TOUR2</t>
        </is>
      </c>
      <c r="D253" s="53" t="inlineStr">
        <is>
          <t>Changement de série</t>
        </is>
      </c>
      <c r="E253" s="60" t="n">
        <v>69</v>
      </c>
      <c r="F253" s="53" t="n"/>
      <c r="G253" s="61" t="str">
        <f>IF(OR(COUNTA(A253:E253)=0,D253=""),"",IFERROR(INDEX(ca_fam,MATCH(D253,ca_name,0))&amp;"",""))</f>
        <v>Réglage et changement de série</v>
      </c>
      <c r="H253" s="58" t="str">
        <f>IF(OR(COUNTA(A253:E253)=0,D253=""),"",IFERROR(INDEX(ca_type,MATCH(D253,ca_name,0))&amp;"",""))</f>
        <v>Non planifié</v>
      </c>
      <c r="I253" s="58" t="str">
        <f>IF(COUNTA(A253:E253)=0,"",IF(N(A253)&lt;=0,"Date manquante ou invalide",IF(B253="","Équipe manquante",IF(ISNA(MATCH(B253,eq_code,0)),"Équipe inconnue",IF(C253="","Poste manquant",IF(ISNA(MATCH(C253,po_code,0)),"Poste inconnu",IF(D253="","Cause manquante",IF(ISNA(MATCH(D253,ca_name,0)),"Cause inconnue",IF(H253="","Cause à compléter dans Paramètres",IF(OR(NOT(ISNUMBER(E253)),N(E253)&lt;=0,N(E253)&gt;1440),"Durée invalide",IF(COUNTIFS(sj_date,A253,sj_eq,B253,sj_po,C253)=0,"Pas de saisie journalière ce jour-là","OK")))))))))))</f>
        <v>OK</v>
      </c>
      <c r="J253">
        <f>IF(OR(I253="OK",I253="Pas de saisie journalière ce jour-là"),E253,0)</f>
        <v>69.0</v>
      </c>
      <c r="K253">
        <f>IF(AND(J253&gt;0,A253&gt;=p_from,A253&lt;=p_to),1,0)</f>
        <v>1.0</v>
      </c>
      <c r="L253">
        <f>IF(AND(K253=1,OR(pa_po="",C253=pa_po),OR(pa_eq="",B253=pa_eq)),1,0)</f>
        <v>1.0</v>
      </c>
    </row>
    <row r="254">
      <c r="A254" s="51" t="n">
        <v>46304</v>
      </c>
      <c r="B254" s="52" t="inlineStr">
        <is>
          <t>Après-midi</t>
        </is>
      </c>
      <c r="C254" s="52" t="inlineStr">
        <is>
          <t>TOUR2</t>
        </is>
      </c>
      <c r="D254" s="53" t="inlineStr">
        <is>
          <t>Attente matière</t>
        </is>
      </c>
      <c r="E254" s="60" t="n">
        <v>60</v>
      </c>
      <c r="F254" s="53" t="n"/>
      <c r="G254" s="61" t="str">
        <f>IF(OR(COUNTA(A254:E254)=0,D254=""),"",IFERROR(INDEX(ca_fam,MATCH(D254,ca_name,0))&amp;"",""))</f>
        <v>Manque matière</v>
      </c>
      <c r="H254" s="58" t="str">
        <f>IF(OR(COUNTA(A254:E254)=0,D254=""),"",IFERROR(INDEX(ca_type,MATCH(D254,ca_name,0))&amp;"",""))</f>
        <v>Non planifié</v>
      </c>
      <c r="I254" s="58" t="str">
        <f>IF(COUNTA(A254:E254)=0,"",IF(N(A254)&lt;=0,"Date manquante ou invalide",IF(B254="","Équipe manquante",IF(ISNA(MATCH(B254,eq_code,0)),"Équipe inconnue",IF(C254="","Poste manquant",IF(ISNA(MATCH(C254,po_code,0)),"Poste inconnu",IF(D254="","Cause manquante",IF(ISNA(MATCH(D254,ca_name,0)),"Cause inconnue",IF(H254="","Cause à compléter dans Paramètres",IF(OR(NOT(ISNUMBER(E254)),N(E254)&lt;=0,N(E254)&gt;1440),"Durée invalide",IF(COUNTIFS(sj_date,A254,sj_eq,B254,sj_po,C254)=0,"Pas de saisie journalière ce jour-là","OK")))))))))))</f>
        <v>OK</v>
      </c>
      <c r="J254">
        <f>IF(OR(I254="OK",I254="Pas de saisie journalière ce jour-là"),E254,0)</f>
        <v>60.0</v>
      </c>
      <c r="K254">
        <f>IF(AND(J254&gt;0,A254&gt;=p_from,A254&lt;=p_to),1,0)</f>
        <v>1.0</v>
      </c>
      <c r="L254">
        <f>IF(AND(K254=1,OR(pa_po="",C254=pa_po),OR(pa_eq="",B254=pa_eq)),1,0)</f>
        <v>1.0</v>
      </c>
    </row>
    <row r="255">
      <c r="A255" s="51" t="n">
        <v>46304</v>
      </c>
      <c r="B255" s="52" t="inlineStr">
        <is>
          <t>Après-midi</t>
        </is>
      </c>
      <c r="C255" s="52" t="inlineStr">
        <is>
          <t>TOUR2</t>
        </is>
      </c>
      <c r="D255" s="53" t="inlineStr">
        <is>
          <t>Attente matière</t>
        </is>
      </c>
      <c r="E255" s="60" t="n">
        <v>66</v>
      </c>
      <c r="F255" s="53" t="n"/>
      <c r="G255" s="61" t="str">
        <f>IF(OR(COUNTA(A255:E255)=0,D255=""),"",IFERROR(INDEX(ca_fam,MATCH(D255,ca_name,0))&amp;"",""))</f>
        <v>Manque matière</v>
      </c>
      <c r="H255" s="58" t="str">
        <f>IF(OR(COUNTA(A255:E255)=0,D255=""),"",IFERROR(INDEX(ca_type,MATCH(D255,ca_name,0))&amp;"",""))</f>
        <v>Non planifié</v>
      </c>
      <c r="I255" s="58" t="str">
        <f>IF(COUNTA(A255:E255)=0,"",IF(N(A255)&lt;=0,"Date manquante ou invalide",IF(B255="","Équipe manquante",IF(ISNA(MATCH(B255,eq_code,0)),"Équipe inconnue",IF(C255="","Poste manquant",IF(ISNA(MATCH(C255,po_code,0)),"Poste inconnu",IF(D255="","Cause manquante",IF(ISNA(MATCH(D255,ca_name,0)),"Cause inconnue",IF(H255="","Cause à compléter dans Paramètres",IF(OR(NOT(ISNUMBER(E255)),N(E255)&lt;=0,N(E255)&gt;1440),"Durée invalide",IF(COUNTIFS(sj_date,A255,sj_eq,B255,sj_po,C255)=0,"Pas de saisie journalière ce jour-là","OK")))))))))))</f>
        <v>OK</v>
      </c>
      <c r="J255">
        <f>IF(OR(I255="OK",I255="Pas de saisie journalière ce jour-là"),E255,0)</f>
        <v>66.0</v>
      </c>
      <c r="K255">
        <f>IF(AND(J255&gt;0,A255&gt;=p_from,A255&lt;=p_to),1,0)</f>
        <v>1.0</v>
      </c>
      <c r="L255">
        <f>IF(AND(K255=1,OR(pa_po="",C255=pa_po),OR(pa_eq="",B255=pa_eq)),1,0)</f>
        <v>1.0</v>
      </c>
    </row>
    <row r="256">
      <c r="A256" s="51" t="n">
        <v>46304</v>
      </c>
      <c r="B256" s="52" t="inlineStr">
        <is>
          <t>Matin</t>
        </is>
      </c>
      <c r="C256" s="52" t="inlineStr">
        <is>
          <t>USIN</t>
        </is>
      </c>
      <c r="D256" s="53" t="inlineStr">
        <is>
          <t>Réglage en cours de production</t>
        </is>
      </c>
      <c r="E256" s="60" t="n">
        <v>23</v>
      </c>
      <c r="F256" s="53" t="n"/>
      <c r="G256" s="61" t="str">
        <f>IF(OR(COUNTA(A256:E256)=0,D256=""),"",IFERROR(INDEX(ca_fam,MATCH(D256,ca_name,0))&amp;"",""))</f>
        <v>Réglage et changement de série</v>
      </c>
      <c r="H256" s="58" t="str">
        <f>IF(OR(COUNTA(A256:E256)=0,D256=""),"",IFERROR(INDEX(ca_type,MATCH(D256,ca_name,0))&amp;"",""))</f>
        <v>Non planifié</v>
      </c>
      <c r="I256" s="58" t="str">
        <f>IF(COUNTA(A256:E256)=0,"",IF(N(A256)&lt;=0,"Date manquante ou invalide",IF(B256="","Équipe manquante",IF(ISNA(MATCH(B256,eq_code,0)),"Équipe inconnue",IF(C256="","Poste manquant",IF(ISNA(MATCH(C256,po_code,0)),"Poste inconnu",IF(D256="","Cause manquante",IF(ISNA(MATCH(D256,ca_name,0)),"Cause inconnue",IF(H256="","Cause à compléter dans Paramètres",IF(OR(NOT(ISNUMBER(E256)),N(E256)&lt;=0,N(E256)&gt;1440),"Durée invalide",IF(COUNTIFS(sj_date,A256,sj_eq,B256,sj_po,C256)=0,"Pas de saisie journalière ce jour-là","OK")))))))))))</f>
        <v>OK</v>
      </c>
      <c r="J256">
        <f>IF(OR(I256="OK",I256="Pas de saisie journalière ce jour-là"),E256,0)</f>
        <v>23.0</v>
      </c>
      <c r="K256">
        <f>IF(AND(J256&gt;0,A256&gt;=p_from,A256&lt;=p_to),1,0)</f>
        <v>1.0</v>
      </c>
      <c r="L256">
        <f>IF(AND(K256=1,OR(pa_po="",C256=pa_po),OR(pa_eq="",B256=pa_eq)),1,0)</f>
        <v>1.0</v>
      </c>
    </row>
    <row r="257">
      <c r="A257" s="51" t="n">
        <v>46304</v>
      </c>
      <c r="B257" s="52" t="inlineStr">
        <is>
          <t>Matin</t>
        </is>
      </c>
      <c r="C257" s="52" t="inlineStr">
        <is>
          <t>USIN</t>
        </is>
      </c>
      <c r="D257" s="53" t="inlineStr">
        <is>
          <t>Attente contrôle qualité</t>
        </is>
      </c>
      <c r="E257" s="60" t="n">
        <v>18</v>
      </c>
      <c r="F257" s="53" t="n"/>
      <c r="G257" s="61" t="str">
        <f>IF(OR(COUNTA(A257:E257)=0,D257=""),"",IFERROR(INDEX(ca_fam,MATCH(D257,ca_name,0))&amp;"",""))</f>
        <v>Qualité</v>
      </c>
      <c r="H257" s="58" t="str">
        <f>IF(OR(COUNTA(A257:E257)=0,D257=""),"",IFERROR(INDEX(ca_type,MATCH(D257,ca_name,0))&amp;"",""))</f>
        <v>Non planifié</v>
      </c>
      <c r="I257" s="58" t="str">
        <f>IF(COUNTA(A257:E257)=0,"",IF(N(A257)&lt;=0,"Date manquante ou invalide",IF(B257="","Équipe manquante",IF(ISNA(MATCH(B257,eq_code,0)),"Équipe inconnue",IF(C257="","Poste manquant",IF(ISNA(MATCH(C257,po_code,0)),"Poste inconnu",IF(D257="","Cause manquante",IF(ISNA(MATCH(D257,ca_name,0)),"Cause inconnue",IF(H257="","Cause à compléter dans Paramètres",IF(OR(NOT(ISNUMBER(E257)),N(E257)&lt;=0,N(E257)&gt;1440),"Durée invalide",IF(COUNTIFS(sj_date,A257,sj_eq,B257,sj_po,C257)=0,"Pas de saisie journalière ce jour-là","OK")))))))))))</f>
        <v>OK</v>
      </c>
      <c r="J257">
        <f>IF(OR(I257="OK",I257="Pas de saisie journalière ce jour-là"),E257,0)</f>
        <v>18.0</v>
      </c>
      <c r="K257">
        <f>IF(AND(J257&gt;0,A257&gt;=p_from,A257&lt;=p_to),1,0)</f>
        <v>1.0</v>
      </c>
      <c r="L257">
        <f>IF(AND(K257=1,OR(pa_po="",C257=pa_po),OR(pa_eq="",B257=pa_eq)),1,0)</f>
        <v>1.0</v>
      </c>
    </row>
    <row r="258">
      <c r="A258" s="51" t="n">
        <v>46304</v>
      </c>
      <c r="B258" s="52" t="inlineStr">
        <is>
          <t>Après-midi</t>
        </is>
      </c>
      <c r="C258" s="52" t="inlineStr">
        <is>
          <t>USIN</t>
        </is>
      </c>
      <c r="D258" s="53" t="inlineStr">
        <is>
          <t>Changement de série</t>
        </is>
      </c>
      <c r="E258" s="60" t="n">
        <v>45</v>
      </c>
      <c r="F258" s="53" t="n"/>
      <c r="G258" s="61" t="str">
        <f>IF(OR(COUNTA(A258:E258)=0,D258=""),"",IFERROR(INDEX(ca_fam,MATCH(D258,ca_name,0))&amp;"",""))</f>
        <v>Réglage et changement de série</v>
      </c>
      <c r="H258" s="58" t="str">
        <f>IF(OR(COUNTA(A258:E258)=0,D258=""),"",IFERROR(INDEX(ca_type,MATCH(D258,ca_name,0))&amp;"",""))</f>
        <v>Non planifié</v>
      </c>
      <c r="I258" s="58" t="str">
        <f>IF(COUNTA(A258:E258)=0,"",IF(N(A258)&lt;=0,"Date manquante ou invalide",IF(B258="","Équipe manquante",IF(ISNA(MATCH(B258,eq_code,0)),"Équipe inconnue",IF(C258="","Poste manquant",IF(ISNA(MATCH(C258,po_code,0)),"Poste inconnu",IF(D258="","Cause manquante",IF(ISNA(MATCH(D258,ca_name,0)),"Cause inconnue",IF(H258="","Cause à compléter dans Paramètres",IF(OR(NOT(ISNUMBER(E258)),N(E258)&lt;=0,N(E258)&gt;1440),"Durée invalide",IF(COUNTIFS(sj_date,A258,sj_eq,B258,sj_po,C258)=0,"Pas de saisie journalière ce jour-là","OK")))))))))))</f>
        <v>OK</v>
      </c>
      <c r="J258">
        <f>IF(OR(I258="OK",I258="Pas de saisie journalière ce jour-là"),E258,0)</f>
        <v>45.0</v>
      </c>
      <c r="K258">
        <f>IF(AND(J258&gt;0,A258&gt;=p_from,A258&lt;=p_to),1,0)</f>
        <v>1.0</v>
      </c>
      <c r="L258">
        <f>IF(AND(K258=1,OR(pa_po="",C258=pa_po),OR(pa_eq="",B258=pa_eq)),1,0)</f>
        <v>1.0</v>
      </c>
    </row>
    <row r="259">
      <c r="A259" s="51" t="n">
        <v>46304</v>
      </c>
      <c r="B259" s="52" t="inlineStr">
        <is>
          <t>Après-midi</t>
        </is>
      </c>
      <c r="C259" s="52" t="inlineStr">
        <is>
          <t>USIN</t>
        </is>
      </c>
      <c r="D259" s="53" t="inlineStr">
        <is>
          <t>Attente contrôle qualité</t>
        </is>
      </c>
      <c r="E259" s="60" t="n">
        <v>14</v>
      </c>
      <c r="F259" s="53" t="n"/>
      <c r="G259" s="61" t="str">
        <f>IF(OR(COUNTA(A259:E259)=0,D259=""),"",IFERROR(INDEX(ca_fam,MATCH(D259,ca_name,0))&amp;"",""))</f>
        <v>Qualité</v>
      </c>
      <c r="H259" s="58" t="str">
        <f>IF(OR(COUNTA(A259:E259)=0,D259=""),"",IFERROR(INDEX(ca_type,MATCH(D259,ca_name,0))&amp;"",""))</f>
        <v>Non planifié</v>
      </c>
      <c r="I259" s="58" t="str">
        <f>IF(COUNTA(A259:E259)=0,"",IF(N(A259)&lt;=0,"Date manquante ou invalide",IF(B259="","Équipe manquante",IF(ISNA(MATCH(B259,eq_code,0)),"Équipe inconnue",IF(C259="","Poste manquant",IF(ISNA(MATCH(C259,po_code,0)),"Poste inconnu",IF(D259="","Cause manquante",IF(ISNA(MATCH(D259,ca_name,0)),"Cause inconnue",IF(H259="","Cause à compléter dans Paramètres",IF(OR(NOT(ISNUMBER(E259)),N(E259)&lt;=0,N(E259)&gt;1440),"Durée invalide",IF(COUNTIFS(sj_date,A259,sj_eq,B259,sj_po,C259)=0,"Pas de saisie journalière ce jour-là","OK")))))))))))</f>
        <v>OK</v>
      </c>
      <c r="J259">
        <f>IF(OR(I259="OK",I259="Pas de saisie journalière ce jour-là"),E259,0)</f>
        <v>14.0</v>
      </c>
      <c r="K259">
        <f>IF(AND(J259&gt;0,A259&gt;=p_from,A259&lt;=p_to),1,0)</f>
        <v>1.0</v>
      </c>
      <c r="L259">
        <f>IF(AND(K259=1,OR(pa_po="",C259=pa_po),OR(pa_eq="",B259=pa_eq)),1,0)</f>
        <v>1.0</v>
      </c>
    </row>
    <row r="260">
      <c r="A260" s="51" t="n">
        <v>46304</v>
      </c>
      <c r="B260" s="52" t="inlineStr">
        <is>
          <t>Matin</t>
        </is>
      </c>
      <c r="C260" s="52" t="inlineStr">
        <is>
          <t>PRESSE</t>
        </is>
      </c>
      <c r="D260" s="53" t="inlineStr">
        <is>
          <t>Changement de série</t>
        </is>
      </c>
      <c r="E260" s="60" t="n">
        <v>65</v>
      </c>
      <c r="F260" s="53" t="n"/>
      <c r="G260" s="61" t="str">
        <f>IF(OR(COUNTA(A260:E260)=0,D260=""),"",IFERROR(INDEX(ca_fam,MATCH(D260,ca_name,0))&amp;"",""))</f>
        <v>Réglage et changement de série</v>
      </c>
      <c r="H260" s="58" t="str">
        <f>IF(OR(COUNTA(A260:E260)=0,D260=""),"",IFERROR(INDEX(ca_type,MATCH(D260,ca_name,0))&amp;"",""))</f>
        <v>Non planifié</v>
      </c>
      <c r="I260" s="58" t="str">
        <f>IF(COUNTA(A260:E260)=0,"",IF(N(A260)&lt;=0,"Date manquante ou invalide",IF(B260="","Équipe manquante",IF(ISNA(MATCH(B260,eq_code,0)),"Équipe inconnue",IF(C260="","Poste manquant",IF(ISNA(MATCH(C260,po_code,0)),"Poste inconnu",IF(D260="","Cause manquante",IF(ISNA(MATCH(D260,ca_name,0)),"Cause inconnue",IF(H260="","Cause à compléter dans Paramètres",IF(OR(NOT(ISNUMBER(E260)),N(E260)&lt;=0,N(E260)&gt;1440),"Durée invalide",IF(COUNTIFS(sj_date,A260,sj_eq,B260,sj_po,C260)=0,"Pas de saisie journalière ce jour-là","OK")))))))))))</f>
        <v>OK</v>
      </c>
      <c r="J260">
        <f>IF(OR(I260="OK",I260="Pas de saisie journalière ce jour-là"),E260,0)</f>
        <v>65.0</v>
      </c>
      <c r="K260">
        <f>IF(AND(J260&gt;0,A260&gt;=p_from,A260&lt;=p_to),1,0)</f>
        <v>1.0</v>
      </c>
      <c r="L260">
        <f>IF(AND(K260=1,OR(pa_po="",C260=pa_po),OR(pa_eq="",B260=pa_eq)),1,0)</f>
        <v>1.0</v>
      </c>
    </row>
    <row r="261">
      <c r="A261" s="51" t="n">
        <v>46304</v>
      </c>
      <c r="B261" s="52" t="inlineStr">
        <is>
          <t>Matin</t>
        </is>
      </c>
      <c r="C261" s="52" t="inlineStr">
        <is>
          <t>PRESSE</t>
        </is>
      </c>
      <c r="D261" s="53" t="inlineStr">
        <is>
          <t>Arrêt pour non-conformité</t>
        </is>
      </c>
      <c r="E261" s="60" t="n">
        <v>37</v>
      </c>
      <c r="F261" s="53" t="n"/>
      <c r="G261" s="61" t="str">
        <f>IF(OR(COUNTA(A261:E261)=0,D261=""),"",IFERROR(INDEX(ca_fam,MATCH(D261,ca_name,0))&amp;"",""))</f>
        <v>Qualité</v>
      </c>
      <c r="H261" s="58" t="str">
        <f>IF(OR(COUNTA(A261:E261)=0,D261=""),"",IFERROR(INDEX(ca_type,MATCH(D261,ca_name,0))&amp;"",""))</f>
        <v>Non planifié</v>
      </c>
      <c r="I261" s="58" t="str">
        <f>IF(COUNTA(A261:E261)=0,"",IF(N(A261)&lt;=0,"Date manquante ou invalide",IF(B261="","Équipe manquante",IF(ISNA(MATCH(B261,eq_code,0)),"Équipe inconnue",IF(C261="","Poste manquant",IF(ISNA(MATCH(C261,po_code,0)),"Poste inconnu",IF(D261="","Cause manquante",IF(ISNA(MATCH(D261,ca_name,0)),"Cause inconnue",IF(H261="","Cause à compléter dans Paramètres",IF(OR(NOT(ISNUMBER(E261)),N(E261)&lt;=0,N(E261)&gt;1440),"Durée invalide",IF(COUNTIFS(sj_date,A261,sj_eq,B261,sj_po,C261)=0,"Pas de saisie journalière ce jour-là","OK")))))))))))</f>
        <v>OK</v>
      </c>
      <c r="J261">
        <f>IF(OR(I261="OK",I261="Pas de saisie journalière ce jour-là"),E261,0)</f>
        <v>37.0</v>
      </c>
      <c r="K261">
        <f>IF(AND(J261&gt;0,A261&gt;=p_from,A261&lt;=p_to),1,0)</f>
        <v>1.0</v>
      </c>
      <c r="L261">
        <f>IF(AND(K261=1,OR(pa_po="",C261=pa_po),OR(pa_eq="",B261=pa_eq)),1,0)</f>
        <v>1.0</v>
      </c>
    </row>
    <row r="262">
      <c r="A262" s="51" t="n">
        <v>46304</v>
      </c>
      <c r="B262" s="52" t="inlineStr">
        <is>
          <t>Matin</t>
        </is>
      </c>
      <c r="C262" s="52" t="inlineStr">
        <is>
          <t>SOUD</t>
        </is>
      </c>
      <c r="D262" s="53" t="inlineStr">
        <is>
          <t>Changement de série</t>
        </is>
      </c>
      <c r="E262" s="60" t="n">
        <v>58</v>
      </c>
      <c r="F262" s="53" t="n"/>
      <c r="G262" s="61" t="str">
        <f>IF(OR(COUNTA(A262:E262)=0,D262=""),"",IFERROR(INDEX(ca_fam,MATCH(D262,ca_name,0))&amp;"",""))</f>
        <v>Réglage et changement de série</v>
      </c>
      <c r="H262" s="58" t="str">
        <f>IF(OR(COUNTA(A262:E262)=0,D262=""),"",IFERROR(INDEX(ca_type,MATCH(D262,ca_name,0))&amp;"",""))</f>
        <v>Non planifié</v>
      </c>
      <c r="I262" s="58" t="str">
        <f>IF(COUNTA(A262:E262)=0,"",IF(N(A262)&lt;=0,"Date manquante ou invalide",IF(B262="","Équipe manquante",IF(ISNA(MATCH(B262,eq_code,0)),"Équipe inconnue",IF(C262="","Poste manquant",IF(ISNA(MATCH(C262,po_code,0)),"Poste inconnu",IF(D262="","Cause manquante",IF(ISNA(MATCH(D262,ca_name,0)),"Cause inconnue",IF(H262="","Cause à compléter dans Paramètres",IF(OR(NOT(ISNUMBER(E262)),N(E262)&lt;=0,N(E262)&gt;1440),"Durée invalide",IF(COUNTIFS(sj_date,A262,sj_eq,B262,sj_po,C262)=0,"Pas de saisie journalière ce jour-là","OK")))))))))))</f>
        <v>OK</v>
      </c>
      <c r="J262">
        <f>IF(OR(I262="OK",I262="Pas de saisie journalière ce jour-là"),E262,0)</f>
        <v>58.0</v>
      </c>
      <c r="K262">
        <f>IF(AND(J262&gt;0,A262&gt;=p_from,A262&lt;=p_to),1,0)</f>
        <v>1.0</v>
      </c>
      <c r="L262">
        <f>IF(AND(K262=1,OR(pa_po="",C262=pa_po),OR(pa_eq="",B262=pa_eq)),1,0)</f>
        <v>1.0</v>
      </c>
    </row>
    <row r="263">
      <c r="A263" s="51" t="n">
        <v>46304</v>
      </c>
      <c r="B263" s="52" t="inlineStr">
        <is>
          <t>Après-midi</t>
        </is>
      </c>
      <c r="C263" s="52" t="inlineStr">
        <is>
          <t>SOUD</t>
        </is>
      </c>
      <c r="D263" s="53" t="inlineStr">
        <is>
          <t>Réglage en cours de production</t>
        </is>
      </c>
      <c r="E263" s="60" t="n">
        <v>7</v>
      </c>
      <c r="F263" s="53" t="n"/>
      <c r="G263" s="61" t="str">
        <f>IF(OR(COUNTA(A263:E263)=0,D263=""),"",IFERROR(INDEX(ca_fam,MATCH(D263,ca_name,0))&amp;"",""))</f>
        <v>Réglage et changement de série</v>
      </c>
      <c r="H263" s="58" t="str">
        <f>IF(OR(COUNTA(A263:E263)=0,D263=""),"",IFERROR(INDEX(ca_type,MATCH(D263,ca_name,0))&amp;"",""))</f>
        <v>Non planifié</v>
      </c>
      <c r="I263" s="58" t="str">
        <f>IF(COUNTA(A263:E263)=0,"",IF(N(A263)&lt;=0,"Date manquante ou invalide",IF(B263="","Équipe manquante",IF(ISNA(MATCH(B263,eq_code,0)),"Équipe inconnue",IF(C263="","Poste manquant",IF(ISNA(MATCH(C263,po_code,0)),"Poste inconnu",IF(D263="","Cause manquante",IF(ISNA(MATCH(D263,ca_name,0)),"Cause inconnue",IF(H263="","Cause à compléter dans Paramètres",IF(OR(NOT(ISNUMBER(E263)),N(E263)&lt;=0,N(E263)&gt;1440),"Durée invalide",IF(COUNTIFS(sj_date,A263,sj_eq,B263,sj_po,C263)=0,"Pas de saisie journalière ce jour-là","OK")))))))))))</f>
        <v>OK</v>
      </c>
      <c r="J263">
        <f>IF(OR(I263="OK",I263="Pas de saisie journalière ce jour-là"),E263,0)</f>
        <v>7.0</v>
      </c>
      <c r="K263">
        <f>IF(AND(J263&gt;0,A263&gt;=p_from,A263&lt;=p_to),1,0)</f>
        <v>1.0</v>
      </c>
      <c r="L263">
        <f>IF(AND(K263=1,OR(pa_po="",C263=pa_po),OR(pa_eq="",B263=pa_eq)),1,0)</f>
        <v>1.0</v>
      </c>
    </row>
    <row r="264">
      <c r="A264" s="51" t="n">
        <v>46304</v>
      </c>
      <c r="B264" s="52" t="inlineStr">
        <is>
          <t>Après-midi</t>
        </is>
      </c>
      <c r="C264" s="52" t="inlineStr">
        <is>
          <t>SOUD</t>
        </is>
      </c>
      <c r="D264" s="53" t="inlineStr">
        <is>
          <t>Changement de série</t>
        </is>
      </c>
      <c r="E264" s="60" t="n">
        <v>53</v>
      </c>
      <c r="F264" s="53" t="n"/>
      <c r="G264" s="61" t="str">
        <f>IF(OR(COUNTA(A264:E264)=0,D264=""),"",IFERROR(INDEX(ca_fam,MATCH(D264,ca_name,0))&amp;"",""))</f>
        <v>Réglage et changement de série</v>
      </c>
      <c r="H264" s="58" t="str">
        <f>IF(OR(COUNTA(A264:E264)=0,D264=""),"",IFERROR(INDEX(ca_type,MATCH(D264,ca_name,0))&amp;"",""))</f>
        <v>Non planifié</v>
      </c>
      <c r="I264" s="58" t="str">
        <f>IF(COUNTA(A264:E264)=0,"",IF(N(A264)&lt;=0,"Date manquante ou invalide",IF(B264="","Équipe manquante",IF(ISNA(MATCH(B264,eq_code,0)),"Équipe inconnue",IF(C264="","Poste manquant",IF(ISNA(MATCH(C264,po_code,0)),"Poste inconnu",IF(D264="","Cause manquante",IF(ISNA(MATCH(D264,ca_name,0)),"Cause inconnue",IF(H264="","Cause à compléter dans Paramètres",IF(OR(NOT(ISNUMBER(E264)),N(E264)&lt;=0,N(E264)&gt;1440),"Durée invalide",IF(COUNTIFS(sj_date,A264,sj_eq,B264,sj_po,C264)=0,"Pas de saisie journalière ce jour-là","OK")))))))))))</f>
        <v>OK</v>
      </c>
      <c r="J264">
        <f>IF(OR(I264="OK",I264="Pas de saisie journalière ce jour-là"),E264,0)</f>
        <v>53.0</v>
      </c>
      <c r="K264">
        <f>IF(AND(J264&gt;0,A264&gt;=p_from,A264&lt;=p_to),1,0)</f>
        <v>1.0</v>
      </c>
      <c r="L264">
        <f>IF(AND(K264=1,OR(pa_po="",C264=pa_po),OR(pa_eq="",B264=pa_eq)),1,0)</f>
        <v>1.0</v>
      </c>
    </row>
    <row r="265">
      <c r="A265" s="51" t="n">
        <v>46304</v>
      </c>
      <c r="B265" s="52" t="inlineStr">
        <is>
          <t>Après-midi</t>
        </is>
      </c>
      <c r="C265" s="52" t="inlineStr">
        <is>
          <t>SOUD</t>
        </is>
      </c>
      <c r="D265" s="53" t="inlineStr">
        <is>
          <t>Changement d'outil</t>
        </is>
      </c>
      <c r="E265" s="60" t="n">
        <v>11</v>
      </c>
      <c r="F265" s="53" t="n"/>
      <c r="G265" s="61" t="str">
        <f>IF(OR(COUNTA(A265:E265)=0,D265=""),"",IFERROR(INDEX(ca_fam,MATCH(D265,ca_name,0))&amp;"",""))</f>
        <v>Réglage et changement de série</v>
      </c>
      <c r="H265" s="58" t="str">
        <f>IF(OR(COUNTA(A265:E265)=0,D265=""),"",IFERROR(INDEX(ca_type,MATCH(D265,ca_name,0))&amp;"",""))</f>
        <v>Non planifié</v>
      </c>
      <c r="I265" s="58" t="str">
        <f>IF(COUNTA(A265:E265)=0,"",IF(N(A265)&lt;=0,"Date manquante ou invalide",IF(B265="","Équipe manquante",IF(ISNA(MATCH(B265,eq_code,0)),"Équipe inconnue",IF(C265="","Poste manquant",IF(ISNA(MATCH(C265,po_code,0)),"Poste inconnu",IF(D265="","Cause manquante",IF(ISNA(MATCH(D265,ca_name,0)),"Cause inconnue",IF(H265="","Cause à compléter dans Paramètres",IF(OR(NOT(ISNUMBER(E265)),N(E265)&lt;=0,N(E265)&gt;1440),"Durée invalide",IF(COUNTIFS(sj_date,A265,sj_eq,B265,sj_po,C265)=0,"Pas de saisie journalière ce jour-là","OK")))))))))))</f>
        <v>OK</v>
      </c>
      <c r="J265">
        <f>IF(OR(I265="OK",I265="Pas de saisie journalière ce jour-là"),E265,0)</f>
        <v>11.0</v>
      </c>
      <c r="K265">
        <f>IF(AND(J265&gt;0,A265&gt;=p_from,A265&lt;=p_to),1,0)</f>
        <v>1.0</v>
      </c>
      <c r="L265">
        <f>IF(AND(K265=1,OR(pa_po="",C265=pa_po),OR(pa_eq="",B265=pa_eq)),1,0)</f>
        <v>1.0</v>
      </c>
    </row>
    <row r="266">
      <c r="A266" s="51" t="n">
        <v>46307</v>
      </c>
      <c r="B266" s="52" t="inlineStr">
        <is>
          <t>Matin</t>
        </is>
      </c>
      <c r="C266" s="52" t="inlineStr">
        <is>
          <t>TOUR1</t>
        </is>
      </c>
      <c r="D266" s="53" t="inlineStr">
        <is>
          <t>Changement de série</t>
        </is>
      </c>
      <c r="E266" s="60" t="n">
        <v>46</v>
      </c>
      <c r="F266" s="53" t="n"/>
      <c r="G266" s="61" t="str">
        <f>IF(OR(COUNTA(A266:E266)=0,D266=""),"",IFERROR(INDEX(ca_fam,MATCH(D266,ca_name,0))&amp;"",""))</f>
        <v>Réglage et changement de série</v>
      </c>
      <c r="H266" s="58" t="str">
        <f>IF(OR(COUNTA(A266:E266)=0,D266=""),"",IFERROR(INDEX(ca_type,MATCH(D266,ca_name,0))&amp;"",""))</f>
        <v>Non planifié</v>
      </c>
      <c r="I266" s="58" t="str">
        <f>IF(COUNTA(A266:E266)=0,"",IF(N(A266)&lt;=0,"Date manquante ou invalide",IF(B266="","Équipe manquante",IF(ISNA(MATCH(B266,eq_code,0)),"Équipe inconnue",IF(C266="","Poste manquant",IF(ISNA(MATCH(C266,po_code,0)),"Poste inconnu",IF(D266="","Cause manquante",IF(ISNA(MATCH(D266,ca_name,0)),"Cause inconnue",IF(H266="","Cause à compléter dans Paramètres",IF(OR(NOT(ISNUMBER(E266)),N(E266)&lt;=0,N(E266)&gt;1440),"Durée invalide",IF(COUNTIFS(sj_date,A266,sj_eq,B266,sj_po,C266)=0,"Pas de saisie journalière ce jour-là","OK")))))))))))</f>
        <v>OK</v>
      </c>
      <c r="J266">
        <f>IF(OR(I266="OK",I266="Pas de saisie journalière ce jour-là"),E266,0)</f>
        <v>46.0</v>
      </c>
      <c r="K266">
        <f>IF(AND(J266&gt;0,A266&gt;=p_from,A266&lt;=p_to),1,0)</f>
        <v>1.0</v>
      </c>
      <c r="L266">
        <f>IF(AND(K266=1,OR(pa_po="",C266=pa_po),OR(pa_eq="",B266=pa_eq)),1,0)</f>
        <v>1.0</v>
      </c>
    </row>
    <row r="267">
      <c r="A267" s="51" t="n">
        <v>46307</v>
      </c>
      <c r="B267" s="52" t="inlineStr">
        <is>
          <t>Après-midi</t>
        </is>
      </c>
      <c r="C267" s="52" t="inlineStr">
        <is>
          <t>TOUR1</t>
        </is>
      </c>
      <c r="D267" s="53" t="inlineStr">
        <is>
          <t>Changement de série</t>
        </is>
      </c>
      <c r="E267" s="60" t="n">
        <v>30</v>
      </c>
      <c r="F267" s="53" t="n"/>
      <c r="G267" s="61" t="str">
        <f>IF(OR(COUNTA(A267:E267)=0,D267=""),"",IFERROR(INDEX(ca_fam,MATCH(D267,ca_name,0))&amp;"",""))</f>
        <v>Réglage et changement de série</v>
      </c>
      <c r="H267" s="58" t="str">
        <f>IF(OR(COUNTA(A267:E267)=0,D267=""),"",IFERROR(INDEX(ca_type,MATCH(D267,ca_name,0))&amp;"",""))</f>
        <v>Non planifié</v>
      </c>
      <c r="I267" s="58" t="str">
        <f>IF(COUNTA(A267:E267)=0,"",IF(N(A267)&lt;=0,"Date manquante ou invalide",IF(B267="","Équipe manquante",IF(ISNA(MATCH(B267,eq_code,0)),"Équipe inconnue",IF(C267="","Poste manquant",IF(ISNA(MATCH(C267,po_code,0)),"Poste inconnu",IF(D267="","Cause manquante",IF(ISNA(MATCH(D267,ca_name,0)),"Cause inconnue",IF(H267="","Cause à compléter dans Paramètres",IF(OR(NOT(ISNUMBER(E267)),N(E267)&lt;=0,N(E267)&gt;1440),"Durée invalide",IF(COUNTIFS(sj_date,A267,sj_eq,B267,sj_po,C267)=0,"Pas de saisie journalière ce jour-là","OK")))))))))))</f>
        <v>OK</v>
      </c>
      <c r="J267">
        <f>IF(OR(I267="OK",I267="Pas de saisie journalière ce jour-là"),E267,0)</f>
        <v>30.0</v>
      </c>
      <c r="K267">
        <f>IF(AND(J267&gt;0,A267&gt;=p_from,A267&lt;=p_to),1,0)</f>
        <v>1.0</v>
      </c>
      <c r="L267">
        <f>IF(AND(K267=1,OR(pa_po="",C267=pa_po),OR(pa_eq="",B267=pa_eq)),1,0)</f>
        <v>1.0</v>
      </c>
    </row>
    <row r="268">
      <c r="A268" s="51" t="n">
        <v>46307</v>
      </c>
      <c r="B268" s="52" t="inlineStr">
        <is>
          <t>Après-midi</t>
        </is>
      </c>
      <c r="C268" s="52" t="inlineStr">
        <is>
          <t>TOUR1</t>
        </is>
      </c>
      <c r="D268" s="53" t="inlineStr">
        <is>
          <t>Attente chariot élévateur</t>
        </is>
      </c>
      <c r="E268" s="60" t="n">
        <v>19</v>
      </c>
      <c r="F268" s="53" t="n"/>
      <c r="G268" s="61" t="str">
        <f>IF(OR(COUNTA(A268:E268)=0,D268=""),"",IFERROR(INDEX(ca_fam,MATCH(D268,ca_name,0))&amp;"",""))</f>
        <v>Organisation</v>
      </c>
      <c r="H268" s="58" t="str">
        <f>IF(OR(COUNTA(A268:E268)=0,D268=""),"",IFERROR(INDEX(ca_type,MATCH(D268,ca_name,0))&amp;"",""))</f>
        <v>Non planifié</v>
      </c>
      <c r="I268" s="58" t="str">
        <f>IF(COUNTA(A268:E268)=0,"",IF(N(A268)&lt;=0,"Date manquante ou invalide",IF(B268="","Équipe manquante",IF(ISNA(MATCH(B268,eq_code,0)),"Équipe inconnue",IF(C268="","Poste manquant",IF(ISNA(MATCH(C268,po_code,0)),"Poste inconnu",IF(D268="","Cause manquante",IF(ISNA(MATCH(D268,ca_name,0)),"Cause inconnue",IF(H268="","Cause à compléter dans Paramètres",IF(OR(NOT(ISNUMBER(E268)),N(E268)&lt;=0,N(E268)&gt;1440),"Durée invalide",IF(COUNTIFS(sj_date,A268,sj_eq,B268,sj_po,C268)=0,"Pas de saisie journalière ce jour-là","OK")))))))))))</f>
        <v>OK</v>
      </c>
      <c r="J268">
        <f>IF(OR(I268="OK",I268="Pas de saisie journalière ce jour-là"),E268,0)</f>
        <v>19.0</v>
      </c>
      <c r="K268">
        <f>IF(AND(J268&gt;0,A268&gt;=p_from,A268&lt;=p_to),1,0)</f>
        <v>1.0</v>
      </c>
      <c r="L268">
        <f>IF(AND(K268=1,OR(pa_po="",C268=pa_po),OR(pa_eq="",B268=pa_eq)),1,0)</f>
        <v>1.0</v>
      </c>
    </row>
    <row r="269">
      <c r="A269" s="51" t="n">
        <v>46307</v>
      </c>
      <c r="B269" s="52" t="inlineStr">
        <is>
          <t>Matin</t>
        </is>
      </c>
      <c r="C269" s="52" t="inlineStr">
        <is>
          <t>TOUR2</t>
        </is>
      </c>
      <c r="D269" s="53" t="inlineStr">
        <is>
          <t>Casse outil</t>
        </is>
      </c>
      <c r="E269" s="60" t="n">
        <v>14</v>
      </c>
      <c r="F269" s="53" t="n"/>
      <c r="G269" s="61" t="str">
        <f>IF(OR(COUNTA(A269:E269)=0,D269=""),"",IFERROR(INDEX(ca_fam,MATCH(D269,ca_name,0))&amp;"",""))</f>
        <v>Panne</v>
      </c>
      <c r="H269" s="58" t="str">
        <f>IF(OR(COUNTA(A269:E269)=0,D269=""),"",IFERROR(INDEX(ca_type,MATCH(D269,ca_name,0))&amp;"",""))</f>
        <v>Non planifié</v>
      </c>
      <c r="I269" s="58" t="str">
        <f>IF(COUNTA(A269:E269)=0,"",IF(N(A269)&lt;=0,"Date manquante ou invalide",IF(B269="","Équipe manquante",IF(ISNA(MATCH(B269,eq_code,0)),"Équipe inconnue",IF(C269="","Poste manquant",IF(ISNA(MATCH(C269,po_code,0)),"Poste inconnu",IF(D269="","Cause manquante",IF(ISNA(MATCH(D269,ca_name,0)),"Cause inconnue",IF(H269="","Cause à compléter dans Paramètres",IF(OR(NOT(ISNUMBER(E269)),N(E269)&lt;=0,N(E269)&gt;1440),"Durée invalide",IF(COUNTIFS(sj_date,A269,sj_eq,B269,sj_po,C269)=0,"Pas de saisie journalière ce jour-là","OK")))))))))))</f>
        <v>OK</v>
      </c>
      <c r="J269">
        <f>IF(OR(I269="OK",I269="Pas de saisie journalière ce jour-là"),E269,0)</f>
        <v>14.0</v>
      </c>
      <c r="K269">
        <f>IF(AND(J269&gt;0,A269&gt;=p_from,A269&lt;=p_to),1,0)</f>
        <v>1.0</v>
      </c>
      <c r="L269">
        <f>IF(AND(K269=1,OR(pa_po="",C269=pa_po),OR(pa_eq="",B269=pa_eq)),1,0)</f>
        <v>1.0</v>
      </c>
    </row>
    <row r="270">
      <c r="A270" s="51" t="n">
        <v>46307</v>
      </c>
      <c r="B270" s="52" t="inlineStr">
        <is>
          <t>Après-midi</t>
        </is>
      </c>
      <c r="C270" s="52" t="inlineStr">
        <is>
          <t>TOUR2</t>
        </is>
      </c>
      <c r="D270" s="53" t="inlineStr">
        <is>
          <t>Changement de série</t>
        </is>
      </c>
      <c r="E270" s="60" t="n">
        <v>64</v>
      </c>
      <c r="F270" s="53" t="n"/>
      <c r="G270" s="61" t="str">
        <f>IF(OR(COUNTA(A270:E270)=0,D270=""),"",IFERROR(INDEX(ca_fam,MATCH(D270,ca_name,0))&amp;"",""))</f>
        <v>Réglage et changement de série</v>
      </c>
      <c r="H270" s="58" t="str">
        <f>IF(OR(COUNTA(A270:E270)=0,D270=""),"",IFERROR(INDEX(ca_type,MATCH(D270,ca_name,0))&amp;"",""))</f>
        <v>Non planifié</v>
      </c>
      <c r="I270" s="58" t="str">
        <f>IF(COUNTA(A270:E270)=0,"",IF(N(A270)&lt;=0,"Date manquante ou invalide",IF(B270="","Équipe manquante",IF(ISNA(MATCH(B270,eq_code,0)),"Équipe inconnue",IF(C270="","Poste manquant",IF(ISNA(MATCH(C270,po_code,0)),"Poste inconnu",IF(D270="","Cause manquante",IF(ISNA(MATCH(D270,ca_name,0)),"Cause inconnue",IF(H270="","Cause à compléter dans Paramètres",IF(OR(NOT(ISNUMBER(E270)),N(E270)&lt;=0,N(E270)&gt;1440),"Durée invalide",IF(COUNTIFS(sj_date,A270,sj_eq,B270,sj_po,C270)=0,"Pas de saisie journalière ce jour-là","OK")))))))))))</f>
        <v>OK</v>
      </c>
      <c r="J270">
        <f>IF(OR(I270="OK",I270="Pas de saisie journalière ce jour-là"),E270,0)</f>
        <v>64.0</v>
      </c>
      <c r="K270">
        <f>IF(AND(J270&gt;0,A270&gt;=p_from,A270&lt;=p_to),1,0)</f>
        <v>1.0</v>
      </c>
      <c r="L270">
        <f>IF(AND(K270=1,OR(pa_po="",C270=pa_po),OR(pa_eq="",B270=pa_eq)),1,0)</f>
        <v>1.0</v>
      </c>
    </row>
    <row r="271">
      <c r="A271" s="51" t="n">
        <v>46307</v>
      </c>
      <c r="B271" s="52" t="inlineStr">
        <is>
          <t>Après-midi</t>
        </is>
      </c>
      <c r="C271" s="52" t="inlineStr">
        <is>
          <t>TOUR2</t>
        </is>
      </c>
      <c r="D271" s="53" t="inlineStr">
        <is>
          <t>Casse outil</t>
        </is>
      </c>
      <c r="E271" s="60" t="n">
        <v>27</v>
      </c>
      <c r="F271" s="53" t="n"/>
      <c r="G271" s="61" t="str">
        <f>IF(OR(COUNTA(A271:E271)=0,D271=""),"",IFERROR(INDEX(ca_fam,MATCH(D271,ca_name,0))&amp;"",""))</f>
        <v>Panne</v>
      </c>
      <c r="H271" s="58" t="str">
        <f>IF(OR(COUNTA(A271:E271)=0,D271=""),"",IFERROR(INDEX(ca_type,MATCH(D271,ca_name,0))&amp;"",""))</f>
        <v>Non planifié</v>
      </c>
      <c r="I271" s="58" t="str">
        <f>IF(COUNTA(A271:E271)=0,"",IF(N(A271)&lt;=0,"Date manquante ou invalide",IF(B271="","Équipe manquante",IF(ISNA(MATCH(B271,eq_code,0)),"Équipe inconnue",IF(C271="","Poste manquant",IF(ISNA(MATCH(C271,po_code,0)),"Poste inconnu",IF(D271="","Cause manquante",IF(ISNA(MATCH(D271,ca_name,0)),"Cause inconnue",IF(H271="","Cause à compléter dans Paramètres",IF(OR(NOT(ISNUMBER(E271)),N(E271)&lt;=0,N(E271)&gt;1440),"Durée invalide",IF(COUNTIFS(sj_date,A271,sj_eq,B271,sj_po,C271)=0,"Pas de saisie journalière ce jour-là","OK")))))))))))</f>
        <v>OK</v>
      </c>
      <c r="J271">
        <f>IF(OR(I271="OK",I271="Pas de saisie journalière ce jour-là"),E271,0)</f>
        <v>27.0</v>
      </c>
      <c r="K271">
        <f>IF(AND(J271&gt;0,A271&gt;=p_from,A271&lt;=p_to),1,0)</f>
        <v>1.0</v>
      </c>
      <c r="L271">
        <f>IF(AND(K271=1,OR(pa_po="",C271=pa_po),OR(pa_eq="",B271=pa_eq)),1,0)</f>
        <v>1.0</v>
      </c>
    </row>
    <row r="272">
      <c r="A272" s="51" t="n">
        <v>46307</v>
      </c>
      <c r="B272" s="52" t="inlineStr">
        <is>
          <t>Matin</t>
        </is>
      </c>
      <c r="C272" s="52" t="inlineStr">
        <is>
          <t>USIN</t>
        </is>
      </c>
      <c r="D272" s="53" t="inlineStr">
        <is>
          <t>Maintenance préventive</t>
        </is>
      </c>
      <c r="E272" s="60" t="n">
        <v>60</v>
      </c>
      <c r="F272" s="53" t="n"/>
      <c r="G272" s="61" t="str">
        <f>IF(OR(COUNTA(A272:E272)=0,D272=""),"",IFERROR(INDEX(ca_fam,MATCH(D272,ca_name,0))&amp;"",""))</f>
        <v>Arrêt planifié</v>
      </c>
      <c r="H272" s="58" t="str">
        <f>IF(OR(COUNTA(A272:E272)=0,D272=""),"",IFERROR(INDEX(ca_type,MATCH(D272,ca_name,0))&amp;"",""))</f>
        <v>Planifié</v>
      </c>
      <c r="I272" s="58" t="str">
        <f>IF(COUNTA(A272:E272)=0,"",IF(N(A272)&lt;=0,"Date manquante ou invalide",IF(B272="","Équipe manquante",IF(ISNA(MATCH(B272,eq_code,0)),"Équipe inconnue",IF(C272="","Poste manquant",IF(ISNA(MATCH(C272,po_code,0)),"Poste inconnu",IF(D272="","Cause manquante",IF(ISNA(MATCH(D272,ca_name,0)),"Cause inconnue",IF(H272="","Cause à compléter dans Paramètres",IF(OR(NOT(ISNUMBER(E272)),N(E272)&lt;=0,N(E272)&gt;1440),"Durée invalide",IF(COUNTIFS(sj_date,A272,sj_eq,B272,sj_po,C272)=0,"Pas de saisie journalière ce jour-là","OK")))))))))))</f>
        <v>OK</v>
      </c>
      <c r="J272">
        <f>IF(OR(I272="OK",I272="Pas de saisie journalière ce jour-là"),E272,0)</f>
        <v>60.0</v>
      </c>
      <c r="K272">
        <f>IF(AND(J272&gt;0,A272&gt;=p_from,A272&lt;=p_to),1,0)</f>
        <v>1.0</v>
      </c>
      <c r="L272">
        <f>IF(AND(K272=1,OR(pa_po="",C272=pa_po),OR(pa_eq="",B272=pa_eq)),1,0)</f>
        <v>1.0</v>
      </c>
    </row>
    <row r="273">
      <c r="A273" s="51" t="n">
        <v>46307</v>
      </c>
      <c r="B273" s="52" t="inlineStr">
        <is>
          <t>Matin</t>
        </is>
      </c>
      <c r="C273" s="52" t="inlineStr">
        <is>
          <t>USIN</t>
        </is>
      </c>
      <c r="D273" s="53" t="inlineStr">
        <is>
          <t>Changement de série</t>
        </is>
      </c>
      <c r="E273" s="60" t="n">
        <v>40</v>
      </c>
      <c r="F273" s="53" t="n"/>
      <c r="G273" s="61" t="str">
        <f>IF(OR(COUNTA(A273:E273)=0,D273=""),"",IFERROR(INDEX(ca_fam,MATCH(D273,ca_name,0))&amp;"",""))</f>
        <v>Réglage et changement de série</v>
      </c>
      <c r="H273" s="58" t="str">
        <f>IF(OR(COUNTA(A273:E273)=0,D273=""),"",IFERROR(INDEX(ca_type,MATCH(D273,ca_name,0))&amp;"",""))</f>
        <v>Non planifié</v>
      </c>
      <c r="I273" s="58" t="str">
        <f>IF(COUNTA(A273:E273)=0,"",IF(N(A273)&lt;=0,"Date manquante ou invalide",IF(B273="","Équipe manquante",IF(ISNA(MATCH(B273,eq_code,0)),"Équipe inconnue",IF(C273="","Poste manquant",IF(ISNA(MATCH(C273,po_code,0)),"Poste inconnu",IF(D273="","Cause manquante",IF(ISNA(MATCH(D273,ca_name,0)),"Cause inconnue",IF(H273="","Cause à compléter dans Paramètres",IF(OR(NOT(ISNUMBER(E273)),N(E273)&lt;=0,N(E273)&gt;1440),"Durée invalide",IF(COUNTIFS(sj_date,A273,sj_eq,B273,sj_po,C273)=0,"Pas de saisie journalière ce jour-là","OK")))))))))))</f>
        <v>OK</v>
      </c>
      <c r="J273">
        <f>IF(OR(I273="OK",I273="Pas de saisie journalière ce jour-là"),E273,0)</f>
        <v>40.0</v>
      </c>
      <c r="K273">
        <f>IF(AND(J273&gt;0,A273&gt;=p_from,A273&lt;=p_to),1,0)</f>
        <v>1.0</v>
      </c>
      <c r="L273">
        <f>IF(AND(K273=1,OR(pa_po="",C273=pa_po),OR(pa_eq="",B273=pa_eq)),1,0)</f>
        <v>1.0</v>
      </c>
    </row>
    <row r="274">
      <c r="A274" s="51" t="n">
        <v>46307</v>
      </c>
      <c r="B274" s="52" t="inlineStr">
        <is>
          <t>Matin</t>
        </is>
      </c>
      <c r="C274" s="52" t="inlineStr">
        <is>
          <t>USIN</t>
        </is>
      </c>
      <c r="D274" s="53" t="inlineStr">
        <is>
          <t>Panne mécanique</t>
        </is>
      </c>
      <c r="E274" s="60" t="n">
        <v>40</v>
      </c>
      <c r="F274" s="53" t="n"/>
      <c r="G274" s="61" t="str">
        <f>IF(OR(COUNTA(A274:E274)=0,D274=""),"",IFERROR(INDEX(ca_fam,MATCH(D274,ca_name,0))&amp;"",""))</f>
        <v>Panne</v>
      </c>
      <c r="H274" s="58" t="str">
        <f>IF(OR(COUNTA(A274:E274)=0,D274=""),"",IFERROR(INDEX(ca_type,MATCH(D274,ca_name,0))&amp;"",""))</f>
        <v>Non planifié</v>
      </c>
      <c r="I274" s="58" t="str">
        <f>IF(COUNTA(A274:E274)=0,"",IF(N(A274)&lt;=0,"Date manquante ou invalide",IF(B274="","Équipe manquante",IF(ISNA(MATCH(B274,eq_code,0)),"Équipe inconnue",IF(C274="","Poste manquant",IF(ISNA(MATCH(C274,po_code,0)),"Poste inconnu",IF(D274="","Cause manquante",IF(ISNA(MATCH(D274,ca_name,0)),"Cause inconnue",IF(H274="","Cause à compléter dans Paramètres",IF(OR(NOT(ISNUMBER(E274)),N(E274)&lt;=0,N(E274)&gt;1440),"Durée invalide",IF(COUNTIFS(sj_date,A274,sj_eq,B274,sj_po,C274)=0,"Pas de saisie journalière ce jour-là","OK")))))))))))</f>
        <v>OK</v>
      </c>
      <c r="J274">
        <f>IF(OR(I274="OK",I274="Pas de saisie journalière ce jour-là"),E274,0)</f>
        <v>40.0</v>
      </c>
      <c r="K274">
        <f>IF(AND(J274&gt;0,A274&gt;=p_from,A274&lt;=p_to),1,0)</f>
        <v>1.0</v>
      </c>
      <c r="L274">
        <f>IF(AND(K274=1,OR(pa_po="",C274=pa_po),OR(pa_eq="",B274=pa_eq)),1,0)</f>
        <v>1.0</v>
      </c>
    </row>
    <row r="275">
      <c r="A275" s="51" t="n">
        <v>46307</v>
      </c>
      <c r="B275" s="52" t="inlineStr">
        <is>
          <t>Après-midi</t>
        </is>
      </c>
      <c r="C275" s="52" t="inlineStr">
        <is>
          <t>USIN</t>
        </is>
      </c>
      <c r="D275" s="53" t="inlineStr">
        <is>
          <t>Attente contrôle qualité</t>
        </is>
      </c>
      <c r="E275" s="60" t="n">
        <v>15</v>
      </c>
      <c r="F275" s="53" t="n"/>
      <c r="G275" s="61" t="str">
        <f>IF(OR(COUNTA(A275:E275)=0,D275=""),"",IFERROR(INDEX(ca_fam,MATCH(D275,ca_name,0))&amp;"",""))</f>
        <v>Qualité</v>
      </c>
      <c r="H275" s="58" t="str">
        <f>IF(OR(COUNTA(A275:E275)=0,D275=""),"",IFERROR(INDEX(ca_type,MATCH(D275,ca_name,0))&amp;"",""))</f>
        <v>Non planifié</v>
      </c>
      <c r="I275" s="58" t="str">
        <f>IF(COUNTA(A275:E275)=0,"",IF(N(A275)&lt;=0,"Date manquante ou invalide",IF(B275="","Équipe manquante",IF(ISNA(MATCH(B275,eq_code,0)),"Équipe inconnue",IF(C275="","Poste manquant",IF(ISNA(MATCH(C275,po_code,0)),"Poste inconnu",IF(D275="","Cause manquante",IF(ISNA(MATCH(D275,ca_name,0)),"Cause inconnue",IF(H275="","Cause à compléter dans Paramètres",IF(OR(NOT(ISNUMBER(E275)),N(E275)&lt;=0,N(E275)&gt;1440),"Durée invalide",IF(COUNTIFS(sj_date,A275,sj_eq,B275,sj_po,C275)=0,"Pas de saisie journalière ce jour-là","OK")))))))))))</f>
        <v>OK</v>
      </c>
      <c r="J275">
        <f>IF(OR(I275="OK",I275="Pas de saisie journalière ce jour-là"),E275,0)</f>
        <v>15.0</v>
      </c>
      <c r="K275">
        <f>IF(AND(J275&gt;0,A275&gt;=p_from,A275&lt;=p_to),1,0)</f>
        <v>1.0</v>
      </c>
      <c r="L275">
        <f>IF(AND(K275=1,OR(pa_po="",C275=pa_po),OR(pa_eq="",B275=pa_eq)),1,0)</f>
        <v>1.0</v>
      </c>
    </row>
    <row r="276">
      <c r="A276" s="51" t="n">
        <v>46307</v>
      </c>
      <c r="B276" s="52" t="inlineStr">
        <is>
          <t>Matin</t>
        </is>
      </c>
      <c r="C276" s="52" t="inlineStr">
        <is>
          <t>PRESSE</t>
        </is>
      </c>
      <c r="D276" s="53" t="inlineStr">
        <is>
          <t>Maintenance préventive</t>
        </is>
      </c>
      <c r="E276" s="60" t="n">
        <v>60</v>
      </c>
      <c r="F276" s="53" t="n"/>
      <c r="G276" s="61" t="str">
        <f>IF(OR(COUNTA(A276:E276)=0,D276=""),"",IFERROR(INDEX(ca_fam,MATCH(D276,ca_name,0))&amp;"",""))</f>
        <v>Arrêt planifié</v>
      </c>
      <c r="H276" s="58" t="str">
        <f>IF(OR(COUNTA(A276:E276)=0,D276=""),"",IFERROR(INDEX(ca_type,MATCH(D276,ca_name,0))&amp;"",""))</f>
        <v>Planifié</v>
      </c>
      <c r="I276" s="58" t="str">
        <f>IF(COUNTA(A276:E276)=0,"",IF(N(A276)&lt;=0,"Date manquante ou invalide",IF(B276="","Équipe manquante",IF(ISNA(MATCH(B276,eq_code,0)),"Équipe inconnue",IF(C276="","Poste manquant",IF(ISNA(MATCH(C276,po_code,0)),"Poste inconnu",IF(D276="","Cause manquante",IF(ISNA(MATCH(D276,ca_name,0)),"Cause inconnue",IF(H276="","Cause à compléter dans Paramètres",IF(OR(NOT(ISNUMBER(E276)),N(E276)&lt;=0,N(E276)&gt;1440),"Durée invalide",IF(COUNTIFS(sj_date,A276,sj_eq,B276,sj_po,C276)=0,"Pas de saisie journalière ce jour-là","OK")))))))))))</f>
        <v>OK</v>
      </c>
      <c r="J276">
        <f>IF(OR(I276="OK",I276="Pas de saisie journalière ce jour-là"),E276,0)</f>
        <v>60.0</v>
      </c>
      <c r="K276">
        <f>IF(AND(J276&gt;0,A276&gt;=p_from,A276&lt;=p_to),1,0)</f>
        <v>1.0</v>
      </c>
      <c r="L276">
        <f>IF(AND(K276=1,OR(pa_po="",C276=pa_po),OR(pa_eq="",B276=pa_eq)),1,0)</f>
        <v>1.0</v>
      </c>
    </row>
    <row r="277">
      <c r="A277" s="51" t="n">
        <v>46307</v>
      </c>
      <c r="B277" s="52" t="inlineStr">
        <is>
          <t>Matin</t>
        </is>
      </c>
      <c r="C277" s="52" t="inlineStr">
        <is>
          <t>PRESSE</t>
        </is>
      </c>
      <c r="D277" s="53" t="inlineStr">
        <is>
          <t>Réglage en cours de production</t>
        </is>
      </c>
      <c r="E277" s="60" t="n">
        <v>22</v>
      </c>
      <c r="F277" s="53" t="n"/>
      <c r="G277" s="61" t="str">
        <f>IF(OR(COUNTA(A277:E277)=0,D277=""),"",IFERROR(INDEX(ca_fam,MATCH(D277,ca_name,0))&amp;"",""))</f>
        <v>Réglage et changement de série</v>
      </c>
      <c r="H277" s="58" t="str">
        <f>IF(OR(COUNTA(A277:E277)=0,D277=""),"",IFERROR(INDEX(ca_type,MATCH(D277,ca_name,0))&amp;"",""))</f>
        <v>Non planifié</v>
      </c>
      <c r="I277" s="58" t="str">
        <f>IF(COUNTA(A277:E277)=0,"",IF(N(A277)&lt;=0,"Date manquante ou invalide",IF(B277="","Équipe manquante",IF(ISNA(MATCH(B277,eq_code,0)),"Équipe inconnue",IF(C277="","Poste manquant",IF(ISNA(MATCH(C277,po_code,0)),"Poste inconnu",IF(D277="","Cause manquante",IF(ISNA(MATCH(D277,ca_name,0)),"Cause inconnue",IF(H277="","Cause à compléter dans Paramètres",IF(OR(NOT(ISNUMBER(E277)),N(E277)&lt;=0,N(E277)&gt;1440),"Durée invalide",IF(COUNTIFS(sj_date,A277,sj_eq,B277,sj_po,C277)=0,"Pas de saisie journalière ce jour-là","OK")))))))))))</f>
        <v>OK</v>
      </c>
      <c r="J277">
        <f>IF(OR(I277="OK",I277="Pas de saisie journalière ce jour-là"),E277,0)</f>
        <v>22.0</v>
      </c>
      <c r="K277">
        <f>IF(AND(J277&gt;0,A277&gt;=p_from,A277&lt;=p_to),1,0)</f>
        <v>1.0</v>
      </c>
      <c r="L277">
        <f>IF(AND(K277=1,OR(pa_po="",C277=pa_po),OR(pa_eq="",B277=pa_eq)),1,0)</f>
        <v>1.0</v>
      </c>
    </row>
    <row r="278">
      <c r="A278" s="51" t="n">
        <v>46307</v>
      </c>
      <c r="B278" s="52" t="inlineStr">
        <is>
          <t>Journée</t>
        </is>
      </c>
      <c r="C278" s="52" t="inlineStr">
        <is>
          <t>PLIE</t>
        </is>
      </c>
      <c r="D278" s="53" t="inlineStr">
        <is>
          <t>Changement de série</t>
        </is>
      </c>
      <c r="E278" s="60" t="n">
        <v>65</v>
      </c>
      <c r="F278" s="53" t="n"/>
      <c r="G278" s="61" t="str">
        <f>IF(OR(COUNTA(A278:E278)=0,D278=""),"",IFERROR(INDEX(ca_fam,MATCH(D278,ca_name,0))&amp;"",""))</f>
        <v>Réglage et changement de série</v>
      </c>
      <c r="H278" s="58" t="str">
        <f>IF(OR(COUNTA(A278:E278)=0,D278=""),"",IFERROR(INDEX(ca_type,MATCH(D278,ca_name,0))&amp;"",""))</f>
        <v>Non planifié</v>
      </c>
      <c r="I278" s="58" t="str">
        <f>IF(COUNTA(A278:E278)=0,"",IF(N(A278)&lt;=0,"Date manquante ou invalide",IF(B278="","Équipe manquante",IF(ISNA(MATCH(B278,eq_code,0)),"Équipe inconnue",IF(C278="","Poste manquant",IF(ISNA(MATCH(C278,po_code,0)),"Poste inconnu",IF(D278="","Cause manquante",IF(ISNA(MATCH(D278,ca_name,0)),"Cause inconnue",IF(H278="","Cause à compléter dans Paramètres",IF(OR(NOT(ISNUMBER(E278)),N(E278)&lt;=0,N(E278)&gt;1440),"Durée invalide",IF(COUNTIFS(sj_date,A278,sj_eq,B278,sj_po,C278)=0,"Pas de saisie journalière ce jour-là","OK")))))))))))</f>
        <v>OK</v>
      </c>
      <c r="J278">
        <f>IF(OR(I278="OK",I278="Pas de saisie journalière ce jour-là"),E278,0)</f>
        <v>65.0</v>
      </c>
      <c r="K278">
        <f>IF(AND(J278&gt;0,A278&gt;=p_from,A278&lt;=p_to),1,0)</f>
        <v>1.0</v>
      </c>
      <c r="L278">
        <f>IF(AND(K278=1,OR(pa_po="",C278=pa_po),OR(pa_eq="",B278=pa_eq)),1,0)</f>
        <v>1.0</v>
      </c>
    </row>
    <row r="279">
      <c r="A279" s="51" t="n">
        <v>46307</v>
      </c>
      <c r="B279" s="52" t="inlineStr">
        <is>
          <t>Journée</t>
        </is>
      </c>
      <c r="C279" s="52" t="inlineStr">
        <is>
          <t>PLIE</t>
        </is>
      </c>
      <c r="D279" s="53" t="inlineStr">
        <is>
          <t>Réglage en cours de production</t>
        </is>
      </c>
      <c r="E279" s="60" t="n">
        <v>16</v>
      </c>
      <c r="F279" s="53" t="n"/>
      <c r="G279" s="61" t="str">
        <f>IF(OR(COUNTA(A279:E279)=0,D279=""),"",IFERROR(INDEX(ca_fam,MATCH(D279,ca_name,0))&amp;"",""))</f>
        <v>Réglage et changement de série</v>
      </c>
      <c r="H279" s="58" t="str">
        <f>IF(OR(COUNTA(A279:E279)=0,D279=""),"",IFERROR(INDEX(ca_type,MATCH(D279,ca_name,0))&amp;"",""))</f>
        <v>Non planifié</v>
      </c>
      <c r="I279" s="58" t="str">
        <f>IF(COUNTA(A279:E279)=0,"",IF(N(A279)&lt;=0,"Date manquante ou invalide",IF(B279="","Équipe manquante",IF(ISNA(MATCH(B279,eq_code,0)),"Équipe inconnue",IF(C279="","Poste manquant",IF(ISNA(MATCH(C279,po_code,0)),"Poste inconnu",IF(D279="","Cause manquante",IF(ISNA(MATCH(D279,ca_name,0)),"Cause inconnue",IF(H279="","Cause à compléter dans Paramètres",IF(OR(NOT(ISNUMBER(E279)),N(E279)&lt;=0,N(E279)&gt;1440),"Durée invalide",IF(COUNTIFS(sj_date,A279,sj_eq,B279,sj_po,C279)=0,"Pas de saisie journalière ce jour-là","OK")))))))))))</f>
        <v>OK</v>
      </c>
      <c r="J279">
        <f>IF(OR(I279="OK",I279="Pas de saisie journalière ce jour-là"),E279,0)</f>
        <v>16.0</v>
      </c>
      <c r="K279">
        <f>IF(AND(J279&gt;0,A279&gt;=p_from,A279&lt;=p_to),1,0)</f>
        <v>1.0</v>
      </c>
      <c r="L279">
        <f>IF(AND(K279=1,OR(pa_po="",C279=pa_po),OR(pa_eq="",B279=pa_eq)),1,0)</f>
        <v>1.0</v>
      </c>
    </row>
    <row r="280">
      <c r="A280" s="51" t="n">
        <v>46307</v>
      </c>
      <c r="B280" s="52" t="inlineStr">
        <is>
          <t>Journée</t>
        </is>
      </c>
      <c r="C280" s="52" t="inlineStr">
        <is>
          <t>PLIE</t>
        </is>
      </c>
      <c r="D280" s="53" t="inlineStr">
        <is>
          <t>Changement de série</t>
        </is>
      </c>
      <c r="E280" s="60" t="n">
        <v>40</v>
      </c>
      <c r="F280" s="53" t="n"/>
      <c r="G280" s="61" t="str">
        <f>IF(OR(COUNTA(A280:E280)=0,D280=""),"",IFERROR(INDEX(ca_fam,MATCH(D280,ca_name,0))&amp;"",""))</f>
        <v>Réglage et changement de série</v>
      </c>
      <c r="H280" s="58" t="str">
        <f>IF(OR(COUNTA(A280:E280)=0,D280=""),"",IFERROR(INDEX(ca_type,MATCH(D280,ca_name,0))&amp;"",""))</f>
        <v>Non planifié</v>
      </c>
      <c r="I280" s="58" t="str">
        <f>IF(COUNTA(A280:E280)=0,"",IF(N(A280)&lt;=0,"Date manquante ou invalide",IF(B280="","Équipe manquante",IF(ISNA(MATCH(B280,eq_code,0)),"Équipe inconnue",IF(C280="","Poste manquant",IF(ISNA(MATCH(C280,po_code,0)),"Poste inconnu",IF(D280="","Cause manquante",IF(ISNA(MATCH(D280,ca_name,0)),"Cause inconnue",IF(H280="","Cause à compléter dans Paramètres",IF(OR(NOT(ISNUMBER(E280)),N(E280)&lt;=0,N(E280)&gt;1440),"Durée invalide",IF(COUNTIFS(sj_date,A280,sj_eq,B280,sj_po,C280)=0,"Pas de saisie journalière ce jour-là","OK")))))))))))</f>
        <v>OK</v>
      </c>
      <c r="J280">
        <f>IF(OR(I280="OK",I280="Pas de saisie journalière ce jour-là"),E280,0)</f>
        <v>40.0</v>
      </c>
      <c r="K280">
        <f>IF(AND(J280&gt;0,A280&gt;=p_from,A280&lt;=p_to),1,0)</f>
        <v>1.0</v>
      </c>
      <c r="L280">
        <f>IF(AND(K280=1,OR(pa_po="",C280=pa_po),OR(pa_eq="",B280=pa_eq)),1,0)</f>
        <v>1.0</v>
      </c>
    </row>
    <row r="281">
      <c r="A281" s="51" t="n">
        <v>46307</v>
      </c>
      <c r="B281" s="52" t="inlineStr">
        <is>
          <t>Après-midi</t>
        </is>
      </c>
      <c r="C281" s="52" t="inlineStr">
        <is>
          <t>SOUD</t>
        </is>
      </c>
      <c r="D281" s="53" t="inlineStr">
        <is>
          <t>Attente contrôle qualité</t>
        </is>
      </c>
      <c r="E281" s="60" t="n">
        <v>19</v>
      </c>
      <c r="F281" s="53" t="n"/>
      <c r="G281" s="61" t="str">
        <f>IF(OR(COUNTA(A281:E281)=0,D281=""),"",IFERROR(INDEX(ca_fam,MATCH(D281,ca_name,0))&amp;"",""))</f>
        <v>Qualité</v>
      </c>
      <c r="H281" s="58" t="str">
        <f>IF(OR(COUNTA(A281:E281)=0,D281=""),"",IFERROR(INDEX(ca_type,MATCH(D281,ca_name,0))&amp;"",""))</f>
        <v>Non planifié</v>
      </c>
      <c r="I281" s="58" t="str">
        <f>IF(COUNTA(A281:E281)=0,"",IF(N(A281)&lt;=0,"Date manquante ou invalide",IF(B281="","Équipe manquante",IF(ISNA(MATCH(B281,eq_code,0)),"Équipe inconnue",IF(C281="","Poste manquant",IF(ISNA(MATCH(C281,po_code,0)),"Poste inconnu",IF(D281="","Cause manquante",IF(ISNA(MATCH(D281,ca_name,0)),"Cause inconnue",IF(H281="","Cause à compléter dans Paramètres",IF(OR(NOT(ISNUMBER(E281)),N(E281)&lt;=0,N(E281)&gt;1440),"Durée invalide",IF(COUNTIFS(sj_date,A281,sj_eq,B281,sj_po,C281)=0,"Pas de saisie journalière ce jour-là","OK")))))))))))</f>
        <v>OK</v>
      </c>
      <c r="J281">
        <f>IF(OR(I281="OK",I281="Pas de saisie journalière ce jour-là"),E281,0)</f>
        <v>19.0</v>
      </c>
      <c r="K281">
        <f>IF(AND(J281&gt;0,A281&gt;=p_from,A281&lt;=p_to),1,0)</f>
        <v>1.0</v>
      </c>
      <c r="L281">
        <f>IF(AND(K281=1,OR(pa_po="",C281=pa_po),OR(pa_eq="",B281=pa_eq)),1,0)</f>
        <v>1.0</v>
      </c>
    </row>
    <row r="282">
      <c r="A282" s="51" t="n">
        <v>46307</v>
      </c>
      <c r="B282" s="52" t="inlineStr">
        <is>
          <t>Après-midi</t>
        </is>
      </c>
      <c r="C282" s="52" t="inlineStr">
        <is>
          <t>SOUD</t>
        </is>
      </c>
      <c r="D282" s="53" t="inlineStr">
        <is>
          <t>Attente programme ou consignes</t>
        </is>
      </c>
      <c r="E282" s="60" t="n">
        <v>19</v>
      </c>
      <c r="F282" s="53" t="n"/>
      <c r="G282" s="61" t="str">
        <f>IF(OR(COUNTA(A282:E282)=0,D282=""),"",IFERROR(INDEX(ca_fam,MATCH(D282,ca_name,0))&amp;"",""))</f>
        <v>Organisation</v>
      </c>
      <c r="H282" s="58" t="str">
        <f>IF(OR(COUNTA(A282:E282)=0,D282=""),"",IFERROR(INDEX(ca_type,MATCH(D282,ca_name,0))&amp;"",""))</f>
        <v>Non planifié</v>
      </c>
      <c r="I282" s="58" t="str">
        <f>IF(COUNTA(A282:E282)=0,"",IF(N(A282)&lt;=0,"Date manquante ou invalide",IF(B282="","Équipe manquante",IF(ISNA(MATCH(B282,eq_code,0)),"Équipe inconnue",IF(C282="","Poste manquant",IF(ISNA(MATCH(C282,po_code,0)),"Poste inconnu",IF(D282="","Cause manquante",IF(ISNA(MATCH(D282,ca_name,0)),"Cause inconnue",IF(H282="","Cause à compléter dans Paramètres",IF(OR(NOT(ISNUMBER(E282)),N(E282)&lt;=0,N(E282)&gt;1440),"Durée invalide",IF(COUNTIFS(sj_date,A282,sj_eq,B282,sj_po,C282)=0,"Pas de saisie journalière ce jour-là","OK")))))))))))</f>
        <v>OK</v>
      </c>
      <c r="J282">
        <f>IF(OR(I282="OK",I282="Pas de saisie journalière ce jour-là"),E282,0)</f>
        <v>19.0</v>
      </c>
      <c r="K282">
        <f>IF(AND(J282&gt;0,A282&gt;=p_from,A282&lt;=p_to),1,0)</f>
        <v>1.0</v>
      </c>
      <c r="L282">
        <f>IF(AND(K282=1,OR(pa_po="",C282=pa_po),OR(pa_eq="",B282=pa_eq)),1,0)</f>
        <v>1.0</v>
      </c>
    </row>
    <row r="283">
      <c r="A283" s="51" t="n">
        <v>46307</v>
      </c>
      <c r="B283" s="52" t="inlineStr">
        <is>
          <t>Après-midi</t>
        </is>
      </c>
      <c r="C283" s="52" t="inlineStr">
        <is>
          <t>SOUD</t>
        </is>
      </c>
      <c r="D283" s="53" t="inlineStr">
        <is>
          <t>Attente matière</t>
        </is>
      </c>
      <c r="E283" s="60" t="n">
        <v>17</v>
      </c>
      <c r="F283" s="53" t="n"/>
      <c r="G283" s="61" t="str">
        <f>IF(OR(COUNTA(A283:E283)=0,D283=""),"",IFERROR(INDEX(ca_fam,MATCH(D283,ca_name,0))&amp;"",""))</f>
        <v>Manque matière</v>
      </c>
      <c r="H283" s="58" t="str">
        <f>IF(OR(COUNTA(A283:E283)=0,D283=""),"",IFERROR(INDEX(ca_type,MATCH(D283,ca_name,0))&amp;"",""))</f>
        <v>Non planifié</v>
      </c>
      <c r="I283" s="58" t="str">
        <f>IF(COUNTA(A283:E283)=0,"",IF(N(A283)&lt;=0,"Date manquante ou invalide",IF(B283="","Équipe manquante",IF(ISNA(MATCH(B283,eq_code,0)),"Équipe inconnue",IF(C283="","Poste manquant",IF(ISNA(MATCH(C283,po_code,0)),"Poste inconnu",IF(D283="","Cause manquante",IF(ISNA(MATCH(D283,ca_name,0)),"Cause inconnue",IF(H283="","Cause à compléter dans Paramètres",IF(OR(NOT(ISNUMBER(E283)),N(E283)&lt;=0,N(E283)&gt;1440),"Durée invalide",IF(COUNTIFS(sj_date,A283,sj_eq,B283,sj_po,C283)=0,"Pas de saisie journalière ce jour-là","OK")))))))))))</f>
        <v>OK</v>
      </c>
      <c r="J283">
        <f>IF(OR(I283="OK",I283="Pas de saisie journalière ce jour-là"),E283,0)</f>
        <v>17.0</v>
      </c>
      <c r="K283">
        <f>IF(AND(J283&gt;0,A283&gt;=p_from,A283&lt;=p_to),1,0)</f>
        <v>1.0</v>
      </c>
      <c r="L283">
        <f>IF(AND(K283=1,OR(pa_po="",C283=pa_po),OR(pa_eq="",B283=pa_eq)),1,0)</f>
        <v>1.0</v>
      </c>
    </row>
    <row r="284">
      <c r="A284" s="51" t="n">
        <v>46308</v>
      </c>
      <c r="B284" s="52" t="inlineStr">
        <is>
          <t>Matin</t>
        </is>
      </c>
      <c r="C284" s="52" t="inlineStr">
        <is>
          <t>TOUR1</t>
        </is>
      </c>
      <c r="D284" s="53" t="inlineStr">
        <is>
          <t>Attente programme ou consignes</t>
        </is>
      </c>
      <c r="E284" s="60" t="n">
        <v>10</v>
      </c>
      <c r="F284" s="53" t="n"/>
      <c r="G284" s="61" t="str">
        <f>IF(OR(COUNTA(A284:E284)=0,D284=""),"",IFERROR(INDEX(ca_fam,MATCH(D284,ca_name,0))&amp;"",""))</f>
        <v>Organisation</v>
      </c>
      <c r="H284" s="58" t="str">
        <f>IF(OR(COUNTA(A284:E284)=0,D284=""),"",IFERROR(INDEX(ca_type,MATCH(D284,ca_name,0))&amp;"",""))</f>
        <v>Non planifié</v>
      </c>
      <c r="I284" s="58" t="str">
        <f>IF(COUNTA(A284:E284)=0,"",IF(N(A284)&lt;=0,"Date manquante ou invalide",IF(B284="","Équipe manquante",IF(ISNA(MATCH(B284,eq_code,0)),"Équipe inconnue",IF(C284="","Poste manquant",IF(ISNA(MATCH(C284,po_code,0)),"Poste inconnu",IF(D284="","Cause manquante",IF(ISNA(MATCH(D284,ca_name,0)),"Cause inconnue",IF(H284="","Cause à compléter dans Paramètres",IF(OR(NOT(ISNUMBER(E284)),N(E284)&lt;=0,N(E284)&gt;1440),"Durée invalide",IF(COUNTIFS(sj_date,A284,sj_eq,B284,sj_po,C284)=0,"Pas de saisie journalière ce jour-là","OK")))))))))))</f>
        <v>OK</v>
      </c>
      <c r="J284">
        <f>IF(OR(I284="OK",I284="Pas de saisie journalière ce jour-là"),E284,0)</f>
        <v>10.0</v>
      </c>
      <c r="K284">
        <f>IF(AND(J284&gt;0,A284&gt;=p_from,A284&lt;=p_to),1,0)</f>
        <v>1.0</v>
      </c>
      <c r="L284">
        <f>IF(AND(K284=1,OR(pa_po="",C284=pa_po),OR(pa_eq="",B284=pa_eq)),1,0)</f>
        <v>1.0</v>
      </c>
    </row>
    <row r="285">
      <c r="A285" s="51" t="n">
        <v>46308</v>
      </c>
      <c r="B285" s="52" t="inlineStr">
        <is>
          <t>Après-midi</t>
        </is>
      </c>
      <c r="C285" s="52" t="inlineStr">
        <is>
          <t>TOUR1</t>
        </is>
      </c>
      <c r="D285" s="53" t="inlineStr">
        <is>
          <t>Changement de série</t>
        </is>
      </c>
      <c r="E285" s="60" t="n">
        <v>46</v>
      </c>
      <c r="F285" s="53" t="n"/>
      <c r="G285" s="61" t="str">
        <f>IF(OR(COUNTA(A285:E285)=0,D285=""),"",IFERROR(INDEX(ca_fam,MATCH(D285,ca_name,0))&amp;"",""))</f>
        <v>Réglage et changement de série</v>
      </c>
      <c r="H285" s="58" t="str">
        <f>IF(OR(COUNTA(A285:E285)=0,D285=""),"",IFERROR(INDEX(ca_type,MATCH(D285,ca_name,0))&amp;"",""))</f>
        <v>Non planifié</v>
      </c>
      <c r="I285" s="58" t="str">
        <f>IF(COUNTA(A285:E285)=0,"",IF(N(A285)&lt;=0,"Date manquante ou invalide",IF(B285="","Équipe manquante",IF(ISNA(MATCH(B285,eq_code,0)),"Équipe inconnue",IF(C285="","Poste manquant",IF(ISNA(MATCH(C285,po_code,0)),"Poste inconnu",IF(D285="","Cause manquante",IF(ISNA(MATCH(D285,ca_name,0)),"Cause inconnue",IF(H285="","Cause à compléter dans Paramètres",IF(OR(NOT(ISNUMBER(E285)),N(E285)&lt;=0,N(E285)&gt;1440),"Durée invalide",IF(COUNTIFS(sj_date,A285,sj_eq,B285,sj_po,C285)=0,"Pas de saisie journalière ce jour-là","OK")))))))))))</f>
        <v>OK</v>
      </c>
      <c r="J285">
        <f>IF(OR(I285="OK",I285="Pas de saisie journalière ce jour-là"),E285,0)</f>
        <v>46.0</v>
      </c>
      <c r="K285">
        <f>IF(AND(J285&gt;0,A285&gt;=p_from,A285&lt;=p_to),1,0)</f>
        <v>1.0</v>
      </c>
      <c r="L285">
        <f>IF(AND(K285=1,OR(pa_po="",C285=pa_po),OR(pa_eq="",B285=pa_eq)),1,0)</f>
        <v>1.0</v>
      </c>
    </row>
    <row r="286">
      <c r="A286" s="51" t="n">
        <v>46308</v>
      </c>
      <c r="B286" s="52" t="inlineStr">
        <is>
          <t>Matin</t>
        </is>
      </c>
      <c r="C286" s="52" t="inlineStr">
        <is>
          <t>TOUR2</t>
        </is>
      </c>
      <c r="D286" s="53" t="inlineStr">
        <is>
          <t>Réglage en cours de production</t>
        </is>
      </c>
      <c r="E286" s="60" t="n">
        <v>17</v>
      </c>
      <c r="F286" s="53" t="n"/>
      <c r="G286" s="61" t="str">
        <f>IF(OR(COUNTA(A286:E286)=0,D286=""),"",IFERROR(INDEX(ca_fam,MATCH(D286,ca_name,0))&amp;"",""))</f>
        <v>Réglage et changement de série</v>
      </c>
      <c r="H286" s="58" t="str">
        <f>IF(OR(COUNTA(A286:E286)=0,D286=""),"",IFERROR(INDEX(ca_type,MATCH(D286,ca_name,0))&amp;"",""))</f>
        <v>Non planifié</v>
      </c>
      <c r="I286" s="58" t="str">
        <f>IF(COUNTA(A286:E286)=0,"",IF(N(A286)&lt;=0,"Date manquante ou invalide",IF(B286="","Équipe manquante",IF(ISNA(MATCH(B286,eq_code,0)),"Équipe inconnue",IF(C286="","Poste manquant",IF(ISNA(MATCH(C286,po_code,0)),"Poste inconnu",IF(D286="","Cause manquante",IF(ISNA(MATCH(D286,ca_name,0)),"Cause inconnue",IF(H286="","Cause à compléter dans Paramètres",IF(OR(NOT(ISNUMBER(E286)),N(E286)&lt;=0,N(E286)&gt;1440),"Durée invalide",IF(COUNTIFS(sj_date,A286,sj_eq,B286,sj_po,C286)=0,"Pas de saisie journalière ce jour-là","OK")))))))))))</f>
        <v>OK</v>
      </c>
      <c r="J286">
        <f>IF(OR(I286="OK",I286="Pas de saisie journalière ce jour-là"),E286,0)</f>
        <v>17.0</v>
      </c>
      <c r="K286">
        <f>IF(AND(J286&gt;0,A286&gt;=p_from,A286&lt;=p_to),1,0)</f>
        <v>1.0</v>
      </c>
      <c r="L286">
        <f>IF(AND(K286=1,OR(pa_po="",C286=pa_po),OR(pa_eq="",B286=pa_eq)),1,0)</f>
        <v>1.0</v>
      </c>
    </row>
    <row r="287">
      <c r="A287" s="51" t="n">
        <v>46308</v>
      </c>
      <c r="B287" s="52" t="inlineStr">
        <is>
          <t>Matin</t>
        </is>
      </c>
      <c r="C287" s="52" t="inlineStr">
        <is>
          <t>TOUR2</t>
        </is>
      </c>
      <c r="D287" s="53" t="inlineStr">
        <is>
          <t>Attente pièces de l'opération précédente</t>
        </is>
      </c>
      <c r="E287" s="60" t="n">
        <v>43</v>
      </c>
      <c r="F287" s="53" t="n"/>
      <c r="G287" s="61" t="str">
        <f>IF(OR(COUNTA(A287:E287)=0,D287=""),"",IFERROR(INDEX(ca_fam,MATCH(D287,ca_name,0))&amp;"",""))</f>
        <v>Manque matière</v>
      </c>
      <c r="H287" s="58" t="str">
        <f>IF(OR(COUNTA(A287:E287)=0,D287=""),"",IFERROR(INDEX(ca_type,MATCH(D287,ca_name,0))&amp;"",""))</f>
        <v>Non planifié</v>
      </c>
      <c r="I287" s="58" t="str">
        <f>IF(COUNTA(A287:E287)=0,"",IF(N(A287)&lt;=0,"Date manquante ou invalide",IF(B287="","Équipe manquante",IF(ISNA(MATCH(B287,eq_code,0)),"Équipe inconnue",IF(C287="","Poste manquant",IF(ISNA(MATCH(C287,po_code,0)),"Poste inconnu",IF(D287="","Cause manquante",IF(ISNA(MATCH(D287,ca_name,0)),"Cause inconnue",IF(H287="","Cause à compléter dans Paramètres",IF(OR(NOT(ISNUMBER(E287)),N(E287)&lt;=0,N(E287)&gt;1440),"Durée invalide",IF(COUNTIFS(sj_date,A287,sj_eq,B287,sj_po,C287)=0,"Pas de saisie journalière ce jour-là","OK")))))))))))</f>
        <v>OK</v>
      </c>
      <c r="J287">
        <f>IF(OR(I287="OK",I287="Pas de saisie journalière ce jour-là"),E287,0)</f>
        <v>43.0</v>
      </c>
      <c r="K287">
        <f>IF(AND(J287&gt;0,A287&gt;=p_from,A287&lt;=p_to),1,0)</f>
        <v>1.0</v>
      </c>
      <c r="L287">
        <f>IF(AND(K287=1,OR(pa_po="",C287=pa_po),OR(pa_eq="",B287=pa_eq)),1,0)</f>
        <v>1.0</v>
      </c>
    </row>
    <row r="288">
      <c r="A288" s="51" t="n">
        <v>46308</v>
      </c>
      <c r="B288" s="52" t="inlineStr">
        <is>
          <t>Matin</t>
        </is>
      </c>
      <c r="C288" s="52" t="inlineStr">
        <is>
          <t>TOUR2</t>
        </is>
      </c>
      <c r="D288" s="53" t="inlineStr">
        <is>
          <t>Changement de série</t>
        </is>
      </c>
      <c r="E288" s="60" t="n">
        <v>32</v>
      </c>
      <c r="F288" s="53" t="n"/>
      <c r="G288" s="61" t="str">
        <f>IF(OR(COUNTA(A288:E288)=0,D288=""),"",IFERROR(INDEX(ca_fam,MATCH(D288,ca_name,0))&amp;"",""))</f>
        <v>Réglage et changement de série</v>
      </c>
      <c r="H288" s="58" t="str">
        <f>IF(OR(COUNTA(A288:E288)=0,D288=""),"",IFERROR(INDEX(ca_type,MATCH(D288,ca_name,0))&amp;"",""))</f>
        <v>Non planifié</v>
      </c>
      <c r="I288" s="58" t="str">
        <f>IF(COUNTA(A288:E288)=0,"",IF(N(A288)&lt;=0,"Date manquante ou invalide",IF(B288="","Équipe manquante",IF(ISNA(MATCH(B288,eq_code,0)),"Équipe inconnue",IF(C288="","Poste manquant",IF(ISNA(MATCH(C288,po_code,0)),"Poste inconnu",IF(D288="","Cause manquante",IF(ISNA(MATCH(D288,ca_name,0)),"Cause inconnue",IF(H288="","Cause à compléter dans Paramètres",IF(OR(NOT(ISNUMBER(E288)),N(E288)&lt;=0,N(E288)&gt;1440),"Durée invalide",IF(COUNTIFS(sj_date,A288,sj_eq,B288,sj_po,C288)=0,"Pas de saisie journalière ce jour-là","OK")))))))))))</f>
        <v>OK</v>
      </c>
      <c r="J288">
        <f>IF(OR(I288="OK",I288="Pas de saisie journalière ce jour-là"),E288,0)</f>
        <v>32.0</v>
      </c>
      <c r="K288">
        <f>IF(AND(J288&gt;0,A288&gt;=p_from,A288&lt;=p_to),1,0)</f>
        <v>1.0</v>
      </c>
      <c r="L288">
        <f>IF(AND(K288=1,OR(pa_po="",C288=pa_po),OR(pa_eq="",B288=pa_eq)),1,0)</f>
        <v>1.0</v>
      </c>
    </row>
    <row r="289">
      <c r="A289" s="51" t="n">
        <v>46308</v>
      </c>
      <c r="B289" s="52" t="inlineStr">
        <is>
          <t>Après-midi</t>
        </is>
      </c>
      <c r="C289" s="52" t="inlineStr">
        <is>
          <t>TOUR2</t>
        </is>
      </c>
      <c r="D289" s="53" t="inlineStr">
        <is>
          <t>Opérateur sur un autre poste</t>
        </is>
      </c>
      <c r="E289" s="60" t="n">
        <v>46</v>
      </c>
      <c r="F289" s="53" t="n"/>
      <c r="G289" s="61" t="str">
        <f>IF(OR(COUNTA(A289:E289)=0,D289=""),"",IFERROR(INDEX(ca_fam,MATCH(D289,ca_name,0))&amp;"",""))</f>
        <v>Manque personnel</v>
      </c>
      <c r="H289" s="58" t="str">
        <f>IF(OR(COUNTA(A289:E289)=0,D289=""),"",IFERROR(INDEX(ca_type,MATCH(D289,ca_name,0))&amp;"",""))</f>
        <v>Non planifié</v>
      </c>
      <c r="I289" s="58" t="str">
        <f>IF(COUNTA(A289:E289)=0,"",IF(N(A289)&lt;=0,"Date manquante ou invalide",IF(B289="","Équipe manquante",IF(ISNA(MATCH(B289,eq_code,0)),"Équipe inconnue",IF(C289="","Poste manquant",IF(ISNA(MATCH(C289,po_code,0)),"Poste inconnu",IF(D289="","Cause manquante",IF(ISNA(MATCH(D289,ca_name,0)),"Cause inconnue",IF(H289="","Cause à compléter dans Paramètres",IF(OR(NOT(ISNUMBER(E289)),N(E289)&lt;=0,N(E289)&gt;1440),"Durée invalide",IF(COUNTIFS(sj_date,A289,sj_eq,B289,sj_po,C289)=0,"Pas de saisie journalière ce jour-là","OK")))))))))))</f>
        <v>OK</v>
      </c>
      <c r="J289">
        <f>IF(OR(I289="OK",I289="Pas de saisie journalière ce jour-là"),E289,0)</f>
        <v>46.0</v>
      </c>
      <c r="K289">
        <f>IF(AND(J289&gt;0,A289&gt;=p_from,A289&lt;=p_to),1,0)</f>
        <v>1.0</v>
      </c>
      <c r="L289">
        <f>IF(AND(K289=1,OR(pa_po="",C289=pa_po),OR(pa_eq="",B289=pa_eq)),1,0)</f>
        <v>1.0</v>
      </c>
    </row>
    <row r="290">
      <c r="A290" s="51" t="n">
        <v>46308</v>
      </c>
      <c r="B290" s="52" t="inlineStr">
        <is>
          <t>Après-midi</t>
        </is>
      </c>
      <c r="C290" s="52" t="inlineStr">
        <is>
          <t>TOUR2</t>
        </is>
      </c>
      <c r="D290" s="53" t="inlineStr">
        <is>
          <t>Opérateur sur un autre poste</t>
        </is>
      </c>
      <c r="E290" s="60" t="n">
        <v>51</v>
      </c>
      <c r="F290" s="53" t="n"/>
      <c r="G290" s="61" t="str">
        <f>IF(OR(COUNTA(A290:E290)=0,D290=""),"",IFERROR(INDEX(ca_fam,MATCH(D290,ca_name,0))&amp;"",""))</f>
        <v>Manque personnel</v>
      </c>
      <c r="H290" s="58" t="str">
        <f>IF(OR(COUNTA(A290:E290)=0,D290=""),"",IFERROR(INDEX(ca_type,MATCH(D290,ca_name,0))&amp;"",""))</f>
        <v>Non planifié</v>
      </c>
      <c r="I290" s="58" t="str">
        <f>IF(COUNTA(A290:E290)=0,"",IF(N(A290)&lt;=0,"Date manquante ou invalide",IF(B290="","Équipe manquante",IF(ISNA(MATCH(B290,eq_code,0)),"Équipe inconnue",IF(C290="","Poste manquant",IF(ISNA(MATCH(C290,po_code,0)),"Poste inconnu",IF(D290="","Cause manquante",IF(ISNA(MATCH(D290,ca_name,0)),"Cause inconnue",IF(H290="","Cause à compléter dans Paramètres",IF(OR(NOT(ISNUMBER(E290)),N(E290)&lt;=0,N(E290)&gt;1440),"Durée invalide",IF(COUNTIFS(sj_date,A290,sj_eq,B290,sj_po,C290)=0,"Pas de saisie journalière ce jour-là","OK")))))))))))</f>
        <v>OK</v>
      </c>
      <c r="J290">
        <f>IF(OR(I290="OK",I290="Pas de saisie journalière ce jour-là"),E290,0)</f>
        <v>51.0</v>
      </c>
      <c r="K290">
        <f>IF(AND(J290&gt;0,A290&gt;=p_from,A290&lt;=p_to),1,0)</f>
        <v>1.0</v>
      </c>
      <c r="L290">
        <f>IF(AND(K290=1,OR(pa_po="",C290=pa_po),OR(pa_eq="",B290=pa_eq)),1,0)</f>
        <v>1.0</v>
      </c>
    </row>
    <row r="291">
      <c r="A291" s="51" t="n">
        <v>46308</v>
      </c>
      <c r="B291" s="52" t="inlineStr">
        <is>
          <t>Après-midi</t>
        </is>
      </c>
      <c r="C291" s="52" t="inlineStr">
        <is>
          <t>TOUR2</t>
        </is>
      </c>
      <c r="D291" s="53" t="inlineStr">
        <is>
          <t>Changement de série</t>
        </is>
      </c>
      <c r="E291" s="60" t="n">
        <v>25</v>
      </c>
      <c r="F291" s="53" t="n"/>
      <c r="G291" s="61" t="str">
        <f>IF(OR(COUNTA(A291:E291)=0,D291=""),"",IFERROR(INDEX(ca_fam,MATCH(D291,ca_name,0))&amp;"",""))</f>
        <v>Réglage et changement de série</v>
      </c>
      <c r="H291" s="58" t="str">
        <f>IF(OR(COUNTA(A291:E291)=0,D291=""),"",IFERROR(INDEX(ca_type,MATCH(D291,ca_name,0))&amp;"",""))</f>
        <v>Non planifié</v>
      </c>
      <c r="I291" s="58" t="str">
        <f>IF(COUNTA(A291:E291)=0,"",IF(N(A291)&lt;=0,"Date manquante ou invalide",IF(B291="","Équipe manquante",IF(ISNA(MATCH(B291,eq_code,0)),"Équipe inconnue",IF(C291="","Poste manquant",IF(ISNA(MATCH(C291,po_code,0)),"Poste inconnu",IF(D291="","Cause manquante",IF(ISNA(MATCH(D291,ca_name,0)),"Cause inconnue",IF(H291="","Cause à compléter dans Paramètres",IF(OR(NOT(ISNUMBER(E291)),N(E291)&lt;=0,N(E291)&gt;1440),"Durée invalide",IF(COUNTIFS(sj_date,A291,sj_eq,B291,sj_po,C291)=0,"Pas de saisie journalière ce jour-là","OK")))))))))))</f>
        <v>OK</v>
      </c>
      <c r="J291">
        <f>IF(OR(I291="OK",I291="Pas de saisie journalière ce jour-là"),E291,0)</f>
        <v>25.0</v>
      </c>
      <c r="K291">
        <f>IF(AND(J291&gt;0,A291&gt;=p_from,A291&lt;=p_to),1,0)</f>
        <v>1.0</v>
      </c>
      <c r="L291">
        <f>IF(AND(K291=1,OR(pa_po="",C291=pa_po),OR(pa_eq="",B291=pa_eq)),1,0)</f>
        <v>1.0</v>
      </c>
    </row>
    <row r="292">
      <c r="A292" s="51" t="n">
        <v>46308</v>
      </c>
      <c r="B292" s="52" t="inlineStr">
        <is>
          <t>Après-midi</t>
        </is>
      </c>
      <c r="C292" s="52" t="inlineStr">
        <is>
          <t>USIN</t>
        </is>
      </c>
      <c r="D292" s="53" t="inlineStr">
        <is>
          <t>Opérateur sur un autre poste</t>
        </is>
      </c>
      <c r="E292" s="60" t="n">
        <v>25</v>
      </c>
      <c r="F292" s="53" t="n"/>
      <c r="G292" s="61" t="str">
        <f>IF(OR(COUNTA(A292:E292)=0,D292=""),"",IFERROR(INDEX(ca_fam,MATCH(D292,ca_name,0))&amp;"",""))</f>
        <v>Manque personnel</v>
      </c>
      <c r="H292" s="58" t="str">
        <f>IF(OR(COUNTA(A292:E292)=0,D292=""),"",IFERROR(INDEX(ca_type,MATCH(D292,ca_name,0))&amp;"",""))</f>
        <v>Non planifié</v>
      </c>
      <c r="I292" s="58" t="str">
        <f>IF(COUNTA(A292:E292)=0,"",IF(N(A292)&lt;=0,"Date manquante ou invalide",IF(B292="","Équipe manquante",IF(ISNA(MATCH(B292,eq_code,0)),"Équipe inconnue",IF(C292="","Poste manquant",IF(ISNA(MATCH(C292,po_code,0)),"Poste inconnu",IF(D292="","Cause manquante",IF(ISNA(MATCH(D292,ca_name,0)),"Cause inconnue",IF(H292="","Cause à compléter dans Paramètres",IF(OR(NOT(ISNUMBER(E292)),N(E292)&lt;=0,N(E292)&gt;1440),"Durée invalide",IF(COUNTIFS(sj_date,A292,sj_eq,B292,sj_po,C292)=0,"Pas de saisie journalière ce jour-là","OK")))))))))))</f>
        <v>OK</v>
      </c>
      <c r="J292">
        <f>IF(OR(I292="OK",I292="Pas de saisie journalière ce jour-là"),E292,0)</f>
        <v>25.0</v>
      </c>
      <c r="K292">
        <f>IF(AND(J292&gt;0,A292&gt;=p_from,A292&lt;=p_to),1,0)</f>
        <v>1.0</v>
      </c>
      <c r="L292">
        <f>IF(AND(K292=1,OR(pa_po="",C292=pa_po),OR(pa_eq="",B292=pa_eq)),1,0)</f>
        <v>1.0</v>
      </c>
    </row>
    <row r="293">
      <c r="A293" s="51" t="n">
        <v>46308</v>
      </c>
      <c r="B293" s="52" t="inlineStr">
        <is>
          <t>Après-midi</t>
        </is>
      </c>
      <c r="C293" s="52" t="inlineStr">
        <is>
          <t>USIN</t>
        </is>
      </c>
      <c r="D293" s="53" t="inlineStr">
        <is>
          <t>Réglage en cours de production</t>
        </is>
      </c>
      <c r="E293" s="60" t="n">
        <v>19</v>
      </c>
      <c r="F293" s="53" t="n"/>
      <c r="G293" s="61" t="str">
        <f>IF(OR(COUNTA(A293:E293)=0,D293=""),"",IFERROR(INDEX(ca_fam,MATCH(D293,ca_name,0))&amp;"",""))</f>
        <v>Réglage et changement de série</v>
      </c>
      <c r="H293" s="58" t="str">
        <f>IF(OR(COUNTA(A293:E293)=0,D293=""),"",IFERROR(INDEX(ca_type,MATCH(D293,ca_name,0))&amp;"",""))</f>
        <v>Non planifié</v>
      </c>
      <c r="I293" s="58" t="str">
        <f>IF(COUNTA(A293:E293)=0,"",IF(N(A293)&lt;=0,"Date manquante ou invalide",IF(B293="","Équipe manquante",IF(ISNA(MATCH(B293,eq_code,0)),"Équipe inconnue",IF(C293="","Poste manquant",IF(ISNA(MATCH(C293,po_code,0)),"Poste inconnu",IF(D293="","Cause manquante",IF(ISNA(MATCH(D293,ca_name,0)),"Cause inconnue",IF(H293="","Cause à compléter dans Paramètres",IF(OR(NOT(ISNUMBER(E293)),N(E293)&lt;=0,N(E293)&gt;1440),"Durée invalide",IF(COUNTIFS(sj_date,A293,sj_eq,B293,sj_po,C293)=0,"Pas de saisie journalière ce jour-là","OK")))))))))))</f>
        <v>OK</v>
      </c>
      <c r="J293">
        <f>IF(OR(I293="OK",I293="Pas de saisie journalière ce jour-là"),E293,0)</f>
        <v>19.0</v>
      </c>
      <c r="K293">
        <f>IF(AND(J293&gt;0,A293&gt;=p_from,A293&lt;=p_to),1,0)</f>
        <v>1.0</v>
      </c>
      <c r="L293">
        <f>IF(AND(K293=1,OR(pa_po="",C293=pa_po),OR(pa_eq="",B293=pa_eq)),1,0)</f>
        <v>1.0</v>
      </c>
    </row>
    <row r="294">
      <c r="A294" s="51" t="n">
        <v>46308</v>
      </c>
      <c r="B294" s="52" t="inlineStr">
        <is>
          <t>Matin</t>
        </is>
      </c>
      <c r="C294" s="52" t="inlineStr">
        <is>
          <t>PRESSE</t>
        </is>
      </c>
      <c r="D294" s="53" t="inlineStr">
        <is>
          <t>Changement de série</t>
        </is>
      </c>
      <c r="E294" s="60" t="n">
        <v>47</v>
      </c>
      <c r="F294" s="53" t="n"/>
      <c r="G294" s="61" t="str">
        <f>IF(OR(COUNTA(A294:E294)=0,D294=""),"",IFERROR(INDEX(ca_fam,MATCH(D294,ca_name,0))&amp;"",""))</f>
        <v>Réglage et changement de série</v>
      </c>
      <c r="H294" s="58" t="str">
        <f>IF(OR(COUNTA(A294:E294)=0,D294=""),"",IFERROR(INDEX(ca_type,MATCH(D294,ca_name,0))&amp;"",""))</f>
        <v>Non planifié</v>
      </c>
      <c r="I294" s="58" t="str">
        <f>IF(COUNTA(A294:E294)=0,"",IF(N(A294)&lt;=0,"Date manquante ou invalide",IF(B294="","Équipe manquante",IF(ISNA(MATCH(B294,eq_code,0)),"Équipe inconnue",IF(C294="","Poste manquant",IF(ISNA(MATCH(C294,po_code,0)),"Poste inconnu",IF(D294="","Cause manquante",IF(ISNA(MATCH(D294,ca_name,0)),"Cause inconnue",IF(H294="","Cause à compléter dans Paramètres",IF(OR(NOT(ISNUMBER(E294)),N(E294)&lt;=0,N(E294)&gt;1440),"Durée invalide",IF(COUNTIFS(sj_date,A294,sj_eq,B294,sj_po,C294)=0,"Pas de saisie journalière ce jour-là","OK")))))))))))</f>
        <v>OK</v>
      </c>
      <c r="J294">
        <f>IF(OR(I294="OK",I294="Pas de saisie journalière ce jour-là"),E294,0)</f>
        <v>47.0</v>
      </c>
      <c r="K294">
        <f>IF(AND(J294&gt;0,A294&gt;=p_from,A294&lt;=p_to),1,0)</f>
        <v>1.0</v>
      </c>
      <c r="L294">
        <f>IF(AND(K294=1,OR(pa_po="",C294=pa_po),OR(pa_eq="",B294=pa_eq)),1,0)</f>
        <v>1.0</v>
      </c>
    </row>
    <row r="295">
      <c r="A295" s="51" t="n">
        <v>46308</v>
      </c>
      <c r="B295" s="52" t="inlineStr">
        <is>
          <t>Journée</t>
        </is>
      </c>
      <c r="C295" s="52" t="inlineStr">
        <is>
          <t>PLIE</t>
        </is>
      </c>
      <c r="D295" s="53" t="inlineStr">
        <is>
          <t>Changement de série</t>
        </is>
      </c>
      <c r="E295" s="60" t="n">
        <v>59</v>
      </c>
      <c r="F295" s="53" t="n"/>
      <c r="G295" s="61" t="str">
        <f>IF(OR(COUNTA(A295:E295)=0,D295=""),"",IFERROR(INDEX(ca_fam,MATCH(D295,ca_name,0))&amp;"",""))</f>
        <v>Réglage et changement de série</v>
      </c>
      <c r="H295" s="58" t="str">
        <f>IF(OR(COUNTA(A295:E295)=0,D295=""),"",IFERROR(INDEX(ca_type,MATCH(D295,ca_name,0))&amp;"",""))</f>
        <v>Non planifié</v>
      </c>
      <c r="I295" s="58" t="str">
        <f>IF(COUNTA(A295:E295)=0,"",IF(N(A295)&lt;=0,"Date manquante ou invalide",IF(B295="","Équipe manquante",IF(ISNA(MATCH(B295,eq_code,0)),"Équipe inconnue",IF(C295="","Poste manquant",IF(ISNA(MATCH(C295,po_code,0)),"Poste inconnu",IF(D295="","Cause manquante",IF(ISNA(MATCH(D295,ca_name,0)),"Cause inconnue",IF(H295="","Cause à compléter dans Paramètres",IF(OR(NOT(ISNUMBER(E295)),N(E295)&lt;=0,N(E295)&gt;1440),"Durée invalide",IF(COUNTIFS(sj_date,A295,sj_eq,B295,sj_po,C295)=0,"Pas de saisie journalière ce jour-là","OK")))))))))))</f>
        <v>OK</v>
      </c>
      <c r="J295">
        <f>IF(OR(I295="OK",I295="Pas de saisie journalière ce jour-là"),E295,0)</f>
        <v>59.0</v>
      </c>
      <c r="K295">
        <f>IF(AND(J295&gt;0,A295&gt;=p_from,A295&lt;=p_to),1,0)</f>
        <v>1.0</v>
      </c>
      <c r="L295">
        <f>IF(AND(K295=1,OR(pa_po="",C295=pa_po),OR(pa_eq="",B295=pa_eq)),1,0)</f>
        <v>1.0</v>
      </c>
    </row>
    <row r="296">
      <c r="A296" s="51" t="n">
        <v>46308</v>
      </c>
      <c r="B296" s="52" t="inlineStr">
        <is>
          <t>Journée</t>
        </is>
      </c>
      <c r="C296" s="52" t="inlineStr">
        <is>
          <t>PLIE</t>
        </is>
      </c>
      <c r="D296" s="53" t="inlineStr">
        <is>
          <t>Réglage en cours de production</t>
        </is>
      </c>
      <c r="E296" s="60" t="n">
        <v>18</v>
      </c>
      <c r="F296" s="53" t="n"/>
      <c r="G296" s="61" t="str">
        <f>IF(OR(COUNTA(A296:E296)=0,D296=""),"",IFERROR(INDEX(ca_fam,MATCH(D296,ca_name,0))&amp;"",""))</f>
        <v>Réglage et changement de série</v>
      </c>
      <c r="H296" s="58" t="str">
        <f>IF(OR(COUNTA(A296:E296)=0,D296=""),"",IFERROR(INDEX(ca_type,MATCH(D296,ca_name,0))&amp;"",""))</f>
        <v>Non planifié</v>
      </c>
      <c r="I296" s="58" t="str">
        <f>IF(COUNTA(A296:E296)=0,"",IF(N(A296)&lt;=0,"Date manquante ou invalide",IF(B296="","Équipe manquante",IF(ISNA(MATCH(B296,eq_code,0)),"Équipe inconnue",IF(C296="","Poste manquant",IF(ISNA(MATCH(C296,po_code,0)),"Poste inconnu",IF(D296="","Cause manquante",IF(ISNA(MATCH(D296,ca_name,0)),"Cause inconnue",IF(H296="","Cause à compléter dans Paramètres",IF(OR(NOT(ISNUMBER(E296)),N(E296)&lt;=0,N(E296)&gt;1440),"Durée invalide",IF(COUNTIFS(sj_date,A296,sj_eq,B296,sj_po,C296)=0,"Pas de saisie journalière ce jour-là","OK")))))))))))</f>
        <v>OK</v>
      </c>
      <c r="J296">
        <f>IF(OR(I296="OK",I296="Pas de saisie journalière ce jour-là"),E296,0)</f>
        <v>18.0</v>
      </c>
      <c r="K296">
        <f>IF(AND(J296&gt;0,A296&gt;=p_from,A296&lt;=p_to),1,0)</f>
        <v>1.0</v>
      </c>
      <c r="L296">
        <f>IF(AND(K296=1,OR(pa_po="",C296=pa_po),OR(pa_eq="",B296=pa_eq)),1,0)</f>
        <v>1.0</v>
      </c>
    </row>
    <row r="297">
      <c r="A297" s="51" t="n">
        <v>46308</v>
      </c>
      <c r="B297" s="52" t="inlineStr">
        <is>
          <t>Matin</t>
        </is>
      </c>
      <c r="C297" s="52" t="inlineStr">
        <is>
          <t>SOUD</t>
        </is>
      </c>
      <c r="D297" s="53" t="inlineStr">
        <is>
          <t>Attente contrôle qualité</t>
        </is>
      </c>
      <c r="E297" s="60" t="n">
        <v>13</v>
      </c>
      <c r="F297" s="53" t="n"/>
      <c r="G297" s="61" t="str">
        <f>IF(OR(COUNTA(A297:E297)=0,D297=""),"",IFERROR(INDEX(ca_fam,MATCH(D297,ca_name,0))&amp;"",""))</f>
        <v>Qualité</v>
      </c>
      <c r="H297" s="58" t="str">
        <f>IF(OR(COUNTA(A297:E297)=0,D297=""),"",IFERROR(INDEX(ca_type,MATCH(D297,ca_name,0))&amp;"",""))</f>
        <v>Non planifié</v>
      </c>
      <c r="I297" s="58" t="str">
        <f>IF(COUNTA(A297:E297)=0,"",IF(N(A297)&lt;=0,"Date manquante ou invalide",IF(B297="","Équipe manquante",IF(ISNA(MATCH(B297,eq_code,0)),"Équipe inconnue",IF(C297="","Poste manquant",IF(ISNA(MATCH(C297,po_code,0)),"Poste inconnu",IF(D297="","Cause manquante",IF(ISNA(MATCH(D297,ca_name,0)),"Cause inconnue",IF(H297="","Cause à compléter dans Paramètres",IF(OR(NOT(ISNUMBER(E297)),N(E297)&lt;=0,N(E297)&gt;1440),"Durée invalide",IF(COUNTIFS(sj_date,A297,sj_eq,B297,sj_po,C297)=0,"Pas de saisie journalière ce jour-là","OK")))))))))))</f>
        <v>OK</v>
      </c>
      <c r="J297">
        <f>IF(OR(I297="OK",I297="Pas de saisie journalière ce jour-là"),E297,0)</f>
        <v>13.0</v>
      </c>
      <c r="K297">
        <f>IF(AND(J297&gt;0,A297&gt;=p_from,A297&lt;=p_to),1,0)</f>
        <v>1.0</v>
      </c>
      <c r="L297">
        <f>IF(AND(K297=1,OR(pa_po="",C297=pa_po),OR(pa_eq="",B297=pa_eq)),1,0)</f>
        <v>1.0</v>
      </c>
    </row>
    <row r="298">
      <c r="A298" s="51" t="n">
        <v>46308</v>
      </c>
      <c r="B298" s="52" t="inlineStr">
        <is>
          <t>Matin</t>
        </is>
      </c>
      <c r="C298" s="52" t="inlineStr">
        <is>
          <t>SOUD</t>
        </is>
      </c>
      <c r="D298" s="53" t="inlineStr">
        <is>
          <t>Absence opérateur</t>
        </is>
      </c>
      <c r="E298" s="60" t="n">
        <v>64</v>
      </c>
      <c r="F298" s="53" t="n"/>
      <c r="G298" s="61" t="str">
        <f>IF(OR(COUNTA(A298:E298)=0,D298=""),"",IFERROR(INDEX(ca_fam,MATCH(D298,ca_name,0))&amp;"",""))</f>
        <v>Manque personnel</v>
      </c>
      <c r="H298" s="58" t="str">
        <f>IF(OR(COUNTA(A298:E298)=0,D298=""),"",IFERROR(INDEX(ca_type,MATCH(D298,ca_name,0))&amp;"",""))</f>
        <v>Non planifié</v>
      </c>
      <c r="I298" s="58" t="str">
        <f>IF(COUNTA(A298:E298)=0,"",IF(N(A298)&lt;=0,"Date manquante ou invalide",IF(B298="","Équipe manquante",IF(ISNA(MATCH(B298,eq_code,0)),"Équipe inconnue",IF(C298="","Poste manquant",IF(ISNA(MATCH(C298,po_code,0)),"Poste inconnu",IF(D298="","Cause manquante",IF(ISNA(MATCH(D298,ca_name,0)),"Cause inconnue",IF(H298="","Cause à compléter dans Paramètres",IF(OR(NOT(ISNUMBER(E298)),N(E298)&lt;=0,N(E298)&gt;1440),"Durée invalide",IF(COUNTIFS(sj_date,A298,sj_eq,B298,sj_po,C298)=0,"Pas de saisie journalière ce jour-là","OK")))))))))))</f>
        <v>OK</v>
      </c>
      <c r="J298">
        <f>IF(OR(I298="OK",I298="Pas de saisie journalière ce jour-là"),E298,0)</f>
        <v>64.0</v>
      </c>
      <c r="K298">
        <f>IF(AND(J298&gt;0,A298&gt;=p_from,A298&lt;=p_to),1,0)</f>
        <v>1.0</v>
      </c>
      <c r="L298">
        <f>IF(AND(K298=1,OR(pa_po="",C298=pa_po),OR(pa_eq="",B298=pa_eq)),1,0)</f>
        <v>1.0</v>
      </c>
    </row>
    <row r="299">
      <c r="A299" s="51" t="n">
        <v>46308</v>
      </c>
      <c r="B299" s="52" t="inlineStr">
        <is>
          <t>Après-midi</t>
        </is>
      </c>
      <c r="C299" s="52" t="inlineStr">
        <is>
          <t>SOUD</t>
        </is>
      </c>
      <c r="D299" s="53" t="inlineStr">
        <is>
          <t>Absence opérateur</t>
        </is>
      </c>
      <c r="E299" s="60" t="n">
        <v>71</v>
      </c>
      <c r="F299" s="53" t="n"/>
      <c r="G299" s="61" t="str">
        <f>IF(OR(COUNTA(A299:E299)=0,D299=""),"",IFERROR(INDEX(ca_fam,MATCH(D299,ca_name,0))&amp;"",""))</f>
        <v>Manque personnel</v>
      </c>
      <c r="H299" s="58" t="str">
        <f>IF(OR(COUNTA(A299:E299)=0,D299=""),"",IFERROR(INDEX(ca_type,MATCH(D299,ca_name,0))&amp;"",""))</f>
        <v>Non planifié</v>
      </c>
      <c r="I299" s="58" t="str">
        <f>IF(COUNTA(A299:E299)=0,"",IF(N(A299)&lt;=0,"Date manquante ou invalide",IF(B299="","Équipe manquante",IF(ISNA(MATCH(B299,eq_code,0)),"Équipe inconnue",IF(C299="","Poste manquant",IF(ISNA(MATCH(C299,po_code,0)),"Poste inconnu",IF(D299="","Cause manquante",IF(ISNA(MATCH(D299,ca_name,0)),"Cause inconnue",IF(H299="","Cause à compléter dans Paramètres",IF(OR(NOT(ISNUMBER(E299)),N(E299)&lt;=0,N(E299)&gt;1440),"Durée invalide",IF(COUNTIFS(sj_date,A299,sj_eq,B299,sj_po,C299)=0,"Pas de saisie journalière ce jour-là","OK")))))))))))</f>
        <v>OK</v>
      </c>
      <c r="J299">
        <f>IF(OR(I299="OK",I299="Pas de saisie journalière ce jour-là"),E299,0)</f>
        <v>71.0</v>
      </c>
      <c r="K299">
        <f>IF(AND(J299&gt;0,A299&gt;=p_from,A299&lt;=p_to),1,0)</f>
        <v>1.0</v>
      </c>
      <c r="L299">
        <f>IF(AND(K299=1,OR(pa_po="",C299=pa_po),OR(pa_eq="",B299=pa_eq)),1,0)</f>
        <v>1.0</v>
      </c>
    </row>
    <row r="300">
      <c r="A300" s="51" t="n">
        <v>46308</v>
      </c>
      <c r="B300" s="52" t="inlineStr">
        <is>
          <t>Après-midi</t>
        </is>
      </c>
      <c r="C300" s="52" t="inlineStr">
        <is>
          <t>SOUD</t>
        </is>
      </c>
      <c r="D300" s="53" t="inlineStr">
        <is>
          <t>Changement de série</t>
        </is>
      </c>
      <c r="E300" s="60" t="n">
        <v>42</v>
      </c>
      <c r="F300" s="53" t="n"/>
      <c r="G300" s="61" t="str">
        <f>IF(OR(COUNTA(A300:E300)=0,D300=""),"",IFERROR(INDEX(ca_fam,MATCH(D300,ca_name,0))&amp;"",""))</f>
        <v>Réglage et changement de série</v>
      </c>
      <c r="H300" s="58" t="str">
        <f>IF(OR(COUNTA(A300:E300)=0,D300=""),"",IFERROR(INDEX(ca_type,MATCH(D300,ca_name,0))&amp;"",""))</f>
        <v>Non planifié</v>
      </c>
      <c r="I300" s="58" t="str">
        <f>IF(COUNTA(A300:E300)=0,"",IF(N(A300)&lt;=0,"Date manquante ou invalide",IF(B300="","Équipe manquante",IF(ISNA(MATCH(B300,eq_code,0)),"Équipe inconnue",IF(C300="","Poste manquant",IF(ISNA(MATCH(C300,po_code,0)),"Poste inconnu",IF(D300="","Cause manquante",IF(ISNA(MATCH(D300,ca_name,0)),"Cause inconnue",IF(H300="","Cause à compléter dans Paramètres",IF(OR(NOT(ISNUMBER(E300)),N(E300)&lt;=0,N(E300)&gt;1440),"Durée invalide",IF(COUNTIFS(sj_date,A300,sj_eq,B300,sj_po,C300)=0,"Pas de saisie journalière ce jour-là","OK")))))))))))</f>
        <v>OK</v>
      </c>
      <c r="J300">
        <f>IF(OR(I300="OK",I300="Pas de saisie journalière ce jour-là"),E300,0)</f>
        <v>42.0</v>
      </c>
      <c r="K300">
        <f>IF(AND(J300&gt;0,A300&gt;=p_from,A300&lt;=p_to),1,0)</f>
        <v>1.0</v>
      </c>
      <c r="L300">
        <f>IF(AND(K300=1,OR(pa_po="",C300=pa_po),OR(pa_eq="",B300=pa_eq)),1,0)</f>
        <v>1.0</v>
      </c>
    </row>
    <row r="301">
      <c r="A301" s="51" t="n">
        <v>46308</v>
      </c>
      <c r="B301" s="52" t="inlineStr">
        <is>
          <t>Après-midi</t>
        </is>
      </c>
      <c r="C301" s="52" t="inlineStr">
        <is>
          <t>SOUD</t>
        </is>
      </c>
      <c r="D301" s="53" t="inlineStr">
        <is>
          <t>Arrêt pour non-conformité</t>
        </is>
      </c>
      <c r="E301" s="60" t="n">
        <v>35</v>
      </c>
      <c r="F301" s="53" t="n"/>
      <c r="G301" s="61" t="str">
        <f>IF(OR(COUNTA(A301:E301)=0,D301=""),"",IFERROR(INDEX(ca_fam,MATCH(D301,ca_name,0))&amp;"",""))</f>
        <v>Qualité</v>
      </c>
      <c r="H301" s="58" t="str">
        <f>IF(OR(COUNTA(A301:E301)=0,D301=""),"",IFERROR(INDEX(ca_type,MATCH(D301,ca_name,0))&amp;"",""))</f>
        <v>Non planifié</v>
      </c>
      <c r="I301" s="58" t="str">
        <f>IF(COUNTA(A301:E301)=0,"",IF(N(A301)&lt;=0,"Date manquante ou invalide",IF(B301="","Équipe manquante",IF(ISNA(MATCH(B301,eq_code,0)),"Équipe inconnue",IF(C301="","Poste manquant",IF(ISNA(MATCH(C301,po_code,0)),"Poste inconnu",IF(D301="","Cause manquante",IF(ISNA(MATCH(D301,ca_name,0)),"Cause inconnue",IF(H301="","Cause à compléter dans Paramètres",IF(OR(NOT(ISNUMBER(E301)),N(E301)&lt;=0,N(E301)&gt;1440),"Durée invalide",IF(COUNTIFS(sj_date,A301,sj_eq,B301,sj_po,C301)=0,"Pas de saisie journalière ce jour-là","OK")))))))))))</f>
        <v>OK</v>
      </c>
      <c r="J301">
        <f>IF(OR(I301="OK",I301="Pas de saisie journalière ce jour-là"),E301,0)</f>
        <v>35.0</v>
      </c>
      <c r="K301">
        <f>IF(AND(J301&gt;0,A301&gt;=p_from,A301&lt;=p_to),1,0)</f>
        <v>1.0</v>
      </c>
      <c r="L301">
        <f>IF(AND(K301=1,OR(pa_po="",C301=pa_po),OR(pa_eq="",B301=pa_eq)),1,0)</f>
        <v>1.0</v>
      </c>
    </row>
    <row r="302">
      <c r="A302" s="51" t="n">
        <v>46309</v>
      </c>
      <c r="B302" s="52" t="inlineStr">
        <is>
          <t>Matin</t>
        </is>
      </c>
      <c r="C302" s="52" t="inlineStr">
        <is>
          <t>TOUR1</t>
        </is>
      </c>
      <c r="D302" s="53" t="inlineStr">
        <is>
          <t>Changement de série</t>
        </is>
      </c>
      <c r="E302" s="60" t="n">
        <v>27</v>
      </c>
      <c r="F302" s="53" t="n"/>
      <c r="G302" s="61" t="str">
        <f>IF(OR(COUNTA(A302:E302)=0,D302=""),"",IFERROR(INDEX(ca_fam,MATCH(D302,ca_name,0))&amp;"",""))</f>
        <v>Réglage et changement de série</v>
      </c>
      <c r="H302" s="58" t="str">
        <f>IF(OR(COUNTA(A302:E302)=0,D302=""),"",IFERROR(INDEX(ca_type,MATCH(D302,ca_name,0))&amp;"",""))</f>
        <v>Non planifié</v>
      </c>
      <c r="I302" s="58" t="str">
        <f>IF(COUNTA(A302:E302)=0,"",IF(N(A302)&lt;=0,"Date manquante ou invalide",IF(B302="","Équipe manquante",IF(ISNA(MATCH(B302,eq_code,0)),"Équipe inconnue",IF(C302="","Poste manquant",IF(ISNA(MATCH(C302,po_code,0)),"Poste inconnu",IF(D302="","Cause manquante",IF(ISNA(MATCH(D302,ca_name,0)),"Cause inconnue",IF(H302="","Cause à compléter dans Paramètres",IF(OR(NOT(ISNUMBER(E302)),N(E302)&lt;=0,N(E302)&gt;1440),"Durée invalide",IF(COUNTIFS(sj_date,A302,sj_eq,B302,sj_po,C302)=0,"Pas de saisie journalière ce jour-là","OK")))))))))))</f>
        <v>OK</v>
      </c>
      <c r="J302">
        <f>IF(OR(I302="OK",I302="Pas de saisie journalière ce jour-là"),E302,0)</f>
        <v>27.0</v>
      </c>
      <c r="K302">
        <f>IF(AND(J302&gt;0,A302&gt;=p_from,A302&lt;=p_to),1,0)</f>
        <v>1.0</v>
      </c>
      <c r="L302">
        <f>IF(AND(K302=1,OR(pa_po="",C302=pa_po),OR(pa_eq="",B302=pa_eq)),1,0)</f>
        <v>1.0</v>
      </c>
    </row>
    <row r="303">
      <c r="A303" s="51" t="n">
        <v>46309</v>
      </c>
      <c r="B303" s="52" t="inlineStr">
        <is>
          <t>Matin</t>
        </is>
      </c>
      <c r="C303" s="52" t="inlineStr">
        <is>
          <t>TOUR1</t>
        </is>
      </c>
      <c r="D303" s="53" t="inlineStr">
        <is>
          <t>Changement d'outil</t>
        </is>
      </c>
      <c r="E303" s="60" t="n">
        <v>13</v>
      </c>
      <c r="F303" s="53" t="n"/>
      <c r="G303" s="61" t="str">
        <f>IF(OR(COUNTA(A303:E303)=0,D303=""),"",IFERROR(INDEX(ca_fam,MATCH(D303,ca_name,0))&amp;"",""))</f>
        <v>Réglage et changement de série</v>
      </c>
      <c r="H303" s="58" t="str">
        <f>IF(OR(COUNTA(A303:E303)=0,D303=""),"",IFERROR(INDEX(ca_type,MATCH(D303,ca_name,0))&amp;"",""))</f>
        <v>Non planifié</v>
      </c>
      <c r="I303" s="58" t="str">
        <f>IF(COUNTA(A303:E303)=0,"",IF(N(A303)&lt;=0,"Date manquante ou invalide",IF(B303="","Équipe manquante",IF(ISNA(MATCH(B303,eq_code,0)),"Équipe inconnue",IF(C303="","Poste manquant",IF(ISNA(MATCH(C303,po_code,0)),"Poste inconnu",IF(D303="","Cause manquante",IF(ISNA(MATCH(D303,ca_name,0)),"Cause inconnue",IF(H303="","Cause à compléter dans Paramètres",IF(OR(NOT(ISNUMBER(E303)),N(E303)&lt;=0,N(E303)&gt;1440),"Durée invalide",IF(COUNTIFS(sj_date,A303,sj_eq,B303,sj_po,C303)=0,"Pas de saisie journalière ce jour-là","OK")))))))))))</f>
        <v>OK</v>
      </c>
      <c r="J303">
        <f>IF(OR(I303="OK",I303="Pas de saisie journalière ce jour-là"),E303,0)</f>
        <v>13.0</v>
      </c>
      <c r="K303">
        <f>IF(AND(J303&gt;0,A303&gt;=p_from,A303&lt;=p_to),1,0)</f>
        <v>1.0</v>
      </c>
      <c r="L303">
        <f>IF(AND(K303=1,OR(pa_po="",C303=pa_po),OR(pa_eq="",B303=pa_eq)),1,0)</f>
        <v>1.0</v>
      </c>
    </row>
    <row r="304">
      <c r="A304" s="51" t="n">
        <v>46309</v>
      </c>
      <c r="B304" s="52" t="inlineStr">
        <is>
          <t>Après-midi</t>
        </is>
      </c>
      <c r="C304" s="52" t="inlineStr">
        <is>
          <t>TOUR1</t>
        </is>
      </c>
      <c r="D304" s="53" t="inlineStr">
        <is>
          <t>Réglage en cours de production</t>
        </is>
      </c>
      <c r="E304" s="60" t="n">
        <v>22</v>
      </c>
      <c r="F304" s="53" t="n"/>
      <c r="G304" s="61" t="str">
        <f>IF(OR(COUNTA(A304:E304)=0,D304=""),"",IFERROR(INDEX(ca_fam,MATCH(D304,ca_name,0))&amp;"",""))</f>
        <v>Réglage et changement de série</v>
      </c>
      <c r="H304" s="58" t="str">
        <f>IF(OR(COUNTA(A304:E304)=0,D304=""),"",IFERROR(INDEX(ca_type,MATCH(D304,ca_name,0))&amp;"",""))</f>
        <v>Non planifié</v>
      </c>
      <c r="I304" s="58" t="str">
        <f>IF(COUNTA(A304:E304)=0,"",IF(N(A304)&lt;=0,"Date manquante ou invalide",IF(B304="","Équipe manquante",IF(ISNA(MATCH(B304,eq_code,0)),"Équipe inconnue",IF(C304="","Poste manquant",IF(ISNA(MATCH(C304,po_code,0)),"Poste inconnu",IF(D304="","Cause manquante",IF(ISNA(MATCH(D304,ca_name,0)),"Cause inconnue",IF(H304="","Cause à compléter dans Paramètres",IF(OR(NOT(ISNUMBER(E304)),N(E304)&lt;=0,N(E304)&gt;1440),"Durée invalide",IF(COUNTIFS(sj_date,A304,sj_eq,B304,sj_po,C304)=0,"Pas de saisie journalière ce jour-là","OK")))))))))))</f>
        <v>OK</v>
      </c>
      <c r="J304">
        <f>IF(OR(I304="OK",I304="Pas de saisie journalière ce jour-là"),E304,0)</f>
        <v>22.0</v>
      </c>
      <c r="K304">
        <f>IF(AND(J304&gt;0,A304&gt;=p_from,A304&lt;=p_to),1,0)</f>
        <v>1.0</v>
      </c>
      <c r="L304">
        <f>IF(AND(K304=1,OR(pa_po="",C304=pa_po),OR(pa_eq="",B304=pa_eq)),1,0)</f>
        <v>1.0</v>
      </c>
    </row>
    <row r="305">
      <c r="A305" s="51" t="n">
        <v>46309</v>
      </c>
      <c r="B305" s="52" t="inlineStr">
        <is>
          <t>Après-midi</t>
        </is>
      </c>
      <c r="C305" s="52" t="inlineStr">
        <is>
          <t>TOUR1</t>
        </is>
      </c>
      <c r="D305" s="53" t="inlineStr">
        <is>
          <t>Absence opérateur</t>
        </is>
      </c>
      <c r="E305" s="60" t="n">
        <v>81</v>
      </c>
      <c r="F305" s="53" t="n"/>
      <c r="G305" s="61" t="str">
        <f>IF(OR(COUNTA(A305:E305)=0,D305=""),"",IFERROR(INDEX(ca_fam,MATCH(D305,ca_name,0))&amp;"",""))</f>
        <v>Manque personnel</v>
      </c>
      <c r="H305" s="58" t="str">
        <f>IF(OR(COUNTA(A305:E305)=0,D305=""),"",IFERROR(INDEX(ca_type,MATCH(D305,ca_name,0))&amp;"",""))</f>
        <v>Non planifié</v>
      </c>
      <c r="I305" s="58" t="str">
        <f>IF(COUNTA(A305:E305)=0,"",IF(N(A305)&lt;=0,"Date manquante ou invalide",IF(B305="","Équipe manquante",IF(ISNA(MATCH(B305,eq_code,0)),"Équipe inconnue",IF(C305="","Poste manquant",IF(ISNA(MATCH(C305,po_code,0)),"Poste inconnu",IF(D305="","Cause manquante",IF(ISNA(MATCH(D305,ca_name,0)),"Cause inconnue",IF(H305="","Cause à compléter dans Paramètres",IF(OR(NOT(ISNUMBER(E305)),N(E305)&lt;=0,N(E305)&gt;1440),"Durée invalide",IF(COUNTIFS(sj_date,A305,sj_eq,B305,sj_po,C305)=0,"Pas de saisie journalière ce jour-là","OK")))))))))))</f>
        <v>OK</v>
      </c>
      <c r="J305">
        <f>IF(OR(I305="OK",I305="Pas de saisie journalière ce jour-là"),E305,0)</f>
        <v>81.0</v>
      </c>
      <c r="K305">
        <f>IF(AND(J305&gt;0,A305&gt;=p_from,A305&lt;=p_to),1,0)</f>
        <v>1.0</v>
      </c>
      <c r="L305">
        <f>IF(AND(K305=1,OR(pa_po="",C305=pa_po),OR(pa_eq="",B305=pa_eq)),1,0)</f>
        <v>1.0</v>
      </c>
    </row>
    <row r="306">
      <c r="A306" s="51" t="n">
        <v>46309</v>
      </c>
      <c r="B306" s="52" t="inlineStr">
        <is>
          <t>Matin</t>
        </is>
      </c>
      <c r="C306" s="52" t="inlineStr">
        <is>
          <t>TOUR2</t>
        </is>
      </c>
      <c r="D306" s="53" t="inlineStr">
        <is>
          <t>Changement de série</t>
        </is>
      </c>
      <c r="E306" s="60" t="n">
        <v>62</v>
      </c>
      <c r="F306" s="53" t="n"/>
      <c r="G306" s="61" t="str">
        <f>IF(OR(COUNTA(A306:E306)=0,D306=""),"",IFERROR(INDEX(ca_fam,MATCH(D306,ca_name,0))&amp;"",""))</f>
        <v>Réglage et changement de série</v>
      </c>
      <c r="H306" s="58" t="str">
        <f>IF(OR(COUNTA(A306:E306)=0,D306=""),"",IFERROR(INDEX(ca_type,MATCH(D306,ca_name,0))&amp;"",""))</f>
        <v>Non planifié</v>
      </c>
      <c r="I306" s="58" t="str">
        <f>IF(COUNTA(A306:E306)=0,"",IF(N(A306)&lt;=0,"Date manquante ou invalide",IF(B306="","Équipe manquante",IF(ISNA(MATCH(B306,eq_code,0)),"Équipe inconnue",IF(C306="","Poste manquant",IF(ISNA(MATCH(C306,po_code,0)),"Poste inconnu",IF(D306="","Cause manquante",IF(ISNA(MATCH(D306,ca_name,0)),"Cause inconnue",IF(H306="","Cause à compléter dans Paramètres",IF(OR(NOT(ISNUMBER(E306)),N(E306)&lt;=0,N(E306)&gt;1440),"Durée invalide",IF(COUNTIFS(sj_date,A306,sj_eq,B306,sj_po,C306)=0,"Pas de saisie journalière ce jour-là","OK")))))))))))</f>
        <v>OK</v>
      </c>
      <c r="J306">
        <f>IF(OR(I306="OK",I306="Pas de saisie journalière ce jour-là"),E306,0)</f>
        <v>62.0</v>
      </c>
      <c r="K306">
        <f>IF(AND(J306&gt;0,A306&gt;=p_from,A306&lt;=p_to),1,0)</f>
        <v>1.0</v>
      </c>
      <c r="L306">
        <f>IF(AND(K306=1,OR(pa_po="",C306=pa_po),OR(pa_eq="",B306=pa_eq)),1,0)</f>
        <v>1.0</v>
      </c>
    </row>
    <row r="307">
      <c r="A307" s="51" t="n">
        <v>46309</v>
      </c>
      <c r="B307" s="52" t="inlineStr">
        <is>
          <t>Matin</t>
        </is>
      </c>
      <c r="C307" s="52" t="inlineStr">
        <is>
          <t>TOUR2</t>
        </is>
      </c>
      <c r="D307" s="53" t="inlineStr">
        <is>
          <t>Absence opérateur</t>
        </is>
      </c>
      <c r="E307" s="60" t="n">
        <v>136</v>
      </c>
      <c r="F307" s="53" t="n"/>
      <c r="G307" s="61" t="str">
        <f>IF(OR(COUNTA(A307:E307)=0,D307=""),"",IFERROR(INDEX(ca_fam,MATCH(D307,ca_name,0))&amp;"",""))</f>
        <v>Manque personnel</v>
      </c>
      <c r="H307" s="58" t="str">
        <f>IF(OR(COUNTA(A307:E307)=0,D307=""),"",IFERROR(INDEX(ca_type,MATCH(D307,ca_name,0))&amp;"",""))</f>
        <v>Non planifié</v>
      </c>
      <c r="I307" s="58" t="str">
        <f>IF(COUNTA(A307:E307)=0,"",IF(N(A307)&lt;=0,"Date manquante ou invalide",IF(B307="","Équipe manquante",IF(ISNA(MATCH(B307,eq_code,0)),"Équipe inconnue",IF(C307="","Poste manquant",IF(ISNA(MATCH(C307,po_code,0)),"Poste inconnu",IF(D307="","Cause manquante",IF(ISNA(MATCH(D307,ca_name,0)),"Cause inconnue",IF(H307="","Cause à compléter dans Paramètres",IF(OR(NOT(ISNUMBER(E307)),N(E307)&lt;=0,N(E307)&gt;1440),"Durée invalide",IF(COUNTIFS(sj_date,A307,sj_eq,B307,sj_po,C307)=0,"Pas de saisie journalière ce jour-là","OK")))))))))))</f>
        <v>OK</v>
      </c>
      <c r="J307">
        <f>IF(OR(I307="OK",I307="Pas de saisie journalière ce jour-là"),E307,0)</f>
        <v>136.0</v>
      </c>
      <c r="K307">
        <f>IF(AND(J307&gt;0,A307&gt;=p_from,A307&lt;=p_to),1,0)</f>
        <v>1.0</v>
      </c>
      <c r="L307">
        <f>IF(AND(K307=1,OR(pa_po="",C307=pa_po),OR(pa_eq="",B307=pa_eq)),1,0)</f>
        <v>1.0</v>
      </c>
    </row>
    <row r="308">
      <c r="A308" s="51" t="n">
        <v>46309</v>
      </c>
      <c r="B308" s="52" t="inlineStr">
        <is>
          <t>Matin</t>
        </is>
      </c>
      <c r="C308" s="52" t="inlineStr">
        <is>
          <t>TOUR2</t>
        </is>
      </c>
      <c r="D308" s="53" t="inlineStr">
        <is>
          <t>Réglage en cours de production</t>
        </is>
      </c>
      <c r="E308" s="60" t="n">
        <v>10</v>
      </c>
      <c r="F308" s="53" t="n"/>
      <c r="G308" s="61" t="str">
        <f>IF(OR(COUNTA(A308:E308)=0,D308=""),"",IFERROR(INDEX(ca_fam,MATCH(D308,ca_name,0))&amp;"",""))</f>
        <v>Réglage et changement de série</v>
      </c>
      <c r="H308" s="58" t="str">
        <f>IF(OR(COUNTA(A308:E308)=0,D308=""),"",IFERROR(INDEX(ca_type,MATCH(D308,ca_name,0))&amp;"",""))</f>
        <v>Non planifié</v>
      </c>
      <c r="I308" s="58" t="str">
        <f>IF(COUNTA(A308:E308)=0,"",IF(N(A308)&lt;=0,"Date manquante ou invalide",IF(B308="","Équipe manquante",IF(ISNA(MATCH(B308,eq_code,0)),"Équipe inconnue",IF(C308="","Poste manquant",IF(ISNA(MATCH(C308,po_code,0)),"Poste inconnu",IF(D308="","Cause manquante",IF(ISNA(MATCH(D308,ca_name,0)),"Cause inconnue",IF(H308="","Cause à compléter dans Paramètres",IF(OR(NOT(ISNUMBER(E308)),N(E308)&lt;=0,N(E308)&gt;1440),"Durée invalide",IF(COUNTIFS(sj_date,A308,sj_eq,B308,sj_po,C308)=0,"Pas de saisie journalière ce jour-là","OK")))))))))))</f>
        <v>OK</v>
      </c>
      <c r="J308">
        <f>IF(OR(I308="OK",I308="Pas de saisie journalière ce jour-là"),E308,0)</f>
        <v>10.0</v>
      </c>
      <c r="K308">
        <f>IF(AND(J308&gt;0,A308&gt;=p_from,A308&lt;=p_to),1,0)</f>
        <v>1.0</v>
      </c>
      <c r="L308">
        <f>IF(AND(K308=1,OR(pa_po="",C308=pa_po),OR(pa_eq="",B308=pa_eq)),1,0)</f>
        <v>1.0</v>
      </c>
    </row>
    <row r="309">
      <c r="A309" s="51" t="n">
        <v>46309</v>
      </c>
      <c r="B309" s="52" t="inlineStr">
        <is>
          <t>Après-midi</t>
        </is>
      </c>
      <c r="C309" s="52" t="inlineStr">
        <is>
          <t>TOUR2</t>
        </is>
      </c>
      <c r="D309" s="53" t="inlineStr">
        <is>
          <t>Changement de série</t>
        </is>
      </c>
      <c r="E309" s="60" t="n">
        <v>39</v>
      </c>
      <c r="F309" s="53" t="n"/>
      <c r="G309" s="61" t="str">
        <f>IF(OR(COUNTA(A309:E309)=0,D309=""),"",IFERROR(INDEX(ca_fam,MATCH(D309,ca_name,0))&amp;"",""))</f>
        <v>Réglage et changement de série</v>
      </c>
      <c r="H309" s="58" t="str">
        <f>IF(OR(COUNTA(A309:E309)=0,D309=""),"",IFERROR(INDEX(ca_type,MATCH(D309,ca_name,0))&amp;"",""))</f>
        <v>Non planifié</v>
      </c>
      <c r="I309" s="58" t="str">
        <f>IF(COUNTA(A309:E309)=0,"",IF(N(A309)&lt;=0,"Date manquante ou invalide",IF(B309="","Équipe manquante",IF(ISNA(MATCH(B309,eq_code,0)),"Équipe inconnue",IF(C309="","Poste manquant",IF(ISNA(MATCH(C309,po_code,0)),"Poste inconnu",IF(D309="","Cause manquante",IF(ISNA(MATCH(D309,ca_name,0)),"Cause inconnue",IF(H309="","Cause à compléter dans Paramètres",IF(OR(NOT(ISNUMBER(E309)),N(E309)&lt;=0,N(E309)&gt;1440),"Durée invalide",IF(COUNTIFS(sj_date,A309,sj_eq,B309,sj_po,C309)=0,"Pas de saisie journalière ce jour-là","OK")))))))))))</f>
        <v>OK</v>
      </c>
      <c r="J309">
        <f>IF(OR(I309="OK",I309="Pas de saisie journalière ce jour-là"),E309,0)</f>
        <v>39.0</v>
      </c>
      <c r="K309">
        <f>IF(AND(J309&gt;0,A309&gt;=p_from,A309&lt;=p_to),1,0)</f>
        <v>1.0</v>
      </c>
      <c r="L309">
        <f>IF(AND(K309=1,OR(pa_po="",C309=pa_po),OR(pa_eq="",B309=pa_eq)),1,0)</f>
        <v>1.0</v>
      </c>
    </row>
    <row r="310">
      <c r="A310" s="51" t="n">
        <v>46309</v>
      </c>
      <c r="B310" s="52" t="inlineStr">
        <is>
          <t>Après-midi</t>
        </is>
      </c>
      <c r="C310" s="52" t="inlineStr">
        <is>
          <t>TOUR2</t>
        </is>
      </c>
      <c r="D310" s="53" t="inlineStr">
        <is>
          <t>Opérateur sur un autre poste</t>
        </is>
      </c>
      <c r="E310" s="60" t="n">
        <v>40</v>
      </c>
      <c r="F310" s="53" t="n"/>
      <c r="G310" s="61" t="str">
        <f>IF(OR(COUNTA(A310:E310)=0,D310=""),"",IFERROR(INDEX(ca_fam,MATCH(D310,ca_name,0))&amp;"",""))</f>
        <v>Manque personnel</v>
      </c>
      <c r="H310" s="58" t="str">
        <f>IF(OR(COUNTA(A310:E310)=0,D310=""),"",IFERROR(INDEX(ca_type,MATCH(D310,ca_name,0))&amp;"",""))</f>
        <v>Non planifié</v>
      </c>
      <c r="I310" s="58" t="str">
        <f>IF(COUNTA(A310:E310)=0,"",IF(N(A310)&lt;=0,"Date manquante ou invalide",IF(B310="","Équipe manquante",IF(ISNA(MATCH(B310,eq_code,0)),"Équipe inconnue",IF(C310="","Poste manquant",IF(ISNA(MATCH(C310,po_code,0)),"Poste inconnu",IF(D310="","Cause manquante",IF(ISNA(MATCH(D310,ca_name,0)),"Cause inconnue",IF(H310="","Cause à compléter dans Paramètres",IF(OR(NOT(ISNUMBER(E310)),N(E310)&lt;=0,N(E310)&gt;1440),"Durée invalide",IF(COUNTIFS(sj_date,A310,sj_eq,B310,sj_po,C310)=0,"Pas de saisie journalière ce jour-là","OK")))))))))))</f>
        <v>OK</v>
      </c>
      <c r="J310">
        <f>IF(OR(I310="OK",I310="Pas de saisie journalière ce jour-là"),E310,0)</f>
        <v>40.0</v>
      </c>
      <c r="K310">
        <f>IF(AND(J310&gt;0,A310&gt;=p_from,A310&lt;=p_to),1,0)</f>
        <v>1.0</v>
      </c>
      <c r="L310">
        <f>IF(AND(K310=1,OR(pa_po="",C310=pa_po),OR(pa_eq="",B310=pa_eq)),1,0)</f>
        <v>1.0</v>
      </c>
    </row>
    <row r="311">
      <c r="A311" s="51" t="n">
        <v>46309</v>
      </c>
      <c r="B311" s="52" t="inlineStr">
        <is>
          <t>Après-midi</t>
        </is>
      </c>
      <c r="C311" s="52" t="inlineStr">
        <is>
          <t>TOUR2</t>
        </is>
      </c>
      <c r="D311" s="53" t="inlineStr">
        <is>
          <t>Changement de série</t>
        </is>
      </c>
      <c r="E311" s="60" t="n">
        <v>39</v>
      </c>
      <c r="F311" s="53" t="n"/>
      <c r="G311" s="61" t="str">
        <f>IF(OR(COUNTA(A311:E311)=0,D311=""),"",IFERROR(INDEX(ca_fam,MATCH(D311,ca_name,0))&amp;"",""))</f>
        <v>Réglage et changement de série</v>
      </c>
      <c r="H311" s="58" t="str">
        <f>IF(OR(COUNTA(A311:E311)=0,D311=""),"",IFERROR(INDEX(ca_type,MATCH(D311,ca_name,0))&amp;"",""))</f>
        <v>Non planifié</v>
      </c>
      <c r="I311" s="58" t="str">
        <f>IF(COUNTA(A311:E311)=0,"",IF(N(A311)&lt;=0,"Date manquante ou invalide",IF(B311="","Équipe manquante",IF(ISNA(MATCH(B311,eq_code,0)),"Équipe inconnue",IF(C311="","Poste manquant",IF(ISNA(MATCH(C311,po_code,0)),"Poste inconnu",IF(D311="","Cause manquante",IF(ISNA(MATCH(D311,ca_name,0)),"Cause inconnue",IF(H311="","Cause à compléter dans Paramètres",IF(OR(NOT(ISNUMBER(E311)),N(E311)&lt;=0,N(E311)&gt;1440),"Durée invalide",IF(COUNTIFS(sj_date,A311,sj_eq,B311,sj_po,C311)=0,"Pas de saisie journalière ce jour-là","OK")))))))))))</f>
        <v>OK</v>
      </c>
      <c r="J311">
        <f>IF(OR(I311="OK",I311="Pas de saisie journalière ce jour-là"),E311,0)</f>
        <v>39.0</v>
      </c>
      <c r="K311">
        <f>IF(AND(J311&gt;0,A311&gt;=p_from,A311&lt;=p_to),1,0)</f>
        <v>1.0</v>
      </c>
      <c r="L311">
        <f>IF(AND(K311=1,OR(pa_po="",C311=pa_po),OR(pa_eq="",B311=pa_eq)),1,0)</f>
        <v>1.0</v>
      </c>
    </row>
    <row r="312">
      <c r="A312" s="51" t="n">
        <v>46309</v>
      </c>
      <c r="B312" s="52" t="inlineStr">
        <is>
          <t>Matin</t>
        </is>
      </c>
      <c r="C312" s="52" t="inlineStr">
        <is>
          <t>USIN</t>
        </is>
      </c>
      <c r="D312" s="53" t="inlineStr">
        <is>
          <t>Arrêt pour non-conformité</t>
        </is>
      </c>
      <c r="E312" s="60" t="n">
        <v>32</v>
      </c>
      <c r="F312" s="53" t="n"/>
      <c r="G312" s="61" t="str">
        <f>IF(OR(COUNTA(A312:E312)=0,D312=""),"",IFERROR(INDEX(ca_fam,MATCH(D312,ca_name,0))&amp;"",""))</f>
        <v>Qualité</v>
      </c>
      <c r="H312" s="58" t="str">
        <f>IF(OR(COUNTA(A312:E312)=0,D312=""),"",IFERROR(INDEX(ca_type,MATCH(D312,ca_name,0))&amp;"",""))</f>
        <v>Non planifié</v>
      </c>
      <c r="I312" s="58" t="str">
        <f>IF(COUNTA(A312:E312)=0,"",IF(N(A312)&lt;=0,"Date manquante ou invalide",IF(B312="","Équipe manquante",IF(ISNA(MATCH(B312,eq_code,0)),"Équipe inconnue",IF(C312="","Poste manquant",IF(ISNA(MATCH(C312,po_code,0)),"Poste inconnu",IF(D312="","Cause manquante",IF(ISNA(MATCH(D312,ca_name,0)),"Cause inconnue",IF(H312="","Cause à compléter dans Paramètres",IF(OR(NOT(ISNUMBER(E312)),N(E312)&lt;=0,N(E312)&gt;1440),"Durée invalide",IF(COUNTIFS(sj_date,A312,sj_eq,B312,sj_po,C312)=0,"Pas de saisie journalière ce jour-là","OK")))))))))))</f>
        <v>OK</v>
      </c>
      <c r="J312">
        <f>IF(OR(I312="OK",I312="Pas de saisie journalière ce jour-là"),E312,0)</f>
        <v>32.0</v>
      </c>
      <c r="K312">
        <f>IF(AND(J312&gt;0,A312&gt;=p_from,A312&lt;=p_to),1,0)</f>
        <v>1.0</v>
      </c>
      <c r="L312">
        <f>IF(AND(K312=1,OR(pa_po="",C312=pa_po),OR(pa_eq="",B312=pa_eq)),1,0)</f>
        <v>1.0</v>
      </c>
    </row>
    <row r="313">
      <c r="A313" s="51" t="n">
        <v>46309</v>
      </c>
      <c r="B313" s="52" t="inlineStr">
        <is>
          <t>Matin</t>
        </is>
      </c>
      <c r="C313" s="52" t="inlineStr">
        <is>
          <t>PRESSE</t>
        </is>
      </c>
      <c r="D313" s="53" t="inlineStr">
        <is>
          <t>Changement de série</t>
        </is>
      </c>
      <c r="E313" s="60" t="n">
        <v>28</v>
      </c>
      <c r="F313" s="53" t="n"/>
      <c r="G313" s="61" t="str">
        <f>IF(OR(COUNTA(A313:E313)=0,D313=""),"",IFERROR(INDEX(ca_fam,MATCH(D313,ca_name,0))&amp;"",""))</f>
        <v>Réglage et changement de série</v>
      </c>
      <c r="H313" s="58" t="str">
        <f>IF(OR(COUNTA(A313:E313)=0,D313=""),"",IFERROR(INDEX(ca_type,MATCH(D313,ca_name,0))&amp;"",""))</f>
        <v>Non planifié</v>
      </c>
      <c r="I313" s="58" t="str">
        <f>IF(COUNTA(A313:E313)=0,"",IF(N(A313)&lt;=0,"Date manquante ou invalide",IF(B313="","Équipe manquante",IF(ISNA(MATCH(B313,eq_code,0)),"Équipe inconnue",IF(C313="","Poste manquant",IF(ISNA(MATCH(C313,po_code,0)),"Poste inconnu",IF(D313="","Cause manquante",IF(ISNA(MATCH(D313,ca_name,0)),"Cause inconnue",IF(H313="","Cause à compléter dans Paramètres",IF(OR(NOT(ISNUMBER(E313)),N(E313)&lt;=0,N(E313)&gt;1440),"Durée invalide",IF(COUNTIFS(sj_date,A313,sj_eq,B313,sj_po,C313)=0,"Pas de saisie journalière ce jour-là","OK")))))))))))</f>
        <v>OK</v>
      </c>
      <c r="J313">
        <f>IF(OR(I313="OK",I313="Pas de saisie journalière ce jour-là"),E313,0)</f>
        <v>28.0</v>
      </c>
      <c r="K313">
        <f>IF(AND(J313&gt;0,A313&gt;=p_from,A313&lt;=p_to),1,0)</f>
        <v>1.0</v>
      </c>
      <c r="L313">
        <f>IF(AND(K313=1,OR(pa_po="",C313=pa_po),OR(pa_eq="",B313=pa_eq)),1,0)</f>
        <v>1.0</v>
      </c>
    </row>
    <row r="314">
      <c r="A314" s="51" t="n">
        <v>46309</v>
      </c>
      <c r="B314" s="52" t="inlineStr">
        <is>
          <t>Matin</t>
        </is>
      </c>
      <c r="C314" s="52" t="inlineStr">
        <is>
          <t>PRESSE</t>
        </is>
      </c>
      <c r="D314" s="53" t="inlineStr">
        <is>
          <t>Attente contrôle qualité</t>
        </is>
      </c>
      <c r="E314" s="60" t="n">
        <v>19</v>
      </c>
      <c r="F314" s="53" t="n"/>
      <c r="G314" s="61" t="str">
        <f>IF(OR(COUNTA(A314:E314)=0,D314=""),"",IFERROR(INDEX(ca_fam,MATCH(D314,ca_name,0))&amp;"",""))</f>
        <v>Qualité</v>
      </c>
      <c r="H314" s="58" t="str">
        <f>IF(OR(COUNTA(A314:E314)=0,D314=""),"",IFERROR(INDEX(ca_type,MATCH(D314,ca_name,0))&amp;"",""))</f>
        <v>Non planifié</v>
      </c>
      <c r="I314" s="58" t="str">
        <f>IF(COUNTA(A314:E314)=0,"",IF(N(A314)&lt;=0,"Date manquante ou invalide",IF(B314="","Équipe manquante",IF(ISNA(MATCH(B314,eq_code,0)),"Équipe inconnue",IF(C314="","Poste manquant",IF(ISNA(MATCH(C314,po_code,0)),"Poste inconnu",IF(D314="","Cause manquante",IF(ISNA(MATCH(D314,ca_name,0)),"Cause inconnue",IF(H314="","Cause à compléter dans Paramètres",IF(OR(NOT(ISNUMBER(E314)),N(E314)&lt;=0,N(E314)&gt;1440),"Durée invalide",IF(COUNTIFS(sj_date,A314,sj_eq,B314,sj_po,C314)=0,"Pas de saisie journalière ce jour-là","OK")))))))))))</f>
        <v>OK</v>
      </c>
      <c r="J314">
        <f>IF(OR(I314="OK",I314="Pas de saisie journalière ce jour-là"),E314,0)</f>
        <v>19.0</v>
      </c>
      <c r="K314">
        <f>IF(AND(J314&gt;0,A314&gt;=p_from,A314&lt;=p_to),1,0)</f>
        <v>1.0</v>
      </c>
      <c r="L314">
        <f>IF(AND(K314=1,OR(pa_po="",C314=pa_po),OR(pa_eq="",B314=pa_eq)),1,0)</f>
        <v>1.0</v>
      </c>
    </row>
    <row r="315">
      <c r="A315" s="51" t="n">
        <v>46309</v>
      </c>
      <c r="B315" s="52" t="inlineStr">
        <is>
          <t>Journée</t>
        </is>
      </c>
      <c r="C315" s="52" t="inlineStr">
        <is>
          <t>PLIE</t>
        </is>
      </c>
      <c r="D315" s="53" t="inlineStr">
        <is>
          <t>Changement de série</t>
        </is>
      </c>
      <c r="E315" s="60" t="n">
        <v>40</v>
      </c>
      <c r="F315" s="53" t="n"/>
      <c r="G315" s="61" t="str">
        <f>IF(OR(COUNTA(A315:E315)=0,D315=""),"",IFERROR(INDEX(ca_fam,MATCH(D315,ca_name,0))&amp;"",""))</f>
        <v>Réglage et changement de série</v>
      </c>
      <c r="H315" s="58" t="str">
        <f>IF(OR(COUNTA(A315:E315)=0,D315=""),"",IFERROR(INDEX(ca_type,MATCH(D315,ca_name,0))&amp;"",""))</f>
        <v>Non planifié</v>
      </c>
      <c r="I315" s="58" t="str">
        <f>IF(COUNTA(A315:E315)=0,"",IF(N(A315)&lt;=0,"Date manquante ou invalide",IF(B315="","Équipe manquante",IF(ISNA(MATCH(B315,eq_code,0)),"Équipe inconnue",IF(C315="","Poste manquant",IF(ISNA(MATCH(C315,po_code,0)),"Poste inconnu",IF(D315="","Cause manquante",IF(ISNA(MATCH(D315,ca_name,0)),"Cause inconnue",IF(H315="","Cause à compléter dans Paramètres",IF(OR(NOT(ISNUMBER(E315)),N(E315)&lt;=0,N(E315)&gt;1440),"Durée invalide",IF(COUNTIFS(sj_date,A315,sj_eq,B315,sj_po,C315)=0,"Pas de saisie journalière ce jour-là","OK")))))))))))</f>
        <v>OK</v>
      </c>
      <c r="J315">
        <f>IF(OR(I315="OK",I315="Pas de saisie journalière ce jour-là"),E315,0)</f>
        <v>40.0</v>
      </c>
      <c r="K315">
        <f>IF(AND(J315&gt;0,A315&gt;=p_from,A315&lt;=p_to),1,0)</f>
        <v>1.0</v>
      </c>
      <c r="L315">
        <f>IF(AND(K315=1,OR(pa_po="",C315=pa_po),OR(pa_eq="",B315=pa_eq)),1,0)</f>
        <v>1.0</v>
      </c>
    </row>
    <row r="316">
      <c r="A316" s="51" t="n">
        <v>46309</v>
      </c>
      <c r="B316" s="52" t="inlineStr">
        <is>
          <t>Journée</t>
        </is>
      </c>
      <c r="C316" s="52" t="inlineStr">
        <is>
          <t>PLIE</t>
        </is>
      </c>
      <c r="D316" s="53" t="inlineStr">
        <is>
          <t>Changement d'outil</t>
        </is>
      </c>
      <c r="E316" s="60" t="n">
        <v>13</v>
      </c>
      <c r="F316" s="53" t="n"/>
      <c r="G316" s="61" t="str">
        <f>IF(OR(COUNTA(A316:E316)=0,D316=""),"",IFERROR(INDEX(ca_fam,MATCH(D316,ca_name,0))&amp;"",""))</f>
        <v>Réglage et changement de série</v>
      </c>
      <c r="H316" s="58" t="str">
        <f>IF(OR(COUNTA(A316:E316)=0,D316=""),"",IFERROR(INDEX(ca_type,MATCH(D316,ca_name,0))&amp;"",""))</f>
        <v>Non planifié</v>
      </c>
      <c r="I316" s="58" t="str">
        <f>IF(COUNTA(A316:E316)=0,"",IF(N(A316)&lt;=0,"Date manquante ou invalide",IF(B316="","Équipe manquante",IF(ISNA(MATCH(B316,eq_code,0)),"Équipe inconnue",IF(C316="","Poste manquant",IF(ISNA(MATCH(C316,po_code,0)),"Poste inconnu",IF(D316="","Cause manquante",IF(ISNA(MATCH(D316,ca_name,0)),"Cause inconnue",IF(H316="","Cause à compléter dans Paramètres",IF(OR(NOT(ISNUMBER(E316)),N(E316)&lt;=0,N(E316)&gt;1440),"Durée invalide",IF(COUNTIFS(sj_date,A316,sj_eq,B316,sj_po,C316)=0,"Pas de saisie journalière ce jour-là","OK")))))))))))</f>
        <v>OK</v>
      </c>
      <c r="J316">
        <f>IF(OR(I316="OK",I316="Pas de saisie journalière ce jour-là"),E316,0)</f>
        <v>13.0</v>
      </c>
      <c r="K316">
        <f>IF(AND(J316&gt;0,A316&gt;=p_from,A316&lt;=p_to),1,0)</f>
        <v>1.0</v>
      </c>
      <c r="L316">
        <f>IF(AND(K316=1,OR(pa_po="",C316=pa_po),OR(pa_eq="",B316=pa_eq)),1,0)</f>
        <v>1.0</v>
      </c>
    </row>
    <row r="317">
      <c r="A317" s="51" t="n">
        <v>46309</v>
      </c>
      <c r="B317" s="52" t="inlineStr">
        <is>
          <t>Matin</t>
        </is>
      </c>
      <c r="C317" s="52" t="inlineStr">
        <is>
          <t>SOUD</t>
        </is>
      </c>
      <c r="D317" s="53" t="inlineStr">
        <is>
          <t>Arrêt pour non-conformité</t>
        </is>
      </c>
      <c r="E317" s="60" t="n">
        <v>35</v>
      </c>
      <c r="F317" s="53" t="n"/>
      <c r="G317" s="61" t="str">
        <f>IF(OR(COUNTA(A317:E317)=0,D317=""),"",IFERROR(INDEX(ca_fam,MATCH(D317,ca_name,0))&amp;"",""))</f>
        <v>Qualité</v>
      </c>
      <c r="H317" s="58" t="str">
        <f>IF(OR(COUNTA(A317:E317)=0,D317=""),"",IFERROR(INDEX(ca_type,MATCH(D317,ca_name,0))&amp;"",""))</f>
        <v>Non planifié</v>
      </c>
      <c r="I317" s="58" t="str">
        <f>IF(COUNTA(A317:E317)=0,"",IF(N(A317)&lt;=0,"Date manquante ou invalide",IF(B317="","Équipe manquante",IF(ISNA(MATCH(B317,eq_code,0)),"Équipe inconnue",IF(C317="","Poste manquant",IF(ISNA(MATCH(C317,po_code,0)),"Poste inconnu",IF(D317="","Cause manquante",IF(ISNA(MATCH(D317,ca_name,0)),"Cause inconnue",IF(H317="","Cause à compléter dans Paramètres",IF(OR(NOT(ISNUMBER(E317)),N(E317)&lt;=0,N(E317)&gt;1440),"Durée invalide",IF(COUNTIFS(sj_date,A317,sj_eq,B317,sj_po,C317)=0,"Pas de saisie journalière ce jour-là","OK")))))))))))</f>
        <v>OK</v>
      </c>
      <c r="J317">
        <f>IF(OR(I317="OK",I317="Pas de saisie journalière ce jour-là"),E317,0)</f>
        <v>35.0</v>
      </c>
      <c r="K317">
        <f>IF(AND(J317&gt;0,A317&gt;=p_from,A317&lt;=p_to),1,0)</f>
        <v>1.0</v>
      </c>
      <c r="L317">
        <f>IF(AND(K317=1,OR(pa_po="",C317=pa_po),OR(pa_eq="",B317=pa_eq)),1,0)</f>
        <v>1.0</v>
      </c>
    </row>
    <row r="318">
      <c r="A318" s="51" t="n">
        <v>46309</v>
      </c>
      <c r="B318" s="52" t="inlineStr">
        <is>
          <t>Matin</t>
        </is>
      </c>
      <c r="C318" s="52" t="inlineStr">
        <is>
          <t>SOUD</t>
        </is>
      </c>
      <c r="D318" s="53" t="inlineStr">
        <is>
          <t>Changement d'outil</t>
        </is>
      </c>
      <c r="E318" s="60" t="n">
        <v>13</v>
      </c>
      <c r="F318" s="53" t="n"/>
      <c r="G318" s="61" t="str">
        <f>IF(OR(COUNTA(A318:E318)=0,D318=""),"",IFERROR(INDEX(ca_fam,MATCH(D318,ca_name,0))&amp;"",""))</f>
        <v>Réglage et changement de série</v>
      </c>
      <c r="H318" s="58" t="str">
        <f>IF(OR(COUNTA(A318:E318)=0,D318=""),"",IFERROR(INDEX(ca_type,MATCH(D318,ca_name,0))&amp;"",""))</f>
        <v>Non planifié</v>
      </c>
      <c r="I318" s="58" t="str">
        <f>IF(COUNTA(A318:E318)=0,"",IF(N(A318)&lt;=0,"Date manquante ou invalide",IF(B318="","Équipe manquante",IF(ISNA(MATCH(B318,eq_code,0)),"Équipe inconnue",IF(C318="","Poste manquant",IF(ISNA(MATCH(C318,po_code,0)),"Poste inconnu",IF(D318="","Cause manquante",IF(ISNA(MATCH(D318,ca_name,0)),"Cause inconnue",IF(H318="","Cause à compléter dans Paramètres",IF(OR(NOT(ISNUMBER(E318)),N(E318)&lt;=0,N(E318)&gt;1440),"Durée invalide",IF(COUNTIFS(sj_date,A318,sj_eq,B318,sj_po,C318)=0,"Pas de saisie journalière ce jour-là","OK")))))))))))</f>
        <v>OK</v>
      </c>
      <c r="J318">
        <f>IF(OR(I318="OK",I318="Pas de saisie journalière ce jour-là"),E318,0)</f>
        <v>13.0</v>
      </c>
      <c r="K318">
        <f>IF(AND(J318&gt;0,A318&gt;=p_from,A318&lt;=p_to),1,0)</f>
        <v>1.0</v>
      </c>
      <c r="L318">
        <f>IF(AND(K318=1,OR(pa_po="",C318=pa_po),OR(pa_eq="",B318=pa_eq)),1,0)</f>
        <v>1.0</v>
      </c>
    </row>
    <row r="319">
      <c r="A319" s="51" t="n">
        <v>46310</v>
      </c>
      <c r="B319" s="52" t="inlineStr">
        <is>
          <t>Matin</t>
        </is>
      </c>
      <c r="C319" s="52" t="inlineStr">
        <is>
          <t>TOUR1</t>
        </is>
      </c>
      <c r="D319" s="53" t="inlineStr">
        <is>
          <t>Casse outil</t>
        </is>
      </c>
      <c r="E319" s="60" t="n">
        <v>34</v>
      </c>
      <c r="F319" s="53" t="n"/>
      <c r="G319" s="61" t="str">
        <f>IF(OR(COUNTA(A319:E319)=0,D319=""),"",IFERROR(INDEX(ca_fam,MATCH(D319,ca_name,0))&amp;"",""))</f>
        <v>Panne</v>
      </c>
      <c r="H319" s="58" t="str">
        <f>IF(OR(COUNTA(A319:E319)=0,D319=""),"",IFERROR(INDEX(ca_type,MATCH(D319,ca_name,0))&amp;"",""))</f>
        <v>Non planifié</v>
      </c>
      <c r="I319" s="58" t="str">
        <f>IF(COUNTA(A319:E319)=0,"",IF(N(A319)&lt;=0,"Date manquante ou invalide",IF(B319="","Équipe manquante",IF(ISNA(MATCH(B319,eq_code,0)),"Équipe inconnue",IF(C319="","Poste manquant",IF(ISNA(MATCH(C319,po_code,0)),"Poste inconnu",IF(D319="","Cause manquante",IF(ISNA(MATCH(D319,ca_name,0)),"Cause inconnue",IF(H319="","Cause à compléter dans Paramètres",IF(OR(NOT(ISNUMBER(E319)),N(E319)&lt;=0,N(E319)&gt;1440),"Durée invalide",IF(COUNTIFS(sj_date,A319,sj_eq,B319,sj_po,C319)=0,"Pas de saisie journalière ce jour-là","OK")))))))))))</f>
        <v>OK</v>
      </c>
      <c r="J319">
        <f>IF(OR(I319="OK",I319="Pas de saisie journalière ce jour-là"),E319,0)</f>
        <v>34.0</v>
      </c>
      <c r="K319">
        <f>IF(AND(J319&gt;0,A319&gt;=p_from,A319&lt;=p_to),1,0)</f>
        <v>1.0</v>
      </c>
      <c r="L319">
        <f>IF(AND(K319=1,OR(pa_po="",C319=pa_po),OR(pa_eq="",B319=pa_eq)),1,0)</f>
        <v>1.0</v>
      </c>
    </row>
    <row r="320">
      <c r="A320" s="51" t="n">
        <v>46310</v>
      </c>
      <c r="B320" s="52" t="inlineStr">
        <is>
          <t>Matin</t>
        </is>
      </c>
      <c r="C320" s="52" t="inlineStr">
        <is>
          <t>TOUR1</t>
        </is>
      </c>
      <c r="D320" s="53" t="inlineStr">
        <is>
          <t>Attente pièces de l'opération précédente</t>
        </is>
      </c>
      <c r="E320" s="60" t="n">
        <v>36</v>
      </c>
      <c r="F320" s="53" t="n"/>
      <c r="G320" s="61" t="str">
        <f>IF(OR(COUNTA(A320:E320)=0,D320=""),"",IFERROR(INDEX(ca_fam,MATCH(D320,ca_name,0))&amp;"",""))</f>
        <v>Manque matière</v>
      </c>
      <c r="H320" s="58" t="str">
        <f>IF(OR(COUNTA(A320:E320)=0,D320=""),"",IFERROR(INDEX(ca_type,MATCH(D320,ca_name,0))&amp;"",""))</f>
        <v>Non planifié</v>
      </c>
      <c r="I320" s="58" t="str">
        <f>IF(COUNTA(A320:E320)=0,"",IF(N(A320)&lt;=0,"Date manquante ou invalide",IF(B320="","Équipe manquante",IF(ISNA(MATCH(B320,eq_code,0)),"Équipe inconnue",IF(C320="","Poste manquant",IF(ISNA(MATCH(C320,po_code,0)),"Poste inconnu",IF(D320="","Cause manquante",IF(ISNA(MATCH(D320,ca_name,0)),"Cause inconnue",IF(H320="","Cause à compléter dans Paramètres",IF(OR(NOT(ISNUMBER(E320)),N(E320)&lt;=0,N(E320)&gt;1440),"Durée invalide",IF(COUNTIFS(sj_date,A320,sj_eq,B320,sj_po,C320)=0,"Pas de saisie journalière ce jour-là","OK")))))))))))</f>
        <v>OK</v>
      </c>
      <c r="J320">
        <f>IF(OR(I320="OK",I320="Pas de saisie journalière ce jour-là"),E320,0)</f>
        <v>36.0</v>
      </c>
      <c r="K320">
        <f>IF(AND(J320&gt;0,A320&gt;=p_from,A320&lt;=p_to),1,0)</f>
        <v>1.0</v>
      </c>
      <c r="L320">
        <f>IF(AND(K320=1,OR(pa_po="",C320=pa_po),OR(pa_eq="",B320=pa_eq)),1,0)</f>
        <v>1.0</v>
      </c>
    </row>
    <row r="321">
      <c r="A321" s="51" t="n">
        <v>46310</v>
      </c>
      <c r="B321" s="52" t="inlineStr">
        <is>
          <t>Après-midi</t>
        </is>
      </c>
      <c r="C321" s="52" t="inlineStr">
        <is>
          <t>TOUR1</t>
        </is>
      </c>
      <c r="D321" s="53" t="inlineStr">
        <is>
          <t>Arrêt pour non-conformité</t>
        </is>
      </c>
      <c r="E321" s="60" t="n">
        <v>23</v>
      </c>
      <c r="F321" s="53" t="n"/>
      <c r="G321" s="61" t="str">
        <f>IF(OR(COUNTA(A321:E321)=0,D321=""),"",IFERROR(INDEX(ca_fam,MATCH(D321,ca_name,0))&amp;"",""))</f>
        <v>Qualité</v>
      </c>
      <c r="H321" s="58" t="str">
        <f>IF(OR(COUNTA(A321:E321)=0,D321=""),"",IFERROR(INDEX(ca_type,MATCH(D321,ca_name,0))&amp;"",""))</f>
        <v>Non planifié</v>
      </c>
      <c r="I321" s="58" t="str">
        <f>IF(COUNTA(A321:E321)=0,"",IF(N(A321)&lt;=0,"Date manquante ou invalide",IF(B321="","Équipe manquante",IF(ISNA(MATCH(B321,eq_code,0)),"Équipe inconnue",IF(C321="","Poste manquant",IF(ISNA(MATCH(C321,po_code,0)),"Poste inconnu",IF(D321="","Cause manquante",IF(ISNA(MATCH(D321,ca_name,0)),"Cause inconnue",IF(H321="","Cause à compléter dans Paramètres",IF(OR(NOT(ISNUMBER(E321)),N(E321)&lt;=0,N(E321)&gt;1440),"Durée invalide",IF(COUNTIFS(sj_date,A321,sj_eq,B321,sj_po,C321)=0,"Pas de saisie journalière ce jour-là","OK")))))))))))</f>
        <v>OK</v>
      </c>
      <c r="J321">
        <f>IF(OR(I321="OK",I321="Pas de saisie journalière ce jour-là"),E321,0)</f>
        <v>23.0</v>
      </c>
      <c r="K321">
        <f>IF(AND(J321&gt;0,A321&gt;=p_from,A321&lt;=p_to),1,0)</f>
        <v>1.0</v>
      </c>
      <c r="L321">
        <f>IF(AND(K321=1,OR(pa_po="",C321=pa_po),OR(pa_eq="",B321=pa_eq)),1,0)</f>
        <v>1.0</v>
      </c>
    </row>
    <row r="322">
      <c r="A322" s="51" t="n">
        <v>46310</v>
      </c>
      <c r="B322" s="52" t="inlineStr">
        <is>
          <t>Après-midi</t>
        </is>
      </c>
      <c r="C322" s="52" t="inlineStr">
        <is>
          <t>TOUR1</t>
        </is>
      </c>
      <c r="D322" s="53" t="inlineStr">
        <is>
          <t>Changement de série</t>
        </is>
      </c>
      <c r="E322" s="60" t="n">
        <v>46</v>
      </c>
      <c r="F322" s="53" t="n"/>
      <c r="G322" s="61" t="str">
        <f>IF(OR(COUNTA(A322:E322)=0,D322=""),"",IFERROR(INDEX(ca_fam,MATCH(D322,ca_name,0))&amp;"",""))</f>
        <v>Réglage et changement de série</v>
      </c>
      <c r="H322" s="58" t="str">
        <f>IF(OR(COUNTA(A322:E322)=0,D322=""),"",IFERROR(INDEX(ca_type,MATCH(D322,ca_name,0))&amp;"",""))</f>
        <v>Non planifié</v>
      </c>
      <c r="I322" s="58" t="str">
        <f>IF(COUNTA(A322:E322)=0,"",IF(N(A322)&lt;=0,"Date manquante ou invalide",IF(B322="","Équipe manquante",IF(ISNA(MATCH(B322,eq_code,0)),"Équipe inconnue",IF(C322="","Poste manquant",IF(ISNA(MATCH(C322,po_code,0)),"Poste inconnu",IF(D322="","Cause manquante",IF(ISNA(MATCH(D322,ca_name,0)),"Cause inconnue",IF(H322="","Cause à compléter dans Paramètres",IF(OR(NOT(ISNUMBER(E322)),N(E322)&lt;=0,N(E322)&gt;1440),"Durée invalide",IF(COUNTIFS(sj_date,A322,sj_eq,B322,sj_po,C322)=0,"Pas de saisie journalière ce jour-là","OK")))))))))))</f>
        <v>OK</v>
      </c>
      <c r="J322">
        <f>IF(OR(I322="OK",I322="Pas de saisie journalière ce jour-là"),E322,0)</f>
        <v>46.0</v>
      </c>
      <c r="K322">
        <f>IF(AND(J322&gt;0,A322&gt;=p_from,A322&lt;=p_to),1,0)</f>
        <v>1.0</v>
      </c>
      <c r="L322">
        <f>IF(AND(K322=1,OR(pa_po="",C322=pa_po),OR(pa_eq="",B322=pa_eq)),1,0)</f>
        <v>1.0</v>
      </c>
    </row>
    <row r="323">
      <c r="A323" s="51" t="n">
        <v>46310</v>
      </c>
      <c r="B323" s="52" t="inlineStr">
        <is>
          <t>Matin</t>
        </is>
      </c>
      <c r="C323" s="52" t="inlineStr">
        <is>
          <t>TOUR2</t>
        </is>
      </c>
      <c r="D323" s="53" t="inlineStr">
        <is>
          <t>Changement de série</t>
        </is>
      </c>
      <c r="E323" s="60" t="n">
        <v>44</v>
      </c>
      <c r="F323" s="53" t="n"/>
      <c r="G323" s="61" t="str">
        <f>IF(OR(COUNTA(A323:E323)=0,D323=""),"",IFERROR(INDEX(ca_fam,MATCH(D323,ca_name,0))&amp;"",""))</f>
        <v>Réglage et changement de série</v>
      </c>
      <c r="H323" s="58" t="str">
        <f>IF(OR(COUNTA(A323:E323)=0,D323=""),"",IFERROR(INDEX(ca_type,MATCH(D323,ca_name,0))&amp;"",""))</f>
        <v>Non planifié</v>
      </c>
      <c r="I323" s="58" t="str">
        <f>IF(COUNTA(A323:E323)=0,"",IF(N(A323)&lt;=0,"Date manquante ou invalide",IF(B323="","Équipe manquante",IF(ISNA(MATCH(B323,eq_code,0)),"Équipe inconnue",IF(C323="","Poste manquant",IF(ISNA(MATCH(C323,po_code,0)),"Poste inconnu",IF(D323="","Cause manquante",IF(ISNA(MATCH(D323,ca_name,0)),"Cause inconnue",IF(H323="","Cause à compléter dans Paramètres",IF(OR(NOT(ISNUMBER(E323)),N(E323)&lt;=0,N(E323)&gt;1440),"Durée invalide",IF(COUNTIFS(sj_date,A323,sj_eq,B323,sj_po,C323)=0,"Pas de saisie journalière ce jour-là","OK")))))))))))</f>
        <v>OK</v>
      </c>
      <c r="J323">
        <f>IF(OR(I323="OK",I323="Pas de saisie journalière ce jour-là"),E323,0)</f>
        <v>44.0</v>
      </c>
      <c r="K323">
        <f>IF(AND(J323&gt;0,A323&gt;=p_from,A323&lt;=p_to),1,0)</f>
        <v>1.0</v>
      </c>
      <c r="L323">
        <f>IF(AND(K323=1,OR(pa_po="",C323=pa_po),OR(pa_eq="",B323=pa_eq)),1,0)</f>
        <v>1.0</v>
      </c>
    </row>
    <row r="324">
      <c r="A324" s="51" t="n">
        <v>46310</v>
      </c>
      <c r="B324" s="52" t="inlineStr">
        <is>
          <t>Matin</t>
        </is>
      </c>
      <c r="C324" s="52" t="inlineStr">
        <is>
          <t>TOUR2</t>
        </is>
      </c>
      <c r="D324" s="53" t="inlineStr">
        <is>
          <t>Changement de série</t>
        </is>
      </c>
      <c r="E324" s="60" t="n">
        <v>40</v>
      </c>
      <c r="F324" s="53" t="n"/>
      <c r="G324" s="61" t="str">
        <f>IF(OR(COUNTA(A324:E324)=0,D324=""),"",IFERROR(INDEX(ca_fam,MATCH(D324,ca_name,0))&amp;"",""))</f>
        <v>Réglage et changement de série</v>
      </c>
      <c r="H324" s="58" t="str">
        <f>IF(OR(COUNTA(A324:E324)=0,D324=""),"",IFERROR(INDEX(ca_type,MATCH(D324,ca_name,0))&amp;"",""))</f>
        <v>Non planifié</v>
      </c>
      <c r="I324" s="58" t="str">
        <f>IF(COUNTA(A324:E324)=0,"",IF(N(A324)&lt;=0,"Date manquante ou invalide",IF(B324="","Équipe manquante",IF(ISNA(MATCH(B324,eq_code,0)),"Équipe inconnue",IF(C324="","Poste manquant",IF(ISNA(MATCH(C324,po_code,0)),"Poste inconnu",IF(D324="","Cause manquante",IF(ISNA(MATCH(D324,ca_name,0)),"Cause inconnue",IF(H324="","Cause à compléter dans Paramètres",IF(OR(NOT(ISNUMBER(E324)),N(E324)&lt;=0,N(E324)&gt;1440),"Durée invalide",IF(COUNTIFS(sj_date,A324,sj_eq,B324,sj_po,C324)=0,"Pas de saisie journalière ce jour-là","OK")))))))))))</f>
        <v>OK</v>
      </c>
      <c r="J324">
        <f>IF(OR(I324="OK",I324="Pas de saisie journalière ce jour-là"),E324,0)</f>
        <v>40.0</v>
      </c>
      <c r="K324">
        <f>IF(AND(J324&gt;0,A324&gt;=p_from,A324&lt;=p_to),1,0)</f>
        <v>1.0</v>
      </c>
      <c r="L324">
        <f>IF(AND(K324=1,OR(pa_po="",C324=pa_po),OR(pa_eq="",B324=pa_eq)),1,0)</f>
        <v>1.0</v>
      </c>
    </row>
    <row r="325">
      <c r="A325" s="51" t="n">
        <v>46310</v>
      </c>
      <c r="B325" s="52" t="inlineStr">
        <is>
          <t>Matin</t>
        </is>
      </c>
      <c r="C325" s="52" t="inlineStr">
        <is>
          <t>TOUR2</t>
        </is>
      </c>
      <c r="D325" s="53" t="inlineStr">
        <is>
          <t>Absence opérateur</t>
        </is>
      </c>
      <c r="E325" s="60" t="n">
        <v>168</v>
      </c>
      <c r="F325" s="53" t="n"/>
      <c r="G325" s="61" t="str">
        <f>IF(OR(COUNTA(A325:E325)=0,D325=""),"",IFERROR(INDEX(ca_fam,MATCH(D325,ca_name,0))&amp;"",""))</f>
        <v>Manque personnel</v>
      </c>
      <c r="H325" s="58" t="str">
        <f>IF(OR(COUNTA(A325:E325)=0,D325=""),"",IFERROR(INDEX(ca_type,MATCH(D325,ca_name,0))&amp;"",""))</f>
        <v>Non planifié</v>
      </c>
      <c r="I325" s="58" t="str">
        <f>IF(COUNTA(A325:E325)=0,"",IF(N(A325)&lt;=0,"Date manquante ou invalide",IF(B325="","Équipe manquante",IF(ISNA(MATCH(B325,eq_code,0)),"Équipe inconnue",IF(C325="","Poste manquant",IF(ISNA(MATCH(C325,po_code,0)),"Poste inconnu",IF(D325="","Cause manquante",IF(ISNA(MATCH(D325,ca_name,0)),"Cause inconnue",IF(H325="","Cause à compléter dans Paramètres",IF(OR(NOT(ISNUMBER(E325)),N(E325)&lt;=0,N(E325)&gt;1440),"Durée invalide",IF(COUNTIFS(sj_date,A325,sj_eq,B325,sj_po,C325)=0,"Pas de saisie journalière ce jour-là","OK")))))))))))</f>
        <v>OK</v>
      </c>
      <c r="J325">
        <f>IF(OR(I325="OK",I325="Pas de saisie journalière ce jour-là"),E325,0)</f>
        <v>168.0</v>
      </c>
      <c r="K325">
        <f>IF(AND(J325&gt;0,A325&gt;=p_from,A325&lt;=p_to),1,0)</f>
        <v>1.0</v>
      </c>
      <c r="L325">
        <f>IF(AND(K325=1,OR(pa_po="",C325=pa_po),OR(pa_eq="",B325=pa_eq)),1,0)</f>
        <v>1.0</v>
      </c>
    </row>
    <row r="326">
      <c r="A326" s="51" t="n">
        <v>46310</v>
      </c>
      <c r="B326" s="52" t="inlineStr">
        <is>
          <t>Matin</t>
        </is>
      </c>
      <c r="C326" s="52" t="inlineStr">
        <is>
          <t>USIN</t>
        </is>
      </c>
      <c r="D326" s="53" t="inlineStr">
        <is>
          <t>Casse outil</t>
        </is>
      </c>
      <c r="E326" s="60" t="n">
        <v>32</v>
      </c>
      <c r="F326" s="53" t="n"/>
      <c r="G326" s="61" t="str">
        <f>IF(OR(COUNTA(A326:E326)=0,D326=""),"",IFERROR(INDEX(ca_fam,MATCH(D326,ca_name,0))&amp;"",""))</f>
        <v>Panne</v>
      </c>
      <c r="H326" s="58" t="str">
        <f>IF(OR(COUNTA(A326:E326)=0,D326=""),"",IFERROR(INDEX(ca_type,MATCH(D326,ca_name,0))&amp;"",""))</f>
        <v>Non planifié</v>
      </c>
      <c r="I326" s="58" t="str">
        <f>IF(COUNTA(A326:E326)=0,"",IF(N(A326)&lt;=0,"Date manquante ou invalide",IF(B326="","Équipe manquante",IF(ISNA(MATCH(B326,eq_code,0)),"Équipe inconnue",IF(C326="","Poste manquant",IF(ISNA(MATCH(C326,po_code,0)),"Poste inconnu",IF(D326="","Cause manquante",IF(ISNA(MATCH(D326,ca_name,0)),"Cause inconnue",IF(H326="","Cause à compléter dans Paramètres",IF(OR(NOT(ISNUMBER(E326)),N(E326)&lt;=0,N(E326)&gt;1440),"Durée invalide",IF(COUNTIFS(sj_date,A326,sj_eq,B326,sj_po,C326)=0,"Pas de saisie journalière ce jour-là","OK")))))))))))</f>
        <v>OK</v>
      </c>
      <c r="J326">
        <f>IF(OR(I326="OK",I326="Pas de saisie journalière ce jour-là"),E326,0)</f>
        <v>32.0</v>
      </c>
      <c r="K326">
        <f>IF(AND(J326&gt;0,A326&gt;=p_from,A326&lt;=p_to),1,0)</f>
        <v>1.0</v>
      </c>
      <c r="L326">
        <f>IF(AND(K326=1,OR(pa_po="",C326=pa_po),OR(pa_eq="",B326=pa_eq)),1,0)</f>
        <v>1.0</v>
      </c>
    </row>
    <row r="327">
      <c r="A327" s="51" t="n">
        <v>46310</v>
      </c>
      <c r="B327" s="52" t="inlineStr">
        <is>
          <t>Matin</t>
        </is>
      </c>
      <c r="C327" s="52" t="inlineStr">
        <is>
          <t>PRESSE</t>
        </is>
      </c>
      <c r="D327" s="53" t="inlineStr">
        <is>
          <t>Changement de série</t>
        </is>
      </c>
      <c r="E327" s="60" t="n">
        <v>34</v>
      </c>
      <c r="F327" s="53" t="n"/>
      <c r="G327" s="61" t="str">
        <f>IF(OR(COUNTA(A327:E327)=0,D327=""),"",IFERROR(INDEX(ca_fam,MATCH(D327,ca_name,0))&amp;"",""))</f>
        <v>Réglage et changement de série</v>
      </c>
      <c r="H327" s="58" t="str">
        <f>IF(OR(COUNTA(A327:E327)=0,D327=""),"",IFERROR(INDEX(ca_type,MATCH(D327,ca_name,0))&amp;"",""))</f>
        <v>Non planifié</v>
      </c>
      <c r="I327" s="58" t="str">
        <f>IF(COUNTA(A327:E327)=0,"",IF(N(A327)&lt;=0,"Date manquante ou invalide",IF(B327="","Équipe manquante",IF(ISNA(MATCH(B327,eq_code,0)),"Équipe inconnue",IF(C327="","Poste manquant",IF(ISNA(MATCH(C327,po_code,0)),"Poste inconnu",IF(D327="","Cause manquante",IF(ISNA(MATCH(D327,ca_name,0)),"Cause inconnue",IF(H327="","Cause à compléter dans Paramètres",IF(OR(NOT(ISNUMBER(E327)),N(E327)&lt;=0,N(E327)&gt;1440),"Durée invalide",IF(COUNTIFS(sj_date,A327,sj_eq,B327,sj_po,C327)=0,"Pas de saisie journalière ce jour-là","OK")))))))))))</f>
        <v>OK</v>
      </c>
      <c r="J327">
        <f>IF(OR(I327="OK",I327="Pas de saisie journalière ce jour-là"),E327,0)</f>
        <v>34.0</v>
      </c>
      <c r="K327">
        <f>IF(AND(J327&gt;0,A327&gt;=p_from,A327&lt;=p_to),1,0)</f>
        <v>1.0</v>
      </c>
      <c r="L327">
        <f>IF(AND(K327=1,OR(pa_po="",C327=pa_po),OR(pa_eq="",B327=pa_eq)),1,0)</f>
        <v>1.0</v>
      </c>
    </row>
    <row r="328">
      <c r="A328" s="51" t="n">
        <v>46310</v>
      </c>
      <c r="B328" s="52" t="inlineStr">
        <is>
          <t>Matin</t>
        </is>
      </c>
      <c r="C328" s="52" t="inlineStr">
        <is>
          <t>PRESSE</t>
        </is>
      </c>
      <c r="D328" s="53" t="inlineStr">
        <is>
          <t>Panne mécanique</t>
        </is>
      </c>
      <c r="E328" s="60" t="n">
        <v>31</v>
      </c>
      <c r="F328" s="53" t="n"/>
      <c r="G328" s="61" t="str">
        <f>IF(OR(COUNTA(A328:E328)=0,D328=""),"",IFERROR(INDEX(ca_fam,MATCH(D328,ca_name,0))&amp;"",""))</f>
        <v>Panne</v>
      </c>
      <c r="H328" s="58" t="str">
        <f>IF(OR(COUNTA(A328:E328)=0,D328=""),"",IFERROR(INDEX(ca_type,MATCH(D328,ca_name,0))&amp;"",""))</f>
        <v>Non planifié</v>
      </c>
      <c r="I328" s="58" t="str">
        <f>IF(COUNTA(A328:E328)=0,"",IF(N(A328)&lt;=0,"Date manquante ou invalide",IF(B328="","Équipe manquante",IF(ISNA(MATCH(B328,eq_code,0)),"Équipe inconnue",IF(C328="","Poste manquant",IF(ISNA(MATCH(C328,po_code,0)),"Poste inconnu",IF(D328="","Cause manquante",IF(ISNA(MATCH(D328,ca_name,0)),"Cause inconnue",IF(H328="","Cause à compléter dans Paramètres",IF(OR(NOT(ISNUMBER(E328)),N(E328)&lt;=0,N(E328)&gt;1440),"Durée invalide",IF(COUNTIFS(sj_date,A328,sj_eq,B328,sj_po,C328)=0,"Pas de saisie journalière ce jour-là","OK")))))))))))</f>
        <v>OK</v>
      </c>
      <c r="J328">
        <f>IF(OR(I328="OK",I328="Pas de saisie journalière ce jour-là"),E328,0)</f>
        <v>31.0</v>
      </c>
      <c r="K328">
        <f>IF(AND(J328&gt;0,A328&gt;=p_from,A328&lt;=p_to),1,0)</f>
        <v>1.0</v>
      </c>
      <c r="L328">
        <f>IF(AND(K328=1,OR(pa_po="",C328=pa_po),OR(pa_eq="",B328=pa_eq)),1,0)</f>
        <v>1.0</v>
      </c>
    </row>
    <row r="329">
      <c r="A329" s="51" t="n">
        <v>46310</v>
      </c>
      <c r="B329" s="52" t="inlineStr">
        <is>
          <t>Journée</t>
        </is>
      </c>
      <c r="C329" s="52" t="inlineStr">
        <is>
          <t>PLIE</t>
        </is>
      </c>
      <c r="D329" s="53" t="inlineStr">
        <is>
          <t>Changement de série</t>
        </is>
      </c>
      <c r="E329" s="60" t="n">
        <v>35</v>
      </c>
      <c r="F329" s="53" t="n"/>
      <c r="G329" s="61" t="str">
        <f>IF(OR(COUNTA(A329:E329)=0,D329=""),"",IFERROR(INDEX(ca_fam,MATCH(D329,ca_name,0))&amp;"",""))</f>
        <v>Réglage et changement de série</v>
      </c>
      <c r="H329" s="58" t="str">
        <f>IF(OR(COUNTA(A329:E329)=0,D329=""),"",IFERROR(INDEX(ca_type,MATCH(D329,ca_name,0))&amp;"",""))</f>
        <v>Non planifié</v>
      </c>
      <c r="I329" s="58" t="str">
        <f>IF(COUNTA(A329:E329)=0,"",IF(N(A329)&lt;=0,"Date manquante ou invalide",IF(B329="","Équipe manquante",IF(ISNA(MATCH(B329,eq_code,0)),"Équipe inconnue",IF(C329="","Poste manquant",IF(ISNA(MATCH(C329,po_code,0)),"Poste inconnu",IF(D329="","Cause manquante",IF(ISNA(MATCH(D329,ca_name,0)),"Cause inconnue",IF(H329="","Cause à compléter dans Paramètres",IF(OR(NOT(ISNUMBER(E329)),N(E329)&lt;=0,N(E329)&gt;1440),"Durée invalide",IF(COUNTIFS(sj_date,A329,sj_eq,B329,sj_po,C329)=0,"Pas de saisie journalière ce jour-là","OK")))))))))))</f>
        <v>OK</v>
      </c>
      <c r="J329">
        <f>IF(OR(I329="OK",I329="Pas de saisie journalière ce jour-là"),E329,0)</f>
        <v>35.0</v>
      </c>
      <c r="K329">
        <f>IF(AND(J329&gt;0,A329&gt;=p_from,A329&lt;=p_to),1,0)</f>
        <v>1.0</v>
      </c>
      <c r="L329">
        <f>IF(AND(K329=1,OR(pa_po="",C329=pa_po),OR(pa_eq="",B329=pa_eq)),1,0)</f>
        <v>1.0</v>
      </c>
    </row>
    <row r="330">
      <c r="A330" s="51" t="n">
        <v>46310</v>
      </c>
      <c r="B330" s="52" t="inlineStr">
        <is>
          <t>Matin</t>
        </is>
      </c>
      <c r="C330" s="52" t="inlineStr">
        <is>
          <t>SOUD</t>
        </is>
      </c>
      <c r="D330" s="53" t="inlineStr">
        <is>
          <t>Attente pièces de l'opération précédente</t>
        </is>
      </c>
      <c r="E330" s="60" t="n">
        <v>40</v>
      </c>
      <c r="F330" s="53" t="n"/>
      <c r="G330" s="61" t="str">
        <f>IF(OR(COUNTA(A330:E330)=0,D330=""),"",IFERROR(INDEX(ca_fam,MATCH(D330,ca_name,0))&amp;"",""))</f>
        <v>Manque matière</v>
      </c>
      <c r="H330" s="58" t="str">
        <f>IF(OR(COUNTA(A330:E330)=0,D330=""),"",IFERROR(INDEX(ca_type,MATCH(D330,ca_name,0))&amp;"",""))</f>
        <v>Non planifié</v>
      </c>
      <c r="I330" s="58" t="str">
        <f>IF(COUNTA(A330:E330)=0,"",IF(N(A330)&lt;=0,"Date manquante ou invalide",IF(B330="","Équipe manquante",IF(ISNA(MATCH(B330,eq_code,0)),"Équipe inconnue",IF(C330="","Poste manquant",IF(ISNA(MATCH(C330,po_code,0)),"Poste inconnu",IF(D330="","Cause manquante",IF(ISNA(MATCH(D330,ca_name,0)),"Cause inconnue",IF(H330="","Cause à compléter dans Paramètres",IF(OR(NOT(ISNUMBER(E330)),N(E330)&lt;=0,N(E330)&gt;1440),"Durée invalide",IF(COUNTIFS(sj_date,A330,sj_eq,B330,sj_po,C330)=0,"Pas de saisie journalière ce jour-là","OK")))))))))))</f>
        <v>OK</v>
      </c>
      <c r="J330">
        <f>IF(OR(I330="OK",I330="Pas de saisie journalière ce jour-là"),E330,0)</f>
        <v>40.0</v>
      </c>
      <c r="K330">
        <f>IF(AND(J330&gt;0,A330&gt;=p_from,A330&lt;=p_to),1,0)</f>
        <v>1.0</v>
      </c>
      <c r="L330">
        <f>IF(AND(K330=1,OR(pa_po="",C330=pa_po),OR(pa_eq="",B330=pa_eq)),1,0)</f>
        <v>1.0</v>
      </c>
    </row>
    <row r="331">
      <c r="A331" s="51" t="n">
        <v>46310</v>
      </c>
      <c r="B331" s="52" t="inlineStr">
        <is>
          <t>Matin</t>
        </is>
      </c>
      <c r="C331" s="52" t="inlineStr">
        <is>
          <t>SOUD</t>
        </is>
      </c>
      <c r="D331" s="53" t="inlineStr">
        <is>
          <t>Attente matière</t>
        </is>
      </c>
      <c r="E331" s="60" t="n">
        <v>61</v>
      </c>
      <c r="F331" s="53" t="n"/>
      <c r="G331" s="61" t="str">
        <f>IF(OR(COUNTA(A331:E331)=0,D331=""),"",IFERROR(INDEX(ca_fam,MATCH(D331,ca_name,0))&amp;"",""))</f>
        <v>Manque matière</v>
      </c>
      <c r="H331" s="58" t="str">
        <f>IF(OR(COUNTA(A331:E331)=0,D331=""),"",IFERROR(INDEX(ca_type,MATCH(D331,ca_name,0))&amp;"",""))</f>
        <v>Non planifié</v>
      </c>
      <c r="I331" s="58" t="str">
        <f>IF(COUNTA(A331:E331)=0,"",IF(N(A331)&lt;=0,"Date manquante ou invalide",IF(B331="","Équipe manquante",IF(ISNA(MATCH(B331,eq_code,0)),"Équipe inconnue",IF(C331="","Poste manquant",IF(ISNA(MATCH(C331,po_code,0)),"Poste inconnu",IF(D331="","Cause manquante",IF(ISNA(MATCH(D331,ca_name,0)),"Cause inconnue",IF(H331="","Cause à compléter dans Paramètres",IF(OR(NOT(ISNUMBER(E331)),N(E331)&lt;=0,N(E331)&gt;1440),"Durée invalide",IF(COUNTIFS(sj_date,A331,sj_eq,B331,sj_po,C331)=0,"Pas de saisie journalière ce jour-là","OK")))))))))))</f>
        <v>OK</v>
      </c>
      <c r="J331">
        <f>IF(OR(I331="OK",I331="Pas de saisie journalière ce jour-là"),E331,0)</f>
        <v>61.0</v>
      </c>
      <c r="K331">
        <f>IF(AND(J331&gt;0,A331&gt;=p_from,A331&lt;=p_to),1,0)</f>
        <v>1.0</v>
      </c>
      <c r="L331">
        <f>IF(AND(K331=1,OR(pa_po="",C331=pa_po),OR(pa_eq="",B331=pa_eq)),1,0)</f>
        <v>1.0</v>
      </c>
    </row>
    <row r="332">
      <c r="A332" s="51" t="n">
        <v>46310</v>
      </c>
      <c r="B332" s="52" t="inlineStr">
        <is>
          <t>Matin</t>
        </is>
      </c>
      <c r="C332" s="52" t="inlineStr">
        <is>
          <t>SOUD</t>
        </is>
      </c>
      <c r="D332" s="53" t="inlineStr">
        <is>
          <t>Absence opérateur</t>
        </is>
      </c>
      <c r="E332" s="60" t="n">
        <v>110</v>
      </c>
      <c r="F332" s="53" t="n"/>
      <c r="G332" s="61" t="str">
        <f>IF(OR(COUNTA(A332:E332)=0,D332=""),"",IFERROR(INDEX(ca_fam,MATCH(D332,ca_name,0))&amp;"",""))</f>
        <v>Manque personnel</v>
      </c>
      <c r="H332" s="58" t="str">
        <f>IF(OR(COUNTA(A332:E332)=0,D332=""),"",IFERROR(INDEX(ca_type,MATCH(D332,ca_name,0))&amp;"",""))</f>
        <v>Non planifié</v>
      </c>
      <c r="I332" s="58" t="str">
        <f>IF(COUNTA(A332:E332)=0,"",IF(N(A332)&lt;=0,"Date manquante ou invalide",IF(B332="","Équipe manquante",IF(ISNA(MATCH(B332,eq_code,0)),"Équipe inconnue",IF(C332="","Poste manquant",IF(ISNA(MATCH(C332,po_code,0)),"Poste inconnu",IF(D332="","Cause manquante",IF(ISNA(MATCH(D332,ca_name,0)),"Cause inconnue",IF(H332="","Cause à compléter dans Paramètres",IF(OR(NOT(ISNUMBER(E332)),N(E332)&lt;=0,N(E332)&gt;1440),"Durée invalide",IF(COUNTIFS(sj_date,A332,sj_eq,B332,sj_po,C332)=0,"Pas de saisie journalière ce jour-là","OK")))))))))))</f>
        <v>OK</v>
      </c>
      <c r="J332">
        <f>IF(OR(I332="OK",I332="Pas de saisie journalière ce jour-là"),E332,0)</f>
        <v>110.0</v>
      </c>
      <c r="K332">
        <f>IF(AND(J332&gt;0,A332&gt;=p_from,A332&lt;=p_to),1,0)</f>
        <v>1.0</v>
      </c>
      <c r="L332">
        <f>IF(AND(K332=1,OR(pa_po="",C332=pa_po),OR(pa_eq="",B332=pa_eq)),1,0)</f>
        <v>1.0</v>
      </c>
    </row>
    <row r="333">
      <c r="A333" s="51" t="n">
        <v>46310</v>
      </c>
      <c r="B333" s="52" t="inlineStr">
        <is>
          <t>Après-midi</t>
        </is>
      </c>
      <c r="C333" s="52" t="inlineStr">
        <is>
          <t>SOUD</t>
        </is>
      </c>
      <c r="D333" s="53" t="inlineStr">
        <is>
          <t>Changement de série</t>
        </is>
      </c>
      <c r="E333" s="60" t="n">
        <v>36</v>
      </c>
      <c r="F333" s="53" t="n"/>
      <c r="G333" s="61" t="str">
        <f>IF(OR(COUNTA(A333:E333)=0,D333=""),"",IFERROR(INDEX(ca_fam,MATCH(D333,ca_name,0))&amp;"",""))</f>
        <v>Réglage et changement de série</v>
      </c>
      <c r="H333" s="58" t="str">
        <f>IF(OR(COUNTA(A333:E333)=0,D333=""),"",IFERROR(INDEX(ca_type,MATCH(D333,ca_name,0))&amp;"",""))</f>
        <v>Non planifié</v>
      </c>
      <c r="I333" s="58" t="str">
        <f>IF(COUNTA(A333:E333)=0,"",IF(N(A333)&lt;=0,"Date manquante ou invalide",IF(B333="","Équipe manquante",IF(ISNA(MATCH(B333,eq_code,0)),"Équipe inconnue",IF(C333="","Poste manquant",IF(ISNA(MATCH(C333,po_code,0)),"Poste inconnu",IF(D333="","Cause manquante",IF(ISNA(MATCH(D333,ca_name,0)),"Cause inconnue",IF(H333="","Cause à compléter dans Paramètres",IF(OR(NOT(ISNUMBER(E333)),N(E333)&lt;=0,N(E333)&gt;1440),"Durée invalide",IF(COUNTIFS(sj_date,A333,sj_eq,B333,sj_po,C333)=0,"Pas de saisie journalière ce jour-là","OK")))))))))))</f>
        <v>OK</v>
      </c>
      <c r="J333">
        <f>IF(OR(I333="OK",I333="Pas de saisie journalière ce jour-là"),E333,0)</f>
        <v>36.0</v>
      </c>
      <c r="K333">
        <f>IF(AND(J333&gt;0,A333&gt;=p_from,A333&lt;=p_to),1,0)</f>
        <v>1.0</v>
      </c>
      <c r="L333">
        <f>IF(AND(K333=1,OR(pa_po="",C333=pa_po),OR(pa_eq="",B333=pa_eq)),1,0)</f>
        <v>1.0</v>
      </c>
    </row>
    <row r="334">
      <c r="A334" s="51" t="n">
        <v>46311</v>
      </c>
      <c r="B334" s="52" t="inlineStr">
        <is>
          <t>Matin</t>
        </is>
      </c>
      <c r="C334" s="52" t="inlineStr">
        <is>
          <t>TOUR1</t>
        </is>
      </c>
      <c r="D334" s="53" t="inlineStr">
        <is>
          <t>Changement d'outil</t>
        </is>
      </c>
      <c r="E334" s="60" t="n">
        <v>18</v>
      </c>
      <c r="F334" s="53" t="n"/>
      <c r="G334" s="61" t="str">
        <f>IF(OR(COUNTA(A334:E334)=0,D334=""),"",IFERROR(INDEX(ca_fam,MATCH(D334,ca_name,0))&amp;"",""))</f>
        <v>Réglage et changement de série</v>
      </c>
      <c r="H334" s="58" t="str">
        <f>IF(OR(COUNTA(A334:E334)=0,D334=""),"",IFERROR(INDEX(ca_type,MATCH(D334,ca_name,0))&amp;"",""))</f>
        <v>Non planifié</v>
      </c>
      <c r="I334" s="58" t="str">
        <f>IF(COUNTA(A334:E334)=0,"",IF(N(A334)&lt;=0,"Date manquante ou invalide",IF(B334="","Équipe manquante",IF(ISNA(MATCH(B334,eq_code,0)),"Équipe inconnue",IF(C334="","Poste manquant",IF(ISNA(MATCH(C334,po_code,0)),"Poste inconnu",IF(D334="","Cause manquante",IF(ISNA(MATCH(D334,ca_name,0)),"Cause inconnue",IF(H334="","Cause à compléter dans Paramètres",IF(OR(NOT(ISNUMBER(E334)),N(E334)&lt;=0,N(E334)&gt;1440),"Durée invalide",IF(COUNTIFS(sj_date,A334,sj_eq,B334,sj_po,C334)=0,"Pas de saisie journalière ce jour-là","OK")))))))))))</f>
        <v>OK</v>
      </c>
      <c r="J334">
        <f>IF(OR(I334="OK",I334="Pas de saisie journalière ce jour-là"),E334,0)</f>
        <v>18.0</v>
      </c>
      <c r="K334">
        <f>IF(AND(J334&gt;0,A334&gt;=p_from,A334&lt;=p_to),1,0)</f>
        <v>1.0</v>
      </c>
      <c r="L334">
        <f>IF(AND(K334=1,OR(pa_po="",C334=pa_po),OR(pa_eq="",B334=pa_eq)),1,0)</f>
        <v>1.0</v>
      </c>
    </row>
    <row r="335">
      <c r="A335" s="51" t="n">
        <v>46311</v>
      </c>
      <c r="B335" s="52" t="inlineStr">
        <is>
          <t>Matin</t>
        </is>
      </c>
      <c r="C335" s="52" t="inlineStr">
        <is>
          <t>TOUR1</t>
        </is>
      </c>
      <c r="D335" s="53" t="inlineStr">
        <is>
          <t>Changement d'outil</t>
        </is>
      </c>
      <c r="E335" s="60" t="n">
        <v>10</v>
      </c>
      <c r="F335" s="53" t="n"/>
      <c r="G335" s="61" t="str">
        <f>IF(OR(COUNTA(A335:E335)=0,D335=""),"",IFERROR(INDEX(ca_fam,MATCH(D335,ca_name,0))&amp;"",""))</f>
        <v>Réglage et changement de série</v>
      </c>
      <c r="H335" s="58" t="str">
        <f>IF(OR(COUNTA(A335:E335)=0,D335=""),"",IFERROR(INDEX(ca_type,MATCH(D335,ca_name,0))&amp;"",""))</f>
        <v>Non planifié</v>
      </c>
      <c r="I335" s="58" t="str">
        <f>IF(COUNTA(A335:E335)=0,"",IF(N(A335)&lt;=0,"Date manquante ou invalide",IF(B335="","Équipe manquante",IF(ISNA(MATCH(B335,eq_code,0)),"Équipe inconnue",IF(C335="","Poste manquant",IF(ISNA(MATCH(C335,po_code,0)),"Poste inconnu",IF(D335="","Cause manquante",IF(ISNA(MATCH(D335,ca_name,0)),"Cause inconnue",IF(H335="","Cause à compléter dans Paramètres",IF(OR(NOT(ISNUMBER(E335)),N(E335)&lt;=0,N(E335)&gt;1440),"Durée invalide",IF(COUNTIFS(sj_date,A335,sj_eq,B335,sj_po,C335)=0,"Pas de saisie journalière ce jour-là","OK")))))))))))</f>
        <v>OK</v>
      </c>
      <c r="J335">
        <f>IF(OR(I335="OK",I335="Pas de saisie journalière ce jour-là"),E335,0)</f>
        <v>10.0</v>
      </c>
      <c r="K335">
        <f>IF(AND(J335&gt;0,A335&gt;=p_from,A335&lt;=p_to),1,0)</f>
        <v>1.0</v>
      </c>
      <c r="L335">
        <f>IF(AND(K335=1,OR(pa_po="",C335=pa_po),OR(pa_eq="",B335=pa_eq)),1,0)</f>
        <v>1.0</v>
      </c>
    </row>
    <row r="336">
      <c r="A336" s="51" t="n">
        <v>46311</v>
      </c>
      <c r="B336" s="52" t="inlineStr">
        <is>
          <t>Après-midi</t>
        </is>
      </c>
      <c r="C336" s="52" t="inlineStr">
        <is>
          <t>TOUR1</t>
        </is>
      </c>
      <c r="D336" s="53" t="inlineStr">
        <is>
          <t>Changement de série</t>
        </is>
      </c>
      <c r="E336" s="60" t="n">
        <v>59</v>
      </c>
      <c r="F336" s="53" t="n"/>
      <c r="G336" s="61" t="str">
        <f>IF(OR(COUNTA(A336:E336)=0,D336=""),"",IFERROR(INDEX(ca_fam,MATCH(D336,ca_name,0))&amp;"",""))</f>
        <v>Réglage et changement de série</v>
      </c>
      <c r="H336" s="58" t="str">
        <f>IF(OR(COUNTA(A336:E336)=0,D336=""),"",IFERROR(INDEX(ca_type,MATCH(D336,ca_name,0))&amp;"",""))</f>
        <v>Non planifié</v>
      </c>
      <c r="I336" s="58" t="str">
        <f>IF(COUNTA(A336:E336)=0,"",IF(N(A336)&lt;=0,"Date manquante ou invalide",IF(B336="","Équipe manquante",IF(ISNA(MATCH(B336,eq_code,0)),"Équipe inconnue",IF(C336="","Poste manquant",IF(ISNA(MATCH(C336,po_code,0)),"Poste inconnu",IF(D336="","Cause manquante",IF(ISNA(MATCH(D336,ca_name,0)),"Cause inconnue",IF(H336="","Cause à compléter dans Paramètres",IF(OR(NOT(ISNUMBER(E336)),N(E336)&lt;=0,N(E336)&gt;1440),"Durée invalide",IF(COUNTIFS(sj_date,A336,sj_eq,B336,sj_po,C336)=0,"Pas de saisie journalière ce jour-là","OK")))))))))))</f>
        <v>OK</v>
      </c>
      <c r="J336">
        <f>IF(OR(I336="OK",I336="Pas de saisie journalière ce jour-là"),E336,0)</f>
        <v>59.0</v>
      </c>
      <c r="K336">
        <f>IF(AND(J336&gt;0,A336&gt;=p_from,A336&lt;=p_to),1,0)</f>
        <v>1.0</v>
      </c>
      <c r="L336">
        <f>IF(AND(K336=1,OR(pa_po="",C336=pa_po),OR(pa_eq="",B336=pa_eq)),1,0)</f>
        <v>1.0</v>
      </c>
    </row>
    <row r="337">
      <c r="A337" s="51" t="n">
        <v>46311</v>
      </c>
      <c r="B337" s="52" t="inlineStr">
        <is>
          <t>Matin</t>
        </is>
      </c>
      <c r="C337" s="52" t="inlineStr">
        <is>
          <t>TOUR2</t>
        </is>
      </c>
      <c r="D337" s="53" t="inlineStr">
        <is>
          <t>Attente programme ou consignes</t>
        </is>
      </c>
      <c r="E337" s="60" t="n">
        <v>25</v>
      </c>
      <c r="F337" s="53" t="n"/>
      <c r="G337" s="61" t="str">
        <f>IF(OR(COUNTA(A337:E337)=0,D337=""),"",IFERROR(INDEX(ca_fam,MATCH(D337,ca_name,0))&amp;"",""))</f>
        <v>Organisation</v>
      </c>
      <c r="H337" s="58" t="str">
        <f>IF(OR(COUNTA(A337:E337)=0,D337=""),"",IFERROR(INDEX(ca_type,MATCH(D337,ca_name,0))&amp;"",""))</f>
        <v>Non planifié</v>
      </c>
      <c r="I337" s="58" t="str">
        <f>IF(COUNTA(A337:E337)=0,"",IF(N(A337)&lt;=0,"Date manquante ou invalide",IF(B337="","Équipe manquante",IF(ISNA(MATCH(B337,eq_code,0)),"Équipe inconnue",IF(C337="","Poste manquant",IF(ISNA(MATCH(C337,po_code,0)),"Poste inconnu",IF(D337="","Cause manquante",IF(ISNA(MATCH(D337,ca_name,0)),"Cause inconnue",IF(H337="","Cause à compléter dans Paramètres",IF(OR(NOT(ISNUMBER(E337)),N(E337)&lt;=0,N(E337)&gt;1440),"Durée invalide",IF(COUNTIFS(sj_date,A337,sj_eq,B337,sj_po,C337)=0,"Pas de saisie journalière ce jour-là","OK")))))))))))</f>
        <v>OK</v>
      </c>
      <c r="J337">
        <f>IF(OR(I337="OK",I337="Pas de saisie journalière ce jour-là"),E337,0)</f>
        <v>25.0</v>
      </c>
      <c r="K337">
        <f>IF(AND(J337&gt;0,A337&gt;=p_from,A337&lt;=p_to),1,0)</f>
        <v>1.0</v>
      </c>
      <c r="L337">
        <f>IF(AND(K337=1,OR(pa_po="",C337=pa_po),OR(pa_eq="",B337=pa_eq)),1,0)</f>
        <v>1.0</v>
      </c>
    </row>
    <row r="338">
      <c r="A338" s="51" t="n">
        <v>46311</v>
      </c>
      <c r="B338" s="52" t="inlineStr">
        <is>
          <t>Matin</t>
        </is>
      </c>
      <c r="C338" s="52" t="inlineStr">
        <is>
          <t>TOUR2</t>
        </is>
      </c>
      <c r="D338" s="53" t="inlineStr">
        <is>
          <t>Panne mécanique</t>
        </is>
      </c>
      <c r="E338" s="60" t="n">
        <v>130</v>
      </c>
      <c r="F338" s="53" t="n"/>
      <c r="G338" s="61" t="str">
        <f>IF(OR(COUNTA(A338:E338)=0,D338=""),"",IFERROR(INDEX(ca_fam,MATCH(D338,ca_name,0))&amp;"",""))</f>
        <v>Panne</v>
      </c>
      <c r="H338" s="58" t="str">
        <f>IF(OR(COUNTA(A338:E338)=0,D338=""),"",IFERROR(INDEX(ca_type,MATCH(D338,ca_name,0))&amp;"",""))</f>
        <v>Non planifié</v>
      </c>
      <c r="I338" s="58" t="str">
        <f>IF(COUNTA(A338:E338)=0,"",IF(N(A338)&lt;=0,"Date manquante ou invalide",IF(B338="","Équipe manquante",IF(ISNA(MATCH(B338,eq_code,0)),"Équipe inconnue",IF(C338="","Poste manquant",IF(ISNA(MATCH(C338,po_code,0)),"Poste inconnu",IF(D338="","Cause manquante",IF(ISNA(MATCH(D338,ca_name,0)),"Cause inconnue",IF(H338="","Cause à compléter dans Paramètres",IF(OR(NOT(ISNUMBER(E338)),N(E338)&lt;=0,N(E338)&gt;1440),"Durée invalide",IF(COUNTIFS(sj_date,A338,sj_eq,B338,sj_po,C338)=0,"Pas de saisie journalière ce jour-là","OK")))))))))))</f>
        <v>OK</v>
      </c>
      <c r="J338">
        <f>IF(OR(I338="OK",I338="Pas de saisie journalière ce jour-là"),E338,0)</f>
        <v>130.0</v>
      </c>
      <c r="K338">
        <f>IF(AND(J338&gt;0,A338&gt;=p_from,A338&lt;=p_to),1,0)</f>
        <v>1.0</v>
      </c>
      <c r="L338">
        <f>IF(AND(K338=1,OR(pa_po="",C338=pa_po),OR(pa_eq="",B338=pa_eq)),1,0)</f>
        <v>1.0</v>
      </c>
    </row>
    <row r="339">
      <c r="A339" s="51" t="n">
        <v>46311</v>
      </c>
      <c r="B339" s="52" t="inlineStr">
        <is>
          <t>Matin</t>
        </is>
      </c>
      <c r="C339" s="52" t="inlineStr">
        <is>
          <t>USIN</t>
        </is>
      </c>
      <c r="D339" s="53" t="inlineStr">
        <is>
          <t>Réglage en cours de production</t>
        </is>
      </c>
      <c r="E339" s="60" t="n">
        <v>14</v>
      </c>
      <c r="F339" s="53" t="n"/>
      <c r="G339" s="61" t="str">
        <f>IF(OR(COUNTA(A339:E339)=0,D339=""),"",IFERROR(INDEX(ca_fam,MATCH(D339,ca_name,0))&amp;"",""))</f>
        <v>Réglage et changement de série</v>
      </c>
      <c r="H339" s="58" t="str">
        <f>IF(OR(COUNTA(A339:E339)=0,D339=""),"",IFERROR(INDEX(ca_type,MATCH(D339,ca_name,0))&amp;"",""))</f>
        <v>Non planifié</v>
      </c>
      <c r="I339" s="58" t="str">
        <f>IF(COUNTA(A339:E339)=0,"",IF(N(A339)&lt;=0,"Date manquante ou invalide",IF(B339="","Équipe manquante",IF(ISNA(MATCH(B339,eq_code,0)),"Équipe inconnue",IF(C339="","Poste manquant",IF(ISNA(MATCH(C339,po_code,0)),"Poste inconnu",IF(D339="","Cause manquante",IF(ISNA(MATCH(D339,ca_name,0)),"Cause inconnue",IF(H339="","Cause à compléter dans Paramètres",IF(OR(NOT(ISNUMBER(E339)),N(E339)&lt;=0,N(E339)&gt;1440),"Durée invalide",IF(COUNTIFS(sj_date,A339,sj_eq,B339,sj_po,C339)=0,"Pas de saisie journalière ce jour-là","OK")))))))))))</f>
        <v>OK</v>
      </c>
      <c r="J339">
        <f>IF(OR(I339="OK",I339="Pas de saisie journalière ce jour-là"),E339,0)</f>
        <v>14.0</v>
      </c>
      <c r="K339">
        <f>IF(AND(J339&gt;0,A339&gt;=p_from,A339&lt;=p_to),1,0)</f>
        <v>1.0</v>
      </c>
      <c r="L339">
        <f>IF(AND(K339=1,OR(pa_po="",C339=pa_po),OR(pa_eq="",B339=pa_eq)),1,0)</f>
        <v>1.0</v>
      </c>
    </row>
    <row r="340">
      <c r="A340" s="51" t="n">
        <v>46311</v>
      </c>
      <c r="B340" s="52" t="inlineStr">
        <is>
          <t>Après-midi</t>
        </is>
      </c>
      <c r="C340" s="52" t="inlineStr">
        <is>
          <t>USIN</t>
        </is>
      </c>
      <c r="D340" s="53" t="inlineStr">
        <is>
          <t>Réglage en cours de production</t>
        </is>
      </c>
      <c r="E340" s="60" t="n">
        <v>18</v>
      </c>
      <c r="F340" s="53" t="n"/>
      <c r="G340" s="61" t="str">
        <f>IF(OR(COUNTA(A340:E340)=0,D340=""),"",IFERROR(INDEX(ca_fam,MATCH(D340,ca_name,0))&amp;"",""))</f>
        <v>Réglage et changement de série</v>
      </c>
      <c r="H340" s="58" t="str">
        <f>IF(OR(COUNTA(A340:E340)=0,D340=""),"",IFERROR(INDEX(ca_type,MATCH(D340,ca_name,0))&amp;"",""))</f>
        <v>Non planifié</v>
      </c>
      <c r="I340" s="58" t="str">
        <f>IF(COUNTA(A340:E340)=0,"",IF(N(A340)&lt;=0,"Date manquante ou invalide",IF(B340="","Équipe manquante",IF(ISNA(MATCH(B340,eq_code,0)),"Équipe inconnue",IF(C340="","Poste manquant",IF(ISNA(MATCH(C340,po_code,0)),"Poste inconnu",IF(D340="","Cause manquante",IF(ISNA(MATCH(D340,ca_name,0)),"Cause inconnue",IF(H340="","Cause à compléter dans Paramètres",IF(OR(NOT(ISNUMBER(E340)),N(E340)&lt;=0,N(E340)&gt;1440),"Durée invalide",IF(COUNTIFS(sj_date,A340,sj_eq,B340,sj_po,C340)=0,"Pas de saisie journalière ce jour-là","OK")))))))))))</f>
        <v>OK</v>
      </c>
      <c r="J340">
        <f>IF(OR(I340="OK",I340="Pas de saisie journalière ce jour-là"),E340,0)</f>
        <v>18.0</v>
      </c>
      <c r="K340">
        <f>IF(AND(J340&gt;0,A340&gt;=p_from,A340&lt;=p_to),1,0)</f>
        <v>1.0</v>
      </c>
      <c r="L340">
        <f>IF(AND(K340=1,OR(pa_po="",C340=pa_po),OR(pa_eq="",B340=pa_eq)),1,0)</f>
        <v>1.0</v>
      </c>
    </row>
    <row r="341">
      <c r="A341" s="51" t="n">
        <v>46311</v>
      </c>
      <c r="B341" s="52" t="inlineStr">
        <is>
          <t>Après-midi</t>
        </is>
      </c>
      <c r="C341" s="52" t="inlineStr">
        <is>
          <t>USIN</t>
        </is>
      </c>
      <c r="D341" s="53" t="inlineStr">
        <is>
          <t>Changement de série</t>
        </is>
      </c>
      <c r="E341" s="60" t="n">
        <v>51</v>
      </c>
      <c r="F341" s="53" t="n"/>
      <c r="G341" s="61" t="str">
        <f>IF(OR(COUNTA(A341:E341)=0,D341=""),"",IFERROR(INDEX(ca_fam,MATCH(D341,ca_name,0))&amp;"",""))</f>
        <v>Réglage et changement de série</v>
      </c>
      <c r="H341" s="58" t="str">
        <f>IF(OR(COUNTA(A341:E341)=0,D341=""),"",IFERROR(INDEX(ca_type,MATCH(D341,ca_name,0))&amp;"",""))</f>
        <v>Non planifié</v>
      </c>
      <c r="I341" s="58" t="str">
        <f>IF(COUNTA(A341:E341)=0,"",IF(N(A341)&lt;=0,"Date manquante ou invalide",IF(B341="","Équipe manquante",IF(ISNA(MATCH(B341,eq_code,0)),"Équipe inconnue",IF(C341="","Poste manquant",IF(ISNA(MATCH(C341,po_code,0)),"Poste inconnu",IF(D341="","Cause manquante",IF(ISNA(MATCH(D341,ca_name,0)),"Cause inconnue",IF(H341="","Cause à compléter dans Paramètres",IF(OR(NOT(ISNUMBER(E341)),N(E341)&lt;=0,N(E341)&gt;1440),"Durée invalide",IF(COUNTIFS(sj_date,A341,sj_eq,B341,sj_po,C341)=0,"Pas de saisie journalière ce jour-là","OK")))))))))))</f>
        <v>OK</v>
      </c>
      <c r="J341">
        <f>IF(OR(I341="OK",I341="Pas de saisie journalière ce jour-là"),E341,0)</f>
        <v>51.0</v>
      </c>
      <c r="K341">
        <f>IF(AND(J341&gt;0,A341&gt;=p_from,A341&lt;=p_to),1,0)</f>
        <v>1.0</v>
      </c>
      <c r="L341">
        <f>IF(AND(K341=1,OR(pa_po="",C341=pa_po),OR(pa_eq="",B341=pa_eq)),1,0)</f>
        <v>1.0</v>
      </c>
    </row>
    <row r="342">
      <c r="A342" s="51" t="n">
        <v>46311</v>
      </c>
      <c r="B342" s="52" t="inlineStr">
        <is>
          <t>Après-midi</t>
        </is>
      </c>
      <c r="C342" s="52" t="inlineStr">
        <is>
          <t>USIN</t>
        </is>
      </c>
      <c r="D342" s="53" t="inlineStr">
        <is>
          <t>Réglage en cours de production</t>
        </is>
      </c>
      <c r="E342" s="60" t="n">
        <v>10</v>
      </c>
      <c r="F342" s="53" t="n"/>
      <c r="G342" s="61" t="str">
        <f>IF(OR(COUNTA(A342:E342)=0,D342=""),"",IFERROR(INDEX(ca_fam,MATCH(D342,ca_name,0))&amp;"",""))</f>
        <v>Réglage et changement de série</v>
      </c>
      <c r="H342" s="58" t="str">
        <f>IF(OR(COUNTA(A342:E342)=0,D342=""),"",IFERROR(INDEX(ca_type,MATCH(D342,ca_name,0))&amp;"",""))</f>
        <v>Non planifié</v>
      </c>
      <c r="I342" s="58" t="str">
        <f>IF(COUNTA(A342:E342)=0,"",IF(N(A342)&lt;=0,"Date manquante ou invalide",IF(B342="","Équipe manquante",IF(ISNA(MATCH(B342,eq_code,0)),"Équipe inconnue",IF(C342="","Poste manquant",IF(ISNA(MATCH(C342,po_code,0)),"Poste inconnu",IF(D342="","Cause manquante",IF(ISNA(MATCH(D342,ca_name,0)),"Cause inconnue",IF(H342="","Cause à compléter dans Paramètres",IF(OR(NOT(ISNUMBER(E342)),N(E342)&lt;=0,N(E342)&gt;1440),"Durée invalide",IF(COUNTIFS(sj_date,A342,sj_eq,B342,sj_po,C342)=0,"Pas de saisie journalière ce jour-là","OK")))))))))))</f>
        <v>OK</v>
      </c>
      <c r="J342">
        <f>IF(OR(I342="OK",I342="Pas de saisie journalière ce jour-là"),E342,0)</f>
        <v>10.0</v>
      </c>
      <c r="K342">
        <f>IF(AND(J342&gt;0,A342&gt;=p_from,A342&lt;=p_to),1,0)</f>
        <v>1.0</v>
      </c>
      <c r="L342">
        <f>IF(AND(K342=1,OR(pa_po="",C342=pa_po),OR(pa_eq="",B342=pa_eq)),1,0)</f>
        <v>1.0</v>
      </c>
    </row>
    <row r="343">
      <c r="A343" s="51" t="n">
        <v>46311</v>
      </c>
      <c r="B343" s="52" t="inlineStr">
        <is>
          <t>Journée</t>
        </is>
      </c>
      <c r="C343" s="52" t="inlineStr">
        <is>
          <t>PLIE</t>
        </is>
      </c>
      <c r="D343" s="53" t="inlineStr">
        <is>
          <t>Attente pièces de l'opération précédente</t>
        </is>
      </c>
      <c r="E343" s="60" t="n">
        <v>21</v>
      </c>
      <c r="F343" s="53" t="n"/>
      <c r="G343" s="61" t="str">
        <f>IF(OR(COUNTA(A343:E343)=0,D343=""),"",IFERROR(INDEX(ca_fam,MATCH(D343,ca_name,0))&amp;"",""))</f>
        <v>Manque matière</v>
      </c>
      <c r="H343" s="58" t="str">
        <f>IF(OR(COUNTA(A343:E343)=0,D343=""),"",IFERROR(INDEX(ca_type,MATCH(D343,ca_name,0))&amp;"",""))</f>
        <v>Non planifié</v>
      </c>
      <c r="I343" s="58" t="str">
        <f>IF(COUNTA(A343:E343)=0,"",IF(N(A343)&lt;=0,"Date manquante ou invalide",IF(B343="","Équipe manquante",IF(ISNA(MATCH(B343,eq_code,0)),"Équipe inconnue",IF(C343="","Poste manquant",IF(ISNA(MATCH(C343,po_code,0)),"Poste inconnu",IF(D343="","Cause manquante",IF(ISNA(MATCH(D343,ca_name,0)),"Cause inconnue",IF(H343="","Cause à compléter dans Paramètres",IF(OR(NOT(ISNUMBER(E343)),N(E343)&lt;=0,N(E343)&gt;1440),"Durée invalide",IF(COUNTIFS(sj_date,A343,sj_eq,B343,sj_po,C343)=0,"Pas de saisie journalière ce jour-là","OK")))))))))))</f>
        <v>OK</v>
      </c>
      <c r="J343">
        <f>IF(OR(I343="OK",I343="Pas de saisie journalière ce jour-là"),E343,0)</f>
        <v>21.0</v>
      </c>
      <c r="K343">
        <f>IF(AND(J343&gt;0,A343&gt;=p_from,A343&lt;=p_to),1,0)</f>
        <v>1.0</v>
      </c>
      <c r="L343">
        <f>IF(AND(K343=1,OR(pa_po="",C343=pa_po),OR(pa_eq="",B343=pa_eq)),1,0)</f>
        <v>1.0</v>
      </c>
    </row>
    <row r="344">
      <c r="A344" s="51" t="n">
        <v>46311</v>
      </c>
      <c r="B344" s="52" t="inlineStr">
        <is>
          <t>Matin</t>
        </is>
      </c>
      <c r="C344" s="52" t="inlineStr">
        <is>
          <t>SOUD</t>
        </is>
      </c>
      <c r="D344" s="53" t="inlineStr">
        <is>
          <t>Attente matière</t>
        </is>
      </c>
      <c r="E344" s="60" t="n">
        <v>52</v>
      </c>
      <c r="F344" s="53" t="n"/>
      <c r="G344" s="61" t="str">
        <f>IF(OR(COUNTA(A344:E344)=0,D344=""),"",IFERROR(INDEX(ca_fam,MATCH(D344,ca_name,0))&amp;"",""))</f>
        <v>Manque matière</v>
      </c>
      <c r="H344" s="58" t="str">
        <f>IF(OR(COUNTA(A344:E344)=0,D344=""),"",IFERROR(INDEX(ca_type,MATCH(D344,ca_name,0))&amp;"",""))</f>
        <v>Non planifié</v>
      </c>
      <c r="I344" s="58" t="str">
        <f>IF(COUNTA(A344:E344)=0,"",IF(N(A344)&lt;=0,"Date manquante ou invalide",IF(B344="","Équipe manquante",IF(ISNA(MATCH(B344,eq_code,0)),"Équipe inconnue",IF(C344="","Poste manquant",IF(ISNA(MATCH(C344,po_code,0)),"Poste inconnu",IF(D344="","Cause manquante",IF(ISNA(MATCH(D344,ca_name,0)),"Cause inconnue",IF(H344="","Cause à compléter dans Paramètres",IF(OR(NOT(ISNUMBER(E344)),N(E344)&lt;=0,N(E344)&gt;1440),"Durée invalide",IF(COUNTIFS(sj_date,A344,sj_eq,B344,sj_po,C344)=0,"Pas de saisie journalière ce jour-là","OK")))))))))))</f>
        <v>OK</v>
      </c>
      <c r="J344">
        <f>IF(OR(I344="OK",I344="Pas de saisie journalière ce jour-là"),E344,0)</f>
        <v>52.0</v>
      </c>
      <c r="K344">
        <f>IF(AND(J344&gt;0,A344&gt;=p_from,A344&lt;=p_to),1,0)</f>
        <v>1.0</v>
      </c>
      <c r="L344">
        <f>IF(AND(K344=1,OR(pa_po="",C344=pa_po),OR(pa_eq="",B344=pa_eq)),1,0)</f>
        <v>1.0</v>
      </c>
    </row>
    <row r="345">
      <c r="A345" s="51" t="n">
        <v>46311</v>
      </c>
      <c r="B345" s="52" t="inlineStr">
        <is>
          <t>Matin</t>
        </is>
      </c>
      <c r="C345" s="52" t="inlineStr">
        <is>
          <t>SOUD</t>
        </is>
      </c>
      <c r="D345" s="53" t="inlineStr">
        <is>
          <t>Attente matière</t>
        </is>
      </c>
      <c r="E345" s="60" t="n">
        <v>20</v>
      </c>
      <c r="F345" s="53" t="n"/>
      <c r="G345" s="61" t="str">
        <f>IF(OR(COUNTA(A345:E345)=0,D345=""),"",IFERROR(INDEX(ca_fam,MATCH(D345,ca_name,0))&amp;"",""))</f>
        <v>Manque matière</v>
      </c>
      <c r="H345" s="58" t="str">
        <f>IF(OR(COUNTA(A345:E345)=0,D345=""),"",IFERROR(INDEX(ca_type,MATCH(D345,ca_name,0))&amp;"",""))</f>
        <v>Non planifié</v>
      </c>
      <c r="I345" s="58" t="str">
        <f>IF(COUNTA(A345:E345)=0,"",IF(N(A345)&lt;=0,"Date manquante ou invalide",IF(B345="","Équipe manquante",IF(ISNA(MATCH(B345,eq_code,0)),"Équipe inconnue",IF(C345="","Poste manquant",IF(ISNA(MATCH(C345,po_code,0)),"Poste inconnu",IF(D345="","Cause manquante",IF(ISNA(MATCH(D345,ca_name,0)),"Cause inconnue",IF(H345="","Cause à compléter dans Paramètres",IF(OR(NOT(ISNUMBER(E345)),N(E345)&lt;=0,N(E345)&gt;1440),"Durée invalide",IF(COUNTIFS(sj_date,A345,sj_eq,B345,sj_po,C345)=0,"Pas de saisie journalière ce jour-là","OK")))))))))))</f>
        <v>OK</v>
      </c>
      <c r="J345">
        <f>IF(OR(I345="OK",I345="Pas de saisie journalière ce jour-là"),E345,0)</f>
        <v>20.0</v>
      </c>
      <c r="K345">
        <f>IF(AND(J345&gt;0,A345&gt;=p_from,A345&lt;=p_to),1,0)</f>
        <v>1.0</v>
      </c>
      <c r="L345">
        <f>IF(AND(K345=1,OR(pa_po="",C345=pa_po),OR(pa_eq="",B345=pa_eq)),1,0)</f>
        <v>1.0</v>
      </c>
    </row>
    <row r="346">
      <c r="A346" s="51" t="n">
        <v>46311</v>
      </c>
      <c r="B346" s="52" t="inlineStr">
        <is>
          <t>Après-midi</t>
        </is>
      </c>
      <c r="C346" s="52" t="inlineStr">
        <is>
          <t>SOUD</t>
        </is>
      </c>
      <c r="D346" s="53" t="inlineStr">
        <is>
          <t>Changement de série</t>
        </is>
      </c>
      <c r="E346" s="60" t="n">
        <v>69</v>
      </c>
      <c r="F346" s="53" t="n"/>
      <c r="G346" s="61" t="str">
        <f>IF(OR(COUNTA(A346:E346)=0,D346=""),"",IFERROR(INDEX(ca_fam,MATCH(D346,ca_name,0))&amp;"",""))</f>
        <v>Réglage et changement de série</v>
      </c>
      <c r="H346" s="58" t="str">
        <f>IF(OR(COUNTA(A346:E346)=0,D346=""),"",IFERROR(INDEX(ca_type,MATCH(D346,ca_name,0))&amp;"",""))</f>
        <v>Non planifié</v>
      </c>
      <c r="I346" s="58" t="str">
        <f>IF(COUNTA(A346:E346)=0,"",IF(N(A346)&lt;=0,"Date manquante ou invalide",IF(B346="","Équipe manquante",IF(ISNA(MATCH(B346,eq_code,0)),"Équipe inconnue",IF(C346="","Poste manquant",IF(ISNA(MATCH(C346,po_code,0)),"Poste inconnu",IF(D346="","Cause manquante",IF(ISNA(MATCH(D346,ca_name,0)),"Cause inconnue",IF(H346="","Cause à compléter dans Paramètres",IF(OR(NOT(ISNUMBER(E346)),N(E346)&lt;=0,N(E346)&gt;1440),"Durée invalide",IF(COUNTIFS(sj_date,A346,sj_eq,B346,sj_po,C346)=0,"Pas de saisie journalière ce jour-là","OK")))))))))))</f>
        <v>OK</v>
      </c>
      <c r="J346">
        <f>IF(OR(I346="OK",I346="Pas de saisie journalière ce jour-là"),E346,0)</f>
        <v>69.0</v>
      </c>
      <c r="K346">
        <f>IF(AND(J346&gt;0,A346&gt;=p_from,A346&lt;=p_to),1,0)</f>
        <v>1.0</v>
      </c>
      <c r="L346">
        <f>IF(AND(K346=1,OR(pa_po="",C346=pa_po),OR(pa_eq="",B346=pa_eq)),1,0)</f>
        <v>1.0</v>
      </c>
    </row>
    <row r="347">
      <c r="A347" s="51" t="n">
        <v>46311</v>
      </c>
      <c r="B347" s="52" t="inlineStr">
        <is>
          <t>Après-midi</t>
        </is>
      </c>
      <c r="C347" s="52" t="inlineStr">
        <is>
          <t>SOUD</t>
        </is>
      </c>
      <c r="D347" s="53" t="inlineStr">
        <is>
          <t>Réglage en cours de production</t>
        </is>
      </c>
      <c r="E347" s="60" t="n">
        <v>19</v>
      </c>
      <c r="F347" s="53" t="n"/>
      <c r="G347" s="61" t="str">
        <f>IF(OR(COUNTA(A347:E347)=0,D347=""),"",IFERROR(INDEX(ca_fam,MATCH(D347,ca_name,0))&amp;"",""))</f>
        <v>Réglage et changement de série</v>
      </c>
      <c r="H347" s="58" t="str">
        <f>IF(OR(COUNTA(A347:E347)=0,D347=""),"",IFERROR(INDEX(ca_type,MATCH(D347,ca_name,0))&amp;"",""))</f>
        <v>Non planifié</v>
      </c>
      <c r="I347" s="58" t="str">
        <f>IF(COUNTA(A347:E347)=0,"",IF(N(A347)&lt;=0,"Date manquante ou invalide",IF(B347="","Équipe manquante",IF(ISNA(MATCH(B347,eq_code,0)),"Équipe inconnue",IF(C347="","Poste manquant",IF(ISNA(MATCH(C347,po_code,0)),"Poste inconnu",IF(D347="","Cause manquante",IF(ISNA(MATCH(D347,ca_name,0)),"Cause inconnue",IF(H347="","Cause à compléter dans Paramètres",IF(OR(NOT(ISNUMBER(E347)),N(E347)&lt;=0,N(E347)&gt;1440),"Durée invalide",IF(COUNTIFS(sj_date,A347,sj_eq,B347,sj_po,C347)=0,"Pas de saisie journalière ce jour-là","OK")))))))))))</f>
        <v>OK</v>
      </c>
      <c r="J347">
        <f>IF(OR(I347="OK",I347="Pas de saisie journalière ce jour-là"),E347,0)</f>
        <v>19.0</v>
      </c>
      <c r="K347">
        <f>IF(AND(J347&gt;0,A347&gt;=p_from,A347&lt;=p_to),1,0)</f>
        <v>1.0</v>
      </c>
      <c r="L347">
        <f>IF(AND(K347=1,OR(pa_po="",C347=pa_po),OR(pa_eq="",B347=pa_eq)),1,0)</f>
        <v>1.0</v>
      </c>
    </row>
    <row r="348">
      <c r="A348" s="51" t="n">
        <v>46311</v>
      </c>
      <c r="B348" s="52" t="inlineStr">
        <is>
          <t>Après-midi</t>
        </is>
      </c>
      <c r="C348" s="52" t="inlineStr">
        <is>
          <t>SOUD</t>
        </is>
      </c>
      <c r="D348" s="53" t="inlineStr">
        <is>
          <t>Changement de série</t>
        </is>
      </c>
      <c r="E348" s="60" t="n">
        <v>38</v>
      </c>
      <c r="F348" s="53" t="n"/>
      <c r="G348" s="61" t="str">
        <f>IF(OR(COUNTA(A348:E348)=0,D348=""),"",IFERROR(INDEX(ca_fam,MATCH(D348,ca_name,0))&amp;"",""))</f>
        <v>Réglage et changement de série</v>
      </c>
      <c r="H348" s="58" t="str">
        <f>IF(OR(COUNTA(A348:E348)=0,D348=""),"",IFERROR(INDEX(ca_type,MATCH(D348,ca_name,0))&amp;"",""))</f>
        <v>Non planifié</v>
      </c>
      <c r="I348" s="58" t="str">
        <f>IF(COUNTA(A348:E348)=0,"",IF(N(A348)&lt;=0,"Date manquante ou invalide",IF(B348="","Équipe manquante",IF(ISNA(MATCH(B348,eq_code,0)),"Équipe inconnue",IF(C348="","Poste manquant",IF(ISNA(MATCH(C348,po_code,0)),"Poste inconnu",IF(D348="","Cause manquante",IF(ISNA(MATCH(D348,ca_name,0)),"Cause inconnue",IF(H348="","Cause à compléter dans Paramètres",IF(OR(NOT(ISNUMBER(E348)),N(E348)&lt;=0,N(E348)&gt;1440),"Durée invalide",IF(COUNTIFS(sj_date,A348,sj_eq,B348,sj_po,C348)=0,"Pas de saisie journalière ce jour-là","OK")))))))))))</f>
        <v>OK</v>
      </c>
      <c r="J348">
        <f>IF(OR(I348="OK",I348="Pas de saisie journalière ce jour-là"),E348,0)</f>
        <v>38.0</v>
      </c>
      <c r="K348">
        <f>IF(AND(J348&gt;0,A348&gt;=p_from,A348&lt;=p_to),1,0)</f>
        <v>1.0</v>
      </c>
      <c r="L348">
        <f>IF(AND(K348=1,OR(pa_po="",C348=pa_po),OR(pa_eq="",B348=pa_eq)),1,0)</f>
        <v>1.0</v>
      </c>
    </row>
    <row r="349">
      <c r="A349" s="51" t="n">
        <v>46314</v>
      </c>
      <c r="B349" s="52" t="inlineStr">
        <is>
          <t>Matin</t>
        </is>
      </c>
      <c r="C349" s="52" t="inlineStr">
        <is>
          <t>TOUR1</t>
        </is>
      </c>
      <c r="D349" s="53" t="inlineStr">
        <is>
          <t>Casse outil</t>
        </is>
      </c>
      <c r="E349" s="60" t="n">
        <v>14</v>
      </c>
      <c r="F349" s="53" t="n"/>
      <c r="G349" s="61" t="str">
        <f>IF(OR(COUNTA(A349:E349)=0,D349=""),"",IFERROR(INDEX(ca_fam,MATCH(D349,ca_name,0))&amp;"",""))</f>
        <v>Panne</v>
      </c>
      <c r="H349" s="58" t="str">
        <f>IF(OR(COUNTA(A349:E349)=0,D349=""),"",IFERROR(INDEX(ca_type,MATCH(D349,ca_name,0))&amp;"",""))</f>
        <v>Non planifié</v>
      </c>
      <c r="I349" s="58" t="str">
        <f>IF(COUNTA(A349:E349)=0,"",IF(N(A349)&lt;=0,"Date manquante ou invalide",IF(B349="","Équipe manquante",IF(ISNA(MATCH(B349,eq_code,0)),"Équipe inconnue",IF(C349="","Poste manquant",IF(ISNA(MATCH(C349,po_code,0)),"Poste inconnu",IF(D349="","Cause manquante",IF(ISNA(MATCH(D349,ca_name,0)),"Cause inconnue",IF(H349="","Cause à compléter dans Paramètres",IF(OR(NOT(ISNUMBER(E349)),N(E349)&lt;=0,N(E349)&gt;1440),"Durée invalide",IF(COUNTIFS(sj_date,A349,sj_eq,B349,sj_po,C349)=0,"Pas de saisie journalière ce jour-là","OK")))))))))))</f>
        <v>OK</v>
      </c>
      <c r="J349">
        <f>IF(OR(I349="OK",I349="Pas de saisie journalière ce jour-là"),E349,0)</f>
        <v>14.0</v>
      </c>
      <c r="K349">
        <f>IF(AND(J349&gt;0,A349&gt;=p_from,A349&lt;=p_to),1,0)</f>
        <v>1.0</v>
      </c>
      <c r="L349">
        <f>IF(AND(K349=1,OR(pa_po="",C349=pa_po),OR(pa_eq="",B349=pa_eq)),1,0)</f>
        <v>1.0</v>
      </c>
    </row>
    <row r="350">
      <c r="A350" s="51" t="n">
        <v>46314</v>
      </c>
      <c r="B350" s="52" t="inlineStr">
        <is>
          <t>Après-midi</t>
        </is>
      </c>
      <c r="C350" s="52" t="inlineStr">
        <is>
          <t>TOUR1</t>
        </is>
      </c>
      <c r="D350" s="53" t="inlineStr">
        <is>
          <t>Changement de série</t>
        </is>
      </c>
      <c r="E350" s="60" t="n">
        <v>47</v>
      </c>
      <c r="F350" s="53" t="n"/>
      <c r="G350" s="61" t="str">
        <f>IF(OR(COUNTA(A350:E350)=0,D350=""),"",IFERROR(INDEX(ca_fam,MATCH(D350,ca_name,0))&amp;"",""))</f>
        <v>Réglage et changement de série</v>
      </c>
      <c r="H350" s="58" t="str">
        <f>IF(OR(COUNTA(A350:E350)=0,D350=""),"",IFERROR(INDEX(ca_type,MATCH(D350,ca_name,0))&amp;"",""))</f>
        <v>Non planifié</v>
      </c>
      <c r="I350" s="58" t="str">
        <f>IF(COUNTA(A350:E350)=0,"",IF(N(A350)&lt;=0,"Date manquante ou invalide",IF(B350="","Équipe manquante",IF(ISNA(MATCH(B350,eq_code,0)),"Équipe inconnue",IF(C350="","Poste manquant",IF(ISNA(MATCH(C350,po_code,0)),"Poste inconnu",IF(D350="","Cause manquante",IF(ISNA(MATCH(D350,ca_name,0)),"Cause inconnue",IF(H350="","Cause à compléter dans Paramètres",IF(OR(NOT(ISNUMBER(E350)),N(E350)&lt;=0,N(E350)&gt;1440),"Durée invalide",IF(COUNTIFS(sj_date,A350,sj_eq,B350,sj_po,C350)=0,"Pas de saisie journalière ce jour-là","OK")))))))))))</f>
        <v>OK</v>
      </c>
      <c r="J350">
        <f>IF(OR(I350="OK",I350="Pas de saisie journalière ce jour-là"),E350,0)</f>
        <v>47.0</v>
      </c>
      <c r="K350">
        <f>IF(AND(J350&gt;0,A350&gt;=p_from,A350&lt;=p_to),1,0)</f>
        <v>1.0</v>
      </c>
      <c r="L350">
        <f>IF(AND(K350=1,OR(pa_po="",C350=pa_po),OR(pa_eq="",B350=pa_eq)),1,0)</f>
        <v>1.0</v>
      </c>
    </row>
    <row r="351">
      <c r="A351" s="51" t="n">
        <v>46314</v>
      </c>
      <c r="B351" s="52" t="inlineStr">
        <is>
          <t>Après-midi</t>
        </is>
      </c>
      <c r="C351" s="52" t="inlineStr">
        <is>
          <t>TOUR1</t>
        </is>
      </c>
      <c r="D351" s="53" t="inlineStr">
        <is>
          <t>Attente contrôle qualité</t>
        </is>
      </c>
      <c r="E351" s="60" t="n">
        <v>15</v>
      </c>
      <c r="F351" s="53" t="n"/>
      <c r="G351" s="61" t="str">
        <f>IF(OR(COUNTA(A351:E351)=0,D351=""),"",IFERROR(INDEX(ca_fam,MATCH(D351,ca_name,0))&amp;"",""))</f>
        <v>Qualité</v>
      </c>
      <c r="H351" s="58" t="str">
        <f>IF(OR(COUNTA(A351:E351)=0,D351=""),"",IFERROR(INDEX(ca_type,MATCH(D351,ca_name,0))&amp;"",""))</f>
        <v>Non planifié</v>
      </c>
      <c r="I351" s="58" t="str">
        <f>IF(COUNTA(A351:E351)=0,"",IF(N(A351)&lt;=0,"Date manquante ou invalide",IF(B351="","Équipe manquante",IF(ISNA(MATCH(B351,eq_code,0)),"Équipe inconnue",IF(C351="","Poste manquant",IF(ISNA(MATCH(C351,po_code,0)),"Poste inconnu",IF(D351="","Cause manquante",IF(ISNA(MATCH(D351,ca_name,0)),"Cause inconnue",IF(H351="","Cause à compléter dans Paramètres",IF(OR(NOT(ISNUMBER(E351)),N(E351)&lt;=0,N(E351)&gt;1440),"Durée invalide",IF(COUNTIFS(sj_date,A351,sj_eq,B351,sj_po,C351)=0,"Pas de saisie journalière ce jour-là","OK")))))))))))</f>
        <v>OK</v>
      </c>
      <c r="J351">
        <f>IF(OR(I351="OK",I351="Pas de saisie journalière ce jour-là"),E351,0)</f>
        <v>15.0</v>
      </c>
      <c r="K351">
        <f>IF(AND(J351&gt;0,A351&gt;=p_from,A351&lt;=p_to),1,0)</f>
        <v>1.0</v>
      </c>
      <c r="L351">
        <f>IF(AND(K351=1,OR(pa_po="",C351=pa_po),OR(pa_eq="",B351=pa_eq)),1,0)</f>
        <v>1.0</v>
      </c>
    </row>
    <row r="352">
      <c r="A352" s="51" t="n">
        <v>46314</v>
      </c>
      <c r="B352" s="52" t="inlineStr">
        <is>
          <t>Matin</t>
        </is>
      </c>
      <c r="C352" s="52" t="inlineStr">
        <is>
          <t>TOUR2</t>
        </is>
      </c>
      <c r="D352" s="53" t="inlineStr">
        <is>
          <t>Opérateur sur un autre poste</t>
        </is>
      </c>
      <c r="E352" s="60" t="n">
        <v>28</v>
      </c>
      <c r="F352" s="53" t="n"/>
      <c r="G352" s="61" t="str">
        <f>IF(OR(COUNTA(A352:E352)=0,D352=""),"",IFERROR(INDEX(ca_fam,MATCH(D352,ca_name,0))&amp;"",""))</f>
        <v>Manque personnel</v>
      </c>
      <c r="H352" s="58" t="str">
        <f>IF(OR(COUNTA(A352:E352)=0,D352=""),"",IFERROR(INDEX(ca_type,MATCH(D352,ca_name,0))&amp;"",""))</f>
        <v>Non planifié</v>
      </c>
      <c r="I352" s="58" t="str">
        <f>IF(COUNTA(A352:E352)=0,"",IF(N(A352)&lt;=0,"Date manquante ou invalide",IF(B352="","Équipe manquante",IF(ISNA(MATCH(B352,eq_code,0)),"Équipe inconnue",IF(C352="","Poste manquant",IF(ISNA(MATCH(C352,po_code,0)),"Poste inconnu",IF(D352="","Cause manquante",IF(ISNA(MATCH(D352,ca_name,0)),"Cause inconnue",IF(H352="","Cause à compléter dans Paramètres",IF(OR(NOT(ISNUMBER(E352)),N(E352)&lt;=0,N(E352)&gt;1440),"Durée invalide",IF(COUNTIFS(sj_date,A352,sj_eq,B352,sj_po,C352)=0,"Pas de saisie journalière ce jour-là","OK")))))))))))</f>
        <v>OK</v>
      </c>
      <c r="J352">
        <f>IF(OR(I352="OK",I352="Pas de saisie journalière ce jour-là"),E352,0)</f>
        <v>28.0</v>
      </c>
      <c r="K352">
        <f>IF(AND(J352&gt;0,A352&gt;=p_from,A352&lt;=p_to),1,0)</f>
        <v>1.0</v>
      </c>
      <c r="L352">
        <f>IF(AND(K352=1,OR(pa_po="",C352=pa_po),OR(pa_eq="",B352=pa_eq)),1,0)</f>
        <v>1.0</v>
      </c>
    </row>
    <row r="353">
      <c r="A353" s="51" t="n">
        <v>46314</v>
      </c>
      <c r="B353" s="52" t="inlineStr">
        <is>
          <t>Après-midi</t>
        </is>
      </c>
      <c r="C353" s="52" t="inlineStr">
        <is>
          <t>TOUR2</t>
        </is>
      </c>
      <c r="D353" s="53" t="inlineStr">
        <is>
          <t>Changement de série</t>
        </is>
      </c>
      <c r="E353" s="60" t="n">
        <v>59</v>
      </c>
      <c r="F353" s="53" t="n"/>
      <c r="G353" s="61" t="str">
        <f>IF(OR(COUNTA(A353:E353)=0,D353=""),"",IFERROR(INDEX(ca_fam,MATCH(D353,ca_name,0))&amp;"",""))</f>
        <v>Réglage et changement de série</v>
      </c>
      <c r="H353" s="58" t="str">
        <f>IF(OR(COUNTA(A353:E353)=0,D353=""),"",IFERROR(INDEX(ca_type,MATCH(D353,ca_name,0))&amp;"",""))</f>
        <v>Non planifié</v>
      </c>
      <c r="I353" s="58" t="str">
        <f>IF(COUNTA(A353:E353)=0,"",IF(N(A353)&lt;=0,"Date manquante ou invalide",IF(B353="","Équipe manquante",IF(ISNA(MATCH(B353,eq_code,0)),"Équipe inconnue",IF(C353="","Poste manquant",IF(ISNA(MATCH(C353,po_code,0)),"Poste inconnu",IF(D353="","Cause manquante",IF(ISNA(MATCH(D353,ca_name,0)),"Cause inconnue",IF(H353="","Cause à compléter dans Paramètres",IF(OR(NOT(ISNUMBER(E353)),N(E353)&lt;=0,N(E353)&gt;1440),"Durée invalide",IF(COUNTIFS(sj_date,A353,sj_eq,B353,sj_po,C353)=0,"Pas de saisie journalière ce jour-là","OK")))))))))))</f>
        <v>OK</v>
      </c>
      <c r="J353">
        <f>IF(OR(I353="OK",I353="Pas de saisie journalière ce jour-là"),E353,0)</f>
        <v>59.0</v>
      </c>
      <c r="K353">
        <f>IF(AND(J353&gt;0,A353&gt;=p_from,A353&lt;=p_to),1,0)</f>
        <v>1.0</v>
      </c>
      <c r="L353">
        <f>IF(AND(K353=1,OR(pa_po="",C353=pa_po),OR(pa_eq="",B353=pa_eq)),1,0)</f>
        <v>1.0</v>
      </c>
    </row>
    <row r="354">
      <c r="A354" s="51" t="n">
        <v>46314</v>
      </c>
      <c r="B354" s="52" t="inlineStr">
        <is>
          <t>Après-midi</t>
        </is>
      </c>
      <c r="C354" s="52" t="inlineStr">
        <is>
          <t>TOUR2</t>
        </is>
      </c>
      <c r="D354" s="53" t="inlineStr">
        <is>
          <t>Changement d'outil</t>
        </is>
      </c>
      <c r="E354" s="60" t="n">
        <v>9</v>
      </c>
      <c r="F354" s="53" t="n"/>
      <c r="G354" s="61" t="str">
        <f>IF(OR(COUNTA(A354:E354)=0,D354=""),"",IFERROR(INDEX(ca_fam,MATCH(D354,ca_name,0))&amp;"",""))</f>
        <v>Réglage et changement de série</v>
      </c>
      <c r="H354" s="58" t="str">
        <f>IF(OR(COUNTA(A354:E354)=0,D354=""),"",IFERROR(INDEX(ca_type,MATCH(D354,ca_name,0))&amp;"",""))</f>
        <v>Non planifié</v>
      </c>
      <c r="I354" s="58" t="str">
        <f>IF(COUNTA(A354:E354)=0,"",IF(N(A354)&lt;=0,"Date manquante ou invalide",IF(B354="","Équipe manquante",IF(ISNA(MATCH(B354,eq_code,0)),"Équipe inconnue",IF(C354="","Poste manquant",IF(ISNA(MATCH(C354,po_code,0)),"Poste inconnu",IF(D354="","Cause manquante",IF(ISNA(MATCH(D354,ca_name,0)),"Cause inconnue",IF(H354="","Cause à compléter dans Paramètres",IF(OR(NOT(ISNUMBER(E354)),N(E354)&lt;=0,N(E354)&gt;1440),"Durée invalide",IF(COUNTIFS(sj_date,A354,sj_eq,B354,sj_po,C354)=0,"Pas de saisie journalière ce jour-là","OK")))))))))))</f>
        <v>OK</v>
      </c>
      <c r="J354">
        <f>IF(OR(I354="OK",I354="Pas de saisie journalière ce jour-là"),E354,0)</f>
        <v>9.0</v>
      </c>
      <c r="K354">
        <f>IF(AND(J354&gt;0,A354&gt;=p_from,A354&lt;=p_to),1,0)</f>
        <v>1.0</v>
      </c>
      <c r="L354">
        <f>IF(AND(K354=1,OR(pa_po="",C354=pa_po),OR(pa_eq="",B354=pa_eq)),1,0)</f>
        <v>1.0</v>
      </c>
    </row>
    <row r="355">
      <c r="A355" s="51" t="n">
        <v>46314</v>
      </c>
      <c r="B355" s="52" t="inlineStr">
        <is>
          <t>Après-midi</t>
        </is>
      </c>
      <c r="C355" s="52" t="inlineStr">
        <is>
          <t>TOUR2</t>
        </is>
      </c>
      <c r="D355" s="53" t="inlineStr">
        <is>
          <t>Réglage en cours de production</t>
        </is>
      </c>
      <c r="E355" s="60" t="n">
        <v>10</v>
      </c>
      <c r="F355" s="53" t="n"/>
      <c r="G355" s="61" t="str">
        <f>IF(OR(COUNTA(A355:E355)=0,D355=""),"",IFERROR(INDEX(ca_fam,MATCH(D355,ca_name,0))&amp;"",""))</f>
        <v>Réglage et changement de série</v>
      </c>
      <c r="H355" s="58" t="str">
        <f>IF(OR(COUNTA(A355:E355)=0,D355=""),"",IFERROR(INDEX(ca_type,MATCH(D355,ca_name,0))&amp;"",""))</f>
        <v>Non planifié</v>
      </c>
      <c r="I355" s="58" t="str">
        <f>IF(COUNTA(A355:E355)=0,"",IF(N(A355)&lt;=0,"Date manquante ou invalide",IF(B355="","Équipe manquante",IF(ISNA(MATCH(B355,eq_code,0)),"Équipe inconnue",IF(C355="","Poste manquant",IF(ISNA(MATCH(C355,po_code,0)),"Poste inconnu",IF(D355="","Cause manquante",IF(ISNA(MATCH(D355,ca_name,0)),"Cause inconnue",IF(H355="","Cause à compléter dans Paramètres",IF(OR(NOT(ISNUMBER(E355)),N(E355)&lt;=0,N(E355)&gt;1440),"Durée invalide",IF(COUNTIFS(sj_date,A355,sj_eq,B355,sj_po,C355)=0,"Pas de saisie journalière ce jour-là","OK")))))))))))</f>
        <v>OK</v>
      </c>
      <c r="J355">
        <f>IF(OR(I355="OK",I355="Pas de saisie journalière ce jour-là"),E355,0)</f>
        <v>10.0</v>
      </c>
      <c r="K355">
        <f>IF(AND(J355&gt;0,A355&gt;=p_from,A355&lt;=p_to),1,0)</f>
        <v>1.0</v>
      </c>
      <c r="L355">
        <f>IF(AND(K355=1,OR(pa_po="",C355=pa_po),OR(pa_eq="",B355=pa_eq)),1,0)</f>
        <v>1.0</v>
      </c>
    </row>
    <row r="356">
      <c r="A356" s="51" t="n">
        <v>46314</v>
      </c>
      <c r="B356" s="52" t="inlineStr">
        <is>
          <t>Matin</t>
        </is>
      </c>
      <c r="C356" s="52" t="inlineStr">
        <is>
          <t>USIN</t>
        </is>
      </c>
      <c r="D356" s="53" t="inlineStr">
        <is>
          <t>Maintenance préventive</t>
        </is>
      </c>
      <c r="E356" s="60" t="n">
        <v>60</v>
      </c>
      <c r="F356" s="53" t="n"/>
      <c r="G356" s="61" t="str">
        <f>IF(OR(COUNTA(A356:E356)=0,D356=""),"",IFERROR(INDEX(ca_fam,MATCH(D356,ca_name,0))&amp;"",""))</f>
        <v>Arrêt planifié</v>
      </c>
      <c r="H356" s="58" t="str">
        <f>IF(OR(COUNTA(A356:E356)=0,D356=""),"",IFERROR(INDEX(ca_type,MATCH(D356,ca_name,0))&amp;"",""))</f>
        <v>Planifié</v>
      </c>
      <c r="I356" s="58" t="str">
        <f>IF(COUNTA(A356:E356)=0,"",IF(N(A356)&lt;=0,"Date manquante ou invalide",IF(B356="","Équipe manquante",IF(ISNA(MATCH(B356,eq_code,0)),"Équipe inconnue",IF(C356="","Poste manquant",IF(ISNA(MATCH(C356,po_code,0)),"Poste inconnu",IF(D356="","Cause manquante",IF(ISNA(MATCH(D356,ca_name,0)),"Cause inconnue",IF(H356="","Cause à compléter dans Paramètres",IF(OR(NOT(ISNUMBER(E356)),N(E356)&lt;=0,N(E356)&gt;1440),"Durée invalide",IF(COUNTIFS(sj_date,A356,sj_eq,B356,sj_po,C356)=0,"Pas de saisie journalière ce jour-là","OK")))))))))))</f>
        <v>OK</v>
      </c>
      <c r="J356">
        <f>IF(OR(I356="OK",I356="Pas de saisie journalière ce jour-là"),E356,0)</f>
        <v>60.0</v>
      </c>
      <c r="K356">
        <f>IF(AND(J356&gt;0,A356&gt;=p_from,A356&lt;=p_to),1,0)</f>
        <v>1.0</v>
      </c>
      <c r="L356">
        <f>IF(AND(K356=1,OR(pa_po="",C356=pa_po),OR(pa_eq="",B356=pa_eq)),1,0)</f>
        <v>1.0</v>
      </c>
    </row>
    <row r="357">
      <c r="A357" s="51" t="n">
        <v>46314</v>
      </c>
      <c r="B357" s="52" t="inlineStr">
        <is>
          <t>Matin</t>
        </is>
      </c>
      <c r="C357" s="52" t="inlineStr">
        <is>
          <t>USIN</t>
        </is>
      </c>
      <c r="D357" s="53" t="inlineStr">
        <is>
          <t>Réglage en cours de production</t>
        </is>
      </c>
      <c r="E357" s="60" t="n">
        <v>13</v>
      </c>
      <c r="F357" s="53" t="n"/>
      <c r="G357" s="61" t="str">
        <f>IF(OR(COUNTA(A357:E357)=0,D357=""),"",IFERROR(INDEX(ca_fam,MATCH(D357,ca_name,0))&amp;"",""))</f>
        <v>Réglage et changement de série</v>
      </c>
      <c r="H357" s="58" t="str">
        <f>IF(OR(COUNTA(A357:E357)=0,D357=""),"",IFERROR(INDEX(ca_type,MATCH(D357,ca_name,0))&amp;"",""))</f>
        <v>Non planifié</v>
      </c>
      <c r="I357" s="58" t="str">
        <f>IF(COUNTA(A357:E357)=0,"",IF(N(A357)&lt;=0,"Date manquante ou invalide",IF(B357="","Équipe manquante",IF(ISNA(MATCH(B357,eq_code,0)),"Équipe inconnue",IF(C357="","Poste manquant",IF(ISNA(MATCH(C357,po_code,0)),"Poste inconnu",IF(D357="","Cause manquante",IF(ISNA(MATCH(D357,ca_name,0)),"Cause inconnue",IF(H357="","Cause à compléter dans Paramètres",IF(OR(NOT(ISNUMBER(E357)),N(E357)&lt;=0,N(E357)&gt;1440),"Durée invalide",IF(COUNTIFS(sj_date,A357,sj_eq,B357,sj_po,C357)=0,"Pas de saisie journalière ce jour-là","OK")))))))))))</f>
        <v>OK</v>
      </c>
      <c r="J357">
        <f>IF(OR(I357="OK",I357="Pas de saisie journalière ce jour-là"),E357,0)</f>
        <v>13.0</v>
      </c>
      <c r="K357">
        <f>IF(AND(J357&gt;0,A357&gt;=p_from,A357&lt;=p_to),1,0)</f>
        <v>1.0</v>
      </c>
      <c r="L357">
        <f>IF(AND(K357=1,OR(pa_po="",C357=pa_po),OR(pa_eq="",B357=pa_eq)),1,0)</f>
        <v>1.0</v>
      </c>
    </row>
    <row r="358">
      <c r="A358" s="51" t="n">
        <v>46314</v>
      </c>
      <c r="B358" s="52" t="inlineStr">
        <is>
          <t>Matin</t>
        </is>
      </c>
      <c r="C358" s="52" t="inlineStr">
        <is>
          <t>USIN</t>
        </is>
      </c>
      <c r="D358" s="53" t="inlineStr">
        <is>
          <t>Changement de série</t>
        </is>
      </c>
      <c r="E358" s="60" t="n">
        <v>56</v>
      </c>
      <c r="F358" s="53" t="n"/>
      <c r="G358" s="61" t="str">
        <f>IF(OR(COUNTA(A358:E358)=0,D358=""),"",IFERROR(INDEX(ca_fam,MATCH(D358,ca_name,0))&amp;"",""))</f>
        <v>Réglage et changement de série</v>
      </c>
      <c r="H358" s="58" t="str">
        <f>IF(OR(COUNTA(A358:E358)=0,D358=""),"",IFERROR(INDEX(ca_type,MATCH(D358,ca_name,0))&amp;"",""))</f>
        <v>Non planifié</v>
      </c>
      <c r="I358" s="58" t="str">
        <f>IF(COUNTA(A358:E358)=0,"",IF(N(A358)&lt;=0,"Date manquante ou invalide",IF(B358="","Équipe manquante",IF(ISNA(MATCH(B358,eq_code,0)),"Équipe inconnue",IF(C358="","Poste manquant",IF(ISNA(MATCH(C358,po_code,0)),"Poste inconnu",IF(D358="","Cause manquante",IF(ISNA(MATCH(D358,ca_name,0)),"Cause inconnue",IF(H358="","Cause à compléter dans Paramètres",IF(OR(NOT(ISNUMBER(E358)),N(E358)&lt;=0,N(E358)&gt;1440),"Durée invalide",IF(COUNTIFS(sj_date,A358,sj_eq,B358,sj_po,C358)=0,"Pas de saisie journalière ce jour-là","OK")))))))))))</f>
        <v>OK</v>
      </c>
      <c r="J358">
        <f>IF(OR(I358="OK",I358="Pas de saisie journalière ce jour-là"),E358,0)</f>
        <v>56.0</v>
      </c>
      <c r="K358">
        <f>IF(AND(J358&gt;0,A358&gt;=p_from,A358&lt;=p_to),1,0)</f>
        <v>1.0</v>
      </c>
      <c r="L358">
        <f>IF(AND(K358=1,OR(pa_po="",C358=pa_po),OR(pa_eq="",B358=pa_eq)),1,0)</f>
        <v>1.0</v>
      </c>
    </row>
    <row r="359">
      <c r="A359" s="51" t="n">
        <v>46314</v>
      </c>
      <c r="B359" s="52" t="inlineStr">
        <is>
          <t>Matin</t>
        </is>
      </c>
      <c r="C359" s="52" t="inlineStr">
        <is>
          <t>USIN</t>
        </is>
      </c>
      <c r="D359" s="53" t="inlineStr">
        <is>
          <t>Changement de série</t>
        </is>
      </c>
      <c r="E359" s="60" t="n">
        <v>43</v>
      </c>
      <c r="F359" s="53" t="n"/>
      <c r="G359" s="61" t="str">
        <f>IF(OR(COUNTA(A359:E359)=0,D359=""),"",IFERROR(INDEX(ca_fam,MATCH(D359,ca_name,0))&amp;"",""))</f>
        <v>Réglage et changement de série</v>
      </c>
      <c r="H359" s="58" t="str">
        <f>IF(OR(COUNTA(A359:E359)=0,D359=""),"",IFERROR(INDEX(ca_type,MATCH(D359,ca_name,0))&amp;"",""))</f>
        <v>Non planifié</v>
      </c>
      <c r="I359" s="58" t="str">
        <f>IF(COUNTA(A359:E359)=0,"",IF(N(A359)&lt;=0,"Date manquante ou invalide",IF(B359="","Équipe manquante",IF(ISNA(MATCH(B359,eq_code,0)),"Équipe inconnue",IF(C359="","Poste manquant",IF(ISNA(MATCH(C359,po_code,0)),"Poste inconnu",IF(D359="","Cause manquante",IF(ISNA(MATCH(D359,ca_name,0)),"Cause inconnue",IF(H359="","Cause à compléter dans Paramètres",IF(OR(NOT(ISNUMBER(E359)),N(E359)&lt;=0,N(E359)&gt;1440),"Durée invalide",IF(COUNTIFS(sj_date,A359,sj_eq,B359,sj_po,C359)=0,"Pas de saisie journalière ce jour-là","OK")))))))))))</f>
        <v>OK</v>
      </c>
      <c r="J359">
        <f>IF(OR(I359="OK",I359="Pas de saisie journalière ce jour-là"),E359,0)</f>
        <v>43.0</v>
      </c>
      <c r="K359">
        <f>IF(AND(J359&gt;0,A359&gt;=p_from,A359&lt;=p_to),1,0)</f>
        <v>1.0</v>
      </c>
      <c r="L359">
        <f>IF(AND(K359=1,OR(pa_po="",C359=pa_po),OR(pa_eq="",B359=pa_eq)),1,0)</f>
        <v>1.0</v>
      </c>
    </row>
    <row r="360">
      <c r="A360" s="51" t="n">
        <v>46314</v>
      </c>
      <c r="B360" s="52" t="inlineStr">
        <is>
          <t>Après-midi</t>
        </is>
      </c>
      <c r="C360" s="52" t="inlineStr">
        <is>
          <t>USIN</t>
        </is>
      </c>
      <c r="D360" s="53" t="inlineStr">
        <is>
          <t>Changement de série</t>
        </is>
      </c>
      <c r="E360" s="60" t="n">
        <v>43</v>
      </c>
      <c r="F360" s="53" t="n"/>
      <c r="G360" s="61" t="str">
        <f>IF(OR(COUNTA(A360:E360)=0,D360=""),"",IFERROR(INDEX(ca_fam,MATCH(D360,ca_name,0))&amp;"",""))</f>
        <v>Réglage et changement de série</v>
      </c>
      <c r="H360" s="58" t="str">
        <f>IF(OR(COUNTA(A360:E360)=0,D360=""),"",IFERROR(INDEX(ca_type,MATCH(D360,ca_name,0))&amp;"",""))</f>
        <v>Non planifié</v>
      </c>
      <c r="I360" s="58" t="str">
        <f>IF(COUNTA(A360:E360)=0,"",IF(N(A360)&lt;=0,"Date manquante ou invalide",IF(B360="","Équipe manquante",IF(ISNA(MATCH(B360,eq_code,0)),"Équipe inconnue",IF(C360="","Poste manquant",IF(ISNA(MATCH(C360,po_code,0)),"Poste inconnu",IF(D360="","Cause manquante",IF(ISNA(MATCH(D360,ca_name,0)),"Cause inconnue",IF(H360="","Cause à compléter dans Paramètres",IF(OR(NOT(ISNUMBER(E360)),N(E360)&lt;=0,N(E360)&gt;1440),"Durée invalide",IF(COUNTIFS(sj_date,A360,sj_eq,B360,sj_po,C360)=0,"Pas de saisie journalière ce jour-là","OK")))))))))))</f>
        <v>OK</v>
      </c>
      <c r="J360">
        <f>IF(OR(I360="OK",I360="Pas de saisie journalière ce jour-là"),E360,0)</f>
        <v>43.0</v>
      </c>
      <c r="K360">
        <f>IF(AND(J360&gt;0,A360&gt;=p_from,A360&lt;=p_to),1,0)</f>
        <v>1.0</v>
      </c>
      <c r="L360">
        <f>IF(AND(K360=1,OR(pa_po="",C360=pa_po),OR(pa_eq="",B360=pa_eq)),1,0)</f>
        <v>1.0</v>
      </c>
    </row>
    <row r="361">
      <c r="A361" s="51" t="n">
        <v>46314</v>
      </c>
      <c r="B361" s="52" t="inlineStr">
        <is>
          <t>Matin</t>
        </is>
      </c>
      <c r="C361" s="52" t="inlineStr">
        <is>
          <t>PRESSE</t>
        </is>
      </c>
      <c r="D361" s="53" t="inlineStr">
        <is>
          <t>Maintenance préventive</t>
        </is>
      </c>
      <c r="E361" s="60" t="n">
        <v>60</v>
      </c>
      <c r="F361" s="53" t="n"/>
      <c r="G361" s="61" t="str">
        <f>IF(OR(COUNTA(A361:E361)=0,D361=""),"",IFERROR(INDEX(ca_fam,MATCH(D361,ca_name,0))&amp;"",""))</f>
        <v>Arrêt planifié</v>
      </c>
      <c r="H361" s="58" t="str">
        <f>IF(OR(COUNTA(A361:E361)=0,D361=""),"",IFERROR(INDEX(ca_type,MATCH(D361,ca_name,0))&amp;"",""))</f>
        <v>Planifié</v>
      </c>
      <c r="I361" s="58" t="str">
        <f>IF(COUNTA(A361:E361)=0,"",IF(N(A361)&lt;=0,"Date manquante ou invalide",IF(B361="","Équipe manquante",IF(ISNA(MATCH(B361,eq_code,0)),"Équipe inconnue",IF(C361="","Poste manquant",IF(ISNA(MATCH(C361,po_code,0)),"Poste inconnu",IF(D361="","Cause manquante",IF(ISNA(MATCH(D361,ca_name,0)),"Cause inconnue",IF(H361="","Cause à compléter dans Paramètres",IF(OR(NOT(ISNUMBER(E361)),N(E361)&lt;=0,N(E361)&gt;1440),"Durée invalide",IF(COUNTIFS(sj_date,A361,sj_eq,B361,sj_po,C361)=0,"Pas de saisie journalière ce jour-là","OK")))))))))))</f>
        <v>OK</v>
      </c>
      <c r="J361">
        <f>IF(OR(I361="OK",I361="Pas de saisie journalière ce jour-là"),E361,0)</f>
        <v>60.0</v>
      </c>
      <c r="K361">
        <f>IF(AND(J361&gt;0,A361&gt;=p_from,A361&lt;=p_to),1,0)</f>
        <v>1.0</v>
      </c>
      <c r="L361">
        <f>IF(AND(K361=1,OR(pa_po="",C361=pa_po),OR(pa_eq="",B361=pa_eq)),1,0)</f>
        <v>1.0</v>
      </c>
    </row>
    <row r="362">
      <c r="A362" s="51" t="n">
        <v>46314</v>
      </c>
      <c r="B362" s="52" t="inlineStr">
        <is>
          <t>Matin</t>
        </is>
      </c>
      <c r="C362" s="52" t="inlineStr">
        <is>
          <t>PRESSE</t>
        </is>
      </c>
      <c r="D362" s="53" t="inlineStr">
        <is>
          <t>Changement de série</t>
        </is>
      </c>
      <c r="E362" s="60" t="n">
        <v>70</v>
      </c>
      <c r="F362" s="53" t="n"/>
      <c r="G362" s="61" t="str">
        <f>IF(OR(COUNTA(A362:E362)=0,D362=""),"",IFERROR(INDEX(ca_fam,MATCH(D362,ca_name,0))&amp;"",""))</f>
        <v>Réglage et changement de série</v>
      </c>
      <c r="H362" s="58" t="str">
        <f>IF(OR(COUNTA(A362:E362)=0,D362=""),"",IFERROR(INDEX(ca_type,MATCH(D362,ca_name,0))&amp;"",""))</f>
        <v>Non planifié</v>
      </c>
      <c r="I362" s="58" t="str">
        <f>IF(COUNTA(A362:E362)=0,"",IF(N(A362)&lt;=0,"Date manquante ou invalide",IF(B362="","Équipe manquante",IF(ISNA(MATCH(B362,eq_code,0)),"Équipe inconnue",IF(C362="","Poste manquant",IF(ISNA(MATCH(C362,po_code,0)),"Poste inconnu",IF(D362="","Cause manquante",IF(ISNA(MATCH(D362,ca_name,0)),"Cause inconnue",IF(H362="","Cause à compléter dans Paramètres",IF(OR(NOT(ISNUMBER(E362)),N(E362)&lt;=0,N(E362)&gt;1440),"Durée invalide",IF(COUNTIFS(sj_date,A362,sj_eq,B362,sj_po,C362)=0,"Pas de saisie journalière ce jour-là","OK")))))))))))</f>
        <v>OK</v>
      </c>
      <c r="J362">
        <f>IF(OR(I362="OK",I362="Pas de saisie journalière ce jour-là"),E362,0)</f>
        <v>70.0</v>
      </c>
      <c r="K362">
        <f>IF(AND(J362&gt;0,A362&gt;=p_from,A362&lt;=p_to),1,0)</f>
        <v>1.0</v>
      </c>
      <c r="L362">
        <f>IF(AND(K362=1,OR(pa_po="",C362=pa_po),OR(pa_eq="",B362=pa_eq)),1,0)</f>
        <v>1.0</v>
      </c>
    </row>
    <row r="363">
      <c r="A363" s="51" t="n">
        <v>46314</v>
      </c>
      <c r="B363" s="52" t="inlineStr">
        <is>
          <t>Journée</t>
        </is>
      </c>
      <c r="C363" s="52" t="inlineStr">
        <is>
          <t>PLIE</t>
        </is>
      </c>
      <c r="D363" s="53" t="inlineStr">
        <is>
          <t>Changement de série</t>
        </is>
      </c>
      <c r="E363" s="60" t="n">
        <v>60</v>
      </c>
      <c r="F363" s="53" t="n"/>
      <c r="G363" s="61" t="str">
        <f>IF(OR(COUNTA(A363:E363)=0,D363=""),"",IFERROR(INDEX(ca_fam,MATCH(D363,ca_name,0))&amp;"",""))</f>
        <v>Réglage et changement de série</v>
      </c>
      <c r="H363" s="58" t="str">
        <f>IF(OR(COUNTA(A363:E363)=0,D363=""),"",IFERROR(INDEX(ca_type,MATCH(D363,ca_name,0))&amp;"",""))</f>
        <v>Non planifié</v>
      </c>
      <c r="I363" s="58" t="str">
        <f>IF(COUNTA(A363:E363)=0,"",IF(N(A363)&lt;=0,"Date manquante ou invalide",IF(B363="","Équipe manquante",IF(ISNA(MATCH(B363,eq_code,0)),"Équipe inconnue",IF(C363="","Poste manquant",IF(ISNA(MATCH(C363,po_code,0)),"Poste inconnu",IF(D363="","Cause manquante",IF(ISNA(MATCH(D363,ca_name,0)),"Cause inconnue",IF(H363="","Cause à compléter dans Paramètres",IF(OR(NOT(ISNUMBER(E363)),N(E363)&lt;=0,N(E363)&gt;1440),"Durée invalide",IF(COUNTIFS(sj_date,A363,sj_eq,B363,sj_po,C363)=0,"Pas de saisie journalière ce jour-là","OK")))))))))))</f>
        <v>OK</v>
      </c>
      <c r="J363">
        <f>IF(OR(I363="OK",I363="Pas de saisie journalière ce jour-là"),E363,0)</f>
        <v>60.0</v>
      </c>
      <c r="K363">
        <f>IF(AND(J363&gt;0,A363&gt;=p_from,A363&lt;=p_to),1,0)</f>
        <v>1.0</v>
      </c>
      <c r="L363">
        <f>IF(AND(K363=1,OR(pa_po="",C363=pa_po),OR(pa_eq="",B363=pa_eq)),1,0)</f>
        <v>1.0</v>
      </c>
    </row>
    <row r="364">
      <c r="A364" s="51" t="n">
        <v>46314</v>
      </c>
      <c r="B364" s="52" t="inlineStr">
        <is>
          <t>Journée</t>
        </is>
      </c>
      <c r="C364" s="52" t="inlineStr">
        <is>
          <t>PLIE</t>
        </is>
      </c>
      <c r="D364" s="53" t="inlineStr">
        <is>
          <t>Panne mécanique</t>
        </is>
      </c>
      <c r="E364" s="60" t="n">
        <v>56</v>
      </c>
      <c r="F364" s="53" t="n"/>
      <c r="G364" s="61" t="str">
        <f>IF(OR(COUNTA(A364:E364)=0,D364=""),"",IFERROR(INDEX(ca_fam,MATCH(D364,ca_name,0))&amp;"",""))</f>
        <v>Panne</v>
      </c>
      <c r="H364" s="58" t="str">
        <f>IF(OR(COUNTA(A364:E364)=0,D364=""),"",IFERROR(INDEX(ca_type,MATCH(D364,ca_name,0))&amp;"",""))</f>
        <v>Non planifié</v>
      </c>
      <c r="I364" s="58" t="str">
        <f>IF(COUNTA(A364:E364)=0,"",IF(N(A364)&lt;=0,"Date manquante ou invalide",IF(B364="","Équipe manquante",IF(ISNA(MATCH(B364,eq_code,0)),"Équipe inconnue",IF(C364="","Poste manquant",IF(ISNA(MATCH(C364,po_code,0)),"Poste inconnu",IF(D364="","Cause manquante",IF(ISNA(MATCH(D364,ca_name,0)),"Cause inconnue",IF(H364="","Cause à compléter dans Paramètres",IF(OR(NOT(ISNUMBER(E364)),N(E364)&lt;=0,N(E364)&gt;1440),"Durée invalide",IF(COUNTIFS(sj_date,A364,sj_eq,B364,sj_po,C364)=0,"Pas de saisie journalière ce jour-là","OK")))))))))))</f>
        <v>OK</v>
      </c>
      <c r="J364">
        <f>IF(OR(I364="OK",I364="Pas de saisie journalière ce jour-là"),E364,0)</f>
        <v>56.0</v>
      </c>
      <c r="K364">
        <f>IF(AND(J364&gt;0,A364&gt;=p_from,A364&lt;=p_to),1,0)</f>
        <v>1.0</v>
      </c>
      <c r="L364">
        <f>IF(AND(K364=1,OR(pa_po="",C364=pa_po),OR(pa_eq="",B364=pa_eq)),1,0)</f>
        <v>1.0</v>
      </c>
    </row>
    <row r="365">
      <c r="A365" s="51" t="n">
        <v>46314</v>
      </c>
      <c r="B365" s="52" t="inlineStr">
        <is>
          <t>Matin</t>
        </is>
      </c>
      <c r="C365" s="52" t="inlineStr">
        <is>
          <t>SOUD</t>
        </is>
      </c>
      <c r="D365" s="53" t="inlineStr">
        <is>
          <t>Attente programme ou consignes</t>
        </is>
      </c>
      <c r="E365" s="60" t="n">
        <v>11</v>
      </c>
      <c r="F365" s="53" t="n"/>
      <c r="G365" s="61" t="str">
        <f>IF(OR(COUNTA(A365:E365)=0,D365=""),"",IFERROR(INDEX(ca_fam,MATCH(D365,ca_name,0))&amp;"",""))</f>
        <v>Organisation</v>
      </c>
      <c r="H365" s="58" t="str">
        <f>IF(OR(COUNTA(A365:E365)=0,D365=""),"",IFERROR(INDEX(ca_type,MATCH(D365,ca_name,0))&amp;"",""))</f>
        <v>Non planifié</v>
      </c>
      <c r="I365" s="58" t="str">
        <f>IF(COUNTA(A365:E365)=0,"",IF(N(A365)&lt;=0,"Date manquante ou invalide",IF(B365="","Équipe manquante",IF(ISNA(MATCH(B365,eq_code,0)),"Équipe inconnue",IF(C365="","Poste manquant",IF(ISNA(MATCH(C365,po_code,0)),"Poste inconnu",IF(D365="","Cause manquante",IF(ISNA(MATCH(D365,ca_name,0)),"Cause inconnue",IF(H365="","Cause à compléter dans Paramètres",IF(OR(NOT(ISNUMBER(E365)),N(E365)&lt;=0,N(E365)&gt;1440),"Durée invalide",IF(COUNTIFS(sj_date,A365,sj_eq,B365,sj_po,C365)=0,"Pas de saisie journalière ce jour-là","OK")))))))))))</f>
        <v>OK</v>
      </c>
      <c r="J365">
        <f>IF(OR(I365="OK",I365="Pas de saisie journalière ce jour-là"),E365,0)</f>
        <v>11.0</v>
      </c>
      <c r="K365">
        <f>IF(AND(J365&gt;0,A365&gt;=p_from,A365&lt;=p_to),1,0)</f>
        <v>1.0</v>
      </c>
      <c r="L365">
        <f>IF(AND(K365=1,OR(pa_po="",C365=pa_po),OR(pa_eq="",B365=pa_eq)),1,0)</f>
        <v>1.0</v>
      </c>
    </row>
    <row r="366">
      <c r="A366" s="51" t="n">
        <v>46314</v>
      </c>
      <c r="B366" s="52" t="inlineStr">
        <is>
          <t>Matin</t>
        </is>
      </c>
      <c r="C366" s="52" t="inlineStr">
        <is>
          <t>SOUD</t>
        </is>
      </c>
      <c r="D366" s="53" t="inlineStr">
        <is>
          <t>Changement d'outil</t>
        </is>
      </c>
      <c r="E366" s="60" t="n">
        <v>19</v>
      </c>
      <c r="F366" s="53" t="n"/>
      <c r="G366" s="61" t="str">
        <f>IF(OR(COUNTA(A366:E366)=0,D366=""),"",IFERROR(INDEX(ca_fam,MATCH(D366,ca_name,0))&amp;"",""))</f>
        <v>Réglage et changement de série</v>
      </c>
      <c r="H366" s="58" t="str">
        <f>IF(OR(COUNTA(A366:E366)=0,D366=""),"",IFERROR(INDEX(ca_type,MATCH(D366,ca_name,0))&amp;"",""))</f>
        <v>Non planifié</v>
      </c>
      <c r="I366" s="58" t="str">
        <f>IF(COUNTA(A366:E366)=0,"",IF(N(A366)&lt;=0,"Date manquante ou invalide",IF(B366="","Équipe manquante",IF(ISNA(MATCH(B366,eq_code,0)),"Équipe inconnue",IF(C366="","Poste manquant",IF(ISNA(MATCH(C366,po_code,0)),"Poste inconnu",IF(D366="","Cause manquante",IF(ISNA(MATCH(D366,ca_name,0)),"Cause inconnue",IF(H366="","Cause à compléter dans Paramètres",IF(OR(NOT(ISNUMBER(E366)),N(E366)&lt;=0,N(E366)&gt;1440),"Durée invalide",IF(COUNTIFS(sj_date,A366,sj_eq,B366,sj_po,C366)=0,"Pas de saisie journalière ce jour-là","OK")))))))))))</f>
        <v>OK</v>
      </c>
      <c r="J366">
        <f>IF(OR(I366="OK",I366="Pas de saisie journalière ce jour-là"),E366,0)</f>
        <v>19.0</v>
      </c>
      <c r="K366">
        <f>IF(AND(J366&gt;0,A366&gt;=p_from,A366&lt;=p_to),1,0)</f>
        <v>1.0</v>
      </c>
      <c r="L366">
        <f>IF(AND(K366=1,OR(pa_po="",C366=pa_po),OR(pa_eq="",B366=pa_eq)),1,0)</f>
        <v>1.0</v>
      </c>
    </row>
    <row r="367">
      <c r="A367" s="51" t="n">
        <v>46314</v>
      </c>
      <c r="B367" s="52" t="inlineStr">
        <is>
          <t>Après-midi</t>
        </is>
      </c>
      <c r="C367" s="52" t="inlineStr">
        <is>
          <t>SOUD</t>
        </is>
      </c>
      <c r="D367" s="53" t="inlineStr">
        <is>
          <t>Réglage en cours de production</t>
        </is>
      </c>
      <c r="E367" s="60" t="n">
        <v>25</v>
      </c>
      <c r="F367" s="53" t="n"/>
      <c r="G367" s="61" t="str">
        <f>IF(OR(COUNTA(A367:E367)=0,D367=""),"",IFERROR(INDEX(ca_fam,MATCH(D367,ca_name,0))&amp;"",""))</f>
        <v>Réglage et changement de série</v>
      </c>
      <c r="H367" s="58" t="str">
        <f>IF(OR(COUNTA(A367:E367)=0,D367=""),"",IFERROR(INDEX(ca_type,MATCH(D367,ca_name,0))&amp;"",""))</f>
        <v>Non planifié</v>
      </c>
      <c r="I367" s="58" t="str">
        <f>IF(COUNTA(A367:E367)=0,"",IF(N(A367)&lt;=0,"Date manquante ou invalide",IF(B367="","Équipe manquante",IF(ISNA(MATCH(B367,eq_code,0)),"Équipe inconnue",IF(C367="","Poste manquant",IF(ISNA(MATCH(C367,po_code,0)),"Poste inconnu",IF(D367="","Cause manquante",IF(ISNA(MATCH(D367,ca_name,0)),"Cause inconnue",IF(H367="","Cause à compléter dans Paramètres",IF(OR(NOT(ISNUMBER(E367)),N(E367)&lt;=0,N(E367)&gt;1440),"Durée invalide",IF(COUNTIFS(sj_date,A367,sj_eq,B367,sj_po,C367)=0,"Pas de saisie journalière ce jour-là","OK")))))))))))</f>
        <v>OK</v>
      </c>
      <c r="J367">
        <f>IF(OR(I367="OK",I367="Pas de saisie journalière ce jour-là"),E367,0)</f>
        <v>25.0</v>
      </c>
      <c r="K367">
        <f>IF(AND(J367&gt;0,A367&gt;=p_from,A367&lt;=p_to),1,0)</f>
        <v>1.0</v>
      </c>
      <c r="L367">
        <f>IF(AND(K367=1,OR(pa_po="",C367=pa_po),OR(pa_eq="",B367=pa_eq)),1,0)</f>
        <v>1.0</v>
      </c>
    </row>
    <row r="368">
      <c r="A368" s="51" t="n">
        <v>46314</v>
      </c>
      <c r="B368" s="52" t="inlineStr">
        <is>
          <t>Après-midi</t>
        </is>
      </c>
      <c r="C368" s="52" t="inlineStr">
        <is>
          <t>SOUD</t>
        </is>
      </c>
      <c r="D368" s="53" t="inlineStr">
        <is>
          <t>Attente matière</t>
        </is>
      </c>
      <c r="E368" s="60" t="n">
        <v>63</v>
      </c>
      <c r="F368" s="53" t="n"/>
      <c r="G368" s="61" t="str">
        <f>IF(OR(COUNTA(A368:E368)=0,D368=""),"",IFERROR(INDEX(ca_fam,MATCH(D368,ca_name,0))&amp;"",""))</f>
        <v>Manque matière</v>
      </c>
      <c r="H368" s="58" t="str">
        <f>IF(OR(COUNTA(A368:E368)=0,D368=""),"",IFERROR(INDEX(ca_type,MATCH(D368,ca_name,0))&amp;"",""))</f>
        <v>Non planifié</v>
      </c>
      <c r="I368" s="58" t="str">
        <f>IF(COUNTA(A368:E368)=0,"",IF(N(A368)&lt;=0,"Date manquante ou invalide",IF(B368="","Équipe manquante",IF(ISNA(MATCH(B368,eq_code,0)),"Équipe inconnue",IF(C368="","Poste manquant",IF(ISNA(MATCH(C368,po_code,0)),"Poste inconnu",IF(D368="","Cause manquante",IF(ISNA(MATCH(D368,ca_name,0)),"Cause inconnue",IF(H368="","Cause à compléter dans Paramètres",IF(OR(NOT(ISNUMBER(E368)),N(E368)&lt;=0,N(E368)&gt;1440),"Durée invalide",IF(COUNTIFS(sj_date,A368,sj_eq,B368,sj_po,C368)=0,"Pas de saisie journalière ce jour-là","OK")))))))))))</f>
        <v>OK</v>
      </c>
      <c r="J368">
        <f>IF(OR(I368="OK",I368="Pas de saisie journalière ce jour-là"),E368,0)</f>
        <v>63.0</v>
      </c>
      <c r="K368">
        <f>IF(AND(J368&gt;0,A368&gt;=p_from,A368&lt;=p_to),1,0)</f>
        <v>1.0</v>
      </c>
      <c r="L368">
        <f>IF(AND(K368=1,OR(pa_po="",C368=pa_po),OR(pa_eq="",B368=pa_eq)),1,0)</f>
        <v>1.0</v>
      </c>
    </row>
    <row r="369">
      <c r="A369" s="51" t="n">
        <v>46315</v>
      </c>
      <c r="B369" s="52" t="inlineStr">
        <is>
          <t>Après-midi</t>
        </is>
      </c>
      <c r="C369" s="52" t="inlineStr">
        <is>
          <t>TOUR1</t>
        </is>
      </c>
      <c r="D369" s="53" t="inlineStr">
        <is>
          <t>Changement de série</t>
        </is>
      </c>
      <c r="E369" s="60" t="n">
        <v>30</v>
      </c>
      <c r="F369" s="53" t="n"/>
      <c r="G369" s="61" t="str">
        <f>IF(OR(COUNTA(A369:E369)=0,D369=""),"",IFERROR(INDEX(ca_fam,MATCH(D369,ca_name,0))&amp;"",""))</f>
        <v>Réglage et changement de série</v>
      </c>
      <c r="H369" s="58" t="str">
        <f>IF(OR(COUNTA(A369:E369)=0,D369=""),"",IFERROR(INDEX(ca_type,MATCH(D369,ca_name,0))&amp;"",""))</f>
        <v>Non planifié</v>
      </c>
      <c r="I369" s="58" t="str">
        <f>IF(COUNTA(A369:E369)=0,"",IF(N(A369)&lt;=0,"Date manquante ou invalide",IF(B369="","Équipe manquante",IF(ISNA(MATCH(B369,eq_code,0)),"Équipe inconnue",IF(C369="","Poste manquant",IF(ISNA(MATCH(C369,po_code,0)),"Poste inconnu",IF(D369="","Cause manquante",IF(ISNA(MATCH(D369,ca_name,0)),"Cause inconnue",IF(H369="","Cause à compléter dans Paramètres",IF(OR(NOT(ISNUMBER(E369)),N(E369)&lt;=0,N(E369)&gt;1440),"Durée invalide",IF(COUNTIFS(sj_date,A369,sj_eq,B369,sj_po,C369)=0,"Pas de saisie journalière ce jour-là","OK")))))))))))</f>
        <v>OK</v>
      </c>
      <c r="J369">
        <f>IF(OR(I369="OK",I369="Pas de saisie journalière ce jour-là"),E369,0)</f>
        <v>30.0</v>
      </c>
      <c r="K369">
        <f>IF(AND(J369&gt;0,A369&gt;=p_from,A369&lt;=p_to),1,0)</f>
        <v>1.0</v>
      </c>
      <c r="L369">
        <f>IF(AND(K369=1,OR(pa_po="",C369=pa_po),OR(pa_eq="",B369=pa_eq)),1,0)</f>
        <v>1.0</v>
      </c>
    </row>
    <row r="370">
      <c r="A370" s="51" t="n">
        <v>46315</v>
      </c>
      <c r="B370" s="52" t="inlineStr">
        <is>
          <t>Après-midi</t>
        </is>
      </c>
      <c r="C370" s="52" t="inlineStr">
        <is>
          <t>TOUR1</t>
        </is>
      </c>
      <c r="D370" s="53" t="inlineStr">
        <is>
          <t>Attente contrôle qualité</t>
        </is>
      </c>
      <c r="E370" s="60" t="n">
        <v>24</v>
      </c>
      <c r="F370" s="53" t="n"/>
      <c r="G370" s="61" t="str">
        <f>IF(OR(COUNTA(A370:E370)=0,D370=""),"",IFERROR(INDEX(ca_fam,MATCH(D370,ca_name,0))&amp;"",""))</f>
        <v>Qualité</v>
      </c>
      <c r="H370" s="58" t="str">
        <f>IF(OR(COUNTA(A370:E370)=0,D370=""),"",IFERROR(INDEX(ca_type,MATCH(D370,ca_name,0))&amp;"",""))</f>
        <v>Non planifié</v>
      </c>
      <c r="I370" s="58" t="str">
        <f>IF(COUNTA(A370:E370)=0,"",IF(N(A370)&lt;=0,"Date manquante ou invalide",IF(B370="","Équipe manquante",IF(ISNA(MATCH(B370,eq_code,0)),"Équipe inconnue",IF(C370="","Poste manquant",IF(ISNA(MATCH(C370,po_code,0)),"Poste inconnu",IF(D370="","Cause manquante",IF(ISNA(MATCH(D370,ca_name,0)),"Cause inconnue",IF(H370="","Cause à compléter dans Paramètres",IF(OR(NOT(ISNUMBER(E370)),N(E370)&lt;=0,N(E370)&gt;1440),"Durée invalide",IF(COUNTIFS(sj_date,A370,sj_eq,B370,sj_po,C370)=0,"Pas de saisie journalière ce jour-là","OK")))))))))))</f>
        <v>OK</v>
      </c>
      <c r="J370">
        <f>IF(OR(I370="OK",I370="Pas de saisie journalière ce jour-là"),E370,0)</f>
        <v>24.0</v>
      </c>
      <c r="K370">
        <f>IF(AND(J370&gt;0,A370&gt;=p_from,A370&lt;=p_to),1,0)</f>
        <v>1.0</v>
      </c>
      <c r="L370">
        <f>IF(AND(K370=1,OR(pa_po="",C370=pa_po),OR(pa_eq="",B370=pa_eq)),1,0)</f>
        <v>1.0</v>
      </c>
    </row>
    <row r="371">
      <c r="A371" s="51" t="n">
        <v>46315</v>
      </c>
      <c r="B371" s="52" t="inlineStr">
        <is>
          <t>Matin</t>
        </is>
      </c>
      <c r="C371" s="52" t="inlineStr">
        <is>
          <t>TOUR2</t>
        </is>
      </c>
      <c r="D371" s="53" t="inlineStr">
        <is>
          <t>Panne électrique</t>
        </is>
      </c>
      <c r="E371" s="60" t="n">
        <v>59</v>
      </c>
      <c r="F371" s="53" t="n"/>
      <c r="G371" s="61" t="str">
        <f>IF(OR(COUNTA(A371:E371)=0,D371=""),"",IFERROR(INDEX(ca_fam,MATCH(D371,ca_name,0))&amp;"",""))</f>
        <v>Panne</v>
      </c>
      <c r="H371" s="58" t="str">
        <f>IF(OR(COUNTA(A371:E371)=0,D371=""),"",IFERROR(INDEX(ca_type,MATCH(D371,ca_name,0))&amp;"",""))</f>
        <v>Non planifié</v>
      </c>
      <c r="I371" s="58" t="str">
        <f>IF(COUNTA(A371:E371)=0,"",IF(N(A371)&lt;=0,"Date manquante ou invalide",IF(B371="","Équipe manquante",IF(ISNA(MATCH(B371,eq_code,0)),"Équipe inconnue",IF(C371="","Poste manquant",IF(ISNA(MATCH(C371,po_code,0)),"Poste inconnu",IF(D371="","Cause manquante",IF(ISNA(MATCH(D371,ca_name,0)),"Cause inconnue",IF(H371="","Cause à compléter dans Paramètres",IF(OR(NOT(ISNUMBER(E371)),N(E371)&lt;=0,N(E371)&gt;1440),"Durée invalide",IF(COUNTIFS(sj_date,A371,sj_eq,B371,sj_po,C371)=0,"Pas de saisie journalière ce jour-là","OK")))))))))))</f>
        <v>OK</v>
      </c>
      <c r="J371">
        <f>IF(OR(I371="OK",I371="Pas de saisie journalière ce jour-là"),E371,0)</f>
        <v>59.0</v>
      </c>
      <c r="K371">
        <f>IF(AND(J371&gt;0,A371&gt;=p_from,A371&lt;=p_to),1,0)</f>
        <v>1.0</v>
      </c>
      <c r="L371">
        <f>IF(AND(K371=1,OR(pa_po="",C371=pa_po),OR(pa_eq="",B371=pa_eq)),1,0)</f>
        <v>1.0</v>
      </c>
    </row>
    <row r="372">
      <c r="A372" s="51" t="n">
        <v>46315</v>
      </c>
      <c r="B372" s="52" t="inlineStr">
        <is>
          <t>Matin</t>
        </is>
      </c>
      <c r="C372" s="52" t="inlineStr">
        <is>
          <t>TOUR2</t>
        </is>
      </c>
      <c r="D372" s="53" t="inlineStr">
        <is>
          <t>Réglage en cours de production</t>
        </is>
      </c>
      <c r="E372" s="60" t="n">
        <v>17</v>
      </c>
      <c r="F372" s="53" t="n"/>
      <c r="G372" s="61" t="str">
        <f>IF(OR(COUNTA(A372:E372)=0,D372=""),"",IFERROR(INDEX(ca_fam,MATCH(D372,ca_name,0))&amp;"",""))</f>
        <v>Réglage et changement de série</v>
      </c>
      <c r="H372" s="58" t="str">
        <f>IF(OR(COUNTA(A372:E372)=0,D372=""),"",IFERROR(INDEX(ca_type,MATCH(D372,ca_name,0))&amp;"",""))</f>
        <v>Non planifié</v>
      </c>
      <c r="I372" s="58" t="str">
        <f>IF(COUNTA(A372:E372)=0,"",IF(N(A372)&lt;=0,"Date manquante ou invalide",IF(B372="","Équipe manquante",IF(ISNA(MATCH(B372,eq_code,0)),"Équipe inconnue",IF(C372="","Poste manquant",IF(ISNA(MATCH(C372,po_code,0)),"Poste inconnu",IF(D372="","Cause manquante",IF(ISNA(MATCH(D372,ca_name,0)),"Cause inconnue",IF(H372="","Cause à compléter dans Paramètres",IF(OR(NOT(ISNUMBER(E372)),N(E372)&lt;=0,N(E372)&gt;1440),"Durée invalide",IF(COUNTIFS(sj_date,A372,sj_eq,B372,sj_po,C372)=0,"Pas de saisie journalière ce jour-là","OK")))))))))))</f>
        <v>OK</v>
      </c>
      <c r="J372">
        <f>IF(OR(I372="OK",I372="Pas de saisie journalière ce jour-là"),E372,0)</f>
        <v>17.0</v>
      </c>
      <c r="K372">
        <f>IF(AND(J372&gt;0,A372&gt;=p_from,A372&lt;=p_to),1,0)</f>
        <v>1.0</v>
      </c>
      <c r="L372">
        <f>IF(AND(K372=1,OR(pa_po="",C372=pa_po),OR(pa_eq="",B372=pa_eq)),1,0)</f>
        <v>1.0</v>
      </c>
    </row>
    <row r="373">
      <c r="A373" s="51" t="n">
        <v>46315</v>
      </c>
      <c r="B373" s="52" t="inlineStr">
        <is>
          <t>Après-midi</t>
        </is>
      </c>
      <c r="C373" s="52" t="inlineStr">
        <is>
          <t>TOUR2</t>
        </is>
      </c>
      <c r="D373" s="53" t="inlineStr">
        <is>
          <t>Changement de série</t>
        </is>
      </c>
      <c r="E373" s="60" t="n">
        <v>52</v>
      </c>
      <c r="F373" s="53" t="n"/>
      <c r="G373" s="61" t="str">
        <f>IF(OR(COUNTA(A373:E373)=0,D373=""),"",IFERROR(INDEX(ca_fam,MATCH(D373,ca_name,0))&amp;"",""))</f>
        <v>Réglage et changement de série</v>
      </c>
      <c r="H373" s="58" t="str">
        <f>IF(OR(COUNTA(A373:E373)=0,D373=""),"",IFERROR(INDEX(ca_type,MATCH(D373,ca_name,0))&amp;"",""))</f>
        <v>Non planifié</v>
      </c>
      <c r="I373" s="58" t="str">
        <f>IF(COUNTA(A373:E373)=0,"",IF(N(A373)&lt;=0,"Date manquante ou invalide",IF(B373="","Équipe manquante",IF(ISNA(MATCH(B373,eq_code,0)),"Équipe inconnue",IF(C373="","Poste manquant",IF(ISNA(MATCH(C373,po_code,0)),"Poste inconnu",IF(D373="","Cause manquante",IF(ISNA(MATCH(D373,ca_name,0)),"Cause inconnue",IF(H373="","Cause à compléter dans Paramètres",IF(OR(NOT(ISNUMBER(E373)),N(E373)&lt;=0,N(E373)&gt;1440),"Durée invalide",IF(COUNTIFS(sj_date,A373,sj_eq,B373,sj_po,C373)=0,"Pas de saisie journalière ce jour-là","OK")))))))))))</f>
        <v>OK</v>
      </c>
      <c r="J373">
        <f>IF(OR(I373="OK",I373="Pas de saisie journalière ce jour-là"),E373,0)</f>
        <v>52.0</v>
      </c>
      <c r="K373">
        <f>IF(AND(J373&gt;0,A373&gt;=p_from,A373&lt;=p_to),1,0)</f>
        <v>1.0</v>
      </c>
      <c r="L373">
        <f>IF(AND(K373=1,OR(pa_po="",C373=pa_po),OR(pa_eq="",B373=pa_eq)),1,0)</f>
        <v>1.0</v>
      </c>
    </row>
    <row r="374">
      <c r="A374" s="51" t="n">
        <v>46315</v>
      </c>
      <c r="B374" s="52" t="inlineStr">
        <is>
          <t>Après-midi</t>
        </is>
      </c>
      <c r="C374" s="52" t="inlineStr">
        <is>
          <t>TOUR2</t>
        </is>
      </c>
      <c r="D374" s="53" t="inlineStr">
        <is>
          <t>Attente pièces de l'opération précédente</t>
        </is>
      </c>
      <c r="E374" s="60" t="n">
        <v>18</v>
      </c>
      <c r="F374" s="53" t="n"/>
      <c r="G374" s="61" t="str">
        <f>IF(OR(COUNTA(A374:E374)=0,D374=""),"",IFERROR(INDEX(ca_fam,MATCH(D374,ca_name,0))&amp;"",""))</f>
        <v>Manque matière</v>
      </c>
      <c r="H374" s="58" t="str">
        <f>IF(OR(COUNTA(A374:E374)=0,D374=""),"",IFERROR(INDEX(ca_type,MATCH(D374,ca_name,0))&amp;"",""))</f>
        <v>Non planifié</v>
      </c>
      <c r="I374" s="58" t="str">
        <f>IF(COUNTA(A374:E374)=0,"",IF(N(A374)&lt;=0,"Date manquante ou invalide",IF(B374="","Équipe manquante",IF(ISNA(MATCH(B374,eq_code,0)),"Équipe inconnue",IF(C374="","Poste manquant",IF(ISNA(MATCH(C374,po_code,0)),"Poste inconnu",IF(D374="","Cause manquante",IF(ISNA(MATCH(D374,ca_name,0)),"Cause inconnue",IF(H374="","Cause à compléter dans Paramètres",IF(OR(NOT(ISNUMBER(E374)),N(E374)&lt;=0,N(E374)&gt;1440),"Durée invalide",IF(COUNTIFS(sj_date,A374,sj_eq,B374,sj_po,C374)=0,"Pas de saisie journalière ce jour-là","OK")))))))))))</f>
        <v>OK</v>
      </c>
      <c r="J374">
        <f>IF(OR(I374="OK",I374="Pas de saisie journalière ce jour-là"),E374,0)</f>
        <v>18.0</v>
      </c>
      <c r="K374">
        <f>IF(AND(J374&gt;0,A374&gt;=p_from,A374&lt;=p_to),1,0)</f>
        <v>1.0</v>
      </c>
      <c r="L374">
        <f>IF(AND(K374=1,OR(pa_po="",C374=pa_po),OR(pa_eq="",B374=pa_eq)),1,0)</f>
        <v>1.0</v>
      </c>
    </row>
    <row r="375">
      <c r="A375" s="51" t="n">
        <v>46315</v>
      </c>
      <c r="B375" s="52" t="inlineStr">
        <is>
          <t>Après-midi</t>
        </is>
      </c>
      <c r="C375" s="52" t="inlineStr">
        <is>
          <t>USIN</t>
        </is>
      </c>
      <c r="D375" s="53" t="inlineStr">
        <is>
          <t>Attente programme ou consignes</t>
        </is>
      </c>
      <c r="E375" s="60" t="n">
        <v>15</v>
      </c>
      <c r="F375" s="53" t="n"/>
      <c r="G375" s="61" t="str">
        <f>IF(OR(COUNTA(A375:E375)=0,D375=""),"",IFERROR(INDEX(ca_fam,MATCH(D375,ca_name,0))&amp;"",""))</f>
        <v>Organisation</v>
      </c>
      <c r="H375" s="58" t="str">
        <f>IF(OR(COUNTA(A375:E375)=0,D375=""),"",IFERROR(INDEX(ca_type,MATCH(D375,ca_name,0))&amp;"",""))</f>
        <v>Non planifié</v>
      </c>
      <c r="I375" s="58" t="str">
        <f>IF(COUNTA(A375:E375)=0,"",IF(N(A375)&lt;=0,"Date manquante ou invalide",IF(B375="","Équipe manquante",IF(ISNA(MATCH(B375,eq_code,0)),"Équipe inconnue",IF(C375="","Poste manquant",IF(ISNA(MATCH(C375,po_code,0)),"Poste inconnu",IF(D375="","Cause manquante",IF(ISNA(MATCH(D375,ca_name,0)),"Cause inconnue",IF(H375="","Cause à compléter dans Paramètres",IF(OR(NOT(ISNUMBER(E375)),N(E375)&lt;=0,N(E375)&gt;1440),"Durée invalide",IF(COUNTIFS(sj_date,A375,sj_eq,B375,sj_po,C375)=0,"Pas de saisie journalière ce jour-là","OK")))))))))))</f>
        <v>OK</v>
      </c>
      <c r="J375">
        <f>IF(OR(I375="OK",I375="Pas de saisie journalière ce jour-là"),E375,0)</f>
        <v>15.0</v>
      </c>
      <c r="K375">
        <f>IF(AND(J375&gt;0,A375&gt;=p_from,A375&lt;=p_to),1,0)</f>
        <v>1.0</v>
      </c>
      <c r="L375">
        <f>IF(AND(K375=1,OR(pa_po="",C375=pa_po),OR(pa_eq="",B375=pa_eq)),1,0)</f>
        <v>1.0</v>
      </c>
    </row>
    <row r="376">
      <c r="A376" s="51" t="n">
        <v>46315</v>
      </c>
      <c r="B376" s="52" t="inlineStr">
        <is>
          <t>Matin</t>
        </is>
      </c>
      <c r="C376" s="52" t="inlineStr">
        <is>
          <t>PRESSE</t>
        </is>
      </c>
      <c r="D376" s="53" t="inlineStr">
        <is>
          <t>Attente contrôle qualité</t>
        </is>
      </c>
      <c r="E376" s="60" t="n">
        <v>19</v>
      </c>
      <c r="F376" s="53" t="n"/>
      <c r="G376" s="61" t="str">
        <f>IF(OR(COUNTA(A376:E376)=0,D376=""),"",IFERROR(INDEX(ca_fam,MATCH(D376,ca_name,0))&amp;"",""))</f>
        <v>Qualité</v>
      </c>
      <c r="H376" s="58" t="str">
        <f>IF(OR(COUNTA(A376:E376)=0,D376=""),"",IFERROR(INDEX(ca_type,MATCH(D376,ca_name,0))&amp;"",""))</f>
        <v>Non planifié</v>
      </c>
      <c r="I376" s="58" t="str">
        <f>IF(COUNTA(A376:E376)=0,"",IF(N(A376)&lt;=0,"Date manquante ou invalide",IF(B376="","Équipe manquante",IF(ISNA(MATCH(B376,eq_code,0)),"Équipe inconnue",IF(C376="","Poste manquant",IF(ISNA(MATCH(C376,po_code,0)),"Poste inconnu",IF(D376="","Cause manquante",IF(ISNA(MATCH(D376,ca_name,0)),"Cause inconnue",IF(H376="","Cause à compléter dans Paramètres",IF(OR(NOT(ISNUMBER(E376)),N(E376)&lt;=0,N(E376)&gt;1440),"Durée invalide",IF(COUNTIFS(sj_date,A376,sj_eq,B376,sj_po,C376)=0,"Pas de saisie journalière ce jour-là","OK")))))))))))</f>
        <v>OK</v>
      </c>
      <c r="J376">
        <f>IF(OR(I376="OK",I376="Pas de saisie journalière ce jour-là"),E376,0)</f>
        <v>19.0</v>
      </c>
      <c r="K376">
        <f>IF(AND(J376&gt;0,A376&gt;=p_from,A376&lt;=p_to),1,0)</f>
        <v>1.0</v>
      </c>
      <c r="L376">
        <f>IF(AND(K376=1,OR(pa_po="",C376=pa_po),OR(pa_eq="",B376=pa_eq)),1,0)</f>
        <v>1.0</v>
      </c>
    </row>
    <row r="377">
      <c r="A377" s="51" t="n">
        <v>46315</v>
      </c>
      <c r="B377" s="52" t="inlineStr">
        <is>
          <t>Matin</t>
        </is>
      </c>
      <c r="C377" s="52" t="inlineStr">
        <is>
          <t>SOUD</t>
        </is>
      </c>
      <c r="D377" s="53" t="inlineStr">
        <is>
          <t>Changement de série</t>
        </is>
      </c>
      <c r="E377" s="60" t="n">
        <v>63</v>
      </c>
      <c r="F377" s="53" t="n"/>
      <c r="G377" s="61" t="str">
        <f>IF(OR(COUNTA(A377:E377)=0,D377=""),"",IFERROR(INDEX(ca_fam,MATCH(D377,ca_name,0))&amp;"",""))</f>
        <v>Réglage et changement de série</v>
      </c>
      <c r="H377" s="58" t="str">
        <f>IF(OR(COUNTA(A377:E377)=0,D377=""),"",IFERROR(INDEX(ca_type,MATCH(D377,ca_name,0))&amp;"",""))</f>
        <v>Non planifié</v>
      </c>
      <c r="I377" s="58" t="str">
        <f>IF(COUNTA(A377:E377)=0,"",IF(N(A377)&lt;=0,"Date manquante ou invalide",IF(B377="","Équipe manquante",IF(ISNA(MATCH(B377,eq_code,0)),"Équipe inconnue",IF(C377="","Poste manquant",IF(ISNA(MATCH(C377,po_code,0)),"Poste inconnu",IF(D377="","Cause manquante",IF(ISNA(MATCH(D377,ca_name,0)),"Cause inconnue",IF(H377="","Cause à compléter dans Paramètres",IF(OR(NOT(ISNUMBER(E377)),N(E377)&lt;=0,N(E377)&gt;1440),"Durée invalide",IF(COUNTIFS(sj_date,A377,sj_eq,B377,sj_po,C377)=0,"Pas de saisie journalière ce jour-là","OK")))))))))))</f>
        <v>OK</v>
      </c>
      <c r="J377">
        <f>IF(OR(I377="OK",I377="Pas de saisie journalière ce jour-là"),E377,0)</f>
        <v>63.0</v>
      </c>
      <c r="K377">
        <f>IF(AND(J377&gt;0,A377&gt;=p_from,A377&lt;=p_to),1,0)</f>
        <v>1.0</v>
      </c>
      <c r="L377">
        <f>IF(AND(K377=1,OR(pa_po="",C377=pa_po),OR(pa_eq="",B377=pa_eq)),1,0)</f>
        <v>1.0</v>
      </c>
    </row>
    <row r="378">
      <c r="A378" s="51" t="n">
        <v>46315</v>
      </c>
      <c r="B378" s="52" t="inlineStr">
        <is>
          <t>Matin</t>
        </is>
      </c>
      <c r="C378" s="52" t="inlineStr">
        <is>
          <t>SOUD</t>
        </is>
      </c>
      <c r="D378" s="53" t="inlineStr">
        <is>
          <t>Opérateur sur un autre poste</t>
        </is>
      </c>
      <c r="E378" s="60" t="n">
        <v>35</v>
      </c>
      <c r="F378" s="53" t="n"/>
      <c r="G378" s="61" t="str">
        <f>IF(OR(COUNTA(A378:E378)=0,D378=""),"",IFERROR(INDEX(ca_fam,MATCH(D378,ca_name,0))&amp;"",""))</f>
        <v>Manque personnel</v>
      </c>
      <c r="H378" s="58" t="str">
        <f>IF(OR(COUNTA(A378:E378)=0,D378=""),"",IFERROR(INDEX(ca_type,MATCH(D378,ca_name,0))&amp;"",""))</f>
        <v>Non planifié</v>
      </c>
      <c r="I378" s="58" t="str">
        <f>IF(COUNTA(A378:E378)=0,"",IF(N(A378)&lt;=0,"Date manquante ou invalide",IF(B378="","Équipe manquante",IF(ISNA(MATCH(B378,eq_code,0)),"Équipe inconnue",IF(C378="","Poste manquant",IF(ISNA(MATCH(C378,po_code,0)),"Poste inconnu",IF(D378="","Cause manquante",IF(ISNA(MATCH(D378,ca_name,0)),"Cause inconnue",IF(H378="","Cause à compléter dans Paramètres",IF(OR(NOT(ISNUMBER(E378)),N(E378)&lt;=0,N(E378)&gt;1440),"Durée invalide",IF(COUNTIFS(sj_date,A378,sj_eq,B378,sj_po,C378)=0,"Pas de saisie journalière ce jour-là","OK")))))))))))</f>
        <v>OK</v>
      </c>
      <c r="J378">
        <f>IF(OR(I378="OK",I378="Pas de saisie journalière ce jour-là"),E378,0)</f>
        <v>35.0</v>
      </c>
      <c r="K378">
        <f>IF(AND(J378&gt;0,A378&gt;=p_from,A378&lt;=p_to),1,0)</f>
        <v>1.0</v>
      </c>
      <c r="L378">
        <f>IF(AND(K378=1,OR(pa_po="",C378=pa_po),OR(pa_eq="",B378=pa_eq)),1,0)</f>
        <v>1.0</v>
      </c>
    </row>
    <row r="379">
      <c r="A379" s="51" t="n">
        <v>46315</v>
      </c>
      <c r="B379" s="52" t="inlineStr">
        <is>
          <t>Matin</t>
        </is>
      </c>
      <c r="C379" s="52" t="inlineStr">
        <is>
          <t>SOUD</t>
        </is>
      </c>
      <c r="D379" s="53" t="inlineStr">
        <is>
          <t>Changement de série</t>
        </is>
      </c>
      <c r="E379" s="60" t="n">
        <v>61</v>
      </c>
      <c r="F379" s="53" t="n"/>
      <c r="G379" s="61" t="str">
        <f>IF(OR(COUNTA(A379:E379)=0,D379=""),"",IFERROR(INDEX(ca_fam,MATCH(D379,ca_name,0))&amp;"",""))</f>
        <v>Réglage et changement de série</v>
      </c>
      <c r="H379" s="58" t="str">
        <f>IF(OR(COUNTA(A379:E379)=0,D379=""),"",IFERROR(INDEX(ca_type,MATCH(D379,ca_name,0))&amp;"",""))</f>
        <v>Non planifié</v>
      </c>
      <c r="I379" s="58" t="str">
        <f>IF(COUNTA(A379:E379)=0,"",IF(N(A379)&lt;=0,"Date manquante ou invalide",IF(B379="","Équipe manquante",IF(ISNA(MATCH(B379,eq_code,0)),"Équipe inconnue",IF(C379="","Poste manquant",IF(ISNA(MATCH(C379,po_code,0)),"Poste inconnu",IF(D379="","Cause manquante",IF(ISNA(MATCH(D379,ca_name,0)),"Cause inconnue",IF(H379="","Cause à compléter dans Paramètres",IF(OR(NOT(ISNUMBER(E379)),N(E379)&lt;=0,N(E379)&gt;1440),"Durée invalide",IF(COUNTIFS(sj_date,A379,sj_eq,B379,sj_po,C379)=0,"Pas de saisie journalière ce jour-là","OK")))))))))))</f>
        <v>OK</v>
      </c>
      <c r="J379">
        <f>IF(OR(I379="OK",I379="Pas de saisie journalière ce jour-là"),E379,0)</f>
        <v>61.0</v>
      </c>
      <c r="K379">
        <f>IF(AND(J379&gt;0,A379&gt;=p_from,A379&lt;=p_to),1,0)</f>
        <v>1.0</v>
      </c>
      <c r="L379">
        <f>IF(AND(K379=1,OR(pa_po="",C379=pa_po),OR(pa_eq="",B379=pa_eq)),1,0)</f>
        <v>1.0</v>
      </c>
    </row>
    <row r="380">
      <c r="A380" s="51" t="n">
        <v>46315</v>
      </c>
      <c r="B380" s="52" t="inlineStr">
        <is>
          <t>Matin</t>
        </is>
      </c>
      <c r="C380" s="52" t="inlineStr">
        <is>
          <t>SOUD</t>
        </is>
      </c>
      <c r="D380" s="53" t="inlineStr">
        <is>
          <t>Changement de série</t>
        </is>
      </c>
      <c r="E380" s="60" t="n">
        <v>46</v>
      </c>
      <c r="F380" s="53" t="n"/>
      <c r="G380" s="61" t="str">
        <f>IF(OR(COUNTA(A380:E380)=0,D380=""),"",IFERROR(INDEX(ca_fam,MATCH(D380,ca_name,0))&amp;"",""))</f>
        <v>Réglage et changement de série</v>
      </c>
      <c r="H380" s="58" t="str">
        <f>IF(OR(COUNTA(A380:E380)=0,D380=""),"",IFERROR(INDEX(ca_type,MATCH(D380,ca_name,0))&amp;"",""))</f>
        <v>Non planifié</v>
      </c>
      <c r="I380" s="58" t="str">
        <f>IF(COUNTA(A380:E380)=0,"",IF(N(A380)&lt;=0,"Date manquante ou invalide",IF(B380="","Équipe manquante",IF(ISNA(MATCH(B380,eq_code,0)),"Équipe inconnue",IF(C380="","Poste manquant",IF(ISNA(MATCH(C380,po_code,0)),"Poste inconnu",IF(D380="","Cause manquante",IF(ISNA(MATCH(D380,ca_name,0)),"Cause inconnue",IF(H380="","Cause à compléter dans Paramètres",IF(OR(NOT(ISNUMBER(E380)),N(E380)&lt;=0,N(E380)&gt;1440),"Durée invalide",IF(COUNTIFS(sj_date,A380,sj_eq,B380,sj_po,C380)=0,"Pas de saisie journalière ce jour-là","OK")))))))))))</f>
        <v>OK</v>
      </c>
      <c r="J380">
        <f>IF(OR(I380="OK",I380="Pas de saisie journalière ce jour-là"),E380,0)</f>
        <v>46.0</v>
      </c>
      <c r="K380">
        <f>IF(AND(J380&gt;0,A380&gt;=p_from,A380&lt;=p_to),1,0)</f>
        <v>1.0</v>
      </c>
      <c r="L380">
        <f>IF(AND(K380=1,OR(pa_po="",C380=pa_po),OR(pa_eq="",B380=pa_eq)),1,0)</f>
        <v>1.0</v>
      </c>
    </row>
    <row r="381">
      <c r="A381" s="51" t="n">
        <v>46315</v>
      </c>
      <c r="B381" s="52" t="inlineStr">
        <is>
          <t>Après-midi</t>
        </is>
      </c>
      <c r="C381" s="52" t="inlineStr">
        <is>
          <t>SOUD</t>
        </is>
      </c>
      <c r="D381" s="53" t="inlineStr">
        <is>
          <t>Changement de série</t>
        </is>
      </c>
      <c r="E381" s="60" t="n">
        <v>65</v>
      </c>
      <c r="F381" s="53" t="n"/>
      <c r="G381" s="61" t="str">
        <f>IF(OR(COUNTA(A381:E381)=0,D381=""),"",IFERROR(INDEX(ca_fam,MATCH(D381,ca_name,0))&amp;"",""))</f>
        <v>Réglage et changement de série</v>
      </c>
      <c r="H381" s="58" t="str">
        <f>IF(OR(COUNTA(A381:E381)=0,D381=""),"",IFERROR(INDEX(ca_type,MATCH(D381,ca_name,0))&amp;"",""))</f>
        <v>Non planifié</v>
      </c>
      <c r="I381" s="58" t="str">
        <f>IF(COUNTA(A381:E381)=0,"",IF(N(A381)&lt;=0,"Date manquante ou invalide",IF(B381="","Équipe manquante",IF(ISNA(MATCH(B381,eq_code,0)),"Équipe inconnue",IF(C381="","Poste manquant",IF(ISNA(MATCH(C381,po_code,0)),"Poste inconnu",IF(D381="","Cause manquante",IF(ISNA(MATCH(D381,ca_name,0)),"Cause inconnue",IF(H381="","Cause à compléter dans Paramètres",IF(OR(NOT(ISNUMBER(E381)),N(E381)&lt;=0,N(E381)&gt;1440),"Durée invalide",IF(COUNTIFS(sj_date,A381,sj_eq,B381,sj_po,C381)=0,"Pas de saisie journalière ce jour-là","OK")))))))))))</f>
        <v>OK</v>
      </c>
      <c r="J381">
        <f>IF(OR(I381="OK",I381="Pas de saisie journalière ce jour-là"),E381,0)</f>
        <v>65.0</v>
      </c>
      <c r="K381">
        <f>IF(AND(J381&gt;0,A381&gt;=p_from,A381&lt;=p_to),1,0)</f>
        <v>1.0</v>
      </c>
      <c r="L381">
        <f>IF(AND(K381=1,OR(pa_po="",C381=pa_po),OR(pa_eq="",B381=pa_eq)),1,0)</f>
        <v>1.0</v>
      </c>
    </row>
    <row r="382">
      <c r="A382" s="51" t="n">
        <v>46315</v>
      </c>
      <c r="B382" s="52" t="inlineStr">
        <is>
          <t>Après-midi</t>
        </is>
      </c>
      <c r="C382" s="52" t="inlineStr">
        <is>
          <t>SOUD</t>
        </is>
      </c>
      <c r="D382" s="53" t="inlineStr">
        <is>
          <t>Attente contrôle qualité</t>
        </is>
      </c>
      <c r="E382" s="60" t="n">
        <v>19</v>
      </c>
      <c r="F382" s="53" t="n"/>
      <c r="G382" s="61" t="str">
        <f>IF(OR(COUNTA(A382:E382)=0,D382=""),"",IFERROR(INDEX(ca_fam,MATCH(D382,ca_name,0))&amp;"",""))</f>
        <v>Qualité</v>
      </c>
      <c r="H382" s="58" t="str">
        <f>IF(OR(COUNTA(A382:E382)=0,D382=""),"",IFERROR(INDEX(ca_type,MATCH(D382,ca_name,0))&amp;"",""))</f>
        <v>Non planifié</v>
      </c>
      <c r="I382" s="58" t="str">
        <f>IF(COUNTA(A382:E382)=0,"",IF(N(A382)&lt;=0,"Date manquante ou invalide",IF(B382="","Équipe manquante",IF(ISNA(MATCH(B382,eq_code,0)),"Équipe inconnue",IF(C382="","Poste manquant",IF(ISNA(MATCH(C382,po_code,0)),"Poste inconnu",IF(D382="","Cause manquante",IF(ISNA(MATCH(D382,ca_name,0)),"Cause inconnue",IF(H382="","Cause à compléter dans Paramètres",IF(OR(NOT(ISNUMBER(E382)),N(E382)&lt;=0,N(E382)&gt;1440),"Durée invalide",IF(COUNTIFS(sj_date,A382,sj_eq,B382,sj_po,C382)=0,"Pas de saisie journalière ce jour-là","OK")))))))))))</f>
        <v>OK</v>
      </c>
      <c r="J382">
        <f>IF(OR(I382="OK",I382="Pas de saisie journalière ce jour-là"),E382,0)</f>
        <v>19.0</v>
      </c>
      <c r="K382">
        <f>IF(AND(J382&gt;0,A382&gt;=p_from,A382&lt;=p_to),1,0)</f>
        <v>1.0</v>
      </c>
      <c r="L382">
        <f>IF(AND(K382=1,OR(pa_po="",C382=pa_po),OR(pa_eq="",B382=pa_eq)),1,0)</f>
        <v>1.0</v>
      </c>
    </row>
    <row r="383">
      <c r="A383" s="51" t="n">
        <v>46316</v>
      </c>
      <c r="B383" s="52" t="inlineStr">
        <is>
          <t>Matin</t>
        </is>
      </c>
      <c r="C383" s="52" t="inlineStr">
        <is>
          <t>TOUR2</t>
        </is>
      </c>
      <c r="D383" s="53" t="inlineStr">
        <is>
          <t>Attente matière</t>
        </is>
      </c>
      <c r="E383" s="60" t="n">
        <v>15</v>
      </c>
      <c r="F383" s="53" t="n"/>
      <c r="G383" s="61" t="str">
        <f>IF(OR(COUNTA(A383:E383)=0,D383=""),"",IFERROR(INDEX(ca_fam,MATCH(D383,ca_name,0))&amp;"",""))</f>
        <v>Manque matière</v>
      </c>
      <c r="H383" s="58" t="str">
        <f>IF(OR(COUNTA(A383:E383)=0,D383=""),"",IFERROR(INDEX(ca_type,MATCH(D383,ca_name,0))&amp;"",""))</f>
        <v>Non planifié</v>
      </c>
      <c r="I383" s="58" t="str">
        <f>IF(COUNTA(A383:E383)=0,"",IF(N(A383)&lt;=0,"Date manquante ou invalide",IF(B383="","Équipe manquante",IF(ISNA(MATCH(B383,eq_code,0)),"Équipe inconnue",IF(C383="","Poste manquant",IF(ISNA(MATCH(C383,po_code,0)),"Poste inconnu",IF(D383="","Cause manquante",IF(ISNA(MATCH(D383,ca_name,0)),"Cause inconnue",IF(H383="","Cause à compléter dans Paramètres",IF(OR(NOT(ISNUMBER(E383)),N(E383)&lt;=0,N(E383)&gt;1440),"Durée invalide",IF(COUNTIFS(sj_date,A383,sj_eq,B383,sj_po,C383)=0,"Pas de saisie journalière ce jour-là","OK")))))))))))</f>
        <v>OK</v>
      </c>
      <c r="J383">
        <f>IF(OR(I383="OK",I383="Pas de saisie journalière ce jour-là"),E383,0)</f>
        <v>15.0</v>
      </c>
      <c r="K383">
        <f>IF(AND(J383&gt;0,A383&gt;=p_from,A383&lt;=p_to),1,0)</f>
        <v>1.0</v>
      </c>
      <c r="L383">
        <f>IF(AND(K383=1,OR(pa_po="",C383=pa_po),OR(pa_eq="",B383=pa_eq)),1,0)</f>
        <v>1.0</v>
      </c>
    </row>
    <row r="384">
      <c r="A384" s="51" t="n">
        <v>46316</v>
      </c>
      <c r="B384" s="52" t="inlineStr">
        <is>
          <t>Après-midi</t>
        </is>
      </c>
      <c r="C384" s="52" t="inlineStr">
        <is>
          <t>TOUR2</t>
        </is>
      </c>
      <c r="D384" s="53" t="inlineStr">
        <is>
          <t>Casse outil</t>
        </is>
      </c>
      <c r="E384" s="60" t="n">
        <v>22</v>
      </c>
      <c r="F384" s="53" t="n"/>
      <c r="G384" s="61" t="str">
        <f>IF(OR(COUNTA(A384:E384)=0,D384=""),"",IFERROR(INDEX(ca_fam,MATCH(D384,ca_name,0))&amp;"",""))</f>
        <v>Panne</v>
      </c>
      <c r="H384" s="58" t="str">
        <f>IF(OR(COUNTA(A384:E384)=0,D384=""),"",IFERROR(INDEX(ca_type,MATCH(D384,ca_name,0))&amp;"",""))</f>
        <v>Non planifié</v>
      </c>
      <c r="I384" s="58" t="str">
        <f>IF(COUNTA(A384:E384)=0,"",IF(N(A384)&lt;=0,"Date manquante ou invalide",IF(B384="","Équipe manquante",IF(ISNA(MATCH(B384,eq_code,0)),"Équipe inconnue",IF(C384="","Poste manquant",IF(ISNA(MATCH(C384,po_code,0)),"Poste inconnu",IF(D384="","Cause manquante",IF(ISNA(MATCH(D384,ca_name,0)),"Cause inconnue",IF(H384="","Cause à compléter dans Paramètres",IF(OR(NOT(ISNUMBER(E384)),N(E384)&lt;=0,N(E384)&gt;1440),"Durée invalide",IF(COUNTIFS(sj_date,A384,sj_eq,B384,sj_po,C384)=0,"Pas de saisie journalière ce jour-là","OK")))))))))))</f>
        <v>OK</v>
      </c>
      <c r="J384">
        <f>IF(OR(I384="OK",I384="Pas de saisie journalière ce jour-là"),E384,0)</f>
        <v>22.0</v>
      </c>
      <c r="K384">
        <f>IF(AND(J384&gt;0,A384&gt;=p_from,A384&lt;=p_to),1,0)</f>
        <v>1.0</v>
      </c>
      <c r="L384">
        <f>IF(AND(K384=1,OR(pa_po="",C384=pa_po),OR(pa_eq="",B384=pa_eq)),1,0)</f>
        <v>1.0</v>
      </c>
    </row>
    <row r="385">
      <c r="A385" s="51" t="n">
        <v>46316</v>
      </c>
      <c r="B385" s="52" t="inlineStr">
        <is>
          <t>Après-midi</t>
        </is>
      </c>
      <c r="C385" s="52" t="inlineStr">
        <is>
          <t>TOUR2</t>
        </is>
      </c>
      <c r="D385" s="53" t="inlineStr">
        <is>
          <t>Changement de série</t>
        </is>
      </c>
      <c r="E385" s="60" t="n">
        <v>68</v>
      </c>
      <c r="F385" s="53" t="n"/>
      <c r="G385" s="61" t="str">
        <f>IF(OR(COUNTA(A385:E385)=0,D385=""),"",IFERROR(INDEX(ca_fam,MATCH(D385,ca_name,0))&amp;"",""))</f>
        <v>Réglage et changement de série</v>
      </c>
      <c r="H385" s="58" t="str">
        <f>IF(OR(COUNTA(A385:E385)=0,D385=""),"",IFERROR(INDEX(ca_type,MATCH(D385,ca_name,0))&amp;"",""))</f>
        <v>Non planifié</v>
      </c>
      <c r="I385" s="58" t="str">
        <f>IF(COUNTA(A385:E385)=0,"",IF(N(A385)&lt;=0,"Date manquante ou invalide",IF(B385="","Équipe manquante",IF(ISNA(MATCH(B385,eq_code,0)),"Équipe inconnue",IF(C385="","Poste manquant",IF(ISNA(MATCH(C385,po_code,0)),"Poste inconnu",IF(D385="","Cause manquante",IF(ISNA(MATCH(D385,ca_name,0)),"Cause inconnue",IF(H385="","Cause à compléter dans Paramètres",IF(OR(NOT(ISNUMBER(E385)),N(E385)&lt;=0,N(E385)&gt;1440),"Durée invalide",IF(COUNTIFS(sj_date,A385,sj_eq,B385,sj_po,C385)=0,"Pas de saisie journalière ce jour-là","OK")))))))))))</f>
        <v>OK</v>
      </c>
      <c r="J385">
        <f>IF(OR(I385="OK",I385="Pas de saisie journalière ce jour-là"),E385,0)</f>
        <v>68.0</v>
      </c>
      <c r="K385">
        <f>IF(AND(J385&gt;0,A385&gt;=p_from,A385&lt;=p_to),1,0)</f>
        <v>1.0</v>
      </c>
      <c r="L385">
        <f>IF(AND(K385=1,OR(pa_po="",C385=pa_po),OR(pa_eq="",B385=pa_eq)),1,0)</f>
        <v>1.0</v>
      </c>
    </row>
    <row r="386">
      <c r="A386" s="51" t="n">
        <v>46316</v>
      </c>
      <c r="B386" s="52" t="inlineStr">
        <is>
          <t>Matin</t>
        </is>
      </c>
      <c r="C386" s="52" t="inlineStr">
        <is>
          <t>USIN</t>
        </is>
      </c>
      <c r="D386" s="53" t="inlineStr">
        <is>
          <t>Changement de série</t>
        </is>
      </c>
      <c r="E386" s="60" t="n">
        <v>48</v>
      </c>
      <c r="F386" s="53" t="n"/>
      <c r="G386" s="61" t="str">
        <f>IF(OR(COUNTA(A386:E386)=0,D386=""),"",IFERROR(INDEX(ca_fam,MATCH(D386,ca_name,0))&amp;"",""))</f>
        <v>Réglage et changement de série</v>
      </c>
      <c r="H386" s="58" t="str">
        <f>IF(OR(COUNTA(A386:E386)=0,D386=""),"",IFERROR(INDEX(ca_type,MATCH(D386,ca_name,0))&amp;"",""))</f>
        <v>Non planifié</v>
      </c>
      <c r="I386" s="58" t="str">
        <f>IF(COUNTA(A386:E386)=0,"",IF(N(A386)&lt;=0,"Date manquante ou invalide",IF(B386="","Équipe manquante",IF(ISNA(MATCH(B386,eq_code,0)),"Équipe inconnue",IF(C386="","Poste manquant",IF(ISNA(MATCH(C386,po_code,0)),"Poste inconnu",IF(D386="","Cause manquante",IF(ISNA(MATCH(D386,ca_name,0)),"Cause inconnue",IF(H386="","Cause à compléter dans Paramètres",IF(OR(NOT(ISNUMBER(E386)),N(E386)&lt;=0,N(E386)&gt;1440),"Durée invalide",IF(COUNTIFS(sj_date,A386,sj_eq,B386,sj_po,C386)=0,"Pas de saisie journalière ce jour-là","OK")))))))))))</f>
        <v>OK</v>
      </c>
      <c r="J386">
        <f>IF(OR(I386="OK",I386="Pas de saisie journalière ce jour-là"),E386,0)</f>
        <v>48.0</v>
      </c>
      <c r="K386">
        <f>IF(AND(J386&gt;0,A386&gt;=p_from,A386&lt;=p_to),1,0)</f>
        <v>1.0</v>
      </c>
      <c r="L386">
        <f>IF(AND(K386=1,OR(pa_po="",C386=pa_po),OR(pa_eq="",B386=pa_eq)),1,0)</f>
        <v>1.0</v>
      </c>
    </row>
    <row r="387">
      <c r="A387" s="51" t="n">
        <v>46316</v>
      </c>
      <c r="B387" s="52" t="inlineStr">
        <is>
          <t>Matin</t>
        </is>
      </c>
      <c r="C387" s="52" t="inlineStr">
        <is>
          <t>USIN</t>
        </is>
      </c>
      <c r="D387" s="53" t="inlineStr">
        <is>
          <t>Opérateur sur un autre poste</t>
        </is>
      </c>
      <c r="E387" s="60" t="n">
        <v>57</v>
      </c>
      <c r="F387" s="53" t="n"/>
      <c r="G387" s="61" t="str">
        <f>IF(OR(COUNTA(A387:E387)=0,D387=""),"",IFERROR(INDEX(ca_fam,MATCH(D387,ca_name,0))&amp;"",""))</f>
        <v>Manque personnel</v>
      </c>
      <c r="H387" s="58" t="str">
        <f>IF(OR(COUNTA(A387:E387)=0,D387=""),"",IFERROR(INDEX(ca_type,MATCH(D387,ca_name,0))&amp;"",""))</f>
        <v>Non planifié</v>
      </c>
      <c r="I387" s="58" t="str">
        <f>IF(COUNTA(A387:E387)=0,"",IF(N(A387)&lt;=0,"Date manquante ou invalide",IF(B387="","Équipe manquante",IF(ISNA(MATCH(B387,eq_code,0)),"Équipe inconnue",IF(C387="","Poste manquant",IF(ISNA(MATCH(C387,po_code,0)),"Poste inconnu",IF(D387="","Cause manquante",IF(ISNA(MATCH(D387,ca_name,0)),"Cause inconnue",IF(H387="","Cause à compléter dans Paramètres",IF(OR(NOT(ISNUMBER(E387)),N(E387)&lt;=0,N(E387)&gt;1440),"Durée invalide",IF(COUNTIFS(sj_date,A387,sj_eq,B387,sj_po,C387)=0,"Pas de saisie journalière ce jour-là","OK")))))))))))</f>
        <v>OK</v>
      </c>
      <c r="J387">
        <f>IF(OR(I387="OK",I387="Pas de saisie journalière ce jour-là"),E387,0)</f>
        <v>57.0</v>
      </c>
      <c r="K387">
        <f>IF(AND(J387&gt;0,A387&gt;=p_from,A387&lt;=p_to),1,0)</f>
        <v>1.0</v>
      </c>
      <c r="L387">
        <f>IF(AND(K387=1,OR(pa_po="",C387=pa_po),OR(pa_eq="",B387=pa_eq)),1,0)</f>
        <v>1.0</v>
      </c>
    </row>
    <row r="388">
      <c r="A388" s="51" t="n">
        <v>46316</v>
      </c>
      <c r="B388" s="52" t="inlineStr">
        <is>
          <t>Matin</t>
        </is>
      </c>
      <c r="C388" s="52" t="inlineStr">
        <is>
          <t>USIN</t>
        </is>
      </c>
      <c r="D388" s="53" t="inlineStr">
        <is>
          <t>Changement d'outil</t>
        </is>
      </c>
      <c r="E388" s="60" t="n">
        <v>20</v>
      </c>
      <c r="F388" s="53" t="n"/>
      <c r="G388" s="61" t="str">
        <f>IF(OR(COUNTA(A388:E388)=0,D388=""),"",IFERROR(INDEX(ca_fam,MATCH(D388,ca_name,0))&amp;"",""))</f>
        <v>Réglage et changement de série</v>
      </c>
      <c r="H388" s="58" t="str">
        <f>IF(OR(COUNTA(A388:E388)=0,D388=""),"",IFERROR(INDEX(ca_type,MATCH(D388,ca_name,0))&amp;"",""))</f>
        <v>Non planifié</v>
      </c>
      <c r="I388" s="58" t="str">
        <f>IF(COUNTA(A388:E388)=0,"",IF(N(A388)&lt;=0,"Date manquante ou invalide",IF(B388="","Équipe manquante",IF(ISNA(MATCH(B388,eq_code,0)),"Équipe inconnue",IF(C388="","Poste manquant",IF(ISNA(MATCH(C388,po_code,0)),"Poste inconnu",IF(D388="","Cause manquante",IF(ISNA(MATCH(D388,ca_name,0)),"Cause inconnue",IF(H388="","Cause à compléter dans Paramètres",IF(OR(NOT(ISNUMBER(E388)),N(E388)&lt;=0,N(E388)&gt;1440),"Durée invalide",IF(COUNTIFS(sj_date,A388,sj_eq,B388,sj_po,C388)=0,"Pas de saisie journalière ce jour-là","OK")))))))))))</f>
        <v>OK</v>
      </c>
      <c r="J388">
        <f>IF(OR(I388="OK",I388="Pas de saisie journalière ce jour-là"),E388,0)</f>
        <v>20.0</v>
      </c>
      <c r="K388">
        <f>IF(AND(J388&gt;0,A388&gt;=p_from,A388&lt;=p_to),1,0)</f>
        <v>1.0</v>
      </c>
      <c r="L388">
        <f>IF(AND(K388=1,OR(pa_po="",C388=pa_po),OR(pa_eq="",B388=pa_eq)),1,0)</f>
        <v>1.0</v>
      </c>
    </row>
    <row r="389">
      <c r="A389" s="51" t="n">
        <v>46316</v>
      </c>
      <c r="B389" s="52" t="inlineStr">
        <is>
          <t>Après-midi</t>
        </is>
      </c>
      <c r="C389" s="52" t="inlineStr">
        <is>
          <t>USIN</t>
        </is>
      </c>
      <c r="D389" s="53" t="inlineStr">
        <is>
          <t>Changement de série</t>
        </is>
      </c>
      <c r="E389" s="60" t="n">
        <v>34</v>
      </c>
      <c r="F389" s="53" t="n"/>
      <c r="G389" s="61" t="str">
        <f>IF(OR(COUNTA(A389:E389)=0,D389=""),"",IFERROR(INDEX(ca_fam,MATCH(D389,ca_name,0))&amp;"",""))</f>
        <v>Réglage et changement de série</v>
      </c>
      <c r="H389" s="58" t="str">
        <f>IF(OR(COUNTA(A389:E389)=0,D389=""),"",IFERROR(INDEX(ca_type,MATCH(D389,ca_name,0))&amp;"",""))</f>
        <v>Non planifié</v>
      </c>
      <c r="I389" s="58" t="str">
        <f>IF(COUNTA(A389:E389)=0,"",IF(N(A389)&lt;=0,"Date manquante ou invalide",IF(B389="","Équipe manquante",IF(ISNA(MATCH(B389,eq_code,0)),"Équipe inconnue",IF(C389="","Poste manquant",IF(ISNA(MATCH(C389,po_code,0)),"Poste inconnu",IF(D389="","Cause manquante",IF(ISNA(MATCH(D389,ca_name,0)),"Cause inconnue",IF(H389="","Cause à compléter dans Paramètres",IF(OR(NOT(ISNUMBER(E389)),N(E389)&lt;=0,N(E389)&gt;1440),"Durée invalide",IF(COUNTIFS(sj_date,A389,sj_eq,B389,sj_po,C389)=0,"Pas de saisie journalière ce jour-là","OK")))))))))))</f>
        <v>OK</v>
      </c>
      <c r="J389">
        <f>IF(OR(I389="OK",I389="Pas de saisie journalière ce jour-là"),E389,0)</f>
        <v>34.0</v>
      </c>
      <c r="K389">
        <f>IF(AND(J389&gt;0,A389&gt;=p_from,A389&lt;=p_to),1,0)</f>
        <v>1.0</v>
      </c>
      <c r="L389">
        <f>IF(AND(K389=1,OR(pa_po="",C389=pa_po),OR(pa_eq="",B389=pa_eq)),1,0)</f>
        <v>1.0</v>
      </c>
    </row>
    <row r="390">
      <c r="A390" s="51" t="n">
        <v>46316</v>
      </c>
      <c r="B390" s="52" t="inlineStr">
        <is>
          <t>Après-midi</t>
        </is>
      </c>
      <c r="C390" s="52" t="inlineStr">
        <is>
          <t>USIN</t>
        </is>
      </c>
      <c r="D390" s="53" t="inlineStr">
        <is>
          <t>Attente contrôle qualité</t>
        </is>
      </c>
      <c r="E390" s="60" t="n">
        <v>27</v>
      </c>
      <c r="F390" s="53" t="n"/>
      <c r="G390" s="61" t="str">
        <f>IF(OR(COUNTA(A390:E390)=0,D390=""),"",IFERROR(INDEX(ca_fam,MATCH(D390,ca_name,0))&amp;"",""))</f>
        <v>Qualité</v>
      </c>
      <c r="H390" s="58" t="str">
        <f>IF(OR(COUNTA(A390:E390)=0,D390=""),"",IFERROR(INDEX(ca_type,MATCH(D390,ca_name,0))&amp;"",""))</f>
        <v>Non planifié</v>
      </c>
      <c r="I390" s="58" t="str">
        <f>IF(COUNTA(A390:E390)=0,"",IF(N(A390)&lt;=0,"Date manquante ou invalide",IF(B390="","Équipe manquante",IF(ISNA(MATCH(B390,eq_code,0)),"Équipe inconnue",IF(C390="","Poste manquant",IF(ISNA(MATCH(C390,po_code,0)),"Poste inconnu",IF(D390="","Cause manquante",IF(ISNA(MATCH(D390,ca_name,0)),"Cause inconnue",IF(H390="","Cause à compléter dans Paramètres",IF(OR(NOT(ISNUMBER(E390)),N(E390)&lt;=0,N(E390)&gt;1440),"Durée invalide",IF(COUNTIFS(sj_date,A390,sj_eq,B390,sj_po,C390)=0,"Pas de saisie journalière ce jour-là","OK")))))))))))</f>
        <v>OK</v>
      </c>
      <c r="J390">
        <f>IF(OR(I390="OK",I390="Pas de saisie journalière ce jour-là"),E390,0)</f>
        <v>27.0</v>
      </c>
      <c r="K390">
        <f>IF(AND(J390&gt;0,A390&gt;=p_from,A390&lt;=p_to),1,0)</f>
        <v>1.0</v>
      </c>
      <c r="L390">
        <f>IF(AND(K390=1,OR(pa_po="",C390=pa_po),OR(pa_eq="",B390=pa_eq)),1,0)</f>
        <v>1.0</v>
      </c>
    </row>
    <row r="391">
      <c r="A391" s="51" t="n">
        <v>46316</v>
      </c>
      <c r="B391" s="52" t="inlineStr">
        <is>
          <t>Matin</t>
        </is>
      </c>
      <c r="C391" s="52" t="inlineStr">
        <is>
          <t>PRESSE</t>
        </is>
      </c>
      <c r="D391" s="53" t="inlineStr">
        <is>
          <t>Changement de série</t>
        </is>
      </c>
      <c r="E391" s="60" t="n">
        <v>27</v>
      </c>
      <c r="F391" s="53" t="n"/>
      <c r="G391" s="61" t="str">
        <f>IF(OR(COUNTA(A391:E391)=0,D391=""),"",IFERROR(INDEX(ca_fam,MATCH(D391,ca_name,0))&amp;"",""))</f>
        <v>Réglage et changement de série</v>
      </c>
      <c r="H391" s="58" t="str">
        <f>IF(OR(COUNTA(A391:E391)=0,D391=""),"",IFERROR(INDEX(ca_type,MATCH(D391,ca_name,0))&amp;"",""))</f>
        <v>Non planifié</v>
      </c>
      <c r="I391" s="58" t="str">
        <f>IF(COUNTA(A391:E391)=0,"",IF(N(A391)&lt;=0,"Date manquante ou invalide",IF(B391="","Équipe manquante",IF(ISNA(MATCH(B391,eq_code,0)),"Équipe inconnue",IF(C391="","Poste manquant",IF(ISNA(MATCH(C391,po_code,0)),"Poste inconnu",IF(D391="","Cause manquante",IF(ISNA(MATCH(D391,ca_name,0)),"Cause inconnue",IF(H391="","Cause à compléter dans Paramètres",IF(OR(NOT(ISNUMBER(E391)),N(E391)&lt;=0,N(E391)&gt;1440),"Durée invalide",IF(COUNTIFS(sj_date,A391,sj_eq,B391,sj_po,C391)=0,"Pas de saisie journalière ce jour-là","OK")))))))))))</f>
        <v>OK</v>
      </c>
      <c r="J391">
        <f>IF(OR(I391="OK",I391="Pas de saisie journalière ce jour-là"),E391,0)</f>
        <v>27.0</v>
      </c>
      <c r="K391">
        <f>IF(AND(J391&gt;0,A391&gt;=p_from,A391&lt;=p_to),1,0)</f>
        <v>1.0</v>
      </c>
      <c r="L391">
        <f>IF(AND(K391=1,OR(pa_po="",C391=pa_po),OR(pa_eq="",B391=pa_eq)),1,0)</f>
        <v>1.0</v>
      </c>
    </row>
    <row r="392">
      <c r="A392" s="51" t="n">
        <v>46316</v>
      </c>
      <c r="B392" s="52" t="inlineStr">
        <is>
          <t>Matin</t>
        </is>
      </c>
      <c r="C392" s="52" t="inlineStr">
        <is>
          <t>PRESSE</t>
        </is>
      </c>
      <c r="D392" s="53" t="inlineStr">
        <is>
          <t>Réglage en cours de production</t>
        </is>
      </c>
      <c r="E392" s="60" t="n">
        <v>22</v>
      </c>
      <c r="F392" s="53" t="n"/>
      <c r="G392" s="61" t="str">
        <f>IF(OR(COUNTA(A392:E392)=0,D392=""),"",IFERROR(INDEX(ca_fam,MATCH(D392,ca_name,0))&amp;"",""))</f>
        <v>Réglage et changement de série</v>
      </c>
      <c r="H392" s="58" t="str">
        <f>IF(OR(COUNTA(A392:E392)=0,D392=""),"",IFERROR(INDEX(ca_type,MATCH(D392,ca_name,0))&amp;"",""))</f>
        <v>Non planifié</v>
      </c>
      <c r="I392" s="58" t="str">
        <f>IF(COUNTA(A392:E392)=0,"",IF(N(A392)&lt;=0,"Date manquante ou invalide",IF(B392="","Équipe manquante",IF(ISNA(MATCH(B392,eq_code,0)),"Équipe inconnue",IF(C392="","Poste manquant",IF(ISNA(MATCH(C392,po_code,0)),"Poste inconnu",IF(D392="","Cause manquante",IF(ISNA(MATCH(D392,ca_name,0)),"Cause inconnue",IF(H392="","Cause à compléter dans Paramètres",IF(OR(NOT(ISNUMBER(E392)),N(E392)&lt;=0,N(E392)&gt;1440),"Durée invalide",IF(COUNTIFS(sj_date,A392,sj_eq,B392,sj_po,C392)=0,"Pas de saisie journalière ce jour-là","OK")))))))))))</f>
        <v>OK</v>
      </c>
      <c r="J392">
        <f>IF(OR(I392="OK",I392="Pas de saisie journalière ce jour-là"),E392,0)</f>
        <v>22.0</v>
      </c>
      <c r="K392">
        <f>IF(AND(J392&gt;0,A392&gt;=p_from,A392&lt;=p_to),1,0)</f>
        <v>1.0</v>
      </c>
      <c r="L392">
        <f>IF(AND(K392=1,OR(pa_po="",C392=pa_po),OR(pa_eq="",B392=pa_eq)),1,0)</f>
        <v>1.0</v>
      </c>
    </row>
    <row r="393">
      <c r="A393" s="51" t="n">
        <v>46316</v>
      </c>
      <c r="B393" s="52" t="inlineStr">
        <is>
          <t>Journée</t>
        </is>
      </c>
      <c r="C393" s="52" t="inlineStr">
        <is>
          <t>PLIE</t>
        </is>
      </c>
      <c r="D393" s="53" t="inlineStr">
        <is>
          <t>Changement de série</t>
        </is>
      </c>
      <c r="E393" s="60" t="n">
        <v>35</v>
      </c>
      <c r="F393" s="53" t="n"/>
      <c r="G393" s="61" t="str">
        <f>IF(OR(COUNTA(A393:E393)=0,D393=""),"",IFERROR(INDEX(ca_fam,MATCH(D393,ca_name,0))&amp;"",""))</f>
        <v>Réglage et changement de série</v>
      </c>
      <c r="H393" s="58" t="str">
        <f>IF(OR(COUNTA(A393:E393)=0,D393=""),"",IFERROR(INDEX(ca_type,MATCH(D393,ca_name,0))&amp;"",""))</f>
        <v>Non planifié</v>
      </c>
      <c r="I393" s="58" t="str">
        <f>IF(COUNTA(A393:E393)=0,"",IF(N(A393)&lt;=0,"Date manquante ou invalide",IF(B393="","Équipe manquante",IF(ISNA(MATCH(B393,eq_code,0)),"Équipe inconnue",IF(C393="","Poste manquant",IF(ISNA(MATCH(C393,po_code,0)),"Poste inconnu",IF(D393="","Cause manquante",IF(ISNA(MATCH(D393,ca_name,0)),"Cause inconnue",IF(H393="","Cause à compléter dans Paramètres",IF(OR(NOT(ISNUMBER(E393)),N(E393)&lt;=0,N(E393)&gt;1440),"Durée invalide",IF(COUNTIFS(sj_date,A393,sj_eq,B393,sj_po,C393)=0,"Pas de saisie journalière ce jour-là","OK")))))))))))</f>
        <v>OK</v>
      </c>
      <c r="J393">
        <f>IF(OR(I393="OK",I393="Pas de saisie journalière ce jour-là"),E393,0)</f>
        <v>35.0</v>
      </c>
      <c r="K393">
        <f>IF(AND(J393&gt;0,A393&gt;=p_from,A393&lt;=p_to),1,0)</f>
        <v>1.0</v>
      </c>
      <c r="L393">
        <f>IF(AND(K393=1,OR(pa_po="",C393=pa_po),OR(pa_eq="",B393=pa_eq)),1,0)</f>
        <v>1.0</v>
      </c>
    </row>
    <row r="394">
      <c r="A394" s="51" t="n">
        <v>46316</v>
      </c>
      <c r="B394" s="52" t="inlineStr">
        <is>
          <t>Journée</t>
        </is>
      </c>
      <c r="C394" s="52" t="inlineStr">
        <is>
          <t>PLIE</t>
        </is>
      </c>
      <c r="D394" s="53" t="inlineStr">
        <is>
          <t>Attente programme ou consignes</t>
        </is>
      </c>
      <c r="E394" s="60" t="n">
        <v>10</v>
      </c>
      <c r="F394" s="53" t="n"/>
      <c r="G394" s="61" t="str">
        <f>IF(OR(COUNTA(A394:E394)=0,D394=""),"",IFERROR(INDEX(ca_fam,MATCH(D394,ca_name,0))&amp;"",""))</f>
        <v>Organisation</v>
      </c>
      <c r="H394" s="58" t="str">
        <f>IF(OR(COUNTA(A394:E394)=0,D394=""),"",IFERROR(INDEX(ca_type,MATCH(D394,ca_name,0))&amp;"",""))</f>
        <v>Non planifié</v>
      </c>
      <c r="I394" s="58" t="str">
        <f>IF(COUNTA(A394:E394)=0,"",IF(N(A394)&lt;=0,"Date manquante ou invalide",IF(B394="","Équipe manquante",IF(ISNA(MATCH(B394,eq_code,0)),"Équipe inconnue",IF(C394="","Poste manquant",IF(ISNA(MATCH(C394,po_code,0)),"Poste inconnu",IF(D394="","Cause manquante",IF(ISNA(MATCH(D394,ca_name,0)),"Cause inconnue",IF(H394="","Cause à compléter dans Paramètres",IF(OR(NOT(ISNUMBER(E394)),N(E394)&lt;=0,N(E394)&gt;1440),"Durée invalide",IF(COUNTIFS(sj_date,A394,sj_eq,B394,sj_po,C394)=0,"Pas de saisie journalière ce jour-là","OK")))))))))))</f>
        <v>OK</v>
      </c>
      <c r="J394">
        <f>IF(OR(I394="OK",I394="Pas de saisie journalière ce jour-là"),E394,0)</f>
        <v>10.0</v>
      </c>
      <c r="K394">
        <f>IF(AND(J394&gt;0,A394&gt;=p_from,A394&lt;=p_to),1,0)</f>
        <v>1.0</v>
      </c>
      <c r="L394">
        <f>IF(AND(K394=1,OR(pa_po="",C394=pa_po),OR(pa_eq="",B394=pa_eq)),1,0)</f>
        <v>1.0</v>
      </c>
    </row>
    <row r="395">
      <c r="A395" s="51" t="n">
        <v>46316</v>
      </c>
      <c r="B395" s="52" t="inlineStr">
        <is>
          <t>Journée</t>
        </is>
      </c>
      <c r="C395" s="52" t="inlineStr">
        <is>
          <t>PLIE</t>
        </is>
      </c>
      <c r="D395" s="53" t="inlineStr">
        <is>
          <t>Attente pièces de l'opération précédente</t>
        </is>
      </c>
      <c r="E395" s="60" t="n">
        <v>36</v>
      </c>
      <c r="F395" s="53" t="n"/>
      <c r="G395" s="61" t="str">
        <f>IF(OR(COUNTA(A395:E395)=0,D395=""),"",IFERROR(INDEX(ca_fam,MATCH(D395,ca_name,0))&amp;"",""))</f>
        <v>Manque matière</v>
      </c>
      <c r="H395" s="58" t="str">
        <f>IF(OR(COUNTA(A395:E395)=0,D395=""),"",IFERROR(INDEX(ca_type,MATCH(D395,ca_name,0))&amp;"",""))</f>
        <v>Non planifié</v>
      </c>
      <c r="I395" s="58" t="str">
        <f>IF(COUNTA(A395:E395)=0,"",IF(N(A395)&lt;=0,"Date manquante ou invalide",IF(B395="","Équipe manquante",IF(ISNA(MATCH(B395,eq_code,0)),"Équipe inconnue",IF(C395="","Poste manquant",IF(ISNA(MATCH(C395,po_code,0)),"Poste inconnu",IF(D395="","Cause manquante",IF(ISNA(MATCH(D395,ca_name,0)),"Cause inconnue",IF(H395="","Cause à compléter dans Paramètres",IF(OR(NOT(ISNUMBER(E395)),N(E395)&lt;=0,N(E395)&gt;1440),"Durée invalide",IF(COUNTIFS(sj_date,A395,sj_eq,B395,sj_po,C395)=0,"Pas de saisie journalière ce jour-là","OK")))))))))))</f>
        <v>OK</v>
      </c>
      <c r="J395">
        <f>IF(OR(I395="OK",I395="Pas de saisie journalière ce jour-là"),E395,0)</f>
        <v>36.0</v>
      </c>
      <c r="K395">
        <f>IF(AND(J395&gt;0,A395&gt;=p_from,A395&lt;=p_to),1,0)</f>
        <v>1.0</v>
      </c>
      <c r="L395">
        <f>IF(AND(K395=1,OR(pa_po="",C395=pa_po),OR(pa_eq="",B395=pa_eq)),1,0)</f>
        <v>1.0</v>
      </c>
    </row>
    <row r="396">
      <c r="A396" s="51" t="n">
        <v>46316</v>
      </c>
      <c r="B396" s="52" t="inlineStr">
        <is>
          <t>Journée</t>
        </is>
      </c>
      <c r="C396" s="52" t="inlineStr">
        <is>
          <t>PLIE</t>
        </is>
      </c>
      <c r="D396" s="53" t="inlineStr">
        <is>
          <t>Opérateur sur un autre poste</t>
        </is>
      </c>
      <c r="E396" s="60" t="n">
        <v>55</v>
      </c>
      <c r="F396" s="53" t="n"/>
      <c r="G396" s="61" t="str">
        <f>IF(OR(COUNTA(A396:E396)=0,D396=""),"",IFERROR(INDEX(ca_fam,MATCH(D396,ca_name,0))&amp;"",""))</f>
        <v>Manque personnel</v>
      </c>
      <c r="H396" s="58" t="str">
        <f>IF(OR(COUNTA(A396:E396)=0,D396=""),"",IFERROR(INDEX(ca_type,MATCH(D396,ca_name,0))&amp;"",""))</f>
        <v>Non planifié</v>
      </c>
      <c r="I396" s="58" t="str">
        <f>IF(COUNTA(A396:E396)=0,"",IF(N(A396)&lt;=0,"Date manquante ou invalide",IF(B396="","Équipe manquante",IF(ISNA(MATCH(B396,eq_code,0)),"Équipe inconnue",IF(C396="","Poste manquant",IF(ISNA(MATCH(C396,po_code,0)),"Poste inconnu",IF(D396="","Cause manquante",IF(ISNA(MATCH(D396,ca_name,0)),"Cause inconnue",IF(H396="","Cause à compléter dans Paramètres",IF(OR(NOT(ISNUMBER(E396)),N(E396)&lt;=0,N(E396)&gt;1440),"Durée invalide",IF(COUNTIFS(sj_date,A396,sj_eq,B396,sj_po,C396)=0,"Pas de saisie journalière ce jour-là","OK")))))))))))</f>
        <v>OK</v>
      </c>
      <c r="J396">
        <f>IF(OR(I396="OK",I396="Pas de saisie journalière ce jour-là"),E396,0)</f>
        <v>55.0</v>
      </c>
      <c r="K396">
        <f>IF(AND(J396&gt;0,A396&gt;=p_from,A396&lt;=p_to),1,0)</f>
        <v>1.0</v>
      </c>
      <c r="L396">
        <f>IF(AND(K396=1,OR(pa_po="",C396=pa_po),OR(pa_eq="",B396=pa_eq)),1,0)</f>
        <v>1.0</v>
      </c>
    </row>
    <row r="397">
      <c r="A397" s="51" t="n">
        <v>46316</v>
      </c>
      <c r="B397" s="52" t="inlineStr">
        <is>
          <t>Matin</t>
        </is>
      </c>
      <c r="C397" s="52" t="inlineStr">
        <is>
          <t>SOUD</t>
        </is>
      </c>
      <c r="D397" s="53" t="inlineStr">
        <is>
          <t>Changement de série</t>
        </is>
      </c>
      <c r="E397" s="60" t="n">
        <v>62</v>
      </c>
      <c r="F397" s="53" t="n"/>
      <c r="G397" s="61" t="str">
        <f>IF(OR(COUNTA(A397:E397)=0,D397=""),"",IFERROR(INDEX(ca_fam,MATCH(D397,ca_name,0))&amp;"",""))</f>
        <v>Réglage et changement de série</v>
      </c>
      <c r="H397" s="58" t="str">
        <f>IF(OR(COUNTA(A397:E397)=0,D397=""),"",IFERROR(INDEX(ca_type,MATCH(D397,ca_name,0))&amp;"",""))</f>
        <v>Non planifié</v>
      </c>
      <c r="I397" s="58" t="str">
        <f>IF(COUNTA(A397:E397)=0,"",IF(N(A397)&lt;=0,"Date manquante ou invalide",IF(B397="","Équipe manquante",IF(ISNA(MATCH(B397,eq_code,0)),"Équipe inconnue",IF(C397="","Poste manquant",IF(ISNA(MATCH(C397,po_code,0)),"Poste inconnu",IF(D397="","Cause manquante",IF(ISNA(MATCH(D397,ca_name,0)),"Cause inconnue",IF(H397="","Cause à compléter dans Paramètres",IF(OR(NOT(ISNUMBER(E397)),N(E397)&lt;=0,N(E397)&gt;1440),"Durée invalide",IF(COUNTIFS(sj_date,A397,sj_eq,B397,sj_po,C397)=0,"Pas de saisie journalière ce jour-là","OK")))))))))))</f>
        <v>OK</v>
      </c>
      <c r="J397">
        <f>IF(OR(I397="OK",I397="Pas de saisie journalière ce jour-là"),E397,0)</f>
        <v>62.0</v>
      </c>
      <c r="K397">
        <f>IF(AND(J397&gt;0,A397&gt;=p_from,A397&lt;=p_to),1,0)</f>
        <v>1.0</v>
      </c>
      <c r="L397">
        <f>IF(AND(K397=1,OR(pa_po="",C397=pa_po),OR(pa_eq="",B397=pa_eq)),1,0)</f>
        <v>1.0</v>
      </c>
    </row>
    <row r="398">
      <c r="A398" s="51" t="n">
        <v>46316</v>
      </c>
      <c r="B398" s="52" t="inlineStr">
        <is>
          <t>Matin</t>
        </is>
      </c>
      <c r="C398" s="52" t="inlineStr">
        <is>
          <t>SOUD</t>
        </is>
      </c>
      <c r="D398" s="53" t="inlineStr">
        <is>
          <t>Attente matière</t>
        </is>
      </c>
      <c r="E398" s="60" t="n">
        <v>16</v>
      </c>
      <c r="F398" s="53" t="n"/>
      <c r="G398" s="61" t="str">
        <f>IF(OR(COUNTA(A398:E398)=0,D398=""),"",IFERROR(INDEX(ca_fam,MATCH(D398,ca_name,0))&amp;"",""))</f>
        <v>Manque matière</v>
      </c>
      <c r="H398" s="58" t="str">
        <f>IF(OR(COUNTA(A398:E398)=0,D398=""),"",IFERROR(INDEX(ca_type,MATCH(D398,ca_name,0))&amp;"",""))</f>
        <v>Non planifié</v>
      </c>
      <c r="I398" s="58" t="str">
        <f>IF(COUNTA(A398:E398)=0,"",IF(N(A398)&lt;=0,"Date manquante ou invalide",IF(B398="","Équipe manquante",IF(ISNA(MATCH(B398,eq_code,0)),"Équipe inconnue",IF(C398="","Poste manquant",IF(ISNA(MATCH(C398,po_code,0)),"Poste inconnu",IF(D398="","Cause manquante",IF(ISNA(MATCH(D398,ca_name,0)),"Cause inconnue",IF(H398="","Cause à compléter dans Paramètres",IF(OR(NOT(ISNUMBER(E398)),N(E398)&lt;=0,N(E398)&gt;1440),"Durée invalide",IF(COUNTIFS(sj_date,A398,sj_eq,B398,sj_po,C398)=0,"Pas de saisie journalière ce jour-là","OK")))))))))))</f>
        <v>OK</v>
      </c>
      <c r="J398">
        <f>IF(OR(I398="OK",I398="Pas de saisie journalière ce jour-là"),E398,0)</f>
        <v>16.0</v>
      </c>
      <c r="K398">
        <f>IF(AND(J398&gt;0,A398&gt;=p_from,A398&lt;=p_to),1,0)</f>
        <v>1.0</v>
      </c>
      <c r="L398">
        <f>IF(AND(K398=1,OR(pa_po="",C398=pa_po),OR(pa_eq="",B398=pa_eq)),1,0)</f>
        <v>1.0</v>
      </c>
    </row>
    <row r="399">
      <c r="A399" s="51" t="n">
        <v>46316</v>
      </c>
      <c r="B399" s="52" t="inlineStr">
        <is>
          <t>Matin</t>
        </is>
      </c>
      <c r="C399" s="52" t="inlineStr">
        <is>
          <t>SOUD</t>
        </is>
      </c>
      <c r="D399" s="53" t="inlineStr">
        <is>
          <t>Panne électrique</t>
        </is>
      </c>
      <c r="E399" s="60" t="n">
        <v>47</v>
      </c>
      <c r="F399" s="53" t="n"/>
      <c r="G399" s="61" t="str">
        <f>IF(OR(COUNTA(A399:E399)=0,D399=""),"",IFERROR(INDEX(ca_fam,MATCH(D399,ca_name,0))&amp;"",""))</f>
        <v>Panne</v>
      </c>
      <c r="H399" s="58" t="str">
        <f>IF(OR(COUNTA(A399:E399)=0,D399=""),"",IFERROR(INDEX(ca_type,MATCH(D399,ca_name,0))&amp;"",""))</f>
        <v>Non planifié</v>
      </c>
      <c r="I399" s="58" t="str">
        <f>IF(COUNTA(A399:E399)=0,"",IF(N(A399)&lt;=0,"Date manquante ou invalide",IF(B399="","Équipe manquante",IF(ISNA(MATCH(B399,eq_code,0)),"Équipe inconnue",IF(C399="","Poste manquant",IF(ISNA(MATCH(C399,po_code,0)),"Poste inconnu",IF(D399="","Cause manquante",IF(ISNA(MATCH(D399,ca_name,0)),"Cause inconnue",IF(H399="","Cause à compléter dans Paramètres",IF(OR(NOT(ISNUMBER(E399)),N(E399)&lt;=0,N(E399)&gt;1440),"Durée invalide",IF(COUNTIFS(sj_date,A399,sj_eq,B399,sj_po,C399)=0,"Pas de saisie journalière ce jour-là","OK")))))))))))</f>
        <v>OK</v>
      </c>
      <c r="J399">
        <f>IF(OR(I399="OK",I399="Pas de saisie journalière ce jour-là"),E399,0)</f>
        <v>47.0</v>
      </c>
      <c r="K399">
        <f>IF(AND(J399&gt;0,A399&gt;=p_from,A399&lt;=p_to),1,0)</f>
        <v>1.0</v>
      </c>
      <c r="L399">
        <f>IF(AND(K399=1,OR(pa_po="",C399=pa_po),OR(pa_eq="",B399=pa_eq)),1,0)</f>
        <v>1.0</v>
      </c>
    </row>
    <row r="400">
      <c r="A400" s="51" t="n">
        <v>46317</v>
      </c>
      <c r="B400" s="52" t="inlineStr">
        <is>
          <t>Matin</t>
        </is>
      </c>
      <c r="C400" s="52" t="inlineStr">
        <is>
          <t>TOUR1</t>
        </is>
      </c>
      <c r="D400" s="53" t="inlineStr">
        <is>
          <t>Attente contrôle qualité</t>
        </is>
      </c>
      <c r="E400" s="60" t="n">
        <v>21</v>
      </c>
      <c r="F400" s="53" t="n"/>
      <c r="G400" s="61" t="str">
        <f>IF(OR(COUNTA(A400:E400)=0,D400=""),"",IFERROR(INDEX(ca_fam,MATCH(D400,ca_name,0))&amp;"",""))</f>
        <v>Qualité</v>
      </c>
      <c r="H400" s="58" t="str">
        <f>IF(OR(COUNTA(A400:E400)=0,D400=""),"",IFERROR(INDEX(ca_type,MATCH(D400,ca_name,0))&amp;"",""))</f>
        <v>Non planifié</v>
      </c>
      <c r="I400" s="58" t="str">
        <f>IF(COUNTA(A400:E400)=0,"",IF(N(A400)&lt;=0,"Date manquante ou invalide",IF(B400="","Équipe manquante",IF(ISNA(MATCH(B400,eq_code,0)),"Équipe inconnue",IF(C400="","Poste manquant",IF(ISNA(MATCH(C400,po_code,0)),"Poste inconnu",IF(D400="","Cause manquante",IF(ISNA(MATCH(D400,ca_name,0)),"Cause inconnue",IF(H400="","Cause à compléter dans Paramètres",IF(OR(NOT(ISNUMBER(E400)),N(E400)&lt;=0,N(E400)&gt;1440),"Durée invalide",IF(COUNTIFS(sj_date,A400,sj_eq,B400,sj_po,C400)=0,"Pas de saisie journalière ce jour-là","OK")))))))))))</f>
        <v>OK</v>
      </c>
      <c r="J400">
        <f>IF(OR(I400="OK",I400="Pas de saisie journalière ce jour-là"),E400,0)</f>
        <v>21.0</v>
      </c>
      <c r="K400">
        <f>IF(AND(J400&gt;0,A400&gt;=p_from,A400&lt;=p_to),1,0)</f>
        <v>1.0</v>
      </c>
      <c r="L400">
        <f>IF(AND(K400=1,OR(pa_po="",C400=pa_po),OR(pa_eq="",B400=pa_eq)),1,0)</f>
        <v>1.0</v>
      </c>
    </row>
    <row r="401">
      <c r="A401" s="51" t="n">
        <v>46317</v>
      </c>
      <c r="B401" s="52" t="inlineStr">
        <is>
          <t>Après-midi</t>
        </is>
      </c>
      <c r="C401" s="52" t="inlineStr">
        <is>
          <t>TOUR1</t>
        </is>
      </c>
      <c r="D401" s="53" t="inlineStr">
        <is>
          <t>Changement de série</t>
        </is>
      </c>
      <c r="E401" s="60" t="n">
        <v>29</v>
      </c>
      <c r="F401" s="53" t="n"/>
      <c r="G401" s="61" t="str">
        <f>IF(OR(COUNTA(A401:E401)=0,D401=""),"",IFERROR(INDEX(ca_fam,MATCH(D401,ca_name,0))&amp;"",""))</f>
        <v>Réglage et changement de série</v>
      </c>
      <c r="H401" s="58" t="str">
        <f>IF(OR(COUNTA(A401:E401)=0,D401=""),"",IFERROR(INDEX(ca_type,MATCH(D401,ca_name,0))&amp;"",""))</f>
        <v>Non planifié</v>
      </c>
      <c r="I401" s="58" t="str">
        <f>IF(COUNTA(A401:E401)=0,"",IF(N(A401)&lt;=0,"Date manquante ou invalide",IF(B401="","Équipe manquante",IF(ISNA(MATCH(B401,eq_code,0)),"Équipe inconnue",IF(C401="","Poste manquant",IF(ISNA(MATCH(C401,po_code,0)),"Poste inconnu",IF(D401="","Cause manquante",IF(ISNA(MATCH(D401,ca_name,0)),"Cause inconnue",IF(H401="","Cause à compléter dans Paramètres",IF(OR(NOT(ISNUMBER(E401)),N(E401)&lt;=0,N(E401)&gt;1440),"Durée invalide",IF(COUNTIFS(sj_date,A401,sj_eq,B401,sj_po,C401)=0,"Pas de saisie journalière ce jour-là","OK")))))))))))</f>
        <v>OK</v>
      </c>
      <c r="J401">
        <f>IF(OR(I401="OK",I401="Pas de saisie journalière ce jour-là"),E401,0)</f>
        <v>29.0</v>
      </c>
      <c r="K401">
        <f>IF(AND(J401&gt;0,A401&gt;=p_from,A401&lt;=p_to),1,0)</f>
        <v>1.0</v>
      </c>
      <c r="L401">
        <f>IF(AND(K401=1,OR(pa_po="",C401=pa_po),OR(pa_eq="",B401=pa_eq)),1,0)</f>
        <v>1.0</v>
      </c>
    </row>
    <row r="402">
      <c r="A402" s="51" t="n">
        <v>46317</v>
      </c>
      <c r="B402" s="52" t="inlineStr">
        <is>
          <t>Matin</t>
        </is>
      </c>
      <c r="C402" s="52" t="inlineStr">
        <is>
          <t>USIN</t>
        </is>
      </c>
      <c r="D402" s="53" t="inlineStr">
        <is>
          <t>Changement d'outil</t>
        </is>
      </c>
      <c r="E402" s="60" t="n">
        <v>15</v>
      </c>
      <c r="F402" s="53" t="n"/>
      <c r="G402" s="61" t="str">
        <f>IF(OR(COUNTA(A402:E402)=0,D402=""),"",IFERROR(INDEX(ca_fam,MATCH(D402,ca_name,0))&amp;"",""))</f>
        <v>Réglage et changement de série</v>
      </c>
      <c r="H402" s="58" t="str">
        <f>IF(OR(COUNTA(A402:E402)=0,D402=""),"",IFERROR(INDEX(ca_type,MATCH(D402,ca_name,0))&amp;"",""))</f>
        <v>Non planifié</v>
      </c>
      <c r="I402" s="58" t="str">
        <f>IF(COUNTA(A402:E402)=0,"",IF(N(A402)&lt;=0,"Date manquante ou invalide",IF(B402="","Équipe manquante",IF(ISNA(MATCH(B402,eq_code,0)),"Équipe inconnue",IF(C402="","Poste manquant",IF(ISNA(MATCH(C402,po_code,0)),"Poste inconnu",IF(D402="","Cause manquante",IF(ISNA(MATCH(D402,ca_name,0)),"Cause inconnue",IF(H402="","Cause à compléter dans Paramètres",IF(OR(NOT(ISNUMBER(E402)),N(E402)&lt;=0,N(E402)&gt;1440),"Durée invalide",IF(COUNTIFS(sj_date,A402,sj_eq,B402,sj_po,C402)=0,"Pas de saisie journalière ce jour-là","OK")))))))))))</f>
        <v>OK</v>
      </c>
      <c r="J402">
        <f>IF(OR(I402="OK",I402="Pas de saisie journalière ce jour-là"),E402,0)</f>
        <v>15.0</v>
      </c>
      <c r="K402">
        <f>IF(AND(J402&gt;0,A402&gt;=p_from,A402&lt;=p_to),1,0)</f>
        <v>1.0</v>
      </c>
      <c r="L402">
        <f>IF(AND(K402=1,OR(pa_po="",C402=pa_po),OR(pa_eq="",B402=pa_eq)),1,0)</f>
        <v>1.0</v>
      </c>
    </row>
    <row r="403">
      <c r="A403" s="51" t="n">
        <v>46317</v>
      </c>
      <c r="B403" s="52" t="inlineStr">
        <is>
          <t>Matin</t>
        </is>
      </c>
      <c r="C403" s="52" t="inlineStr">
        <is>
          <t>USIN</t>
        </is>
      </c>
      <c r="D403" s="53" t="inlineStr">
        <is>
          <t>Attente chariot élévateur</t>
        </is>
      </c>
      <c r="E403" s="60" t="n">
        <v>20</v>
      </c>
      <c r="F403" s="53" t="n"/>
      <c r="G403" s="61" t="str">
        <f>IF(OR(COUNTA(A403:E403)=0,D403=""),"",IFERROR(INDEX(ca_fam,MATCH(D403,ca_name,0))&amp;"",""))</f>
        <v>Organisation</v>
      </c>
      <c r="H403" s="58" t="str">
        <f>IF(OR(COUNTA(A403:E403)=0,D403=""),"",IFERROR(INDEX(ca_type,MATCH(D403,ca_name,0))&amp;"",""))</f>
        <v>Non planifié</v>
      </c>
      <c r="I403" s="58" t="str">
        <f>IF(COUNTA(A403:E403)=0,"",IF(N(A403)&lt;=0,"Date manquante ou invalide",IF(B403="","Équipe manquante",IF(ISNA(MATCH(B403,eq_code,0)),"Équipe inconnue",IF(C403="","Poste manquant",IF(ISNA(MATCH(C403,po_code,0)),"Poste inconnu",IF(D403="","Cause manquante",IF(ISNA(MATCH(D403,ca_name,0)),"Cause inconnue",IF(H403="","Cause à compléter dans Paramètres",IF(OR(NOT(ISNUMBER(E403)),N(E403)&lt;=0,N(E403)&gt;1440),"Durée invalide",IF(COUNTIFS(sj_date,A403,sj_eq,B403,sj_po,C403)=0,"Pas de saisie journalière ce jour-là","OK")))))))))))</f>
        <v>OK</v>
      </c>
      <c r="J403">
        <f>IF(OR(I403="OK",I403="Pas de saisie journalière ce jour-là"),E403,0)</f>
        <v>20.0</v>
      </c>
      <c r="K403">
        <f>IF(AND(J403&gt;0,A403&gt;=p_from,A403&lt;=p_to),1,0)</f>
        <v>1.0</v>
      </c>
      <c r="L403">
        <f>IF(AND(K403=1,OR(pa_po="",C403=pa_po),OR(pa_eq="",B403=pa_eq)),1,0)</f>
        <v>1.0</v>
      </c>
    </row>
    <row r="404">
      <c r="A404" s="51" t="n">
        <v>46317</v>
      </c>
      <c r="B404" s="52" t="inlineStr">
        <is>
          <t>Matin</t>
        </is>
      </c>
      <c r="C404" s="52" t="inlineStr">
        <is>
          <t>PRESSE</t>
        </is>
      </c>
      <c r="D404" s="53" t="inlineStr">
        <is>
          <t>Changement de série</t>
        </is>
      </c>
      <c r="E404" s="60" t="n">
        <v>58</v>
      </c>
      <c r="F404" s="53" t="n"/>
      <c r="G404" s="61" t="str">
        <f>IF(OR(COUNTA(A404:E404)=0,D404=""),"",IFERROR(INDEX(ca_fam,MATCH(D404,ca_name,0))&amp;"",""))</f>
        <v>Réglage et changement de série</v>
      </c>
      <c r="H404" s="58" t="str">
        <f>IF(OR(COUNTA(A404:E404)=0,D404=""),"",IFERROR(INDEX(ca_type,MATCH(D404,ca_name,0))&amp;"",""))</f>
        <v>Non planifié</v>
      </c>
      <c r="I404" s="58" t="str">
        <f>IF(COUNTA(A404:E404)=0,"",IF(N(A404)&lt;=0,"Date manquante ou invalide",IF(B404="","Équipe manquante",IF(ISNA(MATCH(B404,eq_code,0)),"Équipe inconnue",IF(C404="","Poste manquant",IF(ISNA(MATCH(C404,po_code,0)),"Poste inconnu",IF(D404="","Cause manquante",IF(ISNA(MATCH(D404,ca_name,0)),"Cause inconnue",IF(H404="","Cause à compléter dans Paramètres",IF(OR(NOT(ISNUMBER(E404)),N(E404)&lt;=0,N(E404)&gt;1440),"Durée invalide",IF(COUNTIFS(sj_date,A404,sj_eq,B404,sj_po,C404)=0,"Pas de saisie journalière ce jour-là","OK")))))))))))</f>
        <v>OK</v>
      </c>
      <c r="J404">
        <f>IF(OR(I404="OK",I404="Pas de saisie journalière ce jour-là"),E404,0)</f>
        <v>58.0</v>
      </c>
      <c r="K404">
        <f>IF(AND(J404&gt;0,A404&gt;=p_from,A404&lt;=p_to),1,0)</f>
        <v>1.0</v>
      </c>
      <c r="L404">
        <f>IF(AND(K404=1,OR(pa_po="",C404=pa_po),OR(pa_eq="",B404=pa_eq)),1,0)</f>
        <v>1.0</v>
      </c>
    </row>
    <row r="405">
      <c r="A405" s="51" t="n">
        <v>46317</v>
      </c>
      <c r="B405" s="52" t="inlineStr">
        <is>
          <t>Journée</t>
        </is>
      </c>
      <c r="C405" s="52" t="inlineStr">
        <is>
          <t>PLIE</t>
        </is>
      </c>
      <c r="D405" s="53" t="inlineStr">
        <is>
          <t>Attente matière</t>
        </is>
      </c>
      <c r="E405" s="60" t="n">
        <v>15</v>
      </c>
      <c r="F405" s="53" t="n"/>
      <c r="G405" s="61" t="str">
        <f>IF(OR(COUNTA(A405:E405)=0,D405=""),"",IFERROR(INDEX(ca_fam,MATCH(D405,ca_name,0))&amp;"",""))</f>
        <v>Manque matière</v>
      </c>
      <c r="H405" s="58" t="str">
        <f>IF(OR(COUNTA(A405:E405)=0,D405=""),"",IFERROR(INDEX(ca_type,MATCH(D405,ca_name,0))&amp;"",""))</f>
        <v>Non planifié</v>
      </c>
      <c r="I405" s="58" t="str">
        <f>IF(COUNTA(A405:E405)=0,"",IF(N(A405)&lt;=0,"Date manquante ou invalide",IF(B405="","Équipe manquante",IF(ISNA(MATCH(B405,eq_code,0)),"Équipe inconnue",IF(C405="","Poste manquant",IF(ISNA(MATCH(C405,po_code,0)),"Poste inconnu",IF(D405="","Cause manquante",IF(ISNA(MATCH(D405,ca_name,0)),"Cause inconnue",IF(H405="","Cause à compléter dans Paramètres",IF(OR(NOT(ISNUMBER(E405)),N(E405)&lt;=0,N(E405)&gt;1440),"Durée invalide",IF(COUNTIFS(sj_date,A405,sj_eq,B405,sj_po,C405)=0,"Pas de saisie journalière ce jour-là","OK")))))))))))</f>
        <v>OK</v>
      </c>
      <c r="J405">
        <f>IF(OR(I405="OK",I405="Pas de saisie journalière ce jour-là"),E405,0)</f>
        <v>15.0</v>
      </c>
      <c r="K405">
        <f>IF(AND(J405&gt;0,A405&gt;=p_from,A405&lt;=p_to),1,0)</f>
        <v>1.0</v>
      </c>
      <c r="L405">
        <f>IF(AND(K405=1,OR(pa_po="",C405=pa_po),OR(pa_eq="",B405=pa_eq)),1,0)</f>
        <v>1.0</v>
      </c>
    </row>
    <row r="406">
      <c r="A406" s="51" t="n">
        <v>46317</v>
      </c>
      <c r="B406" s="52" t="inlineStr">
        <is>
          <t>Après-midi</t>
        </is>
      </c>
      <c r="C406" s="52" t="inlineStr">
        <is>
          <t>SOUD</t>
        </is>
      </c>
      <c r="D406" s="53" t="inlineStr">
        <is>
          <t>Changement d'outil</t>
        </is>
      </c>
      <c r="E406" s="60" t="n">
        <v>19</v>
      </c>
      <c r="F406" s="53" t="n"/>
      <c r="G406" s="61" t="str">
        <f>IF(OR(COUNTA(A406:E406)=0,D406=""),"",IFERROR(INDEX(ca_fam,MATCH(D406,ca_name,0))&amp;"",""))</f>
        <v>Réglage et changement de série</v>
      </c>
      <c r="H406" s="58" t="str">
        <f>IF(OR(COUNTA(A406:E406)=0,D406=""),"",IFERROR(INDEX(ca_type,MATCH(D406,ca_name,0))&amp;"",""))</f>
        <v>Non planifié</v>
      </c>
      <c r="I406" s="58" t="str">
        <f>IF(COUNTA(A406:E406)=0,"",IF(N(A406)&lt;=0,"Date manquante ou invalide",IF(B406="","Équipe manquante",IF(ISNA(MATCH(B406,eq_code,0)),"Équipe inconnue",IF(C406="","Poste manquant",IF(ISNA(MATCH(C406,po_code,0)),"Poste inconnu",IF(D406="","Cause manquante",IF(ISNA(MATCH(D406,ca_name,0)),"Cause inconnue",IF(H406="","Cause à compléter dans Paramètres",IF(OR(NOT(ISNUMBER(E406)),N(E406)&lt;=0,N(E406)&gt;1440),"Durée invalide",IF(COUNTIFS(sj_date,A406,sj_eq,B406,sj_po,C406)=0,"Pas de saisie journalière ce jour-là","OK")))))))))))</f>
        <v>OK</v>
      </c>
      <c r="J406">
        <f>IF(OR(I406="OK",I406="Pas de saisie journalière ce jour-là"),E406,0)</f>
        <v>19.0</v>
      </c>
      <c r="K406">
        <f>IF(AND(J406&gt;0,A406&gt;=p_from,A406&lt;=p_to),1,0)</f>
        <v>1.0</v>
      </c>
      <c r="L406">
        <f>IF(AND(K406=1,OR(pa_po="",C406=pa_po),OR(pa_eq="",B406=pa_eq)),1,0)</f>
        <v>1.0</v>
      </c>
    </row>
    <row r="407">
      <c r="A407" s="51" t="n">
        <v>46318</v>
      </c>
      <c r="B407" s="52" t="inlineStr">
        <is>
          <t>Matin</t>
        </is>
      </c>
      <c r="C407" s="52" t="inlineStr">
        <is>
          <t>TOUR1</t>
        </is>
      </c>
      <c r="D407" s="53" t="inlineStr">
        <is>
          <t>Changement de série</t>
        </is>
      </c>
      <c r="E407" s="60" t="n">
        <v>38</v>
      </c>
      <c r="F407" s="53" t="n"/>
      <c r="G407" s="61" t="str">
        <f>IF(OR(COUNTA(A407:E407)=0,D407=""),"",IFERROR(INDEX(ca_fam,MATCH(D407,ca_name,0))&amp;"",""))</f>
        <v>Réglage et changement de série</v>
      </c>
      <c r="H407" s="58" t="str">
        <f>IF(OR(COUNTA(A407:E407)=0,D407=""),"",IFERROR(INDEX(ca_type,MATCH(D407,ca_name,0))&amp;"",""))</f>
        <v>Non planifié</v>
      </c>
      <c r="I407" s="58" t="str">
        <f>IF(COUNTA(A407:E407)=0,"",IF(N(A407)&lt;=0,"Date manquante ou invalide",IF(B407="","Équipe manquante",IF(ISNA(MATCH(B407,eq_code,0)),"Équipe inconnue",IF(C407="","Poste manquant",IF(ISNA(MATCH(C407,po_code,0)),"Poste inconnu",IF(D407="","Cause manquante",IF(ISNA(MATCH(D407,ca_name,0)),"Cause inconnue",IF(H407="","Cause à compléter dans Paramètres",IF(OR(NOT(ISNUMBER(E407)),N(E407)&lt;=0,N(E407)&gt;1440),"Durée invalide",IF(COUNTIFS(sj_date,A407,sj_eq,B407,sj_po,C407)=0,"Pas de saisie journalière ce jour-là","OK")))))))))))</f>
        <v>OK</v>
      </c>
      <c r="J407">
        <f>IF(OR(I407="OK",I407="Pas de saisie journalière ce jour-là"),E407,0)</f>
        <v>38.0</v>
      </c>
      <c r="K407">
        <f>IF(AND(J407&gt;0,A407&gt;=p_from,A407&lt;=p_to),1,0)</f>
        <v>1.0</v>
      </c>
      <c r="L407">
        <f>IF(AND(K407=1,OR(pa_po="",C407=pa_po),OR(pa_eq="",B407=pa_eq)),1,0)</f>
        <v>1.0</v>
      </c>
    </row>
    <row r="408">
      <c r="A408" s="51" t="n">
        <v>46318</v>
      </c>
      <c r="B408" s="52" t="inlineStr">
        <is>
          <t>Matin</t>
        </is>
      </c>
      <c r="C408" s="52" t="inlineStr">
        <is>
          <t>TOUR1</t>
        </is>
      </c>
      <c r="D408" s="53" t="inlineStr">
        <is>
          <t>Changement d'outil</t>
        </is>
      </c>
      <c r="E408" s="60" t="n">
        <v>15</v>
      </c>
      <c r="F408" s="53" t="n"/>
      <c r="G408" s="61" t="str">
        <f>IF(OR(COUNTA(A408:E408)=0,D408=""),"",IFERROR(INDEX(ca_fam,MATCH(D408,ca_name,0))&amp;"",""))</f>
        <v>Réglage et changement de série</v>
      </c>
      <c r="H408" s="58" t="str">
        <f>IF(OR(COUNTA(A408:E408)=0,D408=""),"",IFERROR(INDEX(ca_type,MATCH(D408,ca_name,0))&amp;"",""))</f>
        <v>Non planifié</v>
      </c>
      <c r="I408" s="58" t="str">
        <f>IF(COUNTA(A408:E408)=0,"",IF(N(A408)&lt;=0,"Date manquante ou invalide",IF(B408="","Équipe manquante",IF(ISNA(MATCH(B408,eq_code,0)),"Équipe inconnue",IF(C408="","Poste manquant",IF(ISNA(MATCH(C408,po_code,0)),"Poste inconnu",IF(D408="","Cause manquante",IF(ISNA(MATCH(D408,ca_name,0)),"Cause inconnue",IF(H408="","Cause à compléter dans Paramètres",IF(OR(NOT(ISNUMBER(E408)),N(E408)&lt;=0,N(E408)&gt;1440),"Durée invalide",IF(COUNTIFS(sj_date,A408,sj_eq,B408,sj_po,C408)=0,"Pas de saisie journalière ce jour-là","OK")))))))))))</f>
        <v>OK</v>
      </c>
      <c r="J408">
        <f>IF(OR(I408="OK",I408="Pas de saisie journalière ce jour-là"),E408,0)</f>
        <v>15.0</v>
      </c>
      <c r="K408">
        <f>IF(AND(J408&gt;0,A408&gt;=p_from,A408&lt;=p_to),1,0)</f>
        <v>1.0</v>
      </c>
      <c r="L408">
        <f>IF(AND(K408=1,OR(pa_po="",C408=pa_po),OR(pa_eq="",B408=pa_eq)),1,0)</f>
        <v>1.0</v>
      </c>
    </row>
    <row r="409">
      <c r="A409" s="51" t="n">
        <v>46318</v>
      </c>
      <c r="B409" s="52" t="inlineStr">
        <is>
          <t>Matin</t>
        </is>
      </c>
      <c r="C409" s="52" t="inlineStr">
        <is>
          <t>TOUR1</t>
        </is>
      </c>
      <c r="D409" s="53" t="inlineStr">
        <is>
          <t>Changement de série</t>
        </is>
      </c>
      <c r="E409" s="60" t="n">
        <v>37</v>
      </c>
      <c r="F409" s="53" t="n"/>
      <c r="G409" s="61" t="str">
        <f>IF(OR(COUNTA(A409:E409)=0,D409=""),"",IFERROR(INDEX(ca_fam,MATCH(D409,ca_name,0))&amp;"",""))</f>
        <v>Réglage et changement de série</v>
      </c>
      <c r="H409" s="58" t="str">
        <f>IF(OR(COUNTA(A409:E409)=0,D409=""),"",IFERROR(INDEX(ca_type,MATCH(D409,ca_name,0))&amp;"",""))</f>
        <v>Non planifié</v>
      </c>
      <c r="I409" s="58" t="str">
        <f>IF(COUNTA(A409:E409)=0,"",IF(N(A409)&lt;=0,"Date manquante ou invalide",IF(B409="","Équipe manquante",IF(ISNA(MATCH(B409,eq_code,0)),"Équipe inconnue",IF(C409="","Poste manquant",IF(ISNA(MATCH(C409,po_code,0)),"Poste inconnu",IF(D409="","Cause manquante",IF(ISNA(MATCH(D409,ca_name,0)),"Cause inconnue",IF(H409="","Cause à compléter dans Paramètres",IF(OR(NOT(ISNUMBER(E409)),N(E409)&lt;=0,N(E409)&gt;1440),"Durée invalide",IF(COUNTIFS(sj_date,A409,sj_eq,B409,sj_po,C409)=0,"Pas de saisie journalière ce jour-là","OK")))))))))))</f>
        <v>OK</v>
      </c>
      <c r="J409">
        <f>IF(OR(I409="OK",I409="Pas de saisie journalière ce jour-là"),E409,0)</f>
        <v>37.0</v>
      </c>
      <c r="K409">
        <f>IF(AND(J409&gt;0,A409&gt;=p_from,A409&lt;=p_to),1,0)</f>
        <v>1.0</v>
      </c>
      <c r="L409">
        <f>IF(AND(K409=1,OR(pa_po="",C409=pa_po),OR(pa_eq="",B409=pa_eq)),1,0)</f>
        <v>1.0</v>
      </c>
    </row>
    <row r="410">
      <c r="A410" s="51" t="n">
        <v>46318</v>
      </c>
      <c r="B410" s="52" t="inlineStr">
        <is>
          <t>Après-midi</t>
        </is>
      </c>
      <c r="C410" s="52" t="inlineStr">
        <is>
          <t>TOUR1</t>
        </is>
      </c>
      <c r="D410" s="53" t="inlineStr">
        <is>
          <t>Changement de série</t>
        </is>
      </c>
      <c r="E410" s="60" t="n">
        <v>35</v>
      </c>
      <c r="F410" s="53" t="n"/>
      <c r="G410" s="61" t="str">
        <f>IF(OR(COUNTA(A410:E410)=0,D410=""),"",IFERROR(INDEX(ca_fam,MATCH(D410,ca_name,0))&amp;"",""))</f>
        <v>Réglage et changement de série</v>
      </c>
      <c r="H410" s="58" t="str">
        <f>IF(OR(COUNTA(A410:E410)=0,D410=""),"",IFERROR(INDEX(ca_type,MATCH(D410,ca_name,0))&amp;"",""))</f>
        <v>Non planifié</v>
      </c>
      <c r="I410" s="58" t="str">
        <f>IF(COUNTA(A410:E410)=0,"",IF(N(A410)&lt;=0,"Date manquante ou invalide",IF(B410="","Équipe manquante",IF(ISNA(MATCH(B410,eq_code,0)),"Équipe inconnue",IF(C410="","Poste manquant",IF(ISNA(MATCH(C410,po_code,0)),"Poste inconnu",IF(D410="","Cause manquante",IF(ISNA(MATCH(D410,ca_name,0)),"Cause inconnue",IF(H410="","Cause à compléter dans Paramètres",IF(OR(NOT(ISNUMBER(E410)),N(E410)&lt;=0,N(E410)&gt;1440),"Durée invalide",IF(COUNTIFS(sj_date,A410,sj_eq,B410,sj_po,C410)=0,"Pas de saisie journalière ce jour-là","OK")))))))))))</f>
        <v>OK</v>
      </c>
      <c r="J410">
        <f>IF(OR(I410="OK",I410="Pas de saisie journalière ce jour-là"),E410,0)</f>
        <v>35.0</v>
      </c>
      <c r="K410">
        <f>IF(AND(J410&gt;0,A410&gt;=p_from,A410&lt;=p_to),1,0)</f>
        <v>1.0</v>
      </c>
      <c r="L410">
        <f>IF(AND(K410=1,OR(pa_po="",C410=pa_po),OR(pa_eq="",B410=pa_eq)),1,0)</f>
        <v>1.0</v>
      </c>
    </row>
    <row r="411">
      <c r="A411" s="51" t="n">
        <v>46318</v>
      </c>
      <c r="B411" s="52" t="inlineStr">
        <is>
          <t>Matin</t>
        </is>
      </c>
      <c r="C411" s="52" t="inlineStr">
        <is>
          <t>TOUR2</t>
        </is>
      </c>
      <c r="D411" s="53" t="inlineStr">
        <is>
          <t>Changement de série</t>
        </is>
      </c>
      <c r="E411" s="60" t="n">
        <v>38</v>
      </c>
      <c r="F411" s="53" t="n"/>
      <c r="G411" s="61" t="str">
        <f>IF(OR(COUNTA(A411:E411)=0,D411=""),"",IFERROR(INDEX(ca_fam,MATCH(D411,ca_name,0))&amp;"",""))</f>
        <v>Réglage et changement de série</v>
      </c>
      <c r="H411" s="58" t="str">
        <f>IF(OR(COUNTA(A411:E411)=0,D411=""),"",IFERROR(INDEX(ca_type,MATCH(D411,ca_name,0))&amp;"",""))</f>
        <v>Non planifié</v>
      </c>
      <c r="I411" s="58" t="str">
        <f>IF(COUNTA(A411:E411)=0,"",IF(N(A411)&lt;=0,"Date manquante ou invalide",IF(B411="","Équipe manquante",IF(ISNA(MATCH(B411,eq_code,0)),"Équipe inconnue",IF(C411="","Poste manquant",IF(ISNA(MATCH(C411,po_code,0)),"Poste inconnu",IF(D411="","Cause manquante",IF(ISNA(MATCH(D411,ca_name,0)),"Cause inconnue",IF(H411="","Cause à compléter dans Paramètres",IF(OR(NOT(ISNUMBER(E411)),N(E411)&lt;=0,N(E411)&gt;1440),"Durée invalide",IF(COUNTIFS(sj_date,A411,sj_eq,B411,sj_po,C411)=0,"Pas de saisie journalière ce jour-là","OK")))))))))))</f>
        <v>OK</v>
      </c>
      <c r="J411">
        <f>IF(OR(I411="OK",I411="Pas de saisie journalière ce jour-là"),E411,0)</f>
        <v>38.0</v>
      </c>
      <c r="K411">
        <f>IF(AND(J411&gt;0,A411&gt;=p_from,A411&lt;=p_to),1,0)</f>
        <v>1.0</v>
      </c>
      <c r="L411">
        <f>IF(AND(K411=1,OR(pa_po="",C411=pa_po),OR(pa_eq="",B411=pa_eq)),1,0)</f>
        <v>1.0</v>
      </c>
    </row>
    <row r="412">
      <c r="A412" s="51" t="n">
        <v>46318</v>
      </c>
      <c r="B412" s="52" t="inlineStr">
        <is>
          <t>Après-midi</t>
        </is>
      </c>
      <c r="C412" s="52" t="inlineStr">
        <is>
          <t>TOUR2</t>
        </is>
      </c>
      <c r="D412" s="53" t="inlineStr">
        <is>
          <t>Attente programme ou consignes</t>
        </is>
      </c>
      <c r="E412" s="60" t="n">
        <v>29</v>
      </c>
      <c r="F412" s="53" t="n"/>
      <c r="G412" s="61" t="str">
        <f>IF(OR(COUNTA(A412:E412)=0,D412=""),"",IFERROR(INDEX(ca_fam,MATCH(D412,ca_name,0))&amp;"",""))</f>
        <v>Organisation</v>
      </c>
      <c r="H412" s="58" t="str">
        <f>IF(OR(COUNTA(A412:E412)=0,D412=""),"",IFERROR(INDEX(ca_type,MATCH(D412,ca_name,0))&amp;"",""))</f>
        <v>Non planifié</v>
      </c>
      <c r="I412" s="58" t="str">
        <f>IF(COUNTA(A412:E412)=0,"",IF(N(A412)&lt;=0,"Date manquante ou invalide",IF(B412="","Équipe manquante",IF(ISNA(MATCH(B412,eq_code,0)),"Équipe inconnue",IF(C412="","Poste manquant",IF(ISNA(MATCH(C412,po_code,0)),"Poste inconnu",IF(D412="","Cause manquante",IF(ISNA(MATCH(D412,ca_name,0)),"Cause inconnue",IF(H412="","Cause à compléter dans Paramètres",IF(OR(NOT(ISNUMBER(E412)),N(E412)&lt;=0,N(E412)&gt;1440),"Durée invalide",IF(COUNTIFS(sj_date,A412,sj_eq,B412,sj_po,C412)=0,"Pas de saisie journalière ce jour-là","OK")))))))))))</f>
        <v>OK</v>
      </c>
      <c r="J412">
        <f>IF(OR(I412="OK",I412="Pas de saisie journalière ce jour-là"),E412,0)</f>
        <v>29.0</v>
      </c>
      <c r="K412">
        <f>IF(AND(J412&gt;0,A412&gt;=p_from,A412&lt;=p_to),1,0)</f>
        <v>1.0</v>
      </c>
      <c r="L412">
        <f>IF(AND(K412=1,OR(pa_po="",C412=pa_po),OR(pa_eq="",B412=pa_eq)),1,0)</f>
        <v>1.0</v>
      </c>
    </row>
    <row r="413">
      <c r="A413" s="51" t="n">
        <v>46318</v>
      </c>
      <c r="B413" s="52" t="inlineStr">
        <is>
          <t>Après-midi</t>
        </is>
      </c>
      <c r="C413" s="52" t="inlineStr">
        <is>
          <t>USIN</t>
        </is>
      </c>
      <c r="D413" s="53" t="inlineStr">
        <is>
          <t>Attente contrôle qualité</t>
        </is>
      </c>
      <c r="E413" s="60" t="n">
        <v>21</v>
      </c>
      <c r="F413" s="53" t="n"/>
      <c r="G413" s="61" t="str">
        <f>IF(OR(COUNTA(A413:E413)=0,D413=""),"",IFERROR(INDEX(ca_fam,MATCH(D413,ca_name,0))&amp;"",""))</f>
        <v>Qualité</v>
      </c>
      <c r="H413" s="58" t="str">
        <f>IF(OR(COUNTA(A413:E413)=0,D413=""),"",IFERROR(INDEX(ca_type,MATCH(D413,ca_name,0))&amp;"",""))</f>
        <v>Non planifié</v>
      </c>
      <c r="I413" s="58" t="str">
        <f>IF(COUNTA(A413:E413)=0,"",IF(N(A413)&lt;=0,"Date manquante ou invalide",IF(B413="","Équipe manquante",IF(ISNA(MATCH(B413,eq_code,0)),"Équipe inconnue",IF(C413="","Poste manquant",IF(ISNA(MATCH(C413,po_code,0)),"Poste inconnu",IF(D413="","Cause manquante",IF(ISNA(MATCH(D413,ca_name,0)),"Cause inconnue",IF(H413="","Cause à compléter dans Paramètres",IF(OR(NOT(ISNUMBER(E413)),N(E413)&lt;=0,N(E413)&gt;1440),"Durée invalide",IF(COUNTIFS(sj_date,A413,sj_eq,B413,sj_po,C413)=0,"Pas de saisie journalière ce jour-là","OK")))))))))))</f>
        <v>OK</v>
      </c>
      <c r="J413">
        <f>IF(OR(I413="OK",I413="Pas de saisie journalière ce jour-là"),E413,0)</f>
        <v>21.0</v>
      </c>
      <c r="K413">
        <f>IF(AND(J413&gt;0,A413&gt;=p_from,A413&lt;=p_to),1,0)</f>
        <v>1.0</v>
      </c>
      <c r="L413">
        <f>IF(AND(K413=1,OR(pa_po="",C413=pa_po),OR(pa_eq="",B413=pa_eq)),1,0)</f>
        <v>1.0</v>
      </c>
    </row>
    <row r="414">
      <c r="A414" s="51" t="n">
        <v>46318</v>
      </c>
      <c r="B414" s="52" t="inlineStr">
        <is>
          <t>Journée</t>
        </is>
      </c>
      <c r="C414" s="52" t="inlineStr">
        <is>
          <t>PLIE</t>
        </is>
      </c>
      <c r="D414" s="53" t="inlineStr">
        <is>
          <t>Opérateur sur un autre poste</t>
        </is>
      </c>
      <c r="E414" s="60" t="n">
        <v>50</v>
      </c>
      <c r="F414" s="53" t="n"/>
      <c r="G414" s="61" t="str">
        <f>IF(OR(COUNTA(A414:E414)=0,D414=""),"",IFERROR(INDEX(ca_fam,MATCH(D414,ca_name,0))&amp;"",""))</f>
        <v>Manque personnel</v>
      </c>
      <c r="H414" s="58" t="str">
        <f>IF(OR(COUNTA(A414:E414)=0,D414=""),"",IFERROR(INDEX(ca_type,MATCH(D414,ca_name,0))&amp;"",""))</f>
        <v>Non planifié</v>
      </c>
      <c r="I414" s="58" t="str">
        <f>IF(COUNTA(A414:E414)=0,"",IF(N(A414)&lt;=0,"Date manquante ou invalide",IF(B414="","Équipe manquante",IF(ISNA(MATCH(B414,eq_code,0)),"Équipe inconnue",IF(C414="","Poste manquant",IF(ISNA(MATCH(C414,po_code,0)),"Poste inconnu",IF(D414="","Cause manquante",IF(ISNA(MATCH(D414,ca_name,0)),"Cause inconnue",IF(H414="","Cause à compléter dans Paramètres",IF(OR(NOT(ISNUMBER(E414)),N(E414)&lt;=0,N(E414)&gt;1440),"Durée invalide",IF(COUNTIFS(sj_date,A414,sj_eq,B414,sj_po,C414)=0,"Pas de saisie journalière ce jour-là","OK")))))))))))</f>
        <v>OK</v>
      </c>
      <c r="J414">
        <f>IF(OR(I414="OK",I414="Pas de saisie journalière ce jour-là"),E414,0)</f>
        <v>50.0</v>
      </c>
      <c r="K414">
        <f>IF(AND(J414&gt;0,A414&gt;=p_from,A414&lt;=p_to),1,0)</f>
        <v>1.0</v>
      </c>
      <c r="L414">
        <f>IF(AND(K414=1,OR(pa_po="",C414=pa_po),OR(pa_eq="",B414=pa_eq)),1,0)</f>
        <v>1.0</v>
      </c>
    </row>
    <row r="415">
      <c r="A415" s="51" t="n">
        <v>46318</v>
      </c>
      <c r="B415" s="52" t="inlineStr">
        <is>
          <t>Journée</t>
        </is>
      </c>
      <c r="C415" s="52" t="inlineStr">
        <is>
          <t>PLIE</t>
        </is>
      </c>
      <c r="D415" s="53" t="inlineStr">
        <is>
          <t>Opérateur sur un autre poste</t>
        </is>
      </c>
      <c r="E415" s="60" t="n">
        <v>51</v>
      </c>
      <c r="F415" s="53" t="n"/>
      <c r="G415" s="61" t="str">
        <f>IF(OR(COUNTA(A415:E415)=0,D415=""),"",IFERROR(INDEX(ca_fam,MATCH(D415,ca_name,0))&amp;"",""))</f>
        <v>Manque personnel</v>
      </c>
      <c r="H415" s="58" t="str">
        <f>IF(OR(COUNTA(A415:E415)=0,D415=""),"",IFERROR(INDEX(ca_type,MATCH(D415,ca_name,0))&amp;"",""))</f>
        <v>Non planifié</v>
      </c>
      <c r="I415" s="58" t="str">
        <f>IF(COUNTA(A415:E415)=0,"",IF(N(A415)&lt;=0,"Date manquante ou invalide",IF(B415="","Équipe manquante",IF(ISNA(MATCH(B415,eq_code,0)),"Équipe inconnue",IF(C415="","Poste manquant",IF(ISNA(MATCH(C415,po_code,0)),"Poste inconnu",IF(D415="","Cause manquante",IF(ISNA(MATCH(D415,ca_name,0)),"Cause inconnue",IF(H415="","Cause à compléter dans Paramètres",IF(OR(NOT(ISNUMBER(E415)),N(E415)&lt;=0,N(E415)&gt;1440),"Durée invalide",IF(COUNTIFS(sj_date,A415,sj_eq,B415,sj_po,C415)=0,"Pas de saisie journalière ce jour-là","OK")))))))))))</f>
        <v>OK</v>
      </c>
      <c r="J415">
        <f>IF(OR(I415="OK",I415="Pas de saisie journalière ce jour-là"),E415,0)</f>
        <v>51.0</v>
      </c>
      <c r="K415">
        <f>IF(AND(J415&gt;0,A415&gt;=p_from,A415&lt;=p_to),1,0)</f>
        <v>1.0</v>
      </c>
      <c r="L415">
        <f>IF(AND(K415=1,OR(pa_po="",C415=pa_po),OR(pa_eq="",B415=pa_eq)),1,0)</f>
        <v>1.0</v>
      </c>
    </row>
    <row r="416">
      <c r="A416" s="51" t="n">
        <v>46318</v>
      </c>
      <c r="B416" s="52" t="inlineStr">
        <is>
          <t>Matin</t>
        </is>
      </c>
      <c r="C416" s="52" t="inlineStr">
        <is>
          <t>SOUD</t>
        </is>
      </c>
      <c r="D416" s="53" t="inlineStr">
        <is>
          <t>Changement de série</t>
        </is>
      </c>
      <c r="E416" s="60" t="n">
        <v>59</v>
      </c>
      <c r="F416" s="53" t="n"/>
      <c r="G416" s="61" t="str">
        <f>IF(OR(COUNTA(A416:E416)=0,D416=""),"",IFERROR(INDEX(ca_fam,MATCH(D416,ca_name,0))&amp;"",""))</f>
        <v>Réglage et changement de série</v>
      </c>
      <c r="H416" s="58" t="str">
        <f>IF(OR(COUNTA(A416:E416)=0,D416=""),"",IFERROR(INDEX(ca_type,MATCH(D416,ca_name,0))&amp;"",""))</f>
        <v>Non planifié</v>
      </c>
      <c r="I416" s="58" t="str">
        <f>IF(COUNTA(A416:E416)=0,"",IF(N(A416)&lt;=0,"Date manquante ou invalide",IF(B416="","Équipe manquante",IF(ISNA(MATCH(B416,eq_code,0)),"Équipe inconnue",IF(C416="","Poste manquant",IF(ISNA(MATCH(C416,po_code,0)),"Poste inconnu",IF(D416="","Cause manquante",IF(ISNA(MATCH(D416,ca_name,0)),"Cause inconnue",IF(H416="","Cause à compléter dans Paramètres",IF(OR(NOT(ISNUMBER(E416)),N(E416)&lt;=0,N(E416)&gt;1440),"Durée invalide",IF(COUNTIFS(sj_date,A416,sj_eq,B416,sj_po,C416)=0,"Pas de saisie journalière ce jour-là","OK")))))))))))</f>
        <v>OK</v>
      </c>
      <c r="J416">
        <f>IF(OR(I416="OK",I416="Pas de saisie journalière ce jour-là"),E416,0)</f>
        <v>59.0</v>
      </c>
      <c r="K416">
        <f>IF(AND(J416&gt;0,A416&gt;=p_from,A416&lt;=p_to),1,0)</f>
        <v>1.0</v>
      </c>
      <c r="L416">
        <f>IF(AND(K416=1,OR(pa_po="",C416=pa_po),OR(pa_eq="",B416=pa_eq)),1,0)</f>
        <v>1.0</v>
      </c>
    </row>
    <row r="417">
      <c r="A417" s="51" t="n">
        <v>46318</v>
      </c>
      <c r="B417" s="52" t="inlineStr">
        <is>
          <t>Matin</t>
        </is>
      </c>
      <c r="C417" s="52" t="inlineStr">
        <is>
          <t>SOUD</t>
        </is>
      </c>
      <c r="D417" s="53" t="inlineStr">
        <is>
          <t>Réglage en cours de production</t>
        </is>
      </c>
      <c r="E417" s="60" t="n">
        <v>14</v>
      </c>
      <c r="F417" s="53" t="n"/>
      <c r="G417" s="61" t="str">
        <f>IF(OR(COUNTA(A417:E417)=0,D417=""),"",IFERROR(INDEX(ca_fam,MATCH(D417,ca_name,0))&amp;"",""))</f>
        <v>Réglage et changement de série</v>
      </c>
      <c r="H417" s="58" t="str">
        <f>IF(OR(COUNTA(A417:E417)=0,D417=""),"",IFERROR(INDEX(ca_type,MATCH(D417,ca_name,0))&amp;"",""))</f>
        <v>Non planifié</v>
      </c>
      <c r="I417" s="58" t="str">
        <f>IF(COUNTA(A417:E417)=0,"",IF(N(A417)&lt;=0,"Date manquante ou invalide",IF(B417="","Équipe manquante",IF(ISNA(MATCH(B417,eq_code,0)),"Équipe inconnue",IF(C417="","Poste manquant",IF(ISNA(MATCH(C417,po_code,0)),"Poste inconnu",IF(D417="","Cause manquante",IF(ISNA(MATCH(D417,ca_name,0)),"Cause inconnue",IF(H417="","Cause à compléter dans Paramètres",IF(OR(NOT(ISNUMBER(E417)),N(E417)&lt;=0,N(E417)&gt;1440),"Durée invalide",IF(COUNTIFS(sj_date,A417,sj_eq,B417,sj_po,C417)=0,"Pas de saisie journalière ce jour-là","OK")))))))))))</f>
        <v>OK</v>
      </c>
      <c r="J417">
        <f>IF(OR(I417="OK",I417="Pas de saisie journalière ce jour-là"),E417,0)</f>
        <v>14.0</v>
      </c>
      <c r="K417">
        <f>IF(AND(J417&gt;0,A417&gt;=p_from,A417&lt;=p_to),1,0)</f>
        <v>1.0</v>
      </c>
      <c r="L417">
        <f>IF(AND(K417=1,OR(pa_po="",C417=pa_po),OR(pa_eq="",B417=pa_eq)),1,0)</f>
        <v>1.0</v>
      </c>
    </row>
    <row r="418">
      <c r="A418" s="51" t="n">
        <v>46318</v>
      </c>
      <c r="B418" s="52" t="inlineStr">
        <is>
          <t>Matin</t>
        </is>
      </c>
      <c r="C418" s="52" t="inlineStr">
        <is>
          <t>SOUD</t>
        </is>
      </c>
      <c r="D418" s="53" t="inlineStr">
        <is>
          <t>Réglage en cours de production</t>
        </is>
      </c>
      <c r="E418" s="60" t="n">
        <v>22</v>
      </c>
      <c r="F418" s="53" t="n"/>
      <c r="G418" s="61" t="str">
        <f>IF(OR(COUNTA(A418:E418)=0,D418=""),"",IFERROR(INDEX(ca_fam,MATCH(D418,ca_name,0))&amp;"",""))</f>
        <v>Réglage et changement de série</v>
      </c>
      <c r="H418" s="58" t="str">
        <f>IF(OR(COUNTA(A418:E418)=0,D418=""),"",IFERROR(INDEX(ca_type,MATCH(D418,ca_name,0))&amp;"",""))</f>
        <v>Non planifié</v>
      </c>
      <c r="I418" s="58" t="str">
        <f>IF(COUNTA(A418:E418)=0,"",IF(N(A418)&lt;=0,"Date manquante ou invalide",IF(B418="","Équipe manquante",IF(ISNA(MATCH(B418,eq_code,0)),"Équipe inconnue",IF(C418="","Poste manquant",IF(ISNA(MATCH(C418,po_code,0)),"Poste inconnu",IF(D418="","Cause manquante",IF(ISNA(MATCH(D418,ca_name,0)),"Cause inconnue",IF(H418="","Cause à compléter dans Paramètres",IF(OR(NOT(ISNUMBER(E418)),N(E418)&lt;=0,N(E418)&gt;1440),"Durée invalide",IF(COUNTIFS(sj_date,A418,sj_eq,B418,sj_po,C418)=0,"Pas de saisie journalière ce jour-là","OK")))))))))))</f>
        <v>OK</v>
      </c>
      <c r="J418">
        <f>IF(OR(I418="OK",I418="Pas de saisie journalière ce jour-là"),E418,0)</f>
        <v>22.0</v>
      </c>
      <c r="K418">
        <f>IF(AND(J418&gt;0,A418&gt;=p_from,A418&lt;=p_to),1,0)</f>
        <v>1.0</v>
      </c>
      <c r="L418">
        <f>IF(AND(K418=1,OR(pa_po="",C418=pa_po),OR(pa_eq="",B418=pa_eq)),1,0)</f>
        <v>1.0</v>
      </c>
    </row>
    <row r="419">
      <c r="A419" s="51" t="n">
        <v>46318</v>
      </c>
      <c r="B419" s="52" t="inlineStr">
        <is>
          <t>Après-midi</t>
        </is>
      </c>
      <c r="C419" s="52" t="inlineStr">
        <is>
          <t>SOUD</t>
        </is>
      </c>
      <c r="D419" s="53" t="inlineStr">
        <is>
          <t>Attente matière</t>
        </is>
      </c>
      <c r="E419" s="60" t="n">
        <v>68</v>
      </c>
      <c r="F419" s="53" t="n"/>
      <c r="G419" s="61" t="str">
        <f>IF(OR(COUNTA(A419:E419)=0,D419=""),"",IFERROR(INDEX(ca_fam,MATCH(D419,ca_name,0))&amp;"",""))</f>
        <v>Manque matière</v>
      </c>
      <c r="H419" s="58" t="str">
        <f>IF(OR(COUNTA(A419:E419)=0,D419=""),"",IFERROR(INDEX(ca_type,MATCH(D419,ca_name,0))&amp;"",""))</f>
        <v>Non planifié</v>
      </c>
      <c r="I419" s="58" t="str">
        <f>IF(COUNTA(A419:E419)=0,"",IF(N(A419)&lt;=0,"Date manquante ou invalide",IF(B419="","Équipe manquante",IF(ISNA(MATCH(B419,eq_code,0)),"Équipe inconnue",IF(C419="","Poste manquant",IF(ISNA(MATCH(C419,po_code,0)),"Poste inconnu",IF(D419="","Cause manquante",IF(ISNA(MATCH(D419,ca_name,0)),"Cause inconnue",IF(H419="","Cause à compléter dans Paramètres",IF(OR(NOT(ISNUMBER(E419)),N(E419)&lt;=0,N(E419)&gt;1440),"Durée invalide",IF(COUNTIFS(sj_date,A419,sj_eq,B419,sj_po,C419)=0,"Pas de saisie journalière ce jour-là","OK")))))))))))</f>
        <v>OK</v>
      </c>
      <c r="J419">
        <f>IF(OR(I419="OK",I419="Pas de saisie journalière ce jour-là"),E419,0)</f>
        <v>68.0</v>
      </c>
      <c r="K419">
        <f>IF(AND(J419&gt;0,A419&gt;=p_from,A419&lt;=p_to),1,0)</f>
        <v>1.0</v>
      </c>
      <c r="L419">
        <f>IF(AND(K419=1,OR(pa_po="",C419=pa_po),OR(pa_eq="",B419=pa_eq)),1,0)</f>
        <v>1.0</v>
      </c>
    </row>
    <row r="420">
      <c r="A420" s="51" t="n">
        <v>46318</v>
      </c>
      <c r="B420" s="52" t="inlineStr">
        <is>
          <t>Après-midi</t>
        </is>
      </c>
      <c r="C420" s="52" t="inlineStr">
        <is>
          <t>SOUD</t>
        </is>
      </c>
      <c r="D420" s="53" t="inlineStr">
        <is>
          <t>Réglage en cours de production</t>
        </is>
      </c>
      <c r="E420" s="60" t="n">
        <v>15</v>
      </c>
      <c r="F420" s="53" t="n"/>
      <c r="G420" s="61" t="str">
        <f>IF(OR(COUNTA(A420:E420)=0,D420=""),"",IFERROR(INDEX(ca_fam,MATCH(D420,ca_name,0))&amp;"",""))</f>
        <v>Réglage et changement de série</v>
      </c>
      <c r="H420" s="58" t="str">
        <f>IF(OR(COUNTA(A420:E420)=0,D420=""),"",IFERROR(INDEX(ca_type,MATCH(D420,ca_name,0))&amp;"",""))</f>
        <v>Non planifié</v>
      </c>
      <c r="I420" s="58" t="str">
        <f>IF(COUNTA(A420:E420)=0,"",IF(N(A420)&lt;=0,"Date manquante ou invalide",IF(B420="","Équipe manquante",IF(ISNA(MATCH(B420,eq_code,0)),"Équipe inconnue",IF(C420="","Poste manquant",IF(ISNA(MATCH(C420,po_code,0)),"Poste inconnu",IF(D420="","Cause manquante",IF(ISNA(MATCH(D420,ca_name,0)),"Cause inconnue",IF(H420="","Cause à compléter dans Paramètres",IF(OR(NOT(ISNUMBER(E420)),N(E420)&lt;=0,N(E420)&gt;1440),"Durée invalide",IF(COUNTIFS(sj_date,A420,sj_eq,B420,sj_po,C420)=0,"Pas de saisie journalière ce jour-là","OK")))))))))))</f>
        <v>OK</v>
      </c>
      <c r="J420">
        <f>IF(OR(I420="OK",I420="Pas de saisie journalière ce jour-là"),E420,0)</f>
        <v>15.0</v>
      </c>
      <c r="K420">
        <f>IF(AND(J420&gt;0,A420&gt;=p_from,A420&lt;=p_to),1,0)</f>
        <v>1.0</v>
      </c>
      <c r="L420">
        <f>IF(AND(K420=1,OR(pa_po="",C420=pa_po),OR(pa_eq="",B420=pa_eq)),1,0)</f>
        <v>1.0</v>
      </c>
    </row>
    <row r="421">
      <c r="A421" s="51" t="n">
        <v>46318</v>
      </c>
      <c r="B421" s="52" t="inlineStr">
        <is>
          <t>Après-midi</t>
        </is>
      </c>
      <c r="C421" s="52" t="inlineStr">
        <is>
          <t>SOUD</t>
        </is>
      </c>
      <c r="D421" s="53" t="inlineStr">
        <is>
          <t>Changement de série</t>
        </is>
      </c>
      <c r="E421" s="60" t="n">
        <v>62</v>
      </c>
      <c r="F421" s="53" t="n"/>
      <c r="G421" s="61" t="str">
        <f>IF(OR(COUNTA(A421:E421)=0,D421=""),"",IFERROR(INDEX(ca_fam,MATCH(D421,ca_name,0))&amp;"",""))</f>
        <v>Réglage et changement de série</v>
      </c>
      <c r="H421" s="58" t="str">
        <f>IF(OR(COUNTA(A421:E421)=0,D421=""),"",IFERROR(INDEX(ca_type,MATCH(D421,ca_name,0))&amp;"",""))</f>
        <v>Non planifié</v>
      </c>
      <c r="I421" s="58" t="str">
        <f>IF(COUNTA(A421:E421)=0,"",IF(N(A421)&lt;=0,"Date manquante ou invalide",IF(B421="","Équipe manquante",IF(ISNA(MATCH(B421,eq_code,0)),"Équipe inconnue",IF(C421="","Poste manquant",IF(ISNA(MATCH(C421,po_code,0)),"Poste inconnu",IF(D421="","Cause manquante",IF(ISNA(MATCH(D421,ca_name,0)),"Cause inconnue",IF(H421="","Cause à compléter dans Paramètres",IF(OR(NOT(ISNUMBER(E421)),N(E421)&lt;=0,N(E421)&gt;1440),"Durée invalide",IF(COUNTIFS(sj_date,A421,sj_eq,B421,sj_po,C421)=0,"Pas de saisie journalière ce jour-là","OK")))))))))))</f>
        <v>OK</v>
      </c>
      <c r="J421">
        <f>IF(OR(I421="OK",I421="Pas de saisie journalière ce jour-là"),E421,0)</f>
        <v>62.0</v>
      </c>
      <c r="K421">
        <f>IF(AND(J421&gt;0,A421&gt;=p_from,A421&lt;=p_to),1,0)</f>
        <v>1.0</v>
      </c>
      <c r="L421">
        <f>IF(AND(K421=1,OR(pa_po="",C421=pa_po),OR(pa_eq="",B421=pa_eq)),1,0)</f>
        <v>1.0</v>
      </c>
    </row>
    <row r="422">
      <c r="A422" s="51" t="n">
        <v>46321</v>
      </c>
      <c r="B422" s="52" t="inlineStr">
        <is>
          <t>Matin</t>
        </is>
      </c>
      <c r="C422" s="52" t="inlineStr">
        <is>
          <t>TOUR1</t>
        </is>
      </c>
      <c r="D422" s="53" t="inlineStr">
        <is>
          <t>Réglage en cours de production</t>
        </is>
      </c>
      <c r="E422" s="60" t="n">
        <v>12</v>
      </c>
      <c r="F422" s="53" t="n"/>
      <c r="G422" s="61" t="str">
        <f>IF(OR(COUNTA(A422:E422)=0,D422=""),"",IFERROR(INDEX(ca_fam,MATCH(D422,ca_name,0))&amp;"",""))</f>
        <v>Réglage et changement de série</v>
      </c>
      <c r="H422" s="58" t="str">
        <f>IF(OR(COUNTA(A422:E422)=0,D422=""),"",IFERROR(INDEX(ca_type,MATCH(D422,ca_name,0))&amp;"",""))</f>
        <v>Non planifié</v>
      </c>
      <c r="I422" s="58" t="str">
        <f>IF(COUNTA(A422:E422)=0,"",IF(N(A422)&lt;=0,"Date manquante ou invalide",IF(B422="","Équipe manquante",IF(ISNA(MATCH(B422,eq_code,0)),"Équipe inconnue",IF(C422="","Poste manquant",IF(ISNA(MATCH(C422,po_code,0)),"Poste inconnu",IF(D422="","Cause manquante",IF(ISNA(MATCH(D422,ca_name,0)),"Cause inconnue",IF(H422="","Cause à compléter dans Paramètres",IF(OR(NOT(ISNUMBER(E422)),N(E422)&lt;=0,N(E422)&gt;1440),"Durée invalide",IF(COUNTIFS(sj_date,A422,sj_eq,B422,sj_po,C422)=0,"Pas de saisie journalière ce jour-là","OK")))))))))))</f>
        <v>OK</v>
      </c>
      <c r="J422">
        <f>IF(OR(I422="OK",I422="Pas de saisie journalière ce jour-là"),E422,0)</f>
        <v>12.0</v>
      </c>
      <c r="K422">
        <f>IF(AND(J422&gt;0,A422&gt;=p_from,A422&lt;=p_to),1,0)</f>
        <v>1.0</v>
      </c>
      <c r="L422">
        <f>IF(AND(K422=1,OR(pa_po="",C422=pa_po),OR(pa_eq="",B422=pa_eq)),1,0)</f>
        <v>1.0</v>
      </c>
    </row>
    <row r="423">
      <c r="A423" s="51" t="n">
        <v>46321</v>
      </c>
      <c r="B423" s="52" t="inlineStr">
        <is>
          <t>Matin</t>
        </is>
      </c>
      <c r="C423" s="52" t="inlineStr">
        <is>
          <t>TOUR2</t>
        </is>
      </c>
      <c r="D423" s="53" t="inlineStr">
        <is>
          <t>Attente programme ou consignes</t>
        </is>
      </c>
      <c r="E423" s="60" t="n">
        <v>18</v>
      </c>
      <c r="F423" s="53" t="n"/>
      <c r="G423" s="61" t="str">
        <f>IF(OR(COUNTA(A423:E423)=0,D423=""),"",IFERROR(INDEX(ca_fam,MATCH(D423,ca_name,0))&amp;"",""))</f>
        <v>Organisation</v>
      </c>
      <c r="H423" s="58" t="str">
        <f>IF(OR(COUNTA(A423:E423)=0,D423=""),"",IFERROR(INDEX(ca_type,MATCH(D423,ca_name,0))&amp;"",""))</f>
        <v>Non planifié</v>
      </c>
      <c r="I423" s="58" t="str">
        <f>IF(COUNTA(A423:E423)=0,"",IF(N(A423)&lt;=0,"Date manquante ou invalide",IF(B423="","Équipe manquante",IF(ISNA(MATCH(B423,eq_code,0)),"Équipe inconnue",IF(C423="","Poste manquant",IF(ISNA(MATCH(C423,po_code,0)),"Poste inconnu",IF(D423="","Cause manquante",IF(ISNA(MATCH(D423,ca_name,0)),"Cause inconnue",IF(H423="","Cause à compléter dans Paramètres",IF(OR(NOT(ISNUMBER(E423)),N(E423)&lt;=0,N(E423)&gt;1440),"Durée invalide",IF(COUNTIFS(sj_date,A423,sj_eq,B423,sj_po,C423)=0,"Pas de saisie journalière ce jour-là","OK")))))))))))</f>
        <v>OK</v>
      </c>
      <c r="J423">
        <f>IF(OR(I423="OK",I423="Pas de saisie journalière ce jour-là"),E423,0)</f>
        <v>18.0</v>
      </c>
      <c r="K423">
        <f>IF(AND(J423&gt;0,A423&gt;=p_from,A423&lt;=p_to),1,0)</f>
        <v>1.0</v>
      </c>
      <c r="L423">
        <f>IF(AND(K423=1,OR(pa_po="",C423=pa_po),OR(pa_eq="",B423=pa_eq)),1,0)</f>
        <v>1.0</v>
      </c>
    </row>
    <row r="424">
      <c r="A424" s="51" t="n">
        <v>46321</v>
      </c>
      <c r="B424" s="52" t="inlineStr">
        <is>
          <t>Matin</t>
        </is>
      </c>
      <c r="C424" s="52" t="inlineStr">
        <is>
          <t>TOUR2</t>
        </is>
      </c>
      <c r="D424" s="53" t="inlineStr">
        <is>
          <t>Casse outil</t>
        </is>
      </c>
      <c r="E424" s="60" t="n">
        <v>24</v>
      </c>
      <c r="F424" s="53" t="n"/>
      <c r="G424" s="61" t="str">
        <f>IF(OR(COUNTA(A424:E424)=0,D424=""),"",IFERROR(INDEX(ca_fam,MATCH(D424,ca_name,0))&amp;"",""))</f>
        <v>Panne</v>
      </c>
      <c r="H424" s="58" t="str">
        <f>IF(OR(COUNTA(A424:E424)=0,D424=""),"",IFERROR(INDEX(ca_type,MATCH(D424,ca_name,0))&amp;"",""))</f>
        <v>Non planifié</v>
      </c>
      <c r="I424" s="58" t="str">
        <f>IF(COUNTA(A424:E424)=0,"",IF(N(A424)&lt;=0,"Date manquante ou invalide",IF(B424="","Équipe manquante",IF(ISNA(MATCH(B424,eq_code,0)),"Équipe inconnue",IF(C424="","Poste manquant",IF(ISNA(MATCH(C424,po_code,0)),"Poste inconnu",IF(D424="","Cause manquante",IF(ISNA(MATCH(D424,ca_name,0)),"Cause inconnue",IF(H424="","Cause à compléter dans Paramètres",IF(OR(NOT(ISNUMBER(E424)),N(E424)&lt;=0,N(E424)&gt;1440),"Durée invalide",IF(COUNTIFS(sj_date,A424,sj_eq,B424,sj_po,C424)=0,"Pas de saisie journalière ce jour-là","OK")))))))))))</f>
        <v>OK</v>
      </c>
      <c r="J424">
        <f>IF(OR(I424="OK",I424="Pas de saisie journalière ce jour-là"),E424,0)</f>
        <v>24.0</v>
      </c>
      <c r="K424">
        <f>IF(AND(J424&gt;0,A424&gt;=p_from,A424&lt;=p_to),1,0)</f>
        <v>1.0</v>
      </c>
      <c r="L424">
        <f>IF(AND(K424=1,OR(pa_po="",C424=pa_po),OR(pa_eq="",B424=pa_eq)),1,0)</f>
        <v>1.0</v>
      </c>
    </row>
    <row r="425">
      <c r="A425" s="51" t="n">
        <v>46321</v>
      </c>
      <c r="B425" s="52" t="inlineStr">
        <is>
          <t>Après-midi</t>
        </is>
      </c>
      <c r="C425" s="52" t="inlineStr">
        <is>
          <t>TOUR2</t>
        </is>
      </c>
      <c r="D425" s="53" t="inlineStr">
        <is>
          <t>Panne mécanique</t>
        </is>
      </c>
      <c r="E425" s="60" t="n">
        <v>56</v>
      </c>
      <c r="F425" s="53" t="n"/>
      <c r="G425" s="61" t="str">
        <f>IF(OR(COUNTA(A425:E425)=0,D425=""),"",IFERROR(INDEX(ca_fam,MATCH(D425,ca_name,0))&amp;"",""))</f>
        <v>Panne</v>
      </c>
      <c r="H425" s="58" t="str">
        <f>IF(OR(COUNTA(A425:E425)=0,D425=""),"",IFERROR(INDEX(ca_type,MATCH(D425,ca_name,0))&amp;"",""))</f>
        <v>Non planifié</v>
      </c>
      <c r="I425" s="58" t="str">
        <f>IF(COUNTA(A425:E425)=0,"",IF(N(A425)&lt;=0,"Date manquante ou invalide",IF(B425="","Équipe manquante",IF(ISNA(MATCH(B425,eq_code,0)),"Équipe inconnue",IF(C425="","Poste manquant",IF(ISNA(MATCH(C425,po_code,0)),"Poste inconnu",IF(D425="","Cause manquante",IF(ISNA(MATCH(D425,ca_name,0)),"Cause inconnue",IF(H425="","Cause à compléter dans Paramètres",IF(OR(NOT(ISNUMBER(E425)),N(E425)&lt;=0,N(E425)&gt;1440),"Durée invalide",IF(COUNTIFS(sj_date,A425,sj_eq,B425,sj_po,C425)=0,"Pas de saisie journalière ce jour-là","OK")))))))))))</f>
        <v>OK</v>
      </c>
      <c r="J425">
        <f>IF(OR(I425="OK",I425="Pas de saisie journalière ce jour-là"),E425,0)</f>
        <v>56.0</v>
      </c>
      <c r="K425">
        <f>IF(AND(J425&gt;0,A425&gt;=p_from,A425&lt;=p_to),1,0)</f>
        <v>1.0</v>
      </c>
      <c r="L425">
        <f>IF(AND(K425=1,OR(pa_po="",C425=pa_po),OR(pa_eq="",B425=pa_eq)),1,0)</f>
        <v>1.0</v>
      </c>
    </row>
    <row r="426">
      <c r="A426" s="51" t="n">
        <v>46321</v>
      </c>
      <c r="B426" s="52" t="inlineStr">
        <is>
          <t>Après-midi</t>
        </is>
      </c>
      <c r="C426" s="52" t="inlineStr">
        <is>
          <t>TOUR2</t>
        </is>
      </c>
      <c r="D426" s="53" t="inlineStr">
        <is>
          <t>Arrêt pour non-conformité</t>
        </is>
      </c>
      <c r="E426" s="60" t="n">
        <v>58</v>
      </c>
      <c r="F426" s="53" t="n"/>
      <c r="G426" s="61" t="str">
        <f>IF(OR(COUNTA(A426:E426)=0,D426=""),"",IFERROR(INDEX(ca_fam,MATCH(D426,ca_name,0))&amp;"",""))</f>
        <v>Qualité</v>
      </c>
      <c r="H426" s="58" t="str">
        <f>IF(OR(COUNTA(A426:E426)=0,D426=""),"",IFERROR(INDEX(ca_type,MATCH(D426,ca_name,0))&amp;"",""))</f>
        <v>Non planifié</v>
      </c>
      <c r="I426" s="58" t="str">
        <f>IF(COUNTA(A426:E426)=0,"",IF(N(A426)&lt;=0,"Date manquante ou invalide",IF(B426="","Équipe manquante",IF(ISNA(MATCH(B426,eq_code,0)),"Équipe inconnue",IF(C426="","Poste manquant",IF(ISNA(MATCH(C426,po_code,0)),"Poste inconnu",IF(D426="","Cause manquante",IF(ISNA(MATCH(D426,ca_name,0)),"Cause inconnue",IF(H426="","Cause à compléter dans Paramètres",IF(OR(NOT(ISNUMBER(E426)),N(E426)&lt;=0,N(E426)&gt;1440),"Durée invalide",IF(COUNTIFS(sj_date,A426,sj_eq,B426,sj_po,C426)=0,"Pas de saisie journalière ce jour-là","OK")))))))))))</f>
        <v>OK</v>
      </c>
      <c r="J426">
        <f>IF(OR(I426="OK",I426="Pas de saisie journalière ce jour-là"),E426,0)</f>
        <v>58.0</v>
      </c>
      <c r="K426">
        <f>IF(AND(J426&gt;0,A426&gt;=p_from,A426&lt;=p_to),1,0)</f>
        <v>1.0</v>
      </c>
      <c r="L426">
        <f>IF(AND(K426=1,OR(pa_po="",C426=pa_po),OR(pa_eq="",B426=pa_eq)),1,0)</f>
        <v>1.0</v>
      </c>
    </row>
    <row r="427">
      <c r="A427" s="51" t="n">
        <v>46321</v>
      </c>
      <c r="B427" s="52" t="inlineStr">
        <is>
          <t>Matin</t>
        </is>
      </c>
      <c r="C427" s="52" t="inlineStr">
        <is>
          <t>USIN</t>
        </is>
      </c>
      <c r="D427" s="53" t="inlineStr">
        <is>
          <t>Maintenance préventive</t>
        </is>
      </c>
      <c r="E427" s="60" t="n">
        <v>60</v>
      </c>
      <c r="F427" s="53" t="n"/>
      <c r="G427" s="61" t="str">
        <f>IF(OR(COUNTA(A427:E427)=0,D427=""),"",IFERROR(INDEX(ca_fam,MATCH(D427,ca_name,0))&amp;"",""))</f>
        <v>Arrêt planifié</v>
      </c>
      <c r="H427" s="58" t="str">
        <f>IF(OR(COUNTA(A427:E427)=0,D427=""),"",IFERROR(INDEX(ca_type,MATCH(D427,ca_name,0))&amp;"",""))</f>
        <v>Planifié</v>
      </c>
      <c r="I427" s="58" t="str">
        <f>IF(COUNTA(A427:E427)=0,"",IF(N(A427)&lt;=0,"Date manquante ou invalide",IF(B427="","Équipe manquante",IF(ISNA(MATCH(B427,eq_code,0)),"Équipe inconnue",IF(C427="","Poste manquant",IF(ISNA(MATCH(C427,po_code,0)),"Poste inconnu",IF(D427="","Cause manquante",IF(ISNA(MATCH(D427,ca_name,0)),"Cause inconnue",IF(H427="","Cause à compléter dans Paramètres",IF(OR(NOT(ISNUMBER(E427)),N(E427)&lt;=0,N(E427)&gt;1440),"Durée invalide",IF(COUNTIFS(sj_date,A427,sj_eq,B427,sj_po,C427)=0,"Pas de saisie journalière ce jour-là","OK")))))))))))</f>
        <v>OK</v>
      </c>
      <c r="J427">
        <f>IF(OR(I427="OK",I427="Pas de saisie journalière ce jour-là"),E427,0)</f>
        <v>60.0</v>
      </c>
      <c r="K427">
        <f>IF(AND(J427&gt;0,A427&gt;=p_from,A427&lt;=p_to),1,0)</f>
        <v>1.0</v>
      </c>
      <c r="L427">
        <f>IF(AND(K427=1,OR(pa_po="",C427=pa_po),OR(pa_eq="",B427=pa_eq)),1,0)</f>
        <v>1.0</v>
      </c>
    </row>
    <row r="428">
      <c r="A428" s="51" t="n">
        <v>46321</v>
      </c>
      <c r="B428" s="52" t="inlineStr">
        <is>
          <t>Matin</t>
        </is>
      </c>
      <c r="C428" s="52" t="inlineStr">
        <is>
          <t>USIN</t>
        </is>
      </c>
      <c r="D428" s="53" t="inlineStr">
        <is>
          <t>Changement de série</t>
        </is>
      </c>
      <c r="E428" s="60" t="n">
        <v>36</v>
      </c>
      <c r="F428" s="53" t="n"/>
      <c r="G428" s="61" t="str">
        <f>IF(OR(COUNTA(A428:E428)=0,D428=""),"",IFERROR(INDEX(ca_fam,MATCH(D428,ca_name,0))&amp;"",""))</f>
        <v>Réglage et changement de série</v>
      </c>
      <c r="H428" s="58" t="str">
        <f>IF(OR(COUNTA(A428:E428)=0,D428=""),"",IFERROR(INDEX(ca_type,MATCH(D428,ca_name,0))&amp;"",""))</f>
        <v>Non planifié</v>
      </c>
      <c r="I428" s="58" t="str">
        <f>IF(COUNTA(A428:E428)=0,"",IF(N(A428)&lt;=0,"Date manquante ou invalide",IF(B428="","Équipe manquante",IF(ISNA(MATCH(B428,eq_code,0)),"Équipe inconnue",IF(C428="","Poste manquant",IF(ISNA(MATCH(C428,po_code,0)),"Poste inconnu",IF(D428="","Cause manquante",IF(ISNA(MATCH(D428,ca_name,0)),"Cause inconnue",IF(H428="","Cause à compléter dans Paramètres",IF(OR(NOT(ISNUMBER(E428)),N(E428)&lt;=0,N(E428)&gt;1440),"Durée invalide",IF(COUNTIFS(sj_date,A428,sj_eq,B428,sj_po,C428)=0,"Pas de saisie journalière ce jour-là","OK")))))))))))</f>
        <v>OK</v>
      </c>
      <c r="J428">
        <f>IF(OR(I428="OK",I428="Pas de saisie journalière ce jour-là"),E428,0)</f>
        <v>36.0</v>
      </c>
      <c r="K428">
        <f>IF(AND(J428&gt;0,A428&gt;=p_from,A428&lt;=p_to),1,0)</f>
        <v>1.0</v>
      </c>
      <c r="L428">
        <f>IF(AND(K428=1,OR(pa_po="",C428=pa_po),OR(pa_eq="",B428=pa_eq)),1,0)</f>
        <v>1.0</v>
      </c>
    </row>
    <row r="429">
      <c r="A429" s="51" t="n">
        <v>46321</v>
      </c>
      <c r="B429" s="52" t="inlineStr">
        <is>
          <t>Matin</t>
        </is>
      </c>
      <c r="C429" s="52" t="inlineStr">
        <is>
          <t>USIN</t>
        </is>
      </c>
      <c r="D429" s="53" t="inlineStr">
        <is>
          <t>Absence opérateur</t>
        </is>
      </c>
      <c r="E429" s="60" t="n">
        <v>216</v>
      </c>
      <c r="F429" s="53" t="n"/>
      <c r="G429" s="61" t="str">
        <f>IF(OR(COUNTA(A429:E429)=0,D429=""),"",IFERROR(INDEX(ca_fam,MATCH(D429,ca_name,0))&amp;"",""))</f>
        <v>Manque personnel</v>
      </c>
      <c r="H429" s="58" t="str">
        <f>IF(OR(COUNTA(A429:E429)=0,D429=""),"",IFERROR(INDEX(ca_type,MATCH(D429,ca_name,0))&amp;"",""))</f>
        <v>Non planifié</v>
      </c>
      <c r="I429" s="58" t="str">
        <f>IF(COUNTA(A429:E429)=0,"",IF(N(A429)&lt;=0,"Date manquante ou invalide",IF(B429="","Équipe manquante",IF(ISNA(MATCH(B429,eq_code,0)),"Équipe inconnue",IF(C429="","Poste manquant",IF(ISNA(MATCH(C429,po_code,0)),"Poste inconnu",IF(D429="","Cause manquante",IF(ISNA(MATCH(D429,ca_name,0)),"Cause inconnue",IF(H429="","Cause à compléter dans Paramètres",IF(OR(NOT(ISNUMBER(E429)),N(E429)&lt;=0,N(E429)&gt;1440),"Durée invalide",IF(COUNTIFS(sj_date,A429,sj_eq,B429,sj_po,C429)=0,"Pas de saisie journalière ce jour-là","OK")))))))))))</f>
        <v>OK</v>
      </c>
      <c r="J429">
        <f>IF(OR(I429="OK",I429="Pas de saisie journalière ce jour-là"),E429,0)</f>
        <v>216.0</v>
      </c>
      <c r="K429">
        <f>IF(AND(J429&gt;0,A429&gt;=p_from,A429&lt;=p_to),1,0)</f>
        <v>1.0</v>
      </c>
      <c r="L429">
        <f>IF(AND(K429=1,OR(pa_po="",C429=pa_po),OR(pa_eq="",B429=pa_eq)),1,0)</f>
        <v>1.0</v>
      </c>
    </row>
    <row r="430">
      <c r="A430" s="51" t="n">
        <v>46321</v>
      </c>
      <c r="B430" s="52" t="inlineStr">
        <is>
          <t>Matin</t>
        </is>
      </c>
      <c r="C430" s="52" t="inlineStr">
        <is>
          <t>USIN</t>
        </is>
      </c>
      <c r="D430" s="53" t="inlineStr">
        <is>
          <t>Attente programme ou consignes</t>
        </is>
      </c>
      <c r="E430" s="60" t="n">
        <v>19</v>
      </c>
      <c r="F430" s="53" t="n"/>
      <c r="G430" s="61" t="str">
        <f>IF(OR(COUNTA(A430:E430)=0,D430=""),"",IFERROR(INDEX(ca_fam,MATCH(D430,ca_name,0))&amp;"",""))</f>
        <v>Organisation</v>
      </c>
      <c r="H430" s="58" t="str">
        <f>IF(OR(COUNTA(A430:E430)=0,D430=""),"",IFERROR(INDEX(ca_type,MATCH(D430,ca_name,0))&amp;"",""))</f>
        <v>Non planifié</v>
      </c>
      <c r="I430" s="58" t="str">
        <f>IF(COUNTA(A430:E430)=0,"",IF(N(A430)&lt;=0,"Date manquante ou invalide",IF(B430="","Équipe manquante",IF(ISNA(MATCH(B430,eq_code,0)),"Équipe inconnue",IF(C430="","Poste manquant",IF(ISNA(MATCH(C430,po_code,0)),"Poste inconnu",IF(D430="","Cause manquante",IF(ISNA(MATCH(D430,ca_name,0)),"Cause inconnue",IF(H430="","Cause à compléter dans Paramètres",IF(OR(NOT(ISNUMBER(E430)),N(E430)&lt;=0,N(E430)&gt;1440),"Durée invalide",IF(COUNTIFS(sj_date,A430,sj_eq,B430,sj_po,C430)=0,"Pas de saisie journalière ce jour-là","OK")))))))))))</f>
        <v>OK</v>
      </c>
      <c r="J430">
        <f>IF(OR(I430="OK",I430="Pas de saisie journalière ce jour-là"),E430,0)</f>
        <v>19.0</v>
      </c>
      <c r="K430">
        <f>IF(AND(J430&gt;0,A430&gt;=p_from,A430&lt;=p_to),1,0)</f>
        <v>1.0</v>
      </c>
      <c r="L430">
        <f>IF(AND(K430=1,OR(pa_po="",C430=pa_po),OR(pa_eq="",B430=pa_eq)),1,0)</f>
        <v>1.0</v>
      </c>
    </row>
    <row r="431">
      <c r="A431" s="51" t="n">
        <v>46321</v>
      </c>
      <c r="B431" s="52" t="inlineStr">
        <is>
          <t>Après-midi</t>
        </is>
      </c>
      <c r="C431" s="52" t="inlineStr">
        <is>
          <t>USIN</t>
        </is>
      </c>
      <c r="D431" s="53" t="inlineStr">
        <is>
          <t>Attente matière</t>
        </is>
      </c>
      <c r="E431" s="60" t="n">
        <v>70</v>
      </c>
      <c r="F431" s="53" t="n"/>
      <c r="G431" s="61" t="str">
        <f>IF(OR(COUNTA(A431:E431)=0,D431=""),"",IFERROR(INDEX(ca_fam,MATCH(D431,ca_name,0))&amp;"",""))</f>
        <v>Manque matière</v>
      </c>
      <c r="H431" s="58" t="str">
        <f>IF(OR(COUNTA(A431:E431)=0,D431=""),"",IFERROR(INDEX(ca_type,MATCH(D431,ca_name,0))&amp;"",""))</f>
        <v>Non planifié</v>
      </c>
      <c r="I431" s="58" t="str">
        <f>IF(COUNTA(A431:E431)=0,"",IF(N(A431)&lt;=0,"Date manquante ou invalide",IF(B431="","Équipe manquante",IF(ISNA(MATCH(B431,eq_code,0)),"Équipe inconnue",IF(C431="","Poste manquant",IF(ISNA(MATCH(C431,po_code,0)),"Poste inconnu",IF(D431="","Cause manquante",IF(ISNA(MATCH(D431,ca_name,0)),"Cause inconnue",IF(H431="","Cause à compléter dans Paramètres",IF(OR(NOT(ISNUMBER(E431)),N(E431)&lt;=0,N(E431)&gt;1440),"Durée invalide",IF(COUNTIFS(sj_date,A431,sj_eq,B431,sj_po,C431)=0,"Pas de saisie journalière ce jour-là","OK")))))))))))</f>
        <v>OK</v>
      </c>
      <c r="J431">
        <f>IF(OR(I431="OK",I431="Pas de saisie journalière ce jour-là"),E431,0)</f>
        <v>70.0</v>
      </c>
      <c r="K431">
        <f>IF(AND(J431&gt;0,A431&gt;=p_from,A431&lt;=p_to),1,0)</f>
        <v>1.0</v>
      </c>
      <c r="L431">
        <f>IF(AND(K431=1,OR(pa_po="",C431=pa_po),OR(pa_eq="",B431=pa_eq)),1,0)</f>
        <v>1.0</v>
      </c>
    </row>
    <row r="432">
      <c r="A432" s="51" t="n">
        <v>46321</v>
      </c>
      <c r="B432" s="52" t="inlineStr">
        <is>
          <t>Matin</t>
        </is>
      </c>
      <c r="C432" s="52" t="inlineStr">
        <is>
          <t>PRESSE</t>
        </is>
      </c>
      <c r="D432" s="53" t="inlineStr">
        <is>
          <t>Maintenance préventive</t>
        </is>
      </c>
      <c r="E432" s="60" t="n">
        <v>60</v>
      </c>
      <c r="F432" s="53" t="n"/>
      <c r="G432" s="61" t="str">
        <f>IF(OR(COUNTA(A432:E432)=0,D432=""),"",IFERROR(INDEX(ca_fam,MATCH(D432,ca_name,0))&amp;"",""))</f>
        <v>Arrêt planifié</v>
      </c>
      <c r="H432" s="58" t="str">
        <f>IF(OR(COUNTA(A432:E432)=0,D432=""),"",IFERROR(INDEX(ca_type,MATCH(D432,ca_name,0))&amp;"",""))</f>
        <v>Planifié</v>
      </c>
      <c r="I432" s="58" t="str">
        <f>IF(COUNTA(A432:E432)=0,"",IF(N(A432)&lt;=0,"Date manquante ou invalide",IF(B432="","Équipe manquante",IF(ISNA(MATCH(B432,eq_code,0)),"Équipe inconnue",IF(C432="","Poste manquant",IF(ISNA(MATCH(C432,po_code,0)),"Poste inconnu",IF(D432="","Cause manquante",IF(ISNA(MATCH(D432,ca_name,0)),"Cause inconnue",IF(H432="","Cause à compléter dans Paramètres",IF(OR(NOT(ISNUMBER(E432)),N(E432)&lt;=0,N(E432)&gt;1440),"Durée invalide",IF(COUNTIFS(sj_date,A432,sj_eq,B432,sj_po,C432)=0,"Pas de saisie journalière ce jour-là","OK")))))))))))</f>
        <v>OK</v>
      </c>
      <c r="J432">
        <f>IF(OR(I432="OK",I432="Pas de saisie journalière ce jour-là"),E432,0)</f>
        <v>60.0</v>
      </c>
      <c r="K432">
        <f>IF(AND(J432&gt;0,A432&gt;=p_from,A432&lt;=p_to),1,0)</f>
        <v>1.0</v>
      </c>
      <c r="L432">
        <f>IF(AND(K432=1,OR(pa_po="",C432=pa_po),OR(pa_eq="",B432=pa_eq)),1,0)</f>
        <v>1.0</v>
      </c>
    </row>
    <row r="433">
      <c r="A433" s="51" t="n">
        <v>46321</v>
      </c>
      <c r="B433" s="52" t="inlineStr">
        <is>
          <t>Matin</t>
        </is>
      </c>
      <c r="C433" s="52" t="inlineStr">
        <is>
          <t>PRESSE</t>
        </is>
      </c>
      <c r="D433" s="53" t="inlineStr">
        <is>
          <t>Attente matière</t>
        </is>
      </c>
      <c r="E433" s="60" t="n">
        <v>31</v>
      </c>
      <c r="F433" s="53" t="n"/>
      <c r="G433" s="61" t="str">
        <f>IF(OR(COUNTA(A433:E433)=0,D433=""),"",IFERROR(INDEX(ca_fam,MATCH(D433,ca_name,0))&amp;"",""))</f>
        <v>Manque matière</v>
      </c>
      <c r="H433" s="58" t="str">
        <f>IF(OR(COUNTA(A433:E433)=0,D433=""),"",IFERROR(INDEX(ca_type,MATCH(D433,ca_name,0))&amp;"",""))</f>
        <v>Non planifié</v>
      </c>
      <c r="I433" s="58" t="str">
        <f>IF(COUNTA(A433:E433)=0,"",IF(N(A433)&lt;=0,"Date manquante ou invalide",IF(B433="","Équipe manquante",IF(ISNA(MATCH(B433,eq_code,0)),"Équipe inconnue",IF(C433="","Poste manquant",IF(ISNA(MATCH(C433,po_code,0)),"Poste inconnu",IF(D433="","Cause manquante",IF(ISNA(MATCH(D433,ca_name,0)),"Cause inconnue",IF(H433="","Cause à compléter dans Paramètres",IF(OR(NOT(ISNUMBER(E433)),N(E433)&lt;=0,N(E433)&gt;1440),"Durée invalide",IF(COUNTIFS(sj_date,A433,sj_eq,B433,sj_po,C433)=0,"Pas de saisie journalière ce jour-là","OK")))))))))))</f>
        <v>OK</v>
      </c>
      <c r="J433">
        <f>IF(OR(I433="OK",I433="Pas de saisie journalière ce jour-là"),E433,0)</f>
        <v>31.0</v>
      </c>
      <c r="K433">
        <f>IF(AND(J433&gt;0,A433&gt;=p_from,A433&lt;=p_to),1,0)</f>
        <v>1.0</v>
      </c>
      <c r="L433">
        <f>IF(AND(K433=1,OR(pa_po="",C433=pa_po),OR(pa_eq="",B433=pa_eq)),1,0)</f>
        <v>1.0</v>
      </c>
    </row>
    <row r="434">
      <c r="A434" s="51" t="n">
        <v>46321</v>
      </c>
      <c r="B434" s="52" t="inlineStr">
        <is>
          <t>Journée</t>
        </is>
      </c>
      <c r="C434" s="52" t="inlineStr">
        <is>
          <t>PLIE</t>
        </is>
      </c>
      <c r="D434" s="53" t="inlineStr">
        <is>
          <t>Attente matière</t>
        </is>
      </c>
      <c r="E434" s="60" t="n">
        <v>32</v>
      </c>
      <c r="F434" s="53" t="n"/>
      <c r="G434" s="61" t="str">
        <f>IF(OR(COUNTA(A434:E434)=0,D434=""),"",IFERROR(INDEX(ca_fam,MATCH(D434,ca_name,0))&amp;"",""))</f>
        <v>Manque matière</v>
      </c>
      <c r="H434" s="58" t="str">
        <f>IF(OR(COUNTA(A434:E434)=0,D434=""),"",IFERROR(INDEX(ca_type,MATCH(D434,ca_name,0))&amp;"",""))</f>
        <v>Non planifié</v>
      </c>
      <c r="I434" s="58" t="str">
        <f>IF(COUNTA(A434:E434)=0,"",IF(N(A434)&lt;=0,"Date manquante ou invalide",IF(B434="","Équipe manquante",IF(ISNA(MATCH(B434,eq_code,0)),"Équipe inconnue",IF(C434="","Poste manquant",IF(ISNA(MATCH(C434,po_code,0)),"Poste inconnu",IF(D434="","Cause manquante",IF(ISNA(MATCH(D434,ca_name,0)),"Cause inconnue",IF(H434="","Cause à compléter dans Paramètres",IF(OR(NOT(ISNUMBER(E434)),N(E434)&lt;=0,N(E434)&gt;1440),"Durée invalide",IF(COUNTIFS(sj_date,A434,sj_eq,B434,sj_po,C434)=0,"Pas de saisie journalière ce jour-là","OK")))))))))))</f>
        <v>OK</v>
      </c>
      <c r="J434">
        <f>IF(OR(I434="OK",I434="Pas de saisie journalière ce jour-là"),E434,0)</f>
        <v>32.0</v>
      </c>
      <c r="K434">
        <f>IF(AND(J434&gt;0,A434&gt;=p_from,A434&lt;=p_to),1,0)</f>
        <v>1.0</v>
      </c>
      <c r="L434">
        <f>IF(AND(K434=1,OR(pa_po="",C434=pa_po),OR(pa_eq="",B434=pa_eq)),1,0)</f>
        <v>1.0</v>
      </c>
    </row>
    <row r="435">
      <c r="A435" s="51" t="n">
        <v>46321</v>
      </c>
      <c r="B435" s="52" t="inlineStr">
        <is>
          <t>Matin</t>
        </is>
      </c>
      <c r="C435" s="52" t="inlineStr">
        <is>
          <t>SOUD</t>
        </is>
      </c>
      <c r="D435" s="53" t="inlineStr">
        <is>
          <t>Changement de série</t>
        </is>
      </c>
      <c r="E435" s="60" t="n">
        <v>28</v>
      </c>
      <c r="F435" s="53" t="n"/>
      <c r="G435" s="61" t="str">
        <f>IF(OR(COUNTA(A435:E435)=0,D435=""),"",IFERROR(INDEX(ca_fam,MATCH(D435,ca_name,0))&amp;"",""))</f>
        <v>Réglage et changement de série</v>
      </c>
      <c r="H435" s="58" t="str">
        <f>IF(OR(COUNTA(A435:E435)=0,D435=""),"",IFERROR(INDEX(ca_type,MATCH(D435,ca_name,0))&amp;"",""))</f>
        <v>Non planifié</v>
      </c>
      <c r="I435" s="58" t="str">
        <f>IF(COUNTA(A435:E435)=0,"",IF(N(A435)&lt;=0,"Date manquante ou invalide",IF(B435="","Équipe manquante",IF(ISNA(MATCH(B435,eq_code,0)),"Équipe inconnue",IF(C435="","Poste manquant",IF(ISNA(MATCH(C435,po_code,0)),"Poste inconnu",IF(D435="","Cause manquante",IF(ISNA(MATCH(D435,ca_name,0)),"Cause inconnue",IF(H435="","Cause à compléter dans Paramètres",IF(OR(NOT(ISNUMBER(E435)),N(E435)&lt;=0,N(E435)&gt;1440),"Durée invalide",IF(COUNTIFS(sj_date,A435,sj_eq,B435,sj_po,C435)=0,"Pas de saisie journalière ce jour-là","OK")))))))))))</f>
        <v>OK</v>
      </c>
      <c r="J435">
        <f>IF(OR(I435="OK",I435="Pas de saisie journalière ce jour-là"),E435,0)</f>
        <v>28.0</v>
      </c>
      <c r="K435">
        <f>IF(AND(J435&gt;0,A435&gt;=p_from,A435&lt;=p_to),1,0)</f>
        <v>1.0</v>
      </c>
      <c r="L435">
        <f>IF(AND(K435=1,OR(pa_po="",C435=pa_po),OR(pa_eq="",B435=pa_eq)),1,0)</f>
        <v>1.0</v>
      </c>
    </row>
    <row r="436">
      <c r="A436" s="51" t="n">
        <v>46321</v>
      </c>
      <c r="B436" s="52" t="inlineStr">
        <is>
          <t>Après-midi</t>
        </is>
      </c>
      <c r="C436" s="52" t="inlineStr">
        <is>
          <t>SOUD</t>
        </is>
      </c>
      <c r="D436" s="53" t="inlineStr">
        <is>
          <t>Réglage en cours de production</t>
        </is>
      </c>
      <c r="E436" s="60" t="n">
        <v>8</v>
      </c>
      <c r="F436" s="53" t="n"/>
      <c r="G436" s="61" t="str">
        <f>IF(OR(COUNTA(A436:E436)=0,D436=""),"",IFERROR(INDEX(ca_fam,MATCH(D436,ca_name,0))&amp;"",""))</f>
        <v>Réglage et changement de série</v>
      </c>
      <c r="H436" s="58" t="str">
        <f>IF(OR(COUNTA(A436:E436)=0,D436=""),"",IFERROR(INDEX(ca_type,MATCH(D436,ca_name,0))&amp;"",""))</f>
        <v>Non planifié</v>
      </c>
      <c r="I436" s="58" t="str">
        <f>IF(COUNTA(A436:E436)=0,"",IF(N(A436)&lt;=0,"Date manquante ou invalide",IF(B436="","Équipe manquante",IF(ISNA(MATCH(B436,eq_code,0)),"Équipe inconnue",IF(C436="","Poste manquant",IF(ISNA(MATCH(C436,po_code,0)),"Poste inconnu",IF(D436="","Cause manquante",IF(ISNA(MATCH(D436,ca_name,0)),"Cause inconnue",IF(H436="","Cause à compléter dans Paramètres",IF(OR(NOT(ISNUMBER(E436)),N(E436)&lt;=0,N(E436)&gt;1440),"Durée invalide",IF(COUNTIFS(sj_date,A436,sj_eq,B436,sj_po,C436)=0,"Pas de saisie journalière ce jour-là","OK")))))))))))</f>
        <v>OK</v>
      </c>
      <c r="J436">
        <f>IF(OR(I436="OK",I436="Pas de saisie journalière ce jour-là"),E436,0)</f>
        <v>8.0</v>
      </c>
      <c r="K436">
        <f>IF(AND(J436&gt;0,A436&gt;=p_from,A436&lt;=p_to),1,0)</f>
        <v>1.0</v>
      </c>
      <c r="L436">
        <f>IF(AND(K436=1,OR(pa_po="",C436=pa_po),OR(pa_eq="",B436=pa_eq)),1,0)</f>
        <v>1.0</v>
      </c>
    </row>
    <row r="437">
      <c r="A437" s="51" t="n">
        <v>46322</v>
      </c>
      <c r="B437" s="52" t="inlineStr">
        <is>
          <t>Matin</t>
        </is>
      </c>
      <c r="C437" s="52" t="inlineStr">
        <is>
          <t>TOUR1</t>
        </is>
      </c>
      <c r="D437" s="53" t="inlineStr">
        <is>
          <t>Changement de série</t>
        </is>
      </c>
      <c r="E437" s="60" t="n">
        <v>53</v>
      </c>
      <c r="F437" s="53" t="n"/>
      <c r="G437" s="61" t="str">
        <f>IF(OR(COUNTA(A437:E437)=0,D437=""),"",IFERROR(INDEX(ca_fam,MATCH(D437,ca_name,0))&amp;"",""))</f>
        <v>Réglage et changement de série</v>
      </c>
      <c r="H437" s="58" t="str">
        <f>IF(OR(COUNTA(A437:E437)=0,D437=""),"",IFERROR(INDEX(ca_type,MATCH(D437,ca_name,0))&amp;"",""))</f>
        <v>Non planifié</v>
      </c>
      <c r="I437" s="58" t="str">
        <f>IF(COUNTA(A437:E437)=0,"",IF(N(A437)&lt;=0,"Date manquante ou invalide",IF(B437="","Équipe manquante",IF(ISNA(MATCH(B437,eq_code,0)),"Équipe inconnue",IF(C437="","Poste manquant",IF(ISNA(MATCH(C437,po_code,0)),"Poste inconnu",IF(D437="","Cause manquante",IF(ISNA(MATCH(D437,ca_name,0)),"Cause inconnue",IF(H437="","Cause à compléter dans Paramètres",IF(OR(NOT(ISNUMBER(E437)),N(E437)&lt;=0,N(E437)&gt;1440),"Durée invalide",IF(COUNTIFS(sj_date,A437,sj_eq,B437,sj_po,C437)=0,"Pas de saisie journalière ce jour-là","OK")))))))))))</f>
        <v>OK</v>
      </c>
      <c r="J437">
        <f>IF(OR(I437="OK",I437="Pas de saisie journalière ce jour-là"),E437,0)</f>
        <v>53.0</v>
      </c>
      <c r="K437">
        <f>IF(AND(J437&gt;0,A437&gt;=p_from,A437&lt;=p_to),1,0)</f>
        <v>1.0</v>
      </c>
      <c r="L437">
        <f>IF(AND(K437=1,OR(pa_po="",C437=pa_po),OR(pa_eq="",B437=pa_eq)),1,0)</f>
        <v>1.0</v>
      </c>
    </row>
    <row r="438">
      <c r="A438" s="51" t="n">
        <v>46322</v>
      </c>
      <c r="B438" s="52" t="inlineStr">
        <is>
          <t>Après-midi</t>
        </is>
      </c>
      <c r="C438" s="52" t="inlineStr">
        <is>
          <t>TOUR1</t>
        </is>
      </c>
      <c r="D438" s="53" t="inlineStr">
        <is>
          <t>Changement de série</t>
        </is>
      </c>
      <c r="E438" s="60" t="n">
        <v>29</v>
      </c>
      <c r="F438" s="53" t="n"/>
      <c r="G438" s="61" t="str">
        <f>IF(OR(COUNTA(A438:E438)=0,D438=""),"",IFERROR(INDEX(ca_fam,MATCH(D438,ca_name,0))&amp;"",""))</f>
        <v>Réglage et changement de série</v>
      </c>
      <c r="H438" s="58" t="str">
        <f>IF(OR(COUNTA(A438:E438)=0,D438=""),"",IFERROR(INDEX(ca_type,MATCH(D438,ca_name,0))&amp;"",""))</f>
        <v>Non planifié</v>
      </c>
      <c r="I438" s="58" t="str">
        <f>IF(COUNTA(A438:E438)=0,"",IF(N(A438)&lt;=0,"Date manquante ou invalide",IF(B438="","Équipe manquante",IF(ISNA(MATCH(B438,eq_code,0)),"Équipe inconnue",IF(C438="","Poste manquant",IF(ISNA(MATCH(C438,po_code,0)),"Poste inconnu",IF(D438="","Cause manquante",IF(ISNA(MATCH(D438,ca_name,0)),"Cause inconnue",IF(H438="","Cause à compléter dans Paramètres",IF(OR(NOT(ISNUMBER(E438)),N(E438)&lt;=0,N(E438)&gt;1440),"Durée invalide",IF(COUNTIFS(sj_date,A438,sj_eq,B438,sj_po,C438)=0,"Pas de saisie journalière ce jour-là","OK")))))))))))</f>
        <v>OK</v>
      </c>
      <c r="J438">
        <f>IF(OR(I438="OK",I438="Pas de saisie journalière ce jour-là"),E438,0)</f>
        <v>29.0</v>
      </c>
      <c r="K438">
        <f>IF(AND(J438&gt;0,A438&gt;=p_from,A438&lt;=p_to),1,0)</f>
        <v>1.0</v>
      </c>
      <c r="L438">
        <f>IF(AND(K438=1,OR(pa_po="",C438=pa_po),OR(pa_eq="",B438=pa_eq)),1,0)</f>
        <v>1.0</v>
      </c>
    </row>
    <row r="439">
      <c r="A439" s="51" t="n">
        <v>46322</v>
      </c>
      <c r="B439" s="52" t="inlineStr">
        <is>
          <t>Après-midi</t>
        </is>
      </c>
      <c r="C439" s="52" t="inlineStr">
        <is>
          <t>TOUR2</t>
        </is>
      </c>
      <c r="D439" s="53" t="inlineStr">
        <is>
          <t>Casse outil</t>
        </is>
      </c>
      <c r="E439" s="60" t="n">
        <v>26</v>
      </c>
      <c r="F439" s="53" t="n"/>
      <c r="G439" s="61" t="str">
        <f>IF(OR(COUNTA(A439:E439)=0,D439=""),"",IFERROR(INDEX(ca_fam,MATCH(D439,ca_name,0))&amp;"",""))</f>
        <v>Panne</v>
      </c>
      <c r="H439" s="58" t="str">
        <f>IF(OR(COUNTA(A439:E439)=0,D439=""),"",IFERROR(INDEX(ca_type,MATCH(D439,ca_name,0))&amp;"",""))</f>
        <v>Non planifié</v>
      </c>
      <c r="I439" s="58" t="str">
        <f>IF(COUNTA(A439:E439)=0,"",IF(N(A439)&lt;=0,"Date manquante ou invalide",IF(B439="","Équipe manquante",IF(ISNA(MATCH(B439,eq_code,0)),"Équipe inconnue",IF(C439="","Poste manquant",IF(ISNA(MATCH(C439,po_code,0)),"Poste inconnu",IF(D439="","Cause manquante",IF(ISNA(MATCH(D439,ca_name,0)),"Cause inconnue",IF(H439="","Cause à compléter dans Paramètres",IF(OR(NOT(ISNUMBER(E439)),N(E439)&lt;=0,N(E439)&gt;1440),"Durée invalide",IF(COUNTIFS(sj_date,A439,sj_eq,B439,sj_po,C439)=0,"Pas de saisie journalière ce jour-là","OK")))))))))))</f>
        <v>OK</v>
      </c>
      <c r="J439">
        <f>IF(OR(I439="OK",I439="Pas de saisie journalière ce jour-là"),E439,0)</f>
        <v>26.0</v>
      </c>
      <c r="K439">
        <f>IF(AND(J439&gt;0,A439&gt;=p_from,A439&lt;=p_to),1,0)</f>
        <v>1.0</v>
      </c>
      <c r="L439">
        <f>IF(AND(K439=1,OR(pa_po="",C439=pa_po),OR(pa_eq="",B439=pa_eq)),1,0)</f>
        <v>1.0</v>
      </c>
    </row>
    <row r="440">
      <c r="A440" s="51" t="n">
        <v>46322</v>
      </c>
      <c r="B440" s="52" t="inlineStr">
        <is>
          <t>Matin</t>
        </is>
      </c>
      <c r="C440" s="52" t="inlineStr">
        <is>
          <t>USIN</t>
        </is>
      </c>
      <c r="D440" s="53" t="inlineStr">
        <is>
          <t>Changement de série</t>
        </is>
      </c>
      <c r="E440" s="60" t="n">
        <v>69</v>
      </c>
      <c r="F440" s="53" t="n"/>
      <c r="G440" s="61" t="str">
        <f>IF(OR(COUNTA(A440:E440)=0,D440=""),"",IFERROR(INDEX(ca_fam,MATCH(D440,ca_name,0))&amp;"",""))</f>
        <v>Réglage et changement de série</v>
      </c>
      <c r="H440" s="58" t="str">
        <f>IF(OR(COUNTA(A440:E440)=0,D440=""),"",IFERROR(INDEX(ca_type,MATCH(D440,ca_name,0))&amp;"",""))</f>
        <v>Non planifié</v>
      </c>
      <c r="I440" s="58" t="str">
        <f>IF(COUNTA(A440:E440)=0,"",IF(N(A440)&lt;=0,"Date manquante ou invalide",IF(B440="","Équipe manquante",IF(ISNA(MATCH(B440,eq_code,0)),"Équipe inconnue",IF(C440="","Poste manquant",IF(ISNA(MATCH(C440,po_code,0)),"Poste inconnu",IF(D440="","Cause manquante",IF(ISNA(MATCH(D440,ca_name,0)),"Cause inconnue",IF(H440="","Cause à compléter dans Paramètres",IF(OR(NOT(ISNUMBER(E440)),N(E440)&lt;=0,N(E440)&gt;1440),"Durée invalide",IF(COUNTIFS(sj_date,A440,sj_eq,B440,sj_po,C440)=0,"Pas de saisie journalière ce jour-là","OK")))))))))))</f>
        <v>OK</v>
      </c>
      <c r="J440">
        <f>IF(OR(I440="OK",I440="Pas de saisie journalière ce jour-là"),E440,0)</f>
        <v>69.0</v>
      </c>
      <c r="K440">
        <f>IF(AND(J440&gt;0,A440&gt;=p_from,A440&lt;=p_to),1,0)</f>
        <v>1.0</v>
      </c>
      <c r="L440">
        <f>IF(AND(K440=1,OR(pa_po="",C440=pa_po),OR(pa_eq="",B440=pa_eq)),1,0)</f>
        <v>1.0</v>
      </c>
    </row>
    <row r="441">
      <c r="A441" s="51" t="n">
        <v>46322</v>
      </c>
      <c r="B441" s="52" t="inlineStr">
        <is>
          <t>Matin</t>
        </is>
      </c>
      <c r="C441" s="52" t="inlineStr">
        <is>
          <t>USIN</t>
        </is>
      </c>
      <c r="D441" s="53" t="inlineStr">
        <is>
          <t>Casse outil</t>
        </is>
      </c>
      <c r="E441" s="60" t="n">
        <v>18</v>
      </c>
      <c r="F441" s="53" t="n"/>
      <c r="G441" s="61" t="str">
        <f>IF(OR(COUNTA(A441:E441)=0,D441=""),"",IFERROR(INDEX(ca_fam,MATCH(D441,ca_name,0))&amp;"",""))</f>
        <v>Panne</v>
      </c>
      <c r="H441" s="58" t="str">
        <f>IF(OR(COUNTA(A441:E441)=0,D441=""),"",IFERROR(INDEX(ca_type,MATCH(D441,ca_name,0))&amp;"",""))</f>
        <v>Non planifié</v>
      </c>
      <c r="I441" s="58" t="str">
        <f>IF(COUNTA(A441:E441)=0,"",IF(N(A441)&lt;=0,"Date manquante ou invalide",IF(B441="","Équipe manquante",IF(ISNA(MATCH(B441,eq_code,0)),"Équipe inconnue",IF(C441="","Poste manquant",IF(ISNA(MATCH(C441,po_code,0)),"Poste inconnu",IF(D441="","Cause manquante",IF(ISNA(MATCH(D441,ca_name,0)),"Cause inconnue",IF(H441="","Cause à compléter dans Paramètres",IF(OR(NOT(ISNUMBER(E441)),N(E441)&lt;=0,N(E441)&gt;1440),"Durée invalide",IF(COUNTIFS(sj_date,A441,sj_eq,B441,sj_po,C441)=0,"Pas de saisie journalière ce jour-là","OK")))))))))))</f>
        <v>OK</v>
      </c>
      <c r="J441">
        <f>IF(OR(I441="OK",I441="Pas de saisie journalière ce jour-là"),E441,0)</f>
        <v>18.0</v>
      </c>
      <c r="K441">
        <f>IF(AND(J441&gt;0,A441&gt;=p_from,A441&lt;=p_to),1,0)</f>
        <v>1.0</v>
      </c>
      <c r="L441">
        <f>IF(AND(K441=1,OR(pa_po="",C441=pa_po),OR(pa_eq="",B441=pa_eq)),1,0)</f>
        <v>1.0</v>
      </c>
    </row>
    <row r="442">
      <c r="A442" s="51" t="n">
        <v>46322</v>
      </c>
      <c r="B442" s="52" t="inlineStr">
        <is>
          <t>Après-midi</t>
        </is>
      </c>
      <c r="C442" s="52" t="inlineStr">
        <is>
          <t>USIN</t>
        </is>
      </c>
      <c r="D442" s="53" t="inlineStr">
        <is>
          <t>Changement de série</t>
        </is>
      </c>
      <c r="E442" s="60" t="n">
        <v>38</v>
      </c>
      <c r="F442" s="53" t="n"/>
      <c r="G442" s="61" t="str">
        <f>IF(OR(COUNTA(A442:E442)=0,D442=""),"",IFERROR(INDEX(ca_fam,MATCH(D442,ca_name,0))&amp;"",""))</f>
        <v>Réglage et changement de série</v>
      </c>
      <c r="H442" s="58" t="str">
        <f>IF(OR(COUNTA(A442:E442)=0,D442=""),"",IFERROR(INDEX(ca_type,MATCH(D442,ca_name,0))&amp;"",""))</f>
        <v>Non planifié</v>
      </c>
      <c r="I442" s="58" t="str">
        <f>IF(COUNTA(A442:E442)=0,"",IF(N(A442)&lt;=0,"Date manquante ou invalide",IF(B442="","Équipe manquante",IF(ISNA(MATCH(B442,eq_code,0)),"Équipe inconnue",IF(C442="","Poste manquant",IF(ISNA(MATCH(C442,po_code,0)),"Poste inconnu",IF(D442="","Cause manquante",IF(ISNA(MATCH(D442,ca_name,0)),"Cause inconnue",IF(H442="","Cause à compléter dans Paramètres",IF(OR(NOT(ISNUMBER(E442)),N(E442)&lt;=0,N(E442)&gt;1440),"Durée invalide",IF(COUNTIFS(sj_date,A442,sj_eq,B442,sj_po,C442)=0,"Pas de saisie journalière ce jour-là","OK")))))))))))</f>
        <v>OK</v>
      </c>
      <c r="J442">
        <f>IF(OR(I442="OK",I442="Pas de saisie journalière ce jour-là"),E442,0)</f>
        <v>38.0</v>
      </c>
      <c r="K442">
        <f>IF(AND(J442&gt;0,A442&gt;=p_from,A442&lt;=p_to),1,0)</f>
        <v>1.0</v>
      </c>
      <c r="L442">
        <f>IF(AND(K442=1,OR(pa_po="",C442=pa_po),OR(pa_eq="",B442=pa_eq)),1,0)</f>
        <v>1.0</v>
      </c>
    </row>
    <row r="443">
      <c r="A443" s="51" t="n">
        <v>46322</v>
      </c>
      <c r="B443" s="52" t="inlineStr">
        <is>
          <t>Après-midi</t>
        </is>
      </c>
      <c r="C443" s="52" t="inlineStr">
        <is>
          <t>USIN</t>
        </is>
      </c>
      <c r="D443" s="53" t="inlineStr">
        <is>
          <t>Casse outil</t>
        </is>
      </c>
      <c r="E443" s="60" t="n">
        <v>33</v>
      </c>
      <c r="F443" s="53" t="n"/>
      <c r="G443" s="61" t="str">
        <f>IF(OR(COUNTA(A443:E443)=0,D443=""),"",IFERROR(INDEX(ca_fam,MATCH(D443,ca_name,0))&amp;"",""))</f>
        <v>Panne</v>
      </c>
      <c r="H443" s="58" t="str">
        <f>IF(OR(COUNTA(A443:E443)=0,D443=""),"",IFERROR(INDEX(ca_type,MATCH(D443,ca_name,0))&amp;"",""))</f>
        <v>Non planifié</v>
      </c>
      <c r="I443" s="58" t="str">
        <f>IF(COUNTA(A443:E443)=0,"",IF(N(A443)&lt;=0,"Date manquante ou invalide",IF(B443="","Équipe manquante",IF(ISNA(MATCH(B443,eq_code,0)),"Équipe inconnue",IF(C443="","Poste manquant",IF(ISNA(MATCH(C443,po_code,0)),"Poste inconnu",IF(D443="","Cause manquante",IF(ISNA(MATCH(D443,ca_name,0)),"Cause inconnue",IF(H443="","Cause à compléter dans Paramètres",IF(OR(NOT(ISNUMBER(E443)),N(E443)&lt;=0,N(E443)&gt;1440),"Durée invalide",IF(COUNTIFS(sj_date,A443,sj_eq,B443,sj_po,C443)=0,"Pas de saisie journalière ce jour-là","OK")))))))))))</f>
        <v>OK</v>
      </c>
      <c r="J443">
        <f>IF(OR(I443="OK",I443="Pas de saisie journalière ce jour-là"),E443,0)</f>
        <v>33.0</v>
      </c>
      <c r="K443">
        <f>IF(AND(J443&gt;0,A443&gt;=p_from,A443&lt;=p_to),1,0)</f>
        <v>1.0</v>
      </c>
      <c r="L443">
        <f>IF(AND(K443=1,OR(pa_po="",C443=pa_po),OR(pa_eq="",B443=pa_eq)),1,0)</f>
        <v>1.0</v>
      </c>
    </row>
    <row r="444">
      <c r="A444" s="51" t="n">
        <v>46322</v>
      </c>
      <c r="B444" s="52" t="inlineStr">
        <is>
          <t>Après-midi</t>
        </is>
      </c>
      <c r="C444" s="52" t="inlineStr">
        <is>
          <t>USIN</t>
        </is>
      </c>
      <c r="D444" s="53" t="inlineStr">
        <is>
          <t>Attente programme ou consignes</t>
        </is>
      </c>
      <c r="E444" s="60" t="n">
        <v>27</v>
      </c>
      <c r="F444" s="53" t="n"/>
      <c r="G444" s="61" t="str">
        <f>IF(OR(COUNTA(A444:E444)=0,D444=""),"",IFERROR(INDEX(ca_fam,MATCH(D444,ca_name,0))&amp;"",""))</f>
        <v>Organisation</v>
      </c>
      <c r="H444" s="58" t="str">
        <f>IF(OR(COUNTA(A444:E444)=0,D444=""),"",IFERROR(INDEX(ca_type,MATCH(D444,ca_name,0))&amp;"",""))</f>
        <v>Non planifié</v>
      </c>
      <c r="I444" s="58" t="str">
        <f>IF(COUNTA(A444:E444)=0,"",IF(N(A444)&lt;=0,"Date manquante ou invalide",IF(B444="","Équipe manquante",IF(ISNA(MATCH(B444,eq_code,0)),"Équipe inconnue",IF(C444="","Poste manquant",IF(ISNA(MATCH(C444,po_code,0)),"Poste inconnu",IF(D444="","Cause manquante",IF(ISNA(MATCH(D444,ca_name,0)),"Cause inconnue",IF(H444="","Cause à compléter dans Paramètres",IF(OR(NOT(ISNUMBER(E444)),N(E444)&lt;=0,N(E444)&gt;1440),"Durée invalide",IF(COUNTIFS(sj_date,A444,sj_eq,B444,sj_po,C444)=0,"Pas de saisie journalière ce jour-là","OK")))))))))))</f>
        <v>OK</v>
      </c>
      <c r="J444">
        <f>IF(OR(I444="OK",I444="Pas de saisie journalière ce jour-là"),E444,0)</f>
        <v>27.0</v>
      </c>
      <c r="K444">
        <f>IF(AND(J444&gt;0,A444&gt;=p_from,A444&lt;=p_to),1,0)</f>
        <v>1.0</v>
      </c>
      <c r="L444">
        <f>IF(AND(K444=1,OR(pa_po="",C444=pa_po),OR(pa_eq="",B444=pa_eq)),1,0)</f>
        <v>1.0</v>
      </c>
    </row>
    <row r="445">
      <c r="A445" s="51" t="n">
        <v>46322</v>
      </c>
      <c r="B445" s="52" t="inlineStr">
        <is>
          <t>Journée</t>
        </is>
      </c>
      <c r="C445" s="52" t="inlineStr">
        <is>
          <t>PLIE</t>
        </is>
      </c>
      <c r="D445" s="53" t="inlineStr">
        <is>
          <t>Changement de série</t>
        </is>
      </c>
      <c r="E445" s="60" t="n">
        <v>42</v>
      </c>
      <c r="F445" s="53" t="n"/>
      <c r="G445" s="61" t="str">
        <f>IF(OR(COUNTA(A445:E445)=0,D445=""),"",IFERROR(INDEX(ca_fam,MATCH(D445,ca_name,0))&amp;"",""))</f>
        <v>Réglage et changement de série</v>
      </c>
      <c r="H445" s="58" t="str">
        <f>IF(OR(COUNTA(A445:E445)=0,D445=""),"",IFERROR(INDEX(ca_type,MATCH(D445,ca_name,0))&amp;"",""))</f>
        <v>Non planifié</v>
      </c>
      <c r="I445" s="58" t="str">
        <f>IF(COUNTA(A445:E445)=0,"",IF(N(A445)&lt;=0,"Date manquante ou invalide",IF(B445="","Équipe manquante",IF(ISNA(MATCH(B445,eq_code,0)),"Équipe inconnue",IF(C445="","Poste manquant",IF(ISNA(MATCH(C445,po_code,0)),"Poste inconnu",IF(D445="","Cause manquante",IF(ISNA(MATCH(D445,ca_name,0)),"Cause inconnue",IF(H445="","Cause à compléter dans Paramètres",IF(OR(NOT(ISNUMBER(E445)),N(E445)&lt;=0,N(E445)&gt;1440),"Durée invalide",IF(COUNTIFS(sj_date,A445,sj_eq,B445,sj_po,C445)=0,"Pas de saisie journalière ce jour-là","OK")))))))))))</f>
        <v>OK</v>
      </c>
      <c r="J445">
        <f>IF(OR(I445="OK",I445="Pas de saisie journalière ce jour-là"),E445,0)</f>
        <v>42.0</v>
      </c>
      <c r="K445">
        <f>IF(AND(J445&gt;0,A445&gt;=p_from,A445&lt;=p_to),1,0)</f>
        <v>1.0</v>
      </c>
      <c r="L445">
        <f>IF(AND(K445=1,OR(pa_po="",C445=pa_po),OR(pa_eq="",B445=pa_eq)),1,0)</f>
        <v>1.0</v>
      </c>
    </row>
    <row r="446">
      <c r="A446" s="51" t="n">
        <v>46322</v>
      </c>
      <c r="B446" s="52" t="inlineStr">
        <is>
          <t>Journée</t>
        </is>
      </c>
      <c r="C446" s="52" t="inlineStr">
        <is>
          <t>PLIE</t>
        </is>
      </c>
      <c r="D446" s="53" t="inlineStr">
        <is>
          <t>Changement d'outil</t>
        </is>
      </c>
      <c r="E446" s="60" t="n">
        <v>16</v>
      </c>
      <c r="F446" s="53" t="n"/>
      <c r="G446" s="61" t="str">
        <f>IF(OR(COUNTA(A446:E446)=0,D446=""),"",IFERROR(INDEX(ca_fam,MATCH(D446,ca_name,0))&amp;"",""))</f>
        <v>Réglage et changement de série</v>
      </c>
      <c r="H446" s="58" t="str">
        <f>IF(OR(COUNTA(A446:E446)=0,D446=""),"",IFERROR(INDEX(ca_type,MATCH(D446,ca_name,0))&amp;"",""))</f>
        <v>Non planifié</v>
      </c>
      <c r="I446" s="58" t="str">
        <f>IF(COUNTA(A446:E446)=0,"",IF(N(A446)&lt;=0,"Date manquante ou invalide",IF(B446="","Équipe manquante",IF(ISNA(MATCH(B446,eq_code,0)),"Équipe inconnue",IF(C446="","Poste manquant",IF(ISNA(MATCH(C446,po_code,0)),"Poste inconnu",IF(D446="","Cause manquante",IF(ISNA(MATCH(D446,ca_name,0)),"Cause inconnue",IF(H446="","Cause à compléter dans Paramètres",IF(OR(NOT(ISNUMBER(E446)),N(E446)&lt;=0,N(E446)&gt;1440),"Durée invalide",IF(COUNTIFS(sj_date,A446,sj_eq,B446,sj_po,C446)=0,"Pas de saisie journalière ce jour-là","OK")))))))))))</f>
        <v>OK</v>
      </c>
      <c r="J446">
        <f>IF(OR(I446="OK",I446="Pas de saisie journalière ce jour-là"),E446,0)</f>
        <v>16.0</v>
      </c>
      <c r="K446">
        <f>IF(AND(J446&gt;0,A446&gt;=p_from,A446&lt;=p_to),1,0)</f>
        <v>1.0</v>
      </c>
      <c r="L446">
        <f>IF(AND(K446=1,OR(pa_po="",C446=pa_po),OR(pa_eq="",B446=pa_eq)),1,0)</f>
        <v>1.0</v>
      </c>
    </row>
    <row r="447">
      <c r="A447" s="51" t="n">
        <v>46322</v>
      </c>
      <c r="B447" s="52" t="inlineStr">
        <is>
          <t>Matin</t>
        </is>
      </c>
      <c r="C447" s="52" t="inlineStr">
        <is>
          <t>SOUD</t>
        </is>
      </c>
      <c r="D447" s="53" t="inlineStr">
        <is>
          <t>Changement d'outil</t>
        </is>
      </c>
      <c r="E447" s="60" t="n">
        <v>8</v>
      </c>
      <c r="F447" s="53" t="n"/>
      <c r="G447" s="61" t="str">
        <f>IF(OR(COUNTA(A447:E447)=0,D447=""),"",IFERROR(INDEX(ca_fam,MATCH(D447,ca_name,0))&amp;"",""))</f>
        <v>Réglage et changement de série</v>
      </c>
      <c r="H447" s="58" t="str">
        <f>IF(OR(COUNTA(A447:E447)=0,D447=""),"",IFERROR(INDEX(ca_type,MATCH(D447,ca_name,0))&amp;"",""))</f>
        <v>Non planifié</v>
      </c>
      <c r="I447" s="58" t="str">
        <f>IF(COUNTA(A447:E447)=0,"",IF(N(A447)&lt;=0,"Date manquante ou invalide",IF(B447="","Équipe manquante",IF(ISNA(MATCH(B447,eq_code,0)),"Équipe inconnue",IF(C447="","Poste manquant",IF(ISNA(MATCH(C447,po_code,0)),"Poste inconnu",IF(D447="","Cause manquante",IF(ISNA(MATCH(D447,ca_name,0)),"Cause inconnue",IF(H447="","Cause à compléter dans Paramètres",IF(OR(NOT(ISNUMBER(E447)),N(E447)&lt;=0,N(E447)&gt;1440),"Durée invalide",IF(COUNTIFS(sj_date,A447,sj_eq,B447,sj_po,C447)=0,"Pas de saisie journalière ce jour-là","OK")))))))))))</f>
        <v>OK</v>
      </c>
      <c r="J447">
        <f>IF(OR(I447="OK",I447="Pas de saisie journalière ce jour-là"),E447,0)</f>
        <v>8.0</v>
      </c>
      <c r="K447">
        <f>IF(AND(J447&gt;0,A447&gt;=p_from,A447&lt;=p_to),1,0)</f>
        <v>1.0</v>
      </c>
      <c r="L447">
        <f>IF(AND(K447=1,OR(pa_po="",C447=pa_po),OR(pa_eq="",B447=pa_eq)),1,0)</f>
        <v>1.0</v>
      </c>
    </row>
    <row r="448">
      <c r="A448" s="51" t="n">
        <v>46322</v>
      </c>
      <c r="B448" s="52" t="inlineStr">
        <is>
          <t>Matin</t>
        </is>
      </c>
      <c r="C448" s="52" t="inlineStr">
        <is>
          <t>SOUD</t>
        </is>
      </c>
      <c r="D448" s="53" t="inlineStr">
        <is>
          <t>Arrêt pour non-conformité</t>
        </is>
      </c>
      <c r="E448" s="60" t="n">
        <v>45</v>
      </c>
      <c r="F448" s="53" t="n"/>
      <c r="G448" s="61" t="str">
        <f>IF(OR(COUNTA(A448:E448)=0,D448=""),"",IFERROR(INDEX(ca_fam,MATCH(D448,ca_name,0))&amp;"",""))</f>
        <v>Qualité</v>
      </c>
      <c r="H448" s="58" t="str">
        <f>IF(OR(COUNTA(A448:E448)=0,D448=""),"",IFERROR(INDEX(ca_type,MATCH(D448,ca_name,0))&amp;"",""))</f>
        <v>Non planifié</v>
      </c>
      <c r="I448" s="58" t="str">
        <f>IF(COUNTA(A448:E448)=0,"",IF(N(A448)&lt;=0,"Date manquante ou invalide",IF(B448="","Équipe manquante",IF(ISNA(MATCH(B448,eq_code,0)),"Équipe inconnue",IF(C448="","Poste manquant",IF(ISNA(MATCH(C448,po_code,0)),"Poste inconnu",IF(D448="","Cause manquante",IF(ISNA(MATCH(D448,ca_name,0)),"Cause inconnue",IF(H448="","Cause à compléter dans Paramètres",IF(OR(NOT(ISNUMBER(E448)),N(E448)&lt;=0,N(E448)&gt;1440),"Durée invalide",IF(COUNTIFS(sj_date,A448,sj_eq,B448,sj_po,C448)=0,"Pas de saisie journalière ce jour-là","OK")))))))))))</f>
        <v>OK</v>
      </c>
      <c r="J448">
        <f>IF(OR(I448="OK",I448="Pas de saisie journalière ce jour-là"),E448,0)</f>
        <v>45.0</v>
      </c>
      <c r="K448">
        <f>IF(AND(J448&gt;0,A448&gt;=p_from,A448&lt;=p_to),1,0)</f>
        <v>1.0</v>
      </c>
      <c r="L448">
        <f>IF(AND(K448=1,OR(pa_po="",C448=pa_po),OR(pa_eq="",B448=pa_eq)),1,0)</f>
        <v>1.0</v>
      </c>
    </row>
    <row r="449">
      <c r="A449" s="51" t="n">
        <v>46322</v>
      </c>
      <c r="B449" s="52" t="inlineStr">
        <is>
          <t>Matin</t>
        </is>
      </c>
      <c r="C449" s="52" t="inlineStr">
        <is>
          <t>SOUD</t>
        </is>
      </c>
      <c r="D449" s="53" t="inlineStr">
        <is>
          <t>Attente chariot élévateur</t>
        </is>
      </c>
      <c r="E449" s="60" t="n">
        <v>18</v>
      </c>
      <c r="F449" s="53" t="n"/>
      <c r="G449" s="61" t="str">
        <f>IF(OR(COUNTA(A449:E449)=0,D449=""),"",IFERROR(INDEX(ca_fam,MATCH(D449,ca_name,0))&amp;"",""))</f>
        <v>Organisation</v>
      </c>
      <c r="H449" s="58" t="str">
        <f>IF(OR(COUNTA(A449:E449)=0,D449=""),"",IFERROR(INDEX(ca_type,MATCH(D449,ca_name,0))&amp;"",""))</f>
        <v>Non planifié</v>
      </c>
      <c r="I449" s="58" t="str">
        <f>IF(COUNTA(A449:E449)=0,"",IF(N(A449)&lt;=0,"Date manquante ou invalide",IF(B449="","Équipe manquante",IF(ISNA(MATCH(B449,eq_code,0)),"Équipe inconnue",IF(C449="","Poste manquant",IF(ISNA(MATCH(C449,po_code,0)),"Poste inconnu",IF(D449="","Cause manquante",IF(ISNA(MATCH(D449,ca_name,0)),"Cause inconnue",IF(H449="","Cause à compléter dans Paramètres",IF(OR(NOT(ISNUMBER(E449)),N(E449)&lt;=0,N(E449)&gt;1440),"Durée invalide",IF(COUNTIFS(sj_date,A449,sj_eq,B449,sj_po,C449)=0,"Pas de saisie journalière ce jour-là","OK")))))))))))</f>
        <v>OK</v>
      </c>
      <c r="J449">
        <f>IF(OR(I449="OK",I449="Pas de saisie journalière ce jour-là"),E449,0)</f>
        <v>18.0</v>
      </c>
      <c r="K449">
        <f>IF(AND(J449&gt;0,A449&gt;=p_from,A449&lt;=p_to),1,0)</f>
        <v>1.0</v>
      </c>
      <c r="L449">
        <f>IF(AND(K449=1,OR(pa_po="",C449=pa_po),OR(pa_eq="",B449=pa_eq)),1,0)</f>
        <v>1.0</v>
      </c>
    </row>
    <row r="450">
      <c r="A450" s="51" t="n">
        <v>46322</v>
      </c>
      <c r="B450" s="52" t="inlineStr">
        <is>
          <t>Après-midi</t>
        </is>
      </c>
      <c r="C450" s="52" t="inlineStr">
        <is>
          <t>SOUD</t>
        </is>
      </c>
      <c r="D450" s="53" t="inlineStr">
        <is>
          <t>Changement de série</t>
        </is>
      </c>
      <c r="E450" s="60" t="n">
        <v>63</v>
      </c>
      <c r="F450" s="53" t="n"/>
      <c r="G450" s="61" t="str">
        <f>IF(OR(COUNTA(A450:E450)=0,D450=""),"",IFERROR(INDEX(ca_fam,MATCH(D450,ca_name,0))&amp;"",""))</f>
        <v>Réglage et changement de série</v>
      </c>
      <c r="H450" s="58" t="str">
        <f>IF(OR(COUNTA(A450:E450)=0,D450=""),"",IFERROR(INDEX(ca_type,MATCH(D450,ca_name,0))&amp;"",""))</f>
        <v>Non planifié</v>
      </c>
      <c r="I450" s="58" t="str">
        <f>IF(COUNTA(A450:E450)=0,"",IF(N(A450)&lt;=0,"Date manquante ou invalide",IF(B450="","Équipe manquante",IF(ISNA(MATCH(B450,eq_code,0)),"Équipe inconnue",IF(C450="","Poste manquant",IF(ISNA(MATCH(C450,po_code,0)),"Poste inconnu",IF(D450="","Cause manquante",IF(ISNA(MATCH(D450,ca_name,0)),"Cause inconnue",IF(H450="","Cause à compléter dans Paramètres",IF(OR(NOT(ISNUMBER(E450)),N(E450)&lt;=0,N(E450)&gt;1440),"Durée invalide",IF(COUNTIFS(sj_date,A450,sj_eq,B450,sj_po,C450)=0,"Pas de saisie journalière ce jour-là","OK")))))))))))</f>
        <v>OK</v>
      </c>
      <c r="J450">
        <f>IF(OR(I450="OK",I450="Pas de saisie journalière ce jour-là"),E450,0)</f>
        <v>63.0</v>
      </c>
      <c r="K450">
        <f>IF(AND(J450&gt;0,A450&gt;=p_from,A450&lt;=p_to),1,0)</f>
        <v>1.0</v>
      </c>
      <c r="L450">
        <f>IF(AND(K450=1,OR(pa_po="",C450=pa_po),OR(pa_eq="",B450=pa_eq)),1,0)</f>
        <v>1.0</v>
      </c>
    </row>
    <row r="451">
      <c r="A451" s="51" t="n">
        <v>46322</v>
      </c>
      <c r="B451" s="52" t="inlineStr">
        <is>
          <t>Après-midi</t>
        </is>
      </c>
      <c r="C451" s="52" t="inlineStr">
        <is>
          <t>SOUD</t>
        </is>
      </c>
      <c r="D451" s="53" t="inlineStr">
        <is>
          <t>Panne mécanique</t>
        </is>
      </c>
      <c r="E451" s="60" t="n">
        <v>68</v>
      </c>
      <c r="F451" s="53" t="n"/>
      <c r="G451" s="61" t="str">
        <f>IF(OR(COUNTA(A451:E451)=0,D451=""),"",IFERROR(INDEX(ca_fam,MATCH(D451,ca_name,0))&amp;"",""))</f>
        <v>Panne</v>
      </c>
      <c r="H451" s="58" t="str">
        <f>IF(OR(COUNTA(A451:E451)=0,D451=""),"",IFERROR(INDEX(ca_type,MATCH(D451,ca_name,0))&amp;"",""))</f>
        <v>Non planifié</v>
      </c>
      <c r="I451" s="58" t="str">
        <f>IF(COUNTA(A451:E451)=0,"",IF(N(A451)&lt;=0,"Date manquante ou invalide",IF(B451="","Équipe manquante",IF(ISNA(MATCH(B451,eq_code,0)),"Équipe inconnue",IF(C451="","Poste manquant",IF(ISNA(MATCH(C451,po_code,0)),"Poste inconnu",IF(D451="","Cause manquante",IF(ISNA(MATCH(D451,ca_name,0)),"Cause inconnue",IF(H451="","Cause à compléter dans Paramètres",IF(OR(NOT(ISNUMBER(E451)),N(E451)&lt;=0,N(E451)&gt;1440),"Durée invalide",IF(COUNTIFS(sj_date,A451,sj_eq,B451,sj_po,C451)=0,"Pas de saisie journalière ce jour-là","OK")))))))))))</f>
        <v>OK</v>
      </c>
      <c r="J451">
        <f>IF(OR(I451="OK",I451="Pas de saisie journalière ce jour-là"),E451,0)</f>
        <v>68.0</v>
      </c>
      <c r="K451">
        <f>IF(AND(J451&gt;0,A451&gt;=p_from,A451&lt;=p_to),1,0)</f>
        <v>1.0</v>
      </c>
      <c r="L451">
        <f>IF(AND(K451=1,OR(pa_po="",C451=pa_po),OR(pa_eq="",B451=pa_eq)),1,0)</f>
        <v>1.0</v>
      </c>
    </row>
    <row r="452">
      <c r="A452" s="51" t="n">
        <v>46323</v>
      </c>
      <c r="B452" s="52" t="inlineStr">
        <is>
          <t>Matin</t>
        </is>
      </c>
      <c r="C452" s="52" t="inlineStr">
        <is>
          <t>TOUR1</t>
        </is>
      </c>
      <c r="D452" s="53" t="inlineStr">
        <is>
          <t>Changement de série</t>
        </is>
      </c>
      <c r="E452" s="60" t="n">
        <v>53</v>
      </c>
      <c r="F452" s="53" t="n"/>
      <c r="G452" s="61" t="str">
        <f>IF(OR(COUNTA(A452:E452)=0,D452=""),"",IFERROR(INDEX(ca_fam,MATCH(D452,ca_name,0))&amp;"",""))</f>
        <v>Réglage et changement de série</v>
      </c>
      <c r="H452" s="58" t="str">
        <f>IF(OR(COUNTA(A452:E452)=0,D452=""),"",IFERROR(INDEX(ca_type,MATCH(D452,ca_name,0))&amp;"",""))</f>
        <v>Non planifié</v>
      </c>
      <c r="I452" s="58" t="str">
        <f>IF(COUNTA(A452:E452)=0,"",IF(N(A452)&lt;=0,"Date manquante ou invalide",IF(B452="","Équipe manquante",IF(ISNA(MATCH(B452,eq_code,0)),"Équipe inconnue",IF(C452="","Poste manquant",IF(ISNA(MATCH(C452,po_code,0)),"Poste inconnu",IF(D452="","Cause manquante",IF(ISNA(MATCH(D452,ca_name,0)),"Cause inconnue",IF(H452="","Cause à compléter dans Paramètres",IF(OR(NOT(ISNUMBER(E452)),N(E452)&lt;=0,N(E452)&gt;1440),"Durée invalide",IF(COUNTIFS(sj_date,A452,sj_eq,B452,sj_po,C452)=0,"Pas de saisie journalière ce jour-là","OK")))))))))))</f>
        <v>OK</v>
      </c>
      <c r="J452">
        <f>IF(OR(I452="OK",I452="Pas de saisie journalière ce jour-là"),E452,0)</f>
        <v>53.0</v>
      </c>
      <c r="K452">
        <f>IF(AND(J452&gt;0,A452&gt;=p_from,A452&lt;=p_to),1,0)</f>
        <v>1.0</v>
      </c>
      <c r="L452">
        <f>IF(AND(K452=1,OR(pa_po="",C452=pa_po),OR(pa_eq="",B452=pa_eq)),1,0)</f>
        <v>1.0</v>
      </c>
    </row>
    <row r="453">
      <c r="A453" s="51" t="n">
        <v>46323</v>
      </c>
      <c r="B453" s="52" t="inlineStr">
        <is>
          <t>Matin</t>
        </is>
      </c>
      <c r="C453" s="52" t="inlineStr">
        <is>
          <t>TOUR1</t>
        </is>
      </c>
      <c r="D453" s="53" t="inlineStr">
        <is>
          <t>Panne électrique</t>
        </is>
      </c>
      <c r="E453" s="60" t="n">
        <v>51</v>
      </c>
      <c r="F453" s="53" t="n"/>
      <c r="G453" s="61" t="str">
        <f>IF(OR(COUNTA(A453:E453)=0,D453=""),"",IFERROR(INDEX(ca_fam,MATCH(D453,ca_name,0))&amp;"",""))</f>
        <v>Panne</v>
      </c>
      <c r="H453" s="58" t="str">
        <f>IF(OR(COUNTA(A453:E453)=0,D453=""),"",IFERROR(INDEX(ca_type,MATCH(D453,ca_name,0))&amp;"",""))</f>
        <v>Non planifié</v>
      </c>
      <c r="I453" s="58" t="str">
        <f>IF(COUNTA(A453:E453)=0,"",IF(N(A453)&lt;=0,"Date manquante ou invalide",IF(B453="","Équipe manquante",IF(ISNA(MATCH(B453,eq_code,0)),"Équipe inconnue",IF(C453="","Poste manquant",IF(ISNA(MATCH(C453,po_code,0)),"Poste inconnu",IF(D453="","Cause manquante",IF(ISNA(MATCH(D453,ca_name,0)),"Cause inconnue",IF(H453="","Cause à compléter dans Paramètres",IF(OR(NOT(ISNUMBER(E453)),N(E453)&lt;=0,N(E453)&gt;1440),"Durée invalide",IF(COUNTIFS(sj_date,A453,sj_eq,B453,sj_po,C453)=0,"Pas de saisie journalière ce jour-là","OK")))))))))))</f>
        <v>OK</v>
      </c>
      <c r="J453">
        <f>IF(OR(I453="OK",I453="Pas de saisie journalière ce jour-là"),E453,0)</f>
        <v>51.0</v>
      </c>
      <c r="K453">
        <f>IF(AND(J453&gt;0,A453&gt;=p_from,A453&lt;=p_to),1,0)</f>
        <v>1.0</v>
      </c>
      <c r="L453">
        <f>IF(AND(K453=1,OR(pa_po="",C453=pa_po),OR(pa_eq="",B453=pa_eq)),1,0)</f>
        <v>1.0</v>
      </c>
    </row>
    <row r="454">
      <c r="A454" s="51" t="n">
        <v>46323</v>
      </c>
      <c r="B454" s="52" t="inlineStr">
        <is>
          <t>Après-midi</t>
        </is>
      </c>
      <c r="C454" s="52" t="inlineStr">
        <is>
          <t>TOUR1</t>
        </is>
      </c>
      <c r="D454" s="53" t="inlineStr">
        <is>
          <t>Réglage en cours de production</t>
        </is>
      </c>
      <c r="E454" s="60" t="n">
        <v>18</v>
      </c>
      <c r="F454" s="53" t="n"/>
      <c r="G454" s="61" t="str">
        <f>IF(OR(COUNTA(A454:E454)=0,D454=""),"",IFERROR(INDEX(ca_fam,MATCH(D454,ca_name,0))&amp;"",""))</f>
        <v>Réglage et changement de série</v>
      </c>
      <c r="H454" s="58" t="str">
        <f>IF(OR(COUNTA(A454:E454)=0,D454=""),"",IFERROR(INDEX(ca_type,MATCH(D454,ca_name,0))&amp;"",""))</f>
        <v>Non planifié</v>
      </c>
      <c r="I454" s="58" t="str">
        <f>IF(COUNTA(A454:E454)=0,"",IF(N(A454)&lt;=0,"Date manquante ou invalide",IF(B454="","Équipe manquante",IF(ISNA(MATCH(B454,eq_code,0)),"Équipe inconnue",IF(C454="","Poste manquant",IF(ISNA(MATCH(C454,po_code,0)),"Poste inconnu",IF(D454="","Cause manquante",IF(ISNA(MATCH(D454,ca_name,0)),"Cause inconnue",IF(H454="","Cause à compléter dans Paramètres",IF(OR(NOT(ISNUMBER(E454)),N(E454)&lt;=0,N(E454)&gt;1440),"Durée invalide",IF(COUNTIFS(sj_date,A454,sj_eq,B454,sj_po,C454)=0,"Pas de saisie journalière ce jour-là","OK")))))))))))</f>
        <v>OK</v>
      </c>
      <c r="J454">
        <f>IF(OR(I454="OK",I454="Pas de saisie journalière ce jour-là"),E454,0)</f>
        <v>18.0</v>
      </c>
      <c r="K454">
        <f>IF(AND(J454&gt;0,A454&gt;=p_from,A454&lt;=p_to),1,0)</f>
        <v>1.0</v>
      </c>
      <c r="L454">
        <f>IF(AND(K454=1,OR(pa_po="",C454=pa_po),OR(pa_eq="",B454=pa_eq)),1,0)</f>
        <v>1.0</v>
      </c>
    </row>
    <row r="455">
      <c r="A455" s="51" t="n">
        <v>46323</v>
      </c>
      <c r="B455" s="52" t="inlineStr">
        <is>
          <t>Matin</t>
        </is>
      </c>
      <c r="C455" s="52" t="inlineStr">
        <is>
          <t>TOUR2</t>
        </is>
      </c>
      <c r="D455" s="53" t="inlineStr">
        <is>
          <t>Réglage en cours de production</t>
        </is>
      </c>
      <c r="E455" s="60" t="n">
        <v>17</v>
      </c>
      <c r="F455" s="53" t="n"/>
      <c r="G455" s="61" t="str">
        <f>IF(OR(COUNTA(A455:E455)=0,D455=""),"",IFERROR(INDEX(ca_fam,MATCH(D455,ca_name,0))&amp;"",""))</f>
        <v>Réglage et changement de série</v>
      </c>
      <c r="H455" s="58" t="str">
        <f>IF(OR(COUNTA(A455:E455)=0,D455=""),"",IFERROR(INDEX(ca_type,MATCH(D455,ca_name,0))&amp;"",""))</f>
        <v>Non planifié</v>
      </c>
      <c r="I455" s="58" t="str">
        <f>IF(COUNTA(A455:E455)=0,"",IF(N(A455)&lt;=0,"Date manquante ou invalide",IF(B455="","Équipe manquante",IF(ISNA(MATCH(B455,eq_code,0)),"Équipe inconnue",IF(C455="","Poste manquant",IF(ISNA(MATCH(C455,po_code,0)),"Poste inconnu",IF(D455="","Cause manquante",IF(ISNA(MATCH(D455,ca_name,0)),"Cause inconnue",IF(H455="","Cause à compléter dans Paramètres",IF(OR(NOT(ISNUMBER(E455)),N(E455)&lt;=0,N(E455)&gt;1440),"Durée invalide",IF(COUNTIFS(sj_date,A455,sj_eq,B455,sj_po,C455)=0,"Pas de saisie journalière ce jour-là","OK")))))))))))</f>
        <v>OK</v>
      </c>
      <c r="J455">
        <f>IF(OR(I455="OK",I455="Pas de saisie journalière ce jour-là"),E455,0)</f>
        <v>17.0</v>
      </c>
      <c r="K455">
        <f>IF(AND(J455&gt;0,A455&gt;=p_from,A455&lt;=p_to),1,0)</f>
        <v>1.0</v>
      </c>
      <c r="L455">
        <f>IF(AND(K455=1,OR(pa_po="",C455=pa_po),OR(pa_eq="",B455=pa_eq)),1,0)</f>
        <v>1.0</v>
      </c>
    </row>
    <row r="456">
      <c r="A456" s="51" t="n">
        <v>46323</v>
      </c>
      <c r="B456" s="52" t="inlineStr">
        <is>
          <t>Après-midi</t>
        </is>
      </c>
      <c r="C456" s="52" t="inlineStr">
        <is>
          <t>TOUR2</t>
        </is>
      </c>
      <c r="D456" s="53" t="inlineStr">
        <is>
          <t>Attente matière</t>
        </is>
      </c>
      <c r="E456" s="60" t="n">
        <v>41</v>
      </c>
      <c r="F456" s="53" t="n"/>
      <c r="G456" s="61" t="str">
        <f>IF(OR(COUNTA(A456:E456)=0,D456=""),"",IFERROR(INDEX(ca_fam,MATCH(D456,ca_name,0))&amp;"",""))</f>
        <v>Manque matière</v>
      </c>
      <c r="H456" s="58" t="str">
        <f>IF(OR(COUNTA(A456:E456)=0,D456=""),"",IFERROR(INDEX(ca_type,MATCH(D456,ca_name,0))&amp;"",""))</f>
        <v>Non planifié</v>
      </c>
      <c r="I456" s="58" t="str">
        <f>IF(COUNTA(A456:E456)=0,"",IF(N(A456)&lt;=0,"Date manquante ou invalide",IF(B456="","Équipe manquante",IF(ISNA(MATCH(B456,eq_code,0)),"Équipe inconnue",IF(C456="","Poste manquant",IF(ISNA(MATCH(C456,po_code,0)),"Poste inconnu",IF(D456="","Cause manquante",IF(ISNA(MATCH(D456,ca_name,0)),"Cause inconnue",IF(H456="","Cause à compléter dans Paramètres",IF(OR(NOT(ISNUMBER(E456)),N(E456)&lt;=0,N(E456)&gt;1440),"Durée invalide",IF(COUNTIFS(sj_date,A456,sj_eq,B456,sj_po,C456)=0,"Pas de saisie journalière ce jour-là","OK")))))))))))</f>
        <v>OK</v>
      </c>
      <c r="J456">
        <f>IF(OR(I456="OK",I456="Pas de saisie journalière ce jour-là"),E456,0)</f>
        <v>41.0</v>
      </c>
      <c r="K456">
        <f>IF(AND(J456&gt;0,A456&gt;=p_from,A456&lt;=p_to),1,0)</f>
        <v>1.0</v>
      </c>
      <c r="L456">
        <f>IF(AND(K456=1,OR(pa_po="",C456=pa_po),OR(pa_eq="",B456=pa_eq)),1,0)</f>
        <v>1.0</v>
      </c>
    </row>
    <row r="457">
      <c r="A457" s="51" t="n">
        <v>46323</v>
      </c>
      <c r="B457" s="52" t="inlineStr">
        <is>
          <t>Après-midi</t>
        </is>
      </c>
      <c r="C457" s="52" t="inlineStr">
        <is>
          <t>TOUR2</t>
        </is>
      </c>
      <c r="D457" s="53" t="inlineStr">
        <is>
          <t>Attente contrôle qualité</t>
        </is>
      </c>
      <c r="E457" s="60" t="n">
        <v>21</v>
      </c>
      <c r="F457" s="53" t="n"/>
      <c r="G457" s="61" t="str">
        <f>IF(OR(COUNTA(A457:E457)=0,D457=""),"",IFERROR(INDEX(ca_fam,MATCH(D457,ca_name,0))&amp;"",""))</f>
        <v>Qualité</v>
      </c>
      <c r="H457" s="58" t="str">
        <f>IF(OR(COUNTA(A457:E457)=0,D457=""),"",IFERROR(INDEX(ca_type,MATCH(D457,ca_name,0))&amp;"",""))</f>
        <v>Non planifié</v>
      </c>
      <c r="I457" s="58" t="str">
        <f>IF(COUNTA(A457:E457)=0,"",IF(N(A457)&lt;=0,"Date manquante ou invalide",IF(B457="","Équipe manquante",IF(ISNA(MATCH(B457,eq_code,0)),"Équipe inconnue",IF(C457="","Poste manquant",IF(ISNA(MATCH(C457,po_code,0)),"Poste inconnu",IF(D457="","Cause manquante",IF(ISNA(MATCH(D457,ca_name,0)),"Cause inconnue",IF(H457="","Cause à compléter dans Paramètres",IF(OR(NOT(ISNUMBER(E457)),N(E457)&lt;=0,N(E457)&gt;1440),"Durée invalide",IF(COUNTIFS(sj_date,A457,sj_eq,B457,sj_po,C457)=0,"Pas de saisie journalière ce jour-là","OK")))))))))))</f>
        <v>OK</v>
      </c>
      <c r="J457">
        <f>IF(OR(I457="OK",I457="Pas de saisie journalière ce jour-là"),E457,0)</f>
        <v>21.0</v>
      </c>
      <c r="K457">
        <f>IF(AND(J457&gt;0,A457&gt;=p_from,A457&lt;=p_to),1,0)</f>
        <v>1.0</v>
      </c>
      <c r="L457">
        <f>IF(AND(K457=1,OR(pa_po="",C457=pa_po),OR(pa_eq="",B457=pa_eq)),1,0)</f>
        <v>1.0</v>
      </c>
    </row>
    <row r="458">
      <c r="A458" s="51" t="n">
        <v>46323</v>
      </c>
      <c r="B458" s="52" t="inlineStr">
        <is>
          <t>Matin</t>
        </is>
      </c>
      <c r="C458" s="52" t="inlineStr">
        <is>
          <t>USIN</t>
        </is>
      </c>
      <c r="D458" s="53" t="inlineStr">
        <is>
          <t>Changement de série</t>
        </is>
      </c>
      <c r="E458" s="60" t="n">
        <v>31</v>
      </c>
      <c r="F458" s="53" t="n"/>
      <c r="G458" s="61" t="str">
        <f>IF(OR(COUNTA(A458:E458)=0,D458=""),"",IFERROR(INDEX(ca_fam,MATCH(D458,ca_name,0))&amp;"",""))</f>
        <v>Réglage et changement de série</v>
      </c>
      <c r="H458" s="58" t="str">
        <f>IF(OR(COUNTA(A458:E458)=0,D458=""),"",IFERROR(INDEX(ca_type,MATCH(D458,ca_name,0))&amp;"",""))</f>
        <v>Non planifié</v>
      </c>
      <c r="I458" s="58" t="str">
        <f>IF(COUNTA(A458:E458)=0,"",IF(N(A458)&lt;=0,"Date manquante ou invalide",IF(B458="","Équipe manquante",IF(ISNA(MATCH(B458,eq_code,0)),"Équipe inconnue",IF(C458="","Poste manquant",IF(ISNA(MATCH(C458,po_code,0)),"Poste inconnu",IF(D458="","Cause manquante",IF(ISNA(MATCH(D458,ca_name,0)),"Cause inconnue",IF(H458="","Cause à compléter dans Paramètres",IF(OR(NOT(ISNUMBER(E458)),N(E458)&lt;=0,N(E458)&gt;1440),"Durée invalide",IF(COUNTIFS(sj_date,A458,sj_eq,B458,sj_po,C458)=0,"Pas de saisie journalière ce jour-là","OK")))))))))))</f>
        <v>OK</v>
      </c>
      <c r="J458">
        <f>IF(OR(I458="OK",I458="Pas de saisie journalière ce jour-là"),E458,0)</f>
        <v>31.0</v>
      </c>
      <c r="K458">
        <f>IF(AND(J458&gt;0,A458&gt;=p_from,A458&lt;=p_to),1,0)</f>
        <v>1.0</v>
      </c>
      <c r="L458">
        <f>IF(AND(K458=1,OR(pa_po="",C458=pa_po),OR(pa_eq="",B458=pa_eq)),1,0)</f>
        <v>1.0</v>
      </c>
    </row>
    <row r="459">
      <c r="A459" s="51" t="n">
        <v>46323</v>
      </c>
      <c r="B459" s="52" t="inlineStr">
        <is>
          <t>Matin</t>
        </is>
      </c>
      <c r="C459" s="52" t="inlineStr">
        <is>
          <t>USIN</t>
        </is>
      </c>
      <c r="D459" s="53" t="inlineStr">
        <is>
          <t>Changement de série</t>
        </is>
      </c>
      <c r="E459" s="60" t="n">
        <v>28</v>
      </c>
      <c r="F459" s="53" t="n"/>
      <c r="G459" s="61" t="str">
        <f>IF(OR(COUNTA(A459:E459)=0,D459=""),"",IFERROR(INDEX(ca_fam,MATCH(D459,ca_name,0))&amp;"",""))</f>
        <v>Réglage et changement de série</v>
      </c>
      <c r="H459" s="58" t="str">
        <f>IF(OR(COUNTA(A459:E459)=0,D459=""),"",IFERROR(INDEX(ca_type,MATCH(D459,ca_name,0))&amp;"",""))</f>
        <v>Non planifié</v>
      </c>
      <c r="I459" s="58" t="str">
        <f>IF(COUNTA(A459:E459)=0,"",IF(N(A459)&lt;=0,"Date manquante ou invalide",IF(B459="","Équipe manquante",IF(ISNA(MATCH(B459,eq_code,0)),"Équipe inconnue",IF(C459="","Poste manquant",IF(ISNA(MATCH(C459,po_code,0)),"Poste inconnu",IF(D459="","Cause manquante",IF(ISNA(MATCH(D459,ca_name,0)),"Cause inconnue",IF(H459="","Cause à compléter dans Paramètres",IF(OR(NOT(ISNUMBER(E459)),N(E459)&lt;=0,N(E459)&gt;1440),"Durée invalide",IF(COUNTIFS(sj_date,A459,sj_eq,B459,sj_po,C459)=0,"Pas de saisie journalière ce jour-là","OK")))))))))))</f>
        <v>OK</v>
      </c>
      <c r="J459">
        <f>IF(OR(I459="OK",I459="Pas de saisie journalière ce jour-là"),E459,0)</f>
        <v>28.0</v>
      </c>
      <c r="K459">
        <f>IF(AND(J459&gt;0,A459&gt;=p_from,A459&lt;=p_to),1,0)</f>
        <v>1.0</v>
      </c>
      <c r="L459">
        <f>IF(AND(K459=1,OR(pa_po="",C459=pa_po),OR(pa_eq="",B459=pa_eq)),1,0)</f>
        <v>1.0</v>
      </c>
    </row>
    <row r="460">
      <c r="A460" s="51" t="n">
        <v>46323</v>
      </c>
      <c r="B460" s="52" t="inlineStr">
        <is>
          <t>Matin</t>
        </is>
      </c>
      <c r="C460" s="52" t="inlineStr">
        <is>
          <t>USIN</t>
        </is>
      </c>
      <c r="D460" s="53" t="inlineStr">
        <is>
          <t>Panne électrique</t>
        </is>
      </c>
      <c r="E460" s="60" t="n">
        <v>24</v>
      </c>
      <c r="F460" s="53" t="n"/>
      <c r="G460" s="61" t="str">
        <f>IF(OR(COUNTA(A460:E460)=0,D460=""),"",IFERROR(INDEX(ca_fam,MATCH(D460,ca_name,0))&amp;"",""))</f>
        <v>Panne</v>
      </c>
      <c r="H460" s="58" t="str">
        <f>IF(OR(COUNTA(A460:E460)=0,D460=""),"",IFERROR(INDEX(ca_type,MATCH(D460,ca_name,0))&amp;"",""))</f>
        <v>Non planifié</v>
      </c>
      <c r="I460" s="58" t="str">
        <f>IF(COUNTA(A460:E460)=0,"",IF(N(A460)&lt;=0,"Date manquante ou invalide",IF(B460="","Équipe manquante",IF(ISNA(MATCH(B460,eq_code,0)),"Équipe inconnue",IF(C460="","Poste manquant",IF(ISNA(MATCH(C460,po_code,0)),"Poste inconnu",IF(D460="","Cause manquante",IF(ISNA(MATCH(D460,ca_name,0)),"Cause inconnue",IF(H460="","Cause à compléter dans Paramètres",IF(OR(NOT(ISNUMBER(E460)),N(E460)&lt;=0,N(E460)&gt;1440),"Durée invalide",IF(COUNTIFS(sj_date,A460,sj_eq,B460,sj_po,C460)=0,"Pas de saisie journalière ce jour-là","OK")))))))))))</f>
        <v>OK</v>
      </c>
      <c r="J460">
        <f>IF(OR(I460="OK",I460="Pas de saisie journalière ce jour-là"),E460,0)</f>
        <v>24.0</v>
      </c>
      <c r="K460">
        <f>IF(AND(J460&gt;0,A460&gt;=p_from,A460&lt;=p_to),1,0)</f>
        <v>1.0</v>
      </c>
      <c r="L460">
        <f>IF(AND(K460=1,OR(pa_po="",C460=pa_po),OR(pa_eq="",B460=pa_eq)),1,0)</f>
        <v>1.0</v>
      </c>
    </row>
    <row r="461">
      <c r="A461" s="51" t="n">
        <v>46323</v>
      </c>
      <c r="B461" s="52" t="inlineStr">
        <is>
          <t>Après-midi</t>
        </is>
      </c>
      <c r="C461" s="52" t="inlineStr">
        <is>
          <t>USIN</t>
        </is>
      </c>
      <c r="D461" s="53" t="inlineStr">
        <is>
          <t>Opérateur sur un autre poste</t>
        </is>
      </c>
      <c r="E461" s="60" t="n">
        <v>27</v>
      </c>
      <c r="F461" s="53" t="n"/>
      <c r="G461" s="61" t="str">
        <f>IF(OR(COUNTA(A461:E461)=0,D461=""),"",IFERROR(INDEX(ca_fam,MATCH(D461,ca_name,0))&amp;"",""))</f>
        <v>Manque personnel</v>
      </c>
      <c r="H461" s="58" t="str">
        <f>IF(OR(COUNTA(A461:E461)=0,D461=""),"",IFERROR(INDEX(ca_type,MATCH(D461,ca_name,0))&amp;"",""))</f>
        <v>Non planifié</v>
      </c>
      <c r="I461" s="58" t="str">
        <f>IF(COUNTA(A461:E461)=0,"",IF(N(A461)&lt;=0,"Date manquante ou invalide",IF(B461="","Équipe manquante",IF(ISNA(MATCH(B461,eq_code,0)),"Équipe inconnue",IF(C461="","Poste manquant",IF(ISNA(MATCH(C461,po_code,0)),"Poste inconnu",IF(D461="","Cause manquante",IF(ISNA(MATCH(D461,ca_name,0)),"Cause inconnue",IF(H461="","Cause à compléter dans Paramètres",IF(OR(NOT(ISNUMBER(E461)),N(E461)&lt;=0,N(E461)&gt;1440),"Durée invalide",IF(COUNTIFS(sj_date,A461,sj_eq,B461,sj_po,C461)=0,"Pas de saisie journalière ce jour-là","OK")))))))))))</f>
        <v>OK</v>
      </c>
      <c r="J461">
        <f>IF(OR(I461="OK",I461="Pas de saisie journalière ce jour-là"),E461,0)</f>
        <v>27.0</v>
      </c>
      <c r="K461">
        <f>IF(AND(J461&gt;0,A461&gt;=p_from,A461&lt;=p_to),1,0)</f>
        <v>1.0</v>
      </c>
      <c r="L461">
        <f>IF(AND(K461=1,OR(pa_po="",C461=pa_po),OR(pa_eq="",B461=pa_eq)),1,0)</f>
        <v>1.0</v>
      </c>
    </row>
    <row r="462">
      <c r="A462" s="51" t="n">
        <v>46323</v>
      </c>
      <c r="B462" s="52" t="inlineStr">
        <is>
          <t>Après-midi</t>
        </is>
      </c>
      <c r="C462" s="52" t="inlineStr">
        <is>
          <t>USIN</t>
        </is>
      </c>
      <c r="D462" s="53" t="inlineStr">
        <is>
          <t>Changement de série</t>
        </is>
      </c>
      <c r="E462" s="60" t="n">
        <v>55</v>
      </c>
      <c r="F462" s="53" t="n"/>
      <c r="G462" s="61" t="str">
        <f>IF(OR(COUNTA(A462:E462)=0,D462=""),"",IFERROR(INDEX(ca_fam,MATCH(D462,ca_name,0))&amp;"",""))</f>
        <v>Réglage et changement de série</v>
      </c>
      <c r="H462" s="58" t="str">
        <f>IF(OR(COUNTA(A462:E462)=0,D462=""),"",IFERROR(INDEX(ca_type,MATCH(D462,ca_name,0))&amp;"",""))</f>
        <v>Non planifié</v>
      </c>
      <c r="I462" s="58" t="str">
        <f>IF(COUNTA(A462:E462)=0,"",IF(N(A462)&lt;=0,"Date manquante ou invalide",IF(B462="","Équipe manquante",IF(ISNA(MATCH(B462,eq_code,0)),"Équipe inconnue",IF(C462="","Poste manquant",IF(ISNA(MATCH(C462,po_code,0)),"Poste inconnu",IF(D462="","Cause manquante",IF(ISNA(MATCH(D462,ca_name,0)),"Cause inconnue",IF(H462="","Cause à compléter dans Paramètres",IF(OR(NOT(ISNUMBER(E462)),N(E462)&lt;=0,N(E462)&gt;1440),"Durée invalide",IF(COUNTIFS(sj_date,A462,sj_eq,B462,sj_po,C462)=0,"Pas de saisie journalière ce jour-là","OK")))))))))))</f>
        <v>OK</v>
      </c>
      <c r="J462">
        <f>IF(OR(I462="OK",I462="Pas de saisie journalière ce jour-là"),E462,0)</f>
        <v>55.0</v>
      </c>
      <c r="K462">
        <f>IF(AND(J462&gt;0,A462&gt;=p_from,A462&lt;=p_to),1,0)</f>
        <v>1.0</v>
      </c>
      <c r="L462">
        <f>IF(AND(K462=1,OR(pa_po="",C462=pa_po),OR(pa_eq="",B462=pa_eq)),1,0)</f>
        <v>1.0</v>
      </c>
    </row>
    <row r="463">
      <c r="A463" s="51" t="n">
        <v>46323</v>
      </c>
      <c r="B463" s="52" t="inlineStr">
        <is>
          <t>Après-midi</t>
        </is>
      </c>
      <c r="C463" s="52" t="inlineStr">
        <is>
          <t>USIN</t>
        </is>
      </c>
      <c r="D463" s="53" t="inlineStr">
        <is>
          <t>Arrêt pour non-conformité</t>
        </is>
      </c>
      <c r="E463" s="60" t="n">
        <v>26</v>
      </c>
      <c r="F463" s="53" t="n"/>
      <c r="G463" s="61" t="str">
        <f>IF(OR(COUNTA(A463:E463)=0,D463=""),"",IFERROR(INDEX(ca_fam,MATCH(D463,ca_name,0))&amp;"",""))</f>
        <v>Qualité</v>
      </c>
      <c r="H463" s="58" t="str">
        <f>IF(OR(COUNTA(A463:E463)=0,D463=""),"",IFERROR(INDEX(ca_type,MATCH(D463,ca_name,0))&amp;"",""))</f>
        <v>Non planifié</v>
      </c>
      <c r="I463" s="58" t="str">
        <f>IF(COUNTA(A463:E463)=0,"",IF(N(A463)&lt;=0,"Date manquante ou invalide",IF(B463="","Équipe manquante",IF(ISNA(MATCH(B463,eq_code,0)),"Équipe inconnue",IF(C463="","Poste manquant",IF(ISNA(MATCH(C463,po_code,0)),"Poste inconnu",IF(D463="","Cause manquante",IF(ISNA(MATCH(D463,ca_name,0)),"Cause inconnue",IF(H463="","Cause à compléter dans Paramètres",IF(OR(NOT(ISNUMBER(E463)),N(E463)&lt;=0,N(E463)&gt;1440),"Durée invalide",IF(COUNTIFS(sj_date,A463,sj_eq,B463,sj_po,C463)=0,"Pas de saisie journalière ce jour-là","OK")))))))))))</f>
        <v>OK</v>
      </c>
      <c r="J463">
        <f>IF(OR(I463="OK",I463="Pas de saisie journalière ce jour-là"),E463,0)</f>
        <v>26.0</v>
      </c>
      <c r="K463">
        <f>IF(AND(J463&gt;0,A463&gt;=p_from,A463&lt;=p_to),1,0)</f>
        <v>1.0</v>
      </c>
      <c r="L463">
        <f>IF(AND(K463=1,OR(pa_po="",C463=pa_po),OR(pa_eq="",B463=pa_eq)),1,0)</f>
        <v>1.0</v>
      </c>
    </row>
    <row r="464">
      <c r="A464" s="51" t="n">
        <v>46323</v>
      </c>
      <c r="B464" s="52" t="inlineStr">
        <is>
          <t>Matin</t>
        </is>
      </c>
      <c r="C464" s="52" t="inlineStr">
        <is>
          <t>PRESSE</t>
        </is>
      </c>
      <c r="D464" s="53" t="inlineStr">
        <is>
          <t>Attente contrôle qualité</t>
        </is>
      </c>
      <c r="E464" s="60" t="n">
        <v>24</v>
      </c>
      <c r="F464" s="53" t="n"/>
      <c r="G464" s="61" t="str">
        <f>IF(OR(COUNTA(A464:E464)=0,D464=""),"",IFERROR(INDEX(ca_fam,MATCH(D464,ca_name,0))&amp;"",""))</f>
        <v>Qualité</v>
      </c>
      <c r="H464" s="58" t="str">
        <f>IF(OR(COUNTA(A464:E464)=0,D464=""),"",IFERROR(INDEX(ca_type,MATCH(D464,ca_name,0))&amp;"",""))</f>
        <v>Non planifié</v>
      </c>
      <c r="I464" s="58" t="str">
        <f>IF(COUNTA(A464:E464)=0,"",IF(N(A464)&lt;=0,"Date manquante ou invalide",IF(B464="","Équipe manquante",IF(ISNA(MATCH(B464,eq_code,0)),"Équipe inconnue",IF(C464="","Poste manquant",IF(ISNA(MATCH(C464,po_code,0)),"Poste inconnu",IF(D464="","Cause manquante",IF(ISNA(MATCH(D464,ca_name,0)),"Cause inconnue",IF(H464="","Cause à compléter dans Paramètres",IF(OR(NOT(ISNUMBER(E464)),N(E464)&lt;=0,N(E464)&gt;1440),"Durée invalide",IF(COUNTIFS(sj_date,A464,sj_eq,B464,sj_po,C464)=0,"Pas de saisie journalière ce jour-là","OK")))))))))))</f>
        <v>OK</v>
      </c>
      <c r="J464">
        <f>IF(OR(I464="OK",I464="Pas de saisie journalière ce jour-là"),E464,0)</f>
        <v>24.0</v>
      </c>
      <c r="K464">
        <f>IF(AND(J464&gt;0,A464&gt;=p_from,A464&lt;=p_to),1,0)</f>
        <v>1.0</v>
      </c>
      <c r="L464">
        <f>IF(AND(K464=1,OR(pa_po="",C464=pa_po),OR(pa_eq="",B464=pa_eq)),1,0)</f>
        <v>1.0</v>
      </c>
    </row>
    <row r="465">
      <c r="A465" s="51" t="n">
        <v>46323</v>
      </c>
      <c r="B465" s="52" t="inlineStr">
        <is>
          <t>Journée</t>
        </is>
      </c>
      <c r="C465" s="52" t="inlineStr">
        <is>
          <t>PLIE</t>
        </is>
      </c>
      <c r="D465" s="53" t="inlineStr">
        <is>
          <t>Changement de série</t>
        </is>
      </c>
      <c r="E465" s="60" t="n">
        <v>50</v>
      </c>
      <c r="F465" s="53" t="n"/>
      <c r="G465" s="61" t="str">
        <f>IF(OR(COUNTA(A465:E465)=0,D465=""),"",IFERROR(INDEX(ca_fam,MATCH(D465,ca_name,0))&amp;"",""))</f>
        <v>Réglage et changement de série</v>
      </c>
      <c r="H465" s="58" t="str">
        <f>IF(OR(COUNTA(A465:E465)=0,D465=""),"",IFERROR(INDEX(ca_type,MATCH(D465,ca_name,0))&amp;"",""))</f>
        <v>Non planifié</v>
      </c>
      <c r="I465" s="58" t="str">
        <f>IF(COUNTA(A465:E465)=0,"",IF(N(A465)&lt;=0,"Date manquante ou invalide",IF(B465="","Équipe manquante",IF(ISNA(MATCH(B465,eq_code,0)),"Équipe inconnue",IF(C465="","Poste manquant",IF(ISNA(MATCH(C465,po_code,0)),"Poste inconnu",IF(D465="","Cause manquante",IF(ISNA(MATCH(D465,ca_name,0)),"Cause inconnue",IF(H465="","Cause à compléter dans Paramètres",IF(OR(NOT(ISNUMBER(E465)),N(E465)&lt;=0,N(E465)&gt;1440),"Durée invalide",IF(COUNTIFS(sj_date,A465,sj_eq,B465,sj_po,C465)=0,"Pas de saisie journalière ce jour-là","OK")))))))))))</f>
        <v>OK</v>
      </c>
      <c r="J465">
        <f>IF(OR(I465="OK",I465="Pas de saisie journalière ce jour-là"),E465,0)</f>
        <v>50.0</v>
      </c>
      <c r="K465">
        <f>IF(AND(J465&gt;0,A465&gt;=p_from,A465&lt;=p_to),1,0)</f>
        <v>1.0</v>
      </c>
      <c r="L465">
        <f>IF(AND(K465=1,OR(pa_po="",C465=pa_po),OR(pa_eq="",B465=pa_eq)),1,0)</f>
        <v>1.0</v>
      </c>
    </row>
    <row r="466">
      <c r="A466" s="51" t="n">
        <v>46323</v>
      </c>
      <c r="B466" s="52" t="inlineStr">
        <is>
          <t>Journée</t>
        </is>
      </c>
      <c r="C466" s="52" t="inlineStr">
        <is>
          <t>PLIE</t>
        </is>
      </c>
      <c r="D466" s="53" t="inlineStr">
        <is>
          <t>Arrêt pour non-conformité</t>
        </is>
      </c>
      <c r="E466" s="60" t="n">
        <v>54</v>
      </c>
      <c r="F466" s="53" t="n"/>
      <c r="G466" s="61" t="str">
        <f>IF(OR(COUNTA(A466:E466)=0,D466=""),"",IFERROR(INDEX(ca_fam,MATCH(D466,ca_name,0))&amp;"",""))</f>
        <v>Qualité</v>
      </c>
      <c r="H466" s="58" t="str">
        <f>IF(OR(COUNTA(A466:E466)=0,D466=""),"",IFERROR(INDEX(ca_type,MATCH(D466,ca_name,0))&amp;"",""))</f>
        <v>Non planifié</v>
      </c>
      <c r="I466" s="58" t="str">
        <f>IF(COUNTA(A466:E466)=0,"",IF(N(A466)&lt;=0,"Date manquante ou invalide",IF(B466="","Équipe manquante",IF(ISNA(MATCH(B466,eq_code,0)),"Équipe inconnue",IF(C466="","Poste manquant",IF(ISNA(MATCH(C466,po_code,0)),"Poste inconnu",IF(D466="","Cause manquante",IF(ISNA(MATCH(D466,ca_name,0)),"Cause inconnue",IF(H466="","Cause à compléter dans Paramètres",IF(OR(NOT(ISNUMBER(E466)),N(E466)&lt;=0,N(E466)&gt;1440),"Durée invalide",IF(COUNTIFS(sj_date,A466,sj_eq,B466,sj_po,C466)=0,"Pas de saisie journalière ce jour-là","OK")))))))))))</f>
        <v>OK</v>
      </c>
      <c r="J466">
        <f>IF(OR(I466="OK",I466="Pas de saisie journalière ce jour-là"),E466,0)</f>
        <v>54.0</v>
      </c>
      <c r="K466">
        <f>IF(AND(J466&gt;0,A466&gt;=p_from,A466&lt;=p_to),1,0)</f>
        <v>1.0</v>
      </c>
      <c r="L466">
        <f>IF(AND(K466=1,OR(pa_po="",C466=pa_po),OR(pa_eq="",B466=pa_eq)),1,0)</f>
        <v>1.0</v>
      </c>
    </row>
    <row r="467">
      <c r="A467" s="51" t="n">
        <v>46323</v>
      </c>
      <c r="B467" s="52" t="inlineStr">
        <is>
          <t>Journée</t>
        </is>
      </c>
      <c r="C467" s="52" t="inlineStr">
        <is>
          <t>PLIE</t>
        </is>
      </c>
      <c r="D467" s="53" t="inlineStr">
        <is>
          <t>Changement d'outil</t>
        </is>
      </c>
      <c r="E467" s="60" t="n">
        <v>12</v>
      </c>
      <c r="F467" s="53" t="n"/>
      <c r="G467" s="61" t="str">
        <f>IF(OR(COUNTA(A467:E467)=0,D467=""),"",IFERROR(INDEX(ca_fam,MATCH(D467,ca_name,0))&amp;"",""))</f>
        <v>Réglage et changement de série</v>
      </c>
      <c r="H467" s="58" t="str">
        <f>IF(OR(COUNTA(A467:E467)=0,D467=""),"",IFERROR(INDEX(ca_type,MATCH(D467,ca_name,0))&amp;"",""))</f>
        <v>Non planifié</v>
      </c>
      <c r="I467" s="58" t="str">
        <f>IF(COUNTA(A467:E467)=0,"",IF(N(A467)&lt;=0,"Date manquante ou invalide",IF(B467="","Équipe manquante",IF(ISNA(MATCH(B467,eq_code,0)),"Équipe inconnue",IF(C467="","Poste manquant",IF(ISNA(MATCH(C467,po_code,0)),"Poste inconnu",IF(D467="","Cause manquante",IF(ISNA(MATCH(D467,ca_name,0)),"Cause inconnue",IF(H467="","Cause à compléter dans Paramètres",IF(OR(NOT(ISNUMBER(E467)),N(E467)&lt;=0,N(E467)&gt;1440),"Durée invalide",IF(COUNTIFS(sj_date,A467,sj_eq,B467,sj_po,C467)=0,"Pas de saisie journalière ce jour-là","OK")))))))))))</f>
        <v>OK</v>
      </c>
      <c r="J467">
        <f>IF(OR(I467="OK",I467="Pas de saisie journalière ce jour-là"),E467,0)</f>
        <v>12.0</v>
      </c>
      <c r="K467">
        <f>IF(AND(J467&gt;0,A467&gt;=p_from,A467&lt;=p_to),1,0)</f>
        <v>1.0</v>
      </c>
      <c r="L467">
        <f>IF(AND(K467=1,OR(pa_po="",C467=pa_po),OR(pa_eq="",B467=pa_eq)),1,0)</f>
        <v>1.0</v>
      </c>
    </row>
    <row r="468">
      <c r="A468" s="51" t="n">
        <v>46323</v>
      </c>
      <c r="B468" s="52" t="inlineStr">
        <is>
          <t>Matin</t>
        </is>
      </c>
      <c r="C468" s="52" t="inlineStr">
        <is>
          <t>SOUD</t>
        </is>
      </c>
      <c r="D468" s="53" t="inlineStr">
        <is>
          <t>Changement de série</t>
        </is>
      </c>
      <c r="E468" s="60" t="n">
        <v>64</v>
      </c>
      <c r="F468" s="53" t="n"/>
      <c r="G468" s="61" t="str">
        <f>IF(OR(COUNTA(A468:E468)=0,D468=""),"",IFERROR(INDEX(ca_fam,MATCH(D468,ca_name,0))&amp;"",""))</f>
        <v>Réglage et changement de série</v>
      </c>
      <c r="H468" s="58" t="str">
        <f>IF(OR(COUNTA(A468:E468)=0,D468=""),"",IFERROR(INDEX(ca_type,MATCH(D468,ca_name,0))&amp;"",""))</f>
        <v>Non planifié</v>
      </c>
      <c r="I468" s="58" t="str">
        <f>IF(COUNTA(A468:E468)=0,"",IF(N(A468)&lt;=0,"Date manquante ou invalide",IF(B468="","Équipe manquante",IF(ISNA(MATCH(B468,eq_code,0)),"Équipe inconnue",IF(C468="","Poste manquant",IF(ISNA(MATCH(C468,po_code,0)),"Poste inconnu",IF(D468="","Cause manquante",IF(ISNA(MATCH(D468,ca_name,0)),"Cause inconnue",IF(H468="","Cause à compléter dans Paramètres",IF(OR(NOT(ISNUMBER(E468)),N(E468)&lt;=0,N(E468)&gt;1440),"Durée invalide",IF(COUNTIFS(sj_date,A468,sj_eq,B468,sj_po,C468)=0,"Pas de saisie journalière ce jour-là","OK")))))))))))</f>
        <v>OK</v>
      </c>
      <c r="J468">
        <f>IF(OR(I468="OK",I468="Pas de saisie journalière ce jour-là"),E468,0)</f>
        <v>64.0</v>
      </c>
      <c r="K468">
        <f>IF(AND(J468&gt;0,A468&gt;=p_from,A468&lt;=p_to),1,0)</f>
        <v>1.0</v>
      </c>
      <c r="L468">
        <f>IF(AND(K468=1,OR(pa_po="",C468=pa_po),OR(pa_eq="",B468=pa_eq)),1,0)</f>
        <v>1.0</v>
      </c>
    </row>
    <row r="469">
      <c r="A469" s="51" t="n">
        <v>46323</v>
      </c>
      <c r="B469" s="52" t="inlineStr">
        <is>
          <t>Matin</t>
        </is>
      </c>
      <c r="C469" s="52" t="inlineStr">
        <is>
          <t>SOUD</t>
        </is>
      </c>
      <c r="D469" s="53" t="inlineStr">
        <is>
          <t>Réglage en cours de production</t>
        </is>
      </c>
      <c r="E469" s="60" t="n">
        <v>20</v>
      </c>
      <c r="F469" s="53" t="n"/>
      <c r="G469" s="61" t="str">
        <f>IF(OR(COUNTA(A469:E469)=0,D469=""),"",IFERROR(INDEX(ca_fam,MATCH(D469,ca_name,0))&amp;"",""))</f>
        <v>Réglage et changement de série</v>
      </c>
      <c r="H469" s="58" t="str">
        <f>IF(OR(COUNTA(A469:E469)=0,D469=""),"",IFERROR(INDEX(ca_type,MATCH(D469,ca_name,0))&amp;"",""))</f>
        <v>Non planifié</v>
      </c>
      <c r="I469" s="58" t="str">
        <f>IF(COUNTA(A469:E469)=0,"",IF(N(A469)&lt;=0,"Date manquante ou invalide",IF(B469="","Équipe manquante",IF(ISNA(MATCH(B469,eq_code,0)),"Équipe inconnue",IF(C469="","Poste manquant",IF(ISNA(MATCH(C469,po_code,0)),"Poste inconnu",IF(D469="","Cause manquante",IF(ISNA(MATCH(D469,ca_name,0)),"Cause inconnue",IF(H469="","Cause à compléter dans Paramètres",IF(OR(NOT(ISNUMBER(E469)),N(E469)&lt;=0,N(E469)&gt;1440),"Durée invalide",IF(COUNTIFS(sj_date,A469,sj_eq,B469,sj_po,C469)=0,"Pas de saisie journalière ce jour-là","OK")))))))))))</f>
        <v>OK</v>
      </c>
      <c r="J469">
        <f>IF(OR(I469="OK",I469="Pas de saisie journalière ce jour-là"),E469,0)</f>
        <v>20.0</v>
      </c>
      <c r="K469">
        <f>IF(AND(J469&gt;0,A469&gt;=p_from,A469&lt;=p_to),1,0)</f>
        <v>1.0</v>
      </c>
      <c r="L469">
        <f>IF(AND(K469=1,OR(pa_po="",C469=pa_po),OR(pa_eq="",B469=pa_eq)),1,0)</f>
        <v>1.0</v>
      </c>
    </row>
    <row r="470">
      <c r="A470" s="51" t="n">
        <v>46323</v>
      </c>
      <c r="B470" s="52" t="inlineStr">
        <is>
          <t>Après-midi</t>
        </is>
      </c>
      <c r="C470" s="52" t="inlineStr">
        <is>
          <t>SOUD</t>
        </is>
      </c>
      <c r="D470" s="53" t="inlineStr">
        <is>
          <t>Changement de série</t>
        </is>
      </c>
      <c r="E470" s="60" t="n">
        <v>43</v>
      </c>
      <c r="F470" s="53" t="n"/>
      <c r="G470" s="61" t="str">
        <f>IF(OR(COUNTA(A470:E470)=0,D470=""),"",IFERROR(INDEX(ca_fam,MATCH(D470,ca_name,0))&amp;"",""))</f>
        <v>Réglage et changement de série</v>
      </c>
      <c r="H470" s="58" t="str">
        <f>IF(OR(COUNTA(A470:E470)=0,D470=""),"",IFERROR(INDEX(ca_type,MATCH(D470,ca_name,0))&amp;"",""))</f>
        <v>Non planifié</v>
      </c>
      <c r="I470" s="58" t="str">
        <f>IF(COUNTA(A470:E470)=0,"",IF(N(A470)&lt;=0,"Date manquante ou invalide",IF(B470="","Équipe manquante",IF(ISNA(MATCH(B470,eq_code,0)),"Équipe inconnue",IF(C470="","Poste manquant",IF(ISNA(MATCH(C470,po_code,0)),"Poste inconnu",IF(D470="","Cause manquante",IF(ISNA(MATCH(D470,ca_name,0)),"Cause inconnue",IF(H470="","Cause à compléter dans Paramètres",IF(OR(NOT(ISNUMBER(E470)),N(E470)&lt;=0,N(E470)&gt;1440),"Durée invalide",IF(COUNTIFS(sj_date,A470,sj_eq,B470,sj_po,C470)=0,"Pas de saisie journalière ce jour-là","OK")))))))))))</f>
        <v>OK</v>
      </c>
      <c r="J470">
        <f>IF(OR(I470="OK",I470="Pas de saisie journalière ce jour-là"),E470,0)</f>
        <v>43.0</v>
      </c>
      <c r="K470">
        <f>IF(AND(J470&gt;0,A470&gt;=p_from,A470&lt;=p_to),1,0)</f>
        <v>1.0</v>
      </c>
      <c r="L470">
        <f>IF(AND(K470=1,OR(pa_po="",C470=pa_po),OR(pa_eq="",B470=pa_eq)),1,0)</f>
        <v>1.0</v>
      </c>
    </row>
    <row r="471">
      <c r="A471" s="51" t="n">
        <v>46324</v>
      </c>
      <c r="B471" s="52" t="inlineStr">
        <is>
          <t>Matin</t>
        </is>
      </c>
      <c r="C471" s="52" t="inlineStr">
        <is>
          <t>TOUR1</t>
        </is>
      </c>
      <c r="D471" s="53" t="inlineStr">
        <is>
          <t>Changement de série</t>
        </is>
      </c>
      <c r="E471" s="60" t="n">
        <v>39</v>
      </c>
      <c r="F471" s="53" t="n"/>
      <c r="G471" s="61" t="str">
        <f>IF(OR(COUNTA(A471:E471)=0,D471=""),"",IFERROR(INDEX(ca_fam,MATCH(D471,ca_name,0))&amp;"",""))</f>
        <v>Réglage et changement de série</v>
      </c>
      <c r="H471" s="58" t="str">
        <f>IF(OR(COUNTA(A471:E471)=0,D471=""),"",IFERROR(INDEX(ca_type,MATCH(D471,ca_name,0))&amp;"",""))</f>
        <v>Non planifié</v>
      </c>
      <c r="I471" s="58" t="str">
        <f>IF(COUNTA(A471:E471)=0,"",IF(N(A471)&lt;=0,"Date manquante ou invalide",IF(B471="","Équipe manquante",IF(ISNA(MATCH(B471,eq_code,0)),"Équipe inconnue",IF(C471="","Poste manquant",IF(ISNA(MATCH(C471,po_code,0)),"Poste inconnu",IF(D471="","Cause manquante",IF(ISNA(MATCH(D471,ca_name,0)),"Cause inconnue",IF(H471="","Cause à compléter dans Paramètres",IF(OR(NOT(ISNUMBER(E471)),N(E471)&lt;=0,N(E471)&gt;1440),"Durée invalide",IF(COUNTIFS(sj_date,A471,sj_eq,B471,sj_po,C471)=0,"Pas de saisie journalière ce jour-là","OK")))))))))))</f>
        <v>OK</v>
      </c>
      <c r="J471">
        <f>IF(OR(I471="OK",I471="Pas de saisie journalière ce jour-là"),E471,0)</f>
        <v>39.0</v>
      </c>
      <c r="K471">
        <f>IF(AND(J471&gt;0,A471&gt;=p_from,A471&lt;=p_to),1,0)</f>
        <v>1.0</v>
      </c>
      <c r="L471">
        <f>IF(AND(K471=1,OR(pa_po="",C471=pa_po),OR(pa_eq="",B471=pa_eq)),1,0)</f>
        <v>1.0</v>
      </c>
    </row>
    <row r="472">
      <c r="A472" s="51" t="n">
        <v>46324</v>
      </c>
      <c r="B472" s="52" t="inlineStr">
        <is>
          <t>Matin</t>
        </is>
      </c>
      <c r="C472" s="52" t="inlineStr">
        <is>
          <t>TOUR1</t>
        </is>
      </c>
      <c r="D472" s="53" t="inlineStr">
        <is>
          <t>Attente pièces de l'opération précédente</t>
        </is>
      </c>
      <c r="E472" s="60" t="n">
        <v>24</v>
      </c>
      <c r="F472" s="53" t="n"/>
      <c r="G472" s="61" t="str">
        <f>IF(OR(COUNTA(A472:E472)=0,D472=""),"",IFERROR(INDEX(ca_fam,MATCH(D472,ca_name,0))&amp;"",""))</f>
        <v>Manque matière</v>
      </c>
      <c r="H472" s="58" t="str">
        <f>IF(OR(COUNTA(A472:E472)=0,D472=""),"",IFERROR(INDEX(ca_type,MATCH(D472,ca_name,0))&amp;"",""))</f>
        <v>Non planifié</v>
      </c>
      <c r="I472" s="58" t="str">
        <f>IF(COUNTA(A472:E472)=0,"",IF(N(A472)&lt;=0,"Date manquante ou invalide",IF(B472="","Équipe manquante",IF(ISNA(MATCH(B472,eq_code,0)),"Équipe inconnue",IF(C472="","Poste manquant",IF(ISNA(MATCH(C472,po_code,0)),"Poste inconnu",IF(D472="","Cause manquante",IF(ISNA(MATCH(D472,ca_name,0)),"Cause inconnue",IF(H472="","Cause à compléter dans Paramètres",IF(OR(NOT(ISNUMBER(E472)),N(E472)&lt;=0,N(E472)&gt;1440),"Durée invalide",IF(COUNTIFS(sj_date,A472,sj_eq,B472,sj_po,C472)=0,"Pas de saisie journalière ce jour-là","OK")))))))))))</f>
        <v>OK</v>
      </c>
      <c r="J472">
        <f>IF(OR(I472="OK",I472="Pas de saisie journalière ce jour-là"),E472,0)</f>
        <v>24.0</v>
      </c>
      <c r="K472">
        <f>IF(AND(J472&gt;0,A472&gt;=p_from,A472&lt;=p_to),1,0)</f>
        <v>1.0</v>
      </c>
      <c r="L472">
        <f>IF(AND(K472=1,OR(pa_po="",C472=pa_po),OR(pa_eq="",B472=pa_eq)),1,0)</f>
        <v>1.0</v>
      </c>
    </row>
    <row r="473">
      <c r="A473" s="51" t="n">
        <v>46324</v>
      </c>
      <c r="B473" s="52" t="inlineStr">
        <is>
          <t>Après-midi</t>
        </is>
      </c>
      <c r="C473" s="52" t="inlineStr">
        <is>
          <t>TOUR1</t>
        </is>
      </c>
      <c r="D473" s="53" t="inlineStr">
        <is>
          <t>Changement de série</t>
        </is>
      </c>
      <c r="E473" s="60" t="n">
        <v>62</v>
      </c>
      <c r="F473" s="53" t="n"/>
      <c r="G473" s="61" t="str">
        <f>IF(OR(COUNTA(A473:E473)=0,D473=""),"",IFERROR(INDEX(ca_fam,MATCH(D473,ca_name,0))&amp;"",""))</f>
        <v>Réglage et changement de série</v>
      </c>
      <c r="H473" s="58" t="str">
        <f>IF(OR(COUNTA(A473:E473)=0,D473=""),"",IFERROR(INDEX(ca_type,MATCH(D473,ca_name,0))&amp;"",""))</f>
        <v>Non planifié</v>
      </c>
      <c r="I473" s="58" t="str">
        <f>IF(COUNTA(A473:E473)=0,"",IF(N(A473)&lt;=0,"Date manquante ou invalide",IF(B473="","Équipe manquante",IF(ISNA(MATCH(B473,eq_code,0)),"Équipe inconnue",IF(C473="","Poste manquant",IF(ISNA(MATCH(C473,po_code,0)),"Poste inconnu",IF(D473="","Cause manquante",IF(ISNA(MATCH(D473,ca_name,0)),"Cause inconnue",IF(H473="","Cause à compléter dans Paramètres",IF(OR(NOT(ISNUMBER(E473)),N(E473)&lt;=0,N(E473)&gt;1440),"Durée invalide",IF(COUNTIFS(sj_date,A473,sj_eq,B473,sj_po,C473)=0,"Pas de saisie journalière ce jour-là","OK")))))))))))</f>
        <v>OK</v>
      </c>
      <c r="J473">
        <f>IF(OR(I473="OK",I473="Pas de saisie journalière ce jour-là"),E473,0)</f>
        <v>62.0</v>
      </c>
      <c r="K473">
        <f>IF(AND(J473&gt;0,A473&gt;=p_from,A473&lt;=p_to),1,0)</f>
        <v>1.0</v>
      </c>
      <c r="L473">
        <f>IF(AND(K473=1,OR(pa_po="",C473=pa_po),OR(pa_eq="",B473=pa_eq)),1,0)</f>
        <v>1.0</v>
      </c>
    </row>
    <row r="474">
      <c r="A474" s="51" t="n">
        <v>46324</v>
      </c>
      <c r="B474" s="52" t="inlineStr">
        <is>
          <t>Après-midi</t>
        </is>
      </c>
      <c r="C474" s="52" t="inlineStr">
        <is>
          <t>TOUR1</t>
        </is>
      </c>
      <c r="D474" s="53" t="inlineStr">
        <is>
          <t>Changement d'outil</t>
        </is>
      </c>
      <c r="E474" s="60" t="n">
        <v>16</v>
      </c>
      <c r="F474" s="53" t="n"/>
      <c r="G474" s="61" t="str">
        <f>IF(OR(COUNTA(A474:E474)=0,D474=""),"",IFERROR(INDEX(ca_fam,MATCH(D474,ca_name,0))&amp;"",""))</f>
        <v>Réglage et changement de série</v>
      </c>
      <c r="H474" s="58" t="str">
        <f>IF(OR(COUNTA(A474:E474)=0,D474=""),"",IFERROR(INDEX(ca_type,MATCH(D474,ca_name,0))&amp;"",""))</f>
        <v>Non planifié</v>
      </c>
      <c r="I474" s="58" t="str">
        <f>IF(COUNTA(A474:E474)=0,"",IF(N(A474)&lt;=0,"Date manquante ou invalide",IF(B474="","Équipe manquante",IF(ISNA(MATCH(B474,eq_code,0)),"Équipe inconnue",IF(C474="","Poste manquant",IF(ISNA(MATCH(C474,po_code,0)),"Poste inconnu",IF(D474="","Cause manquante",IF(ISNA(MATCH(D474,ca_name,0)),"Cause inconnue",IF(H474="","Cause à compléter dans Paramètres",IF(OR(NOT(ISNUMBER(E474)),N(E474)&lt;=0,N(E474)&gt;1440),"Durée invalide",IF(COUNTIFS(sj_date,A474,sj_eq,B474,sj_po,C474)=0,"Pas de saisie journalière ce jour-là","OK")))))))))))</f>
        <v>OK</v>
      </c>
      <c r="J474">
        <f>IF(OR(I474="OK",I474="Pas de saisie journalière ce jour-là"),E474,0)</f>
        <v>16.0</v>
      </c>
      <c r="K474">
        <f>IF(AND(J474&gt;0,A474&gt;=p_from,A474&lt;=p_to),1,0)</f>
        <v>1.0</v>
      </c>
      <c r="L474">
        <f>IF(AND(K474=1,OR(pa_po="",C474=pa_po),OR(pa_eq="",B474=pa_eq)),1,0)</f>
        <v>1.0</v>
      </c>
    </row>
    <row r="475">
      <c r="A475" s="51" t="n">
        <v>46324</v>
      </c>
      <c r="B475" s="52" t="inlineStr">
        <is>
          <t>Après-midi</t>
        </is>
      </c>
      <c r="C475" s="52" t="inlineStr">
        <is>
          <t>TOUR2</t>
        </is>
      </c>
      <c r="D475" s="53" t="inlineStr">
        <is>
          <t>Attente contrôle qualité</t>
        </is>
      </c>
      <c r="E475" s="60" t="n">
        <v>23</v>
      </c>
      <c r="F475" s="53" t="n"/>
      <c r="G475" s="61" t="str">
        <f>IF(OR(COUNTA(A475:E475)=0,D475=""),"",IFERROR(INDEX(ca_fam,MATCH(D475,ca_name,0))&amp;"",""))</f>
        <v>Qualité</v>
      </c>
      <c r="H475" s="58" t="str">
        <f>IF(OR(COUNTA(A475:E475)=0,D475=""),"",IFERROR(INDEX(ca_type,MATCH(D475,ca_name,0))&amp;"",""))</f>
        <v>Non planifié</v>
      </c>
      <c r="I475" s="58" t="str">
        <f>IF(COUNTA(A475:E475)=0,"",IF(N(A475)&lt;=0,"Date manquante ou invalide",IF(B475="","Équipe manquante",IF(ISNA(MATCH(B475,eq_code,0)),"Équipe inconnue",IF(C475="","Poste manquant",IF(ISNA(MATCH(C475,po_code,0)),"Poste inconnu",IF(D475="","Cause manquante",IF(ISNA(MATCH(D475,ca_name,0)),"Cause inconnue",IF(H475="","Cause à compléter dans Paramètres",IF(OR(NOT(ISNUMBER(E475)),N(E475)&lt;=0,N(E475)&gt;1440),"Durée invalide",IF(COUNTIFS(sj_date,A475,sj_eq,B475,sj_po,C475)=0,"Pas de saisie journalière ce jour-là","OK")))))))))))</f>
        <v>OK</v>
      </c>
      <c r="J475">
        <f>IF(OR(I475="OK",I475="Pas de saisie journalière ce jour-là"),E475,0)</f>
        <v>23.0</v>
      </c>
      <c r="K475">
        <f>IF(AND(J475&gt;0,A475&gt;=p_from,A475&lt;=p_to),1,0)</f>
        <v>1.0</v>
      </c>
      <c r="L475">
        <f>IF(AND(K475=1,OR(pa_po="",C475=pa_po),OR(pa_eq="",B475=pa_eq)),1,0)</f>
        <v>1.0</v>
      </c>
    </row>
    <row r="476">
      <c r="A476" s="51" t="n">
        <v>46324</v>
      </c>
      <c r="B476" s="52" t="inlineStr">
        <is>
          <t>Après-midi</t>
        </is>
      </c>
      <c r="C476" s="52" t="inlineStr">
        <is>
          <t>TOUR2</t>
        </is>
      </c>
      <c r="D476" s="53" t="inlineStr">
        <is>
          <t>Attente matière</t>
        </is>
      </c>
      <c r="E476" s="60" t="n">
        <v>73</v>
      </c>
      <c r="F476" s="53" t="n"/>
      <c r="G476" s="61" t="str">
        <f>IF(OR(COUNTA(A476:E476)=0,D476=""),"",IFERROR(INDEX(ca_fam,MATCH(D476,ca_name,0))&amp;"",""))</f>
        <v>Manque matière</v>
      </c>
      <c r="H476" s="58" t="str">
        <f>IF(OR(COUNTA(A476:E476)=0,D476=""),"",IFERROR(INDEX(ca_type,MATCH(D476,ca_name,0))&amp;"",""))</f>
        <v>Non planifié</v>
      </c>
      <c r="I476" s="58" t="str">
        <f>IF(COUNTA(A476:E476)=0,"",IF(N(A476)&lt;=0,"Date manquante ou invalide",IF(B476="","Équipe manquante",IF(ISNA(MATCH(B476,eq_code,0)),"Équipe inconnue",IF(C476="","Poste manquant",IF(ISNA(MATCH(C476,po_code,0)),"Poste inconnu",IF(D476="","Cause manquante",IF(ISNA(MATCH(D476,ca_name,0)),"Cause inconnue",IF(H476="","Cause à compléter dans Paramètres",IF(OR(NOT(ISNUMBER(E476)),N(E476)&lt;=0,N(E476)&gt;1440),"Durée invalide",IF(COUNTIFS(sj_date,A476,sj_eq,B476,sj_po,C476)=0,"Pas de saisie journalière ce jour-là","OK")))))))))))</f>
        <v>OK</v>
      </c>
      <c r="J476">
        <f>IF(OR(I476="OK",I476="Pas de saisie journalière ce jour-là"),E476,0)</f>
        <v>73.0</v>
      </c>
      <c r="K476">
        <f>IF(AND(J476&gt;0,A476&gt;=p_from,A476&lt;=p_to),1,0)</f>
        <v>1.0</v>
      </c>
      <c r="L476">
        <f>IF(AND(K476=1,OR(pa_po="",C476=pa_po),OR(pa_eq="",B476=pa_eq)),1,0)</f>
        <v>1.0</v>
      </c>
    </row>
    <row r="477">
      <c r="A477" s="51" t="n">
        <v>46324</v>
      </c>
      <c r="B477" s="52" t="inlineStr">
        <is>
          <t>Après-midi</t>
        </is>
      </c>
      <c r="C477" s="52" t="inlineStr">
        <is>
          <t>TOUR2</t>
        </is>
      </c>
      <c r="D477" s="53" t="inlineStr">
        <is>
          <t>Attente contrôle qualité</t>
        </is>
      </c>
      <c r="E477" s="60" t="n">
        <v>29</v>
      </c>
      <c r="F477" s="53" t="n"/>
      <c r="G477" s="61" t="str">
        <f>IF(OR(COUNTA(A477:E477)=0,D477=""),"",IFERROR(INDEX(ca_fam,MATCH(D477,ca_name,0))&amp;"",""))</f>
        <v>Qualité</v>
      </c>
      <c r="H477" s="58" t="str">
        <f>IF(OR(COUNTA(A477:E477)=0,D477=""),"",IFERROR(INDEX(ca_type,MATCH(D477,ca_name,0))&amp;"",""))</f>
        <v>Non planifié</v>
      </c>
      <c r="I477" s="58" t="str">
        <f>IF(COUNTA(A477:E477)=0,"",IF(N(A477)&lt;=0,"Date manquante ou invalide",IF(B477="","Équipe manquante",IF(ISNA(MATCH(B477,eq_code,0)),"Équipe inconnue",IF(C477="","Poste manquant",IF(ISNA(MATCH(C477,po_code,0)),"Poste inconnu",IF(D477="","Cause manquante",IF(ISNA(MATCH(D477,ca_name,0)),"Cause inconnue",IF(H477="","Cause à compléter dans Paramètres",IF(OR(NOT(ISNUMBER(E477)),N(E477)&lt;=0,N(E477)&gt;1440),"Durée invalide",IF(COUNTIFS(sj_date,A477,sj_eq,B477,sj_po,C477)=0,"Pas de saisie journalière ce jour-là","OK")))))))))))</f>
        <v>OK</v>
      </c>
      <c r="J477">
        <f>IF(OR(I477="OK",I477="Pas de saisie journalière ce jour-là"),E477,0)</f>
        <v>29.0</v>
      </c>
      <c r="K477">
        <f>IF(AND(J477&gt;0,A477&gt;=p_from,A477&lt;=p_to),1,0)</f>
        <v>1.0</v>
      </c>
      <c r="L477">
        <f>IF(AND(K477=1,OR(pa_po="",C477=pa_po),OR(pa_eq="",B477=pa_eq)),1,0)</f>
        <v>1.0</v>
      </c>
    </row>
    <row r="478">
      <c r="A478" s="51" t="n">
        <v>46324</v>
      </c>
      <c r="B478" s="52" t="inlineStr">
        <is>
          <t>Après-midi</t>
        </is>
      </c>
      <c r="C478" s="52" t="inlineStr">
        <is>
          <t>USIN</t>
        </is>
      </c>
      <c r="D478" s="53" t="inlineStr">
        <is>
          <t>Opérateur sur un autre poste</t>
        </is>
      </c>
      <c r="E478" s="60" t="n">
        <v>35</v>
      </c>
      <c r="F478" s="53" t="n"/>
      <c r="G478" s="61" t="str">
        <f>IF(OR(COUNTA(A478:E478)=0,D478=""),"",IFERROR(INDEX(ca_fam,MATCH(D478,ca_name,0))&amp;"",""))</f>
        <v>Manque personnel</v>
      </c>
      <c r="H478" s="58" t="str">
        <f>IF(OR(COUNTA(A478:E478)=0,D478=""),"",IFERROR(INDEX(ca_type,MATCH(D478,ca_name,0))&amp;"",""))</f>
        <v>Non planifié</v>
      </c>
      <c r="I478" s="58" t="str">
        <f>IF(COUNTA(A478:E478)=0,"",IF(N(A478)&lt;=0,"Date manquante ou invalide",IF(B478="","Équipe manquante",IF(ISNA(MATCH(B478,eq_code,0)),"Équipe inconnue",IF(C478="","Poste manquant",IF(ISNA(MATCH(C478,po_code,0)),"Poste inconnu",IF(D478="","Cause manquante",IF(ISNA(MATCH(D478,ca_name,0)),"Cause inconnue",IF(H478="","Cause à compléter dans Paramètres",IF(OR(NOT(ISNUMBER(E478)),N(E478)&lt;=0,N(E478)&gt;1440),"Durée invalide",IF(COUNTIFS(sj_date,A478,sj_eq,B478,sj_po,C478)=0,"Pas de saisie journalière ce jour-là","OK")))))))))))</f>
        <v>OK</v>
      </c>
      <c r="J478">
        <f>IF(OR(I478="OK",I478="Pas de saisie journalière ce jour-là"),E478,0)</f>
        <v>35.0</v>
      </c>
      <c r="K478">
        <f>IF(AND(J478&gt;0,A478&gt;=p_from,A478&lt;=p_to),1,0)</f>
        <v>1.0</v>
      </c>
      <c r="L478">
        <f>IF(AND(K478=1,OR(pa_po="",C478=pa_po),OR(pa_eq="",B478=pa_eq)),1,0)</f>
        <v>1.0</v>
      </c>
    </row>
    <row r="479">
      <c r="A479" s="51" t="n">
        <v>46324</v>
      </c>
      <c r="B479" s="52" t="inlineStr">
        <is>
          <t>Après-midi</t>
        </is>
      </c>
      <c r="C479" s="52" t="inlineStr">
        <is>
          <t>USIN</t>
        </is>
      </c>
      <c r="D479" s="53" t="inlineStr">
        <is>
          <t>Casse outil</t>
        </is>
      </c>
      <c r="E479" s="60" t="n">
        <v>26</v>
      </c>
      <c r="F479" s="53" t="n"/>
      <c r="G479" s="61" t="str">
        <f>IF(OR(COUNTA(A479:E479)=0,D479=""),"",IFERROR(INDEX(ca_fam,MATCH(D479,ca_name,0))&amp;"",""))</f>
        <v>Panne</v>
      </c>
      <c r="H479" s="58" t="str">
        <f>IF(OR(COUNTA(A479:E479)=0,D479=""),"",IFERROR(INDEX(ca_type,MATCH(D479,ca_name,0))&amp;"",""))</f>
        <v>Non planifié</v>
      </c>
      <c r="I479" s="58" t="str">
        <f>IF(COUNTA(A479:E479)=0,"",IF(N(A479)&lt;=0,"Date manquante ou invalide",IF(B479="","Équipe manquante",IF(ISNA(MATCH(B479,eq_code,0)),"Équipe inconnue",IF(C479="","Poste manquant",IF(ISNA(MATCH(C479,po_code,0)),"Poste inconnu",IF(D479="","Cause manquante",IF(ISNA(MATCH(D479,ca_name,0)),"Cause inconnue",IF(H479="","Cause à compléter dans Paramètres",IF(OR(NOT(ISNUMBER(E479)),N(E479)&lt;=0,N(E479)&gt;1440),"Durée invalide",IF(COUNTIFS(sj_date,A479,sj_eq,B479,sj_po,C479)=0,"Pas de saisie journalière ce jour-là","OK")))))))))))</f>
        <v>OK</v>
      </c>
      <c r="J479">
        <f>IF(OR(I479="OK",I479="Pas de saisie journalière ce jour-là"),E479,0)</f>
        <v>26.0</v>
      </c>
      <c r="K479">
        <f>IF(AND(J479&gt;0,A479&gt;=p_from,A479&lt;=p_to),1,0)</f>
        <v>1.0</v>
      </c>
      <c r="L479">
        <f>IF(AND(K479=1,OR(pa_po="",C479=pa_po),OR(pa_eq="",B479=pa_eq)),1,0)</f>
        <v>1.0</v>
      </c>
    </row>
    <row r="480">
      <c r="A480" s="51" t="n">
        <v>46324</v>
      </c>
      <c r="B480" s="52" t="inlineStr">
        <is>
          <t>Journée</t>
        </is>
      </c>
      <c r="C480" s="52" t="inlineStr">
        <is>
          <t>PLIE</t>
        </is>
      </c>
      <c r="D480" s="53" t="inlineStr">
        <is>
          <t>Attente programme ou consignes</t>
        </is>
      </c>
      <c r="E480" s="60" t="n">
        <v>28</v>
      </c>
      <c r="F480" s="53" t="n"/>
      <c r="G480" s="61" t="str">
        <f>IF(OR(COUNTA(A480:E480)=0,D480=""),"",IFERROR(INDEX(ca_fam,MATCH(D480,ca_name,0))&amp;"",""))</f>
        <v>Organisation</v>
      </c>
      <c r="H480" s="58" t="str">
        <f>IF(OR(COUNTA(A480:E480)=0,D480=""),"",IFERROR(INDEX(ca_type,MATCH(D480,ca_name,0))&amp;"",""))</f>
        <v>Non planifié</v>
      </c>
      <c r="I480" s="58" t="str">
        <f>IF(COUNTA(A480:E480)=0,"",IF(N(A480)&lt;=0,"Date manquante ou invalide",IF(B480="","Équipe manquante",IF(ISNA(MATCH(B480,eq_code,0)),"Équipe inconnue",IF(C480="","Poste manquant",IF(ISNA(MATCH(C480,po_code,0)),"Poste inconnu",IF(D480="","Cause manquante",IF(ISNA(MATCH(D480,ca_name,0)),"Cause inconnue",IF(H480="","Cause à compléter dans Paramètres",IF(OR(NOT(ISNUMBER(E480)),N(E480)&lt;=0,N(E480)&gt;1440),"Durée invalide",IF(COUNTIFS(sj_date,A480,sj_eq,B480,sj_po,C480)=0,"Pas de saisie journalière ce jour-là","OK")))))))))))</f>
        <v>OK</v>
      </c>
      <c r="J480">
        <f>IF(OR(I480="OK",I480="Pas de saisie journalière ce jour-là"),E480,0)</f>
        <v>28.0</v>
      </c>
      <c r="K480">
        <f>IF(AND(J480&gt;0,A480&gt;=p_from,A480&lt;=p_to),1,0)</f>
        <v>1.0</v>
      </c>
      <c r="L480">
        <f>IF(AND(K480=1,OR(pa_po="",C480=pa_po),OR(pa_eq="",B480=pa_eq)),1,0)</f>
        <v>1.0</v>
      </c>
    </row>
    <row r="481">
      <c r="A481" s="51" t="n">
        <v>46324</v>
      </c>
      <c r="B481" s="52" t="inlineStr">
        <is>
          <t>Journée</t>
        </is>
      </c>
      <c r="C481" s="52" t="inlineStr">
        <is>
          <t>PLIE</t>
        </is>
      </c>
      <c r="D481" s="53" t="inlineStr">
        <is>
          <t>Attente matière</t>
        </is>
      </c>
      <c r="E481" s="60" t="n">
        <v>69</v>
      </c>
      <c r="F481" s="53" t="n"/>
      <c r="G481" s="61" t="str">
        <f>IF(OR(COUNTA(A481:E481)=0,D481=""),"",IFERROR(INDEX(ca_fam,MATCH(D481,ca_name,0))&amp;"",""))</f>
        <v>Manque matière</v>
      </c>
      <c r="H481" s="58" t="str">
        <f>IF(OR(COUNTA(A481:E481)=0,D481=""),"",IFERROR(INDEX(ca_type,MATCH(D481,ca_name,0))&amp;"",""))</f>
        <v>Non planifié</v>
      </c>
      <c r="I481" s="58" t="str">
        <f>IF(COUNTA(A481:E481)=0,"",IF(N(A481)&lt;=0,"Date manquante ou invalide",IF(B481="","Équipe manquante",IF(ISNA(MATCH(B481,eq_code,0)),"Équipe inconnue",IF(C481="","Poste manquant",IF(ISNA(MATCH(C481,po_code,0)),"Poste inconnu",IF(D481="","Cause manquante",IF(ISNA(MATCH(D481,ca_name,0)),"Cause inconnue",IF(H481="","Cause à compléter dans Paramètres",IF(OR(NOT(ISNUMBER(E481)),N(E481)&lt;=0,N(E481)&gt;1440),"Durée invalide",IF(COUNTIFS(sj_date,A481,sj_eq,B481,sj_po,C481)=0,"Pas de saisie journalière ce jour-là","OK")))))))))))</f>
        <v>OK</v>
      </c>
      <c r="J481">
        <f>IF(OR(I481="OK",I481="Pas de saisie journalière ce jour-là"),E481,0)</f>
        <v>69.0</v>
      </c>
      <c r="K481">
        <f>IF(AND(J481&gt;0,A481&gt;=p_from,A481&lt;=p_to),1,0)</f>
        <v>1.0</v>
      </c>
      <c r="L481">
        <f>IF(AND(K481=1,OR(pa_po="",C481=pa_po),OR(pa_eq="",B481=pa_eq)),1,0)</f>
        <v>1.0</v>
      </c>
    </row>
    <row r="482">
      <c r="A482" s="51" t="n">
        <v>46324</v>
      </c>
      <c r="B482" s="52" t="inlineStr">
        <is>
          <t>Matin</t>
        </is>
      </c>
      <c r="C482" s="52" t="inlineStr">
        <is>
          <t>SOUD</t>
        </is>
      </c>
      <c r="D482" s="53" t="inlineStr">
        <is>
          <t>Absence opérateur</t>
        </is>
      </c>
      <c r="E482" s="60" t="n">
        <v>133</v>
      </c>
      <c r="F482" s="53" t="n"/>
      <c r="G482" s="61" t="str">
        <f>IF(OR(COUNTA(A482:E482)=0,D482=""),"",IFERROR(INDEX(ca_fam,MATCH(D482,ca_name,0))&amp;"",""))</f>
        <v>Manque personnel</v>
      </c>
      <c r="H482" s="58" t="str">
        <f>IF(OR(COUNTA(A482:E482)=0,D482=""),"",IFERROR(INDEX(ca_type,MATCH(D482,ca_name,0))&amp;"",""))</f>
        <v>Non planifié</v>
      </c>
      <c r="I482" s="58" t="str">
        <f>IF(COUNTA(A482:E482)=0,"",IF(N(A482)&lt;=0,"Date manquante ou invalide",IF(B482="","Équipe manquante",IF(ISNA(MATCH(B482,eq_code,0)),"Équipe inconnue",IF(C482="","Poste manquant",IF(ISNA(MATCH(C482,po_code,0)),"Poste inconnu",IF(D482="","Cause manquante",IF(ISNA(MATCH(D482,ca_name,0)),"Cause inconnue",IF(H482="","Cause à compléter dans Paramètres",IF(OR(NOT(ISNUMBER(E482)),N(E482)&lt;=0,N(E482)&gt;1440),"Durée invalide",IF(COUNTIFS(sj_date,A482,sj_eq,B482,sj_po,C482)=0,"Pas de saisie journalière ce jour-là","OK")))))))))))</f>
        <v>OK</v>
      </c>
      <c r="J482">
        <f>IF(OR(I482="OK",I482="Pas de saisie journalière ce jour-là"),E482,0)</f>
        <v>133.0</v>
      </c>
      <c r="K482">
        <f>IF(AND(J482&gt;0,A482&gt;=p_from,A482&lt;=p_to),1,0)</f>
        <v>1.0</v>
      </c>
      <c r="L482">
        <f>IF(AND(K482=1,OR(pa_po="",C482=pa_po),OR(pa_eq="",B482=pa_eq)),1,0)</f>
        <v>1.0</v>
      </c>
    </row>
    <row r="483">
      <c r="A483" s="51" t="n">
        <v>46324</v>
      </c>
      <c r="B483" s="52" t="inlineStr">
        <is>
          <t>Matin</t>
        </is>
      </c>
      <c r="C483" s="52" t="inlineStr">
        <is>
          <t>SOUD</t>
        </is>
      </c>
      <c r="D483" s="53" t="inlineStr">
        <is>
          <t>Attente programme ou consignes</t>
        </is>
      </c>
      <c r="E483" s="60" t="n">
        <v>29</v>
      </c>
      <c r="F483" s="53" t="n"/>
      <c r="G483" s="61" t="str">
        <f>IF(OR(COUNTA(A483:E483)=0,D483=""),"",IFERROR(INDEX(ca_fam,MATCH(D483,ca_name,0))&amp;"",""))</f>
        <v>Organisation</v>
      </c>
      <c r="H483" s="58" t="str">
        <f>IF(OR(COUNTA(A483:E483)=0,D483=""),"",IFERROR(INDEX(ca_type,MATCH(D483,ca_name,0))&amp;"",""))</f>
        <v>Non planifié</v>
      </c>
      <c r="I483" s="58" t="str">
        <f>IF(COUNTA(A483:E483)=0,"",IF(N(A483)&lt;=0,"Date manquante ou invalide",IF(B483="","Équipe manquante",IF(ISNA(MATCH(B483,eq_code,0)),"Équipe inconnue",IF(C483="","Poste manquant",IF(ISNA(MATCH(C483,po_code,0)),"Poste inconnu",IF(D483="","Cause manquante",IF(ISNA(MATCH(D483,ca_name,0)),"Cause inconnue",IF(H483="","Cause à compléter dans Paramètres",IF(OR(NOT(ISNUMBER(E483)),N(E483)&lt;=0,N(E483)&gt;1440),"Durée invalide",IF(COUNTIFS(sj_date,A483,sj_eq,B483,sj_po,C483)=0,"Pas de saisie journalière ce jour-là","OK")))))))))))</f>
        <v>OK</v>
      </c>
      <c r="J483">
        <f>IF(OR(I483="OK",I483="Pas de saisie journalière ce jour-là"),E483,0)</f>
        <v>29.0</v>
      </c>
      <c r="K483">
        <f>IF(AND(J483&gt;0,A483&gt;=p_from,A483&lt;=p_to),1,0)</f>
        <v>1.0</v>
      </c>
      <c r="L483">
        <f>IF(AND(K483=1,OR(pa_po="",C483=pa_po),OR(pa_eq="",B483=pa_eq)),1,0)</f>
        <v>1.0</v>
      </c>
    </row>
    <row r="484">
      <c r="A484" s="51" t="n">
        <v>46324</v>
      </c>
      <c r="B484" s="52" t="inlineStr">
        <is>
          <t>Matin</t>
        </is>
      </c>
      <c r="C484" s="52" t="inlineStr">
        <is>
          <t>SOUD</t>
        </is>
      </c>
      <c r="D484" s="53" t="inlineStr">
        <is>
          <t>Casse outil</t>
        </is>
      </c>
      <c r="E484" s="60" t="n">
        <v>18</v>
      </c>
      <c r="F484" s="53" t="n"/>
      <c r="G484" s="61" t="str">
        <f>IF(OR(COUNTA(A484:E484)=0,D484=""),"",IFERROR(INDEX(ca_fam,MATCH(D484,ca_name,0))&amp;"",""))</f>
        <v>Panne</v>
      </c>
      <c r="H484" s="58" t="str">
        <f>IF(OR(COUNTA(A484:E484)=0,D484=""),"",IFERROR(INDEX(ca_type,MATCH(D484,ca_name,0))&amp;"",""))</f>
        <v>Non planifié</v>
      </c>
      <c r="I484" s="58" t="str">
        <f>IF(COUNTA(A484:E484)=0,"",IF(N(A484)&lt;=0,"Date manquante ou invalide",IF(B484="","Équipe manquante",IF(ISNA(MATCH(B484,eq_code,0)),"Équipe inconnue",IF(C484="","Poste manquant",IF(ISNA(MATCH(C484,po_code,0)),"Poste inconnu",IF(D484="","Cause manquante",IF(ISNA(MATCH(D484,ca_name,0)),"Cause inconnue",IF(H484="","Cause à compléter dans Paramètres",IF(OR(NOT(ISNUMBER(E484)),N(E484)&lt;=0,N(E484)&gt;1440),"Durée invalide",IF(COUNTIFS(sj_date,A484,sj_eq,B484,sj_po,C484)=0,"Pas de saisie journalière ce jour-là","OK")))))))))))</f>
        <v>OK</v>
      </c>
      <c r="J484">
        <f>IF(OR(I484="OK",I484="Pas de saisie journalière ce jour-là"),E484,0)</f>
        <v>18.0</v>
      </c>
      <c r="K484">
        <f>IF(AND(J484&gt;0,A484&gt;=p_from,A484&lt;=p_to),1,0)</f>
        <v>1.0</v>
      </c>
      <c r="L484">
        <f>IF(AND(K484=1,OR(pa_po="",C484=pa_po),OR(pa_eq="",B484=pa_eq)),1,0)</f>
        <v>1.0</v>
      </c>
    </row>
    <row r="485">
      <c r="A485" s="51" t="n">
        <v>46324</v>
      </c>
      <c r="B485" s="52" t="inlineStr">
        <is>
          <t>Après-midi</t>
        </is>
      </c>
      <c r="C485" s="52" t="inlineStr">
        <is>
          <t>SOUD</t>
        </is>
      </c>
      <c r="D485" s="53" t="inlineStr">
        <is>
          <t>Changement de série</t>
        </is>
      </c>
      <c r="E485" s="60" t="n">
        <v>53</v>
      </c>
      <c r="F485" s="53" t="n"/>
      <c r="G485" s="61" t="str">
        <f>IF(OR(COUNTA(A485:E485)=0,D485=""),"",IFERROR(INDEX(ca_fam,MATCH(D485,ca_name,0))&amp;"",""))</f>
        <v>Réglage et changement de série</v>
      </c>
      <c r="H485" s="58" t="str">
        <f>IF(OR(COUNTA(A485:E485)=0,D485=""),"",IFERROR(INDEX(ca_type,MATCH(D485,ca_name,0))&amp;"",""))</f>
        <v>Non planifié</v>
      </c>
      <c r="I485" s="58" t="str">
        <f>IF(COUNTA(A485:E485)=0,"",IF(N(A485)&lt;=0,"Date manquante ou invalide",IF(B485="","Équipe manquante",IF(ISNA(MATCH(B485,eq_code,0)),"Équipe inconnue",IF(C485="","Poste manquant",IF(ISNA(MATCH(C485,po_code,0)),"Poste inconnu",IF(D485="","Cause manquante",IF(ISNA(MATCH(D485,ca_name,0)),"Cause inconnue",IF(H485="","Cause à compléter dans Paramètres",IF(OR(NOT(ISNUMBER(E485)),N(E485)&lt;=0,N(E485)&gt;1440),"Durée invalide",IF(COUNTIFS(sj_date,A485,sj_eq,B485,sj_po,C485)=0,"Pas de saisie journalière ce jour-là","OK")))))))))))</f>
        <v>OK</v>
      </c>
      <c r="J485">
        <f>IF(OR(I485="OK",I485="Pas de saisie journalière ce jour-là"),E485,0)</f>
        <v>53.0</v>
      </c>
      <c r="K485">
        <f>IF(AND(J485&gt;0,A485&gt;=p_from,A485&lt;=p_to),1,0)</f>
        <v>1.0</v>
      </c>
      <c r="L485">
        <f>IF(AND(K485=1,OR(pa_po="",C485=pa_po),OR(pa_eq="",B485=pa_eq)),1,0)</f>
        <v>1.0</v>
      </c>
    </row>
    <row r="486">
      <c r="A486" s="51" t="n">
        <v>46325</v>
      </c>
      <c r="B486" s="52" t="inlineStr">
        <is>
          <t>Matin</t>
        </is>
      </c>
      <c r="C486" s="52" t="inlineStr">
        <is>
          <t>TOUR1</t>
        </is>
      </c>
      <c r="D486" s="53" t="inlineStr">
        <is>
          <t>Changement de série</t>
        </is>
      </c>
      <c r="E486" s="60" t="n">
        <v>61</v>
      </c>
      <c r="F486" s="53" t="n"/>
      <c r="G486" s="61" t="str">
        <f>IF(OR(COUNTA(A486:E486)=0,D486=""),"",IFERROR(INDEX(ca_fam,MATCH(D486,ca_name,0))&amp;"",""))</f>
        <v>Réglage et changement de série</v>
      </c>
      <c r="H486" s="58" t="str">
        <f>IF(OR(COUNTA(A486:E486)=0,D486=""),"",IFERROR(INDEX(ca_type,MATCH(D486,ca_name,0))&amp;"",""))</f>
        <v>Non planifié</v>
      </c>
      <c r="I486" s="58" t="str">
        <f>IF(COUNTA(A486:E486)=0,"",IF(N(A486)&lt;=0,"Date manquante ou invalide",IF(B486="","Équipe manquante",IF(ISNA(MATCH(B486,eq_code,0)),"Équipe inconnue",IF(C486="","Poste manquant",IF(ISNA(MATCH(C486,po_code,0)),"Poste inconnu",IF(D486="","Cause manquante",IF(ISNA(MATCH(D486,ca_name,0)),"Cause inconnue",IF(H486="","Cause à compléter dans Paramètres",IF(OR(NOT(ISNUMBER(E486)),N(E486)&lt;=0,N(E486)&gt;1440),"Durée invalide",IF(COUNTIFS(sj_date,A486,sj_eq,B486,sj_po,C486)=0,"Pas de saisie journalière ce jour-là","OK")))))))))))</f>
        <v>OK</v>
      </c>
      <c r="J486">
        <f>IF(OR(I486="OK",I486="Pas de saisie journalière ce jour-là"),E486,0)</f>
        <v>61.0</v>
      </c>
      <c r="K486">
        <f>IF(AND(J486&gt;0,A486&gt;=p_from,A486&lt;=p_to),1,0)</f>
        <v>1.0</v>
      </c>
      <c r="L486">
        <f>IF(AND(K486=1,OR(pa_po="",C486=pa_po),OR(pa_eq="",B486=pa_eq)),1,0)</f>
        <v>1.0</v>
      </c>
    </row>
    <row r="487">
      <c r="A487" s="51" t="n">
        <v>46325</v>
      </c>
      <c r="B487" s="52" t="inlineStr">
        <is>
          <t>Après-midi</t>
        </is>
      </c>
      <c r="C487" s="52" t="inlineStr">
        <is>
          <t>TOUR1</t>
        </is>
      </c>
      <c r="D487" s="53" t="inlineStr">
        <is>
          <t>Attente contrôle qualité</t>
        </is>
      </c>
      <c r="E487" s="60" t="n">
        <v>11</v>
      </c>
      <c r="F487" s="53" t="n"/>
      <c r="G487" s="61" t="str">
        <f>IF(OR(COUNTA(A487:E487)=0,D487=""),"",IFERROR(INDEX(ca_fam,MATCH(D487,ca_name,0))&amp;"",""))</f>
        <v>Qualité</v>
      </c>
      <c r="H487" s="58" t="str">
        <f>IF(OR(COUNTA(A487:E487)=0,D487=""),"",IFERROR(INDEX(ca_type,MATCH(D487,ca_name,0))&amp;"",""))</f>
        <v>Non planifié</v>
      </c>
      <c r="I487" s="58" t="str">
        <f>IF(COUNTA(A487:E487)=0,"",IF(N(A487)&lt;=0,"Date manquante ou invalide",IF(B487="","Équipe manquante",IF(ISNA(MATCH(B487,eq_code,0)),"Équipe inconnue",IF(C487="","Poste manquant",IF(ISNA(MATCH(C487,po_code,0)),"Poste inconnu",IF(D487="","Cause manquante",IF(ISNA(MATCH(D487,ca_name,0)),"Cause inconnue",IF(H487="","Cause à compléter dans Paramètres",IF(OR(NOT(ISNUMBER(E487)),N(E487)&lt;=0,N(E487)&gt;1440),"Durée invalide",IF(COUNTIFS(sj_date,A487,sj_eq,B487,sj_po,C487)=0,"Pas de saisie journalière ce jour-là","OK")))))))))))</f>
        <v>OK</v>
      </c>
      <c r="J487">
        <f>IF(OR(I487="OK",I487="Pas de saisie journalière ce jour-là"),E487,0)</f>
        <v>11.0</v>
      </c>
      <c r="K487">
        <f>IF(AND(J487&gt;0,A487&gt;=p_from,A487&lt;=p_to),1,0)</f>
        <v>1.0</v>
      </c>
      <c r="L487">
        <f>IF(AND(K487=1,OR(pa_po="",C487=pa_po),OR(pa_eq="",B487=pa_eq)),1,0)</f>
        <v>1.0</v>
      </c>
    </row>
    <row r="488">
      <c r="A488" s="51" t="n">
        <v>46325</v>
      </c>
      <c r="B488" s="52" t="inlineStr">
        <is>
          <t>Après-midi</t>
        </is>
      </c>
      <c r="C488" s="52" t="inlineStr">
        <is>
          <t>TOUR2</t>
        </is>
      </c>
      <c r="D488" s="53" t="inlineStr">
        <is>
          <t>Opérateur sur un autre poste</t>
        </is>
      </c>
      <c r="E488" s="60" t="n">
        <v>58</v>
      </c>
      <c r="F488" s="53" t="n"/>
      <c r="G488" s="61" t="str">
        <f>IF(OR(COUNTA(A488:E488)=0,D488=""),"",IFERROR(INDEX(ca_fam,MATCH(D488,ca_name,0))&amp;"",""))</f>
        <v>Manque personnel</v>
      </c>
      <c r="H488" s="58" t="str">
        <f>IF(OR(COUNTA(A488:E488)=0,D488=""),"",IFERROR(INDEX(ca_type,MATCH(D488,ca_name,0))&amp;"",""))</f>
        <v>Non planifié</v>
      </c>
      <c r="I488" s="58" t="str">
        <f>IF(COUNTA(A488:E488)=0,"",IF(N(A488)&lt;=0,"Date manquante ou invalide",IF(B488="","Équipe manquante",IF(ISNA(MATCH(B488,eq_code,0)),"Équipe inconnue",IF(C488="","Poste manquant",IF(ISNA(MATCH(C488,po_code,0)),"Poste inconnu",IF(D488="","Cause manquante",IF(ISNA(MATCH(D488,ca_name,0)),"Cause inconnue",IF(H488="","Cause à compléter dans Paramètres",IF(OR(NOT(ISNUMBER(E488)),N(E488)&lt;=0,N(E488)&gt;1440),"Durée invalide",IF(COUNTIFS(sj_date,A488,sj_eq,B488,sj_po,C488)=0,"Pas de saisie journalière ce jour-là","OK")))))))))))</f>
        <v>OK</v>
      </c>
      <c r="J488">
        <f>IF(OR(I488="OK",I488="Pas de saisie journalière ce jour-là"),E488,0)</f>
        <v>58.0</v>
      </c>
      <c r="K488">
        <f>IF(AND(J488&gt;0,A488&gt;=p_from,A488&lt;=p_to),1,0)</f>
        <v>1.0</v>
      </c>
      <c r="L488">
        <f>IF(AND(K488=1,OR(pa_po="",C488=pa_po),OR(pa_eq="",B488=pa_eq)),1,0)</f>
        <v>1.0</v>
      </c>
    </row>
    <row r="489">
      <c r="A489" s="51" t="n">
        <v>46325</v>
      </c>
      <c r="B489" s="52" t="inlineStr">
        <is>
          <t>Après-midi</t>
        </is>
      </c>
      <c r="C489" s="52" t="inlineStr">
        <is>
          <t>TOUR2</t>
        </is>
      </c>
      <c r="D489" s="53" t="inlineStr">
        <is>
          <t>Attente contrôle qualité</t>
        </is>
      </c>
      <c r="E489" s="60" t="n">
        <v>26</v>
      </c>
      <c r="F489" s="53" t="n"/>
      <c r="G489" s="61" t="str">
        <f>IF(OR(COUNTA(A489:E489)=0,D489=""),"",IFERROR(INDEX(ca_fam,MATCH(D489,ca_name,0))&amp;"",""))</f>
        <v>Qualité</v>
      </c>
      <c r="H489" s="58" t="str">
        <f>IF(OR(COUNTA(A489:E489)=0,D489=""),"",IFERROR(INDEX(ca_type,MATCH(D489,ca_name,0))&amp;"",""))</f>
        <v>Non planifié</v>
      </c>
      <c r="I489" s="58" t="str">
        <f>IF(COUNTA(A489:E489)=0,"",IF(N(A489)&lt;=0,"Date manquante ou invalide",IF(B489="","Équipe manquante",IF(ISNA(MATCH(B489,eq_code,0)),"Équipe inconnue",IF(C489="","Poste manquant",IF(ISNA(MATCH(C489,po_code,0)),"Poste inconnu",IF(D489="","Cause manquante",IF(ISNA(MATCH(D489,ca_name,0)),"Cause inconnue",IF(H489="","Cause à compléter dans Paramètres",IF(OR(NOT(ISNUMBER(E489)),N(E489)&lt;=0,N(E489)&gt;1440),"Durée invalide",IF(COUNTIFS(sj_date,A489,sj_eq,B489,sj_po,C489)=0,"Pas de saisie journalière ce jour-là","OK")))))))))))</f>
        <v>OK</v>
      </c>
      <c r="J489">
        <f>IF(OR(I489="OK",I489="Pas de saisie journalière ce jour-là"),E489,0)</f>
        <v>26.0</v>
      </c>
      <c r="K489">
        <f>IF(AND(J489&gt;0,A489&gt;=p_from,A489&lt;=p_to),1,0)</f>
        <v>1.0</v>
      </c>
      <c r="L489">
        <f>IF(AND(K489=1,OR(pa_po="",C489=pa_po),OR(pa_eq="",B489=pa_eq)),1,0)</f>
        <v>1.0</v>
      </c>
    </row>
    <row r="490">
      <c r="A490" s="51" t="n">
        <v>46325</v>
      </c>
      <c r="B490" s="52" t="inlineStr">
        <is>
          <t>Matin</t>
        </is>
      </c>
      <c r="C490" s="52" t="inlineStr">
        <is>
          <t>USIN</t>
        </is>
      </c>
      <c r="D490" s="53" t="inlineStr">
        <is>
          <t>Attente chariot élévateur</t>
        </is>
      </c>
      <c r="E490" s="60" t="n">
        <v>7</v>
      </c>
      <c r="F490" s="53" t="n"/>
      <c r="G490" s="61" t="str">
        <f>IF(OR(COUNTA(A490:E490)=0,D490=""),"",IFERROR(INDEX(ca_fam,MATCH(D490,ca_name,0))&amp;"",""))</f>
        <v>Organisation</v>
      </c>
      <c r="H490" s="58" t="str">
        <f>IF(OR(COUNTA(A490:E490)=0,D490=""),"",IFERROR(INDEX(ca_type,MATCH(D490,ca_name,0))&amp;"",""))</f>
        <v>Non planifié</v>
      </c>
      <c r="I490" s="58" t="str">
        <f>IF(COUNTA(A490:E490)=0,"",IF(N(A490)&lt;=0,"Date manquante ou invalide",IF(B490="","Équipe manquante",IF(ISNA(MATCH(B490,eq_code,0)),"Équipe inconnue",IF(C490="","Poste manquant",IF(ISNA(MATCH(C490,po_code,0)),"Poste inconnu",IF(D490="","Cause manquante",IF(ISNA(MATCH(D490,ca_name,0)),"Cause inconnue",IF(H490="","Cause à compléter dans Paramètres",IF(OR(NOT(ISNUMBER(E490)),N(E490)&lt;=0,N(E490)&gt;1440),"Durée invalide",IF(COUNTIFS(sj_date,A490,sj_eq,B490,sj_po,C490)=0,"Pas de saisie journalière ce jour-là","OK")))))))))))</f>
        <v>OK</v>
      </c>
      <c r="J490">
        <f>IF(OR(I490="OK",I490="Pas de saisie journalière ce jour-là"),E490,0)</f>
        <v>7.0</v>
      </c>
      <c r="K490">
        <f>IF(AND(J490&gt;0,A490&gt;=p_from,A490&lt;=p_to),1,0)</f>
        <v>1.0</v>
      </c>
      <c r="L490">
        <f>IF(AND(K490=1,OR(pa_po="",C490=pa_po),OR(pa_eq="",B490=pa_eq)),1,0)</f>
        <v>1.0</v>
      </c>
    </row>
    <row r="491">
      <c r="A491" s="51" t="n">
        <v>46325</v>
      </c>
      <c r="B491" s="52" t="inlineStr">
        <is>
          <t>Matin</t>
        </is>
      </c>
      <c r="C491" s="52" t="inlineStr">
        <is>
          <t>USIN</t>
        </is>
      </c>
      <c r="D491" s="53" t="inlineStr">
        <is>
          <t>Changement d'outil</t>
        </is>
      </c>
      <c r="E491" s="60" t="n">
        <v>18</v>
      </c>
      <c r="F491" s="53" t="n"/>
      <c r="G491" s="61" t="str">
        <f>IF(OR(COUNTA(A491:E491)=0,D491=""),"",IFERROR(INDEX(ca_fam,MATCH(D491,ca_name,0))&amp;"",""))</f>
        <v>Réglage et changement de série</v>
      </c>
      <c r="H491" s="58" t="str">
        <f>IF(OR(COUNTA(A491:E491)=0,D491=""),"",IFERROR(INDEX(ca_type,MATCH(D491,ca_name,0))&amp;"",""))</f>
        <v>Non planifié</v>
      </c>
      <c r="I491" s="58" t="str">
        <f>IF(COUNTA(A491:E491)=0,"",IF(N(A491)&lt;=0,"Date manquante ou invalide",IF(B491="","Équipe manquante",IF(ISNA(MATCH(B491,eq_code,0)),"Équipe inconnue",IF(C491="","Poste manquant",IF(ISNA(MATCH(C491,po_code,0)),"Poste inconnu",IF(D491="","Cause manquante",IF(ISNA(MATCH(D491,ca_name,0)),"Cause inconnue",IF(H491="","Cause à compléter dans Paramètres",IF(OR(NOT(ISNUMBER(E491)),N(E491)&lt;=0,N(E491)&gt;1440),"Durée invalide",IF(COUNTIFS(sj_date,A491,sj_eq,B491,sj_po,C491)=0,"Pas de saisie journalière ce jour-là","OK")))))))))))</f>
        <v>OK</v>
      </c>
      <c r="J491">
        <f>IF(OR(I491="OK",I491="Pas de saisie journalière ce jour-là"),E491,0)</f>
        <v>18.0</v>
      </c>
      <c r="K491">
        <f>IF(AND(J491&gt;0,A491&gt;=p_from,A491&lt;=p_to),1,0)</f>
        <v>1.0</v>
      </c>
      <c r="L491">
        <f>IF(AND(K491=1,OR(pa_po="",C491=pa_po),OR(pa_eq="",B491=pa_eq)),1,0)</f>
        <v>1.0</v>
      </c>
    </row>
    <row r="492">
      <c r="A492" s="51" t="n">
        <v>46325</v>
      </c>
      <c r="B492" s="52" t="inlineStr">
        <is>
          <t>Matin</t>
        </is>
      </c>
      <c r="C492" s="52" t="inlineStr">
        <is>
          <t>USIN</t>
        </is>
      </c>
      <c r="D492" s="53" t="inlineStr">
        <is>
          <t>Changement de série</t>
        </is>
      </c>
      <c r="E492" s="60" t="n">
        <v>61</v>
      </c>
      <c r="F492" s="53" t="n"/>
      <c r="G492" s="61" t="str">
        <f>IF(OR(COUNTA(A492:E492)=0,D492=""),"",IFERROR(INDEX(ca_fam,MATCH(D492,ca_name,0))&amp;"",""))</f>
        <v>Réglage et changement de série</v>
      </c>
      <c r="H492" s="58" t="str">
        <f>IF(OR(COUNTA(A492:E492)=0,D492=""),"",IFERROR(INDEX(ca_type,MATCH(D492,ca_name,0))&amp;"",""))</f>
        <v>Non planifié</v>
      </c>
      <c r="I492" s="58" t="str">
        <f>IF(COUNTA(A492:E492)=0,"",IF(N(A492)&lt;=0,"Date manquante ou invalide",IF(B492="","Équipe manquante",IF(ISNA(MATCH(B492,eq_code,0)),"Équipe inconnue",IF(C492="","Poste manquant",IF(ISNA(MATCH(C492,po_code,0)),"Poste inconnu",IF(D492="","Cause manquante",IF(ISNA(MATCH(D492,ca_name,0)),"Cause inconnue",IF(H492="","Cause à compléter dans Paramètres",IF(OR(NOT(ISNUMBER(E492)),N(E492)&lt;=0,N(E492)&gt;1440),"Durée invalide",IF(COUNTIFS(sj_date,A492,sj_eq,B492,sj_po,C492)=0,"Pas de saisie journalière ce jour-là","OK")))))))))))</f>
        <v>OK</v>
      </c>
      <c r="J492">
        <f>IF(OR(I492="OK",I492="Pas de saisie journalière ce jour-là"),E492,0)</f>
        <v>61.0</v>
      </c>
      <c r="K492">
        <f>IF(AND(J492&gt;0,A492&gt;=p_from,A492&lt;=p_to),1,0)</f>
        <v>1.0</v>
      </c>
      <c r="L492">
        <f>IF(AND(K492=1,OR(pa_po="",C492=pa_po),OR(pa_eq="",B492=pa_eq)),1,0)</f>
        <v>1.0</v>
      </c>
    </row>
    <row r="493">
      <c r="A493" s="51" t="n">
        <v>46325</v>
      </c>
      <c r="B493" s="52" t="inlineStr">
        <is>
          <t>Après-midi</t>
        </is>
      </c>
      <c r="C493" s="52" t="inlineStr">
        <is>
          <t>USIN</t>
        </is>
      </c>
      <c r="D493" s="53" t="inlineStr">
        <is>
          <t>Changement de série</t>
        </is>
      </c>
      <c r="E493" s="60" t="n">
        <v>33</v>
      </c>
      <c r="F493" s="53" t="n"/>
      <c r="G493" s="61" t="str">
        <f>IF(OR(COUNTA(A493:E493)=0,D493=""),"",IFERROR(INDEX(ca_fam,MATCH(D493,ca_name,0))&amp;"",""))</f>
        <v>Réglage et changement de série</v>
      </c>
      <c r="H493" s="58" t="str">
        <f>IF(OR(COUNTA(A493:E493)=0,D493=""),"",IFERROR(INDEX(ca_type,MATCH(D493,ca_name,0))&amp;"",""))</f>
        <v>Non planifié</v>
      </c>
      <c r="I493" s="58" t="str">
        <f>IF(COUNTA(A493:E493)=0,"",IF(N(A493)&lt;=0,"Date manquante ou invalide",IF(B493="","Équipe manquante",IF(ISNA(MATCH(B493,eq_code,0)),"Équipe inconnue",IF(C493="","Poste manquant",IF(ISNA(MATCH(C493,po_code,0)),"Poste inconnu",IF(D493="","Cause manquante",IF(ISNA(MATCH(D493,ca_name,0)),"Cause inconnue",IF(H493="","Cause à compléter dans Paramètres",IF(OR(NOT(ISNUMBER(E493)),N(E493)&lt;=0,N(E493)&gt;1440),"Durée invalide",IF(COUNTIFS(sj_date,A493,sj_eq,B493,sj_po,C493)=0,"Pas de saisie journalière ce jour-là","OK")))))))))))</f>
        <v>OK</v>
      </c>
      <c r="J493">
        <f>IF(OR(I493="OK",I493="Pas de saisie journalière ce jour-là"),E493,0)</f>
        <v>33.0</v>
      </c>
      <c r="K493">
        <f>IF(AND(J493&gt;0,A493&gt;=p_from,A493&lt;=p_to),1,0)</f>
        <v>1.0</v>
      </c>
      <c r="L493">
        <f>IF(AND(K493=1,OR(pa_po="",C493=pa_po),OR(pa_eq="",B493=pa_eq)),1,0)</f>
        <v>1.0</v>
      </c>
    </row>
    <row r="494">
      <c r="A494" s="51" t="n">
        <v>46325</v>
      </c>
      <c r="B494" s="52" t="inlineStr">
        <is>
          <t>Après-midi</t>
        </is>
      </c>
      <c r="C494" s="52" t="inlineStr">
        <is>
          <t>USIN</t>
        </is>
      </c>
      <c r="D494" s="53" t="inlineStr">
        <is>
          <t>Panne mécanique</t>
        </is>
      </c>
      <c r="E494" s="60" t="n">
        <v>86</v>
      </c>
      <c r="F494" s="53" t="n"/>
      <c r="G494" s="61" t="str">
        <f>IF(OR(COUNTA(A494:E494)=0,D494=""),"",IFERROR(INDEX(ca_fam,MATCH(D494,ca_name,0))&amp;"",""))</f>
        <v>Panne</v>
      </c>
      <c r="H494" s="58" t="str">
        <f>IF(OR(COUNTA(A494:E494)=0,D494=""),"",IFERROR(INDEX(ca_type,MATCH(D494,ca_name,0))&amp;"",""))</f>
        <v>Non planifié</v>
      </c>
      <c r="I494" s="58" t="str">
        <f>IF(COUNTA(A494:E494)=0,"",IF(N(A494)&lt;=0,"Date manquante ou invalide",IF(B494="","Équipe manquante",IF(ISNA(MATCH(B494,eq_code,0)),"Équipe inconnue",IF(C494="","Poste manquant",IF(ISNA(MATCH(C494,po_code,0)),"Poste inconnu",IF(D494="","Cause manquante",IF(ISNA(MATCH(D494,ca_name,0)),"Cause inconnue",IF(H494="","Cause à compléter dans Paramètres",IF(OR(NOT(ISNUMBER(E494)),N(E494)&lt;=0,N(E494)&gt;1440),"Durée invalide",IF(COUNTIFS(sj_date,A494,sj_eq,B494,sj_po,C494)=0,"Pas de saisie journalière ce jour-là","OK")))))))))))</f>
        <v>OK</v>
      </c>
      <c r="J494">
        <f>IF(OR(I494="OK",I494="Pas de saisie journalière ce jour-là"),E494,0)</f>
        <v>86.0</v>
      </c>
      <c r="K494">
        <f>IF(AND(J494&gt;0,A494&gt;=p_from,A494&lt;=p_to),1,0)</f>
        <v>1.0</v>
      </c>
      <c r="L494">
        <f>IF(AND(K494=1,OR(pa_po="",C494=pa_po),OR(pa_eq="",B494=pa_eq)),1,0)</f>
        <v>1.0</v>
      </c>
    </row>
    <row r="495">
      <c r="A495" s="51" t="n">
        <v>46325</v>
      </c>
      <c r="B495" s="52" t="inlineStr">
        <is>
          <t>Après-midi</t>
        </is>
      </c>
      <c r="C495" s="52" t="inlineStr">
        <is>
          <t>USIN</t>
        </is>
      </c>
      <c r="D495" s="53" t="inlineStr">
        <is>
          <t>Changement de série</t>
        </is>
      </c>
      <c r="E495" s="60" t="n">
        <v>46</v>
      </c>
      <c r="F495" s="53" t="n"/>
      <c r="G495" s="61" t="str">
        <f>IF(OR(COUNTA(A495:E495)=0,D495=""),"",IFERROR(INDEX(ca_fam,MATCH(D495,ca_name,0))&amp;"",""))</f>
        <v>Réglage et changement de série</v>
      </c>
      <c r="H495" s="58" t="str">
        <f>IF(OR(COUNTA(A495:E495)=0,D495=""),"",IFERROR(INDEX(ca_type,MATCH(D495,ca_name,0))&amp;"",""))</f>
        <v>Non planifié</v>
      </c>
      <c r="I495" s="58" t="str">
        <f>IF(COUNTA(A495:E495)=0,"",IF(N(A495)&lt;=0,"Date manquante ou invalide",IF(B495="","Équipe manquante",IF(ISNA(MATCH(B495,eq_code,0)),"Équipe inconnue",IF(C495="","Poste manquant",IF(ISNA(MATCH(C495,po_code,0)),"Poste inconnu",IF(D495="","Cause manquante",IF(ISNA(MATCH(D495,ca_name,0)),"Cause inconnue",IF(H495="","Cause à compléter dans Paramètres",IF(OR(NOT(ISNUMBER(E495)),N(E495)&lt;=0,N(E495)&gt;1440),"Durée invalide",IF(COUNTIFS(sj_date,A495,sj_eq,B495,sj_po,C495)=0,"Pas de saisie journalière ce jour-là","OK")))))))))))</f>
        <v>OK</v>
      </c>
      <c r="J495">
        <f>IF(OR(I495="OK",I495="Pas de saisie journalière ce jour-là"),E495,0)</f>
        <v>46.0</v>
      </c>
      <c r="K495">
        <f>IF(AND(J495&gt;0,A495&gt;=p_from,A495&lt;=p_to),1,0)</f>
        <v>1.0</v>
      </c>
      <c r="L495">
        <f>IF(AND(K495=1,OR(pa_po="",C495=pa_po),OR(pa_eq="",B495=pa_eq)),1,0)</f>
        <v>1.0</v>
      </c>
    </row>
    <row r="496">
      <c r="A496" s="51" t="n">
        <v>46325</v>
      </c>
      <c r="B496" s="52" t="inlineStr">
        <is>
          <t>Journée</t>
        </is>
      </c>
      <c r="C496" s="52" t="inlineStr">
        <is>
          <t>PLIE</t>
        </is>
      </c>
      <c r="D496" s="53" t="inlineStr">
        <is>
          <t>Changement de série</t>
        </is>
      </c>
      <c r="E496" s="60" t="n">
        <v>27</v>
      </c>
      <c r="F496" s="53" t="n"/>
      <c r="G496" s="61" t="str">
        <f>IF(OR(COUNTA(A496:E496)=0,D496=""),"",IFERROR(INDEX(ca_fam,MATCH(D496,ca_name,0))&amp;"",""))</f>
        <v>Réglage et changement de série</v>
      </c>
      <c r="H496" s="58" t="str">
        <f>IF(OR(COUNTA(A496:E496)=0,D496=""),"",IFERROR(INDEX(ca_type,MATCH(D496,ca_name,0))&amp;"",""))</f>
        <v>Non planifié</v>
      </c>
      <c r="I496" s="58" t="str">
        <f>IF(COUNTA(A496:E496)=0,"",IF(N(A496)&lt;=0,"Date manquante ou invalide",IF(B496="","Équipe manquante",IF(ISNA(MATCH(B496,eq_code,0)),"Équipe inconnue",IF(C496="","Poste manquant",IF(ISNA(MATCH(C496,po_code,0)),"Poste inconnu",IF(D496="","Cause manquante",IF(ISNA(MATCH(D496,ca_name,0)),"Cause inconnue",IF(H496="","Cause à compléter dans Paramètres",IF(OR(NOT(ISNUMBER(E496)),N(E496)&lt;=0,N(E496)&gt;1440),"Durée invalide",IF(COUNTIFS(sj_date,A496,sj_eq,B496,sj_po,C496)=0,"Pas de saisie journalière ce jour-là","OK")))))))))))</f>
        <v>OK</v>
      </c>
      <c r="J496">
        <f>IF(OR(I496="OK",I496="Pas de saisie journalière ce jour-là"),E496,0)</f>
        <v>27.0</v>
      </c>
      <c r="K496">
        <f>IF(AND(J496&gt;0,A496&gt;=p_from,A496&lt;=p_to),1,0)</f>
        <v>1.0</v>
      </c>
      <c r="L496">
        <f>IF(AND(K496=1,OR(pa_po="",C496=pa_po),OR(pa_eq="",B496=pa_eq)),1,0)</f>
        <v>1.0</v>
      </c>
    </row>
    <row r="497">
      <c r="A497" s="51" t="n">
        <v>46325</v>
      </c>
      <c r="B497" s="52" t="inlineStr">
        <is>
          <t>Journée</t>
        </is>
      </c>
      <c r="C497" s="52" t="inlineStr">
        <is>
          <t>PLIE</t>
        </is>
      </c>
      <c r="D497" s="53" t="inlineStr">
        <is>
          <t>Panne mécanique</t>
        </is>
      </c>
      <c r="E497" s="60" t="n">
        <v>85</v>
      </c>
      <c r="F497" s="53" t="n"/>
      <c r="G497" s="61" t="str">
        <f>IF(OR(COUNTA(A497:E497)=0,D497=""),"",IFERROR(INDEX(ca_fam,MATCH(D497,ca_name,0))&amp;"",""))</f>
        <v>Panne</v>
      </c>
      <c r="H497" s="58" t="str">
        <f>IF(OR(COUNTA(A497:E497)=0,D497=""),"",IFERROR(INDEX(ca_type,MATCH(D497,ca_name,0))&amp;"",""))</f>
        <v>Non planifié</v>
      </c>
      <c r="I497" s="58" t="str">
        <f>IF(COUNTA(A497:E497)=0,"",IF(N(A497)&lt;=0,"Date manquante ou invalide",IF(B497="","Équipe manquante",IF(ISNA(MATCH(B497,eq_code,0)),"Équipe inconnue",IF(C497="","Poste manquant",IF(ISNA(MATCH(C497,po_code,0)),"Poste inconnu",IF(D497="","Cause manquante",IF(ISNA(MATCH(D497,ca_name,0)),"Cause inconnue",IF(H497="","Cause à compléter dans Paramètres",IF(OR(NOT(ISNUMBER(E497)),N(E497)&lt;=0,N(E497)&gt;1440),"Durée invalide",IF(COUNTIFS(sj_date,A497,sj_eq,B497,sj_po,C497)=0,"Pas de saisie journalière ce jour-là","OK")))))))))))</f>
        <v>OK</v>
      </c>
      <c r="J497">
        <f>IF(OR(I497="OK",I497="Pas de saisie journalière ce jour-là"),E497,0)</f>
        <v>85.0</v>
      </c>
      <c r="K497">
        <f>IF(AND(J497&gt;0,A497&gt;=p_from,A497&lt;=p_to),1,0)</f>
        <v>1.0</v>
      </c>
      <c r="L497">
        <f>IF(AND(K497=1,OR(pa_po="",C497=pa_po),OR(pa_eq="",B497=pa_eq)),1,0)</f>
        <v>1.0</v>
      </c>
    </row>
    <row r="498">
      <c r="A498" s="51" t="n">
        <v>46325</v>
      </c>
      <c r="B498" s="52" t="inlineStr">
        <is>
          <t>Matin</t>
        </is>
      </c>
      <c r="C498" s="52" t="inlineStr">
        <is>
          <t>SOUD</t>
        </is>
      </c>
      <c r="D498" s="53" t="inlineStr">
        <is>
          <t>Changement de série</t>
        </is>
      </c>
      <c r="E498" s="60" t="n">
        <v>39</v>
      </c>
      <c r="F498" s="53" t="n"/>
      <c r="G498" s="61" t="str">
        <f>IF(OR(COUNTA(A498:E498)=0,D498=""),"",IFERROR(INDEX(ca_fam,MATCH(D498,ca_name,0))&amp;"",""))</f>
        <v>Réglage et changement de série</v>
      </c>
      <c r="H498" s="58" t="str">
        <f>IF(OR(COUNTA(A498:E498)=0,D498=""),"",IFERROR(INDEX(ca_type,MATCH(D498,ca_name,0))&amp;"",""))</f>
        <v>Non planifié</v>
      </c>
      <c r="I498" s="58" t="str">
        <f>IF(COUNTA(A498:E498)=0,"",IF(N(A498)&lt;=0,"Date manquante ou invalide",IF(B498="","Équipe manquante",IF(ISNA(MATCH(B498,eq_code,0)),"Équipe inconnue",IF(C498="","Poste manquant",IF(ISNA(MATCH(C498,po_code,0)),"Poste inconnu",IF(D498="","Cause manquante",IF(ISNA(MATCH(D498,ca_name,0)),"Cause inconnue",IF(H498="","Cause à compléter dans Paramètres",IF(OR(NOT(ISNUMBER(E498)),N(E498)&lt;=0,N(E498)&gt;1440),"Durée invalide",IF(COUNTIFS(sj_date,A498,sj_eq,B498,sj_po,C498)=0,"Pas de saisie journalière ce jour-là","OK")))))))))))</f>
        <v>OK</v>
      </c>
      <c r="J498">
        <f>IF(OR(I498="OK",I498="Pas de saisie journalière ce jour-là"),E498,0)</f>
        <v>39.0</v>
      </c>
      <c r="K498">
        <f>IF(AND(J498&gt;0,A498&gt;=p_from,A498&lt;=p_to),1,0)</f>
        <v>1.0</v>
      </c>
      <c r="L498">
        <f>IF(AND(K498=1,OR(pa_po="",C498=pa_po),OR(pa_eq="",B498=pa_eq)),1,0)</f>
        <v>1.0</v>
      </c>
    </row>
    <row r="499">
      <c r="A499" s="51" t="n">
        <v>46328</v>
      </c>
      <c r="B499" s="52" t="inlineStr">
        <is>
          <t>Matin</t>
        </is>
      </c>
      <c r="C499" s="52" t="inlineStr">
        <is>
          <t>TOUR1</t>
        </is>
      </c>
      <c r="D499" s="53" t="inlineStr">
        <is>
          <t>Changement de série</t>
        </is>
      </c>
      <c r="E499" s="60" t="n">
        <v>31</v>
      </c>
      <c r="F499" s="53" t="n"/>
      <c r="G499" s="61" t="str">
        <f>IF(OR(COUNTA(A499:E499)=0,D499=""),"",IFERROR(INDEX(ca_fam,MATCH(D499,ca_name,0))&amp;"",""))</f>
        <v>Réglage et changement de série</v>
      </c>
      <c r="H499" s="58" t="str">
        <f>IF(OR(COUNTA(A499:E499)=0,D499=""),"",IFERROR(INDEX(ca_type,MATCH(D499,ca_name,0))&amp;"",""))</f>
        <v>Non planifié</v>
      </c>
      <c r="I499" s="58" t="str">
        <f>IF(COUNTA(A499:E499)=0,"",IF(N(A499)&lt;=0,"Date manquante ou invalide",IF(B499="","Équipe manquante",IF(ISNA(MATCH(B499,eq_code,0)),"Équipe inconnue",IF(C499="","Poste manquant",IF(ISNA(MATCH(C499,po_code,0)),"Poste inconnu",IF(D499="","Cause manquante",IF(ISNA(MATCH(D499,ca_name,0)),"Cause inconnue",IF(H499="","Cause à compléter dans Paramètres",IF(OR(NOT(ISNUMBER(E499)),N(E499)&lt;=0,N(E499)&gt;1440),"Durée invalide",IF(COUNTIFS(sj_date,A499,sj_eq,B499,sj_po,C499)=0,"Pas de saisie journalière ce jour-là","OK")))))))))))</f>
        <v>OK</v>
      </c>
      <c r="J499">
        <f>IF(OR(I499="OK",I499="Pas de saisie journalière ce jour-là"),E499,0)</f>
        <v>31.0</v>
      </c>
      <c r="K499">
        <f>IF(AND(J499&gt;0,A499&gt;=p_from,A499&lt;=p_to),1,0)</f>
        <v>1.0</v>
      </c>
      <c r="L499">
        <f>IF(AND(K499=1,OR(pa_po="",C499=pa_po),OR(pa_eq="",B499=pa_eq)),1,0)</f>
        <v>1.0</v>
      </c>
    </row>
    <row r="500">
      <c r="A500" s="51" t="n">
        <v>46328</v>
      </c>
      <c r="B500" s="52" t="inlineStr">
        <is>
          <t>Après-midi</t>
        </is>
      </c>
      <c r="C500" s="52" t="inlineStr">
        <is>
          <t>TOUR1</t>
        </is>
      </c>
      <c r="D500" s="53" t="inlineStr">
        <is>
          <t>Attente matière</t>
        </is>
      </c>
      <c r="E500" s="60" t="n">
        <v>44</v>
      </c>
      <c r="F500" s="53" t="n"/>
      <c r="G500" s="61" t="str">
        <f>IF(OR(COUNTA(A500:E500)=0,D500=""),"",IFERROR(INDEX(ca_fam,MATCH(D500,ca_name,0))&amp;"",""))</f>
        <v>Manque matière</v>
      </c>
      <c r="H500" s="58" t="str">
        <f>IF(OR(COUNTA(A500:E500)=0,D500=""),"",IFERROR(INDEX(ca_type,MATCH(D500,ca_name,0))&amp;"",""))</f>
        <v>Non planifié</v>
      </c>
      <c r="I500" s="58" t="str">
        <f>IF(COUNTA(A500:E500)=0,"",IF(N(A500)&lt;=0,"Date manquante ou invalide",IF(B500="","Équipe manquante",IF(ISNA(MATCH(B500,eq_code,0)),"Équipe inconnue",IF(C500="","Poste manquant",IF(ISNA(MATCH(C500,po_code,0)),"Poste inconnu",IF(D500="","Cause manquante",IF(ISNA(MATCH(D500,ca_name,0)),"Cause inconnue",IF(H500="","Cause à compléter dans Paramètres",IF(OR(NOT(ISNUMBER(E500)),N(E500)&lt;=0,N(E500)&gt;1440),"Durée invalide",IF(COUNTIFS(sj_date,A500,sj_eq,B500,sj_po,C500)=0,"Pas de saisie journalière ce jour-là","OK")))))))))))</f>
        <v>OK</v>
      </c>
      <c r="J500">
        <f>IF(OR(I500="OK",I500="Pas de saisie journalière ce jour-là"),E500,0)</f>
        <v>44.0</v>
      </c>
      <c r="K500">
        <f>IF(AND(J500&gt;0,A500&gt;=p_from,A500&lt;=p_to),1,0)</f>
        <v>1.0</v>
      </c>
      <c r="L500">
        <f>IF(AND(K500=1,OR(pa_po="",C500=pa_po),OR(pa_eq="",B500=pa_eq)),1,0)</f>
        <v>1.0</v>
      </c>
    </row>
    <row r="501">
      <c r="A501" s="51" t="n">
        <v>46328</v>
      </c>
      <c r="B501" s="52" t="inlineStr">
        <is>
          <t>Matin</t>
        </is>
      </c>
      <c r="C501" s="52" t="inlineStr">
        <is>
          <t>TOUR2</t>
        </is>
      </c>
      <c r="D501" s="53" t="inlineStr">
        <is>
          <t>Changement de série</t>
        </is>
      </c>
      <c r="E501" s="60" t="n">
        <v>66</v>
      </c>
      <c r="F501" s="53" t="n"/>
      <c r="G501" s="61" t="str">
        <f>IF(OR(COUNTA(A501:E501)=0,D501=""),"",IFERROR(INDEX(ca_fam,MATCH(D501,ca_name,0))&amp;"",""))</f>
        <v>Réglage et changement de série</v>
      </c>
      <c r="H501" s="58" t="str">
        <f>IF(OR(COUNTA(A501:E501)=0,D501=""),"",IFERROR(INDEX(ca_type,MATCH(D501,ca_name,0))&amp;"",""))</f>
        <v>Non planifié</v>
      </c>
      <c r="I501" s="58" t="str">
        <f>IF(COUNTA(A501:E501)=0,"",IF(N(A501)&lt;=0,"Date manquante ou invalide",IF(B501="","Équipe manquante",IF(ISNA(MATCH(B501,eq_code,0)),"Équipe inconnue",IF(C501="","Poste manquant",IF(ISNA(MATCH(C501,po_code,0)),"Poste inconnu",IF(D501="","Cause manquante",IF(ISNA(MATCH(D501,ca_name,0)),"Cause inconnue",IF(H501="","Cause à compléter dans Paramètres",IF(OR(NOT(ISNUMBER(E501)),N(E501)&lt;=0,N(E501)&gt;1440),"Durée invalide",IF(COUNTIFS(sj_date,A501,sj_eq,B501,sj_po,C501)=0,"Pas de saisie journalière ce jour-là","OK")))))))))))</f>
        <v>OK</v>
      </c>
      <c r="J501">
        <f>IF(OR(I501="OK",I501="Pas de saisie journalière ce jour-là"),E501,0)</f>
        <v>66.0</v>
      </c>
      <c r="K501">
        <f>IF(AND(J501&gt;0,A501&gt;=p_from,A501&lt;=p_to),1,0)</f>
        <v>1.0</v>
      </c>
      <c r="L501">
        <f>IF(AND(K501=1,OR(pa_po="",C501=pa_po),OR(pa_eq="",B501=pa_eq)),1,0)</f>
        <v>1.0</v>
      </c>
    </row>
    <row r="502">
      <c r="A502" s="51" t="n">
        <v>46328</v>
      </c>
      <c r="B502" s="52" t="inlineStr">
        <is>
          <t>Après-midi</t>
        </is>
      </c>
      <c r="C502" s="52" t="inlineStr">
        <is>
          <t>TOUR2</t>
        </is>
      </c>
      <c r="D502" s="53" t="inlineStr">
        <is>
          <t>Changement de série</t>
        </is>
      </c>
      <c r="E502" s="60" t="n">
        <v>61</v>
      </c>
      <c r="F502" s="53" t="n"/>
      <c r="G502" s="61" t="str">
        <f>IF(OR(COUNTA(A502:E502)=0,D502=""),"",IFERROR(INDEX(ca_fam,MATCH(D502,ca_name,0))&amp;"",""))</f>
        <v>Réglage et changement de série</v>
      </c>
      <c r="H502" s="58" t="str">
        <f>IF(OR(COUNTA(A502:E502)=0,D502=""),"",IFERROR(INDEX(ca_type,MATCH(D502,ca_name,0))&amp;"",""))</f>
        <v>Non planifié</v>
      </c>
      <c r="I502" s="58" t="str">
        <f>IF(COUNTA(A502:E502)=0,"",IF(N(A502)&lt;=0,"Date manquante ou invalide",IF(B502="","Équipe manquante",IF(ISNA(MATCH(B502,eq_code,0)),"Équipe inconnue",IF(C502="","Poste manquant",IF(ISNA(MATCH(C502,po_code,0)),"Poste inconnu",IF(D502="","Cause manquante",IF(ISNA(MATCH(D502,ca_name,0)),"Cause inconnue",IF(H502="","Cause à compléter dans Paramètres",IF(OR(NOT(ISNUMBER(E502)),N(E502)&lt;=0,N(E502)&gt;1440),"Durée invalide",IF(COUNTIFS(sj_date,A502,sj_eq,B502,sj_po,C502)=0,"Pas de saisie journalière ce jour-là","OK")))))))))))</f>
        <v>OK</v>
      </c>
      <c r="J502">
        <f>IF(OR(I502="OK",I502="Pas de saisie journalière ce jour-là"),E502,0)</f>
        <v>61.0</v>
      </c>
      <c r="K502">
        <f>IF(AND(J502&gt;0,A502&gt;=p_from,A502&lt;=p_to),1,0)</f>
        <v>1.0</v>
      </c>
      <c r="L502">
        <f>IF(AND(K502=1,OR(pa_po="",C502=pa_po),OR(pa_eq="",B502=pa_eq)),1,0)</f>
        <v>1.0</v>
      </c>
    </row>
    <row r="503">
      <c r="A503" s="51" t="n">
        <v>46328</v>
      </c>
      <c r="B503" s="52" t="inlineStr">
        <is>
          <t>Après-midi</t>
        </is>
      </c>
      <c r="C503" s="52" t="inlineStr">
        <is>
          <t>TOUR2</t>
        </is>
      </c>
      <c r="D503" s="53" t="inlineStr">
        <is>
          <t>Attente matière</t>
        </is>
      </c>
      <c r="E503" s="60" t="n">
        <v>75</v>
      </c>
      <c r="F503" s="53" t="n"/>
      <c r="G503" s="61" t="str">
        <f>IF(OR(COUNTA(A503:E503)=0,D503=""),"",IFERROR(INDEX(ca_fam,MATCH(D503,ca_name,0))&amp;"",""))</f>
        <v>Manque matière</v>
      </c>
      <c r="H503" s="58" t="str">
        <f>IF(OR(COUNTA(A503:E503)=0,D503=""),"",IFERROR(INDEX(ca_type,MATCH(D503,ca_name,0))&amp;"",""))</f>
        <v>Non planifié</v>
      </c>
      <c r="I503" s="58" t="str">
        <f>IF(COUNTA(A503:E503)=0,"",IF(N(A503)&lt;=0,"Date manquante ou invalide",IF(B503="","Équipe manquante",IF(ISNA(MATCH(B503,eq_code,0)),"Équipe inconnue",IF(C503="","Poste manquant",IF(ISNA(MATCH(C503,po_code,0)),"Poste inconnu",IF(D503="","Cause manquante",IF(ISNA(MATCH(D503,ca_name,0)),"Cause inconnue",IF(H503="","Cause à compléter dans Paramètres",IF(OR(NOT(ISNUMBER(E503)),N(E503)&lt;=0,N(E503)&gt;1440),"Durée invalide",IF(COUNTIFS(sj_date,A503,sj_eq,B503,sj_po,C503)=0,"Pas de saisie journalière ce jour-là","OK")))))))))))</f>
        <v>OK</v>
      </c>
      <c r="J503">
        <f>IF(OR(I503="OK",I503="Pas de saisie journalière ce jour-là"),E503,0)</f>
        <v>75.0</v>
      </c>
      <c r="K503">
        <f>IF(AND(J503&gt;0,A503&gt;=p_from,A503&lt;=p_to),1,0)</f>
        <v>1.0</v>
      </c>
      <c r="L503">
        <f>IF(AND(K503=1,OR(pa_po="",C503=pa_po),OR(pa_eq="",B503=pa_eq)),1,0)</f>
        <v>1.0</v>
      </c>
    </row>
    <row r="504">
      <c r="A504" s="51" t="n">
        <v>46328</v>
      </c>
      <c r="B504" s="52" t="inlineStr">
        <is>
          <t>Après-midi</t>
        </is>
      </c>
      <c r="C504" s="52" t="inlineStr">
        <is>
          <t>TOUR2</t>
        </is>
      </c>
      <c r="D504" s="53" t="inlineStr">
        <is>
          <t>Réglage en cours de production</t>
        </is>
      </c>
      <c r="E504" s="60" t="n">
        <v>17</v>
      </c>
      <c r="F504" s="53" t="n"/>
      <c r="G504" s="61" t="str">
        <f>IF(OR(COUNTA(A504:E504)=0,D504=""),"",IFERROR(INDEX(ca_fam,MATCH(D504,ca_name,0))&amp;"",""))</f>
        <v>Réglage et changement de série</v>
      </c>
      <c r="H504" s="58" t="str">
        <f>IF(OR(COUNTA(A504:E504)=0,D504=""),"",IFERROR(INDEX(ca_type,MATCH(D504,ca_name,0))&amp;"",""))</f>
        <v>Non planifié</v>
      </c>
      <c r="I504" s="58" t="str">
        <f>IF(COUNTA(A504:E504)=0,"",IF(N(A504)&lt;=0,"Date manquante ou invalide",IF(B504="","Équipe manquante",IF(ISNA(MATCH(B504,eq_code,0)),"Équipe inconnue",IF(C504="","Poste manquant",IF(ISNA(MATCH(C504,po_code,0)),"Poste inconnu",IF(D504="","Cause manquante",IF(ISNA(MATCH(D504,ca_name,0)),"Cause inconnue",IF(H504="","Cause à compléter dans Paramètres",IF(OR(NOT(ISNUMBER(E504)),N(E504)&lt;=0,N(E504)&gt;1440),"Durée invalide",IF(COUNTIFS(sj_date,A504,sj_eq,B504,sj_po,C504)=0,"Pas de saisie journalière ce jour-là","OK")))))))))))</f>
        <v>OK</v>
      </c>
      <c r="J504">
        <f>IF(OR(I504="OK",I504="Pas de saisie journalière ce jour-là"),E504,0)</f>
        <v>17.0</v>
      </c>
      <c r="K504">
        <f>IF(AND(J504&gt;0,A504&gt;=p_from,A504&lt;=p_to),1,0)</f>
        <v>1.0</v>
      </c>
      <c r="L504">
        <f>IF(AND(K504=1,OR(pa_po="",C504=pa_po),OR(pa_eq="",B504=pa_eq)),1,0)</f>
        <v>1.0</v>
      </c>
    </row>
    <row r="505">
      <c r="A505" s="51" t="n">
        <v>46328</v>
      </c>
      <c r="B505" s="52" t="inlineStr">
        <is>
          <t>Matin</t>
        </is>
      </c>
      <c r="C505" s="52" t="inlineStr">
        <is>
          <t>USIN</t>
        </is>
      </c>
      <c r="D505" s="53" t="inlineStr">
        <is>
          <t>Maintenance préventive</t>
        </is>
      </c>
      <c r="E505" s="60" t="n">
        <v>60</v>
      </c>
      <c r="F505" s="53" t="n"/>
      <c r="G505" s="61" t="str">
        <f>IF(OR(COUNTA(A505:E505)=0,D505=""),"",IFERROR(INDEX(ca_fam,MATCH(D505,ca_name,0))&amp;"",""))</f>
        <v>Arrêt planifié</v>
      </c>
      <c r="H505" s="58" t="str">
        <f>IF(OR(COUNTA(A505:E505)=0,D505=""),"",IFERROR(INDEX(ca_type,MATCH(D505,ca_name,0))&amp;"",""))</f>
        <v>Planifié</v>
      </c>
      <c r="I505" s="58" t="str">
        <f>IF(COUNTA(A505:E505)=0,"",IF(N(A505)&lt;=0,"Date manquante ou invalide",IF(B505="","Équipe manquante",IF(ISNA(MATCH(B505,eq_code,0)),"Équipe inconnue",IF(C505="","Poste manquant",IF(ISNA(MATCH(C505,po_code,0)),"Poste inconnu",IF(D505="","Cause manquante",IF(ISNA(MATCH(D505,ca_name,0)),"Cause inconnue",IF(H505="","Cause à compléter dans Paramètres",IF(OR(NOT(ISNUMBER(E505)),N(E505)&lt;=0,N(E505)&gt;1440),"Durée invalide",IF(COUNTIFS(sj_date,A505,sj_eq,B505,sj_po,C505)=0,"Pas de saisie journalière ce jour-là","OK")))))))))))</f>
        <v>OK</v>
      </c>
      <c r="J505">
        <f>IF(OR(I505="OK",I505="Pas de saisie journalière ce jour-là"),E505,0)</f>
        <v>60.0</v>
      </c>
      <c r="K505">
        <f>IF(AND(J505&gt;0,A505&gt;=p_from,A505&lt;=p_to),1,0)</f>
        <v>1.0</v>
      </c>
      <c r="L505">
        <f>IF(AND(K505=1,OR(pa_po="",C505=pa_po),OR(pa_eq="",B505=pa_eq)),1,0)</f>
        <v>1.0</v>
      </c>
    </row>
    <row r="506">
      <c r="A506" s="51" t="n">
        <v>46328</v>
      </c>
      <c r="B506" s="52" t="inlineStr">
        <is>
          <t>Matin</t>
        </is>
      </c>
      <c r="C506" s="52" t="inlineStr">
        <is>
          <t>USIN</t>
        </is>
      </c>
      <c r="D506" s="53" t="inlineStr">
        <is>
          <t>Réglage en cours de production</t>
        </is>
      </c>
      <c r="E506" s="60" t="n">
        <v>22</v>
      </c>
      <c r="F506" s="53" t="n"/>
      <c r="G506" s="61" t="str">
        <f>IF(OR(COUNTA(A506:E506)=0,D506=""),"",IFERROR(INDEX(ca_fam,MATCH(D506,ca_name,0))&amp;"",""))</f>
        <v>Réglage et changement de série</v>
      </c>
      <c r="H506" s="58" t="str">
        <f>IF(OR(COUNTA(A506:E506)=0,D506=""),"",IFERROR(INDEX(ca_type,MATCH(D506,ca_name,0))&amp;"",""))</f>
        <v>Non planifié</v>
      </c>
      <c r="I506" s="58" t="str">
        <f>IF(COUNTA(A506:E506)=0,"",IF(N(A506)&lt;=0,"Date manquante ou invalide",IF(B506="","Équipe manquante",IF(ISNA(MATCH(B506,eq_code,0)),"Équipe inconnue",IF(C506="","Poste manquant",IF(ISNA(MATCH(C506,po_code,0)),"Poste inconnu",IF(D506="","Cause manquante",IF(ISNA(MATCH(D506,ca_name,0)),"Cause inconnue",IF(H506="","Cause à compléter dans Paramètres",IF(OR(NOT(ISNUMBER(E506)),N(E506)&lt;=0,N(E506)&gt;1440),"Durée invalide",IF(COUNTIFS(sj_date,A506,sj_eq,B506,sj_po,C506)=0,"Pas de saisie journalière ce jour-là","OK")))))))))))</f>
        <v>OK</v>
      </c>
      <c r="J506">
        <f>IF(OR(I506="OK",I506="Pas de saisie journalière ce jour-là"),E506,0)</f>
        <v>22.0</v>
      </c>
      <c r="K506">
        <f>IF(AND(J506&gt;0,A506&gt;=p_from,A506&lt;=p_to),1,0)</f>
        <v>1.0</v>
      </c>
      <c r="L506">
        <f>IF(AND(K506=1,OR(pa_po="",C506=pa_po),OR(pa_eq="",B506=pa_eq)),1,0)</f>
        <v>1.0</v>
      </c>
    </row>
    <row r="507">
      <c r="A507" s="51" t="n">
        <v>46328</v>
      </c>
      <c r="B507" s="52" t="inlineStr">
        <is>
          <t>Matin</t>
        </is>
      </c>
      <c r="C507" s="52" t="inlineStr">
        <is>
          <t>USIN</t>
        </is>
      </c>
      <c r="D507" s="53" t="inlineStr">
        <is>
          <t>Attente matière</t>
        </is>
      </c>
      <c r="E507" s="60" t="n">
        <v>24</v>
      </c>
      <c r="F507" s="53" t="n"/>
      <c r="G507" s="61" t="str">
        <f>IF(OR(COUNTA(A507:E507)=0,D507=""),"",IFERROR(INDEX(ca_fam,MATCH(D507,ca_name,0))&amp;"",""))</f>
        <v>Manque matière</v>
      </c>
      <c r="H507" s="58" t="str">
        <f>IF(OR(COUNTA(A507:E507)=0,D507=""),"",IFERROR(INDEX(ca_type,MATCH(D507,ca_name,0))&amp;"",""))</f>
        <v>Non planifié</v>
      </c>
      <c r="I507" s="58" t="str">
        <f>IF(COUNTA(A507:E507)=0,"",IF(N(A507)&lt;=0,"Date manquante ou invalide",IF(B507="","Équipe manquante",IF(ISNA(MATCH(B507,eq_code,0)),"Équipe inconnue",IF(C507="","Poste manquant",IF(ISNA(MATCH(C507,po_code,0)),"Poste inconnu",IF(D507="","Cause manquante",IF(ISNA(MATCH(D507,ca_name,0)),"Cause inconnue",IF(H507="","Cause à compléter dans Paramètres",IF(OR(NOT(ISNUMBER(E507)),N(E507)&lt;=0,N(E507)&gt;1440),"Durée invalide",IF(COUNTIFS(sj_date,A507,sj_eq,B507,sj_po,C507)=0,"Pas de saisie journalière ce jour-là","OK")))))))))))</f>
        <v>OK</v>
      </c>
      <c r="J507">
        <f>IF(OR(I507="OK",I507="Pas de saisie journalière ce jour-là"),E507,0)</f>
        <v>24.0</v>
      </c>
      <c r="K507">
        <f>IF(AND(J507&gt;0,A507&gt;=p_from,A507&lt;=p_to),1,0)</f>
        <v>1.0</v>
      </c>
      <c r="L507">
        <f>IF(AND(K507=1,OR(pa_po="",C507=pa_po),OR(pa_eq="",B507=pa_eq)),1,0)</f>
        <v>1.0</v>
      </c>
    </row>
    <row r="508">
      <c r="A508" s="51" t="n">
        <v>46328</v>
      </c>
      <c r="B508" s="52" t="inlineStr">
        <is>
          <t>Après-midi</t>
        </is>
      </c>
      <c r="C508" s="52" t="inlineStr">
        <is>
          <t>USIN</t>
        </is>
      </c>
      <c r="D508" s="53" t="inlineStr">
        <is>
          <t>Changement de série</t>
        </is>
      </c>
      <c r="E508" s="60" t="n">
        <v>62</v>
      </c>
      <c r="F508" s="53" t="n"/>
      <c r="G508" s="61" t="str">
        <f>IF(OR(COUNTA(A508:E508)=0,D508=""),"",IFERROR(INDEX(ca_fam,MATCH(D508,ca_name,0))&amp;"",""))</f>
        <v>Réglage et changement de série</v>
      </c>
      <c r="H508" s="58" t="str">
        <f>IF(OR(COUNTA(A508:E508)=0,D508=""),"",IFERROR(INDEX(ca_type,MATCH(D508,ca_name,0))&amp;"",""))</f>
        <v>Non planifié</v>
      </c>
      <c r="I508" s="58" t="str">
        <f>IF(COUNTA(A508:E508)=0,"",IF(N(A508)&lt;=0,"Date manquante ou invalide",IF(B508="","Équipe manquante",IF(ISNA(MATCH(B508,eq_code,0)),"Équipe inconnue",IF(C508="","Poste manquant",IF(ISNA(MATCH(C508,po_code,0)),"Poste inconnu",IF(D508="","Cause manquante",IF(ISNA(MATCH(D508,ca_name,0)),"Cause inconnue",IF(H508="","Cause à compléter dans Paramètres",IF(OR(NOT(ISNUMBER(E508)),N(E508)&lt;=0,N(E508)&gt;1440),"Durée invalide",IF(COUNTIFS(sj_date,A508,sj_eq,B508,sj_po,C508)=0,"Pas de saisie journalière ce jour-là","OK")))))))))))</f>
        <v>OK</v>
      </c>
      <c r="J508">
        <f>IF(OR(I508="OK",I508="Pas de saisie journalière ce jour-là"),E508,0)</f>
        <v>62.0</v>
      </c>
      <c r="K508">
        <f>IF(AND(J508&gt;0,A508&gt;=p_from,A508&lt;=p_to),1,0)</f>
        <v>1.0</v>
      </c>
      <c r="L508">
        <f>IF(AND(K508=1,OR(pa_po="",C508=pa_po),OR(pa_eq="",B508=pa_eq)),1,0)</f>
        <v>1.0</v>
      </c>
    </row>
    <row r="509">
      <c r="A509" s="51" t="n">
        <v>46328</v>
      </c>
      <c r="B509" s="52" t="inlineStr">
        <is>
          <t>Matin</t>
        </is>
      </c>
      <c r="C509" s="52" t="inlineStr">
        <is>
          <t>PRESSE</t>
        </is>
      </c>
      <c r="D509" s="53" t="inlineStr">
        <is>
          <t>Maintenance préventive</t>
        </is>
      </c>
      <c r="E509" s="60" t="n">
        <v>60</v>
      </c>
      <c r="F509" s="53" t="n"/>
      <c r="G509" s="61" t="str">
        <f>IF(OR(COUNTA(A509:E509)=0,D509=""),"",IFERROR(INDEX(ca_fam,MATCH(D509,ca_name,0))&amp;"",""))</f>
        <v>Arrêt planifié</v>
      </c>
      <c r="H509" s="58" t="str">
        <f>IF(OR(COUNTA(A509:E509)=0,D509=""),"",IFERROR(INDEX(ca_type,MATCH(D509,ca_name,0))&amp;"",""))</f>
        <v>Planifié</v>
      </c>
      <c r="I509" s="58" t="str">
        <f>IF(COUNTA(A509:E509)=0,"",IF(N(A509)&lt;=0,"Date manquante ou invalide",IF(B509="","Équipe manquante",IF(ISNA(MATCH(B509,eq_code,0)),"Équipe inconnue",IF(C509="","Poste manquant",IF(ISNA(MATCH(C509,po_code,0)),"Poste inconnu",IF(D509="","Cause manquante",IF(ISNA(MATCH(D509,ca_name,0)),"Cause inconnue",IF(H509="","Cause à compléter dans Paramètres",IF(OR(NOT(ISNUMBER(E509)),N(E509)&lt;=0,N(E509)&gt;1440),"Durée invalide",IF(COUNTIFS(sj_date,A509,sj_eq,B509,sj_po,C509)=0,"Pas de saisie journalière ce jour-là","OK")))))))))))</f>
        <v>OK</v>
      </c>
      <c r="J509">
        <f>IF(OR(I509="OK",I509="Pas de saisie journalière ce jour-là"),E509,0)</f>
        <v>60.0</v>
      </c>
      <c r="K509">
        <f>IF(AND(J509&gt;0,A509&gt;=p_from,A509&lt;=p_to),1,0)</f>
        <v>1.0</v>
      </c>
      <c r="L509">
        <f>IF(AND(K509=1,OR(pa_po="",C509=pa_po),OR(pa_eq="",B509=pa_eq)),1,0)</f>
        <v>1.0</v>
      </c>
    </row>
    <row r="510">
      <c r="A510" s="51" t="n">
        <v>46328</v>
      </c>
      <c r="B510" s="52" t="inlineStr">
        <is>
          <t>Matin</t>
        </is>
      </c>
      <c r="C510" s="52" t="inlineStr">
        <is>
          <t>PRESSE</t>
        </is>
      </c>
      <c r="D510" s="53" t="inlineStr">
        <is>
          <t>Changement de série</t>
        </is>
      </c>
      <c r="E510" s="60" t="n">
        <v>36</v>
      </c>
      <c r="F510" s="53" t="n"/>
      <c r="G510" s="61" t="str">
        <f>IF(OR(COUNTA(A510:E510)=0,D510=""),"",IFERROR(INDEX(ca_fam,MATCH(D510,ca_name,0))&amp;"",""))</f>
        <v>Réglage et changement de série</v>
      </c>
      <c r="H510" s="58" t="str">
        <f>IF(OR(COUNTA(A510:E510)=0,D510=""),"",IFERROR(INDEX(ca_type,MATCH(D510,ca_name,0))&amp;"",""))</f>
        <v>Non planifié</v>
      </c>
      <c r="I510" s="58" t="str">
        <f>IF(COUNTA(A510:E510)=0,"",IF(N(A510)&lt;=0,"Date manquante ou invalide",IF(B510="","Équipe manquante",IF(ISNA(MATCH(B510,eq_code,0)),"Équipe inconnue",IF(C510="","Poste manquant",IF(ISNA(MATCH(C510,po_code,0)),"Poste inconnu",IF(D510="","Cause manquante",IF(ISNA(MATCH(D510,ca_name,0)),"Cause inconnue",IF(H510="","Cause à compléter dans Paramètres",IF(OR(NOT(ISNUMBER(E510)),N(E510)&lt;=0,N(E510)&gt;1440),"Durée invalide",IF(COUNTIFS(sj_date,A510,sj_eq,B510,sj_po,C510)=0,"Pas de saisie journalière ce jour-là","OK")))))))))))</f>
        <v>OK</v>
      </c>
      <c r="J510">
        <f>IF(OR(I510="OK",I510="Pas de saisie journalière ce jour-là"),E510,0)</f>
        <v>36.0</v>
      </c>
      <c r="K510">
        <f>IF(AND(J510&gt;0,A510&gt;=p_from,A510&lt;=p_to),1,0)</f>
        <v>1.0</v>
      </c>
      <c r="L510">
        <f>IF(AND(K510=1,OR(pa_po="",C510=pa_po),OR(pa_eq="",B510=pa_eq)),1,0)</f>
        <v>1.0</v>
      </c>
    </row>
    <row r="511">
      <c r="A511" s="51" t="n">
        <v>46328</v>
      </c>
      <c r="B511" s="52" t="inlineStr">
        <is>
          <t>Journée</t>
        </is>
      </c>
      <c r="C511" s="52" t="inlineStr">
        <is>
          <t>PLIE</t>
        </is>
      </c>
      <c r="D511" s="53" t="inlineStr">
        <is>
          <t>Attente chariot élévateur</t>
        </is>
      </c>
      <c r="E511" s="60" t="n">
        <v>16</v>
      </c>
      <c r="F511" s="53" t="n"/>
      <c r="G511" s="61" t="str">
        <f>IF(OR(COUNTA(A511:E511)=0,D511=""),"",IFERROR(INDEX(ca_fam,MATCH(D511,ca_name,0))&amp;"",""))</f>
        <v>Organisation</v>
      </c>
      <c r="H511" s="58" t="str">
        <f>IF(OR(COUNTA(A511:E511)=0,D511=""),"",IFERROR(INDEX(ca_type,MATCH(D511,ca_name,0))&amp;"",""))</f>
        <v>Non planifié</v>
      </c>
      <c r="I511" s="58" t="str">
        <f>IF(COUNTA(A511:E511)=0,"",IF(N(A511)&lt;=0,"Date manquante ou invalide",IF(B511="","Équipe manquante",IF(ISNA(MATCH(B511,eq_code,0)),"Équipe inconnue",IF(C511="","Poste manquant",IF(ISNA(MATCH(C511,po_code,0)),"Poste inconnu",IF(D511="","Cause manquante",IF(ISNA(MATCH(D511,ca_name,0)),"Cause inconnue",IF(H511="","Cause à compléter dans Paramètres",IF(OR(NOT(ISNUMBER(E511)),N(E511)&lt;=0,N(E511)&gt;1440),"Durée invalide",IF(COUNTIFS(sj_date,A511,sj_eq,B511,sj_po,C511)=0,"Pas de saisie journalière ce jour-là","OK")))))))))))</f>
        <v>OK</v>
      </c>
      <c r="J511">
        <f>IF(OR(I511="OK",I511="Pas de saisie journalière ce jour-là"),E511,0)</f>
        <v>16.0</v>
      </c>
      <c r="K511">
        <f>IF(AND(J511&gt;0,A511&gt;=p_from,A511&lt;=p_to),1,0)</f>
        <v>1.0</v>
      </c>
      <c r="L511">
        <f>IF(AND(K511=1,OR(pa_po="",C511=pa_po),OR(pa_eq="",B511=pa_eq)),1,0)</f>
        <v>1.0</v>
      </c>
    </row>
    <row r="512">
      <c r="A512" s="51" t="n">
        <v>46328</v>
      </c>
      <c r="B512" s="52" t="inlineStr">
        <is>
          <t>Journée</t>
        </is>
      </c>
      <c r="C512" s="52" t="inlineStr">
        <is>
          <t>PLIE</t>
        </is>
      </c>
      <c r="D512" s="53" t="inlineStr">
        <is>
          <t>Panne mécanique</t>
        </is>
      </c>
      <c r="E512" s="60" t="n">
        <v>48</v>
      </c>
      <c r="F512" s="53" t="n"/>
      <c r="G512" s="61" t="str">
        <f>IF(OR(COUNTA(A512:E512)=0,D512=""),"",IFERROR(INDEX(ca_fam,MATCH(D512,ca_name,0))&amp;"",""))</f>
        <v>Panne</v>
      </c>
      <c r="H512" s="58" t="str">
        <f>IF(OR(COUNTA(A512:E512)=0,D512=""),"",IFERROR(INDEX(ca_type,MATCH(D512,ca_name,0))&amp;"",""))</f>
        <v>Non planifié</v>
      </c>
      <c r="I512" s="58" t="str">
        <f>IF(COUNTA(A512:E512)=0,"",IF(N(A512)&lt;=0,"Date manquante ou invalide",IF(B512="","Équipe manquante",IF(ISNA(MATCH(B512,eq_code,0)),"Équipe inconnue",IF(C512="","Poste manquant",IF(ISNA(MATCH(C512,po_code,0)),"Poste inconnu",IF(D512="","Cause manquante",IF(ISNA(MATCH(D512,ca_name,0)),"Cause inconnue",IF(H512="","Cause à compléter dans Paramètres",IF(OR(NOT(ISNUMBER(E512)),N(E512)&lt;=0,N(E512)&gt;1440),"Durée invalide",IF(COUNTIFS(sj_date,A512,sj_eq,B512,sj_po,C512)=0,"Pas de saisie journalière ce jour-là","OK")))))))))))</f>
        <v>OK</v>
      </c>
      <c r="J512">
        <f>IF(OR(I512="OK",I512="Pas de saisie journalière ce jour-là"),E512,0)</f>
        <v>48.0</v>
      </c>
      <c r="K512">
        <f>IF(AND(J512&gt;0,A512&gt;=p_from,A512&lt;=p_to),1,0)</f>
        <v>1.0</v>
      </c>
      <c r="L512">
        <f>IF(AND(K512=1,OR(pa_po="",C512=pa_po),OR(pa_eq="",B512=pa_eq)),1,0)</f>
        <v>1.0</v>
      </c>
    </row>
    <row r="513">
      <c r="A513" s="51" t="n">
        <v>46328</v>
      </c>
      <c r="B513" s="52" t="inlineStr">
        <is>
          <t>Matin</t>
        </is>
      </c>
      <c r="C513" s="52" t="inlineStr">
        <is>
          <t>SOUD</t>
        </is>
      </c>
      <c r="D513" s="53" t="inlineStr">
        <is>
          <t>Réglage en cours de production</t>
        </is>
      </c>
      <c r="E513" s="60" t="n">
        <v>8</v>
      </c>
      <c r="F513" s="53" t="n"/>
      <c r="G513" s="61" t="str">
        <f>IF(OR(COUNTA(A513:E513)=0,D513=""),"",IFERROR(INDEX(ca_fam,MATCH(D513,ca_name,0))&amp;"",""))</f>
        <v>Réglage et changement de série</v>
      </c>
      <c r="H513" s="58" t="str">
        <f>IF(OR(COUNTA(A513:E513)=0,D513=""),"",IFERROR(INDEX(ca_type,MATCH(D513,ca_name,0))&amp;"",""))</f>
        <v>Non planifié</v>
      </c>
      <c r="I513" s="58" t="str">
        <f>IF(COUNTA(A513:E513)=0,"",IF(N(A513)&lt;=0,"Date manquante ou invalide",IF(B513="","Équipe manquante",IF(ISNA(MATCH(B513,eq_code,0)),"Équipe inconnue",IF(C513="","Poste manquant",IF(ISNA(MATCH(C513,po_code,0)),"Poste inconnu",IF(D513="","Cause manquante",IF(ISNA(MATCH(D513,ca_name,0)),"Cause inconnue",IF(H513="","Cause à compléter dans Paramètres",IF(OR(NOT(ISNUMBER(E513)),N(E513)&lt;=0,N(E513)&gt;1440),"Durée invalide",IF(COUNTIFS(sj_date,A513,sj_eq,B513,sj_po,C513)=0,"Pas de saisie journalière ce jour-là","OK")))))))))))</f>
        <v>OK</v>
      </c>
      <c r="J513">
        <f>IF(OR(I513="OK",I513="Pas de saisie journalière ce jour-là"),E513,0)</f>
        <v>8.0</v>
      </c>
      <c r="K513">
        <f>IF(AND(J513&gt;0,A513&gt;=p_from,A513&lt;=p_to),1,0)</f>
        <v>1.0</v>
      </c>
      <c r="L513">
        <f>IF(AND(K513=1,OR(pa_po="",C513=pa_po),OR(pa_eq="",B513=pa_eq)),1,0)</f>
        <v>1.0</v>
      </c>
    </row>
    <row r="514">
      <c r="A514" s="51" t="n">
        <v>46328</v>
      </c>
      <c r="B514" s="52" t="inlineStr">
        <is>
          <t>Matin</t>
        </is>
      </c>
      <c r="C514" s="52" t="inlineStr">
        <is>
          <t>SOUD</t>
        </is>
      </c>
      <c r="D514" s="53" t="inlineStr">
        <is>
          <t>Attente programme ou consignes</t>
        </is>
      </c>
      <c r="E514" s="60" t="n">
        <v>17</v>
      </c>
      <c r="F514" s="53" t="n"/>
      <c r="G514" s="61" t="str">
        <f>IF(OR(COUNTA(A514:E514)=0,D514=""),"",IFERROR(INDEX(ca_fam,MATCH(D514,ca_name,0))&amp;"",""))</f>
        <v>Organisation</v>
      </c>
      <c r="H514" s="58" t="str">
        <f>IF(OR(COUNTA(A514:E514)=0,D514=""),"",IFERROR(INDEX(ca_type,MATCH(D514,ca_name,0))&amp;"",""))</f>
        <v>Non planifié</v>
      </c>
      <c r="I514" s="58" t="str">
        <f>IF(COUNTA(A514:E514)=0,"",IF(N(A514)&lt;=0,"Date manquante ou invalide",IF(B514="","Équipe manquante",IF(ISNA(MATCH(B514,eq_code,0)),"Équipe inconnue",IF(C514="","Poste manquant",IF(ISNA(MATCH(C514,po_code,0)),"Poste inconnu",IF(D514="","Cause manquante",IF(ISNA(MATCH(D514,ca_name,0)),"Cause inconnue",IF(H514="","Cause à compléter dans Paramètres",IF(OR(NOT(ISNUMBER(E514)),N(E514)&lt;=0,N(E514)&gt;1440),"Durée invalide",IF(COUNTIFS(sj_date,A514,sj_eq,B514,sj_po,C514)=0,"Pas de saisie journalière ce jour-là","OK")))))))))))</f>
        <v>OK</v>
      </c>
      <c r="J514">
        <f>IF(OR(I514="OK",I514="Pas de saisie journalière ce jour-là"),E514,0)</f>
        <v>17.0</v>
      </c>
      <c r="K514">
        <f>IF(AND(J514&gt;0,A514&gt;=p_from,A514&lt;=p_to),1,0)</f>
        <v>1.0</v>
      </c>
      <c r="L514">
        <f>IF(AND(K514=1,OR(pa_po="",C514=pa_po),OR(pa_eq="",B514=pa_eq)),1,0)</f>
        <v>1.0</v>
      </c>
    </row>
    <row r="515">
      <c r="A515" s="51" t="n">
        <v>46328</v>
      </c>
      <c r="B515" s="52" t="inlineStr">
        <is>
          <t>Matin</t>
        </is>
      </c>
      <c r="C515" s="52" t="inlineStr">
        <is>
          <t>SOUD</t>
        </is>
      </c>
      <c r="D515" s="53" t="inlineStr">
        <is>
          <t>Absence opérateur</t>
        </is>
      </c>
      <c r="E515" s="60" t="n">
        <v>68</v>
      </c>
      <c r="F515" s="53" t="n"/>
      <c r="G515" s="61" t="str">
        <f>IF(OR(COUNTA(A515:E515)=0,D515=""),"",IFERROR(INDEX(ca_fam,MATCH(D515,ca_name,0))&amp;"",""))</f>
        <v>Manque personnel</v>
      </c>
      <c r="H515" s="58" t="str">
        <f>IF(OR(COUNTA(A515:E515)=0,D515=""),"",IFERROR(INDEX(ca_type,MATCH(D515,ca_name,0))&amp;"",""))</f>
        <v>Non planifié</v>
      </c>
      <c r="I515" s="58" t="str">
        <f>IF(COUNTA(A515:E515)=0,"",IF(N(A515)&lt;=0,"Date manquante ou invalide",IF(B515="","Équipe manquante",IF(ISNA(MATCH(B515,eq_code,0)),"Équipe inconnue",IF(C515="","Poste manquant",IF(ISNA(MATCH(C515,po_code,0)),"Poste inconnu",IF(D515="","Cause manquante",IF(ISNA(MATCH(D515,ca_name,0)),"Cause inconnue",IF(H515="","Cause à compléter dans Paramètres",IF(OR(NOT(ISNUMBER(E515)),N(E515)&lt;=0,N(E515)&gt;1440),"Durée invalide",IF(COUNTIFS(sj_date,A515,sj_eq,B515,sj_po,C515)=0,"Pas de saisie journalière ce jour-là","OK")))))))))))</f>
        <v>OK</v>
      </c>
      <c r="J515">
        <f>IF(OR(I515="OK",I515="Pas de saisie journalière ce jour-là"),E515,0)</f>
        <v>68.0</v>
      </c>
      <c r="K515">
        <f>IF(AND(J515&gt;0,A515&gt;=p_from,A515&lt;=p_to),1,0)</f>
        <v>1.0</v>
      </c>
      <c r="L515">
        <f>IF(AND(K515=1,OR(pa_po="",C515=pa_po),OR(pa_eq="",B515=pa_eq)),1,0)</f>
        <v>1.0</v>
      </c>
    </row>
    <row r="516">
      <c r="A516" s="51" t="n">
        <v>46329</v>
      </c>
      <c r="B516" s="52" t="inlineStr">
        <is>
          <t>Matin</t>
        </is>
      </c>
      <c r="C516" s="52" t="inlineStr">
        <is>
          <t>TOUR1</t>
        </is>
      </c>
      <c r="D516" s="53" t="inlineStr">
        <is>
          <t>Changement d'outil</t>
        </is>
      </c>
      <c r="E516" s="60" t="n">
        <v>8</v>
      </c>
      <c r="F516" s="53" t="n"/>
      <c r="G516" s="61" t="str">
        <f>IF(OR(COUNTA(A516:E516)=0,D516=""),"",IFERROR(INDEX(ca_fam,MATCH(D516,ca_name,0))&amp;"",""))</f>
        <v>Réglage et changement de série</v>
      </c>
      <c r="H516" s="58" t="str">
        <f>IF(OR(COUNTA(A516:E516)=0,D516=""),"",IFERROR(INDEX(ca_type,MATCH(D516,ca_name,0))&amp;"",""))</f>
        <v>Non planifié</v>
      </c>
      <c r="I516" s="58" t="str">
        <f>IF(COUNTA(A516:E516)=0,"",IF(N(A516)&lt;=0,"Date manquante ou invalide",IF(B516="","Équipe manquante",IF(ISNA(MATCH(B516,eq_code,0)),"Équipe inconnue",IF(C516="","Poste manquant",IF(ISNA(MATCH(C516,po_code,0)),"Poste inconnu",IF(D516="","Cause manquante",IF(ISNA(MATCH(D516,ca_name,0)),"Cause inconnue",IF(H516="","Cause à compléter dans Paramètres",IF(OR(NOT(ISNUMBER(E516)),N(E516)&lt;=0,N(E516)&gt;1440),"Durée invalide",IF(COUNTIFS(sj_date,A516,sj_eq,B516,sj_po,C516)=0,"Pas de saisie journalière ce jour-là","OK")))))))))))</f>
        <v>OK</v>
      </c>
      <c r="J516">
        <f>IF(OR(I516="OK",I516="Pas de saisie journalière ce jour-là"),E516,0)</f>
        <v>8.0</v>
      </c>
      <c r="K516">
        <f>IF(AND(J516&gt;0,A516&gt;=p_from,A516&lt;=p_to),1,0)</f>
        <v>1.0</v>
      </c>
      <c r="L516">
        <f>IF(AND(K516=1,OR(pa_po="",C516=pa_po),OR(pa_eq="",B516=pa_eq)),1,0)</f>
        <v>1.0</v>
      </c>
    </row>
    <row r="517">
      <c r="A517" s="51" t="n">
        <v>46329</v>
      </c>
      <c r="B517" s="52" t="inlineStr">
        <is>
          <t>Matin</t>
        </is>
      </c>
      <c r="C517" s="52" t="inlineStr">
        <is>
          <t>TOUR2</t>
        </is>
      </c>
      <c r="D517" s="53" t="inlineStr">
        <is>
          <t>Changement de série</t>
        </is>
      </c>
      <c r="E517" s="60" t="n">
        <v>28</v>
      </c>
      <c r="F517" s="53" t="n"/>
      <c r="G517" s="61" t="str">
        <f>IF(OR(COUNTA(A517:E517)=0,D517=""),"",IFERROR(INDEX(ca_fam,MATCH(D517,ca_name,0))&amp;"",""))</f>
        <v>Réglage et changement de série</v>
      </c>
      <c r="H517" s="58" t="str">
        <f>IF(OR(COUNTA(A517:E517)=0,D517=""),"",IFERROR(INDEX(ca_type,MATCH(D517,ca_name,0))&amp;"",""))</f>
        <v>Non planifié</v>
      </c>
      <c r="I517" s="58" t="str">
        <f>IF(COUNTA(A517:E517)=0,"",IF(N(A517)&lt;=0,"Date manquante ou invalide",IF(B517="","Équipe manquante",IF(ISNA(MATCH(B517,eq_code,0)),"Équipe inconnue",IF(C517="","Poste manquant",IF(ISNA(MATCH(C517,po_code,0)),"Poste inconnu",IF(D517="","Cause manquante",IF(ISNA(MATCH(D517,ca_name,0)),"Cause inconnue",IF(H517="","Cause à compléter dans Paramètres",IF(OR(NOT(ISNUMBER(E517)),N(E517)&lt;=0,N(E517)&gt;1440),"Durée invalide",IF(COUNTIFS(sj_date,A517,sj_eq,B517,sj_po,C517)=0,"Pas de saisie journalière ce jour-là","OK")))))))))))</f>
        <v>OK</v>
      </c>
      <c r="J517">
        <f>IF(OR(I517="OK",I517="Pas de saisie journalière ce jour-là"),E517,0)</f>
        <v>28.0</v>
      </c>
      <c r="K517">
        <f>IF(AND(J517&gt;0,A517&gt;=p_from,A517&lt;=p_to),1,0)</f>
        <v>1.0</v>
      </c>
      <c r="L517">
        <f>IF(AND(K517=1,OR(pa_po="",C517=pa_po),OR(pa_eq="",B517=pa_eq)),1,0)</f>
        <v>1.0</v>
      </c>
    </row>
    <row r="518">
      <c r="A518" s="51" t="n">
        <v>46329</v>
      </c>
      <c r="B518" s="52" t="inlineStr">
        <is>
          <t>Matin</t>
        </is>
      </c>
      <c r="C518" s="52" t="inlineStr">
        <is>
          <t>TOUR2</t>
        </is>
      </c>
      <c r="D518" s="53" t="inlineStr">
        <is>
          <t>Réglage en cours de production</t>
        </is>
      </c>
      <c r="E518" s="60" t="n">
        <v>24</v>
      </c>
      <c r="F518" s="53" t="n"/>
      <c r="G518" s="61" t="str">
        <f>IF(OR(COUNTA(A518:E518)=0,D518=""),"",IFERROR(INDEX(ca_fam,MATCH(D518,ca_name,0))&amp;"",""))</f>
        <v>Réglage et changement de série</v>
      </c>
      <c r="H518" s="58" t="str">
        <f>IF(OR(COUNTA(A518:E518)=0,D518=""),"",IFERROR(INDEX(ca_type,MATCH(D518,ca_name,0))&amp;"",""))</f>
        <v>Non planifié</v>
      </c>
      <c r="I518" s="58" t="str">
        <f>IF(COUNTA(A518:E518)=0,"",IF(N(A518)&lt;=0,"Date manquante ou invalide",IF(B518="","Équipe manquante",IF(ISNA(MATCH(B518,eq_code,0)),"Équipe inconnue",IF(C518="","Poste manquant",IF(ISNA(MATCH(C518,po_code,0)),"Poste inconnu",IF(D518="","Cause manquante",IF(ISNA(MATCH(D518,ca_name,0)),"Cause inconnue",IF(H518="","Cause à compléter dans Paramètres",IF(OR(NOT(ISNUMBER(E518)),N(E518)&lt;=0,N(E518)&gt;1440),"Durée invalide",IF(COUNTIFS(sj_date,A518,sj_eq,B518,sj_po,C518)=0,"Pas de saisie journalière ce jour-là","OK")))))))))))</f>
        <v>OK</v>
      </c>
      <c r="J518">
        <f>IF(OR(I518="OK",I518="Pas de saisie journalière ce jour-là"),E518,0)</f>
        <v>24.0</v>
      </c>
      <c r="K518">
        <f>IF(AND(J518&gt;0,A518&gt;=p_from,A518&lt;=p_to),1,0)</f>
        <v>1.0</v>
      </c>
      <c r="L518">
        <f>IF(AND(K518=1,OR(pa_po="",C518=pa_po),OR(pa_eq="",B518=pa_eq)),1,0)</f>
        <v>1.0</v>
      </c>
    </row>
    <row r="519">
      <c r="A519" s="51" t="n">
        <v>46329</v>
      </c>
      <c r="B519" s="52" t="inlineStr">
        <is>
          <t>Matin</t>
        </is>
      </c>
      <c r="C519" s="52" t="inlineStr">
        <is>
          <t>TOUR2</t>
        </is>
      </c>
      <c r="D519" s="53" t="inlineStr">
        <is>
          <t>Attente programme ou consignes</t>
        </is>
      </c>
      <c r="E519" s="60" t="n">
        <v>25</v>
      </c>
      <c r="F519" s="53" t="n"/>
      <c r="G519" s="61" t="str">
        <f>IF(OR(COUNTA(A519:E519)=0,D519=""),"",IFERROR(INDEX(ca_fam,MATCH(D519,ca_name,0))&amp;"",""))</f>
        <v>Organisation</v>
      </c>
      <c r="H519" s="58" t="str">
        <f>IF(OR(COUNTA(A519:E519)=0,D519=""),"",IFERROR(INDEX(ca_type,MATCH(D519,ca_name,0))&amp;"",""))</f>
        <v>Non planifié</v>
      </c>
      <c r="I519" s="58" t="str">
        <f>IF(COUNTA(A519:E519)=0,"",IF(N(A519)&lt;=0,"Date manquante ou invalide",IF(B519="","Équipe manquante",IF(ISNA(MATCH(B519,eq_code,0)),"Équipe inconnue",IF(C519="","Poste manquant",IF(ISNA(MATCH(C519,po_code,0)),"Poste inconnu",IF(D519="","Cause manquante",IF(ISNA(MATCH(D519,ca_name,0)),"Cause inconnue",IF(H519="","Cause à compléter dans Paramètres",IF(OR(NOT(ISNUMBER(E519)),N(E519)&lt;=0,N(E519)&gt;1440),"Durée invalide",IF(COUNTIFS(sj_date,A519,sj_eq,B519,sj_po,C519)=0,"Pas de saisie journalière ce jour-là","OK")))))))))))</f>
        <v>OK</v>
      </c>
      <c r="J519">
        <f>IF(OR(I519="OK",I519="Pas de saisie journalière ce jour-là"),E519,0)</f>
        <v>25.0</v>
      </c>
      <c r="K519">
        <f>IF(AND(J519&gt;0,A519&gt;=p_from,A519&lt;=p_to),1,0)</f>
        <v>1.0</v>
      </c>
      <c r="L519">
        <f>IF(AND(K519=1,OR(pa_po="",C519=pa_po),OR(pa_eq="",B519=pa_eq)),1,0)</f>
        <v>1.0</v>
      </c>
    </row>
    <row r="520">
      <c r="A520" s="51" t="n">
        <v>46329</v>
      </c>
      <c r="B520" s="52" t="inlineStr">
        <is>
          <t>Matin</t>
        </is>
      </c>
      <c r="C520" s="52" t="inlineStr">
        <is>
          <t>TOUR2</t>
        </is>
      </c>
      <c r="D520" s="53" t="inlineStr">
        <is>
          <t>Absence opérateur</t>
        </is>
      </c>
      <c r="E520" s="60" t="n">
        <v>131</v>
      </c>
      <c r="F520" s="53" t="n"/>
      <c r="G520" s="61" t="str">
        <f>IF(OR(COUNTA(A520:E520)=0,D520=""),"",IFERROR(INDEX(ca_fam,MATCH(D520,ca_name,0))&amp;"",""))</f>
        <v>Manque personnel</v>
      </c>
      <c r="H520" s="58" t="str">
        <f>IF(OR(COUNTA(A520:E520)=0,D520=""),"",IFERROR(INDEX(ca_type,MATCH(D520,ca_name,0))&amp;"",""))</f>
        <v>Non planifié</v>
      </c>
      <c r="I520" s="58" t="str">
        <f>IF(COUNTA(A520:E520)=0,"",IF(N(A520)&lt;=0,"Date manquante ou invalide",IF(B520="","Équipe manquante",IF(ISNA(MATCH(B520,eq_code,0)),"Équipe inconnue",IF(C520="","Poste manquant",IF(ISNA(MATCH(C520,po_code,0)),"Poste inconnu",IF(D520="","Cause manquante",IF(ISNA(MATCH(D520,ca_name,0)),"Cause inconnue",IF(H520="","Cause à compléter dans Paramètres",IF(OR(NOT(ISNUMBER(E520)),N(E520)&lt;=0,N(E520)&gt;1440),"Durée invalide",IF(COUNTIFS(sj_date,A520,sj_eq,B520,sj_po,C520)=0,"Pas de saisie journalière ce jour-là","OK")))))))))))</f>
        <v>OK</v>
      </c>
      <c r="J520">
        <f>IF(OR(I520="OK",I520="Pas de saisie journalière ce jour-là"),E520,0)</f>
        <v>131.0</v>
      </c>
      <c r="K520">
        <f>IF(AND(J520&gt;0,A520&gt;=p_from,A520&lt;=p_to),1,0)</f>
        <v>1.0</v>
      </c>
      <c r="L520">
        <f>IF(AND(K520=1,OR(pa_po="",C520=pa_po),OR(pa_eq="",B520=pa_eq)),1,0)</f>
        <v>1.0</v>
      </c>
    </row>
    <row r="521">
      <c r="A521" s="51" t="n">
        <v>46329</v>
      </c>
      <c r="B521" s="52" t="inlineStr">
        <is>
          <t>Après-midi</t>
        </is>
      </c>
      <c r="C521" s="52" t="inlineStr">
        <is>
          <t>TOUR2</t>
        </is>
      </c>
      <c r="D521" s="53" t="inlineStr">
        <is>
          <t>Changement de série</t>
        </is>
      </c>
      <c r="E521" s="60" t="n">
        <v>41</v>
      </c>
      <c r="F521" s="53" t="n"/>
      <c r="G521" s="61" t="str">
        <f>IF(OR(COUNTA(A521:E521)=0,D521=""),"",IFERROR(INDEX(ca_fam,MATCH(D521,ca_name,0))&amp;"",""))</f>
        <v>Réglage et changement de série</v>
      </c>
      <c r="H521" s="58" t="str">
        <f>IF(OR(COUNTA(A521:E521)=0,D521=""),"",IFERROR(INDEX(ca_type,MATCH(D521,ca_name,0))&amp;"",""))</f>
        <v>Non planifié</v>
      </c>
      <c r="I521" s="58" t="str">
        <f>IF(COUNTA(A521:E521)=0,"",IF(N(A521)&lt;=0,"Date manquante ou invalide",IF(B521="","Équipe manquante",IF(ISNA(MATCH(B521,eq_code,0)),"Équipe inconnue",IF(C521="","Poste manquant",IF(ISNA(MATCH(C521,po_code,0)),"Poste inconnu",IF(D521="","Cause manquante",IF(ISNA(MATCH(D521,ca_name,0)),"Cause inconnue",IF(H521="","Cause à compléter dans Paramètres",IF(OR(NOT(ISNUMBER(E521)),N(E521)&lt;=0,N(E521)&gt;1440),"Durée invalide",IF(COUNTIFS(sj_date,A521,sj_eq,B521,sj_po,C521)=0,"Pas de saisie journalière ce jour-là","OK")))))))))))</f>
        <v>OK</v>
      </c>
      <c r="J521">
        <f>IF(OR(I521="OK",I521="Pas de saisie journalière ce jour-là"),E521,0)</f>
        <v>41.0</v>
      </c>
      <c r="K521">
        <f>IF(AND(J521&gt;0,A521&gt;=p_from,A521&lt;=p_to),1,0)</f>
        <v>1.0</v>
      </c>
      <c r="L521">
        <f>IF(AND(K521=1,OR(pa_po="",C521=pa_po),OR(pa_eq="",B521=pa_eq)),1,0)</f>
        <v>1.0</v>
      </c>
    </row>
    <row r="522">
      <c r="A522" s="51" t="n">
        <v>46329</v>
      </c>
      <c r="B522" s="52" t="inlineStr">
        <is>
          <t>Après-midi</t>
        </is>
      </c>
      <c r="C522" s="52" t="inlineStr">
        <is>
          <t>TOUR2</t>
        </is>
      </c>
      <c r="D522" s="53" t="inlineStr">
        <is>
          <t>Changement de série</t>
        </is>
      </c>
      <c r="E522" s="60" t="n">
        <v>44</v>
      </c>
      <c r="F522" s="53" t="n"/>
      <c r="G522" s="61" t="str">
        <f>IF(OR(COUNTA(A522:E522)=0,D522=""),"",IFERROR(INDEX(ca_fam,MATCH(D522,ca_name,0))&amp;"",""))</f>
        <v>Réglage et changement de série</v>
      </c>
      <c r="H522" s="58" t="str">
        <f>IF(OR(COUNTA(A522:E522)=0,D522=""),"",IFERROR(INDEX(ca_type,MATCH(D522,ca_name,0))&amp;"",""))</f>
        <v>Non planifié</v>
      </c>
      <c r="I522" s="58" t="str">
        <f>IF(COUNTA(A522:E522)=0,"",IF(N(A522)&lt;=0,"Date manquante ou invalide",IF(B522="","Équipe manquante",IF(ISNA(MATCH(B522,eq_code,0)),"Équipe inconnue",IF(C522="","Poste manquant",IF(ISNA(MATCH(C522,po_code,0)),"Poste inconnu",IF(D522="","Cause manquante",IF(ISNA(MATCH(D522,ca_name,0)),"Cause inconnue",IF(H522="","Cause à compléter dans Paramètres",IF(OR(NOT(ISNUMBER(E522)),N(E522)&lt;=0,N(E522)&gt;1440),"Durée invalide",IF(COUNTIFS(sj_date,A522,sj_eq,B522,sj_po,C522)=0,"Pas de saisie journalière ce jour-là","OK")))))))))))</f>
        <v>OK</v>
      </c>
      <c r="J522">
        <f>IF(OR(I522="OK",I522="Pas de saisie journalière ce jour-là"),E522,0)</f>
        <v>44.0</v>
      </c>
      <c r="K522">
        <f>IF(AND(J522&gt;0,A522&gt;=p_from,A522&lt;=p_to),1,0)</f>
        <v>1.0</v>
      </c>
      <c r="L522">
        <f>IF(AND(K522=1,OR(pa_po="",C522=pa_po),OR(pa_eq="",B522=pa_eq)),1,0)</f>
        <v>1.0</v>
      </c>
    </row>
    <row r="523">
      <c r="A523" s="51" t="n">
        <v>46329</v>
      </c>
      <c r="B523" s="52" t="inlineStr">
        <is>
          <t>Après-midi</t>
        </is>
      </c>
      <c r="C523" s="52" t="inlineStr">
        <is>
          <t>TOUR2</t>
        </is>
      </c>
      <c r="D523" s="53" t="inlineStr">
        <is>
          <t>Panne mécanique</t>
        </is>
      </c>
      <c r="E523" s="60" t="n">
        <v>124</v>
      </c>
      <c r="F523" s="53" t="n"/>
      <c r="G523" s="61" t="str">
        <f>IF(OR(COUNTA(A523:E523)=0,D523=""),"",IFERROR(INDEX(ca_fam,MATCH(D523,ca_name,0))&amp;"",""))</f>
        <v>Panne</v>
      </c>
      <c r="H523" s="58" t="str">
        <f>IF(OR(COUNTA(A523:E523)=0,D523=""),"",IFERROR(INDEX(ca_type,MATCH(D523,ca_name,0))&amp;"",""))</f>
        <v>Non planifié</v>
      </c>
      <c r="I523" s="58" t="str">
        <f>IF(COUNTA(A523:E523)=0,"",IF(N(A523)&lt;=0,"Date manquante ou invalide",IF(B523="","Équipe manquante",IF(ISNA(MATCH(B523,eq_code,0)),"Équipe inconnue",IF(C523="","Poste manquant",IF(ISNA(MATCH(C523,po_code,0)),"Poste inconnu",IF(D523="","Cause manquante",IF(ISNA(MATCH(D523,ca_name,0)),"Cause inconnue",IF(H523="","Cause à compléter dans Paramètres",IF(OR(NOT(ISNUMBER(E523)),N(E523)&lt;=0,N(E523)&gt;1440),"Durée invalide",IF(COUNTIFS(sj_date,A523,sj_eq,B523,sj_po,C523)=0,"Pas de saisie journalière ce jour-là","OK")))))))))))</f>
        <v>OK</v>
      </c>
      <c r="J523">
        <f>IF(OR(I523="OK",I523="Pas de saisie journalière ce jour-là"),E523,0)</f>
        <v>124.0</v>
      </c>
      <c r="K523">
        <f>IF(AND(J523&gt;0,A523&gt;=p_from,A523&lt;=p_to),1,0)</f>
        <v>1.0</v>
      </c>
      <c r="L523">
        <f>IF(AND(K523=1,OR(pa_po="",C523=pa_po),OR(pa_eq="",B523=pa_eq)),1,0)</f>
        <v>1.0</v>
      </c>
    </row>
    <row r="524">
      <c r="A524" s="51" t="n">
        <v>46329</v>
      </c>
      <c r="B524" s="52" t="inlineStr">
        <is>
          <t>Matin</t>
        </is>
      </c>
      <c r="C524" s="52" t="inlineStr">
        <is>
          <t>USIN</t>
        </is>
      </c>
      <c r="D524" s="53" t="inlineStr">
        <is>
          <t>Attente contrôle qualité</t>
        </is>
      </c>
      <c r="E524" s="60" t="n">
        <v>11</v>
      </c>
      <c r="F524" s="53" t="n"/>
      <c r="G524" s="61" t="str">
        <f>IF(OR(COUNTA(A524:E524)=0,D524=""),"",IFERROR(INDEX(ca_fam,MATCH(D524,ca_name,0))&amp;"",""))</f>
        <v>Qualité</v>
      </c>
      <c r="H524" s="58" t="str">
        <f>IF(OR(COUNTA(A524:E524)=0,D524=""),"",IFERROR(INDEX(ca_type,MATCH(D524,ca_name,0))&amp;"",""))</f>
        <v>Non planifié</v>
      </c>
      <c r="I524" s="58" t="str">
        <f>IF(COUNTA(A524:E524)=0,"",IF(N(A524)&lt;=0,"Date manquante ou invalide",IF(B524="","Équipe manquante",IF(ISNA(MATCH(B524,eq_code,0)),"Équipe inconnue",IF(C524="","Poste manquant",IF(ISNA(MATCH(C524,po_code,0)),"Poste inconnu",IF(D524="","Cause manquante",IF(ISNA(MATCH(D524,ca_name,0)),"Cause inconnue",IF(H524="","Cause à compléter dans Paramètres",IF(OR(NOT(ISNUMBER(E524)),N(E524)&lt;=0,N(E524)&gt;1440),"Durée invalide",IF(COUNTIFS(sj_date,A524,sj_eq,B524,sj_po,C524)=0,"Pas de saisie journalière ce jour-là","OK")))))))))))</f>
        <v>OK</v>
      </c>
      <c r="J524">
        <f>IF(OR(I524="OK",I524="Pas de saisie journalière ce jour-là"),E524,0)</f>
        <v>11.0</v>
      </c>
      <c r="K524">
        <f>IF(AND(J524&gt;0,A524&gt;=p_from,A524&lt;=p_to),1,0)</f>
        <v>1.0</v>
      </c>
      <c r="L524">
        <f>IF(AND(K524=1,OR(pa_po="",C524=pa_po),OR(pa_eq="",B524=pa_eq)),1,0)</f>
        <v>1.0</v>
      </c>
    </row>
    <row r="525">
      <c r="A525" s="51" t="n">
        <v>46329</v>
      </c>
      <c r="B525" s="52" t="inlineStr">
        <is>
          <t>Matin</t>
        </is>
      </c>
      <c r="C525" s="52" t="inlineStr">
        <is>
          <t>USIN</t>
        </is>
      </c>
      <c r="D525" s="53" t="inlineStr">
        <is>
          <t>Attente chariot élévateur</t>
        </is>
      </c>
      <c r="E525" s="60" t="n">
        <v>9</v>
      </c>
      <c r="F525" s="53" t="n"/>
      <c r="G525" s="61" t="str">
        <f>IF(OR(COUNTA(A525:E525)=0,D525=""),"",IFERROR(INDEX(ca_fam,MATCH(D525,ca_name,0))&amp;"",""))</f>
        <v>Organisation</v>
      </c>
      <c r="H525" s="58" t="str">
        <f>IF(OR(COUNTA(A525:E525)=0,D525=""),"",IFERROR(INDEX(ca_type,MATCH(D525,ca_name,0))&amp;"",""))</f>
        <v>Non planifié</v>
      </c>
      <c r="I525" s="58" t="str">
        <f>IF(COUNTA(A525:E525)=0,"",IF(N(A525)&lt;=0,"Date manquante ou invalide",IF(B525="","Équipe manquante",IF(ISNA(MATCH(B525,eq_code,0)),"Équipe inconnue",IF(C525="","Poste manquant",IF(ISNA(MATCH(C525,po_code,0)),"Poste inconnu",IF(D525="","Cause manquante",IF(ISNA(MATCH(D525,ca_name,0)),"Cause inconnue",IF(H525="","Cause à compléter dans Paramètres",IF(OR(NOT(ISNUMBER(E525)),N(E525)&lt;=0,N(E525)&gt;1440),"Durée invalide",IF(COUNTIFS(sj_date,A525,sj_eq,B525,sj_po,C525)=0,"Pas de saisie journalière ce jour-là","OK")))))))))))</f>
        <v>OK</v>
      </c>
      <c r="J525">
        <f>IF(OR(I525="OK",I525="Pas de saisie journalière ce jour-là"),E525,0)</f>
        <v>9.0</v>
      </c>
      <c r="K525">
        <f>IF(AND(J525&gt;0,A525&gt;=p_from,A525&lt;=p_to),1,0)</f>
        <v>1.0</v>
      </c>
      <c r="L525">
        <f>IF(AND(K525=1,OR(pa_po="",C525=pa_po),OR(pa_eq="",B525=pa_eq)),1,0)</f>
        <v>1.0</v>
      </c>
    </row>
    <row r="526">
      <c r="A526" s="51" t="n">
        <v>46329</v>
      </c>
      <c r="B526" s="52" t="inlineStr">
        <is>
          <t>Après-midi</t>
        </is>
      </c>
      <c r="C526" s="52" t="inlineStr">
        <is>
          <t>USIN</t>
        </is>
      </c>
      <c r="D526" s="53" t="inlineStr">
        <is>
          <t>Changement d'outil</t>
        </is>
      </c>
      <c r="E526" s="60" t="n">
        <v>8</v>
      </c>
      <c r="F526" s="53" t="n"/>
      <c r="G526" s="61" t="str">
        <f>IF(OR(COUNTA(A526:E526)=0,D526=""),"",IFERROR(INDEX(ca_fam,MATCH(D526,ca_name,0))&amp;"",""))</f>
        <v>Réglage et changement de série</v>
      </c>
      <c r="H526" s="58" t="str">
        <f>IF(OR(COUNTA(A526:E526)=0,D526=""),"",IFERROR(INDEX(ca_type,MATCH(D526,ca_name,0))&amp;"",""))</f>
        <v>Non planifié</v>
      </c>
      <c r="I526" s="58" t="str">
        <f>IF(COUNTA(A526:E526)=0,"",IF(N(A526)&lt;=0,"Date manquante ou invalide",IF(B526="","Équipe manquante",IF(ISNA(MATCH(B526,eq_code,0)),"Équipe inconnue",IF(C526="","Poste manquant",IF(ISNA(MATCH(C526,po_code,0)),"Poste inconnu",IF(D526="","Cause manquante",IF(ISNA(MATCH(D526,ca_name,0)),"Cause inconnue",IF(H526="","Cause à compléter dans Paramètres",IF(OR(NOT(ISNUMBER(E526)),N(E526)&lt;=0,N(E526)&gt;1440),"Durée invalide",IF(COUNTIFS(sj_date,A526,sj_eq,B526,sj_po,C526)=0,"Pas de saisie journalière ce jour-là","OK")))))))))))</f>
        <v>OK</v>
      </c>
      <c r="J526">
        <f>IF(OR(I526="OK",I526="Pas de saisie journalière ce jour-là"),E526,0)</f>
        <v>8.0</v>
      </c>
      <c r="K526">
        <f>IF(AND(J526&gt;0,A526&gt;=p_from,A526&lt;=p_to),1,0)</f>
        <v>1.0</v>
      </c>
      <c r="L526">
        <f>IF(AND(K526=1,OR(pa_po="",C526=pa_po),OR(pa_eq="",B526=pa_eq)),1,0)</f>
        <v>1.0</v>
      </c>
    </row>
    <row r="527">
      <c r="A527" s="51" t="n">
        <v>46329</v>
      </c>
      <c r="B527" s="52" t="inlineStr">
        <is>
          <t>Matin</t>
        </is>
      </c>
      <c r="C527" s="52" t="inlineStr">
        <is>
          <t>PRESSE</t>
        </is>
      </c>
      <c r="D527" s="53" t="inlineStr">
        <is>
          <t>Changement de série</t>
        </is>
      </c>
      <c r="E527" s="60" t="n">
        <v>47</v>
      </c>
      <c r="F527" s="53" t="n"/>
      <c r="G527" s="61" t="str">
        <f>IF(OR(COUNTA(A527:E527)=0,D527=""),"",IFERROR(INDEX(ca_fam,MATCH(D527,ca_name,0))&amp;"",""))</f>
        <v>Réglage et changement de série</v>
      </c>
      <c r="H527" s="58" t="str">
        <f>IF(OR(COUNTA(A527:E527)=0,D527=""),"",IFERROR(INDEX(ca_type,MATCH(D527,ca_name,0))&amp;"",""))</f>
        <v>Non planifié</v>
      </c>
      <c r="I527" s="58" t="str">
        <f>IF(COUNTA(A527:E527)=0,"",IF(N(A527)&lt;=0,"Date manquante ou invalide",IF(B527="","Équipe manquante",IF(ISNA(MATCH(B527,eq_code,0)),"Équipe inconnue",IF(C527="","Poste manquant",IF(ISNA(MATCH(C527,po_code,0)),"Poste inconnu",IF(D527="","Cause manquante",IF(ISNA(MATCH(D527,ca_name,0)),"Cause inconnue",IF(H527="","Cause à compléter dans Paramètres",IF(OR(NOT(ISNUMBER(E527)),N(E527)&lt;=0,N(E527)&gt;1440),"Durée invalide",IF(COUNTIFS(sj_date,A527,sj_eq,B527,sj_po,C527)=0,"Pas de saisie journalière ce jour-là","OK")))))))))))</f>
        <v>OK</v>
      </c>
      <c r="J527">
        <f>IF(OR(I527="OK",I527="Pas de saisie journalière ce jour-là"),E527,0)</f>
        <v>47.0</v>
      </c>
      <c r="K527">
        <f>IF(AND(J527&gt;0,A527&gt;=p_from,A527&lt;=p_to),1,0)</f>
        <v>1.0</v>
      </c>
      <c r="L527">
        <f>IF(AND(K527=1,OR(pa_po="",C527=pa_po),OR(pa_eq="",B527=pa_eq)),1,0)</f>
        <v>1.0</v>
      </c>
    </row>
    <row r="528">
      <c r="A528" s="51" t="n">
        <v>46329</v>
      </c>
      <c r="B528" s="52" t="inlineStr">
        <is>
          <t>Matin</t>
        </is>
      </c>
      <c r="C528" s="52" t="inlineStr">
        <is>
          <t>PRESSE</t>
        </is>
      </c>
      <c r="D528" s="53" t="inlineStr">
        <is>
          <t>Casse outil</t>
        </is>
      </c>
      <c r="E528" s="60" t="n">
        <v>17</v>
      </c>
      <c r="F528" s="53" t="n"/>
      <c r="G528" s="61" t="str">
        <f>IF(OR(COUNTA(A528:E528)=0,D528=""),"",IFERROR(INDEX(ca_fam,MATCH(D528,ca_name,0))&amp;"",""))</f>
        <v>Panne</v>
      </c>
      <c r="H528" s="58" t="str">
        <f>IF(OR(COUNTA(A528:E528)=0,D528=""),"",IFERROR(INDEX(ca_type,MATCH(D528,ca_name,0))&amp;"",""))</f>
        <v>Non planifié</v>
      </c>
      <c r="I528" s="58" t="str">
        <f>IF(COUNTA(A528:E528)=0,"",IF(N(A528)&lt;=0,"Date manquante ou invalide",IF(B528="","Équipe manquante",IF(ISNA(MATCH(B528,eq_code,0)),"Équipe inconnue",IF(C528="","Poste manquant",IF(ISNA(MATCH(C528,po_code,0)),"Poste inconnu",IF(D528="","Cause manquante",IF(ISNA(MATCH(D528,ca_name,0)),"Cause inconnue",IF(H528="","Cause à compléter dans Paramètres",IF(OR(NOT(ISNUMBER(E528)),N(E528)&lt;=0,N(E528)&gt;1440),"Durée invalide",IF(COUNTIFS(sj_date,A528,sj_eq,B528,sj_po,C528)=0,"Pas de saisie journalière ce jour-là","OK")))))))))))</f>
        <v>OK</v>
      </c>
      <c r="J528">
        <f>IF(OR(I528="OK",I528="Pas de saisie journalière ce jour-là"),E528,0)</f>
        <v>17.0</v>
      </c>
      <c r="K528">
        <f>IF(AND(J528&gt;0,A528&gt;=p_from,A528&lt;=p_to),1,0)</f>
        <v>1.0</v>
      </c>
      <c r="L528">
        <f>IF(AND(K528=1,OR(pa_po="",C528=pa_po),OR(pa_eq="",B528=pa_eq)),1,0)</f>
        <v>1.0</v>
      </c>
    </row>
    <row r="529">
      <c r="A529" s="51" t="n">
        <v>46329</v>
      </c>
      <c r="B529" s="52" t="inlineStr">
        <is>
          <t>Journée</t>
        </is>
      </c>
      <c r="C529" s="52" t="inlineStr">
        <is>
          <t>PLIE</t>
        </is>
      </c>
      <c r="D529" s="53" t="inlineStr">
        <is>
          <t>Panne mécanique</t>
        </is>
      </c>
      <c r="E529" s="60" t="n">
        <v>86</v>
      </c>
      <c r="F529" s="53" t="n"/>
      <c r="G529" s="61" t="str">
        <f>IF(OR(COUNTA(A529:E529)=0,D529=""),"",IFERROR(INDEX(ca_fam,MATCH(D529,ca_name,0))&amp;"",""))</f>
        <v>Panne</v>
      </c>
      <c r="H529" s="58" t="str">
        <f>IF(OR(COUNTA(A529:E529)=0,D529=""),"",IFERROR(INDEX(ca_type,MATCH(D529,ca_name,0))&amp;"",""))</f>
        <v>Non planifié</v>
      </c>
      <c r="I529" s="58" t="str">
        <f>IF(COUNTA(A529:E529)=0,"",IF(N(A529)&lt;=0,"Date manquante ou invalide",IF(B529="","Équipe manquante",IF(ISNA(MATCH(B529,eq_code,0)),"Équipe inconnue",IF(C529="","Poste manquant",IF(ISNA(MATCH(C529,po_code,0)),"Poste inconnu",IF(D529="","Cause manquante",IF(ISNA(MATCH(D529,ca_name,0)),"Cause inconnue",IF(H529="","Cause à compléter dans Paramètres",IF(OR(NOT(ISNUMBER(E529)),N(E529)&lt;=0,N(E529)&gt;1440),"Durée invalide",IF(COUNTIFS(sj_date,A529,sj_eq,B529,sj_po,C529)=0,"Pas de saisie journalière ce jour-là","OK")))))))))))</f>
        <v>OK</v>
      </c>
      <c r="J529">
        <f>IF(OR(I529="OK",I529="Pas de saisie journalière ce jour-là"),E529,0)</f>
        <v>86.0</v>
      </c>
      <c r="K529">
        <f>IF(AND(J529&gt;0,A529&gt;=p_from,A529&lt;=p_to),1,0)</f>
        <v>1.0</v>
      </c>
      <c r="L529">
        <f>IF(AND(K529=1,OR(pa_po="",C529=pa_po),OR(pa_eq="",B529=pa_eq)),1,0)</f>
        <v>1.0</v>
      </c>
    </row>
    <row r="530">
      <c r="A530" s="51" t="n">
        <v>46329</v>
      </c>
      <c r="B530" s="52" t="inlineStr">
        <is>
          <t>Journée</t>
        </is>
      </c>
      <c r="C530" s="52" t="inlineStr">
        <is>
          <t>PLIE</t>
        </is>
      </c>
      <c r="D530" s="53" t="inlineStr">
        <is>
          <t>Attente programme ou consignes</t>
        </is>
      </c>
      <c r="E530" s="60" t="n">
        <v>15</v>
      </c>
      <c r="F530" s="53" t="n"/>
      <c r="G530" s="61" t="str">
        <f>IF(OR(COUNTA(A530:E530)=0,D530=""),"",IFERROR(INDEX(ca_fam,MATCH(D530,ca_name,0))&amp;"",""))</f>
        <v>Organisation</v>
      </c>
      <c r="H530" s="58" t="str">
        <f>IF(OR(COUNTA(A530:E530)=0,D530=""),"",IFERROR(INDEX(ca_type,MATCH(D530,ca_name,0))&amp;"",""))</f>
        <v>Non planifié</v>
      </c>
      <c r="I530" s="58" t="str">
        <f>IF(COUNTA(A530:E530)=0,"",IF(N(A530)&lt;=0,"Date manquante ou invalide",IF(B530="","Équipe manquante",IF(ISNA(MATCH(B530,eq_code,0)),"Équipe inconnue",IF(C530="","Poste manquant",IF(ISNA(MATCH(C530,po_code,0)),"Poste inconnu",IF(D530="","Cause manquante",IF(ISNA(MATCH(D530,ca_name,0)),"Cause inconnue",IF(H530="","Cause à compléter dans Paramètres",IF(OR(NOT(ISNUMBER(E530)),N(E530)&lt;=0,N(E530)&gt;1440),"Durée invalide",IF(COUNTIFS(sj_date,A530,sj_eq,B530,sj_po,C530)=0,"Pas de saisie journalière ce jour-là","OK")))))))))))</f>
        <v>OK</v>
      </c>
      <c r="J530">
        <f>IF(OR(I530="OK",I530="Pas de saisie journalière ce jour-là"),E530,0)</f>
        <v>15.0</v>
      </c>
      <c r="K530">
        <f>IF(AND(J530&gt;0,A530&gt;=p_from,A530&lt;=p_to),1,0)</f>
        <v>1.0</v>
      </c>
      <c r="L530">
        <f>IF(AND(K530=1,OR(pa_po="",C530=pa_po),OR(pa_eq="",B530=pa_eq)),1,0)</f>
        <v>1.0</v>
      </c>
    </row>
    <row r="531">
      <c r="A531" s="51" t="n">
        <v>46329</v>
      </c>
      <c r="B531" s="52" t="inlineStr">
        <is>
          <t>Journée</t>
        </is>
      </c>
      <c r="C531" s="52" t="inlineStr">
        <is>
          <t>PLIE</t>
        </is>
      </c>
      <c r="D531" s="53" t="inlineStr">
        <is>
          <t>Panne mécanique</t>
        </is>
      </c>
      <c r="E531" s="60" t="n">
        <v>51</v>
      </c>
      <c r="F531" s="53" t="n"/>
      <c r="G531" s="61" t="str">
        <f>IF(OR(COUNTA(A531:E531)=0,D531=""),"",IFERROR(INDEX(ca_fam,MATCH(D531,ca_name,0))&amp;"",""))</f>
        <v>Panne</v>
      </c>
      <c r="H531" s="58" t="str">
        <f>IF(OR(COUNTA(A531:E531)=0,D531=""),"",IFERROR(INDEX(ca_type,MATCH(D531,ca_name,0))&amp;"",""))</f>
        <v>Non planifié</v>
      </c>
      <c r="I531" s="58" t="str">
        <f>IF(COUNTA(A531:E531)=0,"",IF(N(A531)&lt;=0,"Date manquante ou invalide",IF(B531="","Équipe manquante",IF(ISNA(MATCH(B531,eq_code,0)),"Équipe inconnue",IF(C531="","Poste manquant",IF(ISNA(MATCH(C531,po_code,0)),"Poste inconnu",IF(D531="","Cause manquante",IF(ISNA(MATCH(D531,ca_name,0)),"Cause inconnue",IF(H531="","Cause à compléter dans Paramètres",IF(OR(NOT(ISNUMBER(E531)),N(E531)&lt;=0,N(E531)&gt;1440),"Durée invalide",IF(COUNTIFS(sj_date,A531,sj_eq,B531,sj_po,C531)=0,"Pas de saisie journalière ce jour-là","OK")))))))))))</f>
        <v>OK</v>
      </c>
      <c r="J531">
        <f>IF(OR(I531="OK",I531="Pas de saisie journalière ce jour-là"),E531,0)</f>
        <v>51.0</v>
      </c>
      <c r="K531">
        <f>IF(AND(J531&gt;0,A531&gt;=p_from,A531&lt;=p_to),1,0)</f>
        <v>1.0</v>
      </c>
      <c r="L531">
        <f>IF(AND(K531=1,OR(pa_po="",C531=pa_po),OR(pa_eq="",B531=pa_eq)),1,0)</f>
        <v>1.0</v>
      </c>
    </row>
    <row r="532">
      <c r="A532" s="51" t="n">
        <v>46329</v>
      </c>
      <c r="B532" s="52" t="inlineStr">
        <is>
          <t>Matin</t>
        </is>
      </c>
      <c r="C532" s="52" t="inlineStr">
        <is>
          <t>SOUD</t>
        </is>
      </c>
      <c r="D532" s="53" t="inlineStr">
        <is>
          <t>Attente matière</t>
        </is>
      </c>
      <c r="E532" s="60" t="n">
        <v>56</v>
      </c>
      <c r="F532" s="53" t="n"/>
      <c r="G532" s="61" t="str">
        <f>IF(OR(COUNTA(A532:E532)=0,D532=""),"",IFERROR(INDEX(ca_fam,MATCH(D532,ca_name,0))&amp;"",""))</f>
        <v>Manque matière</v>
      </c>
      <c r="H532" s="58" t="str">
        <f>IF(OR(COUNTA(A532:E532)=0,D532=""),"",IFERROR(INDEX(ca_type,MATCH(D532,ca_name,0))&amp;"",""))</f>
        <v>Non planifié</v>
      </c>
      <c r="I532" s="58" t="str">
        <f>IF(COUNTA(A532:E532)=0,"",IF(N(A532)&lt;=0,"Date manquante ou invalide",IF(B532="","Équipe manquante",IF(ISNA(MATCH(B532,eq_code,0)),"Équipe inconnue",IF(C532="","Poste manquant",IF(ISNA(MATCH(C532,po_code,0)),"Poste inconnu",IF(D532="","Cause manquante",IF(ISNA(MATCH(D532,ca_name,0)),"Cause inconnue",IF(H532="","Cause à compléter dans Paramètres",IF(OR(NOT(ISNUMBER(E532)),N(E532)&lt;=0,N(E532)&gt;1440),"Durée invalide",IF(COUNTIFS(sj_date,A532,sj_eq,B532,sj_po,C532)=0,"Pas de saisie journalière ce jour-là","OK")))))))))))</f>
        <v>OK</v>
      </c>
      <c r="J532">
        <f>IF(OR(I532="OK",I532="Pas de saisie journalière ce jour-là"),E532,0)</f>
        <v>56.0</v>
      </c>
      <c r="K532">
        <f>IF(AND(J532&gt;0,A532&gt;=p_from,A532&lt;=p_to),1,0)</f>
        <v>1.0</v>
      </c>
      <c r="L532">
        <f>IF(AND(K532=1,OR(pa_po="",C532=pa_po),OR(pa_eq="",B532=pa_eq)),1,0)</f>
        <v>1.0</v>
      </c>
    </row>
    <row r="533">
      <c r="A533" s="51" t="n">
        <v>46329</v>
      </c>
      <c r="B533" s="52" t="inlineStr">
        <is>
          <t>Après-midi</t>
        </is>
      </c>
      <c r="C533" s="52" t="inlineStr">
        <is>
          <t>SOUD</t>
        </is>
      </c>
      <c r="D533" s="53" t="inlineStr">
        <is>
          <t>Attente matière</t>
        </is>
      </c>
      <c r="E533" s="60" t="n">
        <v>65</v>
      </c>
      <c r="F533" s="53" t="n"/>
      <c r="G533" s="61" t="str">
        <f>IF(OR(COUNTA(A533:E533)=0,D533=""),"",IFERROR(INDEX(ca_fam,MATCH(D533,ca_name,0))&amp;"",""))</f>
        <v>Manque matière</v>
      </c>
      <c r="H533" s="58" t="str">
        <f>IF(OR(COUNTA(A533:E533)=0,D533=""),"",IFERROR(INDEX(ca_type,MATCH(D533,ca_name,0))&amp;"",""))</f>
        <v>Non planifié</v>
      </c>
      <c r="I533" s="58" t="str">
        <f>IF(COUNTA(A533:E533)=0,"",IF(N(A533)&lt;=0,"Date manquante ou invalide",IF(B533="","Équipe manquante",IF(ISNA(MATCH(B533,eq_code,0)),"Équipe inconnue",IF(C533="","Poste manquant",IF(ISNA(MATCH(C533,po_code,0)),"Poste inconnu",IF(D533="","Cause manquante",IF(ISNA(MATCH(D533,ca_name,0)),"Cause inconnue",IF(H533="","Cause à compléter dans Paramètres",IF(OR(NOT(ISNUMBER(E533)),N(E533)&lt;=0,N(E533)&gt;1440),"Durée invalide",IF(COUNTIFS(sj_date,A533,sj_eq,B533,sj_po,C533)=0,"Pas de saisie journalière ce jour-là","OK")))))))))))</f>
        <v>OK</v>
      </c>
      <c r="J533">
        <f>IF(OR(I533="OK",I533="Pas de saisie journalière ce jour-là"),E533,0)</f>
        <v>65.0</v>
      </c>
      <c r="K533">
        <f>IF(AND(J533&gt;0,A533&gt;=p_from,A533&lt;=p_to),1,0)</f>
        <v>1.0</v>
      </c>
      <c r="L533">
        <f>IF(AND(K533=1,OR(pa_po="",C533=pa_po),OR(pa_eq="",B533=pa_eq)),1,0)</f>
        <v>1.0</v>
      </c>
    </row>
    <row r="534">
      <c r="A534" s="51" t="n">
        <v>46329</v>
      </c>
      <c r="B534" s="52" t="inlineStr">
        <is>
          <t>Après-midi</t>
        </is>
      </c>
      <c r="C534" s="52" t="inlineStr">
        <is>
          <t>SOUD</t>
        </is>
      </c>
      <c r="D534" s="53" t="inlineStr">
        <is>
          <t>Attente contrôle qualité</t>
        </is>
      </c>
      <c r="E534" s="60" t="n">
        <v>11</v>
      </c>
      <c r="F534" s="53" t="n"/>
      <c r="G534" s="61" t="str">
        <f>IF(OR(COUNTA(A534:E534)=0,D534=""),"",IFERROR(INDEX(ca_fam,MATCH(D534,ca_name,0))&amp;"",""))</f>
        <v>Qualité</v>
      </c>
      <c r="H534" s="58" t="str">
        <f>IF(OR(COUNTA(A534:E534)=0,D534=""),"",IFERROR(INDEX(ca_type,MATCH(D534,ca_name,0))&amp;"",""))</f>
        <v>Non planifié</v>
      </c>
      <c r="I534" s="58" t="str">
        <f>IF(COUNTA(A534:E534)=0,"",IF(N(A534)&lt;=0,"Date manquante ou invalide",IF(B534="","Équipe manquante",IF(ISNA(MATCH(B534,eq_code,0)),"Équipe inconnue",IF(C534="","Poste manquant",IF(ISNA(MATCH(C534,po_code,0)),"Poste inconnu",IF(D534="","Cause manquante",IF(ISNA(MATCH(D534,ca_name,0)),"Cause inconnue",IF(H534="","Cause à compléter dans Paramètres",IF(OR(NOT(ISNUMBER(E534)),N(E534)&lt;=0,N(E534)&gt;1440),"Durée invalide",IF(COUNTIFS(sj_date,A534,sj_eq,B534,sj_po,C534)=0,"Pas de saisie journalière ce jour-là","OK")))))))))))</f>
        <v>OK</v>
      </c>
      <c r="J534">
        <f>IF(OR(I534="OK",I534="Pas de saisie journalière ce jour-là"),E534,0)</f>
        <v>11.0</v>
      </c>
      <c r="K534">
        <f>IF(AND(J534&gt;0,A534&gt;=p_from,A534&lt;=p_to),1,0)</f>
        <v>1.0</v>
      </c>
      <c r="L534">
        <f>IF(AND(K534=1,OR(pa_po="",C534=pa_po),OR(pa_eq="",B534=pa_eq)),1,0)</f>
        <v>1.0</v>
      </c>
    </row>
    <row r="535">
      <c r="A535" s="51" t="n">
        <v>46330</v>
      </c>
      <c r="B535" s="52" t="inlineStr">
        <is>
          <t>Matin</t>
        </is>
      </c>
      <c r="C535" s="52" t="inlineStr">
        <is>
          <t>TOUR1</t>
        </is>
      </c>
      <c r="D535" s="53" t="inlineStr">
        <is>
          <t>Opérateur sur un autre poste</t>
        </is>
      </c>
      <c r="E535" s="60" t="n">
        <v>57</v>
      </c>
      <c r="F535" s="53" t="n"/>
      <c r="G535" s="61" t="str">
        <f>IF(OR(COUNTA(A535:E535)=0,D535=""),"",IFERROR(INDEX(ca_fam,MATCH(D535,ca_name,0))&amp;"",""))</f>
        <v>Manque personnel</v>
      </c>
      <c r="H535" s="58" t="str">
        <f>IF(OR(COUNTA(A535:E535)=0,D535=""),"",IFERROR(INDEX(ca_type,MATCH(D535,ca_name,0))&amp;"",""))</f>
        <v>Non planifié</v>
      </c>
      <c r="I535" s="58" t="str">
        <f>IF(COUNTA(A535:E535)=0,"",IF(N(A535)&lt;=0,"Date manquante ou invalide",IF(B535="","Équipe manquante",IF(ISNA(MATCH(B535,eq_code,0)),"Équipe inconnue",IF(C535="","Poste manquant",IF(ISNA(MATCH(C535,po_code,0)),"Poste inconnu",IF(D535="","Cause manquante",IF(ISNA(MATCH(D535,ca_name,0)),"Cause inconnue",IF(H535="","Cause à compléter dans Paramètres",IF(OR(NOT(ISNUMBER(E535)),N(E535)&lt;=0,N(E535)&gt;1440),"Durée invalide",IF(COUNTIFS(sj_date,A535,sj_eq,B535,sj_po,C535)=0,"Pas de saisie journalière ce jour-là","OK")))))))))))</f>
        <v>OK</v>
      </c>
      <c r="J535">
        <f>IF(OR(I535="OK",I535="Pas de saisie journalière ce jour-là"),E535,0)</f>
        <v>57.0</v>
      </c>
      <c r="K535">
        <f>IF(AND(J535&gt;0,A535&gt;=p_from,A535&lt;=p_to),1,0)</f>
        <v>1.0</v>
      </c>
      <c r="L535">
        <f>IF(AND(K535=1,OR(pa_po="",C535=pa_po),OR(pa_eq="",B535=pa_eq)),1,0)</f>
        <v>1.0</v>
      </c>
    </row>
    <row r="536">
      <c r="A536" s="51" t="n">
        <v>46330</v>
      </c>
      <c r="B536" s="52" t="inlineStr">
        <is>
          <t>Matin</t>
        </is>
      </c>
      <c r="C536" s="52" t="inlineStr">
        <is>
          <t>TOUR1</t>
        </is>
      </c>
      <c r="D536" s="53" t="inlineStr">
        <is>
          <t>Attente matière</t>
        </is>
      </c>
      <c r="E536" s="60" t="n">
        <v>57</v>
      </c>
      <c r="F536" s="53" t="n"/>
      <c r="G536" s="61" t="str">
        <f>IF(OR(COUNTA(A536:E536)=0,D536=""),"",IFERROR(INDEX(ca_fam,MATCH(D536,ca_name,0))&amp;"",""))</f>
        <v>Manque matière</v>
      </c>
      <c r="H536" s="58" t="str">
        <f>IF(OR(COUNTA(A536:E536)=0,D536=""),"",IFERROR(INDEX(ca_type,MATCH(D536,ca_name,0))&amp;"",""))</f>
        <v>Non planifié</v>
      </c>
      <c r="I536" s="58" t="str">
        <f>IF(COUNTA(A536:E536)=0,"",IF(N(A536)&lt;=0,"Date manquante ou invalide",IF(B536="","Équipe manquante",IF(ISNA(MATCH(B536,eq_code,0)),"Équipe inconnue",IF(C536="","Poste manquant",IF(ISNA(MATCH(C536,po_code,0)),"Poste inconnu",IF(D536="","Cause manquante",IF(ISNA(MATCH(D536,ca_name,0)),"Cause inconnue",IF(H536="","Cause à compléter dans Paramètres",IF(OR(NOT(ISNUMBER(E536)),N(E536)&lt;=0,N(E536)&gt;1440),"Durée invalide",IF(COUNTIFS(sj_date,A536,sj_eq,B536,sj_po,C536)=0,"Pas de saisie journalière ce jour-là","OK")))))))))))</f>
        <v>OK</v>
      </c>
      <c r="J536">
        <f>IF(OR(I536="OK",I536="Pas de saisie journalière ce jour-là"),E536,0)</f>
        <v>57.0</v>
      </c>
      <c r="K536">
        <f>IF(AND(J536&gt;0,A536&gt;=p_from,A536&lt;=p_to),1,0)</f>
        <v>1.0</v>
      </c>
      <c r="L536">
        <f>IF(AND(K536=1,OR(pa_po="",C536=pa_po),OR(pa_eq="",B536=pa_eq)),1,0)</f>
        <v>1.0</v>
      </c>
    </row>
    <row r="537">
      <c r="A537" s="51" t="n">
        <v>46330</v>
      </c>
      <c r="B537" s="52" t="inlineStr">
        <is>
          <t>Après-midi</t>
        </is>
      </c>
      <c r="C537" s="52" t="inlineStr">
        <is>
          <t>TOUR1</t>
        </is>
      </c>
      <c r="D537" s="53" t="inlineStr">
        <is>
          <t>Attente contrôle qualité</t>
        </is>
      </c>
      <c r="E537" s="60" t="n">
        <v>13</v>
      </c>
      <c r="F537" s="53" t="n"/>
      <c r="G537" s="61" t="str">
        <f>IF(OR(COUNTA(A537:E537)=0,D537=""),"",IFERROR(INDEX(ca_fam,MATCH(D537,ca_name,0))&amp;"",""))</f>
        <v>Qualité</v>
      </c>
      <c r="H537" s="58" t="str">
        <f>IF(OR(COUNTA(A537:E537)=0,D537=""),"",IFERROR(INDEX(ca_type,MATCH(D537,ca_name,0))&amp;"",""))</f>
        <v>Non planifié</v>
      </c>
      <c r="I537" s="58" t="str">
        <f>IF(COUNTA(A537:E537)=0,"",IF(N(A537)&lt;=0,"Date manquante ou invalide",IF(B537="","Équipe manquante",IF(ISNA(MATCH(B537,eq_code,0)),"Équipe inconnue",IF(C537="","Poste manquant",IF(ISNA(MATCH(C537,po_code,0)),"Poste inconnu",IF(D537="","Cause manquante",IF(ISNA(MATCH(D537,ca_name,0)),"Cause inconnue",IF(H537="","Cause à compléter dans Paramètres",IF(OR(NOT(ISNUMBER(E537)),N(E537)&lt;=0,N(E537)&gt;1440),"Durée invalide",IF(COUNTIFS(sj_date,A537,sj_eq,B537,sj_po,C537)=0,"Pas de saisie journalière ce jour-là","OK")))))))))))</f>
        <v>OK</v>
      </c>
      <c r="J537">
        <f>IF(OR(I537="OK",I537="Pas de saisie journalière ce jour-là"),E537,0)</f>
        <v>13.0</v>
      </c>
      <c r="K537">
        <f>IF(AND(J537&gt;0,A537&gt;=p_from,A537&lt;=p_to),1,0)</f>
        <v>1.0</v>
      </c>
      <c r="L537">
        <f>IF(AND(K537=1,OR(pa_po="",C537=pa_po),OR(pa_eq="",B537=pa_eq)),1,0)</f>
        <v>1.0</v>
      </c>
    </row>
    <row r="538">
      <c r="A538" s="51" t="n">
        <v>46330</v>
      </c>
      <c r="B538" s="52" t="inlineStr">
        <is>
          <t>Matin</t>
        </is>
      </c>
      <c r="C538" s="52" t="inlineStr">
        <is>
          <t>TOUR2</t>
        </is>
      </c>
      <c r="D538" s="53" t="inlineStr">
        <is>
          <t>Changement de série</t>
        </is>
      </c>
      <c r="E538" s="60" t="n">
        <v>54</v>
      </c>
      <c r="F538" s="53" t="n"/>
      <c r="G538" s="61" t="str">
        <f>IF(OR(COUNTA(A538:E538)=0,D538=""),"",IFERROR(INDEX(ca_fam,MATCH(D538,ca_name,0))&amp;"",""))</f>
        <v>Réglage et changement de série</v>
      </c>
      <c r="H538" s="58" t="str">
        <f>IF(OR(COUNTA(A538:E538)=0,D538=""),"",IFERROR(INDEX(ca_type,MATCH(D538,ca_name,0))&amp;"",""))</f>
        <v>Non planifié</v>
      </c>
      <c r="I538" s="58" t="str">
        <f>IF(COUNTA(A538:E538)=0,"",IF(N(A538)&lt;=0,"Date manquante ou invalide",IF(B538="","Équipe manquante",IF(ISNA(MATCH(B538,eq_code,0)),"Équipe inconnue",IF(C538="","Poste manquant",IF(ISNA(MATCH(C538,po_code,0)),"Poste inconnu",IF(D538="","Cause manquante",IF(ISNA(MATCH(D538,ca_name,0)),"Cause inconnue",IF(H538="","Cause à compléter dans Paramètres",IF(OR(NOT(ISNUMBER(E538)),N(E538)&lt;=0,N(E538)&gt;1440),"Durée invalide",IF(COUNTIFS(sj_date,A538,sj_eq,B538,sj_po,C538)=0,"Pas de saisie journalière ce jour-là","OK")))))))))))</f>
        <v>OK</v>
      </c>
      <c r="J538">
        <f>IF(OR(I538="OK",I538="Pas de saisie journalière ce jour-là"),E538,0)</f>
        <v>54.0</v>
      </c>
      <c r="K538">
        <f>IF(AND(J538&gt;0,A538&gt;=p_from,A538&lt;=p_to),1,0)</f>
        <v>1.0</v>
      </c>
      <c r="L538">
        <f>IF(AND(K538=1,OR(pa_po="",C538=pa_po),OR(pa_eq="",B538=pa_eq)),1,0)</f>
        <v>1.0</v>
      </c>
    </row>
    <row r="539">
      <c r="A539" s="51" t="n">
        <v>46330</v>
      </c>
      <c r="B539" s="52" t="inlineStr">
        <is>
          <t>Matin</t>
        </is>
      </c>
      <c r="C539" s="52" t="inlineStr">
        <is>
          <t>TOUR2</t>
        </is>
      </c>
      <c r="D539" s="53" t="inlineStr">
        <is>
          <t>Changement de série</t>
        </is>
      </c>
      <c r="E539" s="60" t="n">
        <v>70</v>
      </c>
      <c r="F539" s="53" t="n"/>
      <c r="G539" s="61" t="str">
        <f>IF(OR(COUNTA(A539:E539)=0,D539=""),"",IFERROR(INDEX(ca_fam,MATCH(D539,ca_name,0))&amp;"",""))</f>
        <v>Réglage et changement de série</v>
      </c>
      <c r="H539" s="58" t="str">
        <f>IF(OR(COUNTA(A539:E539)=0,D539=""),"",IFERROR(INDEX(ca_type,MATCH(D539,ca_name,0))&amp;"",""))</f>
        <v>Non planifié</v>
      </c>
      <c r="I539" s="58" t="str">
        <f>IF(COUNTA(A539:E539)=0,"",IF(N(A539)&lt;=0,"Date manquante ou invalide",IF(B539="","Équipe manquante",IF(ISNA(MATCH(B539,eq_code,0)),"Équipe inconnue",IF(C539="","Poste manquant",IF(ISNA(MATCH(C539,po_code,0)),"Poste inconnu",IF(D539="","Cause manquante",IF(ISNA(MATCH(D539,ca_name,0)),"Cause inconnue",IF(H539="","Cause à compléter dans Paramètres",IF(OR(NOT(ISNUMBER(E539)),N(E539)&lt;=0,N(E539)&gt;1440),"Durée invalide",IF(COUNTIFS(sj_date,A539,sj_eq,B539,sj_po,C539)=0,"Pas de saisie journalière ce jour-là","OK")))))))))))</f>
        <v>OK</v>
      </c>
      <c r="J539">
        <f>IF(OR(I539="OK",I539="Pas de saisie journalière ce jour-là"),E539,0)</f>
        <v>70.0</v>
      </c>
      <c r="K539">
        <f>IF(AND(J539&gt;0,A539&gt;=p_from,A539&lt;=p_to),1,0)</f>
        <v>1.0</v>
      </c>
      <c r="L539">
        <f>IF(AND(K539=1,OR(pa_po="",C539=pa_po),OR(pa_eq="",B539=pa_eq)),1,0)</f>
        <v>1.0</v>
      </c>
    </row>
    <row r="540">
      <c r="A540" s="51" t="n">
        <v>46330</v>
      </c>
      <c r="B540" s="52" t="inlineStr">
        <is>
          <t>Après-midi</t>
        </is>
      </c>
      <c r="C540" s="52" t="inlineStr">
        <is>
          <t>TOUR2</t>
        </is>
      </c>
      <c r="D540" s="53" t="inlineStr">
        <is>
          <t>Attente contrôle qualité</t>
        </is>
      </c>
      <c r="E540" s="60" t="n">
        <v>24</v>
      </c>
      <c r="F540" s="53" t="n"/>
      <c r="G540" s="61" t="str">
        <f>IF(OR(COUNTA(A540:E540)=0,D540=""),"",IFERROR(INDEX(ca_fam,MATCH(D540,ca_name,0))&amp;"",""))</f>
        <v>Qualité</v>
      </c>
      <c r="H540" s="58" t="str">
        <f>IF(OR(COUNTA(A540:E540)=0,D540=""),"",IFERROR(INDEX(ca_type,MATCH(D540,ca_name,0))&amp;"",""))</f>
        <v>Non planifié</v>
      </c>
      <c r="I540" s="58" t="str">
        <f>IF(COUNTA(A540:E540)=0,"",IF(N(A540)&lt;=0,"Date manquante ou invalide",IF(B540="","Équipe manquante",IF(ISNA(MATCH(B540,eq_code,0)),"Équipe inconnue",IF(C540="","Poste manquant",IF(ISNA(MATCH(C540,po_code,0)),"Poste inconnu",IF(D540="","Cause manquante",IF(ISNA(MATCH(D540,ca_name,0)),"Cause inconnue",IF(H540="","Cause à compléter dans Paramètres",IF(OR(NOT(ISNUMBER(E540)),N(E540)&lt;=0,N(E540)&gt;1440),"Durée invalide",IF(COUNTIFS(sj_date,A540,sj_eq,B540,sj_po,C540)=0,"Pas de saisie journalière ce jour-là","OK")))))))))))</f>
        <v>OK</v>
      </c>
      <c r="J540">
        <f>IF(OR(I540="OK",I540="Pas de saisie journalière ce jour-là"),E540,0)</f>
        <v>24.0</v>
      </c>
      <c r="K540">
        <f>IF(AND(J540&gt;0,A540&gt;=p_from,A540&lt;=p_to),1,0)</f>
        <v>1.0</v>
      </c>
      <c r="L540">
        <f>IF(AND(K540=1,OR(pa_po="",C540=pa_po),OR(pa_eq="",B540=pa_eq)),1,0)</f>
        <v>1.0</v>
      </c>
    </row>
    <row r="541">
      <c r="A541" s="51" t="n">
        <v>46330</v>
      </c>
      <c r="B541" s="52" t="inlineStr">
        <is>
          <t>Après-midi</t>
        </is>
      </c>
      <c r="C541" s="52" t="inlineStr">
        <is>
          <t>TOUR2</t>
        </is>
      </c>
      <c r="D541" s="53" t="inlineStr">
        <is>
          <t>Changement de série</t>
        </is>
      </c>
      <c r="E541" s="60" t="n">
        <v>29</v>
      </c>
      <c r="F541" s="53" t="n"/>
      <c r="G541" s="61" t="str">
        <f>IF(OR(COUNTA(A541:E541)=0,D541=""),"",IFERROR(INDEX(ca_fam,MATCH(D541,ca_name,0))&amp;"",""))</f>
        <v>Réglage et changement de série</v>
      </c>
      <c r="H541" s="58" t="str">
        <f>IF(OR(COUNTA(A541:E541)=0,D541=""),"",IFERROR(INDEX(ca_type,MATCH(D541,ca_name,0))&amp;"",""))</f>
        <v>Non planifié</v>
      </c>
      <c r="I541" s="58" t="str">
        <f>IF(COUNTA(A541:E541)=0,"",IF(N(A541)&lt;=0,"Date manquante ou invalide",IF(B541="","Équipe manquante",IF(ISNA(MATCH(B541,eq_code,0)),"Équipe inconnue",IF(C541="","Poste manquant",IF(ISNA(MATCH(C541,po_code,0)),"Poste inconnu",IF(D541="","Cause manquante",IF(ISNA(MATCH(D541,ca_name,0)),"Cause inconnue",IF(H541="","Cause à compléter dans Paramètres",IF(OR(NOT(ISNUMBER(E541)),N(E541)&lt;=0,N(E541)&gt;1440),"Durée invalide",IF(COUNTIFS(sj_date,A541,sj_eq,B541,sj_po,C541)=0,"Pas de saisie journalière ce jour-là","OK")))))))))))</f>
        <v>OK</v>
      </c>
      <c r="J541">
        <f>IF(OR(I541="OK",I541="Pas de saisie journalière ce jour-là"),E541,0)</f>
        <v>29.0</v>
      </c>
      <c r="K541">
        <f>IF(AND(J541&gt;0,A541&gt;=p_from,A541&lt;=p_to),1,0)</f>
        <v>1.0</v>
      </c>
      <c r="L541">
        <f>IF(AND(K541=1,OR(pa_po="",C541=pa_po),OR(pa_eq="",B541=pa_eq)),1,0)</f>
        <v>1.0</v>
      </c>
    </row>
    <row r="542">
      <c r="A542" s="51" t="n">
        <v>46330</v>
      </c>
      <c r="B542" s="52" t="inlineStr">
        <is>
          <t>Matin</t>
        </is>
      </c>
      <c r="C542" s="52" t="inlineStr">
        <is>
          <t>USIN</t>
        </is>
      </c>
      <c r="D542" s="53" t="inlineStr">
        <is>
          <t>Changement d'outil</t>
        </is>
      </c>
      <c r="E542" s="60" t="n">
        <v>18</v>
      </c>
      <c r="F542" s="53" t="n"/>
      <c r="G542" s="61" t="str">
        <f>IF(OR(COUNTA(A542:E542)=0,D542=""),"",IFERROR(INDEX(ca_fam,MATCH(D542,ca_name,0))&amp;"",""))</f>
        <v>Réglage et changement de série</v>
      </c>
      <c r="H542" s="58" t="str">
        <f>IF(OR(COUNTA(A542:E542)=0,D542=""),"",IFERROR(INDEX(ca_type,MATCH(D542,ca_name,0))&amp;"",""))</f>
        <v>Non planifié</v>
      </c>
      <c r="I542" s="58" t="str">
        <f>IF(COUNTA(A542:E542)=0,"",IF(N(A542)&lt;=0,"Date manquante ou invalide",IF(B542="","Équipe manquante",IF(ISNA(MATCH(B542,eq_code,0)),"Équipe inconnue",IF(C542="","Poste manquant",IF(ISNA(MATCH(C542,po_code,0)),"Poste inconnu",IF(D542="","Cause manquante",IF(ISNA(MATCH(D542,ca_name,0)),"Cause inconnue",IF(H542="","Cause à compléter dans Paramètres",IF(OR(NOT(ISNUMBER(E542)),N(E542)&lt;=0,N(E542)&gt;1440),"Durée invalide",IF(COUNTIFS(sj_date,A542,sj_eq,B542,sj_po,C542)=0,"Pas de saisie journalière ce jour-là","OK")))))))))))</f>
        <v>OK</v>
      </c>
      <c r="J542">
        <f>IF(OR(I542="OK",I542="Pas de saisie journalière ce jour-là"),E542,0)</f>
        <v>18.0</v>
      </c>
      <c r="K542">
        <f>IF(AND(J542&gt;0,A542&gt;=p_from,A542&lt;=p_to),1,0)</f>
        <v>1.0</v>
      </c>
      <c r="L542">
        <f>IF(AND(K542=1,OR(pa_po="",C542=pa_po),OR(pa_eq="",B542=pa_eq)),1,0)</f>
        <v>1.0</v>
      </c>
    </row>
    <row r="543">
      <c r="A543" s="51" t="n">
        <v>46330</v>
      </c>
      <c r="B543" s="52" t="inlineStr">
        <is>
          <t>Matin</t>
        </is>
      </c>
      <c r="C543" s="52" t="inlineStr">
        <is>
          <t>PRESSE</t>
        </is>
      </c>
      <c r="D543" s="53" t="inlineStr">
        <is>
          <t>Changement de série</t>
        </is>
      </c>
      <c r="E543" s="60" t="n">
        <v>33</v>
      </c>
      <c r="F543" s="53" t="n"/>
      <c r="G543" s="61" t="str">
        <f>IF(OR(COUNTA(A543:E543)=0,D543=""),"",IFERROR(INDEX(ca_fam,MATCH(D543,ca_name,0))&amp;"",""))</f>
        <v>Réglage et changement de série</v>
      </c>
      <c r="H543" s="58" t="str">
        <f>IF(OR(COUNTA(A543:E543)=0,D543=""),"",IFERROR(INDEX(ca_type,MATCH(D543,ca_name,0))&amp;"",""))</f>
        <v>Non planifié</v>
      </c>
      <c r="I543" s="58" t="str">
        <f>IF(COUNTA(A543:E543)=0,"",IF(N(A543)&lt;=0,"Date manquante ou invalide",IF(B543="","Équipe manquante",IF(ISNA(MATCH(B543,eq_code,0)),"Équipe inconnue",IF(C543="","Poste manquant",IF(ISNA(MATCH(C543,po_code,0)),"Poste inconnu",IF(D543="","Cause manquante",IF(ISNA(MATCH(D543,ca_name,0)),"Cause inconnue",IF(H543="","Cause à compléter dans Paramètres",IF(OR(NOT(ISNUMBER(E543)),N(E543)&lt;=0,N(E543)&gt;1440),"Durée invalide",IF(COUNTIFS(sj_date,A543,sj_eq,B543,sj_po,C543)=0,"Pas de saisie journalière ce jour-là","OK")))))))))))</f>
        <v>OK</v>
      </c>
      <c r="J543">
        <f>IF(OR(I543="OK",I543="Pas de saisie journalière ce jour-là"),E543,0)</f>
        <v>33.0</v>
      </c>
      <c r="K543">
        <f>IF(AND(J543&gt;0,A543&gt;=p_from,A543&lt;=p_to),1,0)</f>
        <v>1.0</v>
      </c>
      <c r="L543">
        <f>IF(AND(K543=1,OR(pa_po="",C543=pa_po),OR(pa_eq="",B543=pa_eq)),1,0)</f>
        <v>1.0</v>
      </c>
    </row>
    <row r="544">
      <c r="A544" s="51" t="n">
        <v>46330</v>
      </c>
      <c r="B544" s="52" t="inlineStr">
        <is>
          <t>Journée</t>
        </is>
      </c>
      <c r="C544" s="52" t="inlineStr">
        <is>
          <t>PLIE</t>
        </is>
      </c>
      <c r="D544" s="53" t="inlineStr">
        <is>
          <t>Changement de série</t>
        </is>
      </c>
      <c r="E544" s="60" t="n">
        <v>44</v>
      </c>
      <c r="F544" s="53" t="n"/>
      <c r="G544" s="61" t="str">
        <f>IF(OR(COUNTA(A544:E544)=0,D544=""),"",IFERROR(INDEX(ca_fam,MATCH(D544,ca_name,0))&amp;"",""))</f>
        <v>Réglage et changement de série</v>
      </c>
      <c r="H544" s="58" t="str">
        <f>IF(OR(COUNTA(A544:E544)=0,D544=""),"",IFERROR(INDEX(ca_type,MATCH(D544,ca_name,0))&amp;"",""))</f>
        <v>Non planifié</v>
      </c>
      <c r="I544" s="58" t="str">
        <f>IF(COUNTA(A544:E544)=0,"",IF(N(A544)&lt;=0,"Date manquante ou invalide",IF(B544="","Équipe manquante",IF(ISNA(MATCH(B544,eq_code,0)),"Équipe inconnue",IF(C544="","Poste manquant",IF(ISNA(MATCH(C544,po_code,0)),"Poste inconnu",IF(D544="","Cause manquante",IF(ISNA(MATCH(D544,ca_name,0)),"Cause inconnue",IF(H544="","Cause à compléter dans Paramètres",IF(OR(NOT(ISNUMBER(E544)),N(E544)&lt;=0,N(E544)&gt;1440),"Durée invalide",IF(COUNTIFS(sj_date,A544,sj_eq,B544,sj_po,C544)=0,"Pas de saisie journalière ce jour-là","OK")))))))))))</f>
        <v>OK</v>
      </c>
      <c r="J544">
        <f>IF(OR(I544="OK",I544="Pas de saisie journalière ce jour-là"),E544,0)</f>
        <v>44.0</v>
      </c>
      <c r="K544">
        <f>IF(AND(J544&gt;0,A544&gt;=p_from,A544&lt;=p_to),1,0)</f>
        <v>1.0</v>
      </c>
      <c r="L544">
        <f>IF(AND(K544=1,OR(pa_po="",C544=pa_po),OR(pa_eq="",B544=pa_eq)),1,0)</f>
        <v>1.0</v>
      </c>
    </row>
    <row r="545">
      <c r="A545" s="51" t="n">
        <v>46330</v>
      </c>
      <c r="B545" s="52" t="inlineStr">
        <is>
          <t>Matin</t>
        </is>
      </c>
      <c r="C545" s="52" t="inlineStr">
        <is>
          <t>SOUD</t>
        </is>
      </c>
      <c r="D545" s="53" t="inlineStr">
        <is>
          <t>Réglage en cours de production</t>
        </is>
      </c>
      <c r="E545" s="60" t="n">
        <v>5</v>
      </c>
      <c r="F545" s="53" t="n"/>
      <c r="G545" s="61" t="str">
        <f>IF(OR(COUNTA(A545:E545)=0,D545=""),"",IFERROR(INDEX(ca_fam,MATCH(D545,ca_name,0))&amp;"",""))</f>
        <v>Réglage et changement de série</v>
      </c>
      <c r="H545" s="58" t="str">
        <f>IF(OR(COUNTA(A545:E545)=0,D545=""),"",IFERROR(INDEX(ca_type,MATCH(D545,ca_name,0))&amp;"",""))</f>
        <v>Non planifié</v>
      </c>
      <c r="I545" s="58" t="str">
        <f>IF(COUNTA(A545:E545)=0,"",IF(N(A545)&lt;=0,"Date manquante ou invalide",IF(B545="","Équipe manquante",IF(ISNA(MATCH(B545,eq_code,0)),"Équipe inconnue",IF(C545="","Poste manquant",IF(ISNA(MATCH(C545,po_code,0)),"Poste inconnu",IF(D545="","Cause manquante",IF(ISNA(MATCH(D545,ca_name,0)),"Cause inconnue",IF(H545="","Cause à compléter dans Paramètres",IF(OR(NOT(ISNUMBER(E545)),N(E545)&lt;=0,N(E545)&gt;1440),"Durée invalide",IF(COUNTIFS(sj_date,A545,sj_eq,B545,sj_po,C545)=0,"Pas de saisie journalière ce jour-là","OK")))))))))))</f>
        <v>OK</v>
      </c>
      <c r="J545">
        <f>IF(OR(I545="OK",I545="Pas de saisie journalière ce jour-là"),E545,0)</f>
        <v>5.0</v>
      </c>
      <c r="K545">
        <f>IF(AND(J545&gt;0,A545&gt;=p_from,A545&lt;=p_to),1,0)</f>
        <v>1.0</v>
      </c>
      <c r="L545">
        <f>IF(AND(K545=1,OR(pa_po="",C545=pa_po),OR(pa_eq="",B545=pa_eq)),1,0)</f>
        <v>1.0</v>
      </c>
    </row>
    <row r="546">
      <c r="A546" s="51" t="n">
        <v>46330</v>
      </c>
      <c r="B546" s="52" t="inlineStr">
        <is>
          <t>Après-midi</t>
        </is>
      </c>
      <c r="C546" s="52" t="inlineStr">
        <is>
          <t>SOUD</t>
        </is>
      </c>
      <c r="D546" s="53" t="inlineStr">
        <is>
          <t>Changement de série</t>
        </is>
      </c>
      <c r="E546" s="60" t="n">
        <v>27</v>
      </c>
      <c r="F546" s="53" t="n"/>
      <c r="G546" s="61" t="str">
        <f>IF(OR(COUNTA(A546:E546)=0,D546=""),"",IFERROR(INDEX(ca_fam,MATCH(D546,ca_name,0))&amp;"",""))</f>
        <v>Réglage et changement de série</v>
      </c>
      <c r="H546" s="58" t="str">
        <f>IF(OR(COUNTA(A546:E546)=0,D546=""),"",IFERROR(INDEX(ca_type,MATCH(D546,ca_name,0))&amp;"",""))</f>
        <v>Non planifié</v>
      </c>
      <c r="I546" s="58" t="str">
        <f>IF(COUNTA(A546:E546)=0,"",IF(N(A546)&lt;=0,"Date manquante ou invalide",IF(B546="","Équipe manquante",IF(ISNA(MATCH(B546,eq_code,0)),"Équipe inconnue",IF(C546="","Poste manquant",IF(ISNA(MATCH(C546,po_code,0)),"Poste inconnu",IF(D546="","Cause manquante",IF(ISNA(MATCH(D546,ca_name,0)),"Cause inconnue",IF(H546="","Cause à compléter dans Paramètres",IF(OR(NOT(ISNUMBER(E546)),N(E546)&lt;=0,N(E546)&gt;1440),"Durée invalide",IF(COUNTIFS(sj_date,A546,sj_eq,B546,sj_po,C546)=0,"Pas de saisie journalière ce jour-là","OK")))))))))))</f>
        <v>OK</v>
      </c>
      <c r="J546">
        <f>IF(OR(I546="OK",I546="Pas de saisie journalière ce jour-là"),E546,0)</f>
        <v>27.0</v>
      </c>
      <c r="K546">
        <f>IF(AND(J546&gt;0,A546&gt;=p_from,A546&lt;=p_to),1,0)</f>
        <v>1.0</v>
      </c>
      <c r="L546">
        <f>IF(AND(K546=1,OR(pa_po="",C546=pa_po),OR(pa_eq="",B546=pa_eq)),1,0)</f>
        <v>1.0</v>
      </c>
    </row>
    <row r="547">
      <c r="A547" s="51" t="n">
        <v>46330</v>
      </c>
      <c r="B547" s="52" t="inlineStr">
        <is>
          <t>Après-midi</t>
        </is>
      </c>
      <c r="C547" s="52" t="inlineStr">
        <is>
          <t>SOUD</t>
        </is>
      </c>
      <c r="D547" s="53" t="inlineStr">
        <is>
          <t>Réglage en cours de production</t>
        </is>
      </c>
      <c r="E547" s="60" t="n">
        <v>16</v>
      </c>
      <c r="F547" s="53" t="n"/>
      <c r="G547" s="61" t="str">
        <f>IF(OR(COUNTA(A547:E547)=0,D547=""),"",IFERROR(INDEX(ca_fam,MATCH(D547,ca_name,0))&amp;"",""))</f>
        <v>Réglage et changement de série</v>
      </c>
      <c r="H547" s="58" t="str">
        <f>IF(OR(COUNTA(A547:E547)=0,D547=""),"",IFERROR(INDEX(ca_type,MATCH(D547,ca_name,0))&amp;"",""))</f>
        <v>Non planifié</v>
      </c>
      <c r="I547" s="58" t="str">
        <f>IF(COUNTA(A547:E547)=0,"",IF(N(A547)&lt;=0,"Date manquante ou invalide",IF(B547="","Équipe manquante",IF(ISNA(MATCH(B547,eq_code,0)),"Équipe inconnue",IF(C547="","Poste manquant",IF(ISNA(MATCH(C547,po_code,0)),"Poste inconnu",IF(D547="","Cause manquante",IF(ISNA(MATCH(D547,ca_name,0)),"Cause inconnue",IF(H547="","Cause à compléter dans Paramètres",IF(OR(NOT(ISNUMBER(E547)),N(E547)&lt;=0,N(E547)&gt;1440),"Durée invalide",IF(COUNTIFS(sj_date,A547,sj_eq,B547,sj_po,C547)=0,"Pas de saisie journalière ce jour-là","OK")))))))))))</f>
        <v>OK</v>
      </c>
      <c r="J547">
        <f>IF(OR(I547="OK",I547="Pas de saisie journalière ce jour-là"),E547,0)</f>
        <v>16.0</v>
      </c>
      <c r="K547">
        <f>IF(AND(J547&gt;0,A547&gt;=p_from,A547&lt;=p_to),1,0)</f>
        <v>1.0</v>
      </c>
      <c r="L547">
        <f>IF(AND(K547=1,OR(pa_po="",C547=pa_po),OR(pa_eq="",B547=pa_eq)),1,0)</f>
        <v>1.0</v>
      </c>
    </row>
    <row r="548">
      <c r="A548" s="51" t="n">
        <v>46309</v>
      </c>
      <c r="B548" s="52" t="inlineStr">
        <is>
          <t>Après-midi</t>
        </is>
      </c>
      <c r="C548" s="52" t="inlineStr">
        <is>
          <t>SOUD</t>
        </is>
      </c>
      <c r="D548" s="53" t="inlineStr">
        <is>
          <t>Panne électrique</t>
        </is>
      </c>
      <c r="E548" s="60" t="n">
        <v>450</v>
      </c>
      <c r="F548" s="53" t="inlineStr">
        <is>
          <t>Carte d'axe du robot HS, remplacée le lendemain</t>
        </is>
      </c>
      <c r="G548" s="61" t="str">
        <f>IF(OR(COUNTA(A548:E548)=0,D548=""),"",IFERROR(INDEX(ca_fam,MATCH(D548,ca_name,0))&amp;"",""))</f>
        <v>Panne</v>
      </c>
      <c r="H548" s="58" t="str">
        <f>IF(OR(COUNTA(A548:E548)=0,D548=""),"",IFERROR(INDEX(ca_type,MATCH(D548,ca_name,0))&amp;"",""))</f>
        <v>Non planifié</v>
      </c>
      <c r="I548" s="58" t="str">
        <f>IF(COUNTA(A548:E548)=0,"",IF(N(A548)&lt;=0,"Date manquante ou invalide",IF(B548="","Équipe manquante",IF(ISNA(MATCH(B548,eq_code,0)),"Équipe inconnue",IF(C548="","Poste manquant",IF(ISNA(MATCH(C548,po_code,0)),"Poste inconnu",IF(D548="","Cause manquante",IF(ISNA(MATCH(D548,ca_name,0)),"Cause inconnue",IF(H548="","Cause à compléter dans Paramètres",IF(OR(NOT(ISNUMBER(E548)),N(E548)&lt;=0,N(E548)&gt;1440),"Durée invalide",IF(COUNTIFS(sj_date,A548,sj_eq,B548,sj_po,C548)=0,"Pas de saisie journalière ce jour-là","OK")))))))))))</f>
        <v>OK</v>
      </c>
      <c r="J548">
        <f>IF(OR(I548="OK",I548="Pas de saisie journalière ce jour-là"),E548,0)</f>
        <v>450.0</v>
      </c>
      <c r="K548">
        <f>IF(AND(J548&gt;0,A548&gt;=p_from,A548&lt;=p_to),1,0)</f>
        <v>1.0</v>
      </c>
      <c r="L548">
        <f>IF(AND(K548=1,OR(pa_po="",C548=pa_po),OR(pa_eq="",B548=pa_eq)),1,0)</f>
        <v>1.0</v>
      </c>
    </row>
    <row r="549">
      <c r="A549" s="51" t="n">
        <v>46317</v>
      </c>
      <c r="B549" s="52" t="inlineStr">
        <is>
          <t>Matin</t>
        </is>
      </c>
      <c r="C549" s="52" t="inlineStr">
        <is>
          <t>USIN</t>
        </is>
      </c>
      <c r="D549" s="53" t="inlineStr">
        <is>
          <t>Arrêt pour non-conformité</t>
        </is>
      </c>
      <c r="E549" s="60" t="n">
        <v>35</v>
      </c>
      <c r="F549" s="53" t="inlineStr">
        <is>
          <t>Blocage du lot</t>
        </is>
      </c>
      <c r="G549" s="61" t="str">
        <f>IF(OR(COUNTA(A549:E549)=0,D549=""),"",IFERROR(INDEX(ca_fam,MATCH(D549,ca_name,0))&amp;"",""))</f>
        <v>Qualité</v>
      </c>
      <c r="H549" s="58" t="str">
        <f>IF(OR(COUNTA(A549:E549)=0,D549=""),"",IFERROR(INDEX(ca_type,MATCH(D549,ca_name,0))&amp;"",""))</f>
        <v>Non planifié</v>
      </c>
      <c r="I549" s="58" t="str">
        <f>IF(COUNTA(A549:E549)=0,"",IF(N(A549)&lt;=0,"Date manquante ou invalide",IF(B549="","Équipe manquante",IF(ISNA(MATCH(B549,eq_code,0)),"Équipe inconnue",IF(C549="","Poste manquant",IF(ISNA(MATCH(C549,po_code,0)),"Poste inconnu",IF(D549="","Cause manquante",IF(ISNA(MATCH(D549,ca_name,0)),"Cause inconnue",IF(H549="","Cause à compléter dans Paramètres",IF(OR(NOT(ISNUMBER(E549)),N(E549)&lt;=0,N(E549)&gt;1440),"Durée invalide",IF(COUNTIFS(sj_date,A549,sj_eq,B549,sj_po,C549)=0,"Pas de saisie journalière ce jour-là","OK")))))))))))</f>
        <v>OK</v>
      </c>
      <c r="J549">
        <f>IF(OR(I549="OK",I549="Pas de saisie journalière ce jour-là"),E549,0)</f>
        <v>35.0</v>
      </c>
      <c r="K549">
        <f>IF(AND(J549&gt;0,A549&gt;=p_from,A549&lt;=p_to),1,0)</f>
        <v>1.0</v>
      </c>
      <c r="L549">
        <f>IF(AND(K549=1,OR(pa_po="",C549=pa_po),OR(pa_eq="",B549=pa_eq)),1,0)</f>
        <v>1.0</v>
      </c>
    </row>
    <row r="550">
      <c r="A550" s="51" t="n">
        <v>46312</v>
      </c>
      <c r="B550" s="52" t="inlineStr">
        <is>
          <t>Matin</t>
        </is>
      </c>
      <c r="C550" s="52" t="inlineStr">
        <is>
          <t>USIN</t>
        </is>
      </c>
      <c r="D550" s="53" t="inlineStr">
        <is>
          <t>Maintenance préventive</t>
        </is>
      </c>
      <c r="E550" s="60" t="n">
        <v>240</v>
      </c>
      <c r="F550" s="53" t="inlineStr">
        <is>
          <t>Révision broche</t>
        </is>
      </c>
      <c r="G550" s="61" t="str">
        <f>IF(OR(COUNTA(A550:E550)=0,D550=""),"",IFERROR(INDEX(ca_fam,MATCH(D550,ca_name,0))&amp;"",""))</f>
        <v>Arrêt planifié</v>
      </c>
      <c r="H550" s="58" t="str">
        <f>IF(OR(COUNTA(A550:E550)=0,D550=""),"",IFERROR(INDEX(ca_type,MATCH(D550,ca_name,0))&amp;"",""))</f>
        <v>Planifié</v>
      </c>
      <c r="I550" s="58" t="str">
        <f>IF(COUNTA(A550:E550)=0,"",IF(N(A550)&lt;=0,"Date manquante ou invalide",IF(B550="","Équipe manquante",IF(ISNA(MATCH(B550,eq_code,0)),"Équipe inconnue",IF(C550="","Poste manquant",IF(ISNA(MATCH(C550,po_code,0)),"Poste inconnu",IF(D550="","Cause manquante",IF(ISNA(MATCH(D550,ca_name,0)),"Cause inconnue",IF(H550="","Cause à compléter dans Paramètres",IF(OR(NOT(ISNUMBER(E550)),N(E550)&lt;=0,N(E550)&gt;1440),"Durée invalide",IF(COUNTIFS(sj_date,A550,sj_eq,B550,sj_po,C550)=0,"Pas de saisie journalière ce jour-là","OK")))))))))))</f>
        <v>Pas de saisie journalière ce jour-là</v>
      </c>
      <c r="J550">
        <f>IF(OR(I550="OK",I550="Pas de saisie journalière ce jour-là"),E550,0)</f>
        <v>240.0</v>
      </c>
      <c r="K550">
        <f>IF(AND(J550&gt;0,A550&gt;=p_from,A550&lt;=p_to),1,0)</f>
        <v>1.0</v>
      </c>
      <c r="L550">
        <f>IF(AND(K550=1,OR(pa_po="",C550=pa_po),OR(pa_eq="",B550=pa_eq)),1,0)</f>
        <v>1.0</v>
      </c>
    </row>
    <row r="551">
      <c r="A551" s="51" t="n"/>
      <c r="B551" s="52" t="n"/>
      <c r="C551" s="52" t="n"/>
      <c r="D551" s="53" t="n"/>
      <c r="E551" s="60" t="n"/>
      <c r="F551" s="53" t="n"/>
      <c r="G551" s="61" t="str">
        <f>IF(OR(COUNTA(A551:E551)=0,D551=""),"",IFERROR(INDEX(ca_fam,MATCH(D551,ca_name,0))&amp;"",""))</f>
        <v/>
      </c>
      <c r="H551" s="58" t="str">
        <f>IF(OR(COUNTA(A551:E551)=0,D551=""),"",IFERROR(INDEX(ca_type,MATCH(D551,ca_name,0))&amp;"",""))</f>
        <v/>
      </c>
      <c r="I551" s="58" t="str">
        <f>IF(COUNTA(A551:E551)=0,"",IF(N(A551)&lt;=0,"Date manquante ou invalide",IF(B551="","Équipe manquante",IF(ISNA(MATCH(B551,eq_code,0)),"Équipe inconnue",IF(C551="","Poste manquant",IF(ISNA(MATCH(C551,po_code,0)),"Poste inconnu",IF(D551="","Cause manquante",IF(ISNA(MATCH(D551,ca_name,0)),"Cause inconnue",IF(H551="","Cause à compléter dans Paramètres",IF(OR(NOT(ISNUMBER(E551)),N(E551)&lt;=0,N(E551)&gt;1440),"Durée invalide",IF(COUNTIFS(sj_date,A551,sj_eq,B551,sj_po,C551)=0,"Pas de saisie journalière ce jour-là","OK")))))))))))</f>
        <v/>
      </c>
      <c r="J551">
        <f>IF(OR(I551="OK",I551="Pas de saisie journalière ce jour-là"),E551,0)</f>
        <v>0.0</v>
      </c>
      <c r="K551">
        <f>IF(AND(J551&gt;0,A551&gt;=p_from,A551&lt;=p_to),1,0)</f>
        <v>0.0</v>
      </c>
      <c r="L551">
        <f>IF(AND(K551=1,OR(pa_po="",C551=pa_po),OR(pa_eq="",B551=pa_eq)),1,0)</f>
        <v>0.0</v>
      </c>
    </row>
    <row r="552">
      <c r="A552" s="51" t="n"/>
      <c r="B552" s="52" t="n"/>
      <c r="C552" s="52" t="n"/>
      <c r="D552" s="53" t="n"/>
      <c r="E552" s="60" t="n"/>
      <c r="F552" s="53" t="n"/>
      <c r="G552" s="61" t="str">
        <f>IF(OR(COUNTA(A552:E552)=0,D552=""),"",IFERROR(INDEX(ca_fam,MATCH(D552,ca_name,0))&amp;"",""))</f>
        <v/>
      </c>
      <c r="H552" s="58" t="str">
        <f>IF(OR(COUNTA(A552:E552)=0,D552=""),"",IFERROR(INDEX(ca_type,MATCH(D552,ca_name,0))&amp;"",""))</f>
        <v/>
      </c>
      <c r="I552" s="58" t="str">
        <f>IF(COUNTA(A552:E552)=0,"",IF(N(A552)&lt;=0,"Date manquante ou invalide",IF(B552="","Équipe manquante",IF(ISNA(MATCH(B552,eq_code,0)),"Équipe inconnue",IF(C552="","Poste manquant",IF(ISNA(MATCH(C552,po_code,0)),"Poste inconnu",IF(D552="","Cause manquante",IF(ISNA(MATCH(D552,ca_name,0)),"Cause inconnue",IF(H552="","Cause à compléter dans Paramètres",IF(OR(NOT(ISNUMBER(E552)),N(E552)&lt;=0,N(E552)&gt;1440),"Durée invalide",IF(COUNTIFS(sj_date,A552,sj_eq,B552,sj_po,C552)=0,"Pas de saisie journalière ce jour-là","OK")))))))))))</f>
        <v/>
      </c>
      <c r="J552">
        <f>IF(OR(I552="OK",I552="Pas de saisie journalière ce jour-là"),E552,0)</f>
        <v>0.0</v>
      </c>
      <c r="K552">
        <f>IF(AND(J552&gt;0,A552&gt;=p_from,A552&lt;=p_to),1,0)</f>
        <v>0.0</v>
      </c>
      <c r="L552">
        <f>IF(AND(K552=1,OR(pa_po="",C552=pa_po),OR(pa_eq="",B552=pa_eq)),1,0)</f>
        <v>0.0</v>
      </c>
    </row>
    <row r="553">
      <c r="A553" s="51" t="n"/>
      <c r="B553" s="52" t="n"/>
      <c r="C553" s="52" t="n"/>
      <c r="D553" s="53" t="n"/>
      <c r="E553" s="60" t="n"/>
      <c r="F553" s="53" t="n"/>
      <c r="G553" s="61" t="str">
        <f>IF(OR(COUNTA(A553:E553)=0,D553=""),"",IFERROR(INDEX(ca_fam,MATCH(D553,ca_name,0))&amp;"",""))</f>
        <v/>
      </c>
      <c r="H553" s="58" t="str">
        <f>IF(OR(COUNTA(A553:E553)=0,D553=""),"",IFERROR(INDEX(ca_type,MATCH(D553,ca_name,0))&amp;"",""))</f>
        <v/>
      </c>
      <c r="I553" s="58" t="str">
        <f>IF(COUNTA(A553:E553)=0,"",IF(N(A553)&lt;=0,"Date manquante ou invalide",IF(B553="","Équipe manquante",IF(ISNA(MATCH(B553,eq_code,0)),"Équipe inconnue",IF(C553="","Poste manquant",IF(ISNA(MATCH(C553,po_code,0)),"Poste inconnu",IF(D553="","Cause manquante",IF(ISNA(MATCH(D553,ca_name,0)),"Cause inconnue",IF(H553="","Cause à compléter dans Paramètres",IF(OR(NOT(ISNUMBER(E553)),N(E553)&lt;=0,N(E553)&gt;1440),"Durée invalide",IF(COUNTIFS(sj_date,A553,sj_eq,B553,sj_po,C553)=0,"Pas de saisie journalière ce jour-là","OK")))))))))))</f>
        <v/>
      </c>
      <c r="J553">
        <f>IF(OR(I553="OK",I553="Pas de saisie journalière ce jour-là"),E553,0)</f>
        <v>0.0</v>
      </c>
      <c r="K553">
        <f>IF(AND(J553&gt;0,A553&gt;=p_from,A553&lt;=p_to),1,0)</f>
        <v>0.0</v>
      </c>
      <c r="L553">
        <f>IF(AND(K553=1,OR(pa_po="",C553=pa_po),OR(pa_eq="",B553=pa_eq)),1,0)</f>
        <v>0.0</v>
      </c>
    </row>
    <row r="554">
      <c r="A554" s="51" t="n"/>
      <c r="B554" s="52" t="n"/>
      <c r="C554" s="52" t="n"/>
      <c r="D554" s="53" t="n"/>
      <c r="E554" s="60" t="n"/>
      <c r="F554" s="53" t="n"/>
      <c r="G554" s="61" t="str">
        <f>IF(OR(COUNTA(A554:E554)=0,D554=""),"",IFERROR(INDEX(ca_fam,MATCH(D554,ca_name,0))&amp;"",""))</f>
        <v/>
      </c>
      <c r="H554" s="58" t="str">
        <f>IF(OR(COUNTA(A554:E554)=0,D554=""),"",IFERROR(INDEX(ca_type,MATCH(D554,ca_name,0))&amp;"",""))</f>
        <v/>
      </c>
      <c r="I554" s="58" t="str">
        <f>IF(COUNTA(A554:E554)=0,"",IF(N(A554)&lt;=0,"Date manquante ou invalide",IF(B554="","Équipe manquante",IF(ISNA(MATCH(B554,eq_code,0)),"Équipe inconnue",IF(C554="","Poste manquant",IF(ISNA(MATCH(C554,po_code,0)),"Poste inconnu",IF(D554="","Cause manquante",IF(ISNA(MATCH(D554,ca_name,0)),"Cause inconnue",IF(H554="","Cause à compléter dans Paramètres",IF(OR(NOT(ISNUMBER(E554)),N(E554)&lt;=0,N(E554)&gt;1440),"Durée invalide",IF(COUNTIFS(sj_date,A554,sj_eq,B554,sj_po,C554)=0,"Pas de saisie journalière ce jour-là","OK")))))))))))</f>
        <v/>
      </c>
      <c r="J554">
        <f>IF(OR(I554="OK",I554="Pas de saisie journalière ce jour-là"),E554,0)</f>
        <v>0.0</v>
      </c>
      <c r="K554">
        <f>IF(AND(J554&gt;0,A554&gt;=p_from,A554&lt;=p_to),1,0)</f>
        <v>0.0</v>
      </c>
      <c r="L554">
        <f>IF(AND(K554=1,OR(pa_po="",C554=pa_po),OR(pa_eq="",B554=pa_eq)),1,0)</f>
        <v>0.0</v>
      </c>
    </row>
    <row r="555">
      <c r="A555" s="51" t="n"/>
      <c r="B555" s="52" t="n"/>
      <c r="C555" s="52" t="n"/>
      <c r="D555" s="53" t="n"/>
      <c r="E555" s="60" t="n"/>
      <c r="F555" s="53" t="n"/>
      <c r="G555" s="61" t="str">
        <f>IF(OR(COUNTA(A555:E555)=0,D555=""),"",IFERROR(INDEX(ca_fam,MATCH(D555,ca_name,0))&amp;"",""))</f>
        <v/>
      </c>
      <c r="H555" s="58" t="str">
        <f>IF(OR(COUNTA(A555:E555)=0,D555=""),"",IFERROR(INDEX(ca_type,MATCH(D555,ca_name,0))&amp;"",""))</f>
        <v/>
      </c>
      <c r="I555" s="58" t="str">
        <f>IF(COUNTA(A555:E555)=0,"",IF(N(A555)&lt;=0,"Date manquante ou invalide",IF(B555="","Équipe manquante",IF(ISNA(MATCH(B555,eq_code,0)),"Équipe inconnue",IF(C555="","Poste manquant",IF(ISNA(MATCH(C555,po_code,0)),"Poste inconnu",IF(D555="","Cause manquante",IF(ISNA(MATCH(D555,ca_name,0)),"Cause inconnue",IF(H555="","Cause à compléter dans Paramètres",IF(OR(NOT(ISNUMBER(E555)),N(E555)&lt;=0,N(E555)&gt;1440),"Durée invalide",IF(COUNTIFS(sj_date,A555,sj_eq,B555,sj_po,C555)=0,"Pas de saisie journalière ce jour-là","OK")))))))))))</f>
        <v/>
      </c>
      <c r="J555">
        <f>IF(OR(I555="OK",I555="Pas de saisie journalière ce jour-là"),E555,0)</f>
        <v>0.0</v>
      </c>
      <c r="K555">
        <f>IF(AND(J555&gt;0,A555&gt;=p_from,A555&lt;=p_to),1,0)</f>
        <v>0.0</v>
      </c>
      <c r="L555">
        <f>IF(AND(K555=1,OR(pa_po="",C555=pa_po),OR(pa_eq="",B555=pa_eq)),1,0)</f>
        <v>0.0</v>
      </c>
    </row>
    <row r="556">
      <c r="A556" s="51" t="n"/>
      <c r="B556" s="52" t="n"/>
      <c r="C556" s="52" t="n"/>
      <c r="D556" s="53" t="n"/>
      <c r="E556" s="60" t="n"/>
      <c r="F556" s="53" t="n"/>
      <c r="G556" s="61" t="str">
        <f>IF(OR(COUNTA(A556:E556)=0,D556=""),"",IFERROR(INDEX(ca_fam,MATCH(D556,ca_name,0))&amp;"",""))</f>
        <v/>
      </c>
      <c r="H556" s="58" t="str">
        <f>IF(OR(COUNTA(A556:E556)=0,D556=""),"",IFERROR(INDEX(ca_type,MATCH(D556,ca_name,0))&amp;"",""))</f>
        <v/>
      </c>
      <c r="I556" s="58" t="str">
        <f>IF(COUNTA(A556:E556)=0,"",IF(N(A556)&lt;=0,"Date manquante ou invalide",IF(B556="","Équipe manquante",IF(ISNA(MATCH(B556,eq_code,0)),"Équipe inconnue",IF(C556="","Poste manquant",IF(ISNA(MATCH(C556,po_code,0)),"Poste inconnu",IF(D556="","Cause manquante",IF(ISNA(MATCH(D556,ca_name,0)),"Cause inconnue",IF(H556="","Cause à compléter dans Paramètres",IF(OR(NOT(ISNUMBER(E556)),N(E556)&lt;=0,N(E556)&gt;1440),"Durée invalide",IF(COUNTIFS(sj_date,A556,sj_eq,B556,sj_po,C556)=0,"Pas de saisie journalière ce jour-là","OK")))))))))))</f>
        <v/>
      </c>
      <c r="J556">
        <f>IF(OR(I556="OK",I556="Pas de saisie journalière ce jour-là"),E556,0)</f>
        <v>0.0</v>
      </c>
      <c r="K556">
        <f>IF(AND(J556&gt;0,A556&gt;=p_from,A556&lt;=p_to),1,0)</f>
        <v>0.0</v>
      </c>
      <c r="L556">
        <f>IF(AND(K556=1,OR(pa_po="",C556=pa_po),OR(pa_eq="",B556=pa_eq)),1,0)</f>
        <v>0.0</v>
      </c>
    </row>
    <row r="557">
      <c r="A557" s="51" t="n"/>
      <c r="B557" s="52" t="n"/>
      <c r="C557" s="52" t="n"/>
      <c r="D557" s="53" t="n"/>
      <c r="E557" s="60" t="n"/>
      <c r="F557" s="53" t="n"/>
      <c r="G557" s="61" t="str">
        <f>IF(OR(COUNTA(A557:E557)=0,D557=""),"",IFERROR(INDEX(ca_fam,MATCH(D557,ca_name,0))&amp;"",""))</f>
        <v/>
      </c>
      <c r="H557" s="58" t="str">
        <f>IF(OR(COUNTA(A557:E557)=0,D557=""),"",IFERROR(INDEX(ca_type,MATCH(D557,ca_name,0))&amp;"",""))</f>
        <v/>
      </c>
      <c r="I557" s="58" t="str">
        <f>IF(COUNTA(A557:E557)=0,"",IF(N(A557)&lt;=0,"Date manquante ou invalide",IF(B557="","Équipe manquante",IF(ISNA(MATCH(B557,eq_code,0)),"Équipe inconnue",IF(C557="","Poste manquant",IF(ISNA(MATCH(C557,po_code,0)),"Poste inconnu",IF(D557="","Cause manquante",IF(ISNA(MATCH(D557,ca_name,0)),"Cause inconnue",IF(H557="","Cause à compléter dans Paramètres",IF(OR(NOT(ISNUMBER(E557)),N(E557)&lt;=0,N(E557)&gt;1440),"Durée invalide",IF(COUNTIFS(sj_date,A557,sj_eq,B557,sj_po,C557)=0,"Pas de saisie journalière ce jour-là","OK")))))))))))</f>
        <v/>
      </c>
      <c r="J557">
        <f>IF(OR(I557="OK",I557="Pas de saisie journalière ce jour-là"),E557,0)</f>
        <v>0.0</v>
      </c>
      <c r="K557">
        <f>IF(AND(J557&gt;0,A557&gt;=p_from,A557&lt;=p_to),1,0)</f>
        <v>0.0</v>
      </c>
      <c r="L557">
        <f>IF(AND(K557=1,OR(pa_po="",C557=pa_po),OR(pa_eq="",B557=pa_eq)),1,0)</f>
        <v>0.0</v>
      </c>
    </row>
    <row r="558">
      <c r="A558" s="51" t="n"/>
      <c r="B558" s="52" t="n"/>
      <c r="C558" s="52" t="n"/>
      <c r="D558" s="53" t="n"/>
      <c r="E558" s="60" t="n"/>
      <c r="F558" s="53" t="n"/>
      <c r="G558" s="61" t="str">
        <f>IF(OR(COUNTA(A558:E558)=0,D558=""),"",IFERROR(INDEX(ca_fam,MATCH(D558,ca_name,0))&amp;"",""))</f>
        <v/>
      </c>
      <c r="H558" s="58" t="str">
        <f>IF(OR(COUNTA(A558:E558)=0,D558=""),"",IFERROR(INDEX(ca_type,MATCH(D558,ca_name,0))&amp;"",""))</f>
        <v/>
      </c>
      <c r="I558" s="58" t="str">
        <f>IF(COUNTA(A558:E558)=0,"",IF(N(A558)&lt;=0,"Date manquante ou invalide",IF(B558="","Équipe manquante",IF(ISNA(MATCH(B558,eq_code,0)),"Équipe inconnue",IF(C558="","Poste manquant",IF(ISNA(MATCH(C558,po_code,0)),"Poste inconnu",IF(D558="","Cause manquante",IF(ISNA(MATCH(D558,ca_name,0)),"Cause inconnue",IF(H558="","Cause à compléter dans Paramètres",IF(OR(NOT(ISNUMBER(E558)),N(E558)&lt;=0,N(E558)&gt;1440),"Durée invalide",IF(COUNTIFS(sj_date,A558,sj_eq,B558,sj_po,C558)=0,"Pas de saisie journalière ce jour-là","OK")))))))))))</f>
        <v/>
      </c>
      <c r="J558">
        <f>IF(OR(I558="OK",I558="Pas de saisie journalière ce jour-là"),E558,0)</f>
        <v>0.0</v>
      </c>
      <c r="K558">
        <f>IF(AND(J558&gt;0,A558&gt;=p_from,A558&lt;=p_to),1,0)</f>
        <v>0.0</v>
      </c>
      <c r="L558">
        <f>IF(AND(K558=1,OR(pa_po="",C558=pa_po),OR(pa_eq="",B558=pa_eq)),1,0)</f>
        <v>0.0</v>
      </c>
    </row>
    <row r="559">
      <c r="A559" s="51" t="n"/>
      <c r="B559" s="52" t="n"/>
      <c r="C559" s="52" t="n"/>
      <c r="D559" s="53" t="n"/>
      <c r="E559" s="60" t="n"/>
      <c r="F559" s="53" t="n"/>
      <c r="G559" s="61" t="str">
        <f>IF(OR(COUNTA(A559:E559)=0,D559=""),"",IFERROR(INDEX(ca_fam,MATCH(D559,ca_name,0))&amp;"",""))</f>
        <v/>
      </c>
      <c r="H559" s="58" t="str">
        <f>IF(OR(COUNTA(A559:E559)=0,D559=""),"",IFERROR(INDEX(ca_type,MATCH(D559,ca_name,0))&amp;"",""))</f>
        <v/>
      </c>
      <c r="I559" s="58" t="str">
        <f>IF(COUNTA(A559:E559)=0,"",IF(N(A559)&lt;=0,"Date manquante ou invalide",IF(B559="","Équipe manquante",IF(ISNA(MATCH(B559,eq_code,0)),"Équipe inconnue",IF(C559="","Poste manquant",IF(ISNA(MATCH(C559,po_code,0)),"Poste inconnu",IF(D559="","Cause manquante",IF(ISNA(MATCH(D559,ca_name,0)),"Cause inconnue",IF(H559="","Cause à compléter dans Paramètres",IF(OR(NOT(ISNUMBER(E559)),N(E559)&lt;=0,N(E559)&gt;1440),"Durée invalide",IF(COUNTIFS(sj_date,A559,sj_eq,B559,sj_po,C559)=0,"Pas de saisie journalière ce jour-là","OK")))))))))))</f>
        <v/>
      </c>
      <c r="J559">
        <f>IF(OR(I559="OK",I559="Pas de saisie journalière ce jour-là"),E559,0)</f>
        <v>0.0</v>
      </c>
      <c r="K559">
        <f>IF(AND(J559&gt;0,A559&gt;=p_from,A559&lt;=p_to),1,0)</f>
        <v>0.0</v>
      </c>
      <c r="L559">
        <f>IF(AND(K559=1,OR(pa_po="",C559=pa_po),OR(pa_eq="",B559=pa_eq)),1,0)</f>
        <v>0.0</v>
      </c>
    </row>
    <row r="560">
      <c r="A560" s="51" t="n"/>
      <c r="B560" s="52" t="n"/>
      <c r="C560" s="52" t="n"/>
      <c r="D560" s="53" t="n"/>
      <c r="E560" s="60" t="n"/>
      <c r="F560" s="53" t="n"/>
      <c r="G560" s="61" t="str">
        <f>IF(OR(COUNTA(A560:E560)=0,D560=""),"",IFERROR(INDEX(ca_fam,MATCH(D560,ca_name,0))&amp;"",""))</f>
        <v/>
      </c>
      <c r="H560" s="58" t="str">
        <f>IF(OR(COUNTA(A560:E560)=0,D560=""),"",IFERROR(INDEX(ca_type,MATCH(D560,ca_name,0))&amp;"",""))</f>
        <v/>
      </c>
      <c r="I560" s="58" t="str">
        <f>IF(COUNTA(A560:E560)=0,"",IF(N(A560)&lt;=0,"Date manquante ou invalide",IF(B560="","Équipe manquante",IF(ISNA(MATCH(B560,eq_code,0)),"Équipe inconnue",IF(C560="","Poste manquant",IF(ISNA(MATCH(C560,po_code,0)),"Poste inconnu",IF(D560="","Cause manquante",IF(ISNA(MATCH(D560,ca_name,0)),"Cause inconnue",IF(H560="","Cause à compléter dans Paramètres",IF(OR(NOT(ISNUMBER(E560)),N(E560)&lt;=0,N(E560)&gt;1440),"Durée invalide",IF(COUNTIFS(sj_date,A560,sj_eq,B560,sj_po,C560)=0,"Pas de saisie journalière ce jour-là","OK")))))))))))</f>
        <v/>
      </c>
      <c r="J560">
        <f>IF(OR(I560="OK",I560="Pas de saisie journalière ce jour-là"),E560,0)</f>
        <v>0.0</v>
      </c>
      <c r="K560">
        <f>IF(AND(J560&gt;0,A560&gt;=p_from,A560&lt;=p_to),1,0)</f>
        <v>0.0</v>
      </c>
      <c r="L560">
        <f>IF(AND(K560=1,OR(pa_po="",C560=pa_po),OR(pa_eq="",B560=pa_eq)),1,0)</f>
        <v>0.0</v>
      </c>
    </row>
    <row r="561">
      <c r="A561" s="51" t="n"/>
      <c r="B561" s="52" t="n"/>
      <c r="C561" s="52" t="n"/>
      <c r="D561" s="53" t="n"/>
      <c r="E561" s="60" t="n"/>
      <c r="F561" s="53" t="n"/>
      <c r="G561" s="61" t="str">
        <f>IF(OR(COUNTA(A561:E561)=0,D561=""),"",IFERROR(INDEX(ca_fam,MATCH(D561,ca_name,0))&amp;"",""))</f>
        <v/>
      </c>
      <c r="H561" s="58" t="str">
        <f>IF(OR(COUNTA(A561:E561)=0,D561=""),"",IFERROR(INDEX(ca_type,MATCH(D561,ca_name,0))&amp;"",""))</f>
        <v/>
      </c>
      <c r="I561" s="58" t="str">
        <f>IF(COUNTA(A561:E561)=0,"",IF(N(A561)&lt;=0,"Date manquante ou invalide",IF(B561="","Équipe manquante",IF(ISNA(MATCH(B561,eq_code,0)),"Équipe inconnue",IF(C561="","Poste manquant",IF(ISNA(MATCH(C561,po_code,0)),"Poste inconnu",IF(D561="","Cause manquante",IF(ISNA(MATCH(D561,ca_name,0)),"Cause inconnue",IF(H561="","Cause à compléter dans Paramètres",IF(OR(NOT(ISNUMBER(E561)),N(E561)&lt;=0,N(E561)&gt;1440),"Durée invalide",IF(COUNTIFS(sj_date,A561,sj_eq,B561,sj_po,C561)=0,"Pas de saisie journalière ce jour-là","OK")))))))))))</f>
        <v/>
      </c>
      <c r="J561">
        <f>IF(OR(I561="OK",I561="Pas de saisie journalière ce jour-là"),E561,0)</f>
        <v>0.0</v>
      </c>
      <c r="K561">
        <f>IF(AND(J561&gt;0,A561&gt;=p_from,A561&lt;=p_to),1,0)</f>
        <v>0.0</v>
      </c>
      <c r="L561">
        <f>IF(AND(K561=1,OR(pa_po="",C561=pa_po),OR(pa_eq="",B561=pa_eq)),1,0)</f>
        <v>0.0</v>
      </c>
    </row>
    <row r="562">
      <c r="A562" s="51" t="n"/>
      <c r="B562" s="52" t="n"/>
      <c r="C562" s="52" t="n"/>
      <c r="D562" s="53" t="n"/>
      <c r="E562" s="60" t="n"/>
      <c r="F562" s="53" t="n"/>
      <c r="G562" s="61" t="str">
        <f>IF(OR(COUNTA(A562:E562)=0,D562=""),"",IFERROR(INDEX(ca_fam,MATCH(D562,ca_name,0))&amp;"",""))</f>
        <v/>
      </c>
      <c r="H562" s="58" t="str">
        <f>IF(OR(COUNTA(A562:E562)=0,D562=""),"",IFERROR(INDEX(ca_type,MATCH(D562,ca_name,0))&amp;"",""))</f>
        <v/>
      </c>
      <c r="I562" s="58" t="str">
        <f>IF(COUNTA(A562:E562)=0,"",IF(N(A562)&lt;=0,"Date manquante ou invalide",IF(B562="","Équipe manquante",IF(ISNA(MATCH(B562,eq_code,0)),"Équipe inconnue",IF(C562="","Poste manquant",IF(ISNA(MATCH(C562,po_code,0)),"Poste inconnu",IF(D562="","Cause manquante",IF(ISNA(MATCH(D562,ca_name,0)),"Cause inconnue",IF(H562="","Cause à compléter dans Paramètres",IF(OR(NOT(ISNUMBER(E562)),N(E562)&lt;=0,N(E562)&gt;1440),"Durée invalide",IF(COUNTIFS(sj_date,A562,sj_eq,B562,sj_po,C562)=0,"Pas de saisie journalière ce jour-là","OK")))))))))))</f>
        <v/>
      </c>
      <c r="J562">
        <f>IF(OR(I562="OK",I562="Pas de saisie journalière ce jour-là"),E562,0)</f>
        <v>0.0</v>
      </c>
      <c r="K562">
        <f>IF(AND(J562&gt;0,A562&gt;=p_from,A562&lt;=p_to),1,0)</f>
        <v>0.0</v>
      </c>
      <c r="L562">
        <f>IF(AND(K562=1,OR(pa_po="",C562=pa_po),OR(pa_eq="",B562=pa_eq)),1,0)</f>
        <v>0.0</v>
      </c>
    </row>
    <row r="563">
      <c r="A563" s="51" t="n"/>
      <c r="B563" s="52" t="n"/>
      <c r="C563" s="52" t="n"/>
      <c r="D563" s="53" t="n"/>
      <c r="E563" s="60" t="n"/>
      <c r="F563" s="53" t="n"/>
      <c r="G563" s="61" t="str">
        <f>IF(OR(COUNTA(A563:E563)=0,D563=""),"",IFERROR(INDEX(ca_fam,MATCH(D563,ca_name,0))&amp;"",""))</f>
        <v/>
      </c>
      <c r="H563" s="58" t="str">
        <f>IF(OR(COUNTA(A563:E563)=0,D563=""),"",IFERROR(INDEX(ca_type,MATCH(D563,ca_name,0))&amp;"",""))</f>
        <v/>
      </c>
      <c r="I563" s="58" t="str">
        <f>IF(COUNTA(A563:E563)=0,"",IF(N(A563)&lt;=0,"Date manquante ou invalide",IF(B563="","Équipe manquante",IF(ISNA(MATCH(B563,eq_code,0)),"Équipe inconnue",IF(C563="","Poste manquant",IF(ISNA(MATCH(C563,po_code,0)),"Poste inconnu",IF(D563="","Cause manquante",IF(ISNA(MATCH(D563,ca_name,0)),"Cause inconnue",IF(H563="","Cause à compléter dans Paramètres",IF(OR(NOT(ISNUMBER(E563)),N(E563)&lt;=0,N(E563)&gt;1440),"Durée invalide",IF(COUNTIFS(sj_date,A563,sj_eq,B563,sj_po,C563)=0,"Pas de saisie journalière ce jour-là","OK")))))))))))</f>
        <v/>
      </c>
      <c r="J563">
        <f>IF(OR(I563="OK",I563="Pas de saisie journalière ce jour-là"),E563,0)</f>
        <v>0.0</v>
      </c>
      <c r="K563">
        <f>IF(AND(J563&gt;0,A563&gt;=p_from,A563&lt;=p_to),1,0)</f>
        <v>0.0</v>
      </c>
      <c r="L563">
        <f>IF(AND(K563=1,OR(pa_po="",C563=pa_po),OR(pa_eq="",B563=pa_eq)),1,0)</f>
        <v>0.0</v>
      </c>
    </row>
    <row r="564">
      <c r="A564" s="51" t="n"/>
      <c r="B564" s="52" t="n"/>
      <c r="C564" s="52" t="n"/>
      <c r="D564" s="53" t="n"/>
      <c r="E564" s="60" t="n"/>
      <c r="F564" s="53" t="n"/>
      <c r="G564" s="61" t="str">
        <f>IF(OR(COUNTA(A564:E564)=0,D564=""),"",IFERROR(INDEX(ca_fam,MATCH(D564,ca_name,0))&amp;"",""))</f>
        <v/>
      </c>
      <c r="H564" s="58" t="str">
        <f>IF(OR(COUNTA(A564:E564)=0,D564=""),"",IFERROR(INDEX(ca_type,MATCH(D564,ca_name,0))&amp;"",""))</f>
        <v/>
      </c>
      <c r="I564" s="58" t="str">
        <f>IF(COUNTA(A564:E564)=0,"",IF(N(A564)&lt;=0,"Date manquante ou invalide",IF(B564="","Équipe manquante",IF(ISNA(MATCH(B564,eq_code,0)),"Équipe inconnue",IF(C564="","Poste manquant",IF(ISNA(MATCH(C564,po_code,0)),"Poste inconnu",IF(D564="","Cause manquante",IF(ISNA(MATCH(D564,ca_name,0)),"Cause inconnue",IF(H564="","Cause à compléter dans Paramètres",IF(OR(NOT(ISNUMBER(E564)),N(E564)&lt;=0,N(E564)&gt;1440),"Durée invalide",IF(COUNTIFS(sj_date,A564,sj_eq,B564,sj_po,C564)=0,"Pas de saisie journalière ce jour-là","OK")))))))))))</f>
        <v/>
      </c>
      <c r="J564">
        <f>IF(OR(I564="OK",I564="Pas de saisie journalière ce jour-là"),E564,0)</f>
        <v>0.0</v>
      </c>
      <c r="K564">
        <f>IF(AND(J564&gt;0,A564&gt;=p_from,A564&lt;=p_to),1,0)</f>
        <v>0.0</v>
      </c>
      <c r="L564">
        <f>IF(AND(K564=1,OR(pa_po="",C564=pa_po),OR(pa_eq="",B564=pa_eq)),1,0)</f>
        <v>0.0</v>
      </c>
    </row>
    <row r="565">
      <c r="A565" s="51" t="n"/>
      <c r="B565" s="52" t="n"/>
      <c r="C565" s="52" t="n"/>
      <c r="D565" s="53" t="n"/>
      <c r="E565" s="60" t="n"/>
      <c r="F565" s="53" t="n"/>
      <c r="G565" s="61" t="str">
        <f>IF(OR(COUNTA(A565:E565)=0,D565=""),"",IFERROR(INDEX(ca_fam,MATCH(D565,ca_name,0))&amp;"",""))</f>
        <v/>
      </c>
      <c r="H565" s="58" t="str">
        <f>IF(OR(COUNTA(A565:E565)=0,D565=""),"",IFERROR(INDEX(ca_type,MATCH(D565,ca_name,0))&amp;"",""))</f>
        <v/>
      </c>
      <c r="I565" s="58" t="str">
        <f>IF(COUNTA(A565:E565)=0,"",IF(N(A565)&lt;=0,"Date manquante ou invalide",IF(B565="","Équipe manquante",IF(ISNA(MATCH(B565,eq_code,0)),"Équipe inconnue",IF(C565="","Poste manquant",IF(ISNA(MATCH(C565,po_code,0)),"Poste inconnu",IF(D565="","Cause manquante",IF(ISNA(MATCH(D565,ca_name,0)),"Cause inconnue",IF(H565="","Cause à compléter dans Paramètres",IF(OR(NOT(ISNUMBER(E565)),N(E565)&lt;=0,N(E565)&gt;1440),"Durée invalide",IF(COUNTIFS(sj_date,A565,sj_eq,B565,sj_po,C565)=0,"Pas de saisie journalière ce jour-là","OK")))))))))))</f>
        <v/>
      </c>
      <c r="J565">
        <f>IF(OR(I565="OK",I565="Pas de saisie journalière ce jour-là"),E565,0)</f>
        <v>0.0</v>
      </c>
      <c r="K565">
        <f>IF(AND(J565&gt;0,A565&gt;=p_from,A565&lt;=p_to),1,0)</f>
        <v>0.0</v>
      </c>
      <c r="L565">
        <f>IF(AND(K565=1,OR(pa_po="",C565=pa_po),OR(pa_eq="",B565=pa_eq)),1,0)</f>
        <v>0.0</v>
      </c>
    </row>
    <row r="566">
      <c r="A566" s="51" t="n"/>
      <c r="B566" s="52" t="n"/>
      <c r="C566" s="52" t="n"/>
      <c r="D566" s="53" t="n"/>
      <c r="E566" s="60" t="n"/>
      <c r="F566" s="53" t="n"/>
      <c r="G566" s="61" t="str">
        <f>IF(OR(COUNTA(A566:E566)=0,D566=""),"",IFERROR(INDEX(ca_fam,MATCH(D566,ca_name,0))&amp;"",""))</f>
        <v/>
      </c>
      <c r="H566" s="58" t="str">
        <f>IF(OR(COUNTA(A566:E566)=0,D566=""),"",IFERROR(INDEX(ca_type,MATCH(D566,ca_name,0))&amp;"",""))</f>
        <v/>
      </c>
      <c r="I566" s="58" t="str">
        <f>IF(COUNTA(A566:E566)=0,"",IF(N(A566)&lt;=0,"Date manquante ou invalide",IF(B566="","Équipe manquante",IF(ISNA(MATCH(B566,eq_code,0)),"Équipe inconnue",IF(C566="","Poste manquant",IF(ISNA(MATCH(C566,po_code,0)),"Poste inconnu",IF(D566="","Cause manquante",IF(ISNA(MATCH(D566,ca_name,0)),"Cause inconnue",IF(H566="","Cause à compléter dans Paramètres",IF(OR(NOT(ISNUMBER(E566)),N(E566)&lt;=0,N(E566)&gt;1440),"Durée invalide",IF(COUNTIFS(sj_date,A566,sj_eq,B566,sj_po,C566)=0,"Pas de saisie journalière ce jour-là","OK")))))))))))</f>
        <v/>
      </c>
      <c r="J566">
        <f>IF(OR(I566="OK",I566="Pas de saisie journalière ce jour-là"),E566,0)</f>
        <v>0.0</v>
      </c>
      <c r="K566">
        <f>IF(AND(J566&gt;0,A566&gt;=p_from,A566&lt;=p_to),1,0)</f>
        <v>0.0</v>
      </c>
      <c r="L566">
        <f>IF(AND(K566=1,OR(pa_po="",C566=pa_po),OR(pa_eq="",B566=pa_eq)),1,0)</f>
        <v>0.0</v>
      </c>
    </row>
    <row r="567">
      <c r="A567" s="51" t="n"/>
      <c r="B567" s="52" t="n"/>
      <c r="C567" s="52" t="n"/>
      <c r="D567" s="53" t="n"/>
      <c r="E567" s="60" t="n"/>
      <c r="F567" s="53" t="n"/>
      <c r="G567" s="61" t="str">
        <f>IF(OR(COUNTA(A567:E567)=0,D567=""),"",IFERROR(INDEX(ca_fam,MATCH(D567,ca_name,0))&amp;"",""))</f>
        <v/>
      </c>
      <c r="H567" s="58" t="str">
        <f>IF(OR(COUNTA(A567:E567)=0,D567=""),"",IFERROR(INDEX(ca_type,MATCH(D567,ca_name,0))&amp;"",""))</f>
        <v/>
      </c>
      <c r="I567" s="58" t="str">
        <f>IF(COUNTA(A567:E567)=0,"",IF(N(A567)&lt;=0,"Date manquante ou invalide",IF(B567="","Équipe manquante",IF(ISNA(MATCH(B567,eq_code,0)),"Équipe inconnue",IF(C567="","Poste manquant",IF(ISNA(MATCH(C567,po_code,0)),"Poste inconnu",IF(D567="","Cause manquante",IF(ISNA(MATCH(D567,ca_name,0)),"Cause inconnue",IF(H567="","Cause à compléter dans Paramètres",IF(OR(NOT(ISNUMBER(E567)),N(E567)&lt;=0,N(E567)&gt;1440),"Durée invalide",IF(COUNTIFS(sj_date,A567,sj_eq,B567,sj_po,C567)=0,"Pas de saisie journalière ce jour-là","OK")))))))))))</f>
        <v/>
      </c>
      <c r="J567">
        <f>IF(OR(I567="OK",I567="Pas de saisie journalière ce jour-là"),E567,0)</f>
        <v>0.0</v>
      </c>
      <c r="K567">
        <f>IF(AND(J567&gt;0,A567&gt;=p_from,A567&lt;=p_to),1,0)</f>
        <v>0.0</v>
      </c>
      <c r="L567">
        <f>IF(AND(K567=1,OR(pa_po="",C567=pa_po),OR(pa_eq="",B567=pa_eq)),1,0)</f>
        <v>0.0</v>
      </c>
    </row>
    <row r="568">
      <c r="A568" s="51" t="n"/>
      <c r="B568" s="52" t="n"/>
      <c r="C568" s="52" t="n"/>
      <c r="D568" s="53" t="n"/>
      <c r="E568" s="60" t="n"/>
      <c r="F568" s="53" t="n"/>
      <c r="G568" s="61" t="str">
        <f>IF(OR(COUNTA(A568:E568)=0,D568=""),"",IFERROR(INDEX(ca_fam,MATCH(D568,ca_name,0))&amp;"",""))</f>
        <v/>
      </c>
      <c r="H568" s="58" t="str">
        <f>IF(OR(COUNTA(A568:E568)=0,D568=""),"",IFERROR(INDEX(ca_type,MATCH(D568,ca_name,0))&amp;"",""))</f>
        <v/>
      </c>
      <c r="I568" s="58" t="str">
        <f>IF(COUNTA(A568:E568)=0,"",IF(N(A568)&lt;=0,"Date manquante ou invalide",IF(B568="","Équipe manquante",IF(ISNA(MATCH(B568,eq_code,0)),"Équipe inconnue",IF(C568="","Poste manquant",IF(ISNA(MATCH(C568,po_code,0)),"Poste inconnu",IF(D568="","Cause manquante",IF(ISNA(MATCH(D568,ca_name,0)),"Cause inconnue",IF(H568="","Cause à compléter dans Paramètres",IF(OR(NOT(ISNUMBER(E568)),N(E568)&lt;=0,N(E568)&gt;1440),"Durée invalide",IF(COUNTIFS(sj_date,A568,sj_eq,B568,sj_po,C568)=0,"Pas de saisie journalière ce jour-là","OK")))))))))))</f>
        <v/>
      </c>
      <c r="J568">
        <f>IF(OR(I568="OK",I568="Pas de saisie journalière ce jour-là"),E568,0)</f>
        <v>0.0</v>
      </c>
      <c r="K568">
        <f>IF(AND(J568&gt;0,A568&gt;=p_from,A568&lt;=p_to),1,0)</f>
        <v>0.0</v>
      </c>
      <c r="L568">
        <f>IF(AND(K568=1,OR(pa_po="",C568=pa_po),OR(pa_eq="",B568=pa_eq)),1,0)</f>
        <v>0.0</v>
      </c>
    </row>
    <row r="569">
      <c r="A569" s="51" t="n"/>
      <c r="B569" s="52" t="n"/>
      <c r="C569" s="52" t="n"/>
      <c r="D569" s="53" t="n"/>
      <c r="E569" s="60" t="n"/>
      <c r="F569" s="53" t="n"/>
      <c r="G569" s="61" t="str">
        <f>IF(OR(COUNTA(A569:E569)=0,D569=""),"",IFERROR(INDEX(ca_fam,MATCH(D569,ca_name,0))&amp;"",""))</f>
        <v/>
      </c>
      <c r="H569" s="58" t="str">
        <f>IF(OR(COUNTA(A569:E569)=0,D569=""),"",IFERROR(INDEX(ca_type,MATCH(D569,ca_name,0))&amp;"",""))</f>
        <v/>
      </c>
      <c r="I569" s="58" t="str">
        <f>IF(COUNTA(A569:E569)=0,"",IF(N(A569)&lt;=0,"Date manquante ou invalide",IF(B569="","Équipe manquante",IF(ISNA(MATCH(B569,eq_code,0)),"Équipe inconnue",IF(C569="","Poste manquant",IF(ISNA(MATCH(C569,po_code,0)),"Poste inconnu",IF(D569="","Cause manquante",IF(ISNA(MATCH(D569,ca_name,0)),"Cause inconnue",IF(H569="","Cause à compléter dans Paramètres",IF(OR(NOT(ISNUMBER(E569)),N(E569)&lt;=0,N(E569)&gt;1440),"Durée invalide",IF(COUNTIFS(sj_date,A569,sj_eq,B569,sj_po,C569)=0,"Pas de saisie journalière ce jour-là","OK")))))))))))</f>
        <v/>
      </c>
      <c r="J569">
        <f>IF(OR(I569="OK",I569="Pas de saisie journalière ce jour-là"),E569,0)</f>
        <v>0.0</v>
      </c>
      <c r="K569">
        <f>IF(AND(J569&gt;0,A569&gt;=p_from,A569&lt;=p_to),1,0)</f>
        <v>0.0</v>
      </c>
      <c r="L569">
        <f>IF(AND(K569=1,OR(pa_po="",C569=pa_po),OR(pa_eq="",B569=pa_eq)),1,0)</f>
        <v>0.0</v>
      </c>
    </row>
    <row r="570">
      <c r="A570" s="51" t="n"/>
      <c r="B570" s="52" t="n"/>
      <c r="C570" s="52" t="n"/>
      <c r="D570" s="53" t="n"/>
      <c r="E570" s="60" t="n"/>
      <c r="F570" s="53" t="n"/>
      <c r="G570" s="61" t="str">
        <f>IF(OR(COUNTA(A570:E570)=0,D570=""),"",IFERROR(INDEX(ca_fam,MATCH(D570,ca_name,0))&amp;"",""))</f>
        <v/>
      </c>
      <c r="H570" s="58" t="str">
        <f>IF(OR(COUNTA(A570:E570)=0,D570=""),"",IFERROR(INDEX(ca_type,MATCH(D570,ca_name,0))&amp;"",""))</f>
        <v/>
      </c>
      <c r="I570" s="58" t="str">
        <f>IF(COUNTA(A570:E570)=0,"",IF(N(A570)&lt;=0,"Date manquante ou invalide",IF(B570="","Équipe manquante",IF(ISNA(MATCH(B570,eq_code,0)),"Équipe inconnue",IF(C570="","Poste manquant",IF(ISNA(MATCH(C570,po_code,0)),"Poste inconnu",IF(D570="","Cause manquante",IF(ISNA(MATCH(D570,ca_name,0)),"Cause inconnue",IF(H570="","Cause à compléter dans Paramètres",IF(OR(NOT(ISNUMBER(E570)),N(E570)&lt;=0,N(E570)&gt;1440),"Durée invalide",IF(COUNTIFS(sj_date,A570,sj_eq,B570,sj_po,C570)=0,"Pas de saisie journalière ce jour-là","OK")))))))))))</f>
        <v/>
      </c>
      <c r="J570">
        <f>IF(OR(I570="OK",I570="Pas de saisie journalière ce jour-là"),E570,0)</f>
        <v>0.0</v>
      </c>
      <c r="K570">
        <f>IF(AND(J570&gt;0,A570&gt;=p_from,A570&lt;=p_to),1,0)</f>
        <v>0.0</v>
      </c>
      <c r="L570">
        <f>IF(AND(K570=1,OR(pa_po="",C570=pa_po),OR(pa_eq="",B570=pa_eq)),1,0)</f>
        <v>0.0</v>
      </c>
    </row>
    <row r="571">
      <c r="A571" s="51" t="n"/>
      <c r="B571" s="52" t="n"/>
      <c r="C571" s="52" t="n"/>
      <c r="D571" s="53" t="n"/>
      <c r="E571" s="60" t="n"/>
      <c r="F571" s="53" t="n"/>
      <c r="G571" s="61" t="str">
        <f>IF(OR(COUNTA(A571:E571)=0,D571=""),"",IFERROR(INDEX(ca_fam,MATCH(D571,ca_name,0))&amp;"",""))</f>
        <v/>
      </c>
      <c r="H571" s="58" t="str">
        <f>IF(OR(COUNTA(A571:E571)=0,D571=""),"",IFERROR(INDEX(ca_type,MATCH(D571,ca_name,0))&amp;"",""))</f>
        <v/>
      </c>
      <c r="I571" s="58" t="str">
        <f>IF(COUNTA(A571:E571)=0,"",IF(N(A571)&lt;=0,"Date manquante ou invalide",IF(B571="","Équipe manquante",IF(ISNA(MATCH(B571,eq_code,0)),"Équipe inconnue",IF(C571="","Poste manquant",IF(ISNA(MATCH(C571,po_code,0)),"Poste inconnu",IF(D571="","Cause manquante",IF(ISNA(MATCH(D571,ca_name,0)),"Cause inconnue",IF(H571="","Cause à compléter dans Paramètres",IF(OR(NOT(ISNUMBER(E571)),N(E571)&lt;=0,N(E571)&gt;1440),"Durée invalide",IF(COUNTIFS(sj_date,A571,sj_eq,B571,sj_po,C571)=0,"Pas de saisie journalière ce jour-là","OK")))))))))))</f>
        <v/>
      </c>
      <c r="J571">
        <f>IF(OR(I571="OK",I571="Pas de saisie journalière ce jour-là"),E571,0)</f>
        <v>0.0</v>
      </c>
      <c r="K571">
        <f>IF(AND(J571&gt;0,A571&gt;=p_from,A571&lt;=p_to),1,0)</f>
        <v>0.0</v>
      </c>
      <c r="L571">
        <f>IF(AND(K571=1,OR(pa_po="",C571=pa_po),OR(pa_eq="",B571=pa_eq)),1,0)</f>
        <v>0.0</v>
      </c>
    </row>
    <row r="572">
      <c r="A572" s="51" t="n"/>
      <c r="B572" s="52" t="n"/>
      <c r="C572" s="52" t="n"/>
      <c r="D572" s="53" t="n"/>
      <c r="E572" s="60" t="n"/>
      <c r="F572" s="53" t="n"/>
      <c r="G572" s="61" t="str">
        <f>IF(OR(COUNTA(A572:E572)=0,D572=""),"",IFERROR(INDEX(ca_fam,MATCH(D572,ca_name,0))&amp;"",""))</f>
        <v/>
      </c>
      <c r="H572" s="58" t="str">
        <f>IF(OR(COUNTA(A572:E572)=0,D572=""),"",IFERROR(INDEX(ca_type,MATCH(D572,ca_name,0))&amp;"",""))</f>
        <v/>
      </c>
      <c r="I572" s="58" t="str">
        <f>IF(COUNTA(A572:E572)=0,"",IF(N(A572)&lt;=0,"Date manquante ou invalide",IF(B572="","Équipe manquante",IF(ISNA(MATCH(B572,eq_code,0)),"Équipe inconnue",IF(C572="","Poste manquant",IF(ISNA(MATCH(C572,po_code,0)),"Poste inconnu",IF(D572="","Cause manquante",IF(ISNA(MATCH(D572,ca_name,0)),"Cause inconnue",IF(H572="","Cause à compléter dans Paramètres",IF(OR(NOT(ISNUMBER(E572)),N(E572)&lt;=0,N(E572)&gt;1440),"Durée invalide",IF(COUNTIFS(sj_date,A572,sj_eq,B572,sj_po,C572)=0,"Pas de saisie journalière ce jour-là","OK")))))))))))</f>
        <v/>
      </c>
      <c r="J572">
        <f>IF(OR(I572="OK",I572="Pas de saisie journalière ce jour-là"),E572,0)</f>
        <v>0.0</v>
      </c>
      <c r="K572">
        <f>IF(AND(J572&gt;0,A572&gt;=p_from,A572&lt;=p_to),1,0)</f>
        <v>0.0</v>
      </c>
      <c r="L572">
        <f>IF(AND(K572=1,OR(pa_po="",C572=pa_po),OR(pa_eq="",B572=pa_eq)),1,0)</f>
        <v>0.0</v>
      </c>
    </row>
    <row r="573">
      <c r="A573" s="51" t="n"/>
      <c r="B573" s="52" t="n"/>
      <c r="C573" s="52" t="n"/>
      <c r="D573" s="53" t="n"/>
      <c r="E573" s="60" t="n"/>
      <c r="F573" s="53" t="n"/>
      <c r="G573" s="61" t="str">
        <f>IF(OR(COUNTA(A573:E573)=0,D573=""),"",IFERROR(INDEX(ca_fam,MATCH(D573,ca_name,0))&amp;"",""))</f>
        <v/>
      </c>
      <c r="H573" s="58" t="str">
        <f>IF(OR(COUNTA(A573:E573)=0,D573=""),"",IFERROR(INDEX(ca_type,MATCH(D573,ca_name,0))&amp;"",""))</f>
        <v/>
      </c>
      <c r="I573" s="58" t="str">
        <f>IF(COUNTA(A573:E573)=0,"",IF(N(A573)&lt;=0,"Date manquante ou invalide",IF(B573="","Équipe manquante",IF(ISNA(MATCH(B573,eq_code,0)),"Équipe inconnue",IF(C573="","Poste manquant",IF(ISNA(MATCH(C573,po_code,0)),"Poste inconnu",IF(D573="","Cause manquante",IF(ISNA(MATCH(D573,ca_name,0)),"Cause inconnue",IF(H573="","Cause à compléter dans Paramètres",IF(OR(NOT(ISNUMBER(E573)),N(E573)&lt;=0,N(E573)&gt;1440),"Durée invalide",IF(COUNTIFS(sj_date,A573,sj_eq,B573,sj_po,C573)=0,"Pas de saisie journalière ce jour-là","OK")))))))))))</f>
        <v/>
      </c>
      <c r="J573">
        <f>IF(OR(I573="OK",I573="Pas de saisie journalière ce jour-là"),E573,0)</f>
        <v>0.0</v>
      </c>
      <c r="K573">
        <f>IF(AND(J573&gt;0,A573&gt;=p_from,A573&lt;=p_to),1,0)</f>
        <v>0.0</v>
      </c>
      <c r="L573">
        <f>IF(AND(K573=1,OR(pa_po="",C573=pa_po),OR(pa_eq="",B573=pa_eq)),1,0)</f>
        <v>0.0</v>
      </c>
    </row>
    <row r="574">
      <c r="A574" s="51" t="n"/>
      <c r="B574" s="52" t="n"/>
      <c r="C574" s="52" t="n"/>
      <c r="D574" s="53" t="n"/>
      <c r="E574" s="60" t="n"/>
      <c r="F574" s="53" t="n"/>
      <c r="G574" s="61" t="str">
        <f>IF(OR(COUNTA(A574:E574)=0,D574=""),"",IFERROR(INDEX(ca_fam,MATCH(D574,ca_name,0))&amp;"",""))</f>
        <v/>
      </c>
      <c r="H574" s="58" t="str">
        <f>IF(OR(COUNTA(A574:E574)=0,D574=""),"",IFERROR(INDEX(ca_type,MATCH(D574,ca_name,0))&amp;"",""))</f>
        <v/>
      </c>
      <c r="I574" s="58" t="str">
        <f>IF(COUNTA(A574:E574)=0,"",IF(N(A574)&lt;=0,"Date manquante ou invalide",IF(B574="","Équipe manquante",IF(ISNA(MATCH(B574,eq_code,0)),"Équipe inconnue",IF(C574="","Poste manquant",IF(ISNA(MATCH(C574,po_code,0)),"Poste inconnu",IF(D574="","Cause manquante",IF(ISNA(MATCH(D574,ca_name,0)),"Cause inconnue",IF(H574="","Cause à compléter dans Paramètres",IF(OR(NOT(ISNUMBER(E574)),N(E574)&lt;=0,N(E574)&gt;1440),"Durée invalide",IF(COUNTIFS(sj_date,A574,sj_eq,B574,sj_po,C574)=0,"Pas de saisie journalière ce jour-là","OK")))))))))))</f>
        <v/>
      </c>
      <c r="J574">
        <f>IF(OR(I574="OK",I574="Pas de saisie journalière ce jour-là"),E574,0)</f>
        <v>0.0</v>
      </c>
      <c r="K574">
        <f>IF(AND(J574&gt;0,A574&gt;=p_from,A574&lt;=p_to),1,0)</f>
        <v>0.0</v>
      </c>
      <c r="L574">
        <f>IF(AND(K574=1,OR(pa_po="",C574=pa_po),OR(pa_eq="",B574=pa_eq)),1,0)</f>
        <v>0.0</v>
      </c>
    </row>
    <row r="575">
      <c r="A575" s="51" t="n"/>
      <c r="B575" s="52" t="n"/>
      <c r="C575" s="52" t="n"/>
      <c r="D575" s="53" t="n"/>
      <c r="E575" s="60" t="n"/>
      <c r="F575" s="53" t="n"/>
      <c r="G575" s="61" t="str">
        <f>IF(OR(COUNTA(A575:E575)=0,D575=""),"",IFERROR(INDEX(ca_fam,MATCH(D575,ca_name,0))&amp;"",""))</f>
        <v/>
      </c>
      <c r="H575" s="58" t="str">
        <f>IF(OR(COUNTA(A575:E575)=0,D575=""),"",IFERROR(INDEX(ca_type,MATCH(D575,ca_name,0))&amp;"",""))</f>
        <v/>
      </c>
      <c r="I575" s="58" t="str">
        <f>IF(COUNTA(A575:E575)=0,"",IF(N(A575)&lt;=0,"Date manquante ou invalide",IF(B575="","Équipe manquante",IF(ISNA(MATCH(B575,eq_code,0)),"Équipe inconnue",IF(C575="","Poste manquant",IF(ISNA(MATCH(C575,po_code,0)),"Poste inconnu",IF(D575="","Cause manquante",IF(ISNA(MATCH(D575,ca_name,0)),"Cause inconnue",IF(H575="","Cause à compléter dans Paramètres",IF(OR(NOT(ISNUMBER(E575)),N(E575)&lt;=0,N(E575)&gt;1440),"Durée invalide",IF(COUNTIFS(sj_date,A575,sj_eq,B575,sj_po,C575)=0,"Pas de saisie journalière ce jour-là","OK")))))))))))</f>
        <v/>
      </c>
      <c r="J575">
        <f>IF(OR(I575="OK",I575="Pas de saisie journalière ce jour-là"),E575,0)</f>
        <v>0.0</v>
      </c>
      <c r="K575">
        <f>IF(AND(J575&gt;0,A575&gt;=p_from,A575&lt;=p_to),1,0)</f>
        <v>0.0</v>
      </c>
      <c r="L575">
        <f>IF(AND(K575=1,OR(pa_po="",C575=pa_po),OR(pa_eq="",B575=pa_eq)),1,0)</f>
        <v>0.0</v>
      </c>
    </row>
    <row r="576">
      <c r="A576" s="51" t="n"/>
      <c r="B576" s="52" t="n"/>
      <c r="C576" s="52" t="n"/>
      <c r="D576" s="53" t="n"/>
      <c r="E576" s="60" t="n"/>
      <c r="F576" s="53" t="n"/>
      <c r="G576" s="61" t="str">
        <f>IF(OR(COUNTA(A576:E576)=0,D576=""),"",IFERROR(INDEX(ca_fam,MATCH(D576,ca_name,0))&amp;"",""))</f>
        <v/>
      </c>
      <c r="H576" s="58" t="str">
        <f>IF(OR(COUNTA(A576:E576)=0,D576=""),"",IFERROR(INDEX(ca_type,MATCH(D576,ca_name,0))&amp;"",""))</f>
        <v/>
      </c>
      <c r="I576" s="58" t="str">
        <f>IF(COUNTA(A576:E576)=0,"",IF(N(A576)&lt;=0,"Date manquante ou invalide",IF(B576="","Équipe manquante",IF(ISNA(MATCH(B576,eq_code,0)),"Équipe inconnue",IF(C576="","Poste manquant",IF(ISNA(MATCH(C576,po_code,0)),"Poste inconnu",IF(D576="","Cause manquante",IF(ISNA(MATCH(D576,ca_name,0)),"Cause inconnue",IF(H576="","Cause à compléter dans Paramètres",IF(OR(NOT(ISNUMBER(E576)),N(E576)&lt;=0,N(E576)&gt;1440),"Durée invalide",IF(COUNTIFS(sj_date,A576,sj_eq,B576,sj_po,C576)=0,"Pas de saisie journalière ce jour-là","OK")))))))))))</f>
        <v/>
      </c>
      <c r="J576">
        <f>IF(OR(I576="OK",I576="Pas de saisie journalière ce jour-là"),E576,0)</f>
        <v>0.0</v>
      </c>
      <c r="K576">
        <f>IF(AND(J576&gt;0,A576&gt;=p_from,A576&lt;=p_to),1,0)</f>
        <v>0.0</v>
      </c>
      <c r="L576">
        <f>IF(AND(K576=1,OR(pa_po="",C576=pa_po),OR(pa_eq="",B576=pa_eq)),1,0)</f>
        <v>0.0</v>
      </c>
    </row>
    <row r="577">
      <c r="A577" s="51" t="n"/>
      <c r="B577" s="52" t="n"/>
      <c r="C577" s="52" t="n"/>
      <c r="D577" s="53" t="n"/>
      <c r="E577" s="60" t="n"/>
      <c r="F577" s="53" t="n"/>
      <c r="G577" s="61" t="str">
        <f>IF(OR(COUNTA(A577:E577)=0,D577=""),"",IFERROR(INDEX(ca_fam,MATCH(D577,ca_name,0))&amp;"",""))</f>
        <v/>
      </c>
      <c r="H577" s="58" t="str">
        <f>IF(OR(COUNTA(A577:E577)=0,D577=""),"",IFERROR(INDEX(ca_type,MATCH(D577,ca_name,0))&amp;"",""))</f>
        <v/>
      </c>
      <c r="I577" s="58" t="str">
        <f>IF(COUNTA(A577:E577)=0,"",IF(N(A577)&lt;=0,"Date manquante ou invalide",IF(B577="","Équipe manquante",IF(ISNA(MATCH(B577,eq_code,0)),"Équipe inconnue",IF(C577="","Poste manquant",IF(ISNA(MATCH(C577,po_code,0)),"Poste inconnu",IF(D577="","Cause manquante",IF(ISNA(MATCH(D577,ca_name,0)),"Cause inconnue",IF(H577="","Cause à compléter dans Paramètres",IF(OR(NOT(ISNUMBER(E577)),N(E577)&lt;=0,N(E577)&gt;1440),"Durée invalide",IF(COUNTIFS(sj_date,A577,sj_eq,B577,sj_po,C577)=0,"Pas de saisie journalière ce jour-là","OK")))))))))))</f>
        <v/>
      </c>
      <c r="J577">
        <f>IF(OR(I577="OK",I577="Pas de saisie journalière ce jour-là"),E577,0)</f>
        <v>0.0</v>
      </c>
      <c r="K577">
        <f>IF(AND(J577&gt;0,A577&gt;=p_from,A577&lt;=p_to),1,0)</f>
        <v>0.0</v>
      </c>
      <c r="L577">
        <f>IF(AND(K577=1,OR(pa_po="",C577=pa_po),OR(pa_eq="",B577=pa_eq)),1,0)</f>
        <v>0.0</v>
      </c>
    </row>
    <row r="578">
      <c r="A578" s="51" t="n"/>
      <c r="B578" s="52" t="n"/>
      <c r="C578" s="52" t="n"/>
      <c r="D578" s="53" t="n"/>
      <c r="E578" s="60" t="n"/>
      <c r="F578" s="53" t="n"/>
      <c r="G578" s="61" t="str">
        <f>IF(OR(COUNTA(A578:E578)=0,D578=""),"",IFERROR(INDEX(ca_fam,MATCH(D578,ca_name,0))&amp;"",""))</f>
        <v/>
      </c>
      <c r="H578" s="58" t="str">
        <f>IF(OR(COUNTA(A578:E578)=0,D578=""),"",IFERROR(INDEX(ca_type,MATCH(D578,ca_name,0))&amp;"",""))</f>
        <v/>
      </c>
      <c r="I578" s="58" t="str">
        <f>IF(COUNTA(A578:E578)=0,"",IF(N(A578)&lt;=0,"Date manquante ou invalide",IF(B578="","Équipe manquante",IF(ISNA(MATCH(B578,eq_code,0)),"Équipe inconnue",IF(C578="","Poste manquant",IF(ISNA(MATCH(C578,po_code,0)),"Poste inconnu",IF(D578="","Cause manquante",IF(ISNA(MATCH(D578,ca_name,0)),"Cause inconnue",IF(H578="","Cause à compléter dans Paramètres",IF(OR(NOT(ISNUMBER(E578)),N(E578)&lt;=0,N(E578)&gt;1440),"Durée invalide",IF(COUNTIFS(sj_date,A578,sj_eq,B578,sj_po,C578)=0,"Pas de saisie journalière ce jour-là","OK")))))))))))</f>
        <v/>
      </c>
      <c r="J578">
        <f>IF(OR(I578="OK",I578="Pas de saisie journalière ce jour-là"),E578,0)</f>
        <v>0.0</v>
      </c>
      <c r="K578">
        <f>IF(AND(J578&gt;0,A578&gt;=p_from,A578&lt;=p_to),1,0)</f>
        <v>0.0</v>
      </c>
      <c r="L578">
        <f>IF(AND(K578=1,OR(pa_po="",C578=pa_po),OR(pa_eq="",B578=pa_eq)),1,0)</f>
        <v>0.0</v>
      </c>
    </row>
    <row r="579">
      <c r="A579" s="51" t="n"/>
      <c r="B579" s="52" t="n"/>
      <c r="C579" s="52" t="n"/>
      <c r="D579" s="53" t="n"/>
      <c r="E579" s="60" t="n"/>
      <c r="F579" s="53" t="n"/>
      <c r="G579" s="61" t="str">
        <f>IF(OR(COUNTA(A579:E579)=0,D579=""),"",IFERROR(INDEX(ca_fam,MATCH(D579,ca_name,0))&amp;"",""))</f>
        <v/>
      </c>
      <c r="H579" s="58" t="str">
        <f>IF(OR(COUNTA(A579:E579)=0,D579=""),"",IFERROR(INDEX(ca_type,MATCH(D579,ca_name,0))&amp;"",""))</f>
        <v/>
      </c>
      <c r="I579" s="58" t="str">
        <f>IF(COUNTA(A579:E579)=0,"",IF(N(A579)&lt;=0,"Date manquante ou invalide",IF(B579="","Équipe manquante",IF(ISNA(MATCH(B579,eq_code,0)),"Équipe inconnue",IF(C579="","Poste manquant",IF(ISNA(MATCH(C579,po_code,0)),"Poste inconnu",IF(D579="","Cause manquante",IF(ISNA(MATCH(D579,ca_name,0)),"Cause inconnue",IF(H579="","Cause à compléter dans Paramètres",IF(OR(NOT(ISNUMBER(E579)),N(E579)&lt;=0,N(E579)&gt;1440),"Durée invalide",IF(COUNTIFS(sj_date,A579,sj_eq,B579,sj_po,C579)=0,"Pas de saisie journalière ce jour-là","OK")))))))))))</f>
        <v/>
      </c>
      <c r="J579">
        <f>IF(OR(I579="OK",I579="Pas de saisie journalière ce jour-là"),E579,0)</f>
        <v>0.0</v>
      </c>
      <c r="K579">
        <f>IF(AND(J579&gt;0,A579&gt;=p_from,A579&lt;=p_to),1,0)</f>
        <v>0.0</v>
      </c>
      <c r="L579">
        <f>IF(AND(K579=1,OR(pa_po="",C579=pa_po),OR(pa_eq="",B579=pa_eq)),1,0)</f>
        <v>0.0</v>
      </c>
    </row>
    <row r="580">
      <c r="A580" s="51" t="n"/>
      <c r="B580" s="52" t="n"/>
      <c r="C580" s="52" t="n"/>
      <c r="D580" s="53" t="n"/>
      <c r="E580" s="60" t="n"/>
      <c r="F580" s="53" t="n"/>
      <c r="G580" s="61" t="str">
        <f>IF(OR(COUNTA(A580:E580)=0,D580=""),"",IFERROR(INDEX(ca_fam,MATCH(D580,ca_name,0))&amp;"",""))</f>
        <v/>
      </c>
      <c r="H580" s="58" t="str">
        <f>IF(OR(COUNTA(A580:E580)=0,D580=""),"",IFERROR(INDEX(ca_type,MATCH(D580,ca_name,0))&amp;"",""))</f>
        <v/>
      </c>
      <c r="I580" s="58" t="str">
        <f>IF(COUNTA(A580:E580)=0,"",IF(N(A580)&lt;=0,"Date manquante ou invalide",IF(B580="","Équipe manquante",IF(ISNA(MATCH(B580,eq_code,0)),"Équipe inconnue",IF(C580="","Poste manquant",IF(ISNA(MATCH(C580,po_code,0)),"Poste inconnu",IF(D580="","Cause manquante",IF(ISNA(MATCH(D580,ca_name,0)),"Cause inconnue",IF(H580="","Cause à compléter dans Paramètres",IF(OR(NOT(ISNUMBER(E580)),N(E580)&lt;=0,N(E580)&gt;1440),"Durée invalide",IF(COUNTIFS(sj_date,A580,sj_eq,B580,sj_po,C580)=0,"Pas de saisie journalière ce jour-là","OK")))))))))))</f>
        <v/>
      </c>
      <c r="J580">
        <f>IF(OR(I580="OK",I580="Pas de saisie journalière ce jour-là"),E580,0)</f>
        <v>0.0</v>
      </c>
      <c r="K580">
        <f>IF(AND(J580&gt;0,A580&gt;=p_from,A580&lt;=p_to),1,0)</f>
        <v>0.0</v>
      </c>
      <c r="L580">
        <f>IF(AND(K580=1,OR(pa_po="",C580=pa_po),OR(pa_eq="",B580=pa_eq)),1,0)</f>
        <v>0.0</v>
      </c>
    </row>
    <row r="581">
      <c r="A581" s="51" t="n"/>
      <c r="B581" s="52" t="n"/>
      <c r="C581" s="52" t="n"/>
      <c r="D581" s="53" t="n"/>
      <c r="E581" s="60" t="n"/>
      <c r="F581" s="53" t="n"/>
      <c r="G581" s="61" t="str">
        <f>IF(OR(COUNTA(A581:E581)=0,D581=""),"",IFERROR(INDEX(ca_fam,MATCH(D581,ca_name,0))&amp;"",""))</f>
        <v/>
      </c>
      <c r="H581" s="58" t="str">
        <f>IF(OR(COUNTA(A581:E581)=0,D581=""),"",IFERROR(INDEX(ca_type,MATCH(D581,ca_name,0))&amp;"",""))</f>
        <v/>
      </c>
      <c r="I581" s="58" t="str">
        <f>IF(COUNTA(A581:E581)=0,"",IF(N(A581)&lt;=0,"Date manquante ou invalide",IF(B581="","Équipe manquante",IF(ISNA(MATCH(B581,eq_code,0)),"Équipe inconnue",IF(C581="","Poste manquant",IF(ISNA(MATCH(C581,po_code,0)),"Poste inconnu",IF(D581="","Cause manquante",IF(ISNA(MATCH(D581,ca_name,0)),"Cause inconnue",IF(H581="","Cause à compléter dans Paramètres",IF(OR(NOT(ISNUMBER(E581)),N(E581)&lt;=0,N(E581)&gt;1440),"Durée invalide",IF(COUNTIFS(sj_date,A581,sj_eq,B581,sj_po,C581)=0,"Pas de saisie journalière ce jour-là","OK")))))))))))</f>
        <v/>
      </c>
      <c r="J581">
        <f>IF(OR(I581="OK",I581="Pas de saisie journalière ce jour-là"),E581,0)</f>
        <v>0.0</v>
      </c>
      <c r="K581">
        <f>IF(AND(J581&gt;0,A581&gt;=p_from,A581&lt;=p_to),1,0)</f>
        <v>0.0</v>
      </c>
      <c r="L581">
        <f>IF(AND(K581=1,OR(pa_po="",C581=pa_po),OR(pa_eq="",B581=pa_eq)),1,0)</f>
        <v>0.0</v>
      </c>
    </row>
    <row r="582">
      <c r="A582" s="51" t="n"/>
      <c r="B582" s="52" t="n"/>
      <c r="C582" s="52" t="n"/>
      <c r="D582" s="53" t="n"/>
      <c r="E582" s="60" t="n"/>
      <c r="F582" s="53" t="n"/>
      <c r="G582" s="61" t="str">
        <f>IF(OR(COUNTA(A582:E582)=0,D582=""),"",IFERROR(INDEX(ca_fam,MATCH(D582,ca_name,0))&amp;"",""))</f>
        <v/>
      </c>
      <c r="H582" s="58" t="str">
        <f>IF(OR(COUNTA(A582:E582)=0,D582=""),"",IFERROR(INDEX(ca_type,MATCH(D582,ca_name,0))&amp;"",""))</f>
        <v/>
      </c>
      <c r="I582" s="58" t="str">
        <f>IF(COUNTA(A582:E582)=0,"",IF(N(A582)&lt;=0,"Date manquante ou invalide",IF(B582="","Équipe manquante",IF(ISNA(MATCH(B582,eq_code,0)),"Équipe inconnue",IF(C582="","Poste manquant",IF(ISNA(MATCH(C582,po_code,0)),"Poste inconnu",IF(D582="","Cause manquante",IF(ISNA(MATCH(D582,ca_name,0)),"Cause inconnue",IF(H582="","Cause à compléter dans Paramètres",IF(OR(NOT(ISNUMBER(E582)),N(E582)&lt;=0,N(E582)&gt;1440),"Durée invalide",IF(COUNTIFS(sj_date,A582,sj_eq,B582,sj_po,C582)=0,"Pas de saisie journalière ce jour-là","OK")))))))))))</f>
        <v/>
      </c>
      <c r="J582">
        <f>IF(OR(I582="OK",I582="Pas de saisie journalière ce jour-là"),E582,0)</f>
        <v>0.0</v>
      </c>
      <c r="K582">
        <f>IF(AND(J582&gt;0,A582&gt;=p_from,A582&lt;=p_to),1,0)</f>
        <v>0.0</v>
      </c>
      <c r="L582">
        <f>IF(AND(K582=1,OR(pa_po="",C582=pa_po),OR(pa_eq="",B582=pa_eq)),1,0)</f>
        <v>0.0</v>
      </c>
    </row>
    <row r="583">
      <c r="A583" s="51" t="n"/>
      <c r="B583" s="52" t="n"/>
      <c r="C583" s="52" t="n"/>
      <c r="D583" s="53" t="n"/>
      <c r="E583" s="60" t="n"/>
      <c r="F583" s="53" t="n"/>
      <c r="G583" s="61" t="str">
        <f>IF(OR(COUNTA(A583:E583)=0,D583=""),"",IFERROR(INDEX(ca_fam,MATCH(D583,ca_name,0))&amp;"",""))</f>
        <v/>
      </c>
      <c r="H583" s="58" t="str">
        <f>IF(OR(COUNTA(A583:E583)=0,D583=""),"",IFERROR(INDEX(ca_type,MATCH(D583,ca_name,0))&amp;"",""))</f>
        <v/>
      </c>
      <c r="I583" s="58" t="str">
        <f>IF(COUNTA(A583:E583)=0,"",IF(N(A583)&lt;=0,"Date manquante ou invalide",IF(B583="","Équipe manquante",IF(ISNA(MATCH(B583,eq_code,0)),"Équipe inconnue",IF(C583="","Poste manquant",IF(ISNA(MATCH(C583,po_code,0)),"Poste inconnu",IF(D583="","Cause manquante",IF(ISNA(MATCH(D583,ca_name,0)),"Cause inconnue",IF(H583="","Cause à compléter dans Paramètres",IF(OR(NOT(ISNUMBER(E583)),N(E583)&lt;=0,N(E583)&gt;1440),"Durée invalide",IF(COUNTIFS(sj_date,A583,sj_eq,B583,sj_po,C583)=0,"Pas de saisie journalière ce jour-là","OK")))))))))))</f>
        <v/>
      </c>
      <c r="J583">
        <f>IF(OR(I583="OK",I583="Pas de saisie journalière ce jour-là"),E583,0)</f>
        <v>0.0</v>
      </c>
      <c r="K583">
        <f>IF(AND(J583&gt;0,A583&gt;=p_from,A583&lt;=p_to),1,0)</f>
        <v>0.0</v>
      </c>
      <c r="L583">
        <f>IF(AND(K583=1,OR(pa_po="",C583=pa_po),OR(pa_eq="",B583=pa_eq)),1,0)</f>
        <v>0.0</v>
      </c>
    </row>
    <row r="584">
      <c r="A584" s="51" t="n"/>
      <c r="B584" s="52" t="n"/>
      <c r="C584" s="52" t="n"/>
      <c r="D584" s="53" t="n"/>
      <c r="E584" s="60" t="n"/>
      <c r="F584" s="53" t="n"/>
      <c r="G584" s="61" t="str">
        <f>IF(OR(COUNTA(A584:E584)=0,D584=""),"",IFERROR(INDEX(ca_fam,MATCH(D584,ca_name,0))&amp;"",""))</f>
        <v/>
      </c>
      <c r="H584" s="58" t="str">
        <f>IF(OR(COUNTA(A584:E584)=0,D584=""),"",IFERROR(INDEX(ca_type,MATCH(D584,ca_name,0))&amp;"",""))</f>
        <v/>
      </c>
      <c r="I584" s="58" t="str">
        <f>IF(COUNTA(A584:E584)=0,"",IF(N(A584)&lt;=0,"Date manquante ou invalide",IF(B584="","Équipe manquante",IF(ISNA(MATCH(B584,eq_code,0)),"Équipe inconnue",IF(C584="","Poste manquant",IF(ISNA(MATCH(C584,po_code,0)),"Poste inconnu",IF(D584="","Cause manquante",IF(ISNA(MATCH(D584,ca_name,0)),"Cause inconnue",IF(H584="","Cause à compléter dans Paramètres",IF(OR(NOT(ISNUMBER(E584)),N(E584)&lt;=0,N(E584)&gt;1440),"Durée invalide",IF(COUNTIFS(sj_date,A584,sj_eq,B584,sj_po,C584)=0,"Pas de saisie journalière ce jour-là","OK")))))))))))</f>
        <v/>
      </c>
      <c r="J584">
        <f>IF(OR(I584="OK",I584="Pas de saisie journalière ce jour-là"),E584,0)</f>
        <v>0.0</v>
      </c>
      <c r="K584">
        <f>IF(AND(J584&gt;0,A584&gt;=p_from,A584&lt;=p_to),1,0)</f>
        <v>0.0</v>
      </c>
      <c r="L584">
        <f>IF(AND(K584=1,OR(pa_po="",C584=pa_po),OR(pa_eq="",B584=pa_eq)),1,0)</f>
        <v>0.0</v>
      </c>
    </row>
    <row r="585">
      <c r="A585" s="51" t="n"/>
      <c r="B585" s="52" t="n"/>
      <c r="C585" s="52" t="n"/>
      <c r="D585" s="53" t="n"/>
      <c r="E585" s="60" t="n"/>
      <c r="F585" s="53" t="n"/>
      <c r="G585" s="61" t="str">
        <f>IF(OR(COUNTA(A585:E585)=0,D585=""),"",IFERROR(INDEX(ca_fam,MATCH(D585,ca_name,0))&amp;"",""))</f>
        <v/>
      </c>
      <c r="H585" s="58" t="str">
        <f>IF(OR(COUNTA(A585:E585)=0,D585=""),"",IFERROR(INDEX(ca_type,MATCH(D585,ca_name,0))&amp;"",""))</f>
        <v/>
      </c>
      <c r="I585" s="58" t="str">
        <f>IF(COUNTA(A585:E585)=0,"",IF(N(A585)&lt;=0,"Date manquante ou invalide",IF(B585="","Équipe manquante",IF(ISNA(MATCH(B585,eq_code,0)),"Équipe inconnue",IF(C585="","Poste manquant",IF(ISNA(MATCH(C585,po_code,0)),"Poste inconnu",IF(D585="","Cause manquante",IF(ISNA(MATCH(D585,ca_name,0)),"Cause inconnue",IF(H585="","Cause à compléter dans Paramètres",IF(OR(NOT(ISNUMBER(E585)),N(E585)&lt;=0,N(E585)&gt;1440),"Durée invalide",IF(COUNTIFS(sj_date,A585,sj_eq,B585,sj_po,C585)=0,"Pas de saisie journalière ce jour-là","OK")))))))))))</f>
        <v/>
      </c>
      <c r="J585">
        <f>IF(OR(I585="OK",I585="Pas de saisie journalière ce jour-là"),E585,0)</f>
        <v>0.0</v>
      </c>
      <c r="K585">
        <f>IF(AND(J585&gt;0,A585&gt;=p_from,A585&lt;=p_to),1,0)</f>
        <v>0.0</v>
      </c>
      <c r="L585">
        <f>IF(AND(K585=1,OR(pa_po="",C585=pa_po),OR(pa_eq="",B585=pa_eq)),1,0)</f>
        <v>0.0</v>
      </c>
    </row>
    <row r="586">
      <c r="A586" s="51" t="n"/>
      <c r="B586" s="52" t="n"/>
      <c r="C586" s="52" t="n"/>
      <c r="D586" s="53" t="n"/>
      <c r="E586" s="60" t="n"/>
      <c r="F586" s="53" t="n"/>
      <c r="G586" s="61" t="str">
        <f>IF(OR(COUNTA(A586:E586)=0,D586=""),"",IFERROR(INDEX(ca_fam,MATCH(D586,ca_name,0))&amp;"",""))</f>
        <v/>
      </c>
      <c r="H586" s="58" t="str">
        <f>IF(OR(COUNTA(A586:E586)=0,D586=""),"",IFERROR(INDEX(ca_type,MATCH(D586,ca_name,0))&amp;"",""))</f>
        <v/>
      </c>
      <c r="I586" s="58" t="str">
        <f>IF(COUNTA(A586:E586)=0,"",IF(N(A586)&lt;=0,"Date manquante ou invalide",IF(B586="","Équipe manquante",IF(ISNA(MATCH(B586,eq_code,0)),"Équipe inconnue",IF(C586="","Poste manquant",IF(ISNA(MATCH(C586,po_code,0)),"Poste inconnu",IF(D586="","Cause manquante",IF(ISNA(MATCH(D586,ca_name,0)),"Cause inconnue",IF(H586="","Cause à compléter dans Paramètres",IF(OR(NOT(ISNUMBER(E586)),N(E586)&lt;=0,N(E586)&gt;1440),"Durée invalide",IF(COUNTIFS(sj_date,A586,sj_eq,B586,sj_po,C586)=0,"Pas de saisie journalière ce jour-là","OK")))))))))))</f>
        <v/>
      </c>
      <c r="J586">
        <f>IF(OR(I586="OK",I586="Pas de saisie journalière ce jour-là"),E586,0)</f>
        <v>0.0</v>
      </c>
      <c r="K586">
        <f>IF(AND(J586&gt;0,A586&gt;=p_from,A586&lt;=p_to),1,0)</f>
        <v>0.0</v>
      </c>
      <c r="L586">
        <f>IF(AND(K586=1,OR(pa_po="",C586=pa_po),OR(pa_eq="",B586=pa_eq)),1,0)</f>
        <v>0.0</v>
      </c>
    </row>
    <row r="587">
      <c r="A587" s="51" t="n"/>
      <c r="B587" s="52" t="n"/>
      <c r="C587" s="52" t="n"/>
      <c r="D587" s="53" t="n"/>
      <c r="E587" s="60" t="n"/>
      <c r="F587" s="53" t="n"/>
      <c r="G587" s="61" t="str">
        <f>IF(OR(COUNTA(A587:E587)=0,D587=""),"",IFERROR(INDEX(ca_fam,MATCH(D587,ca_name,0))&amp;"",""))</f>
        <v/>
      </c>
      <c r="H587" s="58" t="str">
        <f>IF(OR(COUNTA(A587:E587)=0,D587=""),"",IFERROR(INDEX(ca_type,MATCH(D587,ca_name,0))&amp;"",""))</f>
        <v/>
      </c>
      <c r="I587" s="58" t="str">
        <f>IF(COUNTA(A587:E587)=0,"",IF(N(A587)&lt;=0,"Date manquante ou invalide",IF(B587="","Équipe manquante",IF(ISNA(MATCH(B587,eq_code,0)),"Équipe inconnue",IF(C587="","Poste manquant",IF(ISNA(MATCH(C587,po_code,0)),"Poste inconnu",IF(D587="","Cause manquante",IF(ISNA(MATCH(D587,ca_name,0)),"Cause inconnue",IF(H587="","Cause à compléter dans Paramètres",IF(OR(NOT(ISNUMBER(E587)),N(E587)&lt;=0,N(E587)&gt;1440),"Durée invalide",IF(COUNTIFS(sj_date,A587,sj_eq,B587,sj_po,C587)=0,"Pas de saisie journalière ce jour-là","OK")))))))))))</f>
        <v/>
      </c>
      <c r="J587">
        <f>IF(OR(I587="OK",I587="Pas de saisie journalière ce jour-là"),E587,0)</f>
        <v>0.0</v>
      </c>
      <c r="K587">
        <f>IF(AND(J587&gt;0,A587&gt;=p_from,A587&lt;=p_to),1,0)</f>
        <v>0.0</v>
      </c>
      <c r="L587">
        <f>IF(AND(K587=1,OR(pa_po="",C587=pa_po),OR(pa_eq="",B587=pa_eq)),1,0)</f>
        <v>0.0</v>
      </c>
    </row>
    <row r="588">
      <c r="A588" s="51" t="n"/>
      <c r="B588" s="52" t="n"/>
      <c r="C588" s="52" t="n"/>
      <c r="D588" s="53" t="n"/>
      <c r="E588" s="60" t="n"/>
      <c r="F588" s="53" t="n"/>
      <c r="G588" s="61" t="str">
        <f>IF(OR(COUNTA(A588:E588)=0,D588=""),"",IFERROR(INDEX(ca_fam,MATCH(D588,ca_name,0))&amp;"",""))</f>
        <v/>
      </c>
      <c r="H588" s="58" t="str">
        <f>IF(OR(COUNTA(A588:E588)=0,D588=""),"",IFERROR(INDEX(ca_type,MATCH(D588,ca_name,0))&amp;"",""))</f>
        <v/>
      </c>
      <c r="I588" s="58" t="str">
        <f>IF(COUNTA(A588:E588)=0,"",IF(N(A588)&lt;=0,"Date manquante ou invalide",IF(B588="","Équipe manquante",IF(ISNA(MATCH(B588,eq_code,0)),"Équipe inconnue",IF(C588="","Poste manquant",IF(ISNA(MATCH(C588,po_code,0)),"Poste inconnu",IF(D588="","Cause manquante",IF(ISNA(MATCH(D588,ca_name,0)),"Cause inconnue",IF(H588="","Cause à compléter dans Paramètres",IF(OR(NOT(ISNUMBER(E588)),N(E588)&lt;=0,N(E588)&gt;1440),"Durée invalide",IF(COUNTIFS(sj_date,A588,sj_eq,B588,sj_po,C588)=0,"Pas de saisie journalière ce jour-là","OK")))))))))))</f>
        <v/>
      </c>
      <c r="J588">
        <f>IF(OR(I588="OK",I588="Pas de saisie journalière ce jour-là"),E588,0)</f>
        <v>0.0</v>
      </c>
      <c r="K588">
        <f>IF(AND(J588&gt;0,A588&gt;=p_from,A588&lt;=p_to),1,0)</f>
        <v>0.0</v>
      </c>
      <c r="L588">
        <f>IF(AND(K588=1,OR(pa_po="",C588=pa_po),OR(pa_eq="",B588=pa_eq)),1,0)</f>
        <v>0.0</v>
      </c>
    </row>
    <row r="589">
      <c r="A589" s="51" t="n"/>
      <c r="B589" s="52" t="n"/>
      <c r="C589" s="52" t="n"/>
      <c r="D589" s="53" t="n"/>
      <c r="E589" s="60" t="n"/>
      <c r="F589" s="53" t="n"/>
      <c r="G589" s="61" t="str">
        <f>IF(OR(COUNTA(A589:E589)=0,D589=""),"",IFERROR(INDEX(ca_fam,MATCH(D589,ca_name,0))&amp;"",""))</f>
        <v/>
      </c>
      <c r="H589" s="58" t="str">
        <f>IF(OR(COUNTA(A589:E589)=0,D589=""),"",IFERROR(INDEX(ca_type,MATCH(D589,ca_name,0))&amp;"",""))</f>
        <v/>
      </c>
      <c r="I589" s="58" t="str">
        <f>IF(COUNTA(A589:E589)=0,"",IF(N(A589)&lt;=0,"Date manquante ou invalide",IF(B589="","Équipe manquante",IF(ISNA(MATCH(B589,eq_code,0)),"Équipe inconnue",IF(C589="","Poste manquant",IF(ISNA(MATCH(C589,po_code,0)),"Poste inconnu",IF(D589="","Cause manquante",IF(ISNA(MATCH(D589,ca_name,0)),"Cause inconnue",IF(H589="","Cause à compléter dans Paramètres",IF(OR(NOT(ISNUMBER(E589)),N(E589)&lt;=0,N(E589)&gt;1440),"Durée invalide",IF(COUNTIFS(sj_date,A589,sj_eq,B589,sj_po,C589)=0,"Pas de saisie journalière ce jour-là","OK")))))))))))</f>
        <v/>
      </c>
      <c r="J589">
        <f>IF(OR(I589="OK",I589="Pas de saisie journalière ce jour-là"),E589,0)</f>
        <v>0.0</v>
      </c>
      <c r="K589">
        <f>IF(AND(J589&gt;0,A589&gt;=p_from,A589&lt;=p_to),1,0)</f>
        <v>0.0</v>
      </c>
      <c r="L589">
        <f>IF(AND(K589=1,OR(pa_po="",C589=pa_po),OR(pa_eq="",B589=pa_eq)),1,0)</f>
        <v>0.0</v>
      </c>
    </row>
    <row r="590">
      <c r="A590" s="51" t="n"/>
      <c r="B590" s="52" t="n"/>
      <c r="C590" s="52" t="n"/>
      <c r="D590" s="53" t="n"/>
      <c r="E590" s="60" t="n"/>
      <c r="F590" s="53" t="n"/>
      <c r="G590" s="61" t="str">
        <f>IF(OR(COUNTA(A590:E590)=0,D590=""),"",IFERROR(INDEX(ca_fam,MATCH(D590,ca_name,0))&amp;"",""))</f>
        <v/>
      </c>
      <c r="H590" s="58" t="str">
        <f>IF(OR(COUNTA(A590:E590)=0,D590=""),"",IFERROR(INDEX(ca_type,MATCH(D590,ca_name,0))&amp;"",""))</f>
        <v/>
      </c>
      <c r="I590" s="58" t="str">
        <f>IF(COUNTA(A590:E590)=0,"",IF(N(A590)&lt;=0,"Date manquante ou invalide",IF(B590="","Équipe manquante",IF(ISNA(MATCH(B590,eq_code,0)),"Équipe inconnue",IF(C590="","Poste manquant",IF(ISNA(MATCH(C590,po_code,0)),"Poste inconnu",IF(D590="","Cause manquante",IF(ISNA(MATCH(D590,ca_name,0)),"Cause inconnue",IF(H590="","Cause à compléter dans Paramètres",IF(OR(NOT(ISNUMBER(E590)),N(E590)&lt;=0,N(E590)&gt;1440),"Durée invalide",IF(COUNTIFS(sj_date,A590,sj_eq,B590,sj_po,C590)=0,"Pas de saisie journalière ce jour-là","OK")))))))))))</f>
        <v/>
      </c>
      <c r="J590">
        <f>IF(OR(I590="OK",I590="Pas de saisie journalière ce jour-là"),E590,0)</f>
        <v>0.0</v>
      </c>
      <c r="K590">
        <f>IF(AND(J590&gt;0,A590&gt;=p_from,A590&lt;=p_to),1,0)</f>
        <v>0.0</v>
      </c>
      <c r="L590">
        <f>IF(AND(K590=1,OR(pa_po="",C590=pa_po),OR(pa_eq="",B590=pa_eq)),1,0)</f>
        <v>0.0</v>
      </c>
    </row>
    <row r="591">
      <c r="A591" s="51" t="n"/>
      <c r="B591" s="52" t="n"/>
      <c r="C591" s="52" t="n"/>
      <c r="D591" s="53" t="n"/>
      <c r="E591" s="60" t="n"/>
      <c r="F591" s="53" t="n"/>
      <c r="G591" s="61" t="str">
        <f>IF(OR(COUNTA(A591:E591)=0,D591=""),"",IFERROR(INDEX(ca_fam,MATCH(D591,ca_name,0))&amp;"",""))</f>
        <v/>
      </c>
      <c r="H591" s="58" t="str">
        <f>IF(OR(COUNTA(A591:E591)=0,D591=""),"",IFERROR(INDEX(ca_type,MATCH(D591,ca_name,0))&amp;"",""))</f>
        <v/>
      </c>
      <c r="I591" s="58" t="str">
        <f>IF(COUNTA(A591:E591)=0,"",IF(N(A591)&lt;=0,"Date manquante ou invalide",IF(B591="","Équipe manquante",IF(ISNA(MATCH(B591,eq_code,0)),"Équipe inconnue",IF(C591="","Poste manquant",IF(ISNA(MATCH(C591,po_code,0)),"Poste inconnu",IF(D591="","Cause manquante",IF(ISNA(MATCH(D591,ca_name,0)),"Cause inconnue",IF(H591="","Cause à compléter dans Paramètres",IF(OR(NOT(ISNUMBER(E591)),N(E591)&lt;=0,N(E591)&gt;1440),"Durée invalide",IF(COUNTIFS(sj_date,A591,sj_eq,B591,sj_po,C591)=0,"Pas de saisie journalière ce jour-là","OK")))))))))))</f>
        <v/>
      </c>
      <c r="J591">
        <f>IF(OR(I591="OK",I591="Pas de saisie journalière ce jour-là"),E591,0)</f>
        <v>0.0</v>
      </c>
      <c r="K591">
        <f>IF(AND(J591&gt;0,A591&gt;=p_from,A591&lt;=p_to),1,0)</f>
        <v>0.0</v>
      </c>
      <c r="L591">
        <f>IF(AND(K591=1,OR(pa_po="",C591=pa_po),OR(pa_eq="",B591=pa_eq)),1,0)</f>
        <v>0.0</v>
      </c>
    </row>
    <row r="592">
      <c r="A592" s="51" t="n"/>
      <c r="B592" s="52" t="n"/>
      <c r="C592" s="52" t="n"/>
      <c r="D592" s="53" t="n"/>
      <c r="E592" s="60" t="n"/>
      <c r="F592" s="53" t="n"/>
      <c r="G592" s="61" t="str">
        <f>IF(OR(COUNTA(A592:E592)=0,D592=""),"",IFERROR(INDEX(ca_fam,MATCH(D592,ca_name,0))&amp;"",""))</f>
        <v/>
      </c>
      <c r="H592" s="58" t="str">
        <f>IF(OR(COUNTA(A592:E592)=0,D592=""),"",IFERROR(INDEX(ca_type,MATCH(D592,ca_name,0))&amp;"",""))</f>
        <v/>
      </c>
      <c r="I592" s="58" t="str">
        <f>IF(COUNTA(A592:E592)=0,"",IF(N(A592)&lt;=0,"Date manquante ou invalide",IF(B592="","Équipe manquante",IF(ISNA(MATCH(B592,eq_code,0)),"Équipe inconnue",IF(C592="","Poste manquant",IF(ISNA(MATCH(C592,po_code,0)),"Poste inconnu",IF(D592="","Cause manquante",IF(ISNA(MATCH(D592,ca_name,0)),"Cause inconnue",IF(H592="","Cause à compléter dans Paramètres",IF(OR(NOT(ISNUMBER(E592)),N(E592)&lt;=0,N(E592)&gt;1440),"Durée invalide",IF(COUNTIFS(sj_date,A592,sj_eq,B592,sj_po,C592)=0,"Pas de saisie journalière ce jour-là","OK")))))))))))</f>
        <v/>
      </c>
      <c r="J592">
        <f>IF(OR(I592="OK",I592="Pas de saisie journalière ce jour-là"),E592,0)</f>
        <v>0.0</v>
      </c>
      <c r="K592">
        <f>IF(AND(J592&gt;0,A592&gt;=p_from,A592&lt;=p_to),1,0)</f>
        <v>0.0</v>
      </c>
      <c r="L592">
        <f>IF(AND(K592=1,OR(pa_po="",C592=pa_po),OR(pa_eq="",B592=pa_eq)),1,0)</f>
        <v>0.0</v>
      </c>
    </row>
    <row r="593">
      <c r="A593" s="51" t="n"/>
      <c r="B593" s="52" t="n"/>
      <c r="C593" s="52" t="n"/>
      <c r="D593" s="53" t="n"/>
      <c r="E593" s="60" t="n"/>
      <c r="F593" s="53" t="n"/>
      <c r="G593" s="61" t="str">
        <f>IF(OR(COUNTA(A593:E593)=0,D593=""),"",IFERROR(INDEX(ca_fam,MATCH(D593,ca_name,0))&amp;"",""))</f>
        <v/>
      </c>
      <c r="H593" s="58" t="str">
        <f>IF(OR(COUNTA(A593:E593)=0,D593=""),"",IFERROR(INDEX(ca_type,MATCH(D593,ca_name,0))&amp;"",""))</f>
        <v/>
      </c>
      <c r="I593" s="58" t="str">
        <f>IF(COUNTA(A593:E593)=0,"",IF(N(A593)&lt;=0,"Date manquante ou invalide",IF(B593="","Équipe manquante",IF(ISNA(MATCH(B593,eq_code,0)),"Équipe inconnue",IF(C593="","Poste manquant",IF(ISNA(MATCH(C593,po_code,0)),"Poste inconnu",IF(D593="","Cause manquante",IF(ISNA(MATCH(D593,ca_name,0)),"Cause inconnue",IF(H593="","Cause à compléter dans Paramètres",IF(OR(NOT(ISNUMBER(E593)),N(E593)&lt;=0,N(E593)&gt;1440),"Durée invalide",IF(COUNTIFS(sj_date,A593,sj_eq,B593,sj_po,C593)=0,"Pas de saisie journalière ce jour-là","OK")))))))))))</f>
        <v/>
      </c>
      <c r="J593">
        <f>IF(OR(I593="OK",I593="Pas de saisie journalière ce jour-là"),E593,0)</f>
        <v>0.0</v>
      </c>
      <c r="K593">
        <f>IF(AND(J593&gt;0,A593&gt;=p_from,A593&lt;=p_to),1,0)</f>
        <v>0.0</v>
      </c>
      <c r="L593">
        <f>IF(AND(K593=1,OR(pa_po="",C593=pa_po),OR(pa_eq="",B593=pa_eq)),1,0)</f>
        <v>0.0</v>
      </c>
    </row>
    <row r="594">
      <c r="A594" s="51" t="n"/>
      <c r="B594" s="52" t="n"/>
      <c r="C594" s="52" t="n"/>
      <c r="D594" s="53" t="n"/>
      <c r="E594" s="60" t="n"/>
      <c r="F594" s="53" t="n"/>
      <c r="G594" s="61" t="str">
        <f>IF(OR(COUNTA(A594:E594)=0,D594=""),"",IFERROR(INDEX(ca_fam,MATCH(D594,ca_name,0))&amp;"",""))</f>
        <v/>
      </c>
      <c r="H594" s="58" t="str">
        <f>IF(OR(COUNTA(A594:E594)=0,D594=""),"",IFERROR(INDEX(ca_type,MATCH(D594,ca_name,0))&amp;"",""))</f>
        <v/>
      </c>
      <c r="I594" s="58" t="str">
        <f>IF(COUNTA(A594:E594)=0,"",IF(N(A594)&lt;=0,"Date manquante ou invalide",IF(B594="","Équipe manquante",IF(ISNA(MATCH(B594,eq_code,0)),"Équipe inconnue",IF(C594="","Poste manquant",IF(ISNA(MATCH(C594,po_code,0)),"Poste inconnu",IF(D594="","Cause manquante",IF(ISNA(MATCH(D594,ca_name,0)),"Cause inconnue",IF(H594="","Cause à compléter dans Paramètres",IF(OR(NOT(ISNUMBER(E594)),N(E594)&lt;=0,N(E594)&gt;1440),"Durée invalide",IF(COUNTIFS(sj_date,A594,sj_eq,B594,sj_po,C594)=0,"Pas de saisie journalière ce jour-là","OK")))))))))))</f>
        <v/>
      </c>
      <c r="J594">
        <f>IF(OR(I594="OK",I594="Pas de saisie journalière ce jour-là"),E594,0)</f>
        <v>0.0</v>
      </c>
      <c r="K594">
        <f>IF(AND(J594&gt;0,A594&gt;=p_from,A594&lt;=p_to),1,0)</f>
        <v>0.0</v>
      </c>
      <c r="L594">
        <f>IF(AND(K594=1,OR(pa_po="",C594=pa_po),OR(pa_eq="",B594=pa_eq)),1,0)</f>
        <v>0.0</v>
      </c>
    </row>
    <row r="595">
      <c r="A595" s="51" t="n"/>
      <c r="B595" s="52" t="n"/>
      <c r="C595" s="52" t="n"/>
      <c r="D595" s="53" t="n"/>
      <c r="E595" s="60" t="n"/>
      <c r="F595" s="53" t="n"/>
      <c r="G595" s="61" t="str">
        <f>IF(OR(COUNTA(A595:E595)=0,D595=""),"",IFERROR(INDEX(ca_fam,MATCH(D595,ca_name,0))&amp;"",""))</f>
        <v/>
      </c>
      <c r="H595" s="58" t="str">
        <f>IF(OR(COUNTA(A595:E595)=0,D595=""),"",IFERROR(INDEX(ca_type,MATCH(D595,ca_name,0))&amp;"",""))</f>
        <v/>
      </c>
      <c r="I595" s="58" t="str">
        <f>IF(COUNTA(A595:E595)=0,"",IF(N(A595)&lt;=0,"Date manquante ou invalide",IF(B595="","Équipe manquante",IF(ISNA(MATCH(B595,eq_code,0)),"Équipe inconnue",IF(C595="","Poste manquant",IF(ISNA(MATCH(C595,po_code,0)),"Poste inconnu",IF(D595="","Cause manquante",IF(ISNA(MATCH(D595,ca_name,0)),"Cause inconnue",IF(H595="","Cause à compléter dans Paramètres",IF(OR(NOT(ISNUMBER(E595)),N(E595)&lt;=0,N(E595)&gt;1440),"Durée invalide",IF(COUNTIFS(sj_date,A595,sj_eq,B595,sj_po,C595)=0,"Pas de saisie journalière ce jour-là","OK")))))))))))</f>
        <v/>
      </c>
      <c r="J595">
        <f>IF(OR(I595="OK",I595="Pas de saisie journalière ce jour-là"),E595,0)</f>
        <v>0.0</v>
      </c>
      <c r="K595">
        <f>IF(AND(J595&gt;0,A595&gt;=p_from,A595&lt;=p_to),1,0)</f>
        <v>0.0</v>
      </c>
      <c r="L595">
        <f>IF(AND(K595=1,OR(pa_po="",C595=pa_po),OR(pa_eq="",B595=pa_eq)),1,0)</f>
        <v>0.0</v>
      </c>
    </row>
    <row r="596">
      <c r="A596" s="51" t="n"/>
      <c r="B596" s="52" t="n"/>
      <c r="C596" s="52" t="n"/>
      <c r="D596" s="53" t="n"/>
      <c r="E596" s="60" t="n"/>
      <c r="F596" s="53" t="n"/>
      <c r="G596" s="61" t="str">
        <f>IF(OR(COUNTA(A596:E596)=0,D596=""),"",IFERROR(INDEX(ca_fam,MATCH(D596,ca_name,0))&amp;"",""))</f>
        <v/>
      </c>
      <c r="H596" s="58" t="str">
        <f>IF(OR(COUNTA(A596:E596)=0,D596=""),"",IFERROR(INDEX(ca_type,MATCH(D596,ca_name,0))&amp;"",""))</f>
        <v/>
      </c>
      <c r="I596" s="58" t="str">
        <f>IF(COUNTA(A596:E596)=0,"",IF(N(A596)&lt;=0,"Date manquante ou invalide",IF(B596="","Équipe manquante",IF(ISNA(MATCH(B596,eq_code,0)),"Équipe inconnue",IF(C596="","Poste manquant",IF(ISNA(MATCH(C596,po_code,0)),"Poste inconnu",IF(D596="","Cause manquante",IF(ISNA(MATCH(D596,ca_name,0)),"Cause inconnue",IF(H596="","Cause à compléter dans Paramètres",IF(OR(NOT(ISNUMBER(E596)),N(E596)&lt;=0,N(E596)&gt;1440),"Durée invalide",IF(COUNTIFS(sj_date,A596,sj_eq,B596,sj_po,C596)=0,"Pas de saisie journalière ce jour-là","OK")))))))))))</f>
        <v/>
      </c>
      <c r="J596">
        <f>IF(OR(I596="OK",I596="Pas de saisie journalière ce jour-là"),E596,0)</f>
        <v>0.0</v>
      </c>
      <c r="K596">
        <f>IF(AND(J596&gt;0,A596&gt;=p_from,A596&lt;=p_to),1,0)</f>
        <v>0.0</v>
      </c>
      <c r="L596">
        <f>IF(AND(K596=1,OR(pa_po="",C596=pa_po),OR(pa_eq="",B596=pa_eq)),1,0)</f>
        <v>0.0</v>
      </c>
    </row>
    <row r="597">
      <c r="A597" s="51" t="n"/>
      <c r="B597" s="52" t="n"/>
      <c r="C597" s="52" t="n"/>
      <c r="D597" s="53" t="n"/>
      <c r="E597" s="60" t="n"/>
      <c r="F597" s="53" t="n"/>
      <c r="G597" s="61" t="str">
        <f>IF(OR(COUNTA(A597:E597)=0,D597=""),"",IFERROR(INDEX(ca_fam,MATCH(D597,ca_name,0))&amp;"",""))</f>
        <v/>
      </c>
      <c r="H597" s="58" t="str">
        <f>IF(OR(COUNTA(A597:E597)=0,D597=""),"",IFERROR(INDEX(ca_type,MATCH(D597,ca_name,0))&amp;"",""))</f>
        <v/>
      </c>
      <c r="I597" s="58" t="str">
        <f>IF(COUNTA(A597:E597)=0,"",IF(N(A597)&lt;=0,"Date manquante ou invalide",IF(B597="","Équipe manquante",IF(ISNA(MATCH(B597,eq_code,0)),"Équipe inconnue",IF(C597="","Poste manquant",IF(ISNA(MATCH(C597,po_code,0)),"Poste inconnu",IF(D597="","Cause manquante",IF(ISNA(MATCH(D597,ca_name,0)),"Cause inconnue",IF(H597="","Cause à compléter dans Paramètres",IF(OR(NOT(ISNUMBER(E597)),N(E597)&lt;=0,N(E597)&gt;1440),"Durée invalide",IF(COUNTIFS(sj_date,A597,sj_eq,B597,sj_po,C597)=0,"Pas de saisie journalière ce jour-là","OK")))))))))))</f>
        <v/>
      </c>
      <c r="J597">
        <f>IF(OR(I597="OK",I597="Pas de saisie journalière ce jour-là"),E597,0)</f>
        <v>0.0</v>
      </c>
      <c r="K597">
        <f>IF(AND(J597&gt;0,A597&gt;=p_from,A597&lt;=p_to),1,0)</f>
        <v>0.0</v>
      </c>
      <c r="L597">
        <f>IF(AND(K597=1,OR(pa_po="",C597=pa_po),OR(pa_eq="",B597=pa_eq)),1,0)</f>
        <v>0.0</v>
      </c>
    </row>
    <row r="598">
      <c r="A598" s="51" t="n"/>
      <c r="B598" s="52" t="n"/>
      <c r="C598" s="52" t="n"/>
      <c r="D598" s="53" t="n"/>
      <c r="E598" s="60" t="n"/>
      <c r="F598" s="53" t="n"/>
      <c r="G598" s="61" t="str">
        <f>IF(OR(COUNTA(A598:E598)=0,D598=""),"",IFERROR(INDEX(ca_fam,MATCH(D598,ca_name,0))&amp;"",""))</f>
        <v/>
      </c>
      <c r="H598" s="58" t="str">
        <f>IF(OR(COUNTA(A598:E598)=0,D598=""),"",IFERROR(INDEX(ca_type,MATCH(D598,ca_name,0))&amp;"",""))</f>
        <v/>
      </c>
      <c r="I598" s="58" t="str">
        <f>IF(COUNTA(A598:E598)=0,"",IF(N(A598)&lt;=0,"Date manquante ou invalide",IF(B598="","Équipe manquante",IF(ISNA(MATCH(B598,eq_code,0)),"Équipe inconnue",IF(C598="","Poste manquant",IF(ISNA(MATCH(C598,po_code,0)),"Poste inconnu",IF(D598="","Cause manquante",IF(ISNA(MATCH(D598,ca_name,0)),"Cause inconnue",IF(H598="","Cause à compléter dans Paramètres",IF(OR(NOT(ISNUMBER(E598)),N(E598)&lt;=0,N(E598)&gt;1440),"Durée invalide",IF(COUNTIFS(sj_date,A598,sj_eq,B598,sj_po,C598)=0,"Pas de saisie journalière ce jour-là","OK")))))))))))</f>
        <v/>
      </c>
      <c r="J598">
        <f>IF(OR(I598="OK",I598="Pas de saisie journalière ce jour-là"),E598,0)</f>
        <v>0.0</v>
      </c>
      <c r="K598">
        <f>IF(AND(J598&gt;0,A598&gt;=p_from,A598&lt;=p_to),1,0)</f>
        <v>0.0</v>
      </c>
      <c r="L598">
        <f>IF(AND(K598=1,OR(pa_po="",C598=pa_po),OR(pa_eq="",B598=pa_eq)),1,0)</f>
        <v>0.0</v>
      </c>
    </row>
    <row r="599">
      <c r="A599" s="51" t="n"/>
      <c r="B599" s="52" t="n"/>
      <c r="C599" s="52" t="n"/>
      <c r="D599" s="53" t="n"/>
      <c r="E599" s="60" t="n"/>
      <c r="F599" s="53" t="n"/>
      <c r="G599" s="61" t="str">
        <f>IF(OR(COUNTA(A599:E599)=0,D599=""),"",IFERROR(INDEX(ca_fam,MATCH(D599,ca_name,0))&amp;"",""))</f>
        <v/>
      </c>
      <c r="H599" s="58" t="str">
        <f>IF(OR(COUNTA(A599:E599)=0,D599=""),"",IFERROR(INDEX(ca_type,MATCH(D599,ca_name,0))&amp;"",""))</f>
        <v/>
      </c>
      <c r="I599" s="58" t="str">
        <f>IF(COUNTA(A599:E599)=0,"",IF(N(A599)&lt;=0,"Date manquante ou invalide",IF(B599="","Équipe manquante",IF(ISNA(MATCH(B599,eq_code,0)),"Équipe inconnue",IF(C599="","Poste manquant",IF(ISNA(MATCH(C599,po_code,0)),"Poste inconnu",IF(D599="","Cause manquante",IF(ISNA(MATCH(D599,ca_name,0)),"Cause inconnue",IF(H599="","Cause à compléter dans Paramètres",IF(OR(NOT(ISNUMBER(E599)),N(E599)&lt;=0,N(E599)&gt;1440),"Durée invalide",IF(COUNTIFS(sj_date,A599,sj_eq,B599,sj_po,C599)=0,"Pas de saisie journalière ce jour-là","OK")))))))))))</f>
        <v/>
      </c>
      <c r="J599">
        <f>IF(OR(I599="OK",I599="Pas de saisie journalière ce jour-là"),E599,0)</f>
        <v>0.0</v>
      </c>
      <c r="K599">
        <f>IF(AND(J599&gt;0,A599&gt;=p_from,A599&lt;=p_to),1,0)</f>
        <v>0.0</v>
      </c>
      <c r="L599">
        <f>IF(AND(K599=1,OR(pa_po="",C599=pa_po),OR(pa_eq="",B599=pa_eq)),1,0)</f>
        <v>0.0</v>
      </c>
    </row>
    <row r="600">
      <c r="A600" s="51" t="n"/>
      <c r="B600" s="52" t="n"/>
      <c r="C600" s="52" t="n"/>
      <c r="D600" s="53" t="n"/>
      <c r="E600" s="60" t="n"/>
      <c r="F600" s="53" t="n"/>
      <c r="G600" s="61" t="str">
        <f>IF(OR(COUNTA(A600:E600)=0,D600=""),"",IFERROR(INDEX(ca_fam,MATCH(D600,ca_name,0))&amp;"",""))</f>
        <v/>
      </c>
      <c r="H600" s="58" t="str">
        <f>IF(OR(COUNTA(A600:E600)=0,D600=""),"",IFERROR(INDEX(ca_type,MATCH(D600,ca_name,0))&amp;"",""))</f>
        <v/>
      </c>
      <c r="I600" s="58" t="str">
        <f>IF(COUNTA(A600:E600)=0,"",IF(N(A600)&lt;=0,"Date manquante ou invalide",IF(B600="","Équipe manquante",IF(ISNA(MATCH(B600,eq_code,0)),"Équipe inconnue",IF(C600="","Poste manquant",IF(ISNA(MATCH(C600,po_code,0)),"Poste inconnu",IF(D600="","Cause manquante",IF(ISNA(MATCH(D600,ca_name,0)),"Cause inconnue",IF(H600="","Cause à compléter dans Paramètres",IF(OR(NOT(ISNUMBER(E600)),N(E600)&lt;=0,N(E600)&gt;1440),"Durée invalide",IF(COUNTIFS(sj_date,A600,sj_eq,B600,sj_po,C600)=0,"Pas de saisie journalière ce jour-là","OK")))))))))))</f>
        <v/>
      </c>
      <c r="J600">
        <f>IF(OR(I600="OK",I600="Pas de saisie journalière ce jour-là"),E600,0)</f>
        <v>0.0</v>
      </c>
      <c r="K600">
        <f>IF(AND(J600&gt;0,A600&gt;=p_from,A600&lt;=p_to),1,0)</f>
        <v>0.0</v>
      </c>
      <c r="L600">
        <f>IF(AND(K600=1,OR(pa_po="",C600=pa_po),OR(pa_eq="",B600=pa_eq)),1,0)</f>
        <v>0.0</v>
      </c>
    </row>
    <row r="601">
      <c r="A601" s="51" t="n"/>
      <c r="B601" s="52" t="n"/>
      <c r="C601" s="52" t="n"/>
      <c r="D601" s="53" t="n"/>
      <c r="E601" s="60" t="n"/>
      <c r="F601" s="53" t="n"/>
      <c r="G601" s="61" t="str">
        <f>IF(OR(COUNTA(A601:E601)=0,D601=""),"",IFERROR(INDEX(ca_fam,MATCH(D601,ca_name,0))&amp;"",""))</f>
        <v/>
      </c>
      <c r="H601" s="58" t="str">
        <f>IF(OR(COUNTA(A601:E601)=0,D601=""),"",IFERROR(INDEX(ca_type,MATCH(D601,ca_name,0))&amp;"",""))</f>
        <v/>
      </c>
      <c r="I601" s="58" t="str">
        <f>IF(COUNTA(A601:E601)=0,"",IF(N(A601)&lt;=0,"Date manquante ou invalide",IF(B601="","Équipe manquante",IF(ISNA(MATCH(B601,eq_code,0)),"Équipe inconnue",IF(C601="","Poste manquant",IF(ISNA(MATCH(C601,po_code,0)),"Poste inconnu",IF(D601="","Cause manquante",IF(ISNA(MATCH(D601,ca_name,0)),"Cause inconnue",IF(H601="","Cause à compléter dans Paramètres",IF(OR(NOT(ISNUMBER(E601)),N(E601)&lt;=0,N(E601)&gt;1440),"Durée invalide",IF(COUNTIFS(sj_date,A601,sj_eq,B601,sj_po,C601)=0,"Pas de saisie journalière ce jour-là","OK")))))))))))</f>
        <v/>
      </c>
      <c r="J601">
        <f>IF(OR(I601="OK",I601="Pas de saisie journalière ce jour-là"),E601,0)</f>
        <v>0.0</v>
      </c>
      <c r="K601">
        <f>IF(AND(J601&gt;0,A601&gt;=p_from,A601&lt;=p_to),1,0)</f>
        <v>0.0</v>
      </c>
      <c r="L601">
        <f>IF(AND(K601=1,OR(pa_po="",C601=pa_po),OR(pa_eq="",B601=pa_eq)),1,0)</f>
        <v>0.0</v>
      </c>
    </row>
    <row r="602">
      <c r="A602" s="51" t="n"/>
      <c r="B602" s="52" t="n"/>
      <c r="C602" s="52" t="n"/>
      <c r="D602" s="53" t="n"/>
      <c r="E602" s="60" t="n"/>
      <c r="F602" s="53" t="n"/>
      <c r="G602" s="61" t="str">
        <f>IF(OR(COUNTA(A602:E602)=0,D602=""),"",IFERROR(INDEX(ca_fam,MATCH(D602,ca_name,0))&amp;"",""))</f>
        <v/>
      </c>
      <c r="H602" s="58" t="str">
        <f>IF(OR(COUNTA(A602:E602)=0,D602=""),"",IFERROR(INDEX(ca_type,MATCH(D602,ca_name,0))&amp;"",""))</f>
        <v/>
      </c>
      <c r="I602" s="58" t="str">
        <f>IF(COUNTA(A602:E602)=0,"",IF(N(A602)&lt;=0,"Date manquante ou invalide",IF(B602="","Équipe manquante",IF(ISNA(MATCH(B602,eq_code,0)),"Équipe inconnue",IF(C602="","Poste manquant",IF(ISNA(MATCH(C602,po_code,0)),"Poste inconnu",IF(D602="","Cause manquante",IF(ISNA(MATCH(D602,ca_name,0)),"Cause inconnue",IF(H602="","Cause à compléter dans Paramètres",IF(OR(NOT(ISNUMBER(E602)),N(E602)&lt;=0,N(E602)&gt;1440),"Durée invalide",IF(COUNTIFS(sj_date,A602,sj_eq,B602,sj_po,C602)=0,"Pas de saisie journalière ce jour-là","OK")))))))))))</f>
        <v/>
      </c>
      <c r="J602">
        <f>IF(OR(I602="OK",I602="Pas de saisie journalière ce jour-là"),E602,0)</f>
        <v>0.0</v>
      </c>
      <c r="K602">
        <f>IF(AND(J602&gt;0,A602&gt;=p_from,A602&lt;=p_to),1,0)</f>
        <v>0.0</v>
      </c>
      <c r="L602">
        <f>IF(AND(K602=1,OR(pa_po="",C602=pa_po),OR(pa_eq="",B602=pa_eq)),1,0)</f>
        <v>0.0</v>
      </c>
    </row>
    <row r="603">
      <c r="A603" s="51" t="n"/>
      <c r="B603" s="52" t="n"/>
      <c r="C603" s="52" t="n"/>
      <c r="D603" s="53" t="n"/>
      <c r="E603" s="60" t="n"/>
      <c r="F603" s="53" t="n"/>
      <c r="G603" s="61" t="str">
        <f>IF(OR(COUNTA(A603:E603)=0,D603=""),"",IFERROR(INDEX(ca_fam,MATCH(D603,ca_name,0))&amp;"",""))</f>
        <v/>
      </c>
      <c r="H603" s="58" t="str">
        <f>IF(OR(COUNTA(A603:E603)=0,D603=""),"",IFERROR(INDEX(ca_type,MATCH(D603,ca_name,0))&amp;"",""))</f>
        <v/>
      </c>
      <c r="I603" s="58" t="str">
        <f>IF(COUNTA(A603:E603)=0,"",IF(N(A603)&lt;=0,"Date manquante ou invalide",IF(B603="","Équipe manquante",IF(ISNA(MATCH(B603,eq_code,0)),"Équipe inconnue",IF(C603="","Poste manquant",IF(ISNA(MATCH(C603,po_code,0)),"Poste inconnu",IF(D603="","Cause manquante",IF(ISNA(MATCH(D603,ca_name,0)),"Cause inconnue",IF(H603="","Cause à compléter dans Paramètres",IF(OR(NOT(ISNUMBER(E603)),N(E603)&lt;=0,N(E603)&gt;1440),"Durée invalide",IF(COUNTIFS(sj_date,A603,sj_eq,B603,sj_po,C603)=0,"Pas de saisie journalière ce jour-là","OK")))))))))))</f>
        <v/>
      </c>
      <c r="J603">
        <f>IF(OR(I603="OK",I603="Pas de saisie journalière ce jour-là"),E603,0)</f>
        <v>0.0</v>
      </c>
      <c r="K603">
        <f>IF(AND(J603&gt;0,A603&gt;=p_from,A603&lt;=p_to),1,0)</f>
        <v>0.0</v>
      </c>
      <c r="L603">
        <f>IF(AND(K603=1,OR(pa_po="",C603=pa_po),OR(pa_eq="",B603=pa_eq)),1,0)</f>
        <v>0.0</v>
      </c>
    </row>
    <row r="604">
      <c r="A604" s="51" t="n"/>
      <c r="B604" s="52" t="n"/>
      <c r="C604" s="52" t="n"/>
      <c r="D604" s="53" t="n"/>
      <c r="E604" s="60" t="n"/>
      <c r="F604" s="53" t="n"/>
      <c r="G604" s="61" t="str">
        <f>IF(OR(COUNTA(A604:E604)=0,D604=""),"",IFERROR(INDEX(ca_fam,MATCH(D604,ca_name,0))&amp;"",""))</f>
        <v/>
      </c>
      <c r="H604" s="58" t="str">
        <f>IF(OR(COUNTA(A604:E604)=0,D604=""),"",IFERROR(INDEX(ca_type,MATCH(D604,ca_name,0))&amp;"",""))</f>
        <v/>
      </c>
      <c r="I604" s="58" t="str">
        <f>IF(COUNTA(A604:E604)=0,"",IF(N(A604)&lt;=0,"Date manquante ou invalide",IF(B604="","Équipe manquante",IF(ISNA(MATCH(B604,eq_code,0)),"Équipe inconnue",IF(C604="","Poste manquant",IF(ISNA(MATCH(C604,po_code,0)),"Poste inconnu",IF(D604="","Cause manquante",IF(ISNA(MATCH(D604,ca_name,0)),"Cause inconnue",IF(H604="","Cause à compléter dans Paramètres",IF(OR(NOT(ISNUMBER(E604)),N(E604)&lt;=0,N(E604)&gt;1440),"Durée invalide",IF(COUNTIFS(sj_date,A604,sj_eq,B604,sj_po,C604)=0,"Pas de saisie journalière ce jour-là","OK")))))))))))</f>
        <v/>
      </c>
      <c r="J604">
        <f>IF(OR(I604="OK",I604="Pas de saisie journalière ce jour-là"),E604,0)</f>
        <v>0.0</v>
      </c>
      <c r="K604">
        <f>IF(AND(J604&gt;0,A604&gt;=p_from,A604&lt;=p_to),1,0)</f>
        <v>0.0</v>
      </c>
      <c r="L604">
        <f>IF(AND(K604=1,OR(pa_po="",C604=pa_po),OR(pa_eq="",B604=pa_eq)),1,0)</f>
        <v>0.0</v>
      </c>
    </row>
    <row r="605">
      <c r="A605" s="51" t="n"/>
      <c r="B605" s="52" t="n"/>
      <c r="C605" s="52" t="n"/>
      <c r="D605" s="53" t="n"/>
      <c r="E605" s="60" t="n"/>
      <c r="F605" s="53" t="n"/>
      <c r="G605" s="61" t="str">
        <f>IF(OR(COUNTA(A605:E605)=0,D605=""),"",IFERROR(INDEX(ca_fam,MATCH(D605,ca_name,0))&amp;"",""))</f>
        <v/>
      </c>
      <c r="H605" s="58" t="str">
        <f>IF(OR(COUNTA(A605:E605)=0,D605=""),"",IFERROR(INDEX(ca_type,MATCH(D605,ca_name,0))&amp;"",""))</f>
        <v/>
      </c>
      <c r="I605" s="58" t="str">
        <f>IF(COUNTA(A605:E605)=0,"",IF(N(A605)&lt;=0,"Date manquante ou invalide",IF(B605="","Équipe manquante",IF(ISNA(MATCH(B605,eq_code,0)),"Équipe inconnue",IF(C605="","Poste manquant",IF(ISNA(MATCH(C605,po_code,0)),"Poste inconnu",IF(D605="","Cause manquante",IF(ISNA(MATCH(D605,ca_name,0)),"Cause inconnue",IF(H605="","Cause à compléter dans Paramètres",IF(OR(NOT(ISNUMBER(E605)),N(E605)&lt;=0,N(E605)&gt;1440),"Durée invalide",IF(COUNTIFS(sj_date,A605,sj_eq,B605,sj_po,C605)=0,"Pas de saisie journalière ce jour-là","OK")))))))))))</f>
        <v/>
      </c>
      <c r="J605">
        <f>IF(OR(I605="OK",I605="Pas de saisie journalière ce jour-là"),E605,0)</f>
        <v>0.0</v>
      </c>
      <c r="K605">
        <f>IF(AND(J605&gt;0,A605&gt;=p_from,A605&lt;=p_to),1,0)</f>
        <v>0.0</v>
      </c>
      <c r="L605">
        <f>IF(AND(K605=1,OR(pa_po="",C605=pa_po),OR(pa_eq="",B605=pa_eq)),1,0)</f>
        <v>0.0</v>
      </c>
    </row>
    <row r="606">
      <c r="A606" s="51" t="n"/>
      <c r="B606" s="52" t="n"/>
      <c r="C606" s="52" t="n"/>
      <c r="D606" s="53" t="n"/>
      <c r="E606" s="60" t="n"/>
      <c r="F606" s="53" t="n"/>
      <c r="G606" s="61" t="str">
        <f>IF(OR(COUNTA(A606:E606)=0,D606=""),"",IFERROR(INDEX(ca_fam,MATCH(D606,ca_name,0))&amp;"",""))</f>
        <v/>
      </c>
      <c r="H606" s="58" t="str">
        <f>IF(OR(COUNTA(A606:E606)=0,D606=""),"",IFERROR(INDEX(ca_type,MATCH(D606,ca_name,0))&amp;"",""))</f>
        <v/>
      </c>
      <c r="I606" s="58" t="str">
        <f>IF(COUNTA(A606:E606)=0,"",IF(N(A606)&lt;=0,"Date manquante ou invalide",IF(B606="","Équipe manquante",IF(ISNA(MATCH(B606,eq_code,0)),"Équipe inconnue",IF(C606="","Poste manquant",IF(ISNA(MATCH(C606,po_code,0)),"Poste inconnu",IF(D606="","Cause manquante",IF(ISNA(MATCH(D606,ca_name,0)),"Cause inconnue",IF(H606="","Cause à compléter dans Paramètres",IF(OR(NOT(ISNUMBER(E606)),N(E606)&lt;=0,N(E606)&gt;1440),"Durée invalide",IF(COUNTIFS(sj_date,A606,sj_eq,B606,sj_po,C606)=0,"Pas de saisie journalière ce jour-là","OK")))))))))))</f>
        <v/>
      </c>
      <c r="J606">
        <f>IF(OR(I606="OK",I606="Pas de saisie journalière ce jour-là"),E606,0)</f>
        <v>0.0</v>
      </c>
      <c r="K606">
        <f>IF(AND(J606&gt;0,A606&gt;=p_from,A606&lt;=p_to),1,0)</f>
        <v>0.0</v>
      </c>
      <c r="L606">
        <f>IF(AND(K606=1,OR(pa_po="",C606=pa_po),OR(pa_eq="",B606=pa_eq)),1,0)</f>
        <v>0.0</v>
      </c>
    </row>
    <row r="607">
      <c r="A607" s="51" t="n"/>
      <c r="B607" s="52" t="n"/>
      <c r="C607" s="52" t="n"/>
      <c r="D607" s="53" t="n"/>
      <c r="E607" s="60" t="n"/>
      <c r="F607" s="53" t="n"/>
      <c r="G607" s="61" t="str">
        <f>IF(OR(COUNTA(A607:E607)=0,D607=""),"",IFERROR(INDEX(ca_fam,MATCH(D607,ca_name,0))&amp;"",""))</f>
        <v/>
      </c>
      <c r="H607" s="58" t="str">
        <f>IF(OR(COUNTA(A607:E607)=0,D607=""),"",IFERROR(INDEX(ca_type,MATCH(D607,ca_name,0))&amp;"",""))</f>
        <v/>
      </c>
      <c r="I607" s="58" t="str">
        <f>IF(COUNTA(A607:E607)=0,"",IF(N(A607)&lt;=0,"Date manquante ou invalide",IF(B607="","Équipe manquante",IF(ISNA(MATCH(B607,eq_code,0)),"Équipe inconnue",IF(C607="","Poste manquant",IF(ISNA(MATCH(C607,po_code,0)),"Poste inconnu",IF(D607="","Cause manquante",IF(ISNA(MATCH(D607,ca_name,0)),"Cause inconnue",IF(H607="","Cause à compléter dans Paramètres",IF(OR(NOT(ISNUMBER(E607)),N(E607)&lt;=0,N(E607)&gt;1440),"Durée invalide",IF(COUNTIFS(sj_date,A607,sj_eq,B607,sj_po,C607)=0,"Pas de saisie journalière ce jour-là","OK")))))))))))</f>
        <v/>
      </c>
      <c r="J607">
        <f>IF(OR(I607="OK",I607="Pas de saisie journalière ce jour-là"),E607,0)</f>
        <v>0.0</v>
      </c>
      <c r="K607">
        <f>IF(AND(J607&gt;0,A607&gt;=p_from,A607&lt;=p_to),1,0)</f>
        <v>0.0</v>
      </c>
      <c r="L607">
        <f>IF(AND(K607=1,OR(pa_po="",C607=pa_po),OR(pa_eq="",B607=pa_eq)),1,0)</f>
        <v>0.0</v>
      </c>
    </row>
    <row r="608">
      <c r="A608" s="51" t="n"/>
      <c r="B608" s="52" t="n"/>
      <c r="C608" s="52" t="n"/>
      <c r="D608" s="53" t="n"/>
      <c r="E608" s="60" t="n"/>
      <c r="F608" s="53" t="n"/>
      <c r="G608" s="61" t="str">
        <f>IF(OR(COUNTA(A608:E608)=0,D608=""),"",IFERROR(INDEX(ca_fam,MATCH(D608,ca_name,0))&amp;"",""))</f>
        <v/>
      </c>
      <c r="H608" s="58" t="str">
        <f>IF(OR(COUNTA(A608:E608)=0,D608=""),"",IFERROR(INDEX(ca_type,MATCH(D608,ca_name,0))&amp;"",""))</f>
        <v/>
      </c>
      <c r="I608" s="58" t="str">
        <f>IF(COUNTA(A608:E608)=0,"",IF(N(A608)&lt;=0,"Date manquante ou invalide",IF(B608="","Équipe manquante",IF(ISNA(MATCH(B608,eq_code,0)),"Équipe inconnue",IF(C608="","Poste manquant",IF(ISNA(MATCH(C608,po_code,0)),"Poste inconnu",IF(D608="","Cause manquante",IF(ISNA(MATCH(D608,ca_name,0)),"Cause inconnue",IF(H608="","Cause à compléter dans Paramètres",IF(OR(NOT(ISNUMBER(E608)),N(E608)&lt;=0,N(E608)&gt;1440),"Durée invalide",IF(COUNTIFS(sj_date,A608,sj_eq,B608,sj_po,C608)=0,"Pas de saisie journalière ce jour-là","OK")))))))))))</f>
        <v/>
      </c>
      <c r="J608">
        <f>IF(OR(I608="OK",I608="Pas de saisie journalière ce jour-là"),E608,0)</f>
        <v>0.0</v>
      </c>
      <c r="K608">
        <f>IF(AND(J608&gt;0,A608&gt;=p_from,A608&lt;=p_to),1,0)</f>
        <v>0.0</v>
      </c>
      <c r="L608">
        <f>IF(AND(K608=1,OR(pa_po="",C608=pa_po),OR(pa_eq="",B608=pa_eq)),1,0)</f>
        <v>0.0</v>
      </c>
    </row>
    <row r="609">
      <c r="A609" s="51" t="n"/>
      <c r="B609" s="52" t="n"/>
      <c r="C609" s="52" t="n"/>
      <c r="D609" s="53" t="n"/>
      <c r="E609" s="60" t="n"/>
      <c r="F609" s="53" t="n"/>
      <c r="G609" s="61" t="str">
        <f>IF(OR(COUNTA(A609:E609)=0,D609=""),"",IFERROR(INDEX(ca_fam,MATCH(D609,ca_name,0))&amp;"",""))</f>
        <v/>
      </c>
      <c r="H609" s="58" t="str">
        <f>IF(OR(COUNTA(A609:E609)=0,D609=""),"",IFERROR(INDEX(ca_type,MATCH(D609,ca_name,0))&amp;"",""))</f>
        <v/>
      </c>
      <c r="I609" s="58" t="str">
        <f>IF(COUNTA(A609:E609)=0,"",IF(N(A609)&lt;=0,"Date manquante ou invalide",IF(B609="","Équipe manquante",IF(ISNA(MATCH(B609,eq_code,0)),"Équipe inconnue",IF(C609="","Poste manquant",IF(ISNA(MATCH(C609,po_code,0)),"Poste inconnu",IF(D609="","Cause manquante",IF(ISNA(MATCH(D609,ca_name,0)),"Cause inconnue",IF(H609="","Cause à compléter dans Paramètres",IF(OR(NOT(ISNUMBER(E609)),N(E609)&lt;=0,N(E609)&gt;1440),"Durée invalide",IF(COUNTIFS(sj_date,A609,sj_eq,B609,sj_po,C609)=0,"Pas de saisie journalière ce jour-là","OK")))))))))))</f>
        <v/>
      </c>
      <c r="J609">
        <f>IF(OR(I609="OK",I609="Pas de saisie journalière ce jour-là"),E609,0)</f>
        <v>0.0</v>
      </c>
      <c r="K609">
        <f>IF(AND(J609&gt;0,A609&gt;=p_from,A609&lt;=p_to),1,0)</f>
        <v>0.0</v>
      </c>
      <c r="L609">
        <f>IF(AND(K609=1,OR(pa_po="",C609=pa_po),OR(pa_eq="",B609=pa_eq)),1,0)</f>
        <v>0.0</v>
      </c>
    </row>
    <row r="610">
      <c r="A610" s="51" t="n"/>
      <c r="B610" s="52" t="n"/>
      <c r="C610" s="52" t="n"/>
      <c r="D610" s="53" t="n"/>
      <c r="E610" s="60" t="n"/>
      <c r="F610" s="53" t="n"/>
      <c r="G610" s="61" t="str">
        <f>IF(OR(COUNTA(A610:E610)=0,D610=""),"",IFERROR(INDEX(ca_fam,MATCH(D610,ca_name,0))&amp;"",""))</f>
        <v/>
      </c>
      <c r="H610" s="58" t="str">
        <f>IF(OR(COUNTA(A610:E610)=0,D610=""),"",IFERROR(INDEX(ca_type,MATCH(D610,ca_name,0))&amp;"",""))</f>
        <v/>
      </c>
      <c r="I610" s="58" t="str">
        <f>IF(COUNTA(A610:E610)=0,"",IF(N(A610)&lt;=0,"Date manquante ou invalide",IF(B610="","Équipe manquante",IF(ISNA(MATCH(B610,eq_code,0)),"Équipe inconnue",IF(C610="","Poste manquant",IF(ISNA(MATCH(C610,po_code,0)),"Poste inconnu",IF(D610="","Cause manquante",IF(ISNA(MATCH(D610,ca_name,0)),"Cause inconnue",IF(H610="","Cause à compléter dans Paramètres",IF(OR(NOT(ISNUMBER(E610)),N(E610)&lt;=0,N(E610)&gt;1440),"Durée invalide",IF(COUNTIFS(sj_date,A610,sj_eq,B610,sj_po,C610)=0,"Pas de saisie journalière ce jour-là","OK")))))))))))</f>
        <v/>
      </c>
      <c r="J610">
        <f>IF(OR(I610="OK",I610="Pas de saisie journalière ce jour-là"),E610,0)</f>
        <v>0.0</v>
      </c>
      <c r="K610">
        <f>IF(AND(J610&gt;0,A610&gt;=p_from,A610&lt;=p_to),1,0)</f>
        <v>0.0</v>
      </c>
      <c r="L610">
        <f>IF(AND(K610=1,OR(pa_po="",C610=pa_po),OR(pa_eq="",B610=pa_eq)),1,0)</f>
        <v>0.0</v>
      </c>
    </row>
    <row r="611">
      <c r="A611" s="51" t="n"/>
      <c r="B611" s="52" t="n"/>
      <c r="C611" s="52" t="n"/>
      <c r="D611" s="53" t="n"/>
      <c r="E611" s="60" t="n"/>
      <c r="F611" s="53" t="n"/>
      <c r="G611" s="61" t="str">
        <f>IF(OR(COUNTA(A611:E611)=0,D611=""),"",IFERROR(INDEX(ca_fam,MATCH(D611,ca_name,0))&amp;"",""))</f>
        <v/>
      </c>
      <c r="H611" s="58" t="str">
        <f>IF(OR(COUNTA(A611:E611)=0,D611=""),"",IFERROR(INDEX(ca_type,MATCH(D611,ca_name,0))&amp;"",""))</f>
        <v/>
      </c>
      <c r="I611" s="58" t="str">
        <f>IF(COUNTA(A611:E611)=0,"",IF(N(A611)&lt;=0,"Date manquante ou invalide",IF(B611="","Équipe manquante",IF(ISNA(MATCH(B611,eq_code,0)),"Équipe inconnue",IF(C611="","Poste manquant",IF(ISNA(MATCH(C611,po_code,0)),"Poste inconnu",IF(D611="","Cause manquante",IF(ISNA(MATCH(D611,ca_name,0)),"Cause inconnue",IF(H611="","Cause à compléter dans Paramètres",IF(OR(NOT(ISNUMBER(E611)),N(E611)&lt;=0,N(E611)&gt;1440),"Durée invalide",IF(COUNTIFS(sj_date,A611,sj_eq,B611,sj_po,C611)=0,"Pas de saisie journalière ce jour-là","OK")))))))))))</f>
        <v/>
      </c>
      <c r="J611">
        <f>IF(OR(I611="OK",I611="Pas de saisie journalière ce jour-là"),E611,0)</f>
        <v>0.0</v>
      </c>
      <c r="K611">
        <f>IF(AND(J611&gt;0,A611&gt;=p_from,A611&lt;=p_to),1,0)</f>
        <v>0.0</v>
      </c>
      <c r="L611">
        <f>IF(AND(K611=1,OR(pa_po="",C611=pa_po),OR(pa_eq="",B611=pa_eq)),1,0)</f>
        <v>0.0</v>
      </c>
    </row>
    <row r="612">
      <c r="A612" s="51" t="n"/>
      <c r="B612" s="52" t="n"/>
      <c r="C612" s="52" t="n"/>
      <c r="D612" s="53" t="n"/>
      <c r="E612" s="60" t="n"/>
      <c r="F612" s="53" t="n"/>
      <c r="G612" s="61" t="str">
        <f>IF(OR(COUNTA(A612:E612)=0,D612=""),"",IFERROR(INDEX(ca_fam,MATCH(D612,ca_name,0))&amp;"",""))</f>
        <v/>
      </c>
      <c r="H612" s="58" t="str">
        <f>IF(OR(COUNTA(A612:E612)=0,D612=""),"",IFERROR(INDEX(ca_type,MATCH(D612,ca_name,0))&amp;"",""))</f>
        <v/>
      </c>
      <c r="I612" s="58" t="str">
        <f>IF(COUNTA(A612:E612)=0,"",IF(N(A612)&lt;=0,"Date manquante ou invalide",IF(B612="","Équipe manquante",IF(ISNA(MATCH(B612,eq_code,0)),"Équipe inconnue",IF(C612="","Poste manquant",IF(ISNA(MATCH(C612,po_code,0)),"Poste inconnu",IF(D612="","Cause manquante",IF(ISNA(MATCH(D612,ca_name,0)),"Cause inconnue",IF(H612="","Cause à compléter dans Paramètres",IF(OR(NOT(ISNUMBER(E612)),N(E612)&lt;=0,N(E612)&gt;1440),"Durée invalide",IF(COUNTIFS(sj_date,A612,sj_eq,B612,sj_po,C612)=0,"Pas de saisie journalière ce jour-là","OK")))))))))))</f>
        <v/>
      </c>
      <c r="J612">
        <f>IF(OR(I612="OK",I612="Pas de saisie journalière ce jour-là"),E612,0)</f>
        <v>0.0</v>
      </c>
      <c r="K612">
        <f>IF(AND(J612&gt;0,A612&gt;=p_from,A612&lt;=p_to),1,0)</f>
        <v>0.0</v>
      </c>
      <c r="L612">
        <f>IF(AND(K612=1,OR(pa_po="",C612=pa_po),OR(pa_eq="",B612=pa_eq)),1,0)</f>
        <v>0.0</v>
      </c>
    </row>
    <row r="613">
      <c r="A613" s="51" t="n"/>
      <c r="B613" s="52" t="n"/>
      <c r="C613" s="52" t="n"/>
      <c r="D613" s="53" t="n"/>
      <c r="E613" s="60" t="n"/>
      <c r="F613" s="53" t="n"/>
      <c r="G613" s="61" t="str">
        <f>IF(OR(COUNTA(A613:E613)=0,D613=""),"",IFERROR(INDEX(ca_fam,MATCH(D613,ca_name,0))&amp;"",""))</f>
        <v/>
      </c>
      <c r="H613" s="58" t="str">
        <f>IF(OR(COUNTA(A613:E613)=0,D613=""),"",IFERROR(INDEX(ca_type,MATCH(D613,ca_name,0))&amp;"",""))</f>
        <v/>
      </c>
      <c r="I613" s="58" t="str">
        <f>IF(COUNTA(A613:E613)=0,"",IF(N(A613)&lt;=0,"Date manquante ou invalide",IF(B613="","Équipe manquante",IF(ISNA(MATCH(B613,eq_code,0)),"Équipe inconnue",IF(C613="","Poste manquant",IF(ISNA(MATCH(C613,po_code,0)),"Poste inconnu",IF(D613="","Cause manquante",IF(ISNA(MATCH(D613,ca_name,0)),"Cause inconnue",IF(H613="","Cause à compléter dans Paramètres",IF(OR(NOT(ISNUMBER(E613)),N(E613)&lt;=0,N(E613)&gt;1440),"Durée invalide",IF(COUNTIFS(sj_date,A613,sj_eq,B613,sj_po,C613)=0,"Pas de saisie journalière ce jour-là","OK")))))))))))</f>
        <v/>
      </c>
      <c r="J613">
        <f>IF(OR(I613="OK",I613="Pas de saisie journalière ce jour-là"),E613,0)</f>
        <v>0.0</v>
      </c>
      <c r="K613">
        <f>IF(AND(J613&gt;0,A613&gt;=p_from,A613&lt;=p_to),1,0)</f>
        <v>0.0</v>
      </c>
      <c r="L613">
        <f>IF(AND(K613=1,OR(pa_po="",C613=pa_po),OR(pa_eq="",B613=pa_eq)),1,0)</f>
        <v>0.0</v>
      </c>
    </row>
    <row r="614">
      <c r="A614" s="51" t="n"/>
      <c r="B614" s="52" t="n"/>
      <c r="C614" s="52" t="n"/>
      <c r="D614" s="53" t="n"/>
      <c r="E614" s="60" t="n"/>
      <c r="F614" s="53" t="n"/>
      <c r="G614" s="61" t="str">
        <f>IF(OR(COUNTA(A614:E614)=0,D614=""),"",IFERROR(INDEX(ca_fam,MATCH(D614,ca_name,0))&amp;"",""))</f>
        <v/>
      </c>
      <c r="H614" s="58" t="str">
        <f>IF(OR(COUNTA(A614:E614)=0,D614=""),"",IFERROR(INDEX(ca_type,MATCH(D614,ca_name,0))&amp;"",""))</f>
        <v/>
      </c>
      <c r="I614" s="58" t="str">
        <f>IF(COUNTA(A614:E614)=0,"",IF(N(A614)&lt;=0,"Date manquante ou invalide",IF(B614="","Équipe manquante",IF(ISNA(MATCH(B614,eq_code,0)),"Équipe inconnue",IF(C614="","Poste manquant",IF(ISNA(MATCH(C614,po_code,0)),"Poste inconnu",IF(D614="","Cause manquante",IF(ISNA(MATCH(D614,ca_name,0)),"Cause inconnue",IF(H614="","Cause à compléter dans Paramètres",IF(OR(NOT(ISNUMBER(E614)),N(E614)&lt;=0,N(E614)&gt;1440),"Durée invalide",IF(COUNTIFS(sj_date,A614,sj_eq,B614,sj_po,C614)=0,"Pas de saisie journalière ce jour-là","OK")))))))))))</f>
        <v/>
      </c>
      <c r="J614">
        <f>IF(OR(I614="OK",I614="Pas de saisie journalière ce jour-là"),E614,0)</f>
        <v>0.0</v>
      </c>
      <c r="K614">
        <f>IF(AND(J614&gt;0,A614&gt;=p_from,A614&lt;=p_to),1,0)</f>
        <v>0.0</v>
      </c>
      <c r="L614">
        <f>IF(AND(K614=1,OR(pa_po="",C614=pa_po),OR(pa_eq="",B614=pa_eq)),1,0)</f>
        <v>0.0</v>
      </c>
    </row>
    <row r="615">
      <c r="A615" s="51" t="n"/>
      <c r="B615" s="52" t="n"/>
      <c r="C615" s="52" t="n"/>
      <c r="D615" s="53" t="n"/>
      <c r="E615" s="60" t="n"/>
      <c r="F615" s="53" t="n"/>
      <c r="G615" s="61" t="str">
        <f>IF(OR(COUNTA(A615:E615)=0,D615=""),"",IFERROR(INDEX(ca_fam,MATCH(D615,ca_name,0))&amp;"",""))</f>
        <v/>
      </c>
      <c r="H615" s="58" t="str">
        <f>IF(OR(COUNTA(A615:E615)=0,D615=""),"",IFERROR(INDEX(ca_type,MATCH(D615,ca_name,0))&amp;"",""))</f>
        <v/>
      </c>
      <c r="I615" s="58" t="str">
        <f>IF(COUNTA(A615:E615)=0,"",IF(N(A615)&lt;=0,"Date manquante ou invalide",IF(B615="","Équipe manquante",IF(ISNA(MATCH(B615,eq_code,0)),"Équipe inconnue",IF(C615="","Poste manquant",IF(ISNA(MATCH(C615,po_code,0)),"Poste inconnu",IF(D615="","Cause manquante",IF(ISNA(MATCH(D615,ca_name,0)),"Cause inconnue",IF(H615="","Cause à compléter dans Paramètres",IF(OR(NOT(ISNUMBER(E615)),N(E615)&lt;=0,N(E615)&gt;1440),"Durée invalide",IF(COUNTIFS(sj_date,A615,sj_eq,B615,sj_po,C615)=0,"Pas de saisie journalière ce jour-là","OK")))))))))))</f>
        <v/>
      </c>
      <c r="J615">
        <f>IF(OR(I615="OK",I615="Pas de saisie journalière ce jour-là"),E615,0)</f>
        <v>0.0</v>
      </c>
      <c r="K615">
        <f>IF(AND(J615&gt;0,A615&gt;=p_from,A615&lt;=p_to),1,0)</f>
        <v>0.0</v>
      </c>
      <c r="L615">
        <f>IF(AND(K615=1,OR(pa_po="",C615=pa_po),OR(pa_eq="",B615=pa_eq)),1,0)</f>
        <v>0.0</v>
      </c>
    </row>
    <row r="616">
      <c r="A616" s="51" t="n"/>
      <c r="B616" s="52" t="n"/>
      <c r="C616" s="52" t="n"/>
      <c r="D616" s="53" t="n"/>
      <c r="E616" s="60" t="n"/>
      <c r="F616" s="53" t="n"/>
      <c r="G616" s="61" t="str">
        <f>IF(OR(COUNTA(A616:E616)=0,D616=""),"",IFERROR(INDEX(ca_fam,MATCH(D616,ca_name,0))&amp;"",""))</f>
        <v/>
      </c>
      <c r="H616" s="58" t="str">
        <f>IF(OR(COUNTA(A616:E616)=0,D616=""),"",IFERROR(INDEX(ca_type,MATCH(D616,ca_name,0))&amp;"",""))</f>
        <v/>
      </c>
      <c r="I616" s="58" t="str">
        <f>IF(COUNTA(A616:E616)=0,"",IF(N(A616)&lt;=0,"Date manquante ou invalide",IF(B616="","Équipe manquante",IF(ISNA(MATCH(B616,eq_code,0)),"Équipe inconnue",IF(C616="","Poste manquant",IF(ISNA(MATCH(C616,po_code,0)),"Poste inconnu",IF(D616="","Cause manquante",IF(ISNA(MATCH(D616,ca_name,0)),"Cause inconnue",IF(H616="","Cause à compléter dans Paramètres",IF(OR(NOT(ISNUMBER(E616)),N(E616)&lt;=0,N(E616)&gt;1440),"Durée invalide",IF(COUNTIFS(sj_date,A616,sj_eq,B616,sj_po,C616)=0,"Pas de saisie journalière ce jour-là","OK")))))))))))</f>
        <v/>
      </c>
      <c r="J616">
        <f>IF(OR(I616="OK",I616="Pas de saisie journalière ce jour-là"),E616,0)</f>
        <v>0.0</v>
      </c>
      <c r="K616">
        <f>IF(AND(J616&gt;0,A616&gt;=p_from,A616&lt;=p_to),1,0)</f>
        <v>0.0</v>
      </c>
      <c r="L616">
        <f>IF(AND(K616=1,OR(pa_po="",C616=pa_po),OR(pa_eq="",B616=pa_eq)),1,0)</f>
        <v>0.0</v>
      </c>
    </row>
    <row r="617">
      <c r="A617" s="51" t="n"/>
      <c r="B617" s="52" t="n"/>
      <c r="C617" s="52" t="n"/>
      <c r="D617" s="53" t="n"/>
      <c r="E617" s="60" t="n"/>
      <c r="F617" s="53" t="n"/>
      <c r="G617" s="61" t="str">
        <f>IF(OR(COUNTA(A617:E617)=0,D617=""),"",IFERROR(INDEX(ca_fam,MATCH(D617,ca_name,0))&amp;"",""))</f>
        <v/>
      </c>
      <c r="H617" s="58" t="str">
        <f>IF(OR(COUNTA(A617:E617)=0,D617=""),"",IFERROR(INDEX(ca_type,MATCH(D617,ca_name,0))&amp;"",""))</f>
        <v/>
      </c>
      <c r="I617" s="58" t="str">
        <f>IF(COUNTA(A617:E617)=0,"",IF(N(A617)&lt;=0,"Date manquante ou invalide",IF(B617="","Équipe manquante",IF(ISNA(MATCH(B617,eq_code,0)),"Équipe inconnue",IF(C617="","Poste manquant",IF(ISNA(MATCH(C617,po_code,0)),"Poste inconnu",IF(D617="","Cause manquante",IF(ISNA(MATCH(D617,ca_name,0)),"Cause inconnue",IF(H617="","Cause à compléter dans Paramètres",IF(OR(NOT(ISNUMBER(E617)),N(E617)&lt;=0,N(E617)&gt;1440),"Durée invalide",IF(COUNTIFS(sj_date,A617,sj_eq,B617,sj_po,C617)=0,"Pas de saisie journalière ce jour-là","OK")))))))))))</f>
        <v/>
      </c>
      <c r="J617">
        <f>IF(OR(I617="OK",I617="Pas de saisie journalière ce jour-là"),E617,0)</f>
        <v>0.0</v>
      </c>
      <c r="K617">
        <f>IF(AND(J617&gt;0,A617&gt;=p_from,A617&lt;=p_to),1,0)</f>
        <v>0.0</v>
      </c>
      <c r="L617">
        <f>IF(AND(K617=1,OR(pa_po="",C617=pa_po),OR(pa_eq="",B617=pa_eq)),1,0)</f>
        <v>0.0</v>
      </c>
    </row>
    <row r="618">
      <c r="A618" s="51" t="n"/>
      <c r="B618" s="52" t="n"/>
      <c r="C618" s="52" t="n"/>
      <c r="D618" s="53" t="n"/>
      <c r="E618" s="60" t="n"/>
      <c r="F618" s="53" t="n"/>
      <c r="G618" s="61" t="str">
        <f>IF(OR(COUNTA(A618:E618)=0,D618=""),"",IFERROR(INDEX(ca_fam,MATCH(D618,ca_name,0))&amp;"",""))</f>
        <v/>
      </c>
      <c r="H618" s="58" t="str">
        <f>IF(OR(COUNTA(A618:E618)=0,D618=""),"",IFERROR(INDEX(ca_type,MATCH(D618,ca_name,0))&amp;"",""))</f>
        <v/>
      </c>
      <c r="I618" s="58" t="str">
        <f>IF(COUNTA(A618:E618)=0,"",IF(N(A618)&lt;=0,"Date manquante ou invalide",IF(B618="","Équipe manquante",IF(ISNA(MATCH(B618,eq_code,0)),"Équipe inconnue",IF(C618="","Poste manquant",IF(ISNA(MATCH(C618,po_code,0)),"Poste inconnu",IF(D618="","Cause manquante",IF(ISNA(MATCH(D618,ca_name,0)),"Cause inconnue",IF(H618="","Cause à compléter dans Paramètres",IF(OR(NOT(ISNUMBER(E618)),N(E618)&lt;=0,N(E618)&gt;1440),"Durée invalide",IF(COUNTIFS(sj_date,A618,sj_eq,B618,sj_po,C618)=0,"Pas de saisie journalière ce jour-là","OK")))))))))))</f>
        <v/>
      </c>
      <c r="J618">
        <f>IF(OR(I618="OK",I618="Pas de saisie journalière ce jour-là"),E618,0)</f>
        <v>0.0</v>
      </c>
      <c r="K618">
        <f>IF(AND(J618&gt;0,A618&gt;=p_from,A618&lt;=p_to),1,0)</f>
        <v>0.0</v>
      </c>
      <c r="L618">
        <f>IF(AND(K618=1,OR(pa_po="",C618=pa_po),OR(pa_eq="",B618=pa_eq)),1,0)</f>
        <v>0.0</v>
      </c>
    </row>
    <row r="619">
      <c r="A619" s="51" t="n"/>
      <c r="B619" s="52" t="n"/>
      <c r="C619" s="52" t="n"/>
      <c r="D619" s="53" t="n"/>
      <c r="E619" s="60" t="n"/>
      <c r="F619" s="53" t="n"/>
      <c r="G619" s="61" t="str">
        <f>IF(OR(COUNTA(A619:E619)=0,D619=""),"",IFERROR(INDEX(ca_fam,MATCH(D619,ca_name,0))&amp;"",""))</f>
        <v/>
      </c>
      <c r="H619" s="58" t="str">
        <f>IF(OR(COUNTA(A619:E619)=0,D619=""),"",IFERROR(INDEX(ca_type,MATCH(D619,ca_name,0))&amp;"",""))</f>
        <v/>
      </c>
      <c r="I619" s="58" t="str">
        <f>IF(COUNTA(A619:E619)=0,"",IF(N(A619)&lt;=0,"Date manquante ou invalide",IF(B619="","Équipe manquante",IF(ISNA(MATCH(B619,eq_code,0)),"Équipe inconnue",IF(C619="","Poste manquant",IF(ISNA(MATCH(C619,po_code,0)),"Poste inconnu",IF(D619="","Cause manquante",IF(ISNA(MATCH(D619,ca_name,0)),"Cause inconnue",IF(H619="","Cause à compléter dans Paramètres",IF(OR(NOT(ISNUMBER(E619)),N(E619)&lt;=0,N(E619)&gt;1440),"Durée invalide",IF(COUNTIFS(sj_date,A619,sj_eq,B619,sj_po,C619)=0,"Pas de saisie journalière ce jour-là","OK")))))))))))</f>
        <v/>
      </c>
      <c r="J619">
        <f>IF(OR(I619="OK",I619="Pas de saisie journalière ce jour-là"),E619,0)</f>
        <v>0.0</v>
      </c>
      <c r="K619">
        <f>IF(AND(J619&gt;0,A619&gt;=p_from,A619&lt;=p_to),1,0)</f>
        <v>0.0</v>
      </c>
      <c r="L619">
        <f>IF(AND(K619=1,OR(pa_po="",C619=pa_po),OR(pa_eq="",B619=pa_eq)),1,0)</f>
        <v>0.0</v>
      </c>
    </row>
    <row r="620">
      <c r="A620" s="51" t="n"/>
      <c r="B620" s="52" t="n"/>
      <c r="C620" s="52" t="n"/>
      <c r="D620" s="53" t="n"/>
      <c r="E620" s="60" t="n"/>
      <c r="F620" s="53" t="n"/>
      <c r="G620" s="61" t="str">
        <f>IF(OR(COUNTA(A620:E620)=0,D620=""),"",IFERROR(INDEX(ca_fam,MATCH(D620,ca_name,0))&amp;"",""))</f>
        <v/>
      </c>
      <c r="H620" s="58" t="str">
        <f>IF(OR(COUNTA(A620:E620)=0,D620=""),"",IFERROR(INDEX(ca_type,MATCH(D620,ca_name,0))&amp;"",""))</f>
        <v/>
      </c>
      <c r="I620" s="58" t="str">
        <f>IF(COUNTA(A620:E620)=0,"",IF(N(A620)&lt;=0,"Date manquante ou invalide",IF(B620="","Équipe manquante",IF(ISNA(MATCH(B620,eq_code,0)),"Équipe inconnue",IF(C620="","Poste manquant",IF(ISNA(MATCH(C620,po_code,0)),"Poste inconnu",IF(D620="","Cause manquante",IF(ISNA(MATCH(D620,ca_name,0)),"Cause inconnue",IF(H620="","Cause à compléter dans Paramètres",IF(OR(NOT(ISNUMBER(E620)),N(E620)&lt;=0,N(E620)&gt;1440),"Durée invalide",IF(COUNTIFS(sj_date,A620,sj_eq,B620,sj_po,C620)=0,"Pas de saisie journalière ce jour-là","OK")))))))))))</f>
        <v/>
      </c>
      <c r="J620">
        <f>IF(OR(I620="OK",I620="Pas de saisie journalière ce jour-là"),E620,0)</f>
        <v>0.0</v>
      </c>
      <c r="K620">
        <f>IF(AND(J620&gt;0,A620&gt;=p_from,A620&lt;=p_to),1,0)</f>
        <v>0.0</v>
      </c>
      <c r="L620">
        <f>IF(AND(K620=1,OR(pa_po="",C620=pa_po),OR(pa_eq="",B620=pa_eq)),1,0)</f>
        <v>0.0</v>
      </c>
    </row>
    <row r="621">
      <c r="A621" s="51" t="n"/>
      <c r="B621" s="52" t="n"/>
      <c r="C621" s="52" t="n"/>
      <c r="D621" s="53" t="n"/>
      <c r="E621" s="60" t="n"/>
      <c r="F621" s="53" t="n"/>
      <c r="G621" s="61" t="str">
        <f>IF(OR(COUNTA(A621:E621)=0,D621=""),"",IFERROR(INDEX(ca_fam,MATCH(D621,ca_name,0))&amp;"",""))</f>
        <v/>
      </c>
      <c r="H621" s="58" t="str">
        <f>IF(OR(COUNTA(A621:E621)=0,D621=""),"",IFERROR(INDEX(ca_type,MATCH(D621,ca_name,0))&amp;"",""))</f>
        <v/>
      </c>
      <c r="I621" s="58" t="str">
        <f>IF(COUNTA(A621:E621)=0,"",IF(N(A621)&lt;=0,"Date manquante ou invalide",IF(B621="","Équipe manquante",IF(ISNA(MATCH(B621,eq_code,0)),"Équipe inconnue",IF(C621="","Poste manquant",IF(ISNA(MATCH(C621,po_code,0)),"Poste inconnu",IF(D621="","Cause manquante",IF(ISNA(MATCH(D621,ca_name,0)),"Cause inconnue",IF(H621="","Cause à compléter dans Paramètres",IF(OR(NOT(ISNUMBER(E621)),N(E621)&lt;=0,N(E621)&gt;1440),"Durée invalide",IF(COUNTIFS(sj_date,A621,sj_eq,B621,sj_po,C621)=0,"Pas de saisie journalière ce jour-là","OK")))))))))))</f>
        <v/>
      </c>
      <c r="J621">
        <f>IF(OR(I621="OK",I621="Pas de saisie journalière ce jour-là"),E621,0)</f>
        <v>0.0</v>
      </c>
      <c r="K621">
        <f>IF(AND(J621&gt;0,A621&gt;=p_from,A621&lt;=p_to),1,0)</f>
        <v>0.0</v>
      </c>
      <c r="L621">
        <f>IF(AND(K621=1,OR(pa_po="",C621=pa_po),OR(pa_eq="",B621=pa_eq)),1,0)</f>
        <v>0.0</v>
      </c>
    </row>
    <row r="622">
      <c r="A622" s="51" t="n"/>
      <c r="B622" s="52" t="n"/>
      <c r="C622" s="52" t="n"/>
      <c r="D622" s="53" t="n"/>
      <c r="E622" s="60" t="n"/>
      <c r="F622" s="53" t="n"/>
      <c r="G622" s="61" t="str">
        <f>IF(OR(COUNTA(A622:E622)=0,D622=""),"",IFERROR(INDEX(ca_fam,MATCH(D622,ca_name,0))&amp;"",""))</f>
        <v/>
      </c>
      <c r="H622" s="58" t="str">
        <f>IF(OR(COUNTA(A622:E622)=0,D622=""),"",IFERROR(INDEX(ca_type,MATCH(D622,ca_name,0))&amp;"",""))</f>
        <v/>
      </c>
      <c r="I622" s="58" t="str">
        <f>IF(COUNTA(A622:E622)=0,"",IF(N(A622)&lt;=0,"Date manquante ou invalide",IF(B622="","Équipe manquante",IF(ISNA(MATCH(B622,eq_code,0)),"Équipe inconnue",IF(C622="","Poste manquant",IF(ISNA(MATCH(C622,po_code,0)),"Poste inconnu",IF(D622="","Cause manquante",IF(ISNA(MATCH(D622,ca_name,0)),"Cause inconnue",IF(H622="","Cause à compléter dans Paramètres",IF(OR(NOT(ISNUMBER(E622)),N(E622)&lt;=0,N(E622)&gt;1440),"Durée invalide",IF(COUNTIFS(sj_date,A622,sj_eq,B622,sj_po,C622)=0,"Pas de saisie journalière ce jour-là","OK")))))))))))</f>
        <v/>
      </c>
      <c r="J622">
        <f>IF(OR(I622="OK",I622="Pas de saisie journalière ce jour-là"),E622,0)</f>
        <v>0.0</v>
      </c>
      <c r="K622">
        <f>IF(AND(J622&gt;0,A622&gt;=p_from,A622&lt;=p_to),1,0)</f>
        <v>0.0</v>
      </c>
      <c r="L622">
        <f>IF(AND(K622=1,OR(pa_po="",C622=pa_po),OR(pa_eq="",B622=pa_eq)),1,0)</f>
        <v>0.0</v>
      </c>
    </row>
    <row r="623">
      <c r="A623" s="51" t="n"/>
      <c r="B623" s="52" t="n"/>
      <c r="C623" s="52" t="n"/>
      <c r="D623" s="53" t="n"/>
      <c r="E623" s="60" t="n"/>
      <c r="F623" s="53" t="n"/>
      <c r="G623" s="61" t="str">
        <f>IF(OR(COUNTA(A623:E623)=0,D623=""),"",IFERROR(INDEX(ca_fam,MATCH(D623,ca_name,0))&amp;"",""))</f>
        <v/>
      </c>
      <c r="H623" s="58" t="str">
        <f>IF(OR(COUNTA(A623:E623)=0,D623=""),"",IFERROR(INDEX(ca_type,MATCH(D623,ca_name,0))&amp;"",""))</f>
        <v/>
      </c>
      <c r="I623" s="58" t="str">
        <f>IF(COUNTA(A623:E623)=0,"",IF(N(A623)&lt;=0,"Date manquante ou invalide",IF(B623="","Équipe manquante",IF(ISNA(MATCH(B623,eq_code,0)),"Équipe inconnue",IF(C623="","Poste manquant",IF(ISNA(MATCH(C623,po_code,0)),"Poste inconnu",IF(D623="","Cause manquante",IF(ISNA(MATCH(D623,ca_name,0)),"Cause inconnue",IF(H623="","Cause à compléter dans Paramètres",IF(OR(NOT(ISNUMBER(E623)),N(E623)&lt;=0,N(E623)&gt;1440),"Durée invalide",IF(COUNTIFS(sj_date,A623,sj_eq,B623,sj_po,C623)=0,"Pas de saisie journalière ce jour-là","OK")))))))))))</f>
        <v/>
      </c>
      <c r="J623">
        <f>IF(OR(I623="OK",I623="Pas de saisie journalière ce jour-là"),E623,0)</f>
        <v>0.0</v>
      </c>
      <c r="K623">
        <f>IF(AND(J623&gt;0,A623&gt;=p_from,A623&lt;=p_to),1,0)</f>
        <v>0.0</v>
      </c>
      <c r="L623">
        <f>IF(AND(K623=1,OR(pa_po="",C623=pa_po),OR(pa_eq="",B623=pa_eq)),1,0)</f>
        <v>0.0</v>
      </c>
    </row>
    <row r="624">
      <c r="A624" s="51" t="n"/>
      <c r="B624" s="52" t="n"/>
      <c r="C624" s="52" t="n"/>
      <c r="D624" s="53" t="n"/>
      <c r="E624" s="60" t="n"/>
      <c r="F624" s="53" t="n"/>
      <c r="G624" s="61" t="str">
        <f>IF(OR(COUNTA(A624:E624)=0,D624=""),"",IFERROR(INDEX(ca_fam,MATCH(D624,ca_name,0))&amp;"",""))</f>
        <v/>
      </c>
      <c r="H624" s="58" t="str">
        <f>IF(OR(COUNTA(A624:E624)=0,D624=""),"",IFERROR(INDEX(ca_type,MATCH(D624,ca_name,0))&amp;"",""))</f>
        <v/>
      </c>
      <c r="I624" s="58" t="str">
        <f>IF(COUNTA(A624:E624)=0,"",IF(N(A624)&lt;=0,"Date manquante ou invalide",IF(B624="","Équipe manquante",IF(ISNA(MATCH(B624,eq_code,0)),"Équipe inconnue",IF(C624="","Poste manquant",IF(ISNA(MATCH(C624,po_code,0)),"Poste inconnu",IF(D624="","Cause manquante",IF(ISNA(MATCH(D624,ca_name,0)),"Cause inconnue",IF(H624="","Cause à compléter dans Paramètres",IF(OR(NOT(ISNUMBER(E624)),N(E624)&lt;=0,N(E624)&gt;1440),"Durée invalide",IF(COUNTIFS(sj_date,A624,sj_eq,B624,sj_po,C624)=0,"Pas de saisie journalière ce jour-là","OK")))))))))))</f>
        <v/>
      </c>
      <c r="J624">
        <f>IF(OR(I624="OK",I624="Pas de saisie journalière ce jour-là"),E624,0)</f>
        <v>0.0</v>
      </c>
      <c r="K624">
        <f>IF(AND(J624&gt;0,A624&gt;=p_from,A624&lt;=p_to),1,0)</f>
        <v>0.0</v>
      </c>
      <c r="L624">
        <f>IF(AND(K624=1,OR(pa_po="",C624=pa_po),OR(pa_eq="",B624=pa_eq)),1,0)</f>
        <v>0.0</v>
      </c>
    </row>
    <row r="625">
      <c r="A625" s="51" t="n"/>
      <c r="B625" s="52" t="n"/>
      <c r="C625" s="52" t="n"/>
      <c r="D625" s="53" t="n"/>
      <c r="E625" s="60" t="n"/>
      <c r="F625" s="53" t="n"/>
      <c r="G625" s="61" t="str">
        <f>IF(OR(COUNTA(A625:E625)=0,D625=""),"",IFERROR(INDEX(ca_fam,MATCH(D625,ca_name,0))&amp;"",""))</f>
        <v/>
      </c>
      <c r="H625" s="58" t="str">
        <f>IF(OR(COUNTA(A625:E625)=0,D625=""),"",IFERROR(INDEX(ca_type,MATCH(D625,ca_name,0))&amp;"",""))</f>
        <v/>
      </c>
      <c r="I625" s="58" t="str">
        <f>IF(COUNTA(A625:E625)=0,"",IF(N(A625)&lt;=0,"Date manquante ou invalide",IF(B625="","Équipe manquante",IF(ISNA(MATCH(B625,eq_code,0)),"Équipe inconnue",IF(C625="","Poste manquant",IF(ISNA(MATCH(C625,po_code,0)),"Poste inconnu",IF(D625="","Cause manquante",IF(ISNA(MATCH(D625,ca_name,0)),"Cause inconnue",IF(H625="","Cause à compléter dans Paramètres",IF(OR(NOT(ISNUMBER(E625)),N(E625)&lt;=0,N(E625)&gt;1440),"Durée invalide",IF(COUNTIFS(sj_date,A625,sj_eq,B625,sj_po,C625)=0,"Pas de saisie journalière ce jour-là","OK")))))))))))</f>
        <v/>
      </c>
      <c r="J625">
        <f>IF(OR(I625="OK",I625="Pas de saisie journalière ce jour-là"),E625,0)</f>
        <v>0.0</v>
      </c>
      <c r="K625">
        <f>IF(AND(J625&gt;0,A625&gt;=p_from,A625&lt;=p_to),1,0)</f>
        <v>0.0</v>
      </c>
      <c r="L625">
        <f>IF(AND(K625=1,OR(pa_po="",C625=pa_po),OR(pa_eq="",B625=pa_eq)),1,0)</f>
        <v>0.0</v>
      </c>
    </row>
    <row r="626">
      <c r="A626" s="51" t="n"/>
      <c r="B626" s="52" t="n"/>
      <c r="C626" s="52" t="n"/>
      <c r="D626" s="53" t="n"/>
      <c r="E626" s="60" t="n"/>
      <c r="F626" s="53" t="n"/>
      <c r="G626" s="61" t="str">
        <f>IF(OR(COUNTA(A626:E626)=0,D626=""),"",IFERROR(INDEX(ca_fam,MATCH(D626,ca_name,0))&amp;"",""))</f>
        <v/>
      </c>
      <c r="H626" s="58" t="str">
        <f>IF(OR(COUNTA(A626:E626)=0,D626=""),"",IFERROR(INDEX(ca_type,MATCH(D626,ca_name,0))&amp;"",""))</f>
        <v/>
      </c>
      <c r="I626" s="58" t="str">
        <f>IF(COUNTA(A626:E626)=0,"",IF(N(A626)&lt;=0,"Date manquante ou invalide",IF(B626="","Équipe manquante",IF(ISNA(MATCH(B626,eq_code,0)),"Équipe inconnue",IF(C626="","Poste manquant",IF(ISNA(MATCH(C626,po_code,0)),"Poste inconnu",IF(D626="","Cause manquante",IF(ISNA(MATCH(D626,ca_name,0)),"Cause inconnue",IF(H626="","Cause à compléter dans Paramètres",IF(OR(NOT(ISNUMBER(E626)),N(E626)&lt;=0,N(E626)&gt;1440),"Durée invalide",IF(COUNTIFS(sj_date,A626,sj_eq,B626,sj_po,C626)=0,"Pas de saisie journalière ce jour-là","OK")))))))))))</f>
        <v/>
      </c>
      <c r="J626">
        <f>IF(OR(I626="OK",I626="Pas de saisie journalière ce jour-là"),E626,0)</f>
        <v>0.0</v>
      </c>
      <c r="K626">
        <f>IF(AND(J626&gt;0,A626&gt;=p_from,A626&lt;=p_to),1,0)</f>
        <v>0.0</v>
      </c>
      <c r="L626">
        <f>IF(AND(K626=1,OR(pa_po="",C626=pa_po),OR(pa_eq="",B626=pa_eq)),1,0)</f>
        <v>0.0</v>
      </c>
    </row>
    <row r="627">
      <c r="A627" s="51" t="n"/>
      <c r="B627" s="52" t="n"/>
      <c r="C627" s="52" t="n"/>
      <c r="D627" s="53" t="n"/>
      <c r="E627" s="60" t="n"/>
      <c r="F627" s="53" t="n"/>
      <c r="G627" s="61" t="str">
        <f>IF(OR(COUNTA(A627:E627)=0,D627=""),"",IFERROR(INDEX(ca_fam,MATCH(D627,ca_name,0))&amp;"",""))</f>
        <v/>
      </c>
      <c r="H627" s="58" t="str">
        <f>IF(OR(COUNTA(A627:E627)=0,D627=""),"",IFERROR(INDEX(ca_type,MATCH(D627,ca_name,0))&amp;"",""))</f>
        <v/>
      </c>
      <c r="I627" s="58" t="str">
        <f>IF(COUNTA(A627:E627)=0,"",IF(N(A627)&lt;=0,"Date manquante ou invalide",IF(B627="","Équipe manquante",IF(ISNA(MATCH(B627,eq_code,0)),"Équipe inconnue",IF(C627="","Poste manquant",IF(ISNA(MATCH(C627,po_code,0)),"Poste inconnu",IF(D627="","Cause manquante",IF(ISNA(MATCH(D627,ca_name,0)),"Cause inconnue",IF(H627="","Cause à compléter dans Paramètres",IF(OR(NOT(ISNUMBER(E627)),N(E627)&lt;=0,N(E627)&gt;1440),"Durée invalide",IF(COUNTIFS(sj_date,A627,sj_eq,B627,sj_po,C627)=0,"Pas de saisie journalière ce jour-là","OK")))))))))))</f>
        <v/>
      </c>
      <c r="J627">
        <f>IF(OR(I627="OK",I627="Pas de saisie journalière ce jour-là"),E627,0)</f>
        <v>0.0</v>
      </c>
      <c r="K627">
        <f>IF(AND(J627&gt;0,A627&gt;=p_from,A627&lt;=p_to),1,0)</f>
        <v>0.0</v>
      </c>
      <c r="L627">
        <f>IF(AND(K627=1,OR(pa_po="",C627=pa_po),OR(pa_eq="",B627=pa_eq)),1,0)</f>
        <v>0.0</v>
      </c>
    </row>
    <row r="628">
      <c r="A628" s="51" t="n"/>
      <c r="B628" s="52" t="n"/>
      <c r="C628" s="52" t="n"/>
      <c r="D628" s="53" t="n"/>
      <c r="E628" s="60" t="n"/>
      <c r="F628" s="53" t="n"/>
      <c r="G628" s="61" t="str">
        <f>IF(OR(COUNTA(A628:E628)=0,D628=""),"",IFERROR(INDEX(ca_fam,MATCH(D628,ca_name,0))&amp;"",""))</f>
        <v/>
      </c>
      <c r="H628" s="58" t="str">
        <f>IF(OR(COUNTA(A628:E628)=0,D628=""),"",IFERROR(INDEX(ca_type,MATCH(D628,ca_name,0))&amp;"",""))</f>
        <v/>
      </c>
      <c r="I628" s="58" t="str">
        <f>IF(COUNTA(A628:E628)=0,"",IF(N(A628)&lt;=0,"Date manquante ou invalide",IF(B628="","Équipe manquante",IF(ISNA(MATCH(B628,eq_code,0)),"Équipe inconnue",IF(C628="","Poste manquant",IF(ISNA(MATCH(C628,po_code,0)),"Poste inconnu",IF(D628="","Cause manquante",IF(ISNA(MATCH(D628,ca_name,0)),"Cause inconnue",IF(H628="","Cause à compléter dans Paramètres",IF(OR(NOT(ISNUMBER(E628)),N(E628)&lt;=0,N(E628)&gt;1440),"Durée invalide",IF(COUNTIFS(sj_date,A628,sj_eq,B628,sj_po,C628)=0,"Pas de saisie journalière ce jour-là","OK")))))))))))</f>
        <v/>
      </c>
      <c r="J628">
        <f>IF(OR(I628="OK",I628="Pas de saisie journalière ce jour-là"),E628,0)</f>
        <v>0.0</v>
      </c>
      <c r="K628">
        <f>IF(AND(J628&gt;0,A628&gt;=p_from,A628&lt;=p_to),1,0)</f>
        <v>0.0</v>
      </c>
      <c r="L628">
        <f>IF(AND(K628=1,OR(pa_po="",C628=pa_po),OR(pa_eq="",B628=pa_eq)),1,0)</f>
        <v>0.0</v>
      </c>
    </row>
    <row r="629">
      <c r="A629" s="51" t="n"/>
      <c r="B629" s="52" t="n"/>
      <c r="C629" s="52" t="n"/>
      <c r="D629" s="53" t="n"/>
      <c r="E629" s="60" t="n"/>
      <c r="F629" s="53" t="n"/>
      <c r="G629" s="61" t="str">
        <f>IF(OR(COUNTA(A629:E629)=0,D629=""),"",IFERROR(INDEX(ca_fam,MATCH(D629,ca_name,0))&amp;"",""))</f>
        <v/>
      </c>
      <c r="H629" s="58" t="str">
        <f>IF(OR(COUNTA(A629:E629)=0,D629=""),"",IFERROR(INDEX(ca_type,MATCH(D629,ca_name,0))&amp;"",""))</f>
        <v/>
      </c>
      <c r="I629" s="58" t="str">
        <f>IF(COUNTA(A629:E629)=0,"",IF(N(A629)&lt;=0,"Date manquante ou invalide",IF(B629="","Équipe manquante",IF(ISNA(MATCH(B629,eq_code,0)),"Équipe inconnue",IF(C629="","Poste manquant",IF(ISNA(MATCH(C629,po_code,0)),"Poste inconnu",IF(D629="","Cause manquante",IF(ISNA(MATCH(D629,ca_name,0)),"Cause inconnue",IF(H629="","Cause à compléter dans Paramètres",IF(OR(NOT(ISNUMBER(E629)),N(E629)&lt;=0,N(E629)&gt;1440),"Durée invalide",IF(COUNTIFS(sj_date,A629,sj_eq,B629,sj_po,C629)=0,"Pas de saisie journalière ce jour-là","OK")))))))))))</f>
        <v/>
      </c>
      <c r="J629">
        <f>IF(OR(I629="OK",I629="Pas de saisie journalière ce jour-là"),E629,0)</f>
        <v>0.0</v>
      </c>
      <c r="K629">
        <f>IF(AND(J629&gt;0,A629&gt;=p_from,A629&lt;=p_to),1,0)</f>
        <v>0.0</v>
      </c>
      <c r="L629">
        <f>IF(AND(K629=1,OR(pa_po="",C629=pa_po),OR(pa_eq="",B629=pa_eq)),1,0)</f>
        <v>0.0</v>
      </c>
    </row>
    <row r="630">
      <c r="A630" s="51" t="n"/>
      <c r="B630" s="52" t="n"/>
      <c r="C630" s="52" t="n"/>
      <c r="D630" s="53" t="n"/>
      <c r="E630" s="60" t="n"/>
      <c r="F630" s="53" t="n"/>
      <c r="G630" s="61" t="str">
        <f>IF(OR(COUNTA(A630:E630)=0,D630=""),"",IFERROR(INDEX(ca_fam,MATCH(D630,ca_name,0))&amp;"",""))</f>
        <v/>
      </c>
      <c r="H630" s="58" t="str">
        <f>IF(OR(COUNTA(A630:E630)=0,D630=""),"",IFERROR(INDEX(ca_type,MATCH(D630,ca_name,0))&amp;"",""))</f>
        <v/>
      </c>
      <c r="I630" s="58" t="str">
        <f>IF(COUNTA(A630:E630)=0,"",IF(N(A630)&lt;=0,"Date manquante ou invalide",IF(B630="","Équipe manquante",IF(ISNA(MATCH(B630,eq_code,0)),"Équipe inconnue",IF(C630="","Poste manquant",IF(ISNA(MATCH(C630,po_code,0)),"Poste inconnu",IF(D630="","Cause manquante",IF(ISNA(MATCH(D630,ca_name,0)),"Cause inconnue",IF(H630="","Cause à compléter dans Paramètres",IF(OR(NOT(ISNUMBER(E630)),N(E630)&lt;=0,N(E630)&gt;1440),"Durée invalide",IF(COUNTIFS(sj_date,A630,sj_eq,B630,sj_po,C630)=0,"Pas de saisie journalière ce jour-là","OK")))))))))))</f>
        <v/>
      </c>
      <c r="J630">
        <f>IF(OR(I630="OK",I630="Pas de saisie journalière ce jour-là"),E630,0)</f>
        <v>0.0</v>
      </c>
      <c r="K630">
        <f>IF(AND(J630&gt;0,A630&gt;=p_from,A630&lt;=p_to),1,0)</f>
        <v>0.0</v>
      </c>
      <c r="L630">
        <f>IF(AND(K630=1,OR(pa_po="",C630=pa_po),OR(pa_eq="",B630=pa_eq)),1,0)</f>
        <v>0.0</v>
      </c>
    </row>
    <row r="631">
      <c r="A631" s="51" t="n"/>
      <c r="B631" s="52" t="n"/>
      <c r="C631" s="52" t="n"/>
      <c r="D631" s="53" t="n"/>
      <c r="E631" s="60" t="n"/>
      <c r="F631" s="53" t="n"/>
      <c r="G631" s="61" t="str">
        <f>IF(OR(COUNTA(A631:E631)=0,D631=""),"",IFERROR(INDEX(ca_fam,MATCH(D631,ca_name,0))&amp;"",""))</f>
        <v/>
      </c>
      <c r="H631" s="58" t="str">
        <f>IF(OR(COUNTA(A631:E631)=0,D631=""),"",IFERROR(INDEX(ca_type,MATCH(D631,ca_name,0))&amp;"",""))</f>
        <v/>
      </c>
      <c r="I631" s="58" t="str">
        <f>IF(COUNTA(A631:E631)=0,"",IF(N(A631)&lt;=0,"Date manquante ou invalide",IF(B631="","Équipe manquante",IF(ISNA(MATCH(B631,eq_code,0)),"Équipe inconnue",IF(C631="","Poste manquant",IF(ISNA(MATCH(C631,po_code,0)),"Poste inconnu",IF(D631="","Cause manquante",IF(ISNA(MATCH(D631,ca_name,0)),"Cause inconnue",IF(H631="","Cause à compléter dans Paramètres",IF(OR(NOT(ISNUMBER(E631)),N(E631)&lt;=0,N(E631)&gt;1440),"Durée invalide",IF(COUNTIFS(sj_date,A631,sj_eq,B631,sj_po,C631)=0,"Pas de saisie journalière ce jour-là","OK")))))))))))</f>
        <v/>
      </c>
      <c r="J631">
        <f>IF(OR(I631="OK",I631="Pas de saisie journalière ce jour-là"),E631,0)</f>
        <v>0.0</v>
      </c>
      <c r="K631">
        <f>IF(AND(J631&gt;0,A631&gt;=p_from,A631&lt;=p_to),1,0)</f>
        <v>0.0</v>
      </c>
      <c r="L631">
        <f>IF(AND(K631=1,OR(pa_po="",C631=pa_po),OR(pa_eq="",B631=pa_eq)),1,0)</f>
        <v>0.0</v>
      </c>
    </row>
    <row r="632">
      <c r="A632" s="51" t="n"/>
      <c r="B632" s="52" t="n"/>
      <c r="C632" s="52" t="n"/>
      <c r="D632" s="53" t="n"/>
      <c r="E632" s="60" t="n"/>
      <c r="F632" s="53" t="n"/>
      <c r="G632" s="61" t="str">
        <f>IF(OR(COUNTA(A632:E632)=0,D632=""),"",IFERROR(INDEX(ca_fam,MATCH(D632,ca_name,0))&amp;"",""))</f>
        <v/>
      </c>
      <c r="H632" s="58" t="str">
        <f>IF(OR(COUNTA(A632:E632)=0,D632=""),"",IFERROR(INDEX(ca_type,MATCH(D632,ca_name,0))&amp;"",""))</f>
        <v/>
      </c>
      <c r="I632" s="58" t="str">
        <f>IF(COUNTA(A632:E632)=0,"",IF(N(A632)&lt;=0,"Date manquante ou invalide",IF(B632="","Équipe manquante",IF(ISNA(MATCH(B632,eq_code,0)),"Équipe inconnue",IF(C632="","Poste manquant",IF(ISNA(MATCH(C632,po_code,0)),"Poste inconnu",IF(D632="","Cause manquante",IF(ISNA(MATCH(D632,ca_name,0)),"Cause inconnue",IF(H632="","Cause à compléter dans Paramètres",IF(OR(NOT(ISNUMBER(E632)),N(E632)&lt;=0,N(E632)&gt;1440),"Durée invalide",IF(COUNTIFS(sj_date,A632,sj_eq,B632,sj_po,C632)=0,"Pas de saisie journalière ce jour-là","OK")))))))))))</f>
        <v/>
      </c>
      <c r="J632">
        <f>IF(OR(I632="OK",I632="Pas de saisie journalière ce jour-là"),E632,0)</f>
        <v>0.0</v>
      </c>
      <c r="K632">
        <f>IF(AND(J632&gt;0,A632&gt;=p_from,A632&lt;=p_to),1,0)</f>
        <v>0.0</v>
      </c>
      <c r="L632">
        <f>IF(AND(K632=1,OR(pa_po="",C632=pa_po),OR(pa_eq="",B632=pa_eq)),1,0)</f>
        <v>0.0</v>
      </c>
    </row>
    <row r="633">
      <c r="A633" s="51" t="n"/>
      <c r="B633" s="52" t="n"/>
      <c r="C633" s="52" t="n"/>
      <c r="D633" s="53" t="n"/>
      <c r="E633" s="60" t="n"/>
      <c r="F633" s="53" t="n"/>
      <c r="G633" s="61" t="str">
        <f>IF(OR(COUNTA(A633:E633)=0,D633=""),"",IFERROR(INDEX(ca_fam,MATCH(D633,ca_name,0))&amp;"",""))</f>
        <v/>
      </c>
      <c r="H633" s="58" t="str">
        <f>IF(OR(COUNTA(A633:E633)=0,D633=""),"",IFERROR(INDEX(ca_type,MATCH(D633,ca_name,0))&amp;"",""))</f>
        <v/>
      </c>
      <c r="I633" s="58" t="str">
        <f>IF(COUNTA(A633:E633)=0,"",IF(N(A633)&lt;=0,"Date manquante ou invalide",IF(B633="","Équipe manquante",IF(ISNA(MATCH(B633,eq_code,0)),"Équipe inconnue",IF(C633="","Poste manquant",IF(ISNA(MATCH(C633,po_code,0)),"Poste inconnu",IF(D633="","Cause manquante",IF(ISNA(MATCH(D633,ca_name,0)),"Cause inconnue",IF(H633="","Cause à compléter dans Paramètres",IF(OR(NOT(ISNUMBER(E633)),N(E633)&lt;=0,N(E633)&gt;1440),"Durée invalide",IF(COUNTIFS(sj_date,A633,sj_eq,B633,sj_po,C633)=0,"Pas de saisie journalière ce jour-là","OK")))))))))))</f>
        <v/>
      </c>
      <c r="J633">
        <f>IF(OR(I633="OK",I633="Pas de saisie journalière ce jour-là"),E633,0)</f>
        <v>0.0</v>
      </c>
      <c r="K633">
        <f>IF(AND(J633&gt;0,A633&gt;=p_from,A633&lt;=p_to),1,0)</f>
        <v>0.0</v>
      </c>
      <c r="L633">
        <f>IF(AND(K633=1,OR(pa_po="",C633=pa_po),OR(pa_eq="",B633=pa_eq)),1,0)</f>
        <v>0.0</v>
      </c>
    </row>
    <row r="634">
      <c r="A634" s="51" t="n"/>
      <c r="B634" s="52" t="n"/>
      <c r="C634" s="52" t="n"/>
      <c r="D634" s="53" t="n"/>
      <c r="E634" s="60" t="n"/>
      <c r="F634" s="53" t="n"/>
      <c r="G634" s="61" t="str">
        <f>IF(OR(COUNTA(A634:E634)=0,D634=""),"",IFERROR(INDEX(ca_fam,MATCH(D634,ca_name,0))&amp;"",""))</f>
        <v/>
      </c>
      <c r="H634" s="58" t="str">
        <f>IF(OR(COUNTA(A634:E634)=0,D634=""),"",IFERROR(INDEX(ca_type,MATCH(D634,ca_name,0))&amp;"",""))</f>
        <v/>
      </c>
      <c r="I634" s="58" t="str">
        <f>IF(COUNTA(A634:E634)=0,"",IF(N(A634)&lt;=0,"Date manquante ou invalide",IF(B634="","Équipe manquante",IF(ISNA(MATCH(B634,eq_code,0)),"Équipe inconnue",IF(C634="","Poste manquant",IF(ISNA(MATCH(C634,po_code,0)),"Poste inconnu",IF(D634="","Cause manquante",IF(ISNA(MATCH(D634,ca_name,0)),"Cause inconnue",IF(H634="","Cause à compléter dans Paramètres",IF(OR(NOT(ISNUMBER(E634)),N(E634)&lt;=0,N(E634)&gt;1440),"Durée invalide",IF(COUNTIFS(sj_date,A634,sj_eq,B634,sj_po,C634)=0,"Pas de saisie journalière ce jour-là","OK")))))))))))</f>
        <v/>
      </c>
      <c r="J634">
        <f>IF(OR(I634="OK",I634="Pas de saisie journalière ce jour-là"),E634,0)</f>
        <v>0.0</v>
      </c>
      <c r="K634">
        <f>IF(AND(J634&gt;0,A634&gt;=p_from,A634&lt;=p_to),1,0)</f>
        <v>0.0</v>
      </c>
      <c r="L634">
        <f>IF(AND(K634=1,OR(pa_po="",C634=pa_po),OR(pa_eq="",B634=pa_eq)),1,0)</f>
        <v>0.0</v>
      </c>
    </row>
    <row r="635">
      <c r="A635" s="51" t="n"/>
      <c r="B635" s="52" t="n"/>
      <c r="C635" s="52" t="n"/>
      <c r="D635" s="53" t="n"/>
      <c r="E635" s="60" t="n"/>
      <c r="F635" s="53" t="n"/>
      <c r="G635" s="61" t="str">
        <f>IF(OR(COUNTA(A635:E635)=0,D635=""),"",IFERROR(INDEX(ca_fam,MATCH(D635,ca_name,0))&amp;"",""))</f>
        <v/>
      </c>
      <c r="H635" s="58" t="str">
        <f>IF(OR(COUNTA(A635:E635)=0,D635=""),"",IFERROR(INDEX(ca_type,MATCH(D635,ca_name,0))&amp;"",""))</f>
        <v/>
      </c>
      <c r="I635" s="58" t="str">
        <f>IF(COUNTA(A635:E635)=0,"",IF(N(A635)&lt;=0,"Date manquante ou invalide",IF(B635="","Équipe manquante",IF(ISNA(MATCH(B635,eq_code,0)),"Équipe inconnue",IF(C635="","Poste manquant",IF(ISNA(MATCH(C635,po_code,0)),"Poste inconnu",IF(D635="","Cause manquante",IF(ISNA(MATCH(D635,ca_name,0)),"Cause inconnue",IF(H635="","Cause à compléter dans Paramètres",IF(OR(NOT(ISNUMBER(E635)),N(E635)&lt;=0,N(E635)&gt;1440),"Durée invalide",IF(COUNTIFS(sj_date,A635,sj_eq,B635,sj_po,C635)=0,"Pas de saisie journalière ce jour-là","OK")))))))))))</f>
        <v/>
      </c>
      <c r="J635">
        <f>IF(OR(I635="OK",I635="Pas de saisie journalière ce jour-là"),E635,0)</f>
        <v>0.0</v>
      </c>
      <c r="K635">
        <f>IF(AND(J635&gt;0,A635&gt;=p_from,A635&lt;=p_to),1,0)</f>
        <v>0.0</v>
      </c>
      <c r="L635">
        <f>IF(AND(K635=1,OR(pa_po="",C635=pa_po),OR(pa_eq="",B635=pa_eq)),1,0)</f>
        <v>0.0</v>
      </c>
    </row>
    <row r="636">
      <c r="A636" s="51" t="n"/>
      <c r="B636" s="52" t="n"/>
      <c r="C636" s="52" t="n"/>
      <c r="D636" s="53" t="n"/>
      <c r="E636" s="60" t="n"/>
      <c r="F636" s="53" t="n"/>
      <c r="G636" s="61" t="str">
        <f>IF(OR(COUNTA(A636:E636)=0,D636=""),"",IFERROR(INDEX(ca_fam,MATCH(D636,ca_name,0))&amp;"",""))</f>
        <v/>
      </c>
      <c r="H636" s="58" t="str">
        <f>IF(OR(COUNTA(A636:E636)=0,D636=""),"",IFERROR(INDEX(ca_type,MATCH(D636,ca_name,0))&amp;"",""))</f>
        <v/>
      </c>
      <c r="I636" s="58" t="str">
        <f>IF(COUNTA(A636:E636)=0,"",IF(N(A636)&lt;=0,"Date manquante ou invalide",IF(B636="","Équipe manquante",IF(ISNA(MATCH(B636,eq_code,0)),"Équipe inconnue",IF(C636="","Poste manquant",IF(ISNA(MATCH(C636,po_code,0)),"Poste inconnu",IF(D636="","Cause manquante",IF(ISNA(MATCH(D636,ca_name,0)),"Cause inconnue",IF(H636="","Cause à compléter dans Paramètres",IF(OR(NOT(ISNUMBER(E636)),N(E636)&lt;=0,N(E636)&gt;1440),"Durée invalide",IF(COUNTIFS(sj_date,A636,sj_eq,B636,sj_po,C636)=0,"Pas de saisie journalière ce jour-là","OK")))))))))))</f>
        <v/>
      </c>
      <c r="J636">
        <f>IF(OR(I636="OK",I636="Pas de saisie journalière ce jour-là"),E636,0)</f>
        <v>0.0</v>
      </c>
      <c r="K636">
        <f>IF(AND(J636&gt;0,A636&gt;=p_from,A636&lt;=p_to),1,0)</f>
        <v>0.0</v>
      </c>
      <c r="L636">
        <f>IF(AND(K636=1,OR(pa_po="",C636=pa_po),OR(pa_eq="",B636=pa_eq)),1,0)</f>
        <v>0.0</v>
      </c>
    </row>
    <row r="637">
      <c r="A637" s="51" t="n"/>
      <c r="B637" s="52" t="n"/>
      <c r="C637" s="52" t="n"/>
      <c r="D637" s="53" t="n"/>
      <c r="E637" s="60" t="n"/>
      <c r="F637" s="53" t="n"/>
      <c r="G637" s="61" t="str">
        <f>IF(OR(COUNTA(A637:E637)=0,D637=""),"",IFERROR(INDEX(ca_fam,MATCH(D637,ca_name,0))&amp;"",""))</f>
        <v/>
      </c>
      <c r="H637" s="58" t="str">
        <f>IF(OR(COUNTA(A637:E637)=0,D637=""),"",IFERROR(INDEX(ca_type,MATCH(D637,ca_name,0))&amp;"",""))</f>
        <v/>
      </c>
      <c r="I637" s="58" t="str">
        <f>IF(COUNTA(A637:E637)=0,"",IF(N(A637)&lt;=0,"Date manquante ou invalide",IF(B637="","Équipe manquante",IF(ISNA(MATCH(B637,eq_code,0)),"Équipe inconnue",IF(C637="","Poste manquant",IF(ISNA(MATCH(C637,po_code,0)),"Poste inconnu",IF(D637="","Cause manquante",IF(ISNA(MATCH(D637,ca_name,0)),"Cause inconnue",IF(H637="","Cause à compléter dans Paramètres",IF(OR(NOT(ISNUMBER(E637)),N(E637)&lt;=0,N(E637)&gt;1440),"Durée invalide",IF(COUNTIFS(sj_date,A637,sj_eq,B637,sj_po,C637)=0,"Pas de saisie journalière ce jour-là","OK")))))))))))</f>
        <v/>
      </c>
      <c r="J637">
        <f>IF(OR(I637="OK",I637="Pas de saisie journalière ce jour-là"),E637,0)</f>
        <v>0.0</v>
      </c>
      <c r="K637">
        <f>IF(AND(J637&gt;0,A637&gt;=p_from,A637&lt;=p_to),1,0)</f>
        <v>0.0</v>
      </c>
      <c r="L637">
        <f>IF(AND(K637=1,OR(pa_po="",C637=pa_po),OR(pa_eq="",B637=pa_eq)),1,0)</f>
        <v>0.0</v>
      </c>
    </row>
    <row r="638">
      <c r="A638" s="51" t="n"/>
      <c r="B638" s="52" t="n"/>
      <c r="C638" s="52" t="n"/>
      <c r="D638" s="53" t="n"/>
      <c r="E638" s="60" t="n"/>
      <c r="F638" s="53" t="n"/>
      <c r="G638" s="61" t="str">
        <f>IF(OR(COUNTA(A638:E638)=0,D638=""),"",IFERROR(INDEX(ca_fam,MATCH(D638,ca_name,0))&amp;"",""))</f>
        <v/>
      </c>
      <c r="H638" s="58" t="str">
        <f>IF(OR(COUNTA(A638:E638)=0,D638=""),"",IFERROR(INDEX(ca_type,MATCH(D638,ca_name,0))&amp;"",""))</f>
        <v/>
      </c>
      <c r="I638" s="58" t="str">
        <f>IF(COUNTA(A638:E638)=0,"",IF(N(A638)&lt;=0,"Date manquante ou invalide",IF(B638="","Équipe manquante",IF(ISNA(MATCH(B638,eq_code,0)),"Équipe inconnue",IF(C638="","Poste manquant",IF(ISNA(MATCH(C638,po_code,0)),"Poste inconnu",IF(D638="","Cause manquante",IF(ISNA(MATCH(D638,ca_name,0)),"Cause inconnue",IF(H638="","Cause à compléter dans Paramètres",IF(OR(NOT(ISNUMBER(E638)),N(E638)&lt;=0,N(E638)&gt;1440),"Durée invalide",IF(COUNTIFS(sj_date,A638,sj_eq,B638,sj_po,C638)=0,"Pas de saisie journalière ce jour-là","OK")))))))))))</f>
        <v/>
      </c>
      <c r="J638">
        <f>IF(OR(I638="OK",I638="Pas de saisie journalière ce jour-là"),E638,0)</f>
        <v>0.0</v>
      </c>
      <c r="K638">
        <f>IF(AND(J638&gt;0,A638&gt;=p_from,A638&lt;=p_to),1,0)</f>
        <v>0.0</v>
      </c>
      <c r="L638">
        <f>IF(AND(K638=1,OR(pa_po="",C638=pa_po),OR(pa_eq="",B638=pa_eq)),1,0)</f>
        <v>0.0</v>
      </c>
    </row>
    <row r="639">
      <c r="A639" s="51" t="n"/>
      <c r="B639" s="52" t="n"/>
      <c r="C639" s="52" t="n"/>
      <c r="D639" s="53" t="n"/>
      <c r="E639" s="60" t="n"/>
      <c r="F639" s="53" t="n"/>
      <c r="G639" s="61" t="str">
        <f>IF(OR(COUNTA(A639:E639)=0,D639=""),"",IFERROR(INDEX(ca_fam,MATCH(D639,ca_name,0))&amp;"",""))</f>
        <v/>
      </c>
      <c r="H639" s="58" t="str">
        <f>IF(OR(COUNTA(A639:E639)=0,D639=""),"",IFERROR(INDEX(ca_type,MATCH(D639,ca_name,0))&amp;"",""))</f>
        <v/>
      </c>
      <c r="I639" s="58" t="str">
        <f>IF(COUNTA(A639:E639)=0,"",IF(N(A639)&lt;=0,"Date manquante ou invalide",IF(B639="","Équipe manquante",IF(ISNA(MATCH(B639,eq_code,0)),"Équipe inconnue",IF(C639="","Poste manquant",IF(ISNA(MATCH(C639,po_code,0)),"Poste inconnu",IF(D639="","Cause manquante",IF(ISNA(MATCH(D639,ca_name,0)),"Cause inconnue",IF(H639="","Cause à compléter dans Paramètres",IF(OR(NOT(ISNUMBER(E639)),N(E639)&lt;=0,N(E639)&gt;1440),"Durée invalide",IF(COUNTIFS(sj_date,A639,sj_eq,B639,sj_po,C639)=0,"Pas de saisie journalière ce jour-là","OK")))))))))))</f>
        <v/>
      </c>
      <c r="J639">
        <f>IF(OR(I639="OK",I639="Pas de saisie journalière ce jour-là"),E639,0)</f>
        <v>0.0</v>
      </c>
      <c r="K639">
        <f>IF(AND(J639&gt;0,A639&gt;=p_from,A639&lt;=p_to),1,0)</f>
        <v>0.0</v>
      </c>
      <c r="L639">
        <f>IF(AND(K639=1,OR(pa_po="",C639=pa_po),OR(pa_eq="",B639=pa_eq)),1,0)</f>
        <v>0.0</v>
      </c>
    </row>
    <row r="640">
      <c r="A640" s="51" t="n"/>
      <c r="B640" s="52" t="n"/>
      <c r="C640" s="52" t="n"/>
      <c r="D640" s="53" t="n"/>
      <c r="E640" s="60" t="n"/>
      <c r="F640" s="53" t="n"/>
      <c r="G640" s="61" t="str">
        <f>IF(OR(COUNTA(A640:E640)=0,D640=""),"",IFERROR(INDEX(ca_fam,MATCH(D640,ca_name,0))&amp;"",""))</f>
        <v/>
      </c>
      <c r="H640" s="58" t="str">
        <f>IF(OR(COUNTA(A640:E640)=0,D640=""),"",IFERROR(INDEX(ca_type,MATCH(D640,ca_name,0))&amp;"",""))</f>
        <v/>
      </c>
      <c r="I640" s="58" t="str">
        <f>IF(COUNTA(A640:E640)=0,"",IF(N(A640)&lt;=0,"Date manquante ou invalide",IF(B640="","Équipe manquante",IF(ISNA(MATCH(B640,eq_code,0)),"Équipe inconnue",IF(C640="","Poste manquant",IF(ISNA(MATCH(C640,po_code,0)),"Poste inconnu",IF(D640="","Cause manquante",IF(ISNA(MATCH(D640,ca_name,0)),"Cause inconnue",IF(H640="","Cause à compléter dans Paramètres",IF(OR(NOT(ISNUMBER(E640)),N(E640)&lt;=0,N(E640)&gt;1440),"Durée invalide",IF(COUNTIFS(sj_date,A640,sj_eq,B640,sj_po,C640)=0,"Pas de saisie journalière ce jour-là","OK")))))))))))</f>
        <v/>
      </c>
      <c r="J640">
        <f>IF(OR(I640="OK",I640="Pas de saisie journalière ce jour-là"),E640,0)</f>
        <v>0.0</v>
      </c>
      <c r="K640">
        <f>IF(AND(J640&gt;0,A640&gt;=p_from,A640&lt;=p_to),1,0)</f>
        <v>0.0</v>
      </c>
      <c r="L640">
        <f>IF(AND(K640=1,OR(pa_po="",C640=pa_po),OR(pa_eq="",B640=pa_eq)),1,0)</f>
        <v>0.0</v>
      </c>
    </row>
    <row r="641">
      <c r="A641" s="51" t="n"/>
      <c r="B641" s="52" t="n"/>
      <c r="C641" s="52" t="n"/>
      <c r="D641" s="53" t="n"/>
      <c r="E641" s="60" t="n"/>
      <c r="F641" s="53" t="n"/>
      <c r="G641" s="61" t="str">
        <f>IF(OR(COUNTA(A641:E641)=0,D641=""),"",IFERROR(INDEX(ca_fam,MATCH(D641,ca_name,0))&amp;"",""))</f>
        <v/>
      </c>
      <c r="H641" s="58" t="str">
        <f>IF(OR(COUNTA(A641:E641)=0,D641=""),"",IFERROR(INDEX(ca_type,MATCH(D641,ca_name,0))&amp;"",""))</f>
        <v/>
      </c>
      <c r="I641" s="58" t="str">
        <f>IF(COUNTA(A641:E641)=0,"",IF(N(A641)&lt;=0,"Date manquante ou invalide",IF(B641="","Équipe manquante",IF(ISNA(MATCH(B641,eq_code,0)),"Équipe inconnue",IF(C641="","Poste manquant",IF(ISNA(MATCH(C641,po_code,0)),"Poste inconnu",IF(D641="","Cause manquante",IF(ISNA(MATCH(D641,ca_name,0)),"Cause inconnue",IF(H641="","Cause à compléter dans Paramètres",IF(OR(NOT(ISNUMBER(E641)),N(E641)&lt;=0,N(E641)&gt;1440),"Durée invalide",IF(COUNTIFS(sj_date,A641,sj_eq,B641,sj_po,C641)=0,"Pas de saisie journalière ce jour-là","OK")))))))))))</f>
        <v/>
      </c>
      <c r="J641">
        <f>IF(OR(I641="OK",I641="Pas de saisie journalière ce jour-là"),E641,0)</f>
        <v>0.0</v>
      </c>
      <c r="K641">
        <f>IF(AND(J641&gt;0,A641&gt;=p_from,A641&lt;=p_to),1,0)</f>
        <v>0.0</v>
      </c>
      <c r="L641">
        <f>IF(AND(K641=1,OR(pa_po="",C641=pa_po),OR(pa_eq="",B641=pa_eq)),1,0)</f>
        <v>0.0</v>
      </c>
    </row>
    <row r="642">
      <c r="A642" s="51" t="n"/>
      <c r="B642" s="52" t="n"/>
      <c r="C642" s="52" t="n"/>
      <c r="D642" s="53" t="n"/>
      <c r="E642" s="60" t="n"/>
      <c r="F642" s="53" t="n"/>
      <c r="G642" s="61" t="str">
        <f>IF(OR(COUNTA(A642:E642)=0,D642=""),"",IFERROR(INDEX(ca_fam,MATCH(D642,ca_name,0))&amp;"",""))</f>
        <v/>
      </c>
      <c r="H642" s="58" t="str">
        <f>IF(OR(COUNTA(A642:E642)=0,D642=""),"",IFERROR(INDEX(ca_type,MATCH(D642,ca_name,0))&amp;"",""))</f>
        <v/>
      </c>
      <c r="I642" s="58" t="str">
        <f>IF(COUNTA(A642:E642)=0,"",IF(N(A642)&lt;=0,"Date manquante ou invalide",IF(B642="","Équipe manquante",IF(ISNA(MATCH(B642,eq_code,0)),"Équipe inconnue",IF(C642="","Poste manquant",IF(ISNA(MATCH(C642,po_code,0)),"Poste inconnu",IF(D642="","Cause manquante",IF(ISNA(MATCH(D642,ca_name,0)),"Cause inconnue",IF(H642="","Cause à compléter dans Paramètres",IF(OR(NOT(ISNUMBER(E642)),N(E642)&lt;=0,N(E642)&gt;1440),"Durée invalide",IF(COUNTIFS(sj_date,A642,sj_eq,B642,sj_po,C642)=0,"Pas de saisie journalière ce jour-là","OK")))))))))))</f>
        <v/>
      </c>
      <c r="J642">
        <f>IF(OR(I642="OK",I642="Pas de saisie journalière ce jour-là"),E642,0)</f>
        <v>0.0</v>
      </c>
      <c r="K642">
        <f>IF(AND(J642&gt;0,A642&gt;=p_from,A642&lt;=p_to),1,0)</f>
        <v>0.0</v>
      </c>
      <c r="L642">
        <f>IF(AND(K642=1,OR(pa_po="",C642=pa_po),OR(pa_eq="",B642=pa_eq)),1,0)</f>
        <v>0.0</v>
      </c>
    </row>
    <row r="643">
      <c r="A643" s="51" t="n"/>
      <c r="B643" s="52" t="n"/>
      <c r="C643" s="52" t="n"/>
      <c r="D643" s="53" t="n"/>
      <c r="E643" s="60" t="n"/>
      <c r="F643" s="53" t="n"/>
      <c r="G643" s="61" t="str">
        <f>IF(OR(COUNTA(A643:E643)=0,D643=""),"",IFERROR(INDEX(ca_fam,MATCH(D643,ca_name,0))&amp;"",""))</f>
        <v/>
      </c>
      <c r="H643" s="58" t="str">
        <f>IF(OR(COUNTA(A643:E643)=0,D643=""),"",IFERROR(INDEX(ca_type,MATCH(D643,ca_name,0))&amp;"",""))</f>
        <v/>
      </c>
      <c r="I643" s="58" t="str">
        <f>IF(COUNTA(A643:E643)=0,"",IF(N(A643)&lt;=0,"Date manquante ou invalide",IF(B643="","Équipe manquante",IF(ISNA(MATCH(B643,eq_code,0)),"Équipe inconnue",IF(C643="","Poste manquant",IF(ISNA(MATCH(C643,po_code,0)),"Poste inconnu",IF(D643="","Cause manquante",IF(ISNA(MATCH(D643,ca_name,0)),"Cause inconnue",IF(H643="","Cause à compléter dans Paramètres",IF(OR(NOT(ISNUMBER(E643)),N(E643)&lt;=0,N(E643)&gt;1440),"Durée invalide",IF(COUNTIFS(sj_date,A643,sj_eq,B643,sj_po,C643)=0,"Pas de saisie journalière ce jour-là","OK")))))))))))</f>
        <v/>
      </c>
      <c r="J643">
        <f>IF(OR(I643="OK",I643="Pas de saisie journalière ce jour-là"),E643,0)</f>
        <v>0.0</v>
      </c>
      <c r="K643">
        <f>IF(AND(J643&gt;0,A643&gt;=p_from,A643&lt;=p_to),1,0)</f>
        <v>0.0</v>
      </c>
      <c r="L643">
        <f>IF(AND(K643=1,OR(pa_po="",C643=pa_po),OR(pa_eq="",B643=pa_eq)),1,0)</f>
        <v>0.0</v>
      </c>
    </row>
    <row r="644">
      <c r="A644" s="51" t="n"/>
      <c r="B644" s="52" t="n"/>
      <c r="C644" s="52" t="n"/>
      <c r="D644" s="53" t="n"/>
      <c r="E644" s="60" t="n"/>
      <c r="F644" s="53" t="n"/>
      <c r="G644" s="61" t="str">
        <f>IF(OR(COUNTA(A644:E644)=0,D644=""),"",IFERROR(INDEX(ca_fam,MATCH(D644,ca_name,0))&amp;"",""))</f>
        <v/>
      </c>
      <c r="H644" s="58" t="str">
        <f>IF(OR(COUNTA(A644:E644)=0,D644=""),"",IFERROR(INDEX(ca_type,MATCH(D644,ca_name,0))&amp;"",""))</f>
        <v/>
      </c>
      <c r="I644" s="58" t="str">
        <f>IF(COUNTA(A644:E644)=0,"",IF(N(A644)&lt;=0,"Date manquante ou invalide",IF(B644="","Équipe manquante",IF(ISNA(MATCH(B644,eq_code,0)),"Équipe inconnue",IF(C644="","Poste manquant",IF(ISNA(MATCH(C644,po_code,0)),"Poste inconnu",IF(D644="","Cause manquante",IF(ISNA(MATCH(D644,ca_name,0)),"Cause inconnue",IF(H644="","Cause à compléter dans Paramètres",IF(OR(NOT(ISNUMBER(E644)),N(E644)&lt;=0,N(E644)&gt;1440),"Durée invalide",IF(COUNTIFS(sj_date,A644,sj_eq,B644,sj_po,C644)=0,"Pas de saisie journalière ce jour-là","OK")))))))))))</f>
        <v/>
      </c>
      <c r="J644">
        <f>IF(OR(I644="OK",I644="Pas de saisie journalière ce jour-là"),E644,0)</f>
        <v>0.0</v>
      </c>
      <c r="K644">
        <f>IF(AND(J644&gt;0,A644&gt;=p_from,A644&lt;=p_to),1,0)</f>
        <v>0.0</v>
      </c>
      <c r="L644">
        <f>IF(AND(K644=1,OR(pa_po="",C644=pa_po),OR(pa_eq="",B644=pa_eq)),1,0)</f>
        <v>0.0</v>
      </c>
    </row>
    <row r="645">
      <c r="A645" s="51" t="n"/>
      <c r="B645" s="52" t="n"/>
      <c r="C645" s="52" t="n"/>
      <c r="D645" s="53" t="n"/>
      <c r="E645" s="60" t="n"/>
      <c r="F645" s="53" t="n"/>
      <c r="G645" s="61" t="str">
        <f>IF(OR(COUNTA(A645:E645)=0,D645=""),"",IFERROR(INDEX(ca_fam,MATCH(D645,ca_name,0))&amp;"",""))</f>
        <v/>
      </c>
      <c r="H645" s="58" t="str">
        <f>IF(OR(COUNTA(A645:E645)=0,D645=""),"",IFERROR(INDEX(ca_type,MATCH(D645,ca_name,0))&amp;"",""))</f>
        <v/>
      </c>
      <c r="I645" s="58" t="str">
        <f>IF(COUNTA(A645:E645)=0,"",IF(N(A645)&lt;=0,"Date manquante ou invalide",IF(B645="","Équipe manquante",IF(ISNA(MATCH(B645,eq_code,0)),"Équipe inconnue",IF(C645="","Poste manquant",IF(ISNA(MATCH(C645,po_code,0)),"Poste inconnu",IF(D645="","Cause manquante",IF(ISNA(MATCH(D645,ca_name,0)),"Cause inconnue",IF(H645="","Cause à compléter dans Paramètres",IF(OR(NOT(ISNUMBER(E645)),N(E645)&lt;=0,N(E645)&gt;1440),"Durée invalide",IF(COUNTIFS(sj_date,A645,sj_eq,B645,sj_po,C645)=0,"Pas de saisie journalière ce jour-là","OK")))))))))))</f>
        <v/>
      </c>
      <c r="J645">
        <f>IF(OR(I645="OK",I645="Pas de saisie journalière ce jour-là"),E645,0)</f>
        <v>0.0</v>
      </c>
      <c r="K645">
        <f>IF(AND(J645&gt;0,A645&gt;=p_from,A645&lt;=p_to),1,0)</f>
        <v>0.0</v>
      </c>
      <c r="L645">
        <f>IF(AND(K645=1,OR(pa_po="",C645=pa_po),OR(pa_eq="",B645=pa_eq)),1,0)</f>
        <v>0.0</v>
      </c>
    </row>
    <row r="646">
      <c r="A646" s="51" t="n"/>
      <c r="B646" s="52" t="n"/>
      <c r="C646" s="52" t="n"/>
      <c r="D646" s="53" t="n"/>
      <c r="E646" s="60" t="n"/>
      <c r="F646" s="53" t="n"/>
      <c r="G646" s="61" t="str">
        <f>IF(OR(COUNTA(A646:E646)=0,D646=""),"",IFERROR(INDEX(ca_fam,MATCH(D646,ca_name,0))&amp;"",""))</f>
        <v/>
      </c>
      <c r="H646" s="58" t="str">
        <f>IF(OR(COUNTA(A646:E646)=0,D646=""),"",IFERROR(INDEX(ca_type,MATCH(D646,ca_name,0))&amp;"",""))</f>
        <v/>
      </c>
      <c r="I646" s="58" t="str">
        <f>IF(COUNTA(A646:E646)=0,"",IF(N(A646)&lt;=0,"Date manquante ou invalide",IF(B646="","Équipe manquante",IF(ISNA(MATCH(B646,eq_code,0)),"Équipe inconnue",IF(C646="","Poste manquant",IF(ISNA(MATCH(C646,po_code,0)),"Poste inconnu",IF(D646="","Cause manquante",IF(ISNA(MATCH(D646,ca_name,0)),"Cause inconnue",IF(H646="","Cause à compléter dans Paramètres",IF(OR(NOT(ISNUMBER(E646)),N(E646)&lt;=0,N(E646)&gt;1440),"Durée invalide",IF(COUNTIFS(sj_date,A646,sj_eq,B646,sj_po,C646)=0,"Pas de saisie journalière ce jour-là","OK")))))))))))</f>
        <v/>
      </c>
      <c r="J646">
        <f>IF(OR(I646="OK",I646="Pas de saisie journalière ce jour-là"),E646,0)</f>
        <v>0.0</v>
      </c>
      <c r="K646">
        <f>IF(AND(J646&gt;0,A646&gt;=p_from,A646&lt;=p_to),1,0)</f>
        <v>0.0</v>
      </c>
      <c r="L646">
        <f>IF(AND(K646=1,OR(pa_po="",C646=pa_po),OR(pa_eq="",B646=pa_eq)),1,0)</f>
        <v>0.0</v>
      </c>
    </row>
    <row r="647">
      <c r="A647" s="51" t="n"/>
      <c r="B647" s="52" t="n"/>
      <c r="C647" s="52" t="n"/>
      <c r="D647" s="53" t="n"/>
      <c r="E647" s="60" t="n"/>
      <c r="F647" s="53" t="n"/>
      <c r="G647" s="61" t="str">
        <f>IF(OR(COUNTA(A647:E647)=0,D647=""),"",IFERROR(INDEX(ca_fam,MATCH(D647,ca_name,0))&amp;"",""))</f>
        <v/>
      </c>
      <c r="H647" s="58" t="str">
        <f>IF(OR(COUNTA(A647:E647)=0,D647=""),"",IFERROR(INDEX(ca_type,MATCH(D647,ca_name,0))&amp;"",""))</f>
        <v/>
      </c>
      <c r="I647" s="58" t="str">
        <f>IF(COUNTA(A647:E647)=0,"",IF(N(A647)&lt;=0,"Date manquante ou invalide",IF(B647="","Équipe manquante",IF(ISNA(MATCH(B647,eq_code,0)),"Équipe inconnue",IF(C647="","Poste manquant",IF(ISNA(MATCH(C647,po_code,0)),"Poste inconnu",IF(D647="","Cause manquante",IF(ISNA(MATCH(D647,ca_name,0)),"Cause inconnue",IF(H647="","Cause à compléter dans Paramètres",IF(OR(NOT(ISNUMBER(E647)),N(E647)&lt;=0,N(E647)&gt;1440),"Durée invalide",IF(COUNTIFS(sj_date,A647,sj_eq,B647,sj_po,C647)=0,"Pas de saisie journalière ce jour-là","OK")))))))))))</f>
        <v/>
      </c>
      <c r="J647">
        <f>IF(OR(I647="OK",I647="Pas de saisie journalière ce jour-là"),E647,0)</f>
        <v>0.0</v>
      </c>
      <c r="K647">
        <f>IF(AND(J647&gt;0,A647&gt;=p_from,A647&lt;=p_to),1,0)</f>
        <v>0.0</v>
      </c>
      <c r="L647">
        <f>IF(AND(K647=1,OR(pa_po="",C647=pa_po),OR(pa_eq="",B647=pa_eq)),1,0)</f>
        <v>0.0</v>
      </c>
    </row>
    <row r="648">
      <c r="A648" s="51" t="n"/>
      <c r="B648" s="52" t="n"/>
      <c r="C648" s="52" t="n"/>
      <c r="D648" s="53" t="n"/>
      <c r="E648" s="60" t="n"/>
      <c r="F648" s="53" t="n"/>
      <c r="G648" s="61" t="str">
        <f>IF(OR(COUNTA(A648:E648)=0,D648=""),"",IFERROR(INDEX(ca_fam,MATCH(D648,ca_name,0))&amp;"",""))</f>
        <v/>
      </c>
      <c r="H648" s="58" t="str">
        <f>IF(OR(COUNTA(A648:E648)=0,D648=""),"",IFERROR(INDEX(ca_type,MATCH(D648,ca_name,0))&amp;"",""))</f>
        <v/>
      </c>
      <c r="I648" s="58" t="str">
        <f>IF(COUNTA(A648:E648)=0,"",IF(N(A648)&lt;=0,"Date manquante ou invalide",IF(B648="","Équipe manquante",IF(ISNA(MATCH(B648,eq_code,0)),"Équipe inconnue",IF(C648="","Poste manquant",IF(ISNA(MATCH(C648,po_code,0)),"Poste inconnu",IF(D648="","Cause manquante",IF(ISNA(MATCH(D648,ca_name,0)),"Cause inconnue",IF(H648="","Cause à compléter dans Paramètres",IF(OR(NOT(ISNUMBER(E648)),N(E648)&lt;=0,N(E648)&gt;1440),"Durée invalide",IF(COUNTIFS(sj_date,A648,sj_eq,B648,sj_po,C648)=0,"Pas de saisie journalière ce jour-là","OK")))))))))))</f>
        <v/>
      </c>
      <c r="J648">
        <f>IF(OR(I648="OK",I648="Pas de saisie journalière ce jour-là"),E648,0)</f>
        <v>0.0</v>
      </c>
      <c r="K648">
        <f>IF(AND(J648&gt;0,A648&gt;=p_from,A648&lt;=p_to),1,0)</f>
        <v>0.0</v>
      </c>
      <c r="L648">
        <f>IF(AND(K648=1,OR(pa_po="",C648=pa_po),OR(pa_eq="",B648=pa_eq)),1,0)</f>
        <v>0.0</v>
      </c>
    </row>
    <row r="649">
      <c r="A649" s="51" t="n"/>
      <c r="B649" s="52" t="n"/>
      <c r="C649" s="52" t="n"/>
      <c r="D649" s="53" t="n"/>
      <c r="E649" s="60" t="n"/>
      <c r="F649" s="53" t="n"/>
      <c r="G649" s="61" t="str">
        <f>IF(OR(COUNTA(A649:E649)=0,D649=""),"",IFERROR(INDEX(ca_fam,MATCH(D649,ca_name,0))&amp;"",""))</f>
        <v/>
      </c>
      <c r="H649" s="58" t="str">
        <f>IF(OR(COUNTA(A649:E649)=0,D649=""),"",IFERROR(INDEX(ca_type,MATCH(D649,ca_name,0))&amp;"",""))</f>
        <v/>
      </c>
      <c r="I649" s="58" t="str">
        <f>IF(COUNTA(A649:E649)=0,"",IF(N(A649)&lt;=0,"Date manquante ou invalide",IF(B649="","Équipe manquante",IF(ISNA(MATCH(B649,eq_code,0)),"Équipe inconnue",IF(C649="","Poste manquant",IF(ISNA(MATCH(C649,po_code,0)),"Poste inconnu",IF(D649="","Cause manquante",IF(ISNA(MATCH(D649,ca_name,0)),"Cause inconnue",IF(H649="","Cause à compléter dans Paramètres",IF(OR(NOT(ISNUMBER(E649)),N(E649)&lt;=0,N(E649)&gt;1440),"Durée invalide",IF(COUNTIFS(sj_date,A649,sj_eq,B649,sj_po,C649)=0,"Pas de saisie journalière ce jour-là","OK")))))))))))</f>
        <v/>
      </c>
      <c r="J649">
        <f>IF(OR(I649="OK",I649="Pas de saisie journalière ce jour-là"),E649,0)</f>
        <v>0.0</v>
      </c>
      <c r="K649">
        <f>IF(AND(J649&gt;0,A649&gt;=p_from,A649&lt;=p_to),1,0)</f>
        <v>0.0</v>
      </c>
      <c r="L649">
        <f>IF(AND(K649=1,OR(pa_po="",C649=pa_po),OR(pa_eq="",B649=pa_eq)),1,0)</f>
        <v>0.0</v>
      </c>
    </row>
    <row r="650">
      <c r="A650" s="51" t="n"/>
      <c r="B650" s="52" t="n"/>
      <c r="C650" s="52" t="n"/>
      <c r="D650" s="53" t="n"/>
      <c r="E650" s="60" t="n"/>
      <c r="F650" s="53" t="n"/>
      <c r="G650" s="61" t="str">
        <f>IF(OR(COUNTA(A650:E650)=0,D650=""),"",IFERROR(INDEX(ca_fam,MATCH(D650,ca_name,0))&amp;"",""))</f>
        <v/>
      </c>
      <c r="H650" s="58" t="str">
        <f>IF(OR(COUNTA(A650:E650)=0,D650=""),"",IFERROR(INDEX(ca_type,MATCH(D650,ca_name,0))&amp;"",""))</f>
        <v/>
      </c>
      <c r="I650" s="58" t="str">
        <f>IF(COUNTA(A650:E650)=0,"",IF(N(A650)&lt;=0,"Date manquante ou invalide",IF(B650="","Équipe manquante",IF(ISNA(MATCH(B650,eq_code,0)),"Équipe inconnue",IF(C650="","Poste manquant",IF(ISNA(MATCH(C650,po_code,0)),"Poste inconnu",IF(D650="","Cause manquante",IF(ISNA(MATCH(D650,ca_name,0)),"Cause inconnue",IF(H650="","Cause à compléter dans Paramètres",IF(OR(NOT(ISNUMBER(E650)),N(E650)&lt;=0,N(E650)&gt;1440),"Durée invalide",IF(COUNTIFS(sj_date,A650,sj_eq,B650,sj_po,C650)=0,"Pas de saisie journalière ce jour-là","OK")))))))))))</f>
        <v/>
      </c>
      <c r="J650">
        <f>IF(OR(I650="OK",I650="Pas de saisie journalière ce jour-là"),E650,0)</f>
        <v>0.0</v>
      </c>
      <c r="K650">
        <f>IF(AND(J650&gt;0,A650&gt;=p_from,A650&lt;=p_to),1,0)</f>
        <v>0.0</v>
      </c>
      <c r="L650">
        <f>IF(AND(K650=1,OR(pa_po="",C650=pa_po),OR(pa_eq="",B650=pa_eq)),1,0)</f>
        <v>0.0</v>
      </c>
    </row>
    <row r="651">
      <c r="A651" s="51" t="n"/>
      <c r="B651" s="52" t="n"/>
      <c r="C651" s="52" t="n"/>
      <c r="D651" s="53" t="n"/>
      <c r="E651" s="60" t="n"/>
      <c r="F651" s="53" t="n"/>
      <c r="G651" s="61" t="str">
        <f>IF(OR(COUNTA(A651:E651)=0,D651=""),"",IFERROR(INDEX(ca_fam,MATCH(D651,ca_name,0))&amp;"",""))</f>
        <v/>
      </c>
      <c r="H651" s="58" t="str">
        <f>IF(OR(COUNTA(A651:E651)=0,D651=""),"",IFERROR(INDEX(ca_type,MATCH(D651,ca_name,0))&amp;"",""))</f>
        <v/>
      </c>
      <c r="I651" s="58" t="str">
        <f>IF(COUNTA(A651:E651)=0,"",IF(N(A651)&lt;=0,"Date manquante ou invalide",IF(B651="","Équipe manquante",IF(ISNA(MATCH(B651,eq_code,0)),"Équipe inconnue",IF(C651="","Poste manquant",IF(ISNA(MATCH(C651,po_code,0)),"Poste inconnu",IF(D651="","Cause manquante",IF(ISNA(MATCH(D651,ca_name,0)),"Cause inconnue",IF(H651="","Cause à compléter dans Paramètres",IF(OR(NOT(ISNUMBER(E651)),N(E651)&lt;=0,N(E651)&gt;1440),"Durée invalide",IF(COUNTIFS(sj_date,A651,sj_eq,B651,sj_po,C651)=0,"Pas de saisie journalière ce jour-là","OK")))))))))))</f>
        <v/>
      </c>
      <c r="J651">
        <f>IF(OR(I651="OK",I651="Pas de saisie journalière ce jour-là"),E651,0)</f>
        <v>0.0</v>
      </c>
      <c r="K651">
        <f>IF(AND(J651&gt;0,A651&gt;=p_from,A651&lt;=p_to),1,0)</f>
        <v>0.0</v>
      </c>
      <c r="L651">
        <f>IF(AND(K651=1,OR(pa_po="",C651=pa_po),OR(pa_eq="",B651=pa_eq)),1,0)</f>
        <v>0.0</v>
      </c>
    </row>
    <row r="652">
      <c r="A652" s="51" t="n"/>
      <c r="B652" s="52" t="n"/>
      <c r="C652" s="52" t="n"/>
      <c r="D652" s="53" t="n"/>
      <c r="E652" s="60" t="n"/>
      <c r="F652" s="53" t="n"/>
      <c r="G652" s="61" t="str">
        <f>IF(OR(COUNTA(A652:E652)=0,D652=""),"",IFERROR(INDEX(ca_fam,MATCH(D652,ca_name,0))&amp;"",""))</f>
        <v/>
      </c>
      <c r="H652" s="58" t="str">
        <f>IF(OR(COUNTA(A652:E652)=0,D652=""),"",IFERROR(INDEX(ca_type,MATCH(D652,ca_name,0))&amp;"",""))</f>
        <v/>
      </c>
      <c r="I652" s="58" t="str">
        <f>IF(COUNTA(A652:E652)=0,"",IF(N(A652)&lt;=0,"Date manquante ou invalide",IF(B652="","Équipe manquante",IF(ISNA(MATCH(B652,eq_code,0)),"Équipe inconnue",IF(C652="","Poste manquant",IF(ISNA(MATCH(C652,po_code,0)),"Poste inconnu",IF(D652="","Cause manquante",IF(ISNA(MATCH(D652,ca_name,0)),"Cause inconnue",IF(H652="","Cause à compléter dans Paramètres",IF(OR(NOT(ISNUMBER(E652)),N(E652)&lt;=0,N(E652)&gt;1440),"Durée invalide",IF(COUNTIFS(sj_date,A652,sj_eq,B652,sj_po,C652)=0,"Pas de saisie journalière ce jour-là","OK")))))))))))</f>
        <v/>
      </c>
      <c r="J652">
        <f>IF(OR(I652="OK",I652="Pas de saisie journalière ce jour-là"),E652,0)</f>
        <v>0.0</v>
      </c>
      <c r="K652">
        <f>IF(AND(J652&gt;0,A652&gt;=p_from,A652&lt;=p_to),1,0)</f>
        <v>0.0</v>
      </c>
      <c r="L652">
        <f>IF(AND(K652=1,OR(pa_po="",C652=pa_po),OR(pa_eq="",B652=pa_eq)),1,0)</f>
        <v>0.0</v>
      </c>
    </row>
    <row r="653">
      <c r="A653" s="51" t="n"/>
      <c r="B653" s="52" t="n"/>
      <c r="C653" s="52" t="n"/>
      <c r="D653" s="53" t="n"/>
      <c r="E653" s="60" t="n"/>
      <c r="F653" s="53" t="n"/>
      <c r="G653" s="61" t="str">
        <f>IF(OR(COUNTA(A653:E653)=0,D653=""),"",IFERROR(INDEX(ca_fam,MATCH(D653,ca_name,0))&amp;"",""))</f>
        <v/>
      </c>
      <c r="H653" s="58" t="str">
        <f>IF(OR(COUNTA(A653:E653)=0,D653=""),"",IFERROR(INDEX(ca_type,MATCH(D653,ca_name,0))&amp;"",""))</f>
        <v/>
      </c>
      <c r="I653" s="58" t="str">
        <f>IF(COUNTA(A653:E653)=0,"",IF(N(A653)&lt;=0,"Date manquante ou invalide",IF(B653="","Équipe manquante",IF(ISNA(MATCH(B653,eq_code,0)),"Équipe inconnue",IF(C653="","Poste manquant",IF(ISNA(MATCH(C653,po_code,0)),"Poste inconnu",IF(D653="","Cause manquante",IF(ISNA(MATCH(D653,ca_name,0)),"Cause inconnue",IF(H653="","Cause à compléter dans Paramètres",IF(OR(NOT(ISNUMBER(E653)),N(E653)&lt;=0,N(E653)&gt;1440),"Durée invalide",IF(COUNTIFS(sj_date,A653,sj_eq,B653,sj_po,C653)=0,"Pas de saisie journalière ce jour-là","OK")))))))))))</f>
        <v/>
      </c>
      <c r="J653">
        <f>IF(OR(I653="OK",I653="Pas de saisie journalière ce jour-là"),E653,0)</f>
        <v>0.0</v>
      </c>
      <c r="K653">
        <f>IF(AND(J653&gt;0,A653&gt;=p_from,A653&lt;=p_to),1,0)</f>
        <v>0.0</v>
      </c>
      <c r="L653">
        <f>IF(AND(K653=1,OR(pa_po="",C653=pa_po),OR(pa_eq="",B653=pa_eq)),1,0)</f>
        <v>0.0</v>
      </c>
    </row>
    <row r="654">
      <c r="A654" s="51" t="n"/>
      <c r="B654" s="52" t="n"/>
      <c r="C654" s="52" t="n"/>
      <c r="D654" s="53" t="n"/>
      <c r="E654" s="60" t="n"/>
      <c r="F654" s="53" t="n"/>
      <c r="G654" s="61" t="str">
        <f>IF(OR(COUNTA(A654:E654)=0,D654=""),"",IFERROR(INDEX(ca_fam,MATCH(D654,ca_name,0))&amp;"",""))</f>
        <v/>
      </c>
      <c r="H654" s="58" t="str">
        <f>IF(OR(COUNTA(A654:E654)=0,D654=""),"",IFERROR(INDEX(ca_type,MATCH(D654,ca_name,0))&amp;"",""))</f>
        <v/>
      </c>
      <c r="I654" s="58" t="str">
        <f>IF(COUNTA(A654:E654)=0,"",IF(N(A654)&lt;=0,"Date manquante ou invalide",IF(B654="","Équipe manquante",IF(ISNA(MATCH(B654,eq_code,0)),"Équipe inconnue",IF(C654="","Poste manquant",IF(ISNA(MATCH(C654,po_code,0)),"Poste inconnu",IF(D654="","Cause manquante",IF(ISNA(MATCH(D654,ca_name,0)),"Cause inconnue",IF(H654="","Cause à compléter dans Paramètres",IF(OR(NOT(ISNUMBER(E654)),N(E654)&lt;=0,N(E654)&gt;1440),"Durée invalide",IF(COUNTIFS(sj_date,A654,sj_eq,B654,sj_po,C654)=0,"Pas de saisie journalière ce jour-là","OK")))))))))))</f>
        <v/>
      </c>
      <c r="J654">
        <f>IF(OR(I654="OK",I654="Pas de saisie journalière ce jour-là"),E654,0)</f>
        <v>0.0</v>
      </c>
      <c r="K654">
        <f>IF(AND(J654&gt;0,A654&gt;=p_from,A654&lt;=p_to),1,0)</f>
        <v>0.0</v>
      </c>
      <c r="L654">
        <f>IF(AND(K654=1,OR(pa_po="",C654=pa_po),OR(pa_eq="",B654=pa_eq)),1,0)</f>
        <v>0.0</v>
      </c>
    </row>
    <row r="655">
      <c r="A655" s="51" t="n"/>
      <c r="B655" s="52" t="n"/>
      <c r="C655" s="52" t="n"/>
      <c r="D655" s="53" t="n"/>
      <c r="E655" s="60" t="n"/>
      <c r="F655" s="53" t="n"/>
      <c r="G655" s="61" t="str">
        <f>IF(OR(COUNTA(A655:E655)=0,D655=""),"",IFERROR(INDEX(ca_fam,MATCH(D655,ca_name,0))&amp;"",""))</f>
        <v/>
      </c>
      <c r="H655" s="58" t="str">
        <f>IF(OR(COUNTA(A655:E655)=0,D655=""),"",IFERROR(INDEX(ca_type,MATCH(D655,ca_name,0))&amp;"",""))</f>
        <v/>
      </c>
      <c r="I655" s="58" t="str">
        <f>IF(COUNTA(A655:E655)=0,"",IF(N(A655)&lt;=0,"Date manquante ou invalide",IF(B655="","Équipe manquante",IF(ISNA(MATCH(B655,eq_code,0)),"Équipe inconnue",IF(C655="","Poste manquant",IF(ISNA(MATCH(C655,po_code,0)),"Poste inconnu",IF(D655="","Cause manquante",IF(ISNA(MATCH(D655,ca_name,0)),"Cause inconnue",IF(H655="","Cause à compléter dans Paramètres",IF(OR(NOT(ISNUMBER(E655)),N(E655)&lt;=0,N(E655)&gt;1440),"Durée invalide",IF(COUNTIFS(sj_date,A655,sj_eq,B655,sj_po,C655)=0,"Pas de saisie journalière ce jour-là","OK")))))))))))</f>
        <v/>
      </c>
      <c r="J655">
        <f>IF(OR(I655="OK",I655="Pas de saisie journalière ce jour-là"),E655,0)</f>
        <v>0.0</v>
      </c>
      <c r="K655">
        <f>IF(AND(J655&gt;0,A655&gt;=p_from,A655&lt;=p_to),1,0)</f>
        <v>0.0</v>
      </c>
      <c r="L655">
        <f>IF(AND(K655=1,OR(pa_po="",C655=pa_po),OR(pa_eq="",B655=pa_eq)),1,0)</f>
        <v>0.0</v>
      </c>
    </row>
    <row r="656">
      <c r="A656" s="51" t="n"/>
      <c r="B656" s="52" t="n"/>
      <c r="C656" s="52" t="n"/>
      <c r="D656" s="53" t="n"/>
      <c r="E656" s="60" t="n"/>
      <c r="F656" s="53" t="n"/>
      <c r="G656" s="61" t="str">
        <f>IF(OR(COUNTA(A656:E656)=0,D656=""),"",IFERROR(INDEX(ca_fam,MATCH(D656,ca_name,0))&amp;"",""))</f>
        <v/>
      </c>
      <c r="H656" s="58" t="str">
        <f>IF(OR(COUNTA(A656:E656)=0,D656=""),"",IFERROR(INDEX(ca_type,MATCH(D656,ca_name,0))&amp;"",""))</f>
        <v/>
      </c>
      <c r="I656" s="58" t="str">
        <f>IF(COUNTA(A656:E656)=0,"",IF(N(A656)&lt;=0,"Date manquante ou invalide",IF(B656="","Équipe manquante",IF(ISNA(MATCH(B656,eq_code,0)),"Équipe inconnue",IF(C656="","Poste manquant",IF(ISNA(MATCH(C656,po_code,0)),"Poste inconnu",IF(D656="","Cause manquante",IF(ISNA(MATCH(D656,ca_name,0)),"Cause inconnue",IF(H656="","Cause à compléter dans Paramètres",IF(OR(NOT(ISNUMBER(E656)),N(E656)&lt;=0,N(E656)&gt;1440),"Durée invalide",IF(COUNTIFS(sj_date,A656,sj_eq,B656,sj_po,C656)=0,"Pas de saisie journalière ce jour-là","OK")))))))))))</f>
        <v/>
      </c>
      <c r="J656">
        <f>IF(OR(I656="OK",I656="Pas de saisie journalière ce jour-là"),E656,0)</f>
        <v>0.0</v>
      </c>
      <c r="K656">
        <f>IF(AND(J656&gt;0,A656&gt;=p_from,A656&lt;=p_to),1,0)</f>
        <v>0.0</v>
      </c>
      <c r="L656">
        <f>IF(AND(K656=1,OR(pa_po="",C656=pa_po),OR(pa_eq="",B656=pa_eq)),1,0)</f>
        <v>0.0</v>
      </c>
    </row>
    <row r="657">
      <c r="A657" s="51" t="n"/>
      <c r="B657" s="52" t="n"/>
      <c r="C657" s="52" t="n"/>
      <c r="D657" s="53" t="n"/>
      <c r="E657" s="60" t="n"/>
      <c r="F657" s="53" t="n"/>
      <c r="G657" s="61" t="str">
        <f>IF(OR(COUNTA(A657:E657)=0,D657=""),"",IFERROR(INDEX(ca_fam,MATCH(D657,ca_name,0))&amp;"",""))</f>
        <v/>
      </c>
      <c r="H657" s="58" t="str">
        <f>IF(OR(COUNTA(A657:E657)=0,D657=""),"",IFERROR(INDEX(ca_type,MATCH(D657,ca_name,0))&amp;"",""))</f>
        <v/>
      </c>
      <c r="I657" s="58" t="str">
        <f>IF(COUNTA(A657:E657)=0,"",IF(N(A657)&lt;=0,"Date manquante ou invalide",IF(B657="","Équipe manquante",IF(ISNA(MATCH(B657,eq_code,0)),"Équipe inconnue",IF(C657="","Poste manquant",IF(ISNA(MATCH(C657,po_code,0)),"Poste inconnu",IF(D657="","Cause manquante",IF(ISNA(MATCH(D657,ca_name,0)),"Cause inconnue",IF(H657="","Cause à compléter dans Paramètres",IF(OR(NOT(ISNUMBER(E657)),N(E657)&lt;=0,N(E657)&gt;1440),"Durée invalide",IF(COUNTIFS(sj_date,A657,sj_eq,B657,sj_po,C657)=0,"Pas de saisie journalière ce jour-là","OK")))))))))))</f>
        <v/>
      </c>
      <c r="J657">
        <f>IF(OR(I657="OK",I657="Pas de saisie journalière ce jour-là"),E657,0)</f>
        <v>0.0</v>
      </c>
      <c r="K657">
        <f>IF(AND(J657&gt;0,A657&gt;=p_from,A657&lt;=p_to),1,0)</f>
        <v>0.0</v>
      </c>
      <c r="L657">
        <f>IF(AND(K657=1,OR(pa_po="",C657=pa_po),OR(pa_eq="",B657=pa_eq)),1,0)</f>
        <v>0.0</v>
      </c>
    </row>
    <row r="658">
      <c r="A658" s="51" t="n"/>
      <c r="B658" s="52" t="n"/>
      <c r="C658" s="52" t="n"/>
      <c r="D658" s="53" t="n"/>
      <c r="E658" s="60" t="n"/>
      <c r="F658" s="53" t="n"/>
      <c r="G658" s="61" t="str">
        <f>IF(OR(COUNTA(A658:E658)=0,D658=""),"",IFERROR(INDEX(ca_fam,MATCH(D658,ca_name,0))&amp;"",""))</f>
        <v/>
      </c>
      <c r="H658" s="58" t="str">
        <f>IF(OR(COUNTA(A658:E658)=0,D658=""),"",IFERROR(INDEX(ca_type,MATCH(D658,ca_name,0))&amp;"",""))</f>
        <v/>
      </c>
      <c r="I658" s="58" t="str">
        <f>IF(COUNTA(A658:E658)=0,"",IF(N(A658)&lt;=0,"Date manquante ou invalide",IF(B658="","Équipe manquante",IF(ISNA(MATCH(B658,eq_code,0)),"Équipe inconnue",IF(C658="","Poste manquant",IF(ISNA(MATCH(C658,po_code,0)),"Poste inconnu",IF(D658="","Cause manquante",IF(ISNA(MATCH(D658,ca_name,0)),"Cause inconnue",IF(H658="","Cause à compléter dans Paramètres",IF(OR(NOT(ISNUMBER(E658)),N(E658)&lt;=0,N(E658)&gt;1440),"Durée invalide",IF(COUNTIFS(sj_date,A658,sj_eq,B658,sj_po,C658)=0,"Pas de saisie journalière ce jour-là","OK")))))))))))</f>
        <v/>
      </c>
      <c r="J658">
        <f>IF(OR(I658="OK",I658="Pas de saisie journalière ce jour-là"),E658,0)</f>
        <v>0.0</v>
      </c>
      <c r="K658">
        <f>IF(AND(J658&gt;0,A658&gt;=p_from,A658&lt;=p_to),1,0)</f>
        <v>0.0</v>
      </c>
      <c r="L658">
        <f>IF(AND(K658=1,OR(pa_po="",C658=pa_po),OR(pa_eq="",B658=pa_eq)),1,0)</f>
        <v>0.0</v>
      </c>
    </row>
    <row r="659">
      <c r="A659" s="51" t="n"/>
      <c r="B659" s="52" t="n"/>
      <c r="C659" s="52" t="n"/>
      <c r="D659" s="53" t="n"/>
      <c r="E659" s="60" t="n"/>
      <c r="F659" s="53" t="n"/>
      <c r="G659" s="61" t="str">
        <f>IF(OR(COUNTA(A659:E659)=0,D659=""),"",IFERROR(INDEX(ca_fam,MATCH(D659,ca_name,0))&amp;"",""))</f>
        <v/>
      </c>
      <c r="H659" s="58" t="str">
        <f>IF(OR(COUNTA(A659:E659)=0,D659=""),"",IFERROR(INDEX(ca_type,MATCH(D659,ca_name,0))&amp;"",""))</f>
        <v/>
      </c>
      <c r="I659" s="58" t="str">
        <f>IF(COUNTA(A659:E659)=0,"",IF(N(A659)&lt;=0,"Date manquante ou invalide",IF(B659="","Équipe manquante",IF(ISNA(MATCH(B659,eq_code,0)),"Équipe inconnue",IF(C659="","Poste manquant",IF(ISNA(MATCH(C659,po_code,0)),"Poste inconnu",IF(D659="","Cause manquante",IF(ISNA(MATCH(D659,ca_name,0)),"Cause inconnue",IF(H659="","Cause à compléter dans Paramètres",IF(OR(NOT(ISNUMBER(E659)),N(E659)&lt;=0,N(E659)&gt;1440),"Durée invalide",IF(COUNTIFS(sj_date,A659,sj_eq,B659,sj_po,C659)=0,"Pas de saisie journalière ce jour-là","OK")))))))))))</f>
        <v/>
      </c>
      <c r="J659">
        <f>IF(OR(I659="OK",I659="Pas de saisie journalière ce jour-là"),E659,0)</f>
        <v>0.0</v>
      </c>
      <c r="K659">
        <f>IF(AND(J659&gt;0,A659&gt;=p_from,A659&lt;=p_to),1,0)</f>
        <v>0.0</v>
      </c>
      <c r="L659">
        <f>IF(AND(K659=1,OR(pa_po="",C659=pa_po),OR(pa_eq="",B659=pa_eq)),1,0)</f>
        <v>0.0</v>
      </c>
    </row>
    <row r="660">
      <c r="A660" s="51" t="n"/>
      <c r="B660" s="52" t="n"/>
      <c r="C660" s="52" t="n"/>
      <c r="D660" s="53" t="n"/>
      <c r="E660" s="60" t="n"/>
      <c r="F660" s="53" t="n"/>
      <c r="G660" s="61" t="str">
        <f>IF(OR(COUNTA(A660:E660)=0,D660=""),"",IFERROR(INDEX(ca_fam,MATCH(D660,ca_name,0))&amp;"",""))</f>
        <v/>
      </c>
      <c r="H660" s="58" t="str">
        <f>IF(OR(COUNTA(A660:E660)=0,D660=""),"",IFERROR(INDEX(ca_type,MATCH(D660,ca_name,0))&amp;"",""))</f>
        <v/>
      </c>
      <c r="I660" s="58" t="str">
        <f>IF(COUNTA(A660:E660)=0,"",IF(N(A660)&lt;=0,"Date manquante ou invalide",IF(B660="","Équipe manquante",IF(ISNA(MATCH(B660,eq_code,0)),"Équipe inconnue",IF(C660="","Poste manquant",IF(ISNA(MATCH(C660,po_code,0)),"Poste inconnu",IF(D660="","Cause manquante",IF(ISNA(MATCH(D660,ca_name,0)),"Cause inconnue",IF(H660="","Cause à compléter dans Paramètres",IF(OR(NOT(ISNUMBER(E660)),N(E660)&lt;=0,N(E660)&gt;1440),"Durée invalide",IF(COUNTIFS(sj_date,A660,sj_eq,B660,sj_po,C660)=0,"Pas de saisie journalière ce jour-là","OK")))))))))))</f>
        <v/>
      </c>
      <c r="J660">
        <f>IF(OR(I660="OK",I660="Pas de saisie journalière ce jour-là"),E660,0)</f>
        <v>0.0</v>
      </c>
      <c r="K660">
        <f>IF(AND(J660&gt;0,A660&gt;=p_from,A660&lt;=p_to),1,0)</f>
        <v>0.0</v>
      </c>
      <c r="L660">
        <f>IF(AND(K660=1,OR(pa_po="",C660=pa_po),OR(pa_eq="",B660=pa_eq)),1,0)</f>
        <v>0.0</v>
      </c>
    </row>
    <row r="661">
      <c r="A661" s="51" t="n"/>
      <c r="B661" s="52" t="n"/>
      <c r="C661" s="52" t="n"/>
      <c r="D661" s="53" t="n"/>
      <c r="E661" s="60" t="n"/>
      <c r="F661" s="53" t="n"/>
      <c r="G661" s="61" t="str">
        <f>IF(OR(COUNTA(A661:E661)=0,D661=""),"",IFERROR(INDEX(ca_fam,MATCH(D661,ca_name,0))&amp;"",""))</f>
        <v/>
      </c>
      <c r="H661" s="58" t="str">
        <f>IF(OR(COUNTA(A661:E661)=0,D661=""),"",IFERROR(INDEX(ca_type,MATCH(D661,ca_name,0))&amp;"",""))</f>
        <v/>
      </c>
      <c r="I661" s="58" t="str">
        <f>IF(COUNTA(A661:E661)=0,"",IF(N(A661)&lt;=0,"Date manquante ou invalide",IF(B661="","Équipe manquante",IF(ISNA(MATCH(B661,eq_code,0)),"Équipe inconnue",IF(C661="","Poste manquant",IF(ISNA(MATCH(C661,po_code,0)),"Poste inconnu",IF(D661="","Cause manquante",IF(ISNA(MATCH(D661,ca_name,0)),"Cause inconnue",IF(H661="","Cause à compléter dans Paramètres",IF(OR(NOT(ISNUMBER(E661)),N(E661)&lt;=0,N(E661)&gt;1440),"Durée invalide",IF(COUNTIFS(sj_date,A661,sj_eq,B661,sj_po,C661)=0,"Pas de saisie journalière ce jour-là","OK")))))))))))</f>
        <v/>
      </c>
      <c r="J661">
        <f>IF(OR(I661="OK",I661="Pas de saisie journalière ce jour-là"),E661,0)</f>
        <v>0.0</v>
      </c>
      <c r="K661">
        <f>IF(AND(J661&gt;0,A661&gt;=p_from,A661&lt;=p_to),1,0)</f>
        <v>0.0</v>
      </c>
      <c r="L661">
        <f>IF(AND(K661=1,OR(pa_po="",C661=pa_po),OR(pa_eq="",B661=pa_eq)),1,0)</f>
        <v>0.0</v>
      </c>
    </row>
    <row r="662">
      <c r="A662" s="51" t="n"/>
      <c r="B662" s="52" t="n"/>
      <c r="C662" s="52" t="n"/>
      <c r="D662" s="53" t="n"/>
      <c r="E662" s="60" t="n"/>
      <c r="F662" s="53" t="n"/>
      <c r="G662" s="61" t="str">
        <f>IF(OR(COUNTA(A662:E662)=0,D662=""),"",IFERROR(INDEX(ca_fam,MATCH(D662,ca_name,0))&amp;"",""))</f>
        <v/>
      </c>
      <c r="H662" s="58" t="str">
        <f>IF(OR(COUNTA(A662:E662)=0,D662=""),"",IFERROR(INDEX(ca_type,MATCH(D662,ca_name,0))&amp;"",""))</f>
        <v/>
      </c>
      <c r="I662" s="58" t="str">
        <f>IF(COUNTA(A662:E662)=0,"",IF(N(A662)&lt;=0,"Date manquante ou invalide",IF(B662="","Équipe manquante",IF(ISNA(MATCH(B662,eq_code,0)),"Équipe inconnue",IF(C662="","Poste manquant",IF(ISNA(MATCH(C662,po_code,0)),"Poste inconnu",IF(D662="","Cause manquante",IF(ISNA(MATCH(D662,ca_name,0)),"Cause inconnue",IF(H662="","Cause à compléter dans Paramètres",IF(OR(NOT(ISNUMBER(E662)),N(E662)&lt;=0,N(E662)&gt;1440),"Durée invalide",IF(COUNTIFS(sj_date,A662,sj_eq,B662,sj_po,C662)=0,"Pas de saisie journalière ce jour-là","OK")))))))))))</f>
        <v/>
      </c>
      <c r="J662">
        <f>IF(OR(I662="OK",I662="Pas de saisie journalière ce jour-là"),E662,0)</f>
        <v>0.0</v>
      </c>
      <c r="K662">
        <f>IF(AND(J662&gt;0,A662&gt;=p_from,A662&lt;=p_to),1,0)</f>
        <v>0.0</v>
      </c>
      <c r="L662">
        <f>IF(AND(K662=1,OR(pa_po="",C662=pa_po),OR(pa_eq="",B662=pa_eq)),1,0)</f>
        <v>0.0</v>
      </c>
    </row>
    <row r="663">
      <c r="A663" s="51" t="n"/>
      <c r="B663" s="52" t="n"/>
      <c r="C663" s="52" t="n"/>
      <c r="D663" s="53" t="n"/>
      <c r="E663" s="60" t="n"/>
      <c r="F663" s="53" t="n"/>
      <c r="G663" s="61" t="str">
        <f>IF(OR(COUNTA(A663:E663)=0,D663=""),"",IFERROR(INDEX(ca_fam,MATCH(D663,ca_name,0))&amp;"",""))</f>
        <v/>
      </c>
      <c r="H663" s="58" t="str">
        <f>IF(OR(COUNTA(A663:E663)=0,D663=""),"",IFERROR(INDEX(ca_type,MATCH(D663,ca_name,0))&amp;"",""))</f>
        <v/>
      </c>
      <c r="I663" s="58" t="str">
        <f>IF(COUNTA(A663:E663)=0,"",IF(N(A663)&lt;=0,"Date manquante ou invalide",IF(B663="","Équipe manquante",IF(ISNA(MATCH(B663,eq_code,0)),"Équipe inconnue",IF(C663="","Poste manquant",IF(ISNA(MATCH(C663,po_code,0)),"Poste inconnu",IF(D663="","Cause manquante",IF(ISNA(MATCH(D663,ca_name,0)),"Cause inconnue",IF(H663="","Cause à compléter dans Paramètres",IF(OR(NOT(ISNUMBER(E663)),N(E663)&lt;=0,N(E663)&gt;1440),"Durée invalide",IF(COUNTIFS(sj_date,A663,sj_eq,B663,sj_po,C663)=0,"Pas de saisie journalière ce jour-là","OK")))))))))))</f>
        <v/>
      </c>
      <c r="J663">
        <f>IF(OR(I663="OK",I663="Pas de saisie journalière ce jour-là"),E663,0)</f>
        <v>0.0</v>
      </c>
      <c r="K663">
        <f>IF(AND(J663&gt;0,A663&gt;=p_from,A663&lt;=p_to),1,0)</f>
        <v>0.0</v>
      </c>
      <c r="L663">
        <f>IF(AND(K663=1,OR(pa_po="",C663=pa_po),OR(pa_eq="",B663=pa_eq)),1,0)</f>
        <v>0.0</v>
      </c>
    </row>
    <row r="664">
      <c r="A664" s="51" t="n"/>
      <c r="B664" s="52" t="n"/>
      <c r="C664" s="52" t="n"/>
      <c r="D664" s="53" t="n"/>
      <c r="E664" s="60" t="n"/>
      <c r="F664" s="53" t="n"/>
      <c r="G664" s="61" t="str">
        <f>IF(OR(COUNTA(A664:E664)=0,D664=""),"",IFERROR(INDEX(ca_fam,MATCH(D664,ca_name,0))&amp;"",""))</f>
        <v/>
      </c>
      <c r="H664" s="58" t="str">
        <f>IF(OR(COUNTA(A664:E664)=0,D664=""),"",IFERROR(INDEX(ca_type,MATCH(D664,ca_name,0))&amp;"",""))</f>
        <v/>
      </c>
      <c r="I664" s="58" t="str">
        <f>IF(COUNTA(A664:E664)=0,"",IF(N(A664)&lt;=0,"Date manquante ou invalide",IF(B664="","Équipe manquante",IF(ISNA(MATCH(B664,eq_code,0)),"Équipe inconnue",IF(C664="","Poste manquant",IF(ISNA(MATCH(C664,po_code,0)),"Poste inconnu",IF(D664="","Cause manquante",IF(ISNA(MATCH(D664,ca_name,0)),"Cause inconnue",IF(H664="","Cause à compléter dans Paramètres",IF(OR(NOT(ISNUMBER(E664)),N(E664)&lt;=0,N(E664)&gt;1440),"Durée invalide",IF(COUNTIFS(sj_date,A664,sj_eq,B664,sj_po,C664)=0,"Pas de saisie journalière ce jour-là","OK")))))))))))</f>
        <v/>
      </c>
      <c r="J664">
        <f>IF(OR(I664="OK",I664="Pas de saisie journalière ce jour-là"),E664,0)</f>
        <v>0.0</v>
      </c>
      <c r="K664">
        <f>IF(AND(J664&gt;0,A664&gt;=p_from,A664&lt;=p_to),1,0)</f>
        <v>0.0</v>
      </c>
      <c r="L664">
        <f>IF(AND(K664=1,OR(pa_po="",C664=pa_po),OR(pa_eq="",B664=pa_eq)),1,0)</f>
        <v>0.0</v>
      </c>
    </row>
    <row r="665">
      <c r="A665" s="51" t="n"/>
      <c r="B665" s="52" t="n"/>
      <c r="C665" s="52" t="n"/>
      <c r="D665" s="53" t="n"/>
      <c r="E665" s="60" t="n"/>
      <c r="F665" s="53" t="n"/>
      <c r="G665" s="61" t="str">
        <f>IF(OR(COUNTA(A665:E665)=0,D665=""),"",IFERROR(INDEX(ca_fam,MATCH(D665,ca_name,0))&amp;"",""))</f>
        <v/>
      </c>
      <c r="H665" s="58" t="str">
        <f>IF(OR(COUNTA(A665:E665)=0,D665=""),"",IFERROR(INDEX(ca_type,MATCH(D665,ca_name,0))&amp;"",""))</f>
        <v/>
      </c>
      <c r="I665" s="58" t="str">
        <f>IF(COUNTA(A665:E665)=0,"",IF(N(A665)&lt;=0,"Date manquante ou invalide",IF(B665="","Équipe manquante",IF(ISNA(MATCH(B665,eq_code,0)),"Équipe inconnue",IF(C665="","Poste manquant",IF(ISNA(MATCH(C665,po_code,0)),"Poste inconnu",IF(D665="","Cause manquante",IF(ISNA(MATCH(D665,ca_name,0)),"Cause inconnue",IF(H665="","Cause à compléter dans Paramètres",IF(OR(NOT(ISNUMBER(E665)),N(E665)&lt;=0,N(E665)&gt;1440),"Durée invalide",IF(COUNTIFS(sj_date,A665,sj_eq,B665,sj_po,C665)=0,"Pas de saisie journalière ce jour-là","OK")))))))))))</f>
        <v/>
      </c>
      <c r="J665">
        <f>IF(OR(I665="OK",I665="Pas de saisie journalière ce jour-là"),E665,0)</f>
        <v>0.0</v>
      </c>
      <c r="K665">
        <f>IF(AND(J665&gt;0,A665&gt;=p_from,A665&lt;=p_to),1,0)</f>
        <v>0.0</v>
      </c>
      <c r="L665">
        <f>IF(AND(K665=1,OR(pa_po="",C665=pa_po),OR(pa_eq="",B665=pa_eq)),1,0)</f>
        <v>0.0</v>
      </c>
    </row>
    <row r="666">
      <c r="A666" s="51" t="n"/>
      <c r="B666" s="52" t="n"/>
      <c r="C666" s="52" t="n"/>
      <c r="D666" s="53" t="n"/>
      <c r="E666" s="60" t="n"/>
      <c r="F666" s="53" t="n"/>
      <c r="G666" s="61" t="str">
        <f>IF(OR(COUNTA(A666:E666)=0,D666=""),"",IFERROR(INDEX(ca_fam,MATCH(D666,ca_name,0))&amp;"",""))</f>
        <v/>
      </c>
      <c r="H666" s="58" t="str">
        <f>IF(OR(COUNTA(A666:E666)=0,D666=""),"",IFERROR(INDEX(ca_type,MATCH(D666,ca_name,0))&amp;"",""))</f>
        <v/>
      </c>
      <c r="I666" s="58" t="str">
        <f>IF(COUNTA(A666:E666)=0,"",IF(N(A666)&lt;=0,"Date manquante ou invalide",IF(B666="","Équipe manquante",IF(ISNA(MATCH(B666,eq_code,0)),"Équipe inconnue",IF(C666="","Poste manquant",IF(ISNA(MATCH(C666,po_code,0)),"Poste inconnu",IF(D666="","Cause manquante",IF(ISNA(MATCH(D666,ca_name,0)),"Cause inconnue",IF(H666="","Cause à compléter dans Paramètres",IF(OR(NOT(ISNUMBER(E666)),N(E666)&lt;=0,N(E666)&gt;1440),"Durée invalide",IF(COUNTIFS(sj_date,A666,sj_eq,B666,sj_po,C666)=0,"Pas de saisie journalière ce jour-là","OK")))))))))))</f>
        <v/>
      </c>
      <c r="J666">
        <f>IF(OR(I666="OK",I666="Pas de saisie journalière ce jour-là"),E666,0)</f>
        <v>0.0</v>
      </c>
      <c r="K666">
        <f>IF(AND(J666&gt;0,A666&gt;=p_from,A666&lt;=p_to),1,0)</f>
        <v>0.0</v>
      </c>
      <c r="L666">
        <f>IF(AND(K666=1,OR(pa_po="",C666=pa_po),OR(pa_eq="",B666=pa_eq)),1,0)</f>
        <v>0.0</v>
      </c>
    </row>
    <row r="667">
      <c r="A667" s="51" t="n"/>
      <c r="B667" s="52" t="n"/>
      <c r="C667" s="52" t="n"/>
      <c r="D667" s="53" t="n"/>
      <c r="E667" s="60" t="n"/>
      <c r="F667" s="53" t="n"/>
      <c r="G667" s="61" t="str">
        <f>IF(OR(COUNTA(A667:E667)=0,D667=""),"",IFERROR(INDEX(ca_fam,MATCH(D667,ca_name,0))&amp;"",""))</f>
        <v/>
      </c>
      <c r="H667" s="58" t="str">
        <f>IF(OR(COUNTA(A667:E667)=0,D667=""),"",IFERROR(INDEX(ca_type,MATCH(D667,ca_name,0))&amp;"",""))</f>
        <v/>
      </c>
      <c r="I667" s="58" t="str">
        <f>IF(COUNTA(A667:E667)=0,"",IF(N(A667)&lt;=0,"Date manquante ou invalide",IF(B667="","Équipe manquante",IF(ISNA(MATCH(B667,eq_code,0)),"Équipe inconnue",IF(C667="","Poste manquant",IF(ISNA(MATCH(C667,po_code,0)),"Poste inconnu",IF(D667="","Cause manquante",IF(ISNA(MATCH(D667,ca_name,0)),"Cause inconnue",IF(H667="","Cause à compléter dans Paramètres",IF(OR(NOT(ISNUMBER(E667)),N(E667)&lt;=0,N(E667)&gt;1440),"Durée invalide",IF(COUNTIFS(sj_date,A667,sj_eq,B667,sj_po,C667)=0,"Pas de saisie journalière ce jour-là","OK")))))))))))</f>
        <v/>
      </c>
      <c r="J667">
        <f>IF(OR(I667="OK",I667="Pas de saisie journalière ce jour-là"),E667,0)</f>
        <v>0.0</v>
      </c>
      <c r="K667">
        <f>IF(AND(J667&gt;0,A667&gt;=p_from,A667&lt;=p_to),1,0)</f>
        <v>0.0</v>
      </c>
      <c r="L667">
        <f>IF(AND(K667=1,OR(pa_po="",C667=pa_po),OR(pa_eq="",B667=pa_eq)),1,0)</f>
        <v>0.0</v>
      </c>
    </row>
    <row r="668">
      <c r="A668" s="51" t="n"/>
      <c r="B668" s="52" t="n"/>
      <c r="C668" s="52" t="n"/>
      <c r="D668" s="53" t="n"/>
      <c r="E668" s="60" t="n"/>
      <c r="F668" s="53" t="n"/>
      <c r="G668" s="61" t="str">
        <f>IF(OR(COUNTA(A668:E668)=0,D668=""),"",IFERROR(INDEX(ca_fam,MATCH(D668,ca_name,0))&amp;"",""))</f>
        <v/>
      </c>
      <c r="H668" s="58" t="str">
        <f>IF(OR(COUNTA(A668:E668)=0,D668=""),"",IFERROR(INDEX(ca_type,MATCH(D668,ca_name,0))&amp;"",""))</f>
        <v/>
      </c>
      <c r="I668" s="58" t="str">
        <f>IF(COUNTA(A668:E668)=0,"",IF(N(A668)&lt;=0,"Date manquante ou invalide",IF(B668="","Équipe manquante",IF(ISNA(MATCH(B668,eq_code,0)),"Équipe inconnue",IF(C668="","Poste manquant",IF(ISNA(MATCH(C668,po_code,0)),"Poste inconnu",IF(D668="","Cause manquante",IF(ISNA(MATCH(D668,ca_name,0)),"Cause inconnue",IF(H668="","Cause à compléter dans Paramètres",IF(OR(NOT(ISNUMBER(E668)),N(E668)&lt;=0,N(E668)&gt;1440),"Durée invalide",IF(COUNTIFS(sj_date,A668,sj_eq,B668,sj_po,C668)=0,"Pas de saisie journalière ce jour-là","OK")))))))))))</f>
        <v/>
      </c>
      <c r="J668">
        <f>IF(OR(I668="OK",I668="Pas de saisie journalière ce jour-là"),E668,0)</f>
        <v>0.0</v>
      </c>
      <c r="K668">
        <f>IF(AND(J668&gt;0,A668&gt;=p_from,A668&lt;=p_to),1,0)</f>
        <v>0.0</v>
      </c>
      <c r="L668">
        <f>IF(AND(K668=1,OR(pa_po="",C668=pa_po),OR(pa_eq="",B668=pa_eq)),1,0)</f>
        <v>0.0</v>
      </c>
    </row>
    <row r="669">
      <c r="A669" s="51" t="n"/>
      <c r="B669" s="52" t="n"/>
      <c r="C669" s="52" t="n"/>
      <c r="D669" s="53" t="n"/>
      <c r="E669" s="60" t="n"/>
      <c r="F669" s="53" t="n"/>
      <c r="G669" s="61" t="str">
        <f>IF(OR(COUNTA(A669:E669)=0,D669=""),"",IFERROR(INDEX(ca_fam,MATCH(D669,ca_name,0))&amp;"",""))</f>
        <v/>
      </c>
      <c r="H669" s="58" t="str">
        <f>IF(OR(COUNTA(A669:E669)=0,D669=""),"",IFERROR(INDEX(ca_type,MATCH(D669,ca_name,0))&amp;"",""))</f>
        <v/>
      </c>
      <c r="I669" s="58" t="str">
        <f>IF(COUNTA(A669:E669)=0,"",IF(N(A669)&lt;=0,"Date manquante ou invalide",IF(B669="","Équipe manquante",IF(ISNA(MATCH(B669,eq_code,0)),"Équipe inconnue",IF(C669="","Poste manquant",IF(ISNA(MATCH(C669,po_code,0)),"Poste inconnu",IF(D669="","Cause manquante",IF(ISNA(MATCH(D669,ca_name,0)),"Cause inconnue",IF(H669="","Cause à compléter dans Paramètres",IF(OR(NOT(ISNUMBER(E669)),N(E669)&lt;=0,N(E669)&gt;1440),"Durée invalide",IF(COUNTIFS(sj_date,A669,sj_eq,B669,sj_po,C669)=0,"Pas de saisie journalière ce jour-là","OK")))))))))))</f>
        <v/>
      </c>
      <c r="J669">
        <f>IF(OR(I669="OK",I669="Pas de saisie journalière ce jour-là"),E669,0)</f>
        <v>0.0</v>
      </c>
      <c r="K669">
        <f>IF(AND(J669&gt;0,A669&gt;=p_from,A669&lt;=p_to),1,0)</f>
        <v>0.0</v>
      </c>
      <c r="L669">
        <f>IF(AND(K669=1,OR(pa_po="",C669=pa_po),OR(pa_eq="",B669=pa_eq)),1,0)</f>
        <v>0.0</v>
      </c>
    </row>
    <row r="670">
      <c r="A670" s="51" t="n"/>
      <c r="B670" s="52" t="n"/>
      <c r="C670" s="52" t="n"/>
      <c r="D670" s="53" t="n"/>
      <c r="E670" s="60" t="n"/>
      <c r="F670" s="53" t="n"/>
      <c r="G670" s="61" t="str">
        <f>IF(OR(COUNTA(A670:E670)=0,D670=""),"",IFERROR(INDEX(ca_fam,MATCH(D670,ca_name,0))&amp;"",""))</f>
        <v/>
      </c>
      <c r="H670" s="58" t="str">
        <f>IF(OR(COUNTA(A670:E670)=0,D670=""),"",IFERROR(INDEX(ca_type,MATCH(D670,ca_name,0))&amp;"",""))</f>
        <v/>
      </c>
      <c r="I670" s="58" t="str">
        <f>IF(COUNTA(A670:E670)=0,"",IF(N(A670)&lt;=0,"Date manquante ou invalide",IF(B670="","Équipe manquante",IF(ISNA(MATCH(B670,eq_code,0)),"Équipe inconnue",IF(C670="","Poste manquant",IF(ISNA(MATCH(C670,po_code,0)),"Poste inconnu",IF(D670="","Cause manquante",IF(ISNA(MATCH(D670,ca_name,0)),"Cause inconnue",IF(H670="","Cause à compléter dans Paramètres",IF(OR(NOT(ISNUMBER(E670)),N(E670)&lt;=0,N(E670)&gt;1440),"Durée invalide",IF(COUNTIFS(sj_date,A670,sj_eq,B670,sj_po,C670)=0,"Pas de saisie journalière ce jour-là","OK")))))))))))</f>
        <v/>
      </c>
      <c r="J670">
        <f>IF(OR(I670="OK",I670="Pas de saisie journalière ce jour-là"),E670,0)</f>
        <v>0.0</v>
      </c>
      <c r="K670">
        <f>IF(AND(J670&gt;0,A670&gt;=p_from,A670&lt;=p_to),1,0)</f>
        <v>0.0</v>
      </c>
      <c r="L670">
        <f>IF(AND(K670=1,OR(pa_po="",C670=pa_po),OR(pa_eq="",B670=pa_eq)),1,0)</f>
        <v>0.0</v>
      </c>
    </row>
    <row r="671">
      <c r="A671" s="51" t="n"/>
      <c r="B671" s="52" t="n"/>
      <c r="C671" s="52" t="n"/>
      <c r="D671" s="53" t="n"/>
      <c r="E671" s="60" t="n"/>
      <c r="F671" s="53" t="n"/>
      <c r="G671" s="61" t="str">
        <f>IF(OR(COUNTA(A671:E671)=0,D671=""),"",IFERROR(INDEX(ca_fam,MATCH(D671,ca_name,0))&amp;"",""))</f>
        <v/>
      </c>
      <c r="H671" s="58" t="str">
        <f>IF(OR(COUNTA(A671:E671)=0,D671=""),"",IFERROR(INDEX(ca_type,MATCH(D671,ca_name,0))&amp;"",""))</f>
        <v/>
      </c>
      <c r="I671" s="58" t="str">
        <f>IF(COUNTA(A671:E671)=0,"",IF(N(A671)&lt;=0,"Date manquante ou invalide",IF(B671="","Équipe manquante",IF(ISNA(MATCH(B671,eq_code,0)),"Équipe inconnue",IF(C671="","Poste manquant",IF(ISNA(MATCH(C671,po_code,0)),"Poste inconnu",IF(D671="","Cause manquante",IF(ISNA(MATCH(D671,ca_name,0)),"Cause inconnue",IF(H671="","Cause à compléter dans Paramètres",IF(OR(NOT(ISNUMBER(E671)),N(E671)&lt;=0,N(E671)&gt;1440),"Durée invalide",IF(COUNTIFS(sj_date,A671,sj_eq,B671,sj_po,C671)=0,"Pas de saisie journalière ce jour-là","OK")))))))))))</f>
        <v/>
      </c>
      <c r="J671">
        <f>IF(OR(I671="OK",I671="Pas de saisie journalière ce jour-là"),E671,0)</f>
        <v>0.0</v>
      </c>
      <c r="K671">
        <f>IF(AND(J671&gt;0,A671&gt;=p_from,A671&lt;=p_to),1,0)</f>
        <v>0.0</v>
      </c>
      <c r="L671">
        <f>IF(AND(K671=1,OR(pa_po="",C671=pa_po),OR(pa_eq="",B671=pa_eq)),1,0)</f>
        <v>0.0</v>
      </c>
    </row>
    <row r="672">
      <c r="A672" s="51" t="n"/>
      <c r="B672" s="52" t="n"/>
      <c r="C672" s="52" t="n"/>
      <c r="D672" s="53" t="n"/>
      <c r="E672" s="60" t="n"/>
      <c r="F672" s="53" t="n"/>
      <c r="G672" s="61" t="str">
        <f>IF(OR(COUNTA(A672:E672)=0,D672=""),"",IFERROR(INDEX(ca_fam,MATCH(D672,ca_name,0))&amp;"",""))</f>
        <v/>
      </c>
      <c r="H672" s="58" t="str">
        <f>IF(OR(COUNTA(A672:E672)=0,D672=""),"",IFERROR(INDEX(ca_type,MATCH(D672,ca_name,0))&amp;"",""))</f>
        <v/>
      </c>
      <c r="I672" s="58" t="str">
        <f>IF(COUNTA(A672:E672)=0,"",IF(N(A672)&lt;=0,"Date manquante ou invalide",IF(B672="","Équipe manquante",IF(ISNA(MATCH(B672,eq_code,0)),"Équipe inconnue",IF(C672="","Poste manquant",IF(ISNA(MATCH(C672,po_code,0)),"Poste inconnu",IF(D672="","Cause manquante",IF(ISNA(MATCH(D672,ca_name,0)),"Cause inconnue",IF(H672="","Cause à compléter dans Paramètres",IF(OR(NOT(ISNUMBER(E672)),N(E672)&lt;=0,N(E672)&gt;1440),"Durée invalide",IF(COUNTIFS(sj_date,A672,sj_eq,B672,sj_po,C672)=0,"Pas de saisie journalière ce jour-là","OK")))))))))))</f>
        <v/>
      </c>
      <c r="J672">
        <f>IF(OR(I672="OK",I672="Pas de saisie journalière ce jour-là"),E672,0)</f>
        <v>0.0</v>
      </c>
      <c r="K672">
        <f>IF(AND(J672&gt;0,A672&gt;=p_from,A672&lt;=p_to),1,0)</f>
        <v>0.0</v>
      </c>
      <c r="L672">
        <f>IF(AND(K672=1,OR(pa_po="",C672=pa_po),OR(pa_eq="",B672=pa_eq)),1,0)</f>
        <v>0.0</v>
      </c>
    </row>
    <row r="673">
      <c r="A673" s="51" t="n"/>
      <c r="B673" s="52" t="n"/>
      <c r="C673" s="52" t="n"/>
      <c r="D673" s="53" t="n"/>
      <c r="E673" s="60" t="n"/>
      <c r="F673" s="53" t="n"/>
      <c r="G673" s="61" t="str">
        <f>IF(OR(COUNTA(A673:E673)=0,D673=""),"",IFERROR(INDEX(ca_fam,MATCH(D673,ca_name,0))&amp;"",""))</f>
        <v/>
      </c>
      <c r="H673" s="58" t="str">
        <f>IF(OR(COUNTA(A673:E673)=0,D673=""),"",IFERROR(INDEX(ca_type,MATCH(D673,ca_name,0))&amp;"",""))</f>
        <v/>
      </c>
      <c r="I673" s="58" t="str">
        <f>IF(COUNTA(A673:E673)=0,"",IF(N(A673)&lt;=0,"Date manquante ou invalide",IF(B673="","Équipe manquante",IF(ISNA(MATCH(B673,eq_code,0)),"Équipe inconnue",IF(C673="","Poste manquant",IF(ISNA(MATCH(C673,po_code,0)),"Poste inconnu",IF(D673="","Cause manquante",IF(ISNA(MATCH(D673,ca_name,0)),"Cause inconnue",IF(H673="","Cause à compléter dans Paramètres",IF(OR(NOT(ISNUMBER(E673)),N(E673)&lt;=0,N(E673)&gt;1440),"Durée invalide",IF(COUNTIFS(sj_date,A673,sj_eq,B673,sj_po,C673)=0,"Pas de saisie journalière ce jour-là","OK")))))))))))</f>
        <v/>
      </c>
      <c r="J673">
        <f>IF(OR(I673="OK",I673="Pas de saisie journalière ce jour-là"),E673,0)</f>
        <v>0.0</v>
      </c>
      <c r="K673">
        <f>IF(AND(J673&gt;0,A673&gt;=p_from,A673&lt;=p_to),1,0)</f>
        <v>0.0</v>
      </c>
      <c r="L673">
        <f>IF(AND(K673=1,OR(pa_po="",C673=pa_po),OR(pa_eq="",B673=pa_eq)),1,0)</f>
        <v>0.0</v>
      </c>
    </row>
    <row r="674">
      <c r="A674" s="51" t="n"/>
      <c r="B674" s="52" t="n"/>
      <c r="C674" s="52" t="n"/>
      <c r="D674" s="53" t="n"/>
      <c r="E674" s="60" t="n"/>
      <c r="F674" s="53" t="n"/>
      <c r="G674" s="61" t="str">
        <f>IF(OR(COUNTA(A674:E674)=0,D674=""),"",IFERROR(INDEX(ca_fam,MATCH(D674,ca_name,0))&amp;"",""))</f>
        <v/>
      </c>
      <c r="H674" s="58" t="str">
        <f>IF(OR(COUNTA(A674:E674)=0,D674=""),"",IFERROR(INDEX(ca_type,MATCH(D674,ca_name,0))&amp;"",""))</f>
        <v/>
      </c>
      <c r="I674" s="58" t="str">
        <f>IF(COUNTA(A674:E674)=0,"",IF(N(A674)&lt;=0,"Date manquante ou invalide",IF(B674="","Équipe manquante",IF(ISNA(MATCH(B674,eq_code,0)),"Équipe inconnue",IF(C674="","Poste manquant",IF(ISNA(MATCH(C674,po_code,0)),"Poste inconnu",IF(D674="","Cause manquante",IF(ISNA(MATCH(D674,ca_name,0)),"Cause inconnue",IF(H674="","Cause à compléter dans Paramètres",IF(OR(NOT(ISNUMBER(E674)),N(E674)&lt;=0,N(E674)&gt;1440),"Durée invalide",IF(COUNTIFS(sj_date,A674,sj_eq,B674,sj_po,C674)=0,"Pas de saisie journalière ce jour-là","OK")))))))))))</f>
        <v/>
      </c>
      <c r="J674">
        <f>IF(OR(I674="OK",I674="Pas de saisie journalière ce jour-là"),E674,0)</f>
        <v>0.0</v>
      </c>
      <c r="K674">
        <f>IF(AND(J674&gt;0,A674&gt;=p_from,A674&lt;=p_to),1,0)</f>
        <v>0.0</v>
      </c>
      <c r="L674">
        <f>IF(AND(K674=1,OR(pa_po="",C674=pa_po),OR(pa_eq="",B674=pa_eq)),1,0)</f>
        <v>0.0</v>
      </c>
    </row>
    <row r="675">
      <c r="A675" s="51" t="n"/>
      <c r="B675" s="52" t="n"/>
      <c r="C675" s="52" t="n"/>
      <c r="D675" s="53" t="n"/>
      <c r="E675" s="60" t="n"/>
      <c r="F675" s="53" t="n"/>
      <c r="G675" s="61" t="str">
        <f>IF(OR(COUNTA(A675:E675)=0,D675=""),"",IFERROR(INDEX(ca_fam,MATCH(D675,ca_name,0))&amp;"",""))</f>
        <v/>
      </c>
      <c r="H675" s="58" t="str">
        <f>IF(OR(COUNTA(A675:E675)=0,D675=""),"",IFERROR(INDEX(ca_type,MATCH(D675,ca_name,0))&amp;"",""))</f>
        <v/>
      </c>
      <c r="I675" s="58" t="str">
        <f>IF(COUNTA(A675:E675)=0,"",IF(N(A675)&lt;=0,"Date manquante ou invalide",IF(B675="","Équipe manquante",IF(ISNA(MATCH(B675,eq_code,0)),"Équipe inconnue",IF(C675="","Poste manquant",IF(ISNA(MATCH(C675,po_code,0)),"Poste inconnu",IF(D675="","Cause manquante",IF(ISNA(MATCH(D675,ca_name,0)),"Cause inconnue",IF(H675="","Cause à compléter dans Paramètres",IF(OR(NOT(ISNUMBER(E675)),N(E675)&lt;=0,N(E675)&gt;1440),"Durée invalide",IF(COUNTIFS(sj_date,A675,sj_eq,B675,sj_po,C675)=0,"Pas de saisie journalière ce jour-là","OK")))))))))))</f>
        <v/>
      </c>
      <c r="J675">
        <f>IF(OR(I675="OK",I675="Pas de saisie journalière ce jour-là"),E675,0)</f>
        <v>0.0</v>
      </c>
      <c r="K675">
        <f>IF(AND(J675&gt;0,A675&gt;=p_from,A675&lt;=p_to),1,0)</f>
        <v>0.0</v>
      </c>
      <c r="L675">
        <f>IF(AND(K675=1,OR(pa_po="",C675=pa_po),OR(pa_eq="",B675=pa_eq)),1,0)</f>
        <v>0.0</v>
      </c>
    </row>
    <row r="676">
      <c r="A676" s="51" t="n"/>
      <c r="B676" s="52" t="n"/>
      <c r="C676" s="52" t="n"/>
      <c r="D676" s="53" t="n"/>
      <c r="E676" s="60" t="n"/>
      <c r="F676" s="53" t="n"/>
      <c r="G676" s="61" t="str">
        <f>IF(OR(COUNTA(A676:E676)=0,D676=""),"",IFERROR(INDEX(ca_fam,MATCH(D676,ca_name,0))&amp;"",""))</f>
        <v/>
      </c>
      <c r="H676" s="58" t="str">
        <f>IF(OR(COUNTA(A676:E676)=0,D676=""),"",IFERROR(INDEX(ca_type,MATCH(D676,ca_name,0))&amp;"",""))</f>
        <v/>
      </c>
      <c r="I676" s="58" t="str">
        <f>IF(COUNTA(A676:E676)=0,"",IF(N(A676)&lt;=0,"Date manquante ou invalide",IF(B676="","Équipe manquante",IF(ISNA(MATCH(B676,eq_code,0)),"Équipe inconnue",IF(C676="","Poste manquant",IF(ISNA(MATCH(C676,po_code,0)),"Poste inconnu",IF(D676="","Cause manquante",IF(ISNA(MATCH(D676,ca_name,0)),"Cause inconnue",IF(H676="","Cause à compléter dans Paramètres",IF(OR(NOT(ISNUMBER(E676)),N(E676)&lt;=0,N(E676)&gt;1440),"Durée invalide",IF(COUNTIFS(sj_date,A676,sj_eq,B676,sj_po,C676)=0,"Pas de saisie journalière ce jour-là","OK")))))))))))</f>
        <v/>
      </c>
      <c r="J676">
        <f>IF(OR(I676="OK",I676="Pas de saisie journalière ce jour-là"),E676,0)</f>
        <v>0.0</v>
      </c>
      <c r="K676">
        <f>IF(AND(J676&gt;0,A676&gt;=p_from,A676&lt;=p_to),1,0)</f>
        <v>0.0</v>
      </c>
      <c r="L676">
        <f>IF(AND(K676=1,OR(pa_po="",C676=pa_po),OR(pa_eq="",B676=pa_eq)),1,0)</f>
        <v>0.0</v>
      </c>
    </row>
    <row r="677">
      <c r="A677" s="51" t="n"/>
      <c r="B677" s="52" t="n"/>
      <c r="C677" s="52" t="n"/>
      <c r="D677" s="53" t="n"/>
      <c r="E677" s="60" t="n"/>
      <c r="F677" s="53" t="n"/>
      <c r="G677" s="61" t="str">
        <f>IF(OR(COUNTA(A677:E677)=0,D677=""),"",IFERROR(INDEX(ca_fam,MATCH(D677,ca_name,0))&amp;"",""))</f>
        <v/>
      </c>
      <c r="H677" s="58" t="str">
        <f>IF(OR(COUNTA(A677:E677)=0,D677=""),"",IFERROR(INDEX(ca_type,MATCH(D677,ca_name,0))&amp;"",""))</f>
        <v/>
      </c>
      <c r="I677" s="58" t="str">
        <f>IF(COUNTA(A677:E677)=0,"",IF(N(A677)&lt;=0,"Date manquante ou invalide",IF(B677="","Équipe manquante",IF(ISNA(MATCH(B677,eq_code,0)),"Équipe inconnue",IF(C677="","Poste manquant",IF(ISNA(MATCH(C677,po_code,0)),"Poste inconnu",IF(D677="","Cause manquante",IF(ISNA(MATCH(D677,ca_name,0)),"Cause inconnue",IF(H677="","Cause à compléter dans Paramètres",IF(OR(NOT(ISNUMBER(E677)),N(E677)&lt;=0,N(E677)&gt;1440),"Durée invalide",IF(COUNTIFS(sj_date,A677,sj_eq,B677,sj_po,C677)=0,"Pas de saisie journalière ce jour-là","OK")))))))))))</f>
        <v/>
      </c>
      <c r="J677">
        <f>IF(OR(I677="OK",I677="Pas de saisie journalière ce jour-là"),E677,0)</f>
        <v>0.0</v>
      </c>
      <c r="K677">
        <f>IF(AND(J677&gt;0,A677&gt;=p_from,A677&lt;=p_to),1,0)</f>
        <v>0.0</v>
      </c>
      <c r="L677">
        <f>IF(AND(K677=1,OR(pa_po="",C677=pa_po),OR(pa_eq="",B677=pa_eq)),1,0)</f>
        <v>0.0</v>
      </c>
    </row>
    <row r="678">
      <c r="A678" s="51" t="n"/>
      <c r="B678" s="52" t="n"/>
      <c r="C678" s="52" t="n"/>
      <c r="D678" s="53" t="n"/>
      <c r="E678" s="60" t="n"/>
      <c r="F678" s="53" t="n"/>
      <c r="G678" s="61" t="str">
        <f>IF(OR(COUNTA(A678:E678)=0,D678=""),"",IFERROR(INDEX(ca_fam,MATCH(D678,ca_name,0))&amp;"",""))</f>
        <v/>
      </c>
      <c r="H678" s="58" t="str">
        <f>IF(OR(COUNTA(A678:E678)=0,D678=""),"",IFERROR(INDEX(ca_type,MATCH(D678,ca_name,0))&amp;"",""))</f>
        <v/>
      </c>
      <c r="I678" s="58" t="str">
        <f>IF(COUNTA(A678:E678)=0,"",IF(N(A678)&lt;=0,"Date manquante ou invalide",IF(B678="","Équipe manquante",IF(ISNA(MATCH(B678,eq_code,0)),"Équipe inconnue",IF(C678="","Poste manquant",IF(ISNA(MATCH(C678,po_code,0)),"Poste inconnu",IF(D678="","Cause manquante",IF(ISNA(MATCH(D678,ca_name,0)),"Cause inconnue",IF(H678="","Cause à compléter dans Paramètres",IF(OR(NOT(ISNUMBER(E678)),N(E678)&lt;=0,N(E678)&gt;1440),"Durée invalide",IF(COUNTIFS(sj_date,A678,sj_eq,B678,sj_po,C678)=0,"Pas de saisie journalière ce jour-là","OK")))))))))))</f>
        <v/>
      </c>
      <c r="J678">
        <f>IF(OR(I678="OK",I678="Pas de saisie journalière ce jour-là"),E678,0)</f>
        <v>0.0</v>
      </c>
      <c r="K678">
        <f>IF(AND(J678&gt;0,A678&gt;=p_from,A678&lt;=p_to),1,0)</f>
        <v>0.0</v>
      </c>
      <c r="L678">
        <f>IF(AND(K678=1,OR(pa_po="",C678=pa_po),OR(pa_eq="",B678=pa_eq)),1,0)</f>
        <v>0.0</v>
      </c>
    </row>
    <row r="679">
      <c r="A679" s="51" t="n"/>
      <c r="B679" s="52" t="n"/>
      <c r="C679" s="52" t="n"/>
      <c r="D679" s="53" t="n"/>
      <c r="E679" s="60" t="n"/>
      <c r="F679" s="53" t="n"/>
      <c r="G679" s="61" t="str">
        <f>IF(OR(COUNTA(A679:E679)=0,D679=""),"",IFERROR(INDEX(ca_fam,MATCH(D679,ca_name,0))&amp;"",""))</f>
        <v/>
      </c>
      <c r="H679" s="58" t="str">
        <f>IF(OR(COUNTA(A679:E679)=0,D679=""),"",IFERROR(INDEX(ca_type,MATCH(D679,ca_name,0))&amp;"",""))</f>
        <v/>
      </c>
      <c r="I679" s="58" t="str">
        <f>IF(COUNTA(A679:E679)=0,"",IF(N(A679)&lt;=0,"Date manquante ou invalide",IF(B679="","Équipe manquante",IF(ISNA(MATCH(B679,eq_code,0)),"Équipe inconnue",IF(C679="","Poste manquant",IF(ISNA(MATCH(C679,po_code,0)),"Poste inconnu",IF(D679="","Cause manquante",IF(ISNA(MATCH(D679,ca_name,0)),"Cause inconnue",IF(H679="","Cause à compléter dans Paramètres",IF(OR(NOT(ISNUMBER(E679)),N(E679)&lt;=0,N(E679)&gt;1440),"Durée invalide",IF(COUNTIFS(sj_date,A679,sj_eq,B679,sj_po,C679)=0,"Pas de saisie journalière ce jour-là","OK")))))))))))</f>
        <v/>
      </c>
      <c r="J679">
        <f>IF(OR(I679="OK",I679="Pas de saisie journalière ce jour-là"),E679,0)</f>
        <v>0.0</v>
      </c>
      <c r="K679">
        <f>IF(AND(J679&gt;0,A679&gt;=p_from,A679&lt;=p_to),1,0)</f>
        <v>0.0</v>
      </c>
      <c r="L679">
        <f>IF(AND(K679=1,OR(pa_po="",C679=pa_po),OR(pa_eq="",B679=pa_eq)),1,0)</f>
        <v>0.0</v>
      </c>
    </row>
    <row r="680">
      <c r="A680" s="51" t="n"/>
      <c r="B680" s="52" t="n"/>
      <c r="C680" s="52" t="n"/>
      <c r="D680" s="53" t="n"/>
      <c r="E680" s="60" t="n"/>
      <c r="F680" s="53" t="n"/>
      <c r="G680" s="61" t="str">
        <f>IF(OR(COUNTA(A680:E680)=0,D680=""),"",IFERROR(INDEX(ca_fam,MATCH(D680,ca_name,0))&amp;"",""))</f>
        <v/>
      </c>
      <c r="H680" s="58" t="str">
        <f>IF(OR(COUNTA(A680:E680)=0,D680=""),"",IFERROR(INDEX(ca_type,MATCH(D680,ca_name,0))&amp;"",""))</f>
        <v/>
      </c>
      <c r="I680" s="58" t="str">
        <f>IF(COUNTA(A680:E680)=0,"",IF(N(A680)&lt;=0,"Date manquante ou invalide",IF(B680="","Équipe manquante",IF(ISNA(MATCH(B680,eq_code,0)),"Équipe inconnue",IF(C680="","Poste manquant",IF(ISNA(MATCH(C680,po_code,0)),"Poste inconnu",IF(D680="","Cause manquante",IF(ISNA(MATCH(D680,ca_name,0)),"Cause inconnue",IF(H680="","Cause à compléter dans Paramètres",IF(OR(NOT(ISNUMBER(E680)),N(E680)&lt;=0,N(E680)&gt;1440),"Durée invalide",IF(COUNTIFS(sj_date,A680,sj_eq,B680,sj_po,C680)=0,"Pas de saisie journalière ce jour-là","OK")))))))))))</f>
        <v/>
      </c>
      <c r="J680">
        <f>IF(OR(I680="OK",I680="Pas de saisie journalière ce jour-là"),E680,0)</f>
        <v>0.0</v>
      </c>
      <c r="K680">
        <f>IF(AND(J680&gt;0,A680&gt;=p_from,A680&lt;=p_to),1,0)</f>
        <v>0.0</v>
      </c>
      <c r="L680">
        <f>IF(AND(K680=1,OR(pa_po="",C680=pa_po),OR(pa_eq="",B680=pa_eq)),1,0)</f>
        <v>0.0</v>
      </c>
    </row>
    <row r="681">
      <c r="A681" s="51" t="n"/>
      <c r="B681" s="52" t="n"/>
      <c r="C681" s="52" t="n"/>
      <c r="D681" s="53" t="n"/>
      <c r="E681" s="60" t="n"/>
      <c r="F681" s="53" t="n"/>
      <c r="G681" s="61" t="str">
        <f>IF(OR(COUNTA(A681:E681)=0,D681=""),"",IFERROR(INDEX(ca_fam,MATCH(D681,ca_name,0))&amp;"",""))</f>
        <v/>
      </c>
      <c r="H681" s="58" t="str">
        <f>IF(OR(COUNTA(A681:E681)=0,D681=""),"",IFERROR(INDEX(ca_type,MATCH(D681,ca_name,0))&amp;"",""))</f>
        <v/>
      </c>
      <c r="I681" s="58" t="str">
        <f>IF(COUNTA(A681:E681)=0,"",IF(N(A681)&lt;=0,"Date manquante ou invalide",IF(B681="","Équipe manquante",IF(ISNA(MATCH(B681,eq_code,0)),"Équipe inconnue",IF(C681="","Poste manquant",IF(ISNA(MATCH(C681,po_code,0)),"Poste inconnu",IF(D681="","Cause manquante",IF(ISNA(MATCH(D681,ca_name,0)),"Cause inconnue",IF(H681="","Cause à compléter dans Paramètres",IF(OR(NOT(ISNUMBER(E681)),N(E681)&lt;=0,N(E681)&gt;1440),"Durée invalide",IF(COUNTIFS(sj_date,A681,sj_eq,B681,sj_po,C681)=0,"Pas de saisie journalière ce jour-là","OK")))))))))))</f>
        <v/>
      </c>
      <c r="J681">
        <f>IF(OR(I681="OK",I681="Pas de saisie journalière ce jour-là"),E681,0)</f>
        <v>0.0</v>
      </c>
      <c r="K681">
        <f>IF(AND(J681&gt;0,A681&gt;=p_from,A681&lt;=p_to),1,0)</f>
        <v>0.0</v>
      </c>
      <c r="L681">
        <f>IF(AND(K681=1,OR(pa_po="",C681=pa_po),OR(pa_eq="",B681=pa_eq)),1,0)</f>
        <v>0.0</v>
      </c>
    </row>
    <row r="682">
      <c r="A682" s="51" t="n"/>
      <c r="B682" s="52" t="n"/>
      <c r="C682" s="52" t="n"/>
      <c r="D682" s="53" t="n"/>
      <c r="E682" s="60" t="n"/>
      <c r="F682" s="53" t="n"/>
      <c r="G682" s="61" t="str">
        <f>IF(OR(COUNTA(A682:E682)=0,D682=""),"",IFERROR(INDEX(ca_fam,MATCH(D682,ca_name,0))&amp;"",""))</f>
        <v/>
      </c>
      <c r="H682" s="58" t="str">
        <f>IF(OR(COUNTA(A682:E682)=0,D682=""),"",IFERROR(INDEX(ca_type,MATCH(D682,ca_name,0))&amp;"",""))</f>
        <v/>
      </c>
      <c r="I682" s="58" t="str">
        <f>IF(COUNTA(A682:E682)=0,"",IF(N(A682)&lt;=0,"Date manquante ou invalide",IF(B682="","Équipe manquante",IF(ISNA(MATCH(B682,eq_code,0)),"Équipe inconnue",IF(C682="","Poste manquant",IF(ISNA(MATCH(C682,po_code,0)),"Poste inconnu",IF(D682="","Cause manquante",IF(ISNA(MATCH(D682,ca_name,0)),"Cause inconnue",IF(H682="","Cause à compléter dans Paramètres",IF(OR(NOT(ISNUMBER(E682)),N(E682)&lt;=0,N(E682)&gt;1440),"Durée invalide",IF(COUNTIFS(sj_date,A682,sj_eq,B682,sj_po,C682)=0,"Pas de saisie journalière ce jour-là","OK")))))))))))</f>
        <v/>
      </c>
      <c r="J682">
        <f>IF(OR(I682="OK",I682="Pas de saisie journalière ce jour-là"),E682,0)</f>
        <v>0.0</v>
      </c>
      <c r="K682">
        <f>IF(AND(J682&gt;0,A682&gt;=p_from,A682&lt;=p_to),1,0)</f>
        <v>0.0</v>
      </c>
      <c r="L682">
        <f>IF(AND(K682=1,OR(pa_po="",C682=pa_po),OR(pa_eq="",B682=pa_eq)),1,0)</f>
        <v>0.0</v>
      </c>
    </row>
    <row r="683">
      <c r="A683" s="51" t="n"/>
      <c r="B683" s="52" t="n"/>
      <c r="C683" s="52" t="n"/>
      <c r="D683" s="53" t="n"/>
      <c r="E683" s="60" t="n"/>
      <c r="F683" s="53" t="n"/>
      <c r="G683" s="61" t="str">
        <f>IF(OR(COUNTA(A683:E683)=0,D683=""),"",IFERROR(INDEX(ca_fam,MATCH(D683,ca_name,0))&amp;"",""))</f>
        <v/>
      </c>
      <c r="H683" s="58" t="str">
        <f>IF(OR(COUNTA(A683:E683)=0,D683=""),"",IFERROR(INDEX(ca_type,MATCH(D683,ca_name,0))&amp;"",""))</f>
        <v/>
      </c>
      <c r="I683" s="58" t="str">
        <f>IF(COUNTA(A683:E683)=0,"",IF(N(A683)&lt;=0,"Date manquante ou invalide",IF(B683="","Équipe manquante",IF(ISNA(MATCH(B683,eq_code,0)),"Équipe inconnue",IF(C683="","Poste manquant",IF(ISNA(MATCH(C683,po_code,0)),"Poste inconnu",IF(D683="","Cause manquante",IF(ISNA(MATCH(D683,ca_name,0)),"Cause inconnue",IF(H683="","Cause à compléter dans Paramètres",IF(OR(NOT(ISNUMBER(E683)),N(E683)&lt;=0,N(E683)&gt;1440),"Durée invalide",IF(COUNTIFS(sj_date,A683,sj_eq,B683,sj_po,C683)=0,"Pas de saisie journalière ce jour-là","OK")))))))))))</f>
        <v/>
      </c>
      <c r="J683">
        <f>IF(OR(I683="OK",I683="Pas de saisie journalière ce jour-là"),E683,0)</f>
        <v>0.0</v>
      </c>
      <c r="K683">
        <f>IF(AND(J683&gt;0,A683&gt;=p_from,A683&lt;=p_to),1,0)</f>
        <v>0.0</v>
      </c>
      <c r="L683">
        <f>IF(AND(K683=1,OR(pa_po="",C683=pa_po),OR(pa_eq="",B683=pa_eq)),1,0)</f>
        <v>0.0</v>
      </c>
    </row>
    <row r="684">
      <c r="A684" s="51" t="n"/>
      <c r="B684" s="52" t="n"/>
      <c r="C684" s="52" t="n"/>
      <c r="D684" s="53" t="n"/>
      <c r="E684" s="60" t="n"/>
      <c r="F684" s="53" t="n"/>
      <c r="G684" s="61" t="str">
        <f>IF(OR(COUNTA(A684:E684)=0,D684=""),"",IFERROR(INDEX(ca_fam,MATCH(D684,ca_name,0))&amp;"",""))</f>
        <v/>
      </c>
      <c r="H684" s="58" t="str">
        <f>IF(OR(COUNTA(A684:E684)=0,D684=""),"",IFERROR(INDEX(ca_type,MATCH(D684,ca_name,0))&amp;"",""))</f>
        <v/>
      </c>
      <c r="I684" s="58" t="str">
        <f>IF(COUNTA(A684:E684)=0,"",IF(N(A684)&lt;=0,"Date manquante ou invalide",IF(B684="","Équipe manquante",IF(ISNA(MATCH(B684,eq_code,0)),"Équipe inconnue",IF(C684="","Poste manquant",IF(ISNA(MATCH(C684,po_code,0)),"Poste inconnu",IF(D684="","Cause manquante",IF(ISNA(MATCH(D684,ca_name,0)),"Cause inconnue",IF(H684="","Cause à compléter dans Paramètres",IF(OR(NOT(ISNUMBER(E684)),N(E684)&lt;=0,N(E684)&gt;1440),"Durée invalide",IF(COUNTIFS(sj_date,A684,sj_eq,B684,sj_po,C684)=0,"Pas de saisie journalière ce jour-là","OK")))))))))))</f>
        <v/>
      </c>
      <c r="J684">
        <f>IF(OR(I684="OK",I684="Pas de saisie journalière ce jour-là"),E684,0)</f>
        <v>0.0</v>
      </c>
      <c r="K684">
        <f>IF(AND(J684&gt;0,A684&gt;=p_from,A684&lt;=p_to),1,0)</f>
        <v>0.0</v>
      </c>
      <c r="L684">
        <f>IF(AND(K684=1,OR(pa_po="",C684=pa_po),OR(pa_eq="",B684=pa_eq)),1,0)</f>
        <v>0.0</v>
      </c>
    </row>
    <row r="685">
      <c r="A685" s="51" t="n"/>
      <c r="B685" s="52" t="n"/>
      <c r="C685" s="52" t="n"/>
      <c r="D685" s="53" t="n"/>
      <c r="E685" s="60" t="n"/>
      <c r="F685" s="53" t="n"/>
      <c r="G685" s="61" t="str">
        <f>IF(OR(COUNTA(A685:E685)=0,D685=""),"",IFERROR(INDEX(ca_fam,MATCH(D685,ca_name,0))&amp;"",""))</f>
        <v/>
      </c>
      <c r="H685" s="58" t="str">
        <f>IF(OR(COUNTA(A685:E685)=0,D685=""),"",IFERROR(INDEX(ca_type,MATCH(D685,ca_name,0))&amp;"",""))</f>
        <v/>
      </c>
      <c r="I685" s="58" t="str">
        <f>IF(COUNTA(A685:E685)=0,"",IF(N(A685)&lt;=0,"Date manquante ou invalide",IF(B685="","Équipe manquante",IF(ISNA(MATCH(B685,eq_code,0)),"Équipe inconnue",IF(C685="","Poste manquant",IF(ISNA(MATCH(C685,po_code,0)),"Poste inconnu",IF(D685="","Cause manquante",IF(ISNA(MATCH(D685,ca_name,0)),"Cause inconnue",IF(H685="","Cause à compléter dans Paramètres",IF(OR(NOT(ISNUMBER(E685)),N(E685)&lt;=0,N(E685)&gt;1440),"Durée invalide",IF(COUNTIFS(sj_date,A685,sj_eq,B685,sj_po,C685)=0,"Pas de saisie journalière ce jour-là","OK")))))))))))</f>
        <v/>
      </c>
      <c r="J685">
        <f>IF(OR(I685="OK",I685="Pas de saisie journalière ce jour-là"),E685,0)</f>
        <v>0.0</v>
      </c>
      <c r="K685">
        <f>IF(AND(J685&gt;0,A685&gt;=p_from,A685&lt;=p_to),1,0)</f>
        <v>0.0</v>
      </c>
      <c r="L685">
        <f>IF(AND(K685=1,OR(pa_po="",C685=pa_po),OR(pa_eq="",B685=pa_eq)),1,0)</f>
        <v>0.0</v>
      </c>
    </row>
    <row r="686">
      <c r="A686" s="51" t="n"/>
      <c r="B686" s="52" t="n"/>
      <c r="C686" s="52" t="n"/>
      <c r="D686" s="53" t="n"/>
      <c r="E686" s="60" t="n"/>
      <c r="F686" s="53" t="n"/>
      <c r="G686" s="61" t="str">
        <f>IF(OR(COUNTA(A686:E686)=0,D686=""),"",IFERROR(INDEX(ca_fam,MATCH(D686,ca_name,0))&amp;"",""))</f>
        <v/>
      </c>
      <c r="H686" s="58" t="str">
        <f>IF(OR(COUNTA(A686:E686)=0,D686=""),"",IFERROR(INDEX(ca_type,MATCH(D686,ca_name,0))&amp;"",""))</f>
        <v/>
      </c>
      <c r="I686" s="58" t="str">
        <f>IF(COUNTA(A686:E686)=0,"",IF(N(A686)&lt;=0,"Date manquante ou invalide",IF(B686="","Équipe manquante",IF(ISNA(MATCH(B686,eq_code,0)),"Équipe inconnue",IF(C686="","Poste manquant",IF(ISNA(MATCH(C686,po_code,0)),"Poste inconnu",IF(D686="","Cause manquante",IF(ISNA(MATCH(D686,ca_name,0)),"Cause inconnue",IF(H686="","Cause à compléter dans Paramètres",IF(OR(NOT(ISNUMBER(E686)),N(E686)&lt;=0,N(E686)&gt;1440),"Durée invalide",IF(COUNTIFS(sj_date,A686,sj_eq,B686,sj_po,C686)=0,"Pas de saisie journalière ce jour-là","OK")))))))))))</f>
        <v/>
      </c>
      <c r="J686">
        <f>IF(OR(I686="OK",I686="Pas de saisie journalière ce jour-là"),E686,0)</f>
        <v>0.0</v>
      </c>
      <c r="K686">
        <f>IF(AND(J686&gt;0,A686&gt;=p_from,A686&lt;=p_to),1,0)</f>
        <v>0.0</v>
      </c>
      <c r="L686">
        <f>IF(AND(K686=1,OR(pa_po="",C686=pa_po),OR(pa_eq="",B686=pa_eq)),1,0)</f>
        <v>0.0</v>
      </c>
    </row>
    <row r="687">
      <c r="A687" s="51" t="n"/>
      <c r="B687" s="52" t="n"/>
      <c r="C687" s="52" t="n"/>
      <c r="D687" s="53" t="n"/>
      <c r="E687" s="60" t="n"/>
      <c r="F687" s="53" t="n"/>
      <c r="G687" s="61" t="str">
        <f>IF(OR(COUNTA(A687:E687)=0,D687=""),"",IFERROR(INDEX(ca_fam,MATCH(D687,ca_name,0))&amp;"",""))</f>
        <v/>
      </c>
      <c r="H687" s="58" t="str">
        <f>IF(OR(COUNTA(A687:E687)=0,D687=""),"",IFERROR(INDEX(ca_type,MATCH(D687,ca_name,0))&amp;"",""))</f>
        <v/>
      </c>
      <c r="I687" s="58" t="str">
        <f>IF(COUNTA(A687:E687)=0,"",IF(N(A687)&lt;=0,"Date manquante ou invalide",IF(B687="","Équipe manquante",IF(ISNA(MATCH(B687,eq_code,0)),"Équipe inconnue",IF(C687="","Poste manquant",IF(ISNA(MATCH(C687,po_code,0)),"Poste inconnu",IF(D687="","Cause manquante",IF(ISNA(MATCH(D687,ca_name,0)),"Cause inconnue",IF(H687="","Cause à compléter dans Paramètres",IF(OR(NOT(ISNUMBER(E687)),N(E687)&lt;=0,N(E687)&gt;1440),"Durée invalide",IF(COUNTIFS(sj_date,A687,sj_eq,B687,sj_po,C687)=0,"Pas de saisie journalière ce jour-là","OK")))))))))))</f>
        <v/>
      </c>
      <c r="J687">
        <f>IF(OR(I687="OK",I687="Pas de saisie journalière ce jour-là"),E687,0)</f>
        <v>0.0</v>
      </c>
      <c r="K687">
        <f>IF(AND(J687&gt;0,A687&gt;=p_from,A687&lt;=p_to),1,0)</f>
        <v>0.0</v>
      </c>
      <c r="L687">
        <f>IF(AND(K687=1,OR(pa_po="",C687=pa_po),OR(pa_eq="",B687=pa_eq)),1,0)</f>
        <v>0.0</v>
      </c>
    </row>
    <row r="688">
      <c r="A688" s="51" t="n"/>
      <c r="B688" s="52" t="n"/>
      <c r="C688" s="52" t="n"/>
      <c r="D688" s="53" t="n"/>
      <c r="E688" s="60" t="n"/>
      <c r="F688" s="53" t="n"/>
      <c r="G688" s="61" t="str">
        <f>IF(OR(COUNTA(A688:E688)=0,D688=""),"",IFERROR(INDEX(ca_fam,MATCH(D688,ca_name,0))&amp;"",""))</f>
        <v/>
      </c>
      <c r="H688" s="58" t="str">
        <f>IF(OR(COUNTA(A688:E688)=0,D688=""),"",IFERROR(INDEX(ca_type,MATCH(D688,ca_name,0))&amp;"",""))</f>
        <v/>
      </c>
      <c r="I688" s="58" t="str">
        <f>IF(COUNTA(A688:E688)=0,"",IF(N(A688)&lt;=0,"Date manquante ou invalide",IF(B688="","Équipe manquante",IF(ISNA(MATCH(B688,eq_code,0)),"Équipe inconnue",IF(C688="","Poste manquant",IF(ISNA(MATCH(C688,po_code,0)),"Poste inconnu",IF(D688="","Cause manquante",IF(ISNA(MATCH(D688,ca_name,0)),"Cause inconnue",IF(H688="","Cause à compléter dans Paramètres",IF(OR(NOT(ISNUMBER(E688)),N(E688)&lt;=0,N(E688)&gt;1440),"Durée invalide",IF(COUNTIFS(sj_date,A688,sj_eq,B688,sj_po,C688)=0,"Pas de saisie journalière ce jour-là","OK")))))))))))</f>
        <v/>
      </c>
      <c r="J688">
        <f>IF(OR(I688="OK",I688="Pas de saisie journalière ce jour-là"),E688,0)</f>
        <v>0.0</v>
      </c>
      <c r="K688">
        <f>IF(AND(J688&gt;0,A688&gt;=p_from,A688&lt;=p_to),1,0)</f>
        <v>0.0</v>
      </c>
      <c r="L688">
        <f>IF(AND(K688=1,OR(pa_po="",C688=pa_po),OR(pa_eq="",B688=pa_eq)),1,0)</f>
        <v>0.0</v>
      </c>
    </row>
    <row r="689">
      <c r="A689" s="51" t="n"/>
      <c r="B689" s="52" t="n"/>
      <c r="C689" s="52" t="n"/>
      <c r="D689" s="53" t="n"/>
      <c r="E689" s="60" t="n"/>
      <c r="F689" s="53" t="n"/>
      <c r="G689" s="61" t="str">
        <f>IF(OR(COUNTA(A689:E689)=0,D689=""),"",IFERROR(INDEX(ca_fam,MATCH(D689,ca_name,0))&amp;"",""))</f>
        <v/>
      </c>
      <c r="H689" s="58" t="str">
        <f>IF(OR(COUNTA(A689:E689)=0,D689=""),"",IFERROR(INDEX(ca_type,MATCH(D689,ca_name,0))&amp;"",""))</f>
        <v/>
      </c>
      <c r="I689" s="58" t="str">
        <f>IF(COUNTA(A689:E689)=0,"",IF(N(A689)&lt;=0,"Date manquante ou invalide",IF(B689="","Équipe manquante",IF(ISNA(MATCH(B689,eq_code,0)),"Équipe inconnue",IF(C689="","Poste manquant",IF(ISNA(MATCH(C689,po_code,0)),"Poste inconnu",IF(D689="","Cause manquante",IF(ISNA(MATCH(D689,ca_name,0)),"Cause inconnue",IF(H689="","Cause à compléter dans Paramètres",IF(OR(NOT(ISNUMBER(E689)),N(E689)&lt;=0,N(E689)&gt;1440),"Durée invalide",IF(COUNTIFS(sj_date,A689,sj_eq,B689,sj_po,C689)=0,"Pas de saisie journalière ce jour-là","OK")))))))))))</f>
        <v/>
      </c>
      <c r="J689">
        <f>IF(OR(I689="OK",I689="Pas de saisie journalière ce jour-là"),E689,0)</f>
        <v>0.0</v>
      </c>
      <c r="K689">
        <f>IF(AND(J689&gt;0,A689&gt;=p_from,A689&lt;=p_to),1,0)</f>
        <v>0.0</v>
      </c>
      <c r="L689">
        <f>IF(AND(K689=1,OR(pa_po="",C689=pa_po),OR(pa_eq="",B689=pa_eq)),1,0)</f>
        <v>0.0</v>
      </c>
    </row>
    <row r="690">
      <c r="A690" s="51" t="n"/>
      <c r="B690" s="52" t="n"/>
      <c r="C690" s="52" t="n"/>
      <c r="D690" s="53" t="n"/>
      <c r="E690" s="60" t="n"/>
      <c r="F690" s="53" t="n"/>
      <c r="G690" s="61" t="str">
        <f>IF(OR(COUNTA(A690:E690)=0,D690=""),"",IFERROR(INDEX(ca_fam,MATCH(D690,ca_name,0))&amp;"",""))</f>
        <v/>
      </c>
      <c r="H690" s="58" t="str">
        <f>IF(OR(COUNTA(A690:E690)=0,D690=""),"",IFERROR(INDEX(ca_type,MATCH(D690,ca_name,0))&amp;"",""))</f>
        <v/>
      </c>
      <c r="I690" s="58" t="str">
        <f>IF(COUNTA(A690:E690)=0,"",IF(N(A690)&lt;=0,"Date manquante ou invalide",IF(B690="","Équipe manquante",IF(ISNA(MATCH(B690,eq_code,0)),"Équipe inconnue",IF(C690="","Poste manquant",IF(ISNA(MATCH(C690,po_code,0)),"Poste inconnu",IF(D690="","Cause manquante",IF(ISNA(MATCH(D690,ca_name,0)),"Cause inconnue",IF(H690="","Cause à compléter dans Paramètres",IF(OR(NOT(ISNUMBER(E690)),N(E690)&lt;=0,N(E690)&gt;1440),"Durée invalide",IF(COUNTIFS(sj_date,A690,sj_eq,B690,sj_po,C690)=0,"Pas de saisie journalière ce jour-là","OK")))))))))))</f>
        <v/>
      </c>
      <c r="J690">
        <f>IF(OR(I690="OK",I690="Pas de saisie journalière ce jour-là"),E690,0)</f>
        <v>0.0</v>
      </c>
      <c r="K690">
        <f>IF(AND(J690&gt;0,A690&gt;=p_from,A690&lt;=p_to),1,0)</f>
        <v>0.0</v>
      </c>
      <c r="L690">
        <f>IF(AND(K690=1,OR(pa_po="",C690=pa_po),OR(pa_eq="",B690=pa_eq)),1,0)</f>
        <v>0.0</v>
      </c>
    </row>
    <row r="691">
      <c r="A691" s="51" t="n"/>
      <c r="B691" s="52" t="n"/>
      <c r="C691" s="52" t="n"/>
      <c r="D691" s="53" t="n"/>
      <c r="E691" s="60" t="n"/>
      <c r="F691" s="53" t="n"/>
      <c r="G691" s="61" t="str">
        <f>IF(OR(COUNTA(A691:E691)=0,D691=""),"",IFERROR(INDEX(ca_fam,MATCH(D691,ca_name,0))&amp;"",""))</f>
        <v/>
      </c>
      <c r="H691" s="58" t="str">
        <f>IF(OR(COUNTA(A691:E691)=0,D691=""),"",IFERROR(INDEX(ca_type,MATCH(D691,ca_name,0))&amp;"",""))</f>
        <v/>
      </c>
      <c r="I691" s="58" t="str">
        <f>IF(COUNTA(A691:E691)=0,"",IF(N(A691)&lt;=0,"Date manquante ou invalide",IF(B691="","Équipe manquante",IF(ISNA(MATCH(B691,eq_code,0)),"Équipe inconnue",IF(C691="","Poste manquant",IF(ISNA(MATCH(C691,po_code,0)),"Poste inconnu",IF(D691="","Cause manquante",IF(ISNA(MATCH(D691,ca_name,0)),"Cause inconnue",IF(H691="","Cause à compléter dans Paramètres",IF(OR(NOT(ISNUMBER(E691)),N(E691)&lt;=0,N(E691)&gt;1440),"Durée invalide",IF(COUNTIFS(sj_date,A691,sj_eq,B691,sj_po,C691)=0,"Pas de saisie journalière ce jour-là","OK")))))))))))</f>
        <v/>
      </c>
      <c r="J691">
        <f>IF(OR(I691="OK",I691="Pas de saisie journalière ce jour-là"),E691,0)</f>
        <v>0.0</v>
      </c>
      <c r="K691">
        <f>IF(AND(J691&gt;0,A691&gt;=p_from,A691&lt;=p_to),1,0)</f>
        <v>0.0</v>
      </c>
      <c r="L691">
        <f>IF(AND(K691=1,OR(pa_po="",C691=pa_po),OR(pa_eq="",B691=pa_eq)),1,0)</f>
        <v>0.0</v>
      </c>
    </row>
    <row r="692">
      <c r="A692" s="51" t="n"/>
      <c r="B692" s="52" t="n"/>
      <c r="C692" s="52" t="n"/>
      <c r="D692" s="53" t="n"/>
      <c r="E692" s="60" t="n"/>
      <c r="F692" s="53" t="n"/>
      <c r="G692" s="61" t="str">
        <f>IF(OR(COUNTA(A692:E692)=0,D692=""),"",IFERROR(INDEX(ca_fam,MATCH(D692,ca_name,0))&amp;"",""))</f>
        <v/>
      </c>
      <c r="H692" s="58" t="str">
        <f>IF(OR(COUNTA(A692:E692)=0,D692=""),"",IFERROR(INDEX(ca_type,MATCH(D692,ca_name,0))&amp;"",""))</f>
        <v/>
      </c>
      <c r="I692" s="58" t="str">
        <f>IF(COUNTA(A692:E692)=0,"",IF(N(A692)&lt;=0,"Date manquante ou invalide",IF(B692="","Équipe manquante",IF(ISNA(MATCH(B692,eq_code,0)),"Équipe inconnue",IF(C692="","Poste manquant",IF(ISNA(MATCH(C692,po_code,0)),"Poste inconnu",IF(D692="","Cause manquante",IF(ISNA(MATCH(D692,ca_name,0)),"Cause inconnue",IF(H692="","Cause à compléter dans Paramètres",IF(OR(NOT(ISNUMBER(E692)),N(E692)&lt;=0,N(E692)&gt;1440),"Durée invalide",IF(COUNTIFS(sj_date,A692,sj_eq,B692,sj_po,C692)=0,"Pas de saisie journalière ce jour-là","OK")))))))))))</f>
        <v/>
      </c>
      <c r="J692">
        <f>IF(OR(I692="OK",I692="Pas de saisie journalière ce jour-là"),E692,0)</f>
        <v>0.0</v>
      </c>
      <c r="K692">
        <f>IF(AND(J692&gt;0,A692&gt;=p_from,A692&lt;=p_to),1,0)</f>
        <v>0.0</v>
      </c>
      <c r="L692">
        <f>IF(AND(K692=1,OR(pa_po="",C692=pa_po),OR(pa_eq="",B692=pa_eq)),1,0)</f>
        <v>0.0</v>
      </c>
    </row>
    <row r="693">
      <c r="A693" s="51" t="n"/>
      <c r="B693" s="52" t="n"/>
      <c r="C693" s="52" t="n"/>
      <c r="D693" s="53" t="n"/>
      <c r="E693" s="60" t="n"/>
      <c r="F693" s="53" t="n"/>
      <c r="G693" s="61" t="str">
        <f>IF(OR(COUNTA(A693:E693)=0,D693=""),"",IFERROR(INDEX(ca_fam,MATCH(D693,ca_name,0))&amp;"",""))</f>
        <v/>
      </c>
      <c r="H693" s="58" t="str">
        <f>IF(OR(COUNTA(A693:E693)=0,D693=""),"",IFERROR(INDEX(ca_type,MATCH(D693,ca_name,0))&amp;"",""))</f>
        <v/>
      </c>
      <c r="I693" s="58" t="str">
        <f>IF(COUNTA(A693:E693)=0,"",IF(N(A693)&lt;=0,"Date manquante ou invalide",IF(B693="","Équipe manquante",IF(ISNA(MATCH(B693,eq_code,0)),"Équipe inconnue",IF(C693="","Poste manquant",IF(ISNA(MATCH(C693,po_code,0)),"Poste inconnu",IF(D693="","Cause manquante",IF(ISNA(MATCH(D693,ca_name,0)),"Cause inconnue",IF(H693="","Cause à compléter dans Paramètres",IF(OR(NOT(ISNUMBER(E693)),N(E693)&lt;=0,N(E693)&gt;1440),"Durée invalide",IF(COUNTIFS(sj_date,A693,sj_eq,B693,sj_po,C693)=0,"Pas de saisie journalière ce jour-là","OK")))))))))))</f>
        <v/>
      </c>
      <c r="J693">
        <f>IF(OR(I693="OK",I693="Pas de saisie journalière ce jour-là"),E693,0)</f>
        <v>0.0</v>
      </c>
      <c r="K693">
        <f>IF(AND(J693&gt;0,A693&gt;=p_from,A693&lt;=p_to),1,0)</f>
        <v>0.0</v>
      </c>
      <c r="L693">
        <f>IF(AND(K693=1,OR(pa_po="",C693=pa_po),OR(pa_eq="",B693=pa_eq)),1,0)</f>
        <v>0.0</v>
      </c>
    </row>
    <row r="694">
      <c r="A694" s="51" t="n"/>
      <c r="B694" s="52" t="n"/>
      <c r="C694" s="52" t="n"/>
      <c r="D694" s="53" t="n"/>
      <c r="E694" s="60" t="n"/>
      <c r="F694" s="53" t="n"/>
      <c r="G694" s="61" t="str">
        <f>IF(OR(COUNTA(A694:E694)=0,D694=""),"",IFERROR(INDEX(ca_fam,MATCH(D694,ca_name,0))&amp;"",""))</f>
        <v/>
      </c>
      <c r="H694" s="58" t="str">
        <f>IF(OR(COUNTA(A694:E694)=0,D694=""),"",IFERROR(INDEX(ca_type,MATCH(D694,ca_name,0))&amp;"",""))</f>
        <v/>
      </c>
      <c r="I694" s="58" t="str">
        <f>IF(COUNTA(A694:E694)=0,"",IF(N(A694)&lt;=0,"Date manquante ou invalide",IF(B694="","Équipe manquante",IF(ISNA(MATCH(B694,eq_code,0)),"Équipe inconnue",IF(C694="","Poste manquant",IF(ISNA(MATCH(C694,po_code,0)),"Poste inconnu",IF(D694="","Cause manquante",IF(ISNA(MATCH(D694,ca_name,0)),"Cause inconnue",IF(H694="","Cause à compléter dans Paramètres",IF(OR(NOT(ISNUMBER(E694)),N(E694)&lt;=0,N(E694)&gt;1440),"Durée invalide",IF(COUNTIFS(sj_date,A694,sj_eq,B694,sj_po,C694)=0,"Pas de saisie journalière ce jour-là","OK")))))))))))</f>
        <v/>
      </c>
      <c r="J694">
        <f>IF(OR(I694="OK",I694="Pas de saisie journalière ce jour-là"),E694,0)</f>
        <v>0.0</v>
      </c>
      <c r="K694">
        <f>IF(AND(J694&gt;0,A694&gt;=p_from,A694&lt;=p_to),1,0)</f>
        <v>0.0</v>
      </c>
      <c r="L694">
        <f>IF(AND(K694=1,OR(pa_po="",C694=pa_po),OR(pa_eq="",B694=pa_eq)),1,0)</f>
        <v>0.0</v>
      </c>
    </row>
    <row r="695">
      <c r="A695" s="51" t="n"/>
      <c r="B695" s="52" t="n"/>
      <c r="C695" s="52" t="n"/>
      <c r="D695" s="53" t="n"/>
      <c r="E695" s="60" t="n"/>
      <c r="F695" s="53" t="n"/>
      <c r="G695" s="61" t="str">
        <f>IF(OR(COUNTA(A695:E695)=0,D695=""),"",IFERROR(INDEX(ca_fam,MATCH(D695,ca_name,0))&amp;"",""))</f>
        <v/>
      </c>
      <c r="H695" s="58" t="str">
        <f>IF(OR(COUNTA(A695:E695)=0,D695=""),"",IFERROR(INDEX(ca_type,MATCH(D695,ca_name,0))&amp;"",""))</f>
        <v/>
      </c>
      <c r="I695" s="58" t="str">
        <f>IF(COUNTA(A695:E695)=0,"",IF(N(A695)&lt;=0,"Date manquante ou invalide",IF(B695="","Équipe manquante",IF(ISNA(MATCH(B695,eq_code,0)),"Équipe inconnue",IF(C695="","Poste manquant",IF(ISNA(MATCH(C695,po_code,0)),"Poste inconnu",IF(D695="","Cause manquante",IF(ISNA(MATCH(D695,ca_name,0)),"Cause inconnue",IF(H695="","Cause à compléter dans Paramètres",IF(OR(NOT(ISNUMBER(E695)),N(E695)&lt;=0,N(E695)&gt;1440),"Durée invalide",IF(COUNTIFS(sj_date,A695,sj_eq,B695,sj_po,C695)=0,"Pas de saisie journalière ce jour-là","OK")))))))))))</f>
        <v/>
      </c>
      <c r="J695">
        <f>IF(OR(I695="OK",I695="Pas de saisie journalière ce jour-là"),E695,0)</f>
        <v>0.0</v>
      </c>
      <c r="K695">
        <f>IF(AND(J695&gt;0,A695&gt;=p_from,A695&lt;=p_to),1,0)</f>
        <v>0.0</v>
      </c>
      <c r="L695">
        <f>IF(AND(K695=1,OR(pa_po="",C695=pa_po),OR(pa_eq="",B695=pa_eq)),1,0)</f>
        <v>0.0</v>
      </c>
    </row>
    <row r="696">
      <c r="A696" s="51" t="n"/>
      <c r="B696" s="52" t="n"/>
      <c r="C696" s="52" t="n"/>
      <c r="D696" s="53" t="n"/>
      <c r="E696" s="60" t="n"/>
      <c r="F696" s="53" t="n"/>
      <c r="G696" s="61" t="str">
        <f>IF(OR(COUNTA(A696:E696)=0,D696=""),"",IFERROR(INDEX(ca_fam,MATCH(D696,ca_name,0))&amp;"",""))</f>
        <v/>
      </c>
      <c r="H696" s="58" t="str">
        <f>IF(OR(COUNTA(A696:E696)=0,D696=""),"",IFERROR(INDEX(ca_type,MATCH(D696,ca_name,0))&amp;"",""))</f>
        <v/>
      </c>
      <c r="I696" s="58" t="str">
        <f>IF(COUNTA(A696:E696)=0,"",IF(N(A696)&lt;=0,"Date manquante ou invalide",IF(B696="","Équipe manquante",IF(ISNA(MATCH(B696,eq_code,0)),"Équipe inconnue",IF(C696="","Poste manquant",IF(ISNA(MATCH(C696,po_code,0)),"Poste inconnu",IF(D696="","Cause manquante",IF(ISNA(MATCH(D696,ca_name,0)),"Cause inconnue",IF(H696="","Cause à compléter dans Paramètres",IF(OR(NOT(ISNUMBER(E696)),N(E696)&lt;=0,N(E696)&gt;1440),"Durée invalide",IF(COUNTIFS(sj_date,A696,sj_eq,B696,sj_po,C696)=0,"Pas de saisie journalière ce jour-là","OK")))))))))))</f>
        <v/>
      </c>
      <c r="J696">
        <f>IF(OR(I696="OK",I696="Pas de saisie journalière ce jour-là"),E696,0)</f>
        <v>0.0</v>
      </c>
      <c r="K696">
        <f>IF(AND(J696&gt;0,A696&gt;=p_from,A696&lt;=p_to),1,0)</f>
        <v>0.0</v>
      </c>
      <c r="L696">
        <f>IF(AND(K696=1,OR(pa_po="",C696=pa_po),OR(pa_eq="",B696=pa_eq)),1,0)</f>
        <v>0.0</v>
      </c>
    </row>
    <row r="697">
      <c r="A697" s="51" t="n"/>
      <c r="B697" s="52" t="n"/>
      <c r="C697" s="52" t="n"/>
      <c r="D697" s="53" t="n"/>
      <c r="E697" s="60" t="n"/>
      <c r="F697" s="53" t="n"/>
      <c r="G697" s="61" t="str">
        <f>IF(OR(COUNTA(A697:E697)=0,D697=""),"",IFERROR(INDEX(ca_fam,MATCH(D697,ca_name,0))&amp;"",""))</f>
        <v/>
      </c>
      <c r="H697" s="58" t="str">
        <f>IF(OR(COUNTA(A697:E697)=0,D697=""),"",IFERROR(INDEX(ca_type,MATCH(D697,ca_name,0))&amp;"",""))</f>
        <v/>
      </c>
      <c r="I697" s="58" t="str">
        <f>IF(COUNTA(A697:E697)=0,"",IF(N(A697)&lt;=0,"Date manquante ou invalide",IF(B697="","Équipe manquante",IF(ISNA(MATCH(B697,eq_code,0)),"Équipe inconnue",IF(C697="","Poste manquant",IF(ISNA(MATCH(C697,po_code,0)),"Poste inconnu",IF(D697="","Cause manquante",IF(ISNA(MATCH(D697,ca_name,0)),"Cause inconnue",IF(H697="","Cause à compléter dans Paramètres",IF(OR(NOT(ISNUMBER(E697)),N(E697)&lt;=0,N(E697)&gt;1440),"Durée invalide",IF(COUNTIFS(sj_date,A697,sj_eq,B697,sj_po,C697)=0,"Pas de saisie journalière ce jour-là","OK")))))))))))</f>
        <v/>
      </c>
      <c r="J697">
        <f>IF(OR(I697="OK",I697="Pas de saisie journalière ce jour-là"),E697,0)</f>
        <v>0.0</v>
      </c>
      <c r="K697">
        <f>IF(AND(J697&gt;0,A697&gt;=p_from,A697&lt;=p_to),1,0)</f>
        <v>0.0</v>
      </c>
      <c r="L697">
        <f>IF(AND(K697=1,OR(pa_po="",C697=pa_po),OR(pa_eq="",B697=pa_eq)),1,0)</f>
        <v>0.0</v>
      </c>
    </row>
    <row r="698">
      <c r="A698" s="51" t="n"/>
      <c r="B698" s="52" t="n"/>
      <c r="C698" s="52" t="n"/>
      <c r="D698" s="53" t="n"/>
      <c r="E698" s="60" t="n"/>
      <c r="F698" s="53" t="n"/>
      <c r="G698" s="61" t="str">
        <f>IF(OR(COUNTA(A698:E698)=0,D698=""),"",IFERROR(INDEX(ca_fam,MATCH(D698,ca_name,0))&amp;"",""))</f>
        <v/>
      </c>
      <c r="H698" s="58" t="str">
        <f>IF(OR(COUNTA(A698:E698)=0,D698=""),"",IFERROR(INDEX(ca_type,MATCH(D698,ca_name,0))&amp;"",""))</f>
        <v/>
      </c>
      <c r="I698" s="58" t="str">
        <f>IF(COUNTA(A698:E698)=0,"",IF(N(A698)&lt;=0,"Date manquante ou invalide",IF(B698="","Équipe manquante",IF(ISNA(MATCH(B698,eq_code,0)),"Équipe inconnue",IF(C698="","Poste manquant",IF(ISNA(MATCH(C698,po_code,0)),"Poste inconnu",IF(D698="","Cause manquante",IF(ISNA(MATCH(D698,ca_name,0)),"Cause inconnue",IF(H698="","Cause à compléter dans Paramètres",IF(OR(NOT(ISNUMBER(E698)),N(E698)&lt;=0,N(E698)&gt;1440),"Durée invalide",IF(COUNTIFS(sj_date,A698,sj_eq,B698,sj_po,C698)=0,"Pas de saisie journalière ce jour-là","OK")))))))))))</f>
        <v/>
      </c>
      <c r="J698">
        <f>IF(OR(I698="OK",I698="Pas de saisie journalière ce jour-là"),E698,0)</f>
        <v>0.0</v>
      </c>
      <c r="K698">
        <f>IF(AND(J698&gt;0,A698&gt;=p_from,A698&lt;=p_to),1,0)</f>
        <v>0.0</v>
      </c>
      <c r="L698">
        <f>IF(AND(K698=1,OR(pa_po="",C698=pa_po),OR(pa_eq="",B698=pa_eq)),1,0)</f>
        <v>0.0</v>
      </c>
    </row>
    <row r="699">
      <c r="A699" s="51" t="n"/>
      <c r="B699" s="52" t="n"/>
      <c r="C699" s="52" t="n"/>
      <c r="D699" s="53" t="n"/>
      <c r="E699" s="60" t="n"/>
      <c r="F699" s="53" t="n"/>
      <c r="G699" s="61" t="str">
        <f>IF(OR(COUNTA(A699:E699)=0,D699=""),"",IFERROR(INDEX(ca_fam,MATCH(D699,ca_name,0))&amp;"",""))</f>
        <v/>
      </c>
      <c r="H699" s="58" t="str">
        <f>IF(OR(COUNTA(A699:E699)=0,D699=""),"",IFERROR(INDEX(ca_type,MATCH(D699,ca_name,0))&amp;"",""))</f>
        <v/>
      </c>
      <c r="I699" s="58" t="str">
        <f>IF(COUNTA(A699:E699)=0,"",IF(N(A699)&lt;=0,"Date manquante ou invalide",IF(B699="","Équipe manquante",IF(ISNA(MATCH(B699,eq_code,0)),"Équipe inconnue",IF(C699="","Poste manquant",IF(ISNA(MATCH(C699,po_code,0)),"Poste inconnu",IF(D699="","Cause manquante",IF(ISNA(MATCH(D699,ca_name,0)),"Cause inconnue",IF(H699="","Cause à compléter dans Paramètres",IF(OR(NOT(ISNUMBER(E699)),N(E699)&lt;=0,N(E699)&gt;1440),"Durée invalide",IF(COUNTIFS(sj_date,A699,sj_eq,B699,sj_po,C699)=0,"Pas de saisie journalière ce jour-là","OK")))))))))))</f>
        <v/>
      </c>
      <c r="J699">
        <f>IF(OR(I699="OK",I699="Pas de saisie journalière ce jour-là"),E699,0)</f>
        <v>0.0</v>
      </c>
      <c r="K699">
        <f>IF(AND(J699&gt;0,A699&gt;=p_from,A699&lt;=p_to),1,0)</f>
        <v>0.0</v>
      </c>
      <c r="L699">
        <f>IF(AND(K699=1,OR(pa_po="",C699=pa_po),OR(pa_eq="",B699=pa_eq)),1,0)</f>
        <v>0.0</v>
      </c>
    </row>
    <row r="700">
      <c r="A700" s="51" t="n"/>
      <c r="B700" s="52" t="n"/>
      <c r="C700" s="52" t="n"/>
      <c r="D700" s="53" t="n"/>
      <c r="E700" s="60" t="n"/>
      <c r="F700" s="53" t="n"/>
      <c r="G700" s="61" t="str">
        <f>IF(OR(COUNTA(A700:E700)=0,D700=""),"",IFERROR(INDEX(ca_fam,MATCH(D700,ca_name,0))&amp;"",""))</f>
        <v/>
      </c>
      <c r="H700" s="58" t="str">
        <f>IF(OR(COUNTA(A700:E700)=0,D700=""),"",IFERROR(INDEX(ca_type,MATCH(D700,ca_name,0))&amp;"",""))</f>
        <v/>
      </c>
      <c r="I700" s="58" t="str">
        <f>IF(COUNTA(A700:E700)=0,"",IF(N(A700)&lt;=0,"Date manquante ou invalide",IF(B700="","Équipe manquante",IF(ISNA(MATCH(B700,eq_code,0)),"Équipe inconnue",IF(C700="","Poste manquant",IF(ISNA(MATCH(C700,po_code,0)),"Poste inconnu",IF(D700="","Cause manquante",IF(ISNA(MATCH(D700,ca_name,0)),"Cause inconnue",IF(H700="","Cause à compléter dans Paramètres",IF(OR(NOT(ISNUMBER(E700)),N(E700)&lt;=0,N(E700)&gt;1440),"Durée invalide",IF(COUNTIFS(sj_date,A700,sj_eq,B700,sj_po,C700)=0,"Pas de saisie journalière ce jour-là","OK")))))))))))</f>
        <v/>
      </c>
      <c r="J700">
        <f>IF(OR(I700="OK",I700="Pas de saisie journalière ce jour-là"),E700,0)</f>
        <v>0.0</v>
      </c>
      <c r="K700">
        <f>IF(AND(J700&gt;0,A700&gt;=p_from,A700&lt;=p_to),1,0)</f>
        <v>0.0</v>
      </c>
      <c r="L700">
        <f>IF(AND(K700=1,OR(pa_po="",C700=pa_po),OR(pa_eq="",B700=pa_eq)),1,0)</f>
        <v>0.0</v>
      </c>
    </row>
    <row r="701">
      <c r="A701" s="51" t="n"/>
      <c r="B701" s="52" t="n"/>
      <c r="C701" s="52" t="n"/>
      <c r="D701" s="53" t="n"/>
      <c r="E701" s="60" t="n"/>
      <c r="F701" s="53" t="n"/>
      <c r="G701" s="61" t="str">
        <f>IF(OR(COUNTA(A701:E701)=0,D701=""),"",IFERROR(INDEX(ca_fam,MATCH(D701,ca_name,0))&amp;"",""))</f>
        <v/>
      </c>
      <c r="H701" s="58" t="str">
        <f>IF(OR(COUNTA(A701:E701)=0,D701=""),"",IFERROR(INDEX(ca_type,MATCH(D701,ca_name,0))&amp;"",""))</f>
        <v/>
      </c>
      <c r="I701" s="58" t="str">
        <f>IF(COUNTA(A701:E701)=0,"",IF(N(A701)&lt;=0,"Date manquante ou invalide",IF(B701="","Équipe manquante",IF(ISNA(MATCH(B701,eq_code,0)),"Équipe inconnue",IF(C701="","Poste manquant",IF(ISNA(MATCH(C701,po_code,0)),"Poste inconnu",IF(D701="","Cause manquante",IF(ISNA(MATCH(D701,ca_name,0)),"Cause inconnue",IF(H701="","Cause à compléter dans Paramètres",IF(OR(NOT(ISNUMBER(E701)),N(E701)&lt;=0,N(E701)&gt;1440),"Durée invalide",IF(COUNTIFS(sj_date,A701,sj_eq,B701,sj_po,C701)=0,"Pas de saisie journalière ce jour-là","OK")))))))))))</f>
        <v/>
      </c>
      <c r="J701">
        <f>IF(OR(I701="OK",I701="Pas de saisie journalière ce jour-là"),E701,0)</f>
        <v>0.0</v>
      </c>
      <c r="K701">
        <f>IF(AND(J701&gt;0,A701&gt;=p_from,A701&lt;=p_to),1,0)</f>
        <v>0.0</v>
      </c>
      <c r="L701">
        <f>IF(AND(K701=1,OR(pa_po="",C701=pa_po),OR(pa_eq="",B701=pa_eq)),1,0)</f>
        <v>0.0</v>
      </c>
    </row>
    <row r="702">
      <c r="A702" s="51" t="n"/>
      <c r="B702" s="52" t="n"/>
      <c r="C702" s="52" t="n"/>
      <c r="D702" s="53" t="n"/>
      <c r="E702" s="60" t="n"/>
      <c r="F702" s="53" t="n"/>
      <c r="G702" s="61" t="str">
        <f>IF(OR(COUNTA(A702:E702)=0,D702=""),"",IFERROR(INDEX(ca_fam,MATCH(D702,ca_name,0))&amp;"",""))</f>
        <v/>
      </c>
      <c r="H702" s="58" t="str">
        <f>IF(OR(COUNTA(A702:E702)=0,D702=""),"",IFERROR(INDEX(ca_type,MATCH(D702,ca_name,0))&amp;"",""))</f>
        <v/>
      </c>
      <c r="I702" s="58" t="str">
        <f>IF(COUNTA(A702:E702)=0,"",IF(N(A702)&lt;=0,"Date manquante ou invalide",IF(B702="","Équipe manquante",IF(ISNA(MATCH(B702,eq_code,0)),"Équipe inconnue",IF(C702="","Poste manquant",IF(ISNA(MATCH(C702,po_code,0)),"Poste inconnu",IF(D702="","Cause manquante",IF(ISNA(MATCH(D702,ca_name,0)),"Cause inconnue",IF(H702="","Cause à compléter dans Paramètres",IF(OR(NOT(ISNUMBER(E702)),N(E702)&lt;=0,N(E702)&gt;1440),"Durée invalide",IF(COUNTIFS(sj_date,A702,sj_eq,B702,sj_po,C702)=0,"Pas de saisie journalière ce jour-là","OK")))))))))))</f>
        <v/>
      </c>
      <c r="J702">
        <f>IF(OR(I702="OK",I702="Pas de saisie journalière ce jour-là"),E702,0)</f>
        <v>0.0</v>
      </c>
      <c r="K702">
        <f>IF(AND(J702&gt;0,A702&gt;=p_from,A702&lt;=p_to),1,0)</f>
        <v>0.0</v>
      </c>
      <c r="L702">
        <f>IF(AND(K702=1,OR(pa_po="",C702=pa_po),OR(pa_eq="",B702=pa_eq)),1,0)</f>
        <v>0.0</v>
      </c>
    </row>
    <row r="703">
      <c r="A703" s="51" t="n"/>
      <c r="B703" s="52" t="n"/>
      <c r="C703" s="52" t="n"/>
      <c r="D703" s="53" t="n"/>
      <c r="E703" s="60" t="n"/>
      <c r="F703" s="53" t="n"/>
      <c r="G703" s="61" t="str">
        <f>IF(OR(COUNTA(A703:E703)=0,D703=""),"",IFERROR(INDEX(ca_fam,MATCH(D703,ca_name,0))&amp;"",""))</f>
        <v/>
      </c>
      <c r="H703" s="58" t="str">
        <f>IF(OR(COUNTA(A703:E703)=0,D703=""),"",IFERROR(INDEX(ca_type,MATCH(D703,ca_name,0))&amp;"",""))</f>
        <v/>
      </c>
      <c r="I703" s="58" t="str">
        <f>IF(COUNTA(A703:E703)=0,"",IF(N(A703)&lt;=0,"Date manquante ou invalide",IF(B703="","Équipe manquante",IF(ISNA(MATCH(B703,eq_code,0)),"Équipe inconnue",IF(C703="","Poste manquant",IF(ISNA(MATCH(C703,po_code,0)),"Poste inconnu",IF(D703="","Cause manquante",IF(ISNA(MATCH(D703,ca_name,0)),"Cause inconnue",IF(H703="","Cause à compléter dans Paramètres",IF(OR(NOT(ISNUMBER(E703)),N(E703)&lt;=0,N(E703)&gt;1440),"Durée invalide",IF(COUNTIFS(sj_date,A703,sj_eq,B703,sj_po,C703)=0,"Pas de saisie journalière ce jour-là","OK")))))))))))</f>
        <v/>
      </c>
      <c r="J703">
        <f>IF(OR(I703="OK",I703="Pas de saisie journalière ce jour-là"),E703,0)</f>
        <v>0.0</v>
      </c>
      <c r="K703">
        <f>IF(AND(J703&gt;0,A703&gt;=p_from,A703&lt;=p_to),1,0)</f>
        <v>0.0</v>
      </c>
      <c r="L703">
        <f>IF(AND(K703=1,OR(pa_po="",C703=pa_po),OR(pa_eq="",B703=pa_eq)),1,0)</f>
        <v>0.0</v>
      </c>
    </row>
    <row r="704">
      <c r="A704" s="51" t="n"/>
      <c r="B704" s="52" t="n"/>
      <c r="C704" s="52" t="n"/>
      <c r="D704" s="53" t="n"/>
      <c r="E704" s="60" t="n"/>
      <c r="F704" s="53" t="n"/>
      <c r="G704" s="61" t="str">
        <f>IF(OR(COUNTA(A704:E704)=0,D704=""),"",IFERROR(INDEX(ca_fam,MATCH(D704,ca_name,0))&amp;"",""))</f>
        <v/>
      </c>
      <c r="H704" s="58" t="str">
        <f>IF(OR(COUNTA(A704:E704)=0,D704=""),"",IFERROR(INDEX(ca_type,MATCH(D704,ca_name,0))&amp;"",""))</f>
        <v/>
      </c>
      <c r="I704" s="58" t="str">
        <f>IF(COUNTA(A704:E704)=0,"",IF(N(A704)&lt;=0,"Date manquante ou invalide",IF(B704="","Équipe manquante",IF(ISNA(MATCH(B704,eq_code,0)),"Équipe inconnue",IF(C704="","Poste manquant",IF(ISNA(MATCH(C704,po_code,0)),"Poste inconnu",IF(D704="","Cause manquante",IF(ISNA(MATCH(D704,ca_name,0)),"Cause inconnue",IF(H704="","Cause à compléter dans Paramètres",IF(OR(NOT(ISNUMBER(E704)),N(E704)&lt;=0,N(E704)&gt;1440),"Durée invalide",IF(COUNTIFS(sj_date,A704,sj_eq,B704,sj_po,C704)=0,"Pas de saisie journalière ce jour-là","OK")))))))))))</f>
        <v/>
      </c>
      <c r="J704">
        <f>IF(OR(I704="OK",I704="Pas de saisie journalière ce jour-là"),E704,0)</f>
        <v>0.0</v>
      </c>
      <c r="K704">
        <f>IF(AND(J704&gt;0,A704&gt;=p_from,A704&lt;=p_to),1,0)</f>
        <v>0.0</v>
      </c>
      <c r="L704">
        <f>IF(AND(K704=1,OR(pa_po="",C704=pa_po),OR(pa_eq="",B704=pa_eq)),1,0)</f>
        <v>0.0</v>
      </c>
    </row>
    <row r="705">
      <c r="A705" s="51" t="n"/>
      <c r="B705" s="52" t="n"/>
      <c r="C705" s="52" t="n"/>
      <c r="D705" s="53" t="n"/>
      <c r="E705" s="60" t="n"/>
      <c r="F705" s="53" t="n"/>
      <c r="G705" s="61" t="str">
        <f>IF(OR(COUNTA(A705:E705)=0,D705=""),"",IFERROR(INDEX(ca_fam,MATCH(D705,ca_name,0))&amp;"",""))</f>
        <v/>
      </c>
      <c r="H705" s="58" t="str">
        <f>IF(OR(COUNTA(A705:E705)=0,D705=""),"",IFERROR(INDEX(ca_type,MATCH(D705,ca_name,0))&amp;"",""))</f>
        <v/>
      </c>
      <c r="I705" s="58" t="str">
        <f>IF(COUNTA(A705:E705)=0,"",IF(N(A705)&lt;=0,"Date manquante ou invalide",IF(B705="","Équipe manquante",IF(ISNA(MATCH(B705,eq_code,0)),"Équipe inconnue",IF(C705="","Poste manquant",IF(ISNA(MATCH(C705,po_code,0)),"Poste inconnu",IF(D705="","Cause manquante",IF(ISNA(MATCH(D705,ca_name,0)),"Cause inconnue",IF(H705="","Cause à compléter dans Paramètres",IF(OR(NOT(ISNUMBER(E705)),N(E705)&lt;=0,N(E705)&gt;1440),"Durée invalide",IF(COUNTIFS(sj_date,A705,sj_eq,B705,sj_po,C705)=0,"Pas de saisie journalière ce jour-là","OK")))))))))))</f>
        <v/>
      </c>
      <c r="J705">
        <f>IF(OR(I705="OK",I705="Pas de saisie journalière ce jour-là"),E705,0)</f>
        <v>0.0</v>
      </c>
      <c r="K705">
        <f>IF(AND(J705&gt;0,A705&gt;=p_from,A705&lt;=p_to),1,0)</f>
        <v>0.0</v>
      </c>
      <c r="L705">
        <f>IF(AND(K705=1,OR(pa_po="",C705=pa_po),OR(pa_eq="",B705=pa_eq)),1,0)</f>
        <v>0.0</v>
      </c>
    </row>
    <row r="706">
      <c r="A706" s="51" t="n"/>
      <c r="B706" s="52" t="n"/>
      <c r="C706" s="52" t="n"/>
      <c r="D706" s="53" t="n"/>
      <c r="E706" s="60" t="n"/>
      <c r="F706" s="53" t="n"/>
      <c r="G706" s="61" t="str">
        <f>IF(OR(COUNTA(A706:E706)=0,D706=""),"",IFERROR(INDEX(ca_fam,MATCH(D706,ca_name,0))&amp;"",""))</f>
        <v/>
      </c>
      <c r="H706" s="58" t="str">
        <f>IF(OR(COUNTA(A706:E706)=0,D706=""),"",IFERROR(INDEX(ca_type,MATCH(D706,ca_name,0))&amp;"",""))</f>
        <v/>
      </c>
      <c r="I706" s="58" t="str">
        <f>IF(COUNTA(A706:E706)=0,"",IF(N(A706)&lt;=0,"Date manquante ou invalide",IF(B706="","Équipe manquante",IF(ISNA(MATCH(B706,eq_code,0)),"Équipe inconnue",IF(C706="","Poste manquant",IF(ISNA(MATCH(C706,po_code,0)),"Poste inconnu",IF(D706="","Cause manquante",IF(ISNA(MATCH(D706,ca_name,0)),"Cause inconnue",IF(H706="","Cause à compléter dans Paramètres",IF(OR(NOT(ISNUMBER(E706)),N(E706)&lt;=0,N(E706)&gt;1440),"Durée invalide",IF(COUNTIFS(sj_date,A706,sj_eq,B706,sj_po,C706)=0,"Pas de saisie journalière ce jour-là","OK")))))))))))</f>
        <v/>
      </c>
      <c r="J706">
        <f>IF(OR(I706="OK",I706="Pas de saisie journalière ce jour-là"),E706,0)</f>
        <v>0.0</v>
      </c>
      <c r="K706">
        <f>IF(AND(J706&gt;0,A706&gt;=p_from,A706&lt;=p_to),1,0)</f>
        <v>0.0</v>
      </c>
      <c r="L706">
        <f>IF(AND(K706=1,OR(pa_po="",C706=pa_po),OR(pa_eq="",B706=pa_eq)),1,0)</f>
        <v>0.0</v>
      </c>
    </row>
    <row r="707">
      <c r="A707" s="51" t="n"/>
      <c r="B707" s="52" t="n"/>
      <c r="C707" s="52" t="n"/>
      <c r="D707" s="53" t="n"/>
      <c r="E707" s="60" t="n"/>
      <c r="F707" s="53" t="n"/>
      <c r="G707" s="61" t="str">
        <f>IF(OR(COUNTA(A707:E707)=0,D707=""),"",IFERROR(INDEX(ca_fam,MATCH(D707,ca_name,0))&amp;"",""))</f>
        <v/>
      </c>
      <c r="H707" s="58" t="str">
        <f>IF(OR(COUNTA(A707:E707)=0,D707=""),"",IFERROR(INDEX(ca_type,MATCH(D707,ca_name,0))&amp;"",""))</f>
        <v/>
      </c>
      <c r="I707" s="58" t="str">
        <f>IF(COUNTA(A707:E707)=0,"",IF(N(A707)&lt;=0,"Date manquante ou invalide",IF(B707="","Équipe manquante",IF(ISNA(MATCH(B707,eq_code,0)),"Équipe inconnue",IF(C707="","Poste manquant",IF(ISNA(MATCH(C707,po_code,0)),"Poste inconnu",IF(D707="","Cause manquante",IF(ISNA(MATCH(D707,ca_name,0)),"Cause inconnue",IF(H707="","Cause à compléter dans Paramètres",IF(OR(NOT(ISNUMBER(E707)),N(E707)&lt;=0,N(E707)&gt;1440),"Durée invalide",IF(COUNTIFS(sj_date,A707,sj_eq,B707,sj_po,C707)=0,"Pas de saisie journalière ce jour-là","OK")))))))))))</f>
        <v/>
      </c>
      <c r="J707">
        <f>IF(OR(I707="OK",I707="Pas de saisie journalière ce jour-là"),E707,0)</f>
        <v>0.0</v>
      </c>
      <c r="K707">
        <f>IF(AND(J707&gt;0,A707&gt;=p_from,A707&lt;=p_to),1,0)</f>
        <v>0.0</v>
      </c>
      <c r="L707">
        <f>IF(AND(K707=1,OR(pa_po="",C707=pa_po),OR(pa_eq="",B707=pa_eq)),1,0)</f>
        <v>0.0</v>
      </c>
    </row>
    <row r="708">
      <c r="A708" s="51" t="n"/>
      <c r="B708" s="52" t="n"/>
      <c r="C708" s="52" t="n"/>
      <c r="D708" s="53" t="n"/>
      <c r="E708" s="60" t="n"/>
      <c r="F708" s="53" t="n"/>
      <c r="G708" s="61" t="str">
        <f>IF(OR(COUNTA(A708:E708)=0,D708=""),"",IFERROR(INDEX(ca_fam,MATCH(D708,ca_name,0))&amp;"",""))</f>
        <v/>
      </c>
      <c r="H708" s="58" t="str">
        <f>IF(OR(COUNTA(A708:E708)=0,D708=""),"",IFERROR(INDEX(ca_type,MATCH(D708,ca_name,0))&amp;"",""))</f>
        <v/>
      </c>
      <c r="I708" s="58" t="str">
        <f>IF(COUNTA(A708:E708)=0,"",IF(N(A708)&lt;=0,"Date manquante ou invalide",IF(B708="","Équipe manquante",IF(ISNA(MATCH(B708,eq_code,0)),"Équipe inconnue",IF(C708="","Poste manquant",IF(ISNA(MATCH(C708,po_code,0)),"Poste inconnu",IF(D708="","Cause manquante",IF(ISNA(MATCH(D708,ca_name,0)),"Cause inconnue",IF(H708="","Cause à compléter dans Paramètres",IF(OR(NOT(ISNUMBER(E708)),N(E708)&lt;=0,N(E708)&gt;1440),"Durée invalide",IF(COUNTIFS(sj_date,A708,sj_eq,B708,sj_po,C708)=0,"Pas de saisie journalière ce jour-là","OK")))))))))))</f>
        <v/>
      </c>
      <c r="J708">
        <f>IF(OR(I708="OK",I708="Pas de saisie journalière ce jour-là"),E708,0)</f>
        <v>0.0</v>
      </c>
      <c r="K708">
        <f>IF(AND(J708&gt;0,A708&gt;=p_from,A708&lt;=p_to),1,0)</f>
        <v>0.0</v>
      </c>
      <c r="L708">
        <f>IF(AND(K708=1,OR(pa_po="",C708=pa_po),OR(pa_eq="",B708=pa_eq)),1,0)</f>
        <v>0.0</v>
      </c>
    </row>
    <row r="709">
      <c r="A709" s="51" t="n"/>
      <c r="B709" s="52" t="n"/>
      <c r="C709" s="52" t="n"/>
      <c r="D709" s="53" t="n"/>
      <c r="E709" s="60" t="n"/>
      <c r="F709" s="53" t="n"/>
      <c r="G709" s="61" t="str">
        <f>IF(OR(COUNTA(A709:E709)=0,D709=""),"",IFERROR(INDEX(ca_fam,MATCH(D709,ca_name,0))&amp;"",""))</f>
        <v/>
      </c>
      <c r="H709" s="58" t="str">
        <f>IF(OR(COUNTA(A709:E709)=0,D709=""),"",IFERROR(INDEX(ca_type,MATCH(D709,ca_name,0))&amp;"",""))</f>
        <v/>
      </c>
      <c r="I709" s="58" t="str">
        <f>IF(COUNTA(A709:E709)=0,"",IF(N(A709)&lt;=0,"Date manquante ou invalide",IF(B709="","Équipe manquante",IF(ISNA(MATCH(B709,eq_code,0)),"Équipe inconnue",IF(C709="","Poste manquant",IF(ISNA(MATCH(C709,po_code,0)),"Poste inconnu",IF(D709="","Cause manquante",IF(ISNA(MATCH(D709,ca_name,0)),"Cause inconnue",IF(H709="","Cause à compléter dans Paramètres",IF(OR(NOT(ISNUMBER(E709)),N(E709)&lt;=0,N(E709)&gt;1440),"Durée invalide",IF(COUNTIFS(sj_date,A709,sj_eq,B709,sj_po,C709)=0,"Pas de saisie journalière ce jour-là","OK")))))))))))</f>
        <v/>
      </c>
      <c r="J709">
        <f>IF(OR(I709="OK",I709="Pas de saisie journalière ce jour-là"),E709,0)</f>
        <v>0.0</v>
      </c>
      <c r="K709">
        <f>IF(AND(J709&gt;0,A709&gt;=p_from,A709&lt;=p_to),1,0)</f>
        <v>0.0</v>
      </c>
      <c r="L709">
        <f>IF(AND(K709=1,OR(pa_po="",C709=pa_po),OR(pa_eq="",B709=pa_eq)),1,0)</f>
        <v>0.0</v>
      </c>
    </row>
    <row r="710">
      <c r="A710" s="51" t="n"/>
      <c r="B710" s="52" t="n"/>
      <c r="C710" s="52" t="n"/>
      <c r="D710" s="53" t="n"/>
      <c r="E710" s="60" t="n"/>
      <c r="F710" s="53" t="n"/>
      <c r="G710" s="61" t="str">
        <f>IF(OR(COUNTA(A710:E710)=0,D710=""),"",IFERROR(INDEX(ca_fam,MATCH(D710,ca_name,0))&amp;"",""))</f>
        <v/>
      </c>
      <c r="H710" s="58" t="str">
        <f>IF(OR(COUNTA(A710:E710)=0,D710=""),"",IFERROR(INDEX(ca_type,MATCH(D710,ca_name,0))&amp;"",""))</f>
        <v/>
      </c>
      <c r="I710" s="58" t="str">
        <f>IF(COUNTA(A710:E710)=0,"",IF(N(A710)&lt;=0,"Date manquante ou invalide",IF(B710="","Équipe manquante",IF(ISNA(MATCH(B710,eq_code,0)),"Équipe inconnue",IF(C710="","Poste manquant",IF(ISNA(MATCH(C710,po_code,0)),"Poste inconnu",IF(D710="","Cause manquante",IF(ISNA(MATCH(D710,ca_name,0)),"Cause inconnue",IF(H710="","Cause à compléter dans Paramètres",IF(OR(NOT(ISNUMBER(E710)),N(E710)&lt;=0,N(E710)&gt;1440),"Durée invalide",IF(COUNTIFS(sj_date,A710,sj_eq,B710,sj_po,C710)=0,"Pas de saisie journalière ce jour-là","OK")))))))))))</f>
        <v/>
      </c>
      <c r="J710">
        <f>IF(OR(I710="OK",I710="Pas de saisie journalière ce jour-là"),E710,0)</f>
        <v>0.0</v>
      </c>
      <c r="K710">
        <f>IF(AND(J710&gt;0,A710&gt;=p_from,A710&lt;=p_to),1,0)</f>
        <v>0.0</v>
      </c>
      <c r="L710">
        <f>IF(AND(K710=1,OR(pa_po="",C710=pa_po),OR(pa_eq="",B710=pa_eq)),1,0)</f>
        <v>0.0</v>
      </c>
    </row>
    <row r="711">
      <c r="A711" s="51" t="n"/>
      <c r="B711" s="52" t="n"/>
      <c r="C711" s="52" t="n"/>
      <c r="D711" s="53" t="n"/>
      <c r="E711" s="60" t="n"/>
      <c r="F711" s="53" t="n"/>
      <c r="G711" s="61" t="str">
        <f>IF(OR(COUNTA(A711:E711)=0,D711=""),"",IFERROR(INDEX(ca_fam,MATCH(D711,ca_name,0))&amp;"",""))</f>
        <v/>
      </c>
      <c r="H711" s="58" t="str">
        <f>IF(OR(COUNTA(A711:E711)=0,D711=""),"",IFERROR(INDEX(ca_type,MATCH(D711,ca_name,0))&amp;"",""))</f>
        <v/>
      </c>
      <c r="I711" s="58" t="str">
        <f>IF(COUNTA(A711:E711)=0,"",IF(N(A711)&lt;=0,"Date manquante ou invalide",IF(B711="","Équipe manquante",IF(ISNA(MATCH(B711,eq_code,0)),"Équipe inconnue",IF(C711="","Poste manquant",IF(ISNA(MATCH(C711,po_code,0)),"Poste inconnu",IF(D711="","Cause manquante",IF(ISNA(MATCH(D711,ca_name,0)),"Cause inconnue",IF(H711="","Cause à compléter dans Paramètres",IF(OR(NOT(ISNUMBER(E711)),N(E711)&lt;=0,N(E711)&gt;1440),"Durée invalide",IF(COUNTIFS(sj_date,A711,sj_eq,B711,sj_po,C711)=0,"Pas de saisie journalière ce jour-là","OK")))))))))))</f>
        <v/>
      </c>
      <c r="J711">
        <f>IF(OR(I711="OK",I711="Pas de saisie journalière ce jour-là"),E711,0)</f>
        <v>0.0</v>
      </c>
      <c r="K711">
        <f>IF(AND(J711&gt;0,A711&gt;=p_from,A711&lt;=p_to),1,0)</f>
        <v>0.0</v>
      </c>
      <c r="L711">
        <f>IF(AND(K711=1,OR(pa_po="",C711=pa_po),OR(pa_eq="",B711=pa_eq)),1,0)</f>
        <v>0.0</v>
      </c>
    </row>
    <row r="712">
      <c r="A712" s="51" t="n"/>
      <c r="B712" s="52" t="n"/>
      <c r="C712" s="52" t="n"/>
      <c r="D712" s="53" t="n"/>
      <c r="E712" s="60" t="n"/>
      <c r="F712" s="53" t="n"/>
      <c r="G712" s="61" t="str">
        <f>IF(OR(COUNTA(A712:E712)=0,D712=""),"",IFERROR(INDEX(ca_fam,MATCH(D712,ca_name,0))&amp;"",""))</f>
        <v/>
      </c>
      <c r="H712" s="58" t="str">
        <f>IF(OR(COUNTA(A712:E712)=0,D712=""),"",IFERROR(INDEX(ca_type,MATCH(D712,ca_name,0))&amp;"",""))</f>
        <v/>
      </c>
      <c r="I712" s="58" t="str">
        <f>IF(COUNTA(A712:E712)=0,"",IF(N(A712)&lt;=0,"Date manquante ou invalide",IF(B712="","Équipe manquante",IF(ISNA(MATCH(B712,eq_code,0)),"Équipe inconnue",IF(C712="","Poste manquant",IF(ISNA(MATCH(C712,po_code,0)),"Poste inconnu",IF(D712="","Cause manquante",IF(ISNA(MATCH(D712,ca_name,0)),"Cause inconnue",IF(H712="","Cause à compléter dans Paramètres",IF(OR(NOT(ISNUMBER(E712)),N(E712)&lt;=0,N(E712)&gt;1440),"Durée invalide",IF(COUNTIFS(sj_date,A712,sj_eq,B712,sj_po,C712)=0,"Pas de saisie journalière ce jour-là","OK")))))))))))</f>
        <v/>
      </c>
      <c r="J712">
        <f>IF(OR(I712="OK",I712="Pas de saisie journalière ce jour-là"),E712,0)</f>
        <v>0.0</v>
      </c>
      <c r="K712">
        <f>IF(AND(J712&gt;0,A712&gt;=p_from,A712&lt;=p_to),1,0)</f>
        <v>0.0</v>
      </c>
      <c r="L712">
        <f>IF(AND(K712=1,OR(pa_po="",C712=pa_po),OR(pa_eq="",B712=pa_eq)),1,0)</f>
        <v>0.0</v>
      </c>
    </row>
    <row r="713">
      <c r="A713" s="51" t="n"/>
      <c r="B713" s="52" t="n"/>
      <c r="C713" s="52" t="n"/>
      <c r="D713" s="53" t="n"/>
      <c r="E713" s="60" t="n"/>
      <c r="F713" s="53" t="n"/>
      <c r="G713" s="61" t="str">
        <f>IF(OR(COUNTA(A713:E713)=0,D713=""),"",IFERROR(INDEX(ca_fam,MATCH(D713,ca_name,0))&amp;"",""))</f>
        <v/>
      </c>
      <c r="H713" s="58" t="str">
        <f>IF(OR(COUNTA(A713:E713)=0,D713=""),"",IFERROR(INDEX(ca_type,MATCH(D713,ca_name,0))&amp;"",""))</f>
        <v/>
      </c>
      <c r="I713" s="58" t="str">
        <f>IF(COUNTA(A713:E713)=0,"",IF(N(A713)&lt;=0,"Date manquante ou invalide",IF(B713="","Équipe manquante",IF(ISNA(MATCH(B713,eq_code,0)),"Équipe inconnue",IF(C713="","Poste manquant",IF(ISNA(MATCH(C713,po_code,0)),"Poste inconnu",IF(D713="","Cause manquante",IF(ISNA(MATCH(D713,ca_name,0)),"Cause inconnue",IF(H713="","Cause à compléter dans Paramètres",IF(OR(NOT(ISNUMBER(E713)),N(E713)&lt;=0,N(E713)&gt;1440),"Durée invalide",IF(COUNTIFS(sj_date,A713,sj_eq,B713,sj_po,C713)=0,"Pas de saisie journalière ce jour-là","OK")))))))))))</f>
        <v/>
      </c>
      <c r="J713">
        <f>IF(OR(I713="OK",I713="Pas de saisie journalière ce jour-là"),E713,0)</f>
        <v>0.0</v>
      </c>
      <c r="K713">
        <f>IF(AND(J713&gt;0,A713&gt;=p_from,A713&lt;=p_to),1,0)</f>
        <v>0.0</v>
      </c>
      <c r="L713">
        <f>IF(AND(K713=1,OR(pa_po="",C713=pa_po),OR(pa_eq="",B713=pa_eq)),1,0)</f>
        <v>0.0</v>
      </c>
    </row>
    <row r="714">
      <c r="A714" s="51" t="n"/>
      <c r="B714" s="52" t="n"/>
      <c r="C714" s="52" t="n"/>
      <c r="D714" s="53" t="n"/>
      <c r="E714" s="60" t="n"/>
      <c r="F714" s="53" t="n"/>
      <c r="G714" s="61" t="str">
        <f>IF(OR(COUNTA(A714:E714)=0,D714=""),"",IFERROR(INDEX(ca_fam,MATCH(D714,ca_name,0))&amp;"",""))</f>
        <v/>
      </c>
      <c r="H714" s="58" t="str">
        <f>IF(OR(COUNTA(A714:E714)=0,D714=""),"",IFERROR(INDEX(ca_type,MATCH(D714,ca_name,0))&amp;"",""))</f>
        <v/>
      </c>
      <c r="I714" s="58" t="str">
        <f>IF(COUNTA(A714:E714)=0,"",IF(N(A714)&lt;=0,"Date manquante ou invalide",IF(B714="","Équipe manquante",IF(ISNA(MATCH(B714,eq_code,0)),"Équipe inconnue",IF(C714="","Poste manquant",IF(ISNA(MATCH(C714,po_code,0)),"Poste inconnu",IF(D714="","Cause manquante",IF(ISNA(MATCH(D714,ca_name,0)),"Cause inconnue",IF(H714="","Cause à compléter dans Paramètres",IF(OR(NOT(ISNUMBER(E714)),N(E714)&lt;=0,N(E714)&gt;1440),"Durée invalide",IF(COUNTIFS(sj_date,A714,sj_eq,B714,sj_po,C714)=0,"Pas de saisie journalière ce jour-là","OK")))))))))))</f>
        <v/>
      </c>
      <c r="J714">
        <f>IF(OR(I714="OK",I714="Pas de saisie journalière ce jour-là"),E714,0)</f>
        <v>0.0</v>
      </c>
      <c r="K714">
        <f>IF(AND(J714&gt;0,A714&gt;=p_from,A714&lt;=p_to),1,0)</f>
        <v>0.0</v>
      </c>
      <c r="L714">
        <f>IF(AND(K714=1,OR(pa_po="",C714=pa_po),OR(pa_eq="",B714=pa_eq)),1,0)</f>
        <v>0.0</v>
      </c>
    </row>
    <row r="715">
      <c r="A715" s="51" t="n"/>
      <c r="B715" s="52" t="n"/>
      <c r="C715" s="52" t="n"/>
      <c r="D715" s="53" t="n"/>
      <c r="E715" s="60" t="n"/>
      <c r="F715" s="53" t="n"/>
      <c r="G715" s="61" t="str">
        <f>IF(OR(COUNTA(A715:E715)=0,D715=""),"",IFERROR(INDEX(ca_fam,MATCH(D715,ca_name,0))&amp;"",""))</f>
        <v/>
      </c>
      <c r="H715" s="58" t="str">
        <f>IF(OR(COUNTA(A715:E715)=0,D715=""),"",IFERROR(INDEX(ca_type,MATCH(D715,ca_name,0))&amp;"",""))</f>
        <v/>
      </c>
      <c r="I715" s="58" t="str">
        <f>IF(COUNTA(A715:E715)=0,"",IF(N(A715)&lt;=0,"Date manquante ou invalide",IF(B715="","Équipe manquante",IF(ISNA(MATCH(B715,eq_code,0)),"Équipe inconnue",IF(C715="","Poste manquant",IF(ISNA(MATCH(C715,po_code,0)),"Poste inconnu",IF(D715="","Cause manquante",IF(ISNA(MATCH(D715,ca_name,0)),"Cause inconnue",IF(H715="","Cause à compléter dans Paramètres",IF(OR(NOT(ISNUMBER(E715)),N(E715)&lt;=0,N(E715)&gt;1440),"Durée invalide",IF(COUNTIFS(sj_date,A715,sj_eq,B715,sj_po,C715)=0,"Pas de saisie journalière ce jour-là","OK")))))))))))</f>
        <v/>
      </c>
      <c r="J715">
        <f>IF(OR(I715="OK",I715="Pas de saisie journalière ce jour-là"),E715,0)</f>
        <v>0.0</v>
      </c>
      <c r="K715">
        <f>IF(AND(J715&gt;0,A715&gt;=p_from,A715&lt;=p_to),1,0)</f>
        <v>0.0</v>
      </c>
      <c r="L715">
        <f>IF(AND(K715=1,OR(pa_po="",C715=pa_po),OR(pa_eq="",B715=pa_eq)),1,0)</f>
        <v>0.0</v>
      </c>
    </row>
    <row r="716">
      <c r="A716" s="51" t="n"/>
      <c r="B716" s="52" t="n"/>
      <c r="C716" s="52" t="n"/>
      <c r="D716" s="53" t="n"/>
      <c r="E716" s="60" t="n"/>
      <c r="F716" s="53" t="n"/>
      <c r="G716" s="61" t="str">
        <f>IF(OR(COUNTA(A716:E716)=0,D716=""),"",IFERROR(INDEX(ca_fam,MATCH(D716,ca_name,0))&amp;"",""))</f>
        <v/>
      </c>
      <c r="H716" s="58" t="str">
        <f>IF(OR(COUNTA(A716:E716)=0,D716=""),"",IFERROR(INDEX(ca_type,MATCH(D716,ca_name,0))&amp;"",""))</f>
        <v/>
      </c>
      <c r="I716" s="58" t="str">
        <f>IF(COUNTA(A716:E716)=0,"",IF(N(A716)&lt;=0,"Date manquante ou invalide",IF(B716="","Équipe manquante",IF(ISNA(MATCH(B716,eq_code,0)),"Équipe inconnue",IF(C716="","Poste manquant",IF(ISNA(MATCH(C716,po_code,0)),"Poste inconnu",IF(D716="","Cause manquante",IF(ISNA(MATCH(D716,ca_name,0)),"Cause inconnue",IF(H716="","Cause à compléter dans Paramètres",IF(OR(NOT(ISNUMBER(E716)),N(E716)&lt;=0,N(E716)&gt;1440),"Durée invalide",IF(COUNTIFS(sj_date,A716,sj_eq,B716,sj_po,C716)=0,"Pas de saisie journalière ce jour-là","OK")))))))))))</f>
        <v/>
      </c>
      <c r="J716">
        <f>IF(OR(I716="OK",I716="Pas de saisie journalière ce jour-là"),E716,0)</f>
        <v>0.0</v>
      </c>
      <c r="K716">
        <f>IF(AND(J716&gt;0,A716&gt;=p_from,A716&lt;=p_to),1,0)</f>
        <v>0.0</v>
      </c>
      <c r="L716">
        <f>IF(AND(K716=1,OR(pa_po="",C716=pa_po),OR(pa_eq="",B716=pa_eq)),1,0)</f>
        <v>0.0</v>
      </c>
    </row>
    <row r="717">
      <c r="A717" s="51" t="n"/>
      <c r="B717" s="52" t="n"/>
      <c r="C717" s="52" t="n"/>
      <c r="D717" s="53" t="n"/>
      <c r="E717" s="60" t="n"/>
      <c r="F717" s="53" t="n"/>
      <c r="G717" s="61" t="str">
        <f>IF(OR(COUNTA(A717:E717)=0,D717=""),"",IFERROR(INDEX(ca_fam,MATCH(D717,ca_name,0))&amp;"",""))</f>
        <v/>
      </c>
      <c r="H717" s="58" t="str">
        <f>IF(OR(COUNTA(A717:E717)=0,D717=""),"",IFERROR(INDEX(ca_type,MATCH(D717,ca_name,0))&amp;"",""))</f>
        <v/>
      </c>
      <c r="I717" s="58" t="str">
        <f>IF(COUNTA(A717:E717)=0,"",IF(N(A717)&lt;=0,"Date manquante ou invalide",IF(B717="","Équipe manquante",IF(ISNA(MATCH(B717,eq_code,0)),"Équipe inconnue",IF(C717="","Poste manquant",IF(ISNA(MATCH(C717,po_code,0)),"Poste inconnu",IF(D717="","Cause manquante",IF(ISNA(MATCH(D717,ca_name,0)),"Cause inconnue",IF(H717="","Cause à compléter dans Paramètres",IF(OR(NOT(ISNUMBER(E717)),N(E717)&lt;=0,N(E717)&gt;1440),"Durée invalide",IF(COUNTIFS(sj_date,A717,sj_eq,B717,sj_po,C717)=0,"Pas de saisie journalière ce jour-là","OK")))))))))))</f>
        <v/>
      </c>
      <c r="J717">
        <f>IF(OR(I717="OK",I717="Pas de saisie journalière ce jour-là"),E717,0)</f>
        <v>0.0</v>
      </c>
      <c r="K717">
        <f>IF(AND(J717&gt;0,A717&gt;=p_from,A717&lt;=p_to),1,0)</f>
        <v>0.0</v>
      </c>
      <c r="L717">
        <f>IF(AND(K717=1,OR(pa_po="",C717=pa_po),OR(pa_eq="",B717=pa_eq)),1,0)</f>
        <v>0.0</v>
      </c>
    </row>
    <row r="718">
      <c r="A718" s="51" t="n"/>
      <c r="B718" s="52" t="n"/>
      <c r="C718" s="52" t="n"/>
      <c r="D718" s="53" t="n"/>
      <c r="E718" s="60" t="n"/>
      <c r="F718" s="53" t="n"/>
      <c r="G718" s="61" t="str">
        <f>IF(OR(COUNTA(A718:E718)=0,D718=""),"",IFERROR(INDEX(ca_fam,MATCH(D718,ca_name,0))&amp;"",""))</f>
        <v/>
      </c>
      <c r="H718" s="58" t="str">
        <f>IF(OR(COUNTA(A718:E718)=0,D718=""),"",IFERROR(INDEX(ca_type,MATCH(D718,ca_name,0))&amp;"",""))</f>
        <v/>
      </c>
      <c r="I718" s="58" t="str">
        <f>IF(COUNTA(A718:E718)=0,"",IF(N(A718)&lt;=0,"Date manquante ou invalide",IF(B718="","Équipe manquante",IF(ISNA(MATCH(B718,eq_code,0)),"Équipe inconnue",IF(C718="","Poste manquant",IF(ISNA(MATCH(C718,po_code,0)),"Poste inconnu",IF(D718="","Cause manquante",IF(ISNA(MATCH(D718,ca_name,0)),"Cause inconnue",IF(H718="","Cause à compléter dans Paramètres",IF(OR(NOT(ISNUMBER(E718)),N(E718)&lt;=0,N(E718)&gt;1440),"Durée invalide",IF(COUNTIFS(sj_date,A718,sj_eq,B718,sj_po,C718)=0,"Pas de saisie journalière ce jour-là","OK")))))))))))</f>
        <v/>
      </c>
      <c r="J718">
        <f>IF(OR(I718="OK",I718="Pas de saisie journalière ce jour-là"),E718,0)</f>
        <v>0.0</v>
      </c>
      <c r="K718">
        <f>IF(AND(J718&gt;0,A718&gt;=p_from,A718&lt;=p_to),1,0)</f>
        <v>0.0</v>
      </c>
      <c r="L718">
        <f>IF(AND(K718=1,OR(pa_po="",C718=pa_po),OR(pa_eq="",B718=pa_eq)),1,0)</f>
        <v>0.0</v>
      </c>
    </row>
    <row r="719">
      <c r="A719" s="51" t="n"/>
      <c r="B719" s="52" t="n"/>
      <c r="C719" s="52" t="n"/>
      <c r="D719" s="53" t="n"/>
      <c r="E719" s="60" t="n"/>
      <c r="F719" s="53" t="n"/>
      <c r="G719" s="61" t="str">
        <f>IF(OR(COUNTA(A719:E719)=0,D719=""),"",IFERROR(INDEX(ca_fam,MATCH(D719,ca_name,0))&amp;"",""))</f>
        <v/>
      </c>
      <c r="H719" s="58" t="str">
        <f>IF(OR(COUNTA(A719:E719)=0,D719=""),"",IFERROR(INDEX(ca_type,MATCH(D719,ca_name,0))&amp;"",""))</f>
        <v/>
      </c>
      <c r="I719" s="58" t="str">
        <f>IF(COUNTA(A719:E719)=0,"",IF(N(A719)&lt;=0,"Date manquante ou invalide",IF(B719="","Équipe manquante",IF(ISNA(MATCH(B719,eq_code,0)),"Équipe inconnue",IF(C719="","Poste manquant",IF(ISNA(MATCH(C719,po_code,0)),"Poste inconnu",IF(D719="","Cause manquante",IF(ISNA(MATCH(D719,ca_name,0)),"Cause inconnue",IF(H719="","Cause à compléter dans Paramètres",IF(OR(NOT(ISNUMBER(E719)),N(E719)&lt;=0,N(E719)&gt;1440),"Durée invalide",IF(COUNTIFS(sj_date,A719,sj_eq,B719,sj_po,C719)=0,"Pas de saisie journalière ce jour-là","OK")))))))))))</f>
        <v/>
      </c>
      <c r="J719">
        <f>IF(OR(I719="OK",I719="Pas de saisie journalière ce jour-là"),E719,0)</f>
        <v>0.0</v>
      </c>
      <c r="K719">
        <f>IF(AND(J719&gt;0,A719&gt;=p_from,A719&lt;=p_to),1,0)</f>
        <v>0.0</v>
      </c>
      <c r="L719">
        <f>IF(AND(K719=1,OR(pa_po="",C719=pa_po),OR(pa_eq="",B719=pa_eq)),1,0)</f>
        <v>0.0</v>
      </c>
    </row>
    <row r="720">
      <c r="A720" s="51" t="n"/>
      <c r="B720" s="52" t="n"/>
      <c r="C720" s="52" t="n"/>
      <c r="D720" s="53" t="n"/>
      <c r="E720" s="60" t="n"/>
      <c r="F720" s="53" t="n"/>
      <c r="G720" s="61" t="str">
        <f>IF(OR(COUNTA(A720:E720)=0,D720=""),"",IFERROR(INDEX(ca_fam,MATCH(D720,ca_name,0))&amp;"",""))</f>
        <v/>
      </c>
      <c r="H720" s="58" t="str">
        <f>IF(OR(COUNTA(A720:E720)=0,D720=""),"",IFERROR(INDEX(ca_type,MATCH(D720,ca_name,0))&amp;"",""))</f>
        <v/>
      </c>
      <c r="I720" s="58" t="str">
        <f>IF(COUNTA(A720:E720)=0,"",IF(N(A720)&lt;=0,"Date manquante ou invalide",IF(B720="","Équipe manquante",IF(ISNA(MATCH(B720,eq_code,0)),"Équipe inconnue",IF(C720="","Poste manquant",IF(ISNA(MATCH(C720,po_code,0)),"Poste inconnu",IF(D720="","Cause manquante",IF(ISNA(MATCH(D720,ca_name,0)),"Cause inconnue",IF(H720="","Cause à compléter dans Paramètres",IF(OR(NOT(ISNUMBER(E720)),N(E720)&lt;=0,N(E720)&gt;1440),"Durée invalide",IF(COUNTIFS(sj_date,A720,sj_eq,B720,sj_po,C720)=0,"Pas de saisie journalière ce jour-là","OK")))))))))))</f>
        <v/>
      </c>
      <c r="J720">
        <f>IF(OR(I720="OK",I720="Pas de saisie journalière ce jour-là"),E720,0)</f>
        <v>0.0</v>
      </c>
      <c r="K720">
        <f>IF(AND(J720&gt;0,A720&gt;=p_from,A720&lt;=p_to),1,0)</f>
        <v>0.0</v>
      </c>
      <c r="L720">
        <f>IF(AND(K720=1,OR(pa_po="",C720=pa_po),OR(pa_eq="",B720=pa_eq)),1,0)</f>
        <v>0.0</v>
      </c>
    </row>
    <row r="721">
      <c r="A721" s="51" t="n"/>
      <c r="B721" s="52" t="n"/>
      <c r="C721" s="52" t="n"/>
      <c r="D721" s="53" t="n"/>
      <c r="E721" s="60" t="n"/>
      <c r="F721" s="53" t="n"/>
      <c r="G721" s="61" t="str">
        <f>IF(OR(COUNTA(A721:E721)=0,D721=""),"",IFERROR(INDEX(ca_fam,MATCH(D721,ca_name,0))&amp;"",""))</f>
        <v/>
      </c>
      <c r="H721" s="58" t="str">
        <f>IF(OR(COUNTA(A721:E721)=0,D721=""),"",IFERROR(INDEX(ca_type,MATCH(D721,ca_name,0))&amp;"",""))</f>
        <v/>
      </c>
      <c r="I721" s="58" t="str">
        <f>IF(COUNTA(A721:E721)=0,"",IF(N(A721)&lt;=0,"Date manquante ou invalide",IF(B721="","Équipe manquante",IF(ISNA(MATCH(B721,eq_code,0)),"Équipe inconnue",IF(C721="","Poste manquant",IF(ISNA(MATCH(C721,po_code,0)),"Poste inconnu",IF(D721="","Cause manquante",IF(ISNA(MATCH(D721,ca_name,0)),"Cause inconnue",IF(H721="","Cause à compléter dans Paramètres",IF(OR(NOT(ISNUMBER(E721)),N(E721)&lt;=0,N(E721)&gt;1440),"Durée invalide",IF(COUNTIFS(sj_date,A721,sj_eq,B721,sj_po,C721)=0,"Pas de saisie journalière ce jour-là","OK")))))))))))</f>
        <v/>
      </c>
      <c r="J721">
        <f>IF(OR(I721="OK",I721="Pas de saisie journalière ce jour-là"),E721,0)</f>
        <v>0.0</v>
      </c>
      <c r="K721">
        <f>IF(AND(J721&gt;0,A721&gt;=p_from,A721&lt;=p_to),1,0)</f>
        <v>0.0</v>
      </c>
      <c r="L721">
        <f>IF(AND(K721=1,OR(pa_po="",C721=pa_po),OR(pa_eq="",B721=pa_eq)),1,0)</f>
        <v>0.0</v>
      </c>
    </row>
    <row r="722">
      <c r="A722" s="51" t="n"/>
      <c r="B722" s="52" t="n"/>
      <c r="C722" s="52" t="n"/>
      <c r="D722" s="53" t="n"/>
      <c r="E722" s="60" t="n"/>
      <c r="F722" s="53" t="n"/>
      <c r="G722" s="61" t="str">
        <f>IF(OR(COUNTA(A722:E722)=0,D722=""),"",IFERROR(INDEX(ca_fam,MATCH(D722,ca_name,0))&amp;"",""))</f>
        <v/>
      </c>
      <c r="H722" s="58" t="str">
        <f>IF(OR(COUNTA(A722:E722)=0,D722=""),"",IFERROR(INDEX(ca_type,MATCH(D722,ca_name,0))&amp;"",""))</f>
        <v/>
      </c>
      <c r="I722" s="58" t="str">
        <f>IF(COUNTA(A722:E722)=0,"",IF(N(A722)&lt;=0,"Date manquante ou invalide",IF(B722="","Équipe manquante",IF(ISNA(MATCH(B722,eq_code,0)),"Équipe inconnue",IF(C722="","Poste manquant",IF(ISNA(MATCH(C722,po_code,0)),"Poste inconnu",IF(D722="","Cause manquante",IF(ISNA(MATCH(D722,ca_name,0)),"Cause inconnue",IF(H722="","Cause à compléter dans Paramètres",IF(OR(NOT(ISNUMBER(E722)),N(E722)&lt;=0,N(E722)&gt;1440),"Durée invalide",IF(COUNTIFS(sj_date,A722,sj_eq,B722,sj_po,C722)=0,"Pas de saisie journalière ce jour-là","OK")))))))))))</f>
        <v/>
      </c>
      <c r="J722">
        <f>IF(OR(I722="OK",I722="Pas de saisie journalière ce jour-là"),E722,0)</f>
        <v>0.0</v>
      </c>
      <c r="K722">
        <f>IF(AND(J722&gt;0,A722&gt;=p_from,A722&lt;=p_to),1,0)</f>
        <v>0.0</v>
      </c>
      <c r="L722">
        <f>IF(AND(K722=1,OR(pa_po="",C722=pa_po),OR(pa_eq="",B722=pa_eq)),1,0)</f>
        <v>0.0</v>
      </c>
    </row>
    <row r="723">
      <c r="A723" s="51" t="n"/>
      <c r="B723" s="52" t="n"/>
      <c r="C723" s="52" t="n"/>
      <c r="D723" s="53" t="n"/>
      <c r="E723" s="60" t="n"/>
      <c r="F723" s="53" t="n"/>
      <c r="G723" s="61" t="str">
        <f>IF(OR(COUNTA(A723:E723)=0,D723=""),"",IFERROR(INDEX(ca_fam,MATCH(D723,ca_name,0))&amp;"",""))</f>
        <v/>
      </c>
      <c r="H723" s="58" t="str">
        <f>IF(OR(COUNTA(A723:E723)=0,D723=""),"",IFERROR(INDEX(ca_type,MATCH(D723,ca_name,0))&amp;"",""))</f>
        <v/>
      </c>
      <c r="I723" s="58" t="str">
        <f>IF(COUNTA(A723:E723)=0,"",IF(N(A723)&lt;=0,"Date manquante ou invalide",IF(B723="","Équipe manquante",IF(ISNA(MATCH(B723,eq_code,0)),"Équipe inconnue",IF(C723="","Poste manquant",IF(ISNA(MATCH(C723,po_code,0)),"Poste inconnu",IF(D723="","Cause manquante",IF(ISNA(MATCH(D723,ca_name,0)),"Cause inconnue",IF(H723="","Cause à compléter dans Paramètres",IF(OR(NOT(ISNUMBER(E723)),N(E723)&lt;=0,N(E723)&gt;1440),"Durée invalide",IF(COUNTIFS(sj_date,A723,sj_eq,B723,sj_po,C723)=0,"Pas de saisie journalière ce jour-là","OK")))))))))))</f>
        <v/>
      </c>
      <c r="J723">
        <f>IF(OR(I723="OK",I723="Pas de saisie journalière ce jour-là"),E723,0)</f>
        <v>0.0</v>
      </c>
      <c r="K723">
        <f>IF(AND(J723&gt;0,A723&gt;=p_from,A723&lt;=p_to),1,0)</f>
        <v>0.0</v>
      </c>
      <c r="L723">
        <f>IF(AND(K723=1,OR(pa_po="",C723=pa_po),OR(pa_eq="",B723=pa_eq)),1,0)</f>
        <v>0.0</v>
      </c>
    </row>
    <row r="724">
      <c r="A724" s="51" t="n"/>
      <c r="B724" s="52" t="n"/>
      <c r="C724" s="52" t="n"/>
      <c r="D724" s="53" t="n"/>
      <c r="E724" s="60" t="n"/>
      <c r="F724" s="53" t="n"/>
      <c r="G724" s="61" t="str">
        <f>IF(OR(COUNTA(A724:E724)=0,D724=""),"",IFERROR(INDEX(ca_fam,MATCH(D724,ca_name,0))&amp;"",""))</f>
        <v/>
      </c>
      <c r="H724" s="58" t="str">
        <f>IF(OR(COUNTA(A724:E724)=0,D724=""),"",IFERROR(INDEX(ca_type,MATCH(D724,ca_name,0))&amp;"",""))</f>
        <v/>
      </c>
      <c r="I724" s="58" t="str">
        <f>IF(COUNTA(A724:E724)=0,"",IF(N(A724)&lt;=0,"Date manquante ou invalide",IF(B724="","Équipe manquante",IF(ISNA(MATCH(B724,eq_code,0)),"Équipe inconnue",IF(C724="","Poste manquant",IF(ISNA(MATCH(C724,po_code,0)),"Poste inconnu",IF(D724="","Cause manquante",IF(ISNA(MATCH(D724,ca_name,0)),"Cause inconnue",IF(H724="","Cause à compléter dans Paramètres",IF(OR(NOT(ISNUMBER(E724)),N(E724)&lt;=0,N(E724)&gt;1440),"Durée invalide",IF(COUNTIFS(sj_date,A724,sj_eq,B724,sj_po,C724)=0,"Pas de saisie journalière ce jour-là","OK")))))))))))</f>
        <v/>
      </c>
      <c r="J724">
        <f>IF(OR(I724="OK",I724="Pas de saisie journalière ce jour-là"),E724,0)</f>
        <v>0.0</v>
      </c>
      <c r="K724">
        <f>IF(AND(J724&gt;0,A724&gt;=p_from,A724&lt;=p_to),1,0)</f>
        <v>0.0</v>
      </c>
      <c r="L724">
        <f>IF(AND(K724=1,OR(pa_po="",C724=pa_po),OR(pa_eq="",B724=pa_eq)),1,0)</f>
        <v>0.0</v>
      </c>
    </row>
    <row r="725">
      <c r="A725" s="51" t="n"/>
      <c r="B725" s="52" t="n"/>
      <c r="C725" s="52" t="n"/>
      <c r="D725" s="53" t="n"/>
      <c r="E725" s="60" t="n"/>
      <c r="F725" s="53" t="n"/>
      <c r="G725" s="61" t="str">
        <f>IF(OR(COUNTA(A725:E725)=0,D725=""),"",IFERROR(INDEX(ca_fam,MATCH(D725,ca_name,0))&amp;"",""))</f>
        <v/>
      </c>
      <c r="H725" s="58" t="str">
        <f>IF(OR(COUNTA(A725:E725)=0,D725=""),"",IFERROR(INDEX(ca_type,MATCH(D725,ca_name,0))&amp;"",""))</f>
        <v/>
      </c>
      <c r="I725" s="58" t="str">
        <f>IF(COUNTA(A725:E725)=0,"",IF(N(A725)&lt;=0,"Date manquante ou invalide",IF(B725="","Équipe manquante",IF(ISNA(MATCH(B725,eq_code,0)),"Équipe inconnue",IF(C725="","Poste manquant",IF(ISNA(MATCH(C725,po_code,0)),"Poste inconnu",IF(D725="","Cause manquante",IF(ISNA(MATCH(D725,ca_name,0)),"Cause inconnue",IF(H725="","Cause à compléter dans Paramètres",IF(OR(NOT(ISNUMBER(E725)),N(E725)&lt;=0,N(E725)&gt;1440),"Durée invalide",IF(COUNTIFS(sj_date,A725,sj_eq,B725,sj_po,C725)=0,"Pas de saisie journalière ce jour-là","OK")))))))))))</f>
        <v/>
      </c>
      <c r="J725">
        <f>IF(OR(I725="OK",I725="Pas de saisie journalière ce jour-là"),E725,0)</f>
        <v>0.0</v>
      </c>
      <c r="K725">
        <f>IF(AND(J725&gt;0,A725&gt;=p_from,A725&lt;=p_to),1,0)</f>
        <v>0.0</v>
      </c>
      <c r="L725">
        <f>IF(AND(K725=1,OR(pa_po="",C725=pa_po),OR(pa_eq="",B725=pa_eq)),1,0)</f>
        <v>0.0</v>
      </c>
    </row>
    <row r="726">
      <c r="A726" s="51" t="n"/>
      <c r="B726" s="52" t="n"/>
      <c r="C726" s="52" t="n"/>
      <c r="D726" s="53" t="n"/>
      <c r="E726" s="60" t="n"/>
      <c r="F726" s="53" t="n"/>
      <c r="G726" s="61" t="str">
        <f>IF(OR(COUNTA(A726:E726)=0,D726=""),"",IFERROR(INDEX(ca_fam,MATCH(D726,ca_name,0))&amp;"",""))</f>
        <v/>
      </c>
      <c r="H726" s="58" t="str">
        <f>IF(OR(COUNTA(A726:E726)=0,D726=""),"",IFERROR(INDEX(ca_type,MATCH(D726,ca_name,0))&amp;"",""))</f>
        <v/>
      </c>
      <c r="I726" s="58" t="str">
        <f>IF(COUNTA(A726:E726)=0,"",IF(N(A726)&lt;=0,"Date manquante ou invalide",IF(B726="","Équipe manquante",IF(ISNA(MATCH(B726,eq_code,0)),"Équipe inconnue",IF(C726="","Poste manquant",IF(ISNA(MATCH(C726,po_code,0)),"Poste inconnu",IF(D726="","Cause manquante",IF(ISNA(MATCH(D726,ca_name,0)),"Cause inconnue",IF(H726="","Cause à compléter dans Paramètres",IF(OR(NOT(ISNUMBER(E726)),N(E726)&lt;=0,N(E726)&gt;1440),"Durée invalide",IF(COUNTIFS(sj_date,A726,sj_eq,B726,sj_po,C726)=0,"Pas de saisie journalière ce jour-là","OK")))))))))))</f>
        <v/>
      </c>
      <c r="J726">
        <f>IF(OR(I726="OK",I726="Pas de saisie journalière ce jour-là"),E726,0)</f>
        <v>0.0</v>
      </c>
      <c r="K726">
        <f>IF(AND(J726&gt;0,A726&gt;=p_from,A726&lt;=p_to),1,0)</f>
        <v>0.0</v>
      </c>
      <c r="L726">
        <f>IF(AND(K726=1,OR(pa_po="",C726=pa_po),OR(pa_eq="",B726=pa_eq)),1,0)</f>
        <v>0.0</v>
      </c>
    </row>
    <row r="727">
      <c r="A727" s="51" t="n"/>
      <c r="B727" s="52" t="n"/>
      <c r="C727" s="52" t="n"/>
      <c r="D727" s="53" t="n"/>
      <c r="E727" s="60" t="n"/>
      <c r="F727" s="53" t="n"/>
      <c r="G727" s="61" t="str">
        <f>IF(OR(COUNTA(A727:E727)=0,D727=""),"",IFERROR(INDEX(ca_fam,MATCH(D727,ca_name,0))&amp;"",""))</f>
        <v/>
      </c>
      <c r="H727" s="58" t="str">
        <f>IF(OR(COUNTA(A727:E727)=0,D727=""),"",IFERROR(INDEX(ca_type,MATCH(D727,ca_name,0))&amp;"",""))</f>
        <v/>
      </c>
      <c r="I727" s="58" t="str">
        <f>IF(COUNTA(A727:E727)=0,"",IF(N(A727)&lt;=0,"Date manquante ou invalide",IF(B727="","Équipe manquante",IF(ISNA(MATCH(B727,eq_code,0)),"Équipe inconnue",IF(C727="","Poste manquant",IF(ISNA(MATCH(C727,po_code,0)),"Poste inconnu",IF(D727="","Cause manquante",IF(ISNA(MATCH(D727,ca_name,0)),"Cause inconnue",IF(H727="","Cause à compléter dans Paramètres",IF(OR(NOT(ISNUMBER(E727)),N(E727)&lt;=0,N(E727)&gt;1440),"Durée invalide",IF(COUNTIFS(sj_date,A727,sj_eq,B727,sj_po,C727)=0,"Pas de saisie journalière ce jour-là","OK")))))))))))</f>
        <v/>
      </c>
      <c r="J727">
        <f>IF(OR(I727="OK",I727="Pas de saisie journalière ce jour-là"),E727,0)</f>
        <v>0.0</v>
      </c>
      <c r="K727">
        <f>IF(AND(J727&gt;0,A727&gt;=p_from,A727&lt;=p_to),1,0)</f>
        <v>0.0</v>
      </c>
      <c r="L727">
        <f>IF(AND(K727=1,OR(pa_po="",C727=pa_po),OR(pa_eq="",B727=pa_eq)),1,0)</f>
        <v>0.0</v>
      </c>
    </row>
    <row r="728">
      <c r="A728" s="51" t="n"/>
      <c r="B728" s="52" t="n"/>
      <c r="C728" s="52" t="n"/>
      <c r="D728" s="53" t="n"/>
      <c r="E728" s="60" t="n"/>
      <c r="F728" s="53" t="n"/>
      <c r="G728" s="61" t="str">
        <f>IF(OR(COUNTA(A728:E728)=0,D728=""),"",IFERROR(INDEX(ca_fam,MATCH(D728,ca_name,0))&amp;"",""))</f>
        <v/>
      </c>
      <c r="H728" s="58" t="str">
        <f>IF(OR(COUNTA(A728:E728)=0,D728=""),"",IFERROR(INDEX(ca_type,MATCH(D728,ca_name,0))&amp;"",""))</f>
        <v/>
      </c>
      <c r="I728" s="58" t="str">
        <f>IF(COUNTA(A728:E728)=0,"",IF(N(A728)&lt;=0,"Date manquante ou invalide",IF(B728="","Équipe manquante",IF(ISNA(MATCH(B728,eq_code,0)),"Équipe inconnue",IF(C728="","Poste manquant",IF(ISNA(MATCH(C728,po_code,0)),"Poste inconnu",IF(D728="","Cause manquante",IF(ISNA(MATCH(D728,ca_name,0)),"Cause inconnue",IF(H728="","Cause à compléter dans Paramètres",IF(OR(NOT(ISNUMBER(E728)),N(E728)&lt;=0,N(E728)&gt;1440),"Durée invalide",IF(COUNTIFS(sj_date,A728,sj_eq,B728,sj_po,C728)=0,"Pas de saisie journalière ce jour-là","OK")))))))))))</f>
        <v/>
      </c>
      <c r="J728">
        <f>IF(OR(I728="OK",I728="Pas de saisie journalière ce jour-là"),E728,0)</f>
        <v>0.0</v>
      </c>
      <c r="K728">
        <f>IF(AND(J728&gt;0,A728&gt;=p_from,A728&lt;=p_to),1,0)</f>
        <v>0.0</v>
      </c>
      <c r="L728">
        <f>IF(AND(K728=1,OR(pa_po="",C728=pa_po),OR(pa_eq="",B728=pa_eq)),1,0)</f>
        <v>0.0</v>
      </c>
    </row>
    <row r="729">
      <c r="A729" s="51" t="n"/>
      <c r="B729" s="52" t="n"/>
      <c r="C729" s="52" t="n"/>
      <c r="D729" s="53" t="n"/>
      <c r="E729" s="60" t="n"/>
      <c r="F729" s="53" t="n"/>
      <c r="G729" s="61" t="str">
        <f>IF(OR(COUNTA(A729:E729)=0,D729=""),"",IFERROR(INDEX(ca_fam,MATCH(D729,ca_name,0))&amp;"",""))</f>
        <v/>
      </c>
      <c r="H729" s="58" t="str">
        <f>IF(OR(COUNTA(A729:E729)=0,D729=""),"",IFERROR(INDEX(ca_type,MATCH(D729,ca_name,0))&amp;"",""))</f>
        <v/>
      </c>
      <c r="I729" s="58" t="str">
        <f>IF(COUNTA(A729:E729)=0,"",IF(N(A729)&lt;=0,"Date manquante ou invalide",IF(B729="","Équipe manquante",IF(ISNA(MATCH(B729,eq_code,0)),"Équipe inconnue",IF(C729="","Poste manquant",IF(ISNA(MATCH(C729,po_code,0)),"Poste inconnu",IF(D729="","Cause manquante",IF(ISNA(MATCH(D729,ca_name,0)),"Cause inconnue",IF(H729="","Cause à compléter dans Paramètres",IF(OR(NOT(ISNUMBER(E729)),N(E729)&lt;=0,N(E729)&gt;1440),"Durée invalide",IF(COUNTIFS(sj_date,A729,sj_eq,B729,sj_po,C729)=0,"Pas de saisie journalière ce jour-là","OK")))))))))))</f>
        <v/>
      </c>
      <c r="J729">
        <f>IF(OR(I729="OK",I729="Pas de saisie journalière ce jour-là"),E729,0)</f>
        <v>0.0</v>
      </c>
      <c r="K729">
        <f>IF(AND(J729&gt;0,A729&gt;=p_from,A729&lt;=p_to),1,0)</f>
        <v>0.0</v>
      </c>
      <c r="L729">
        <f>IF(AND(K729=1,OR(pa_po="",C729=pa_po),OR(pa_eq="",B729=pa_eq)),1,0)</f>
        <v>0.0</v>
      </c>
    </row>
    <row r="730">
      <c r="A730" s="51" t="n"/>
      <c r="B730" s="52" t="n"/>
      <c r="C730" s="52" t="n"/>
      <c r="D730" s="53" t="n"/>
      <c r="E730" s="60" t="n"/>
      <c r="F730" s="53" t="n"/>
      <c r="G730" s="61" t="str">
        <f>IF(OR(COUNTA(A730:E730)=0,D730=""),"",IFERROR(INDEX(ca_fam,MATCH(D730,ca_name,0))&amp;"",""))</f>
        <v/>
      </c>
      <c r="H730" s="58" t="str">
        <f>IF(OR(COUNTA(A730:E730)=0,D730=""),"",IFERROR(INDEX(ca_type,MATCH(D730,ca_name,0))&amp;"",""))</f>
        <v/>
      </c>
      <c r="I730" s="58" t="str">
        <f>IF(COUNTA(A730:E730)=0,"",IF(N(A730)&lt;=0,"Date manquante ou invalide",IF(B730="","Équipe manquante",IF(ISNA(MATCH(B730,eq_code,0)),"Équipe inconnue",IF(C730="","Poste manquant",IF(ISNA(MATCH(C730,po_code,0)),"Poste inconnu",IF(D730="","Cause manquante",IF(ISNA(MATCH(D730,ca_name,0)),"Cause inconnue",IF(H730="","Cause à compléter dans Paramètres",IF(OR(NOT(ISNUMBER(E730)),N(E730)&lt;=0,N(E730)&gt;1440),"Durée invalide",IF(COUNTIFS(sj_date,A730,sj_eq,B730,sj_po,C730)=0,"Pas de saisie journalière ce jour-là","OK")))))))))))</f>
        <v/>
      </c>
      <c r="J730">
        <f>IF(OR(I730="OK",I730="Pas de saisie journalière ce jour-là"),E730,0)</f>
        <v>0.0</v>
      </c>
      <c r="K730">
        <f>IF(AND(J730&gt;0,A730&gt;=p_from,A730&lt;=p_to),1,0)</f>
        <v>0.0</v>
      </c>
      <c r="L730">
        <f>IF(AND(K730=1,OR(pa_po="",C730=pa_po),OR(pa_eq="",B730=pa_eq)),1,0)</f>
        <v>0.0</v>
      </c>
    </row>
    <row r="731">
      <c r="A731" s="51" t="n"/>
      <c r="B731" s="52" t="n"/>
      <c r="C731" s="52" t="n"/>
      <c r="D731" s="53" t="n"/>
      <c r="E731" s="60" t="n"/>
      <c r="F731" s="53" t="n"/>
      <c r="G731" s="61" t="str">
        <f>IF(OR(COUNTA(A731:E731)=0,D731=""),"",IFERROR(INDEX(ca_fam,MATCH(D731,ca_name,0))&amp;"",""))</f>
        <v/>
      </c>
      <c r="H731" s="58" t="str">
        <f>IF(OR(COUNTA(A731:E731)=0,D731=""),"",IFERROR(INDEX(ca_type,MATCH(D731,ca_name,0))&amp;"",""))</f>
        <v/>
      </c>
      <c r="I731" s="58" t="str">
        <f>IF(COUNTA(A731:E731)=0,"",IF(N(A731)&lt;=0,"Date manquante ou invalide",IF(B731="","Équipe manquante",IF(ISNA(MATCH(B731,eq_code,0)),"Équipe inconnue",IF(C731="","Poste manquant",IF(ISNA(MATCH(C731,po_code,0)),"Poste inconnu",IF(D731="","Cause manquante",IF(ISNA(MATCH(D731,ca_name,0)),"Cause inconnue",IF(H731="","Cause à compléter dans Paramètres",IF(OR(NOT(ISNUMBER(E731)),N(E731)&lt;=0,N(E731)&gt;1440),"Durée invalide",IF(COUNTIFS(sj_date,A731,sj_eq,B731,sj_po,C731)=0,"Pas de saisie journalière ce jour-là","OK")))))))))))</f>
        <v/>
      </c>
      <c r="J731">
        <f>IF(OR(I731="OK",I731="Pas de saisie journalière ce jour-là"),E731,0)</f>
        <v>0.0</v>
      </c>
      <c r="K731">
        <f>IF(AND(J731&gt;0,A731&gt;=p_from,A731&lt;=p_to),1,0)</f>
        <v>0.0</v>
      </c>
      <c r="L731">
        <f>IF(AND(K731=1,OR(pa_po="",C731=pa_po),OR(pa_eq="",B731=pa_eq)),1,0)</f>
        <v>0.0</v>
      </c>
    </row>
    <row r="732">
      <c r="A732" s="51" t="n"/>
      <c r="B732" s="52" t="n"/>
      <c r="C732" s="52" t="n"/>
      <c r="D732" s="53" t="n"/>
      <c r="E732" s="60" t="n"/>
      <c r="F732" s="53" t="n"/>
      <c r="G732" s="61" t="str">
        <f>IF(OR(COUNTA(A732:E732)=0,D732=""),"",IFERROR(INDEX(ca_fam,MATCH(D732,ca_name,0))&amp;"",""))</f>
        <v/>
      </c>
      <c r="H732" s="58" t="str">
        <f>IF(OR(COUNTA(A732:E732)=0,D732=""),"",IFERROR(INDEX(ca_type,MATCH(D732,ca_name,0))&amp;"",""))</f>
        <v/>
      </c>
      <c r="I732" s="58" t="str">
        <f>IF(COUNTA(A732:E732)=0,"",IF(N(A732)&lt;=0,"Date manquante ou invalide",IF(B732="","Équipe manquante",IF(ISNA(MATCH(B732,eq_code,0)),"Équipe inconnue",IF(C732="","Poste manquant",IF(ISNA(MATCH(C732,po_code,0)),"Poste inconnu",IF(D732="","Cause manquante",IF(ISNA(MATCH(D732,ca_name,0)),"Cause inconnue",IF(H732="","Cause à compléter dans Paramètres",IF(OR(NOT(ISNUMBER(E732)),N(E732)&lt;=0,N(E732)&gt;1440),"Durée invalide",IF(COUNTIFS(sj_date,A732,sj_eq,B732,sj_po,C732)=0,"Pas de saisie journalière ce jour-là","OK")))))))))))</f>
        <v/>
      </c>
      <c r="J732">
        <f>IF(OR(I732="OK",I732="Pas de saisie journalière ce jour-là"),E732,0)</f>
        <v>0.0</v>
      </c>
      <c r="K732">
        <f>IF(AND(J732&gt;0,A732&gt;=p_from,A732&lt;=p_to),1,0)</f>
        <v>0.0</v>
      </c>
      <c r="L732">
        <f>IF(AND(K732=1,OR(pa_po="",C732=pa_po),OR(pa_eq="",B732=pa_eq)),1,0)</f>
        <v>0.0</v>
      </c>
    </row>
    <row r="733">
      <c r="A733" s="51" t="n"/>
      <c r="B733" s="52" t="n"/>
      <c r="C733" s="52" t="n"/>
      <c r="D733" s="53" t="n"/>
      <c r="E733" s="60" t="n"/>
      <c r="F733" s="53" t="n"/>
      <c r="G733" s="61" t="str">
        <f>IF(OR(COUNTA(A733:E733)=0,D733=""),"",IFERROR(INDEX(ca_fam,MATCH(D733,ca_name,0))&amp;"",""))</f>
        <v/>
      </c>
      <c r="H733" s="58" t="str">
        <f>IF(OR(COUNTA(A733:E733)=0,D733=""),"",IFERROR(INDEX(ca_type,MATCH(D733,ca_name,0))&amp;"",""))</f>
        <v/>
      </c>
      <c r="I733" s="58" t="str">
        <f>IF(COUNTA(A733:E733)=0,"",IF(N(A733)&lt;=0,"Date manquante ou invalide",IF(B733="","Équipe manquante",IF(ISNA(MATCH(B733,eq_code,0)),"Équipe inconnue",IF(C733="","Poste manquant",IF(ISNA(MATCH(C733,po_code,0)),"Poste inconnu",IF(D733="","Cause manquante",IF(ISNA(MATCH(D733,ca_name,0)),"Cause inconnue",IF(H733="","Cause à compléter dans Paramètres",IF(OR(NOT(ISNUMBER(E733)),N(E733)&lt;=0,N(E733)&gt;1440),"Durée invalide",IF(COUNTIFS(sj_date,A733,sj_eq,B733,sj_po,C733)=0,"Pas de saisie journalière ce jour-là","OK")))))))))))</f>
        <v/>
      </c>
      <c r="J733">
        <f>IF(OR(I733="OK",I733="Pas de saisie journalière ce jour-là"),E733,0)</f>
        <v>0.0</v>
      </c>
      <c r="K733">
        <f>IF(AND(J733&gt;0,A733&gt;=p_from,A733&lt;=p_to),1,0)</f>
        <v>0.0</v>
      </c>
      <c r="L733">
        <f>IF(AND(K733=1,OR(pa_po="",C733=pa_po),OR(pa_eq="",B733=pa_eq)),1,0)</f>
        <v>0.0</v>
      </c>
    </row>
    <row r="734">
      <c r="A734" s="51" t="n"/>
      <c r="B734" s="52" t="n"/>
      <c r="C734" s="52" t="n"/>
      <c r="D734" s="53" t="n"/>
      <c r="E734" s="60" t="n"/>
      <c r="F734" s="53" t="n"/>
      <c r="G734" s="61" t="str">
        <f>IF(OR(COUNTA(A734:E734)=0,D734=""),"",IFERROR(INDEX(ca_fam,MATCH(D734,ca_name,0))&amp;"",""))</f>
        <v/>
      </c>
      <c r="H734" s="58" t="str">
        <f>IF(OR(COUNTA(A734:E734)=0,D734=""),"",IFERROR(INDEX(ca_type,MATCH(D734,ca_name,0))&amp;"",""))</f>
        <v/>
      </c>
      <c r="I734" s="58" t="str">
        <f>IF(COUNTA(A734:E734)=0,"",IF(N(A734)&lt;=0,"Date manquante ou invalide",IF(B734="","Équipe manquante",IF(ISNA(MATCH(B734,eq_code,0)),"Équipe inconnue",IF(C734="","Poste manquant",IF(ISNA(MATCH(C734,po_code,0)),"Poste inconnu",IF(D734="","Cause manquante",IF(ISNA(MATCH(D734,ca_name,0)),"Cause inconnue",IF(H734="","Cause à compléter dans Paramètres",IF(OR(NOT(ISNUMBER(E734)),N(E734)&lt;=0,N(E734)&gt;1440),"Durée invalide",IF(COUNTIFS(sj_date,A734,sj_eq,B734,sj_po,C734)=0,"Pas de saisie journalière ce jour-là","OK")))))))))))</f>
        <v/>
      </c>
      <c r="J734">
        <f>IF(OR(I734="OK",I734="Pas de saisie journalière ce jour-là"),E734,0)</f>
        <v>0.0</v>
      </c>
      <c r="K734">
        <f>IF(AND(J734&gt;0,A734&gt;=p_from,A734&lt;=p_to),1,0)</f>
        <v>0.0</v>
      </c>
      <c r="L734">
        <f>IF(AND(K734=1,OR(pa_po="",C734=pa_po),OR(pa_eq="",B734=pa_eq)),1,0)</f>
        <v>0.0</v>
      </c>
    </row>
    <row r="735">
      <c r="A735" s="51" t="n"/>
      <c r="B735" s="52" t="n"/>
      <c r="C735" s="52" t="n"/>
      <c r="D735" s="53" t="n"/>
      <c r="E735" s="60" t="n"/>
      <c r="F735" s="53" t="n"/>
      <c r="G735" s="61" t="str">
        <f>IF(OR(COUNTA(A735:E735)=0,D735=""),"",IFERROR(INDEX(ca_fam,MATCH(D735,ca_name,0))&amp;"",""))</f>
        <v/>
      </c>
      <c r="H735" s="58" t="str">
        <f>IF(OR(COUNTA(A735:E735)=0,D735=""),"",IFERROR(INDEX(ca_type,MATCH(D735,ca_name,0))&amp;"",""))</f>
        <v/>
      </c>
      <c r="I735" s="58" t="str">
        <f>IF(COUNTA(A735:E735)=0,"",IF(N(A735)&lt;=0,"Date manquante ou invalide",IF(B735="","Équipe manquante",IF(ISNA(MATCH(B735,eq_code,0)),"Équipe inconnue",IF(C735="","Poste manquant",IF(ISNA(MATCH(C735,po_code,0)),"Poste inconnu",IF(D735="","Cause manquante",IF(ISNA(MATCH(D735,ca_name,0)),"Cause inconnue",IF(H735="","Cause à compléter dans Paramètres",IF(OR(NOT(ISNUMBER(E735)),N(E735)&lt;=0,N(E735)&gt;1440),"Durée invalide",IF(COUNTIFS(sj_date,A735,sj_eq,B735,sj_po,C735)=0,"Pas de saisie journalière ce jour-là","OK")))))))))))</f>
        <v/>
      </c>
      <c r="J735">
        <f>IF(OR(I735="OK",I735="Pas de saisie journalière ce jour-là"),E735,0)</f>
        <v>0.0</v>
      </c>
      <c r="K735">
        <f>IF(AND(J735&gt;0,A735&gt;=p_from,A735&lt;=p_to),1,0)</f>
        <v>0.0</v>
      </c>
      <c r="L735">
        <f>IF(AND(K735=1,OR(pa_po="",C735=pa_po),OR(pa_eq="",B735=pa_eq)),1,0)</f>
        <v>0.0</v>
      </c>
    </row>
    <row r="736">
      <c r="A736" s="51" t="n"/>
      <c r="B736" s="52" t="n"/>
      <c r="C736" s="52" t="n"/>
      <c r="D736" s="53" t="n"/>
      <c r="E736" s="60" t="n"/>
      <c r="F736" s="53" t="n"/>
      <c r="G736" s="61" t="str">
        <f>IF(OR(COUNTA(A736:E736)=0,D736=""),"",IFERROR(INDEX(ca_fam,MATCH(D736,ca_name,0))&amp;"",""))</f>
        <v/>
      </c>
      <c r="H736" s="58" t="str">
        <f>IF(OR(COUNTA(A736:E736)=0,D736=""),"",IFERROR(INDEX(ca_type,MATCH(D736,ca_name,0))&amp;"",""))</f>
        <v/>
      </c>
      <c r="I736" s="58" t="str">
        <f>IF(COUNTA(A736:E736)=0,"",IF(N(A736)&lt;=0,"Date manquante ou invalide",IF(B736="","Équipe manquante",IF(ISNA(MATCH(B736,eq_code,0)),"Équipe inconnue",IF(C736="","Poste manquant",IF(ISNA(MATCH(C736,po_code,0)),"Poste inconnu",IF(D736="","Cause manquante",IF(ISNA(MATCH(D736,ca_name,0)),"Cause inconnue",IF(H736="","Cause à compléter dans Paramètres",IF(OR(NOT(ISNUMBER(E736)),N(E736)&lt;=0,N(E736)&gt;1440),"Durée invalide",IF(COUNTIFS(sj_date,A736,sj_eq,B736,sj_po,C736)=0,"Pas de saisie journalière ce jour-là","OK")))))))))))</f>
        <v/>
      </c>
      <c r="J736">
        <f>IF(OR(I736="OK",I736="Pas de saisie journalière ce jour-là"),E736,0)</f>
        <v>0.0</v>
      </c>
      <c r="K736">
        <f>IF(AND(J736&gt;0,A736&gt;=p_from,A736&lt;=p_to),1,0)</f>
        <v>0.0</v>
      </c>
      <c r="L736">
        <f>IF(AND(K736=1,OR(pa_po="",C736=pa_po),OR(pa_eq="",B736=pa_eq)),1,0)</f>
        <v>0.0</v>
      </c>
    </row>
    <row r="737">
      <c r="A737" s="51" t="n"/>
      <c r="B737" s="52" t="n"/>
      <c r="C737" s="52" t="n"/>
      <c r="D737" s="53" t="n"/>
      <c r="E737" s="60" t="n"/>
      <c r="F737" s="53" t="n"/>
      <c r="G737" s="61" t="str">
        <f>IF(OR(COUNTA(A737:E737)=0,D737=""),"",IFERROR(INDEX(ca_fam,MATCH(D737,ca_name,0))&amp;"",""))</f>
        <v/>
      </c>
      <c r="H737" s="58" t="str">
        <f>IF(OR(COUNTA(A737:E737)=0,D737=""),"",IFERROR(INDEX(ca_type,MATCH(D737,ca_name,0))&amp;"",""))</f>
        <v/>
      </c>
      <c r="I737" s="58" t="str">
        <f>IF(COUNTA(A737:E737)=0,"",IF(N(A737)&lt;=0,"Date manquante ou invalide",IF(B737="","Équipe manquante",IF(ISNA(MATCH(B737,eq_code,0)),"Équipe inconnue",IF(C737="","Poste manquant",IF(ISNA(MATCH(C737,po_code,0)),"Poste inconnu",IF(D737="","Cause manquante",IF(ISNA(MATCH(D737,ca_name,0)),"Cause inconnue",IF(H737="","Cause à compléter dans Paramètres",IF(OR(NOT(ISNUMBER(E737)),N(E737)&lt;=0,N(E737)&gt;1440),"Durée invalide",IF(COUNTIFS(sj_date,A737,sj_eq,B737,sj_po,C737)=0,"Pas de saisie journalière ce jour-là","OK")))))))))))</f>
        <v/>
      </c>
      <c r="J737">
        <f>IF(OR(I737="OK",I737="Pas de saisie journalière ce jour-là"),E737,0)</f>
        <v>0.0</v>
      </c>
      <c r="K737">
        <f>IF(AND(J737&gt;0,A737&gt;=p_from,A737&lt;=p_to),1,0)</f>
        <v>0.0</v>
      </c>
      <c r="L737">
        <f>IF(AND(K737=1,OR(pa_po="",C737=pa_po),OR(pa_eq="",B737=pa_eq)),1,0)</f>
        <v>0.0</v>
      </c>
    </row>
    <row r="738">
      <c r="A738" s="51" t="n"/>
      <c r="B738" s="52" t="n"/>
      <c r="C738" s="52" t="n"/>
      <c r="D738" s="53" t="n"/>
      <c r="E738" s="60" t="n"/>
      <c r="F738" s="53" t="n"/>
      <c r="G738" s="61" t="str">
        <f>IF(OR(COUNTA(A738:E738)=0,D738=""),"",IFERROR(INDEX(ca_fam,MATCH(D738,ca_name,0))&amp;"",""))</f>
        <v/>
      </c>
      <c r="H738" s="58" t="str">
        <f>IF(OR(COUNTA(A738:E738)=0,D738=""),"",IFERROR(INDEX(ca_type,MATCH(D738,ca_name,0))&amp;"",""))</f>
        <v/>
      </c>
      <c r="I738" s="58" t="str">
        <f>IF(COUNTA(A738:E738)=0,"",IF(N(A738)&lt;=0,"Date manquante ou invalide",IF(B738="","Équipe manquante",IF(ISNA(MATCH(B738,eq_code,0)),"Équipe inconnue",IF(C738="","Poste manquant",IF(ISNA(MATCH(C738,po_code,0)),"Poste inconnu",IF(D738="","Cause manquante",IF(ISNA(MATCH(D738,ca_name,0)),"Cause inconnue",IF(H738="","Cause à compléter dans Paramètres",IF(OR(NOT(ISNUMBER(E738)),N(E738)&lt;=0,N(E738)&gt;1440),"Durée invalide",IF(COUNTIFS(sj_date,A738,sj_eq,B738,sj_po,C738)=0,"Pas de saisie journalière ce jour-là","OK")))))))))))</f>
        <v/>
      </c>
      <c r="J738">
        <f>IF(OR(I738="OK",I738="Pas de saisie journalière ce jour-là"),E738,0)</f>
        <v>0.0</v>
      </c>
      <c r="K738">
        <f>IF(AND(J738&gt;0,A738&gt;=p_from,A738&lt;=p_to),1,0)</f>
        <v>0.0</v>
      </c>
      <c r="L738">
        <f>IF(AND(K738=1,OR(pa_po="",C738=pa_po),OR(pa_eq="",B738=pa_eq)),1,0)</f>
        <v>0.0</v>
      </c>
    </row>
    <row r="739">
      <c r="A739" s="51" t="n"/>
      <c r="B739" s="52" t="n"/>
      <c r="C739" s="52" t="n"/>
      <c r="D739" s="53" t="n"/>
      <c r="E739" s="60" t="n"/>
      <c r="F739" s="53" t="n"/>
      <c r="G739" s="61" t="str">
        <f>IF(OR(COUNTA(A739:E739)=0,D739=""),"",IFERROR(INDEX(ca_fam,MATCH(D739,ca_name,0))&amp;"",""))</f>
        <v/>
      </c>
      <c r="H739" s="58" t="str">
        <f>IF(OR(COUNTA(A739:E739)=0,D739=""),"",IFERROR(INDEX(ca_type,MATCH(D739,ca_name,0))&amp;"",""))</f>
        <v/>
      </c>
      <c r="I739" s="58" t="str">
        <f>IF(COUNTA(A739:E739)=0,"",IF(N(A739)&lt;=0,"Date manquante ou invalide",IF(B739="","Équipe manquante",IF(ISNA(MATCH(B739,eq_code,0)),"Équipe inconnue",IF(C739="","Poste manquant",IF(ISNA(MATCH(C739,po_code,0)),"Poste inconnu",IF(D739="","Cause manquante",IF(ISNA(MATCH(D739,ca_name,0)),"Cause inconnue",IF(H739="","Cause à compléter dans Paramètres",IF(OR(NOT(ISNUMBER(E739)),N(E739)&lt;=0,N(E739)&gt;1440),"Durée invalide",IF(COUNTIFS(sj_date,A739,sj_eq,B739,sj_po,C739)=0,"Pas de saisie journalière ce jour-là","OK")))))))))))</f>
        <v/>
      </c>
      <c r="J739">
        <f>IF(OR(I739="OK",I739="Pas de saisie journalière ce jour-là"),E739,0)</f>
        <v>0.0</v>
      </c>
      <c r="K739">
        <f>IF(AND(J739&gt;0,A739&gt;=p_from,A739&lt;=p_to),1,0)</f>
        <v>0.0</v>
      </c>
      <c r="L739">
        <f>IF(AND(K739=1,OR(pa_po="",C739=pa_po),OR(pa_eq="",B739=pa_eq)),1,0)</f>
        <v>0.0</v>
      </c>
    </row>
    <row r="740">
      <c r="A740" s="51" t="n"/>
      <c r="B740" s="52" t="n"/>
      <c r="C740" s="52" t="n"/>
      <c r="D740" s="53" t="n"/>
      <c r="E740" s="60" t="n"/>
      <c r="F740" s="53" t="n"/>
      <c r="G740" s="61" t="str">
        <f>IF(OR(COUNTA(A740:E740)=0,D740=""),"",IFERROR(INDEX(ca_fam,MATCH(D740,ca_name,0))&amp;"",""))</f>
        <v/>
      </c>
      <c r="H740" s="58" t="str">
        <f>IF(OR(COUNTA(A740:E740)=0,D740=""),"",IFERROR(INDEX(ca_type,MATCH(D740,ca_name,0))&amp;"",""))</f>
        <v/>
      </c>
      <c r="I740" s="58" t="str">
        <f>IF(COUNTA(A740:E740)=0,"",IF(N(A740)&lt;=0,"Date manquante ou invalide",IF(B740="","Équipe manquante",IF(ISNA(MATCH(B740,eq_code,0)),"Équipe inconnue",IF(C740="","Poste manquant",IF(ISNA(MATCH(C740,po_code,0)),"Poste inconnu",IF(D740="","Cause manquante",IF(ISNA(MATCH(D740,ca_name,0)),"Cause inconnue",IF(H740="","Cause à compléter dans Paramètres",IF(OR(NOT(ISNUMBER(E740)),N(E740)&lt;=0,N(E740)&gt;1440),"Durée invalide",IF(COUNTIFS(sj_date,A740,sj_eq,B740,sj_po,C740)=0,"Pas de saisie journalière ce jour-là","OK")))))))))))</f>
        <v/>
      </c>
      <c r="J740">
        <f>IF(OR(I740="OK",I740="Pas de saisie journalière ce jour-là"),E740,0)</f>
        <v>0.0</v>
      </c>
      <c r="K740">
        <f>IF(AND(J740&gt;0,A740&gt;=p_from,A740&lt;=p_to),1,0)</f>
        <v>0.0</v>
      </c>
      <c r="L740">
        <f>IF(AND(K740=1,OR(pa_po="",C740=pa_po),OR(pa_eq="",B740=pa_eq)),1,0)</f>
        <v>0.0</v>
      </c>
    </row>
    <row r="741">
      <c r="A741" s="51" t="n"/>
      <c r="B741" s="52" t="n"/>
      <c r="C741" s="52" t="n"/>
      <c r="D741" s="53" t="n"/>
      <c r="E741" s="60" t="n"/>
      <c r="F741" s="53" t="n"/>
      <c r="G741" s="61" t="str">
        <f>IF(OR(COUNTA(A741:E741)=0,D741=""),"",IFERROR(INDEX(ca_fam,MATCH(D741,ca_name,0))&amp;"",""))</f>
        <v/>
      </c>
      <c r="H741" s="58" t="str">
        <f>IF(OR(COUNTA(A741:E741)=0,D741=""),"",IFERROR(INDEX(ca_type,MATCH(D741,ca_name,0))&amp;"",""))</f>
        <v/>
      </c>
      <c r="I741" s="58" t="str">
        <f>IF(COUNTA(A741:E741)=0,"",IF(N(A741)&lt;=0,"Date manquante ou invalide",IF(B741="","Équipe manquante",IF(ISNA(MATCH(B741,eq_code,0)),"Équipe inconnue",IF(C741="","Poste manquant",IF(ISNA(MATCH(C741,po_code,0)),"Poste inconnu",IF(D741="","Cause manquante",IF(ISNA(MATCH(D741,ca_name,0)),"Cause inconnue",IF(H741="","Cause à compléter dans Paramètres",IF(OR(NOT(ISNUMBER(E741)),N(E741)&lt;=0,N(E741)&gt;1440),"Durée invalide",IF(COUNTIFS(sj_date,A741,sj_eq,B741,sj_po,C741)=0,"Pas de saisie journalière ce jour-là","OK")))))))))))</f>
        <v/>
      </c>
      <c r="J741">
        <f>IF(OR(I741="OK",I741="Pas de saisie journalière ce jour-là"),E741,0)</f>
        <v>0.0</v>
      </c>
      <c r="K741">
        <f>IF(AND(J741&gt;0,A741&gt;=p_from,A741&lt;=p_to),1,0)</f>
        <v>0.0</v>
      </c>
      <c r="L741">
        <f>IF(AND(K741=1,OR(pa_po="",C741=pa_po),OR(pa_eq="",B741=pa_eq)),1,0)</f>
        <v>0.0</v>
      </c>
    </row>
    <row r="742">
      <c r="A742" s="51" t="n"/>
      <c r="B742" s="52" t="n"/>
      <c r="C742" s="52" t="n"/>
      <c r="D742" s="53" t="n"/>
      <c r="E742" s="60" t="n"/>
      <c r="F742" s="53" t="n"/>
      <c r="G742" s="61" t="str">
        <f>IF(OR(COUNTA(A742:E742)=0,D742=""),"",IFERROR(INDEX(ca_fam,MATCH(D742,ca_name,0))&amp;"",""))</f>
        <v/>
      </c>
      <c r="H742" s="58" t="str">
        <f>IF(OR(COUNTA(A742:E742)=0,D742=""),"",IFERROR(INDEX(ca_type,MATCH(D742,ca_name,0))&amp;"",""))</f>
        <v/>
      </c>
      <c r="I742" s="58" t="str">
        <f>IF(COUNTA(A742:E742)=0,"",IF(N(A742)&lt;=0,"Date manquante ou invalide",IF(B742="","Équipe manquante",IF(ISNA(MATCH(B742,eq_code,0)),"Équipe inconnue",IF(C742="","Poste manquant",IF(ISNA(MATCH(C742,po_code,0)),"Poste inconnu",IF(D742="","Cause manquante",IF(ISNA(MATCH(D742,ca_name,0)),"Cause inconnue",IF(H742="","Cause à compléter dans Paramètres",IF(OR(NOT(ISNUMBER(E742)),N(E742)&lt;=0,N(E742)&gt;1440),"Durée invalide",IF(COUNTIFS(sj_date,A742,sj_eq,B742,sj_po,C742)=0,"Pas de saisie journalière ce jour-là","OK")))))))))))</f>
        <v/>
      </c>
      <c r="J742">
        <f>IF(OR(I742="OK",I742="Pas de saisie journalière ce jour-là"),E742,0)</f>
        <v>0.0</v>
      </c>
      <c r="K742">
        <f>IF(AND(J742&gt;0,A742&gt;=p_from,A742&lt;=p_to),1,0)</f>
        <v>0.0</v>
      </c>
      <c r="L742">
        <f>IF(AND(K742=1,OR(pa_po="",C742=pa_po),OR(pa_eq="",B742=pa_eq)),1,0)</f>
        <v>0.0</v>
      </c>
    </row>
    <row r="743">
      <c r="A743" s="51" t="n"/>
      <c r="B743" s="52" t="n"/>
      <c r="C743" s="52" t="n"/>
      <c r="D743" s="53" t="n"/>
      <c r="E743" s="60" t="n"/>
      <c r="F743" s="53" t="n"/>
      <c r="G743" s="61" t="str">
        <f>IF(OR(COUNTA(A743:E743)=0,D743=""),"",IFERROR(INDEX(ca_fam,MATCH(D743,ca_name,0))&amp;"",""))</f>
        <v/>
      </c>
      <c r="H743" s="58" t="str">
        <f>IF(OR(COUNTA(A743:E743)=0,D743=""),"",IFERROR(INDEX(ca_type,MATCH(D743,ca_name,0))&amp;"",""))</f>
        <v/>
      </c>
      <c r="I743" s="58" t="str">
        <f>IF(COUNTA(A743:E743)=0,"",IF(N(A743)&lt;=0,"Date manquante ou invalide",IF(B743="","Équipe manquante",IF(ISNA(MATCH(B743,eq_code,0)),"Équipe inconnue",IF(C743="","Poste manquant",IF(ISNA(MATCH(C743,po_code,0)),"Poste inconnu",IF(D743="","Cause manquante",IF(ISNA(MATCH(D743,ca_name,0)),"Cause inconnue",IF(H743="","Cause à compléter dans Paramètres",IF(OR(NOT(ISNUMBER(E743)),N(E743)&lt;=0,N(E743)&gt;1440),"Durée invalide",IF(COUNTIFS(sj_date,A743,sj_eq,B743,sj_po,C743)=0,"Pas de saisie journalière ce jour-là","OK")))))))))))</f>
        <v/>
      </c>
      <c r="J743">
        <f>IF(OR(I743="OK",I743="Pas de saisie journalière ce jour-là"),E743,0)</f>
        <v>0.0</v>
      </c>
      <c r="K743">
        <f>IF(AND(J743&gt;0,A743&gt;=p_from,A743&lt;=p_to),1,0)</f>
        <v>0.0</v>
      </c>
      <c r="L743">
        <f>IF(AND(K743=1,OR(pa_po="",C743=pa_po),OR(pa_eq="",B743=pa_eq)),1,0)</f>
        <v>0.0</v>
      </c>
    </row>
    <row r="744">
      <c r="A744" s="51" t="n"/>
      <c r="B744" s="52" t="n"/>
      <c r="C744" s="52" t="n"/>
      <c r="D744" s="53" t="n"/>
      <c r="E744" s="60" t="n"/>
      <c r="F744" s="53" t="n"/>
      <c r="G744" s="61" t="str">
        <f>IF(OR(COUNTA(A744:E744)=0,D744=""),"",IFERROR(INDEX(ca_fam,MATCH(D744,ca_name,0))&amp;"",""))</f>
        <v/>
      </c>
      <c r="H744" s="58" t="str">
        <f>IF(OR(COUNTA(A744:E744)=0,D744=""),"",IFERROR(INDEX(ca_type,MATCH(D744,ca_name,0))&amp;"",""))</f>
        <v/>
      </c>
      <c r="I744" s="58" t="str">
        <f>IF(COUNTA(A744:E744)=0,"",IF(N(A744)&lt;=0,"Date manquante ou invalide",IF(B744="","Équipe manquante",IF(ISNA(MATCH(B744,eq_code,0)),"Équipe inconnue",IF(C744="","Poste manquant",IF(ISNA(MATCH(C744,po_code,0)),"Poste inconnu",IF(D744="","Cause manquante",IF(ISNA(MATCH(D744,ca_name,0)),"Cause inconnue",IF(H744="","Cause à compléter dans Paramètres",IF(OR(NOT(ISNUMBER(E744)),N(E744)&lt;=0,N(E744)&gt;1440),"Durée invalide",IF(COUNTIFS(sj_date,A744,sj_eq,B744,sj_po,C744)=0,"Pas de saisie journalière ce jour-là","OK")))))))))))</f>
        <v/>
      </c>
      <c r="J744">
        <f>IF(OR(I744="OK",I744="Pas de saisie journalière ce jour-là"),E744,0)</f>
        <v>0.0</v>
      </c>
      <c r="K744">
        <f>IF(AND(J744&gt;0,A744&gt;=p_from,A744&lt;=p_to),1,0)</f>
        <v>0.0</v>
      </c>
      <c r="L744">
        <f>IF(AND(K744=1,OR(pa_po="",C744=pa_po),OR(pa_eq="",B744=pa_eq)),1,0)</f>
        <v>0.0</v>
      </c>
    </row>
    <row r="745">
      <c r="A745" s="51" t="n"/>
      <c r="B745" s="52" t="n"/>
      <c r="C745" s="52" t="n"/>
      <c r="D745" s="53" t="n"/>
      <c r="E745" s="60" t="n"/>
      <c r="F745" s="53" t="n"/>
      <c r="G745" s="61" t="str">
        <f>IF(OR(COUNTA(A745:E745)=0,D745=""),"",IFERROR(INDEX(ca_fam,MATCH(D745,ca_name,0))&amp;"",""))</f>
        <v/>
      </c>
      <c r="H745" s="58" t="str">
        <f>IF(OR(COUNTA(A745:E745)=0,D745=""),"",IFERROR(INDEX(ca_type,MATCH(D745,ca_name,0))&amp;"",""))</f>
        <v/>
      </c>
      <c r="I745" s="58" t="str">
        <f>IF(COUNTA(A745:E745)=0,"",IF(N(A745)&lt;=0,"Date manquante ou invalide",IF(B745="","Équipe manquante",IF(ISNA(MATCH(B745,eq_code,0)),"Équipe inconnue",IF(C745="","Poste manquant",IF(ISNA(MATCH(C745,po_code,0)),"Poste inconnu",IF(D745="","Cause manquante",IF(ISNA(MATCH(D745,ca_name,0)),"Cause inconnue",IF(H745="","Cause à compléter dans Paramètres",IF(OR(NOT(ISNUMBER(E745)),N(E745)&lt;=0,N(E745)&gt;1440),"Durée invalide",IF(COUNTIFS(sj_date,A745,sj_eq,B745,sj_po,C745)=0,"Pas de saisie journalière ce jour-là","OK")))))))))))</f>
        <v/>
      </c>
      <c r="J745">
        <f>IF(OR(I745="OK",I745="Pas de saisie journalière ce jour-là"),E745,0)</f>
        <v>0.0</v>
      </c>
      <c r="K745">
        <f>IF(AND(J745&gt;0,A745&gt;=p_from,A745&lt;=p_to),1,0)</f>
        <v>0.0</v>
      </c>
      <c r="L745">
        <f>IF(AND(K745=1,OR(pa_po="",C745=pa_po),OR(pa_eq="",B745=pa_eq)),1,0)</f>
        <v>0.0</v>
      </c>
    </row>
    <row r="746">
      <c r="A746" s="51" t="n"/>
      <c r="B746" s="52" t="n"/>
      <c r="C746" s="52" t="n"/>
      <c r="D746" s="53" t="n"/>
      <c r="E746" s="60" t="n"/>
      <c r="F746" s="53" t="n"/>
      <c r="G746" s="61" t="str">
        <f>IF(OR(COUNTA(A746:E746)=0,D746=""),"",IFERROR(INDEX(ca_fam,MATCH(D746,ca_name,0))&amp;"",""))</f>
        <v/>
      </c>
      <c r="H746" s="58" t="str">
        <f>IF(OR(COUNTA(A746:E746)=0,D746=""),"",IFERROR(INDEX(ca_type,MATCH(D746,ca_name,0))&amp;"",""))</f>
        <v/>
      </c>
      <c r="I746" s="58" t="str">
        <f>IF(COUNTA(A746:E746)=0,"",IF(N(A746)&lt;=0,"Date manquante ou invalide",IF(B746="","Équipe manquante",IF(ISNA(MATCH(B746,eq_code,0)),"Équipe inconnue",IF(C746="","Poste manquant",IF(ISNA(MATCH(C746,po_code,0)),"Poste inconnu",IF(D746="","Cause manquante",IF(ISNA(MATCH(D746,ca_name,0)),"Cause inconnue",IF(H746="","Cause à compléter dans Paramètres",IF(OR(NOT(ISNUMBER(E746)),N(E746)&lt;=0,N(E746)&gt;1440),"Durée invalide",IF(COUNTIFS(sj_date,A746,sj_eq,B746,sj_po,C746)=0,"Pas de saisie journalière ce jour-là","OK")))))))))))</f>
        <v/>
      </c>
      <c r="J746">
        <f>IF(OR(I746="OK",I746="Pas de saisie journalière ce jour-là"),E746,0)</f>
        <v>0.0</v>
      </c>
      <c r="K746">
        <f>IF(AND(J746&gt;0,A746&gt;=p_from,A746&lt;=p_to),1,0)</f>
        <v>0.0</v>
      </c>
      <c r="L746">
        <f>IF(AND(K746=1,OR(pa_po="",C746=pa_po),OR(pa_eq="",B746=pa_eq)),1,0)</f>
        <v>0.0</v>
      </c>
    </row>
    <row r="747">
      <c r="A747" s="51" t="n"/>
      <c r="B747" s="52" t="n"/>
      <c r="C747" s="52" t="n"/>
      <c r="D747" s="53" t="n"/>
      <c r="E747" s="60" t="n"/>
      <c r="F747" s="53" t="n"/>
      <c r="G747" s="61" t="str">
        <f>IF(OR(COUNTA(A747:E747)=0,D747=""),"",IFERROR(INDEX(ca_fam,MATCH(D747,ca_name,0))&amp;"",""))</f>
        <v/>
      </c>
      <c r="H747" s="58" t="str">
        <f>IF(OR(COUNTA(A747:E747)=0,D747=""),"",IFERROR(INDEX(ca_type,MATCH(D747,ca_name,0))&amp;"",""))</f>
        <v/>
      </c>
      <c r="I747" s="58" t="str">
        <f>IF(COUNTA(A747:E747)=0,"",IF(N(A747)&lt;=0,"Date manquante ou invalide",IF(B747="","Équipe manquante",IF(ISNA(MATCH(B747,eq_code,0)),"Équipe inconnue",IF(C747="","Poste manquant",IF(ISNA(MATCH(C747,po_code,0)),"Poste inconnu",IF(D747="","Cause manquante",IF(ISNA(MATCH(D747,ca_name,0)),"Cause inconnue",IF(H747="","Cause à compléter dans Paramètres",IF(OR(NOT(ISNUMBER(E747)),N(E747)&lt;=0,N(E747)&gt;1440),"Durée invalide",IF(COUNTIFS(sj_date,A747,sj_eq,B747,sj_po,C747)=0,"Pas de saisie journalière ce jour-là","OK")))))))))))</f>
        <v/>
      </c>
      <c r="J747">
        <f>IF(OR(I747="OK",I747="Pas de saisie journalière ce jour-là"),E747,0)</f>
        <v>0.0</v>
      </c>
      <c r="K747">
        <f>IF(AND(J747&gt;0,A747&gt;=p_from,A747&lt;=p_to),1,0)</f>
        <v>0.0</v>
      </c>
      <c r="L747">
        <f>IF(AND(K747=1,OR(pa_po="",C747=pa_po),OR(pa_eq="",B747=pa_eq)),1,0)</f>
        <v>0.0</v>
      </c>
    </row>
    <row r="748">
      <c r="A748" s="51" t="n"/>
      <c r="B748" s="52" t="n"/>
      <c r="C748" s="52" t="n"/>
      <c r="D748" s="53" t="n"/>
      <c r="E748" s="60" t="n"/>
      <c r="F748" s="53" t="n"/>
      <c r="G748" s="61" t="str">
        <f>IF(OR(COUNTA(A748:E748)=0,D748=""),"",IFERROR(INDEX(ca_fam,MATCH(D748,ca_name,0))&amp;"",""))</f>
        <v/>
      </c>
      <c r="H748" s="58" t="str">
        <f>IF(OR(COUNTA(A748:E748)=0,D748=""),"",IFERROR(INDEX(ca_type,MATCH(D748,ca_name,0))&amp;"",""))</f>
        <v/>
      </c>
      <c r="I748" s="58" t="str">
        <f>IF(COUNTA(A748:E748)=0,"",IF(N(A748)&lt;=0,"Date manquante ou invalide",IF(B748="","Équipe manquante",IF(ISNA(MATCH(B748,eq_code,0)),"Équipe inconnue",IF(C748="","Poste manquant",IF(ISNA(MATCH(C748,po_code,0)),"Poste inconnu",IF(D748="","Cause manquante",IF(ISNA(MATCH(D748,ca_name,0)),"Cause inconnue",IF(H748="","Cause à compléter dans Paramètres",IF(OR(NOT(ISNUMBER(E748)),N(E748)&lt;=0,N(E748)&gt;1440),"Durée invalide",IF(COUNTIFS(sj_date,A748,sj_eq,B748,sj_po,C748)=0,"Pas de saisie journalière ce jour-là","OK")))))))))))</f>
        <v/>
      </c>
      <c r="J748">
        <f>IF(OR(I748="OK",I748="Pas de saisie journalière ce jour-là"),E748,0)</f>
        <v>0.0</v>
      </c>
      <c r="K748">
        <f>IF(AND(J748&gt;0,A748&gt;=p_from,A748&lt;=p_to),1,0)</f>
        <v>0.0</v>
      </c>
      <c r="L748">
        <f>IF(AND(K748=1,OR(pa_po="",C748=pa_po),OR(pa_eq="",B748=pa_eq)),1,0)</f>
        <v>0.0</v>
      </c>
    </row>
    <row r="749">
      <c r="A749" s="51" t="n"/>
      <c r="B749" s="52" t="n"/>
      <c r="C749" s="52" t="n"/>
      <c r="D749" s="53" t="n"/>
      <c r="E749" s="60" t="n"/>
      <c r="F749" s="53" t="n"/>
      <c r="G749" s="61" t="str">
        <f>IF(OR(COUNTA(A749:E749)=0,D749=""),"",IFERROR(INDEX(ca_fam,MATCH(D749,ca_name,0))&amp;"",""))</f>
        <v/>
      </c>
      <c r="H749" s="58" t="str">
        <f>IF(OR(COUNTA(A749:E749)=0,D749=""),"",IFERROR(INDEX(ca_type,MATCH(D749,ca_name,0))&amp;"",""))</f>
        <v/>
      </c>
      <c r="I749" s="58" t="str">
        <f>IF(COUNTA(A749:E749)=0,"",IF(N(A749)&lt;=0,"Date manquante ou invalide",IF(B749="","Équipe manquante",IF(ISNA(MATCH(B749,eq_code,0)),"Équipe inconnue",IF(C749="","Poste manquant",IF(ISNA(MATCH(C749,po_code,0)),"Poste inconnu",IF(D749="","Cause manquante",IF(ISNA(MATCH(D749,ca_name,0)),"Cause inconnue",IF(H749="","Cause à compléter dans Paramètres",IF(OR(NOT(ISNUMBER(E749)),N(E749)&lt;=0,N(E749)&gt;1440),"Durée invalide",IF(COUNTIFS(sj_date,A749,sj_eq,B749,sj_po,C749)=0,"Pas de saisie journalière ce jour-là","OK")))))))))))</f>
        <v/>
      </c>
      <c r="J749">
        <f>IF(OR(I749="OK",I749="Pas de saisie journalière ce jour-là"),E749,0)</f>
        <v>0.0</v>
      </c>
      <c r="K749">
        <f>IF(AND(J749&gt;0,A749&gt;=p_from,A749&lt;=p_to),1,0)</f>
        <v>0.0</v>
      </c>
      <c r="L749">
        <f>IF(AND(K749=1,OR(pa_po="",C749=pa_po),OR(pa_eq="",B749=pa_eq)),1,0)</f>
        <v>0.0</v>
      </c>
    </row>
    <row r="750">
      <c r="A750" s="51" t="n"/>
      <c r="B750" s="52" t="n"/>
      <c r="C750" s="52" t="n"/>
      <c r="D750" s="53" t="n"/>
      <c r="E750" s="60" t="n"/>
      <c r="F750" s="53" t="n"/>
      <c r="G750" s="61" t="str">
        <f>IF(OR(COUNTA(A750:E750)=0,D750=""),"",IFERROR(INDEX(ca_fam,MATCH(D750,ca_name,0))&amp;"",""))</f>
        <v/>
      </c>
      <c r="H750" s="58" t="str">
        <f>IF(OR(COUNTA(A750:E750)=0,D750=""),"",IFERROR(INDEX(ca_type,MATCH(D750,ca_name,0))&amp;"",""))</f>
        <v/>
      </c>
      <c r="I750" s="58" t="str">
        <f>IF(COUNTA(A750:E750)=0,"",IF(N(A750)&lt;=0,"Date manquante ou invalide",IF(B750="","Équipe manquante",IF(ISNA(MATCH(B750,eq_code,0)),"Équipe inconnue",IF(C750="","Poste manquant",IF(ISNA(MATCH(C750,po_code,0)),"Poste inconnu",IF(D750="","Cause manquante",IF(ISNA(MATCH(D750,ca_name,0)),"Cause inconnue",IF(H750="","Cause à compléter dans Paramètres",IF(OR(NOT(ISNUMBER(E750)),N(E750)&lt;=0,N(E750)&gt;1440),"Durée invalide",IF(COUNTIFS(sj_date,A750,sj_eq,B750,sj_po,C750)=0,"Pas de saisie journalière ce jour-là","OK")))))))))))</f>
        <v/>
      </c>
      <c r="J750">
        <f>IF(OR(I750="OK",I750="Pas de saisie journalière ce jour-là"),E750,0)</f>
        <v>0.0</v>
      </c>
      <c r="K750">
        <f>IF(AND(J750&gt;0,A750&gt;=p_from,A750&lt;=p_to),1,0)</f>
        <v>0.0</v>
      </c>
      <c r="L750">
        <f>IF(AND(K750=1,OR(pa_po="",C750=pa_po),OR(pa_eq="",B750=pa_eq)),1,0)</f>
        <v>0.0</v>
      </c>
    </row>
    <row r="751">
      <c r="A751" s="51" t="n"/>
      <c r="B751" s="52" t="n"/>
      <c r="C751" s="52" t="n"/>
      <c r="D751" s="53" t="n"/>
      <c r="E751" s="60" t="n"/>
      <c r="F751" s="53" t="n"/>
      <c r="G751" s="61" t="str">
        <f>IF(OR(COUNTA(A751:E751)=0,D751=""),"",IFERROR(INDEX(ca_fam,MATCH(D751,ca_name,0))&amp;"",""))</f>
        <v/>
      </c>
      <c r="H751" s="58" t="str">
        <f>IF(OR(COUNTA(A751:E751)=0,D751=""),"",IFERROR(INDEX(ca_type,MATCH(D751,ca_name,0))&amp;"",""))</f>
        <v/>
      </c>
      <c r="I751" s="58" t="str">
        <f>IF(COUNTA(A751:E751)=0,"",IF(N(A751)&lt;=0,"Date manquante ou invalide",IF(B751="","Équipe manquante",IF(ISNA(MATCH(B751,eq_code,0)),"Équipe inconnue",IF(C751="","Poste manquant",IF(ISNA(MATCH(C751,po_code,0)),"Poste inconnu",IF(D751="","Cause manquante",IF(ISNA(MATCH(D751,ca_name,0)),"Cause inconnue",IF(H751="","Cause à compléter dans Paramètres",IF(OR(NOT(ISNUMBER(E751)),N(E751)&lt;=0,N(E751)&gt;1440),"Durée invalide",IF(COUNTIFS(sj_date,A751,sj_eq,B751,sj_po,C751)=0,"Pas de saisie journalière ce jour-là","OK")))))))))))</f>
        <v/>
      </c>
      <c r="J751">
        <f>IF(OR(I751="OK",I751="Pas de saisie journalière ce jour-là"),E751,0)</f>
        <v>0.0</v>
      </c>
      <c r="K751">
        <f>IF(AND(J751&gt;0,A751&gt;=p_from,A751&lt;=p_to),1,0)</f>
        <v>0.0</v>
      </c>
      <c r="L751">
        <f>IF(AND(K751=1,OR(pa_po="",C751=pa_po),OR(pa_eq="",B751=pa_eq)),1,0)</f>
        <v>0.0</v>
      </c>
    </row>
    <row r="752">
      <c r="A752" s="51" t="n"/>
      <c r="B752" s="52" t="n"/>
      <c r="C752" s="52" t="n"/>
      <c r="D752" s="53" t="n"/>
      <c r="E752" s="60" t="n"/>
      <c r="F752" s="53" t="n"/>
      <c r="G752" s="61" t="str">
        <f>IF(OR(COUNTA(A752:E752)=0,D752=""),"",IFERROR(INDEX(ca_fam,MATCH(D752,ca_name,0))&amp;"",""))</f>
        <v/>
      </c>
      <c r="H752" s="58" t="str">
        <f>IF(OR(COUNTA(A752:E752)=0,D752=""),"",IFERROR(INDEX(ca_type,MATCH(D752,ca_name,0))&amp;"",""))</f>
        <v/>
      </c>
      <c r="I752" s="58" t="str">
        <f>IF(COUNTA(A752:E752)=0,"",IF(N(A752)&lt;=0,"Date manquante ou invalide",IF(B752="","Équipe manquante",IF(ISNA(MATCH(B752,eq_code,0)),"Équipe inconnue",IF(C752="","Poste manquant",IF(ISNA(MATCH(C752,po_code,0)),"Poste inconnu",IF(D752="","Cause manquante",IF(ISNA(MATCH(D752,ca_name,0)),"Cause inconnue",IF(H752="","Cause à compléter dans Paramètres",IF(OR(NOT(ISNUMBER(E752)),N(E752)&lt;=0,N(E752)&gt;1440),"Durée invalide",IF(COUNTIFS(sj_date,A752,sj_eq,B752,sj_po,C752)=0,"Pas de saisie journalière ce jour-là","OK")))))))))))</f>
        <v/>
      </c>
      <c r="J752">
        <f>IF(OR(I752="OK",I752="Pas de saisie journalière ce jour-là"),E752,0)</f>
        <v>0.0</v>
      </c>
      <c r="K752">
        <f>IF(AND(J752&gt;0,A752&gt;=p_from,A752&lt;=p_to),1,0)</f>
        <v>0.0</v>
      </c>
      <c r="L752">
        <f>IF(AND(K752=1,OR(pa_po="",C752=pa_po),OR(pa_eq="",B752=pa_eq)),1,0)</f>
        <v>0.0</v>
      </c>
    </row>
    <row r="753">
      <c r="A753" s="51" t="n"/>
      <c r="B753" s="52" t="n"/>
      <c r="C753" s="52" t="n"/>
      <c r="D753" s="53" t="n"/>
      <c r="E753" s="60" t="n"/>
      <c r="F753" s="53" t="n"/>
      <c r="G753" s="61" t="str">
        <f>IF(OR(COUNTA(A753:E753)=0,D753=""),"",IFERROR(INDEX(ca_fam,MATCH(D753,ca_name,0))&amp;"",""))</f>
        <v/>
      </c>
      <c r="H753" s="58" t="str">
        <f>IF(OR(COUNTA(A753:E753)=0,D753=""),"",IFERROR(INDEX(ca_type,MATCH(D753,ca_name,0))&amp;"",""))</f>
        <v/>
      </c>
      <c r="I753" s="58" t="str">
        <f>IF(COUNTA(A753:E753)=0,"",IF(N(A753)&lt;=0,"Date manquante ou invalide",IF(B753="","Équipe manquante",IF(ISNA(MATCH(B753,eq_code,0)),"Équipe inconnue",IF(C753="","Poste manquant",IF(ISNA(MATCH(C753,po_code,0)),"Poste inconnu",IF(D753="","Cause manquante",IF(ISNA(MATCH(D753,ca_name,0)),"Cause inconnue",IF(H753="","Cause à compléter dans Paramètres",IF(OR(NOT(ISNUMBER(E753)),N(E753)&lt;=0,N(E753)&gt;1440),"Durée invalide",IF(COUNTIFS(sj_date,A753,sj_eq,B753,sj_po,C753)=0,"Pas de saisie journalière ce jour-là","OK")))))))))))</f>
        <v/>
      </c>
      <c r="J753">
        <f>IF(OR(I753="OK",I753="Pas de saisie journalière ce jour-là"),E753,0)</f>
        <v>0.0</v>
      </c>
      <c r="K753">
        <f>IF(AND(J753&gt;0,A753&gt;=p_from,A753&lt;=p_to),1,0)</f>
        <v>0.0</v>
      </c>
      <c r="L753">
        <f>IF(AND(K753=1,OR(pa_po="",C753=pa_po),OR(pa_eq="",B753=pa_eq)),1,0)</f>
        <v>0.0</v>
      </c>
    </row>
    <row r="754">
      <c r="A754" s="51" t="n"/>
      <c r="B754" s="52" t="n"/>
      <c r="C754" s="52" t="n"/>
      <c r="D754" s="53" t="n"/>
      <c r="E754" s="60" t="n"/>
      <c r="F754" s="53" t="n"/>
      <c r="G754" s="61" t="str">
        <f>IF(OR(COUNTA(A754:E754)=0,D754=""),"",IFERROR(INDEX(ca_fam,MATCH(D754,ca_name,0))&amp;"",""))</f>
        <v/>
      </c>
      <c r="H754" s="58" t="str">
        <f>IF(OR(COUNTA(A754:E754)=0,D754=""),"",IFERROR(INDEX(ca_type,MATCH(D754,ca_name,0))&amp;"",""))</f>
        <v/>
      </c>
      <c r="I754" s="58" t="str">
        <f>IF(COUNTA(A754:E754)=0,"",IF(N(A754)&lt;=0,"Date manquante ou invalide",IF(B754="","Équipe manquante",IF(ISNA(MATCH(B754,eq_code,0)),"Équipe inconnue",IF(C754="","Poste manquant",IF(ISNA(MATCH(C754,po_code,0)),"Poste inconnu",IF(D754="","Cause manquante",IF(ISNA(MATCH(D754,ca_name,0)),"Cause inconnue",IF(H754="","Cause à compléter dans Paramètres",IF(OR(NOT(ISNUMBER(E754)),N(E754)&lt;=0,N(E754)&gt;1440),"Durée invalide",IF(COUNTIFS(sj_date,A754,sj_eq,B754,sj_po,C754)=0,"Pas de saisie journalière ce jour-là","OK")))))))))))</f>
        <v/>
      </c>
      <c r="J754">
        <f>IF(OR(I754="OK",I754="Pas de saisie journalière ce jour-là"),E754,0)</f>
        <v>0.0</v>
      </c>
      <c r="K754">
        <f>IF(AND(J754&gt;0,A754&gt;=p_from,A754&lt;=p_to),1,0)</f>
        <v>0.0</v>
      </c>
      <c r="L754">
        <f>IF(AND(K754=1,OR(pa_po="",C754=pa_po),OR(pa_eq="",B754=pa_eq)),1,0)</f>
        <v>0.0</v>
      </c>
    </row>
    <row r="755">
      <c r="A755" s="51" t="n"/>
      <c r="B755" s="52" t="n"/>
      <c r="C755" s="52" t="n"/>
      <c r="D755" s="53" t="n"/>
      <c r="E755" s="60" t="n"/>
      <c r="F755" s="53" t="n"/>
      <c r="G755" s="61" t="str">
        <f>IF(OR(COUNTA(A755:E755)=0,D755=""),"",IFERROR(INDEX(ca_fam,MATCH(D755,ca_name,0))&amp;"",""))</f>
        <v/>
      </c>
      <c r="H755" s="58" t="str">
        <f>IF(OR(COUNTA(A755:E755)=0,D755=""),"",IFERROR(INDEX(ca_type,MATCH(D755,ca_name,0))&amp;"",""))</f>
        <v/>
      </c>
      <c r="I755" s="58" t="str">
        <f>IF(COUNTA(A755:E755)=0,"",IF(N(A755)&lt;=0,"Date manquante ou invalide",IF(B755="","Équipe manquante",IF(ISNA(MATCH(B755,eq_code,0)),"Équipe inconnue",IF(C755="","Poste manquant",IF(ISNA(MATCH(C755,po_code,0)),"Poste inconnu",IF(D755="","Cause manquante",IF(ISNA(MATCH(D755,ca_name,0)),"Cause inconnue",IF(H755="","Cause à compléter dans Paramètres",IF(OR(NOT(ISNUMBER(E755)),N(E755)&lt;=0,N(E755)&gt;1440),"Durée invalide",IF(COUNTIFS(sj_date,A755,sj_eq,B755,sj_po,C755)=0,"Pas de saisie journalière ce jour-là","OK")))))))))))</f>
        <v/>
      </c>
      <c r="J755">
        <f>IF(OR(I755="OK",I755="Pas de saisie journalière ce jour-là"),E755,0)</f>
        <v>0.0</v>
      </c>
      <c r="K755">
        <f>IF(AND(J755&gt;0,A755&gt;=p_from,A755&lt;=p_to),1,0)</f>
        <v>0.0</v>
      </c>
      <c r="L755">
        <f>IF(AND(K755=1,OR(pa_po="",C755=pa_po),OR(pa_eq="",B755=pa_eq)),1,0)</f>
        <v>0.0</v>
      </c>
    </row>
    <row r="756">
      <c r="A756" s="51" t="n"/>
      <c r="B756" s="52" t="n"/>
      <c r="C756" s="52" t="n"/>
      <c r="D756" s="53" t="n"/>
      <c r="E756" s="60" t="n"/>
      <c r="F756" s="53" t="n"/>
      <c r="G756" s="61" t="str">
        <f>IF(OR(COUNTA(A756:E756)=0,D756=""),"",IFERROR(INDEX(ca_fam,MATCH(D756,ca_name,0))&amp;"",""))</f>
        <v/>
      </c>
      <c r="H756" s="58" t="str">
        <f>IF(OR(COUNTA(A756:E756)=0,D756=""),"",IFERROR(INDEX(ca_type,MATCH(D756,ca_name,0))&amp;"",""))</f>
        <v/>
      </c>
      <c r="I756" s="58" t="str">
        <f>IF(COUNTA(A756:E756)=0,"",IF(N(A756)&lt;=0,"Date manquante ou invalide",IF(B756="","Équipe manquante",IF(ISNA(MATCH(B756,eq_code,0)),"Équipe inconnue",IF(C756="","Poste manquant",IF(ISNA(MATCH(C756,po_code,0)),"Poste inconnu",IF(D756="","Cause manquante",IF(ISNA(MATCH(D756,ca_name,0)),"Cause inconnue",IF(H756="","Cause à compléter dans Paramètres",IF(OR(NOT(ISNUMBER(E756)),N(E756)&lt;=0,N(E756)&gt;1440),"Durée invalide",IF(COUNTIFS(sj_date,A756,sj_eq,B756,sj_po,C756)=0,"Pas de saisie journalière ce jour-là","OK")))))))))))</f>
        <v/>
      </c>
      <c r="J756">
        <f>IF(OR(I756="OK",I756="Pas de saisie journalière ce jour-là"),E756,0)</f>
        <v>0.0</v>
      </c>
      <c r="K756">
        <f>IF(AND(J756&gt;0,A756&gt;=p_from,A756&lt;=p_to),1,0)</f>
        <v>0.0</v>
      </c>
      <c r="L756">
        <f>IF(AND(K756=1,OR(pa_po="",C756=pa_po),OR(pa_eq="",B756=pa_eq)),1,0)</f>
        <v>0.0</v>
      </c>
    </row>
    <row r="757">
      <c r="A757" s="51" t="n"/>
      <c r="B757" s="52" t="n"/>
      <c r="C757" s="52" t="n"/>
      <c r="D757" s="53" t="n"/>
      <c r="E757" s="60" t="n"/>
      <c r="F757" s="53" t="n"/>
      <c r="G757" s="61" t="str">
        <f>IF(OR(COUNTA(A757:E757)=0,D757=""),"",IFERROR(INDEX(ca_fam,MATCH(D757,ca_name,0))&amp;"",""))</f>
        <v/>
      </c>
      <c r="H757" s="58" t="str">
        <f>IF(OR(COUNTA(A757:E757)=0,D757=""),"",IFERROR(INDEX(ca_type,MATCH(D757,ca_name,0))&amp;"",""))</f>
        <v/>
      </c>
      <c r="I757" s="58" t="str">
        <f>IF(COUNTA(A757:E757)=0,"",IF(N(A757)&lt;=0,"Date manquante ou invalide",IF(B757="","Équipe manquante",IF(ISNA(MATCH(B757,eq_code,0)),"Équipe inconnue",IF(C757="","Poste manquant",IF(ISNA(MATCH(C757,po_code,0)),"Poste inconnu",IF(D757="","Cause manquante",IF(ISNA(MATCH(D757,ca_name,0)),"Cause inconnue",IF(H757="","Cause à compléter dans Paramètres",IF(OR(NOT(ISNUMBER(E757)),N(E757)&lt;=0,N(E757)&gt;1440),"Durée invalide",IF(COUNTIFS(sj_date,A757,sj_eq,B757,sj_po,C757)=0,"Pas de saisie journalière ce jour-là","OK")))))))))))</f>
        <v/>
      </c>
      <c r="J757">
        <f>IF(OR(I757="OK",I757="Pas de saisie journalière ce jour-là"),E757,0)</f>
        <v>0.0</v>
      </c>
      <c r="K757">
        <f>IF(AND(J757&gt;0,A757&gt;=p_from,A757&lt;=p_to),1,0)</f>
        <v>0.0</v>
      </c>
      <c r="L757">
        <f>IF(AND(K757=1,OR(pa_po="",C757=pa_po),OR(pa_eq="",B757=pa_eq)),1,0)</f>
        <v>0.0</v>
      </c>
    </row>
    <row r="758">
      <c r="A758" s="51" t="n"/>
      <c r="B758" s="52" t="n"/>
      <c r="C758" s="52" t="n"/>
      <c r="D758" s="53" t="n"/>
      <c r="E758" s="60" t="n"/>
      <c r="F758" s="53" t="n"/>
      <c r="G758" s="61" t="str">
        <f>IF(OR(COUNTA(A758:E758)=0,D758=""),"",IFERROR(INDEX(ca_fam,MATCH(D758,ca_name,0))&amp;"",""))</f>
        <v/>
      </c>
      <c r="H758" s="58" t="str">
        <f>IF(OR(COUNTA(A758:E758)=0,D758=""),"",IFERROR(INDEX(ca_type,MATCH(D758,ca_name,0))&amp;"",""))</f>
        <v/>
      </c>
      <c r="I758" s="58" t="str">
        <f>IF(COUNTA(A758:E758)=0,"",IF(N(A758)&lt;=0,"Date manquante ou invalide",IF(B758="","Équipe manquante",IF(ISNA(MATCH(B758,eq_code,0)),"Équipe inconnue",IF(C758="","Poste manquant",IF(ISNA(MATCH(C758,po_code,0)),"Poste inconnu",IF(D758="","Cause manquante",IF(ISNA(MATCH(D758,ca_name,0)),"Cause inconnue",IF(H758="","Cause à compléter dans Paramètres",IF(OR(NOT(ISNUMBER(E758)),N(E758)&lt;=0,N(E758)&gt;1440),"Durée invalide",IF(COUNTIFS(sj_date,A758,sj_eq,B758,sj_po,C758)=0,"Pas de saisie journalière ce jour-là","OK")))))))))))</f>
        <v/>
      </c>
      <c r="J758">
        <f>IF(OR(I758="OK",I758="Pas de saisie journalière ce jour-là"),E758,0)</f>
        <v>0.0</v>
      </c>
      <c r="K758">
        <f>IF(AND(J758&gt;0,A758&gt;=p_from,A758&lt;=p_to),1,0)</f>
        <v>0.0</v>
      </c>
      <c r="L758">
        <f>IF(AND(K758=1,OR(pa_po="",C758=pa_po),OR(pa_eq="",B758=pa_eq)),1,0)</f>
        <v>0.0</v>
      </c>
    </row>
    <row r="759">
      <c r="A759" s="51" t="n"/>
      <c r="B759" s="52" t="n"/>
      <c r="C759" s="52" t="n"/>
      <c r="D759" s="53" t="n"/>
      <c r="E759" s="60" t="n"/>
      <c r="F759" s="53" t="n"/>
      <c r="G759" s="61" t="str">
        <f>IF(OR(COUNTA(A759:E759)=0,D759=""),"",IFERROR(INDEX(ca_fam,MATCH(D759,ca_name,0))&amp;"",""))</f>
        <v/>
      </c>
      <c r="H759" s="58" t="str">
        <f>IF(OR(COUNTA(A759:E759)=0,D759=""),"",IFERROR(INDEX(ca_type,MATCH(D759,ca_name,0))&amp;"",""))</f>
        <v/>
      </c>
      <c r="I759" s="58" t="str">
        <f>IF(COUNTA(A759:E759)=0,"",IF(N(A759)&lt;=0,"Date manquante ou invalide",IF(B759="","Équipe manquante",IF(ISNA(MATCH(B759,eq_code,0)),"Équipe inconnue",IF(C759="","Poste manquant",IF(ISNA(MATCH(C759,po_code,0)),"Poste inconnu",IF(D759="","Cause manquante",IF(ISNA(MATCH(D759,ca_name,0)),"Cause inconnue",IF(H759="","Cause à compléter dans Paramètres",IF(OR(NOT(ISNUMBER(E759)),N(E759)&lt;=0,N(E759)&gt;1440),"Durée invalide",IF(COUNTIFS(sj_date,A759,sj_eq,B759,sj_po,C759)=0,"Pas de saisie journalière ce jour-là","OK")))))))))))</f>
        <v/>
      </c>
      <c r="J759">
        <f>IF(OR(I759="OK",I759="Pas de saisie journalière ce jour-là"),E759,0)</f>
        <v>0.0</v>
      </c>
      <c r="K759">
        <f>IF(AND(J759&gt;0,A759&gt;=p_from,A759&lt;=p_to),1,0)</f>
        <v>0.0</v>
      </c>
      <c r="L759">
        <f>IF(AND(K759=1,OR(pa_po="",C759=pa_po),OR(pa_eq="",B759=pa_eq)),1,0)</f>
        <v>0.0</v>
      </c>
    </row>
    <row r="760">
      <c r="A760" s="51" t="n"/>
      <c r="B760" s="52" t="n"/>
      <c r="C760" s="52" t="n"/>
      <c r="D760" s="53" t="n"/>
      <c r="E760" s="60" t="n"/>
      <c r="F760" s="53" t="n"/>
      <c r="G760" s="61" t="str">
        <f>IF(OR(COUNTA(A760:E760)=0,D760=""),"",IFERROR(INDEX(ca_fam,MATCH(D760,ca_name,0))&amp;"",""))</f>
        <v/>
      </c>
      <c r="H760" s="58" t="str">
        <f>IF(OR(COUNTA(A760:E760)=0,D760=""),"",IFERROR(INDEX(ca_type,MATCH(D760,ca_name,0))&amp;"",""))</f>
        <v/>
      </c>
      <c r="I760" s="58" t="str">
        <f>IF(COUNTA(A760:E760)=0,"",IF(N(A760)&lt;=0,"Date manquante ou invalide",IF(B760="","Équipe manquante",IF(ISNA(MATCH(B760,eq_code,0)),"Équipe inconnue",IF(C760="","Poste manquant",IF(ISNA(MATCH(C760,po_code,0)),"Poste inconnu",IF(D760="","Cause manquante",IF(ISNA(MATCH(D760,ca_name,0)),"Cause inconnue",IF(H760="","Cause à compléter dans Paramètres",IF(OR(NOT(ISNUMBER(E760)),N(E760)&lt;=0,N(E760)&gt;1440),"Durée invalide",IF(COUNTIFS(sj_date,A760,sj_eq,B760,sj_po,C760)=0,"Pas de saisie journalière ce jour-là","OK")))))))))))</f>
        <v/>
      </c>
      <c r="J760">
        <f>IF(OR(I760="OK",I760="Pas de saisie journalière ce jour-là"),E760,0)</f>
        <v>0.0</v>
      </c>
      <c r="K760">
        <f>IF(AND(J760&gt;0,A760&gt;=p_from,A760&lt;=p_to),1,0)</f>
        <v>0.0</v>
      </c>
      <c r="L760">
        <f>IF(AND(K760=1,OR(pa_po="",C760=pa_po),OR(pa_eq="",B760=pa_eq)),1,0)</f>
        <v>0.0</v>
      </c>
    </row>
    <row r="761">
      <c r="A761" s="51" t="n"/>
      <c r="B761" s="52" t="n"/>
      <c r="C761" s="52" t="n"/>
      <c r="D761" s="53" t="n"/>
      <c r="E761" s="60" t="n"/>
      <c r="F761" s="53" t="n"/>
      <c r="G761" s="61" t="str">
        <f>IF(OR(COUNTA(A761:E761)=0,D761=""),"",IFERROR(INDEX(ca_fam,MATCH(D761,ca_name,0))&amp;"",""))</f>
        <v/>
      </c>
      <c r="H761" s="58" t="str">
        <f>IF(OR(COUNTA(A761:E761)=0,D761=""),"",IFERROR(INDEX(ca_type,MATCH(D761,ca_name,0))&amp;"",""))</f>
        <v/>
      </c>
      <c r="I761" s="58" t="str">
        <f>IF(COUNTA(A761:E761)=0,"",IF(N(A761)&lt;=0,"Date manquante ou invalide",IF(B761="","Équipe manquante",IF(ISNA(MATCH(B761,eq_code,0)),"Équipe inconnue",IF(C761="","Poste manquant",IF(ISNA(MATCH(C761,po_code,0)),"Poste inconnu",IF(D761="","Cause manquante",IF(ISNA(MATCH(D761,ca_name,0)),"Cause inconnue",IF(H761="","Cause à compléter dans Paramètres",IF(OR(NOT(ISNUMBER(E761)),N(E761)&lt;=0,N(E761)&gt;1440),"Durée invalide",IF(COUNTIFS(sj_date,A761,sj_eq,B761,sj_po,C761)=0,"Pas de saisie journalière ce jour-là","OK")))))))))))</f>
        <v/>
      </c>
      <c r="J761">
        <f>IF(OR(I761="OK",I761="Pas de saisie journalière ce jour-là"),E761,0)</f>
        <v>0.0</v>
      </c>
      <c r="K761">
        <f>IF(AND(J761&gt;0,A761&gt;=p_from,A761&lt;=p_to),1,0)</f>
        <v>0.0</v>
      </c>
      <c r="L761">
        <f>IF(AND(K761=1,OR(pa_po="",C761=pa_po),OR(pa_eq="",B761=pa_eq)),1,0)</f>
        <v>0.0</v>
      </c>
    </row>
    <row r="762">
      <c r="A762" s="51" t="n"/>
      <c r="B762" s="52" t="n"/>
      <c r="C762" s="52" t="n"/>
      <c r="D762" s="53" t="n"/>
      <c r="E762" s="60" t="n"/>
      <c r="F762" s="53" t="n"/>
      <c r="G762" s="61" t="str">
        <f>IF(OR(COUNTA(A762:E762)=0,D762=""),"",IFERROR(INDEX(ca_fam,MATCH(D762,ca_name,0))&amp;"",""))</f>
        <v/>
      </c>
      <c r="H762" s="58" t="str">
        <f>IF(OR(COUNTA(A762:E762)=0,D762=""),"",IFERROR(INDEX(ca_type,MATCH(D762,ca_name,0))&amp;"",""))</f>
        <v/>
      </c>
      <c r="I762" s="58" t="str">
        <f>IF(COUNTA(A762:E762)=0,"",IF(N(A762)&lt;=0,"Date manquante ou invalide",IF(B762="","Équipe manquante",IF(ISNA(MATCH(B762,eq_code,0)),"Équipe inconnue",IF(C762="","Poste manquant",IF(ISNA(MATCH(C762,po_code,0)),"Poste inconnu",IF(D762="","Cause manquante",IF(ISNA(MATCH(D762,ca_name,0)),"Cause inconnue",IF(H762="","Cause à compléter dans Paramètres",IF(OR(NOT(ISNUMBER(E762)),N(E762)&lt;=0,N(E762)&gt;1440),"Durée invalide",IF(COUNTIFS(sj_date,A762,sj_eq,B762,sj_po,C762)=0,"Pas de saisie journalière ce jour-là","OK")))))))))))</f>
        <v/>
      </c>
      <c r="J762">
        <f>IF(OR(I762="OK",I762="Pas de saisie journalière ce jour-là"),E762,0)</f>
        <v>0.0</v>
      </c>
      <c r="K762">
        <f>IF(AND(J762&gt;0,A762&gt;=p_from,A762&lt;=p_to),1,0)</f>
        <v>0.0</v>
      </c>
      <c r="L762">
        <f>IF(AND(K762=1,OR(pa_po="",C762=pa_po),OR(pa_eq="",B762=pa_eq)),1,0)</f>
        <v>0.0</v>
      </c>
    </row>
    <row r="763">
      <c r="A763" s="51" t="n"/>
      <c r="B763" s="52" t="n"/>
      <c r="C763" s="52" t="n"/>
      <c r="D763" s="53" t="n"/>
      <c r="E763" s="60" t="n"/>
      <c r="F763" s="53" t="n"/>
      <c r="G763" s="61" t="str">
        <f>IF(OR(COUNTA(A763:E763)=0,D763=""),"",IFERROR(INDEX(ca_fam,MATCH(D763,ca_name,0))&amp;"",""))</f>
        <v/>
      </c>
      <c r="H763" s="58" t="str">
        <f>IF(OR(COUNTA(A763:E763)=0,D763=""),"",IFERROR(INDEX(ca_type,MATCH(D763,ca_name,0))&amp;"",""))</f>
        <v/>
      </c>
      <c r="I763" s="58" t="str">
        <f>IF(COUNTA(A763:E763)=0,"",IF(N(A763)&lt;=0,"Date manquante ou invalide",IF(B763="","Équipe manquante",IF(ISNA(MATCH(B763,eq_code,0)),"Équipe inconnue",IF(C763="","Poste manquant",IF(ISNA(MATCH(C763,po_code,0)),"Poste inconnu",IF(D763="","Cause manquante",IF(ISNA(MATCH(D763,ca_name,0)),"Cause inconnue",IF(H763="","Cause à compléter dans Paramètres",IF(OR(NOT(ISNUMBER(E763)),N(E763)&lt;=0,N(E763)&gt;1440),"Durée invalide",IF(COUNTIFS(sj_date,A763,sj_eq,B763,sj_po,C763)=0,"Pas de saisie journalière ce jour-là","OK")))))))))))</f>
        <v/>
      </c>
      <c r="J763">
        <f>IF(OR(I763="OK",I763="Pas de saisie journalière ce jour-là"),E763,0)</f>
        <v>0.0</v>
      </c>
      <c r="K763">
        <f>IF(AND(J763&gt;0,A763&gt;=p_from,A763&lt;=p_to),1,0)</f>
        <v>0.0</v>
      </c>
      <c r="L763">
        <f>IF(AND(K763=1,OR(pa_po="",C763=pa_po),OR(pa_eq="",B763=pa_eq)),1,0)</f>
        <v>0.0</v>
      </c>
    </row>
    <row r="764">
      <c r="A764" s="51" t="n"/>
      <c r="B764" s="52" t="n"/>
      <c r="C764" s="52" t="n"/>
      <c r="D764" s="53" t="n"/>
      <c r="E764" s="60" t="n"/>
      <c r="F764" s="53" t="n"/>
      <c r="G764" s="61" t="str">
        <f>IF(OR(COUNTA(A764:E764)=0,D764=""),"",IFERROR(INDEX(ca_fam,MATCH(D764,ca_name,0))&amp;"",""))</f>
        <v/>
      </c>
      <c r="H764" s="58" t="str">
        <f>IF(OR(COUNTA(A764:E764)=0,D764=""),"",IFERROR(INDEX(ca_type,MATCH(D764,ca_name,0))&amp;"",""))</f>
        <v/>
      </c>
      <c r="I764" s="58" t="str">
        <f>IF(COUNTA(A764:E764)=0,"",IF(N(A764)&lt;=0,"Date manquante ou invalide",IF(B764="","Équipe manquante",IF(ISNA(MATCH(B764,eq_code,0)),"Équipe inconnue",IF(C764="","Poste manquant",IF(ISNA(MATCH(C764,po_code,0)),"Poste inconnu",IF(D764="","Cause manquante",IF(ISNA(MATCH(D764,ca_name,0)),"Cause inconnue",IF(H764="","Cause à compléter dans Paramètres",IF(OR(NOT(ISNUMBER(E764)),N(E764)&lt;=0,N(E764)&gt;1440),"Durée invalide",IF(COUNTIFS(sj_date,A764,sj_eq,B764,sj_po,C764)=0,"Pas de saisie journalière ce jour-là","OK")))))))))))</f>
        <v/>
      </c>
      <c r="J764">
        <f>IF(OR(I764="OK",I764="Pas de saisie journalière ce jour-là"),E764,0)</f>
        <v>0.0</v>
      </c>
      <c r="K764">
        <f>IF(AND(J764&gt;0,A764&gt;=p_from,A764&lt;=p_to),1,0)</f>
        <v>0.0</v>
      </c>
      <c r="L764">
        <f>IF(AND(K764=1,OR(pa_po="",C764=pa_po),OR(pa_eq="",B764=pa_eq)),1,0)</f>
        <v>0.0</v>
      </c>
    </row>
    <row r="765">
      <c r="A765" s="51" t="n"/>
      <c r="B765" s="52" t="n"/>
      <c r="C765" s="52" t="n"/>
      <c r="D765" s="53" t="n"/>
      <c r="E765" s="60" t="n"/>
      <c r="F765" s="53" t="n"/>
      <c r="G765" s="61" t="str">
        <f>IF(OR(COUNTA(A765:E765)=0,D765=""),"",IFERROR(INDEX(ca_fam,MATCH(D765,ca_name,0))&amp;"",""))</f>
        <v/>
      </c>
      <c r="H765" s="58" t="str">
        <f>IF(OR(COUNTA(A765:E765)=0,D765=""),"",IFERROR(INDEX(ca_type,MATCH(D765,ca_name,0))&amp;"",""))</f>
        <v/>
      </c>
      <c r="I765" s="58" t="str">
        <f>IF(COUNTA(A765:E765)=0,"",IF(N(A765)&lt;=0,"Date manquante ou invalide",IF(B765="","Équipe manquante",IF(ISNA(MATCH(B765,eq_code,0)),"Équipe inconnue",IF(C765="","Poste manquant",IF(ISNA(MATCH(C765,po_code,0)),"Poste inconnu",IF(D765="","Cause manquante",IF(ISNA(MATCH(D765,ca_name,0)),"Cause inconnue",IF(H765="","Cause à compléter dans Paramètres",IF(OR(NOT(ISNUMBER(E765)),N(E765)&lt;=0,N(E765)&gt;1440),"Durée invalide",IF(COUNTIFS(sj_date,A765,sj_eq,B765,sj_po,C765)=0,"Pas de saisie journalière ce jour-là","OK")))))))))))</f>
        <v/>
      </c>
      <c r="J765">
        <f>IF(OR(I765="OK",I765="Pas de saisie journalière ce jour-là"),E765,0)</f>
        <v>0.0</v>
      </c>
      <c r="K765">
        <f>IF(AND(J765&gt;0,A765&gt;=p_from,A765&lt;=p_to),1,0)</f>
        <v>0.0</v>
      </c>
      <c r="L765">
        <f>IF(AND(K765=1,OR(pa_po="",C765=pa_po),OR(pa_eq="",B765=pa_eq)),1,0)</f>
        <v>0.0</v>
      </c>
    </row>
    <row r="766">
      <c r="A766" s="51" t="n"/>
      <c r="B766" s="52" t="n"/>
      <c r="C766" s="52" t="n"/>
      <c r="D766" s="53" t="n"/>
      <c r="E766" s="60" t="n"/>
      <c r="F766" s="53" t="n"/>
      <c r="G766" s="61" t="str">
        <f>IF(OR(COUNTA(A766:E766)=0,D766=""),"",IFERROR(INDEX(ca_fam,MATCH(D766,ca_name,0))&amp;"",""))</f>
        <v/>
      </c>
      <c r="H766" s="58" t="str">
        <f>IF(OR(COUNTA(A766:E766)=0,D766=""),"",IFERROR(INDEX(ca_type,MATCH(D766,ca_name,0))&amp;"",""))</f>
        <v/>
      </c>
      <c r="I766" s="58" t="str">
        <f>IF(COUNTA(A766:E766)=0,"",IF(N(A766)&lt;=0,"Date manquante ou invalide",IF(B766="","Équipe manquante",IF(ISNA(MATCH(B766,eq_code,0)),"Équipe inconnue",IF(C766="","Poste manquant",IF(ISNA(MATCH(C766,po_code,0)),"Poste inconnu",IF(D766="","Cause manquante",IF(ISNA(MATCH(D766,ca_name,0)),"Cause inconnue",IF(H766="","Cause à compléter dans Paramètres",IF(OR(NOT(ISNUMBER(E766)),N(E766)&lt;=0,N(E766)&gt;1440),"Durée invalide",IF(COUNTIFS(sj_date,A766,sj_eq,B766,sj_po,C766)=0,"Pas de saisie journalière ce jour-là","OK")))))))))))</f>
        <v/>
      </c>
      <c r="J766">
        <f>IF(OR(I766="OK",I766="Pas de saisie journalière ce jour-là"),E766,0)</f>
        <v>0.0</v>
      </c>
      <c r="K766">
        <f>IF(AND(J766&gt;0,A766&gt;=p_from,A766&lt;=p_to),1,0)</f>
        <v>0.0</v>
      </c>
      <c r="L766">
        <f>IF(AND(K766=1,OR(pa_po="",C766=pa_po),OR(pa_eq="",B766=pa_eq)),1,0)</f>
        <v>0.0</v>
      </c>
    </row>
    <row r="767">
      <c r="A767" s="51" t="n"/>
      <c r="B767" s="52" t="n"/>
      <c r="C767" s="52" t="n"/>
      <c r="D767" s="53" t="n"/>
      <c r="E767" s="60" t="n"/>
      <c r="F767" s="53" t="n"/>
      <c r="G767" s="61" t="str">
        <f>IF(OR(COUNTA(A767:E767)=0,D767=""),"",IFERROR(INDEX(ca_fam,MATCH(D767,ca_name,0))&amp;"",""))</f>
        <v/>
      </c>
      <c r="H767" s="58" t="str">
        <f>IF(OR(COUNTA(A767:E767)=0,D767=""),"",IFERROR(INDEX(ca_type,MATCH(D767,ca_name,0))&amp;"",""))</f>
        <v/>
      </c>
      <c r="I767" s="58" t="str">
        <f>IF(COUNTA(A767:E767)=0,"",IF(N(A767)&lt;=0,"Date manquante ou invalide",IF(B767="","Équipe manquante",IF(ISNA(MATCH(B767,eq_code,0)),"Équipe inconnue",IF(C767="","Poste manquant",IF(ISNA(MATCH(C767,po_code,0)),"Poste inconnu",IF(D767="","Cause manquante",IF(ISNA(MATCH(D767,ca_name,0)),"Cause inconnue",IF(H767="","Cause à compléter dans Paramètres",IF(OR(NOT(ISNUMBER(E767)),N(E767)&lt;=0,N(E767)&gt;1440),"Durée invalide",IF(COUNTIFS(sj_date,A767,sj_eq,B767,sj_po,C767)=0,"Pas de saisie journalière ce jour-là","OK")))))))))))</f>
        <v/>
      </c>
      <c r="J767">
        <f>IF(OR(I767="OK",I767="Pas de saisie journalière ce jour-là"),E767,0)</f>
        <v>0.0</v>
      </c>
      <c r="K767">
        <f>IF(AND(J767&gt;0,A767&gt;=p_from,A767&lt;=p_to),1,0)</f>
        <v>0.0</v>
      </c>
      <c r="L767">
        <f>IF(AND(K767=1,OR(pa_po="",C767=pa_po),OR(pa_eq="",B767=pa_eq)),1,0)</f>
        <v>0.0</v>
      </c>
    </row>
    <row r="768">
      <c r="A768" s="51" t="n"/>
      <c r="B768" s="52" t="n"/>
      <c r="C768" s="52" t="n"/>
      <c r="D768" s="53" t="n"/>
      <c r="E768" s="60" t="n"/>
      <c r="F768" s="53" t="n"/>
      <c r="G768" s="61" t="str">
        <f>IF(OR(COUNTA(A768:E768)=0,D768=""),"",IFERROR(INDEX(ca_fam,MATCH(D768,ca_name,0))&amp;"",""))</f>
        <v/>
      </c>
      <c r="H768" s="58" t="str">
        <f>IF(OR(COUNTA(A768:E768)=0,D768=""),"",IFERROR(INDEX(ca_type,MATCH(D768,ca_name,0))&amp;"",""))</f>
        <v/>
      </c>
      <c r="I768" s="58" t="str">
        <f>IF(COUNTA(A768:E768)=0,"",IF(N(A768)&lt;=0,"Date manquante ou invalide",IF(B768="","Équipe manquante",IF(ISNA(MATCH(B768,eq_code,0)),"Équipe inconnue",IF(C768="","Poste manquant",IF(ISNA(MATCH(C768,po_code,0)),"Poste inconnu",IF(D768="","Cause manquante",IF(ISNA(MATCH(D768,ca_name,0)),"Cause inconnue",IF(H768="","Cause à compléter dans Paramètres",IF(OR(NOT(ISNUMBER(E768)),N(E768)&lt;=0,N(E768)&gt;1440),"Durée invalide",IF(COUNTIFS(sj_date,A768,sj_eq,B768,sj_po,C768)=0,"Pas de saisie journalière ce jour-là","OK")))))))))))</f>
        <v/>
      </c>
      <c r="J768">
        <f>IF(OR(I768="OK",I768="Pas de saisie journalière ce jour-là"),E768,0)</f>
        <v>0.0</v>
      </c>
      <c r="K768">
        <f>IF(AND(J768&gt;0,A768&gt;=p_from,A768&lt;=p_to),1,0)</f>
        <v>0.0</v>
      </c>
      <c r="L768">
        <f>IF(AND(K768=1,OR(pa_po="",C768=pa_po),OR(pa_eq="",B768=pa_eq)),1,0)</f>
        <v>0.0</v>
      </c>
    </row>
    <row r="769">
      <c r="A769" s="51" t="n"/>
      <c r="B769" s="52" t="n"/>
      <c r="C769" s="52" t="n"/>
      <c r="D769" s="53" t="n"/>
      <c r="E769" s="60" t="n"/>
      <c r="F769" s="53" t="n"/>
      <c r="G769" s="61" t="str">
        <f>IF(OR(COUNTA(A769:E769)=0,D769=""),"",IFERROR(INDEX(ca_fam,MATCH(D769,ca_name,0))&amp;"",""))</f>
        <v/>
      </c>
      <c r="H769" s="58" t="str">
        <f>IF(OR(COUNTA(A769:E769)=0,D769=""),"",IFERROR(INDEX(ca_type,MATCH(D769,ca_name,0))&amp;"",""))</f>
        <v/>
      </c>
      <c r="I769" s="58" t="str">
        <f>IF(COUNTA(A769:E769)=0,"",IF(N(A769)&lt;=0,"Date manquante ou invalide",IF(B769="","Équipe manquante",IF(ISNA(MATCH(B769,eq_code,0)),"Équipe inconnue",IF(C769="","Poste manquant",IF(ISNA(MATCH(C769,po_code,0)),"Poste inconnu",IF(D769="","Cause manquante",IF(ISNA(MATCH(D769,ca_name,0)),"Cause inconnue",IF(H769="","Cause à compléter dans Paramètres",IF(OR(NOT(ISNUMBER(E769)),N(E769)&lt;=0,N(E769)&gt;1440),"Durée invalide",IF(COUNTIFS(sj_date,A769,sj_eq,B769,sj_po,C769)=0,"Pas de saisie journalière ce jour-là","OK")))))))))))</f>
        <v/>
      </c>
      <c r="J769">
        <f>IF(OR(I769="OK",I769="Pas de saisie journalière ce jour-là"),E769,0)</f>
        <v>0.0</v>
      </c>
      <c r="K769">
        <f>IF(AND(J769&gt;0,A769&gt;=p_from,A769&lt;=p_to),1,0)</f>
        <v>0.0</v>
      </c>
      <c r="L769">
        <f>IF(AND(K769=1,OR(pa_po="",C769=pa_po),OR(pa_eq="",B769=pa_eq)),1,0)</f>
        <v>0.0</v>
      </c>
    </row>
    <row r="770">
      <c r="A770" s="51" t="n"/>
      <c r="B770" s="52" t="n"/>
      <c r="C770" s="52" t="n"/>
      <c r="D770" s="53" t="n"/>
      <c r="E770" s="60" t="n"/>
      <c r="F770" s="53" t="n"/>
      <c r="G770" s="61" t="str">
        <f>IF(OR(COUNTA(A770:E770)=0,D770=""),"",IFERROR(INDEX(ca_fam,MATCH(D770,ca_name,0))&amp;"",""))</f>
        <v/>
      </c>
      <c r="H770" s="58" t="str">
        <f>IF(OR(COUNTA(A770:E770)=0,D770=""),"",IFERROR(INDEX(ca_type,MATCH(D770,ca_name,0))&amp;"",""))</f>
        <v/>
      </c>
      <c r="I770" s="58" t="str">
        <f>IF(COUNTA(A770:E770)=0,"",IF(N(A770)&lt;=0,"Date manquante ou invalide",IF(B770="","Équipe manquante",IF(ISNA(MATCH(B770,eq_code,0)),"Équipe inconnue",IF(C770="","Poste manquant",IF(ISNA(MATCH(C770,po_code,0)),"Poste inconnu",IF(D770="","Cause manquante",IF(ISNA(MATCH(D770,ca_name,0)),"Cause inconnue",IF(H770="","Cause à compléter dans Paramètres",IF(OR(NOT(ISNUMBER(E770)),N(E770)&lt;=0,N(E770)&gt;1440),"Durée invalide",IF(COUNTIFS(sj_date,A770,sj_eq,B770,sj_po,C770)=0,"Pas de saisie journalière ce jour-là","OK")))))))))))</f>
        <v/>
      </c>
      <c r="J770">
        <f>IF(OR(I770="OK",I770="Pas de saisie journalière ce jour-là"),E770,0)</f>
        <v>0.0</v>
      </c>
      <c r="K770">
        <f>IF(AND(J770&gt;0,A770&gt;=p_from,A770&lt;=p_to),1,0)</f>
        <v>0.0</v>
      </c>
      <c r="L770">
        <f>IF(AND(K770=1,OR(pa_po="",C770=pa_po),OR(pa_eq="",B770=pa_eq)),1,0)</f>
        <v>0.0</v>
      </c>
    </row>
    <row r="771">
      <c r="A771" s="51" t="n"/>
      <c r="B771" s="52" t="n"/>
      <c r="C771" s="52" t="n"/>
      <c r="D771" s="53" t="n"/>
      <c r="E771" s="60" t="n"/>
      <c r="F771" s="53" t="n"/>
      <c r="G771" s="61" t="str">
        <f>IF(OR(COUNTA(A771:E771)=0,D771=""),"",IFERROR(INDEX(ca_fam,MATCH(D771,ca_name,0))&amp;"",""))</f>
        <v/>
      </c>
      <c r="H771" s="58" t="str">
        <f>IF(OR(COUNTA(A771:E771)=0,D771=""),"",IFERROR(INDEX(ca_type,MATCH(D771,ca_name,0))&amp;"",""))</f>
        <v/>
      </c>
      <c r="I771" s="58" t="str">
        <f>IF(COUNTA(A771:E771)=0,"",IF(N(A771)&lt;=0,"Date manquante ou invalide",IF(B771="","Équipe manquante",IF(ISNA(MATCH(B771,eq_code,0)),"Équipe inconnue",IF(C771="","Poste manquant",IF(ISNA(MATCH(C771,po_code,0)),"Poste inconnu",IF(D771="","Cause manquante",IF(ISNA(MATCH(D771,ca_name,0)),"Cause inconnue",IF(H771="","Cause à compléter dans Paramètres",IF(OR(NOT(ISNUMBER(E771)),N(E771)&lt;=0,N(E771)&gt;1440),"Durée invalide",IF(COUNTIFS(sj_date,A771,sj_eq,B771,sj_po,C771)=0,"Pas de saisie journalière ce jour-là","OK")))))))))))</f>
        <v/>
      </c>
      <c r="J771">
        <f>IF(OR(I771="OK",I771="Pas de saisie journalière ce jour-là"),E771,0)</f>
        <v>0.0</v>
      </c>
      <c r="K771">
        <f>IF(AND(J771&gt;0,A771&gt;=p_from,A771&lt;=p_to),1,0)</f>
        <v>0.0</v>
      </c>
      <c r="L771">
        <f>IF(AND(K771=1,OR(pa_po="",C771=pa_po),OR(pa_eq="",B771=pa_eq)),1,0)</f>
        <v>0.0</v>
      </c>
    </row>
    <row r="772">
      <c r="A772" s="51" t="n"/>
      <c r="B772" s="52" t="n"/>
      <c r="C772" s="52" t="n"/>
      <c r="D772" s="53" t="n"/>
      <c r="E772" s="60" t="n"/>
      <c r="F772" s="53" t="n"/>
      <c r="G772" s="61" t="str">
        <f>IF(OR(COUNTA(A772:E772)=0,D772=""),"",IFERROR(INDEX(ca_fam,MATCH(D772,ca_name,0))&amp;"",""))</f>
        <v/>
      </c>
      <c r="H772" s="58" t="str">
        <f>IF(OR(COUNTA(A772:E772)=0,D772=""),"",IFERROR(INDEX(ca_type,MATCH(D772,ca_name,0))&amp;"",""))</f>
        <v/>
      </c>
      <c r="I772" s="58" t="str">
        <f>IF(COUNTA(A772:E772)=0,"",IF(N(A772)&lt;=0,"Date manquante ou invalide",IF(B772="","Équipe manquante",IF(ISNA(MATCH(B772,eq_code,0)),"Équipe inconnue",IF(C772="","Poste manquant",IF(ISNA(MATCH(C772,po_code,0)),"Poste inconnu",IF(D772="","Cause manquante",IF(ISNA(MATCH(D772,ca_name,0)),"Cause inconnue",IF(H772="","Cause à compléter dans Paramètres",IF(OR(NOT(ISNUMBER(E772)),N(E772)&lt;=0,N(E772)&gt;1440),"Durée invalide",IF(COUNTIFS(sj_date,A772,sj_eq,B772,sj_po,C772)=0,"Pas de saisie journalière ce jour-là","OK")))))))))))</f>
        <v/>
      </c>
      <c r="J772">
        <f>IF(OR(I772="OK",I772="Pas de saisie journalière ce jour-là"),E772,0)</f>
        <v>0.0</v>
      </c>
      <c r="K772">
        <f>IF(AND(J772&gt;0,A772&gt;=p_from,A772&lt;=p_to),1,0)</f>
        <v>0.0</v>
      </c>
      <c r="L772">
        <f>IF(AND(K772=1,OR(pa_po="",C772=pa_po),OR(pa_eq="",B772=pa_eq)),1,0)</f>
        <v>0.0</v>
      </c>
    </row>
    <row r="773">
      <c r="A773" s="51" t="n"/>
      <c r="B773" s="52" t="n"/>
      <c r="C773" s="52" t="n"/>
      <c r="D773" s="53" t="n"/>
      <c r="E773" s="60" t="n"/>
      <c r="F773" s="53" t="n"/>
      <c r="G773" s="61" t="str">
        <f>IF(OR(COUNTA(A773:E773)=0,D773=""),"",IFERROR(INDEX(ca_fam,MATCH(D773,ca_name,0))&amp;"",""))</f>
        <v/>
      </c>
      <c r="H773" s="58" t="str">
        <f>IF(OR(COUNTA(A773:E773)=0,D773=""),"",IFERROR(INDEX(ca_type,MATCH(D773,ca_name,0))&amp;"",""))</f>
        <v/>
      </c>
      <c r="I773" s="58" t="str">
        <f>IF(COUNTA(A773:E773)=0,"",IF(N(A773)&lt;=0,"Date manquante ou invalide",IF(B773="","Équipe manquante",IF(ISNA(MATCH(B773,eq_code,0)),"Équipe inconnue",IF(C773="","Poste manquant",IF(ISNA(MATCH(C773,po_code,0)),"Poste inconnu",IF(D773="","Cause manquante",IF(ISNA(MATCH(D773,ca_name,0)),"Cause inconnue",IF(H773="","Cause à compléter dans Paramètres",IF(OR(NOT(ISNUMBER(E773)),N(E773)&lt;=0,N(E773)&gt;1440),"Durée invalide",IF(COUNTIFS(sj_date,A773,sj_eq,B773,sj_po,C773)=0,"Pas de saisie journalière ce jour-là","OK")))))))))))</f>
        <v/>
      </c>
      <c r="J773">
        <f>IF(OR(I773="OK",I773="Pas de saisie journalière ce jour-là"),E773,0)</f>
        <v>0.0</v>
      </c>
      <c r="K773">
        <f>IF(AND(J773&gt;0,A773&gt;=p_from,A773&lt;=p_to),1,0)</f>
        <v>0.0</v>
      </c>
      <c r="L773">
        <f>IF(AND(K773=1,OR(pa_po="",C773=pa_po),OR(pa_eq="",B773=pa_eq)),1,0)</f>
        <v>0.0</v>
      </c>
    </row>
    <row r="774">
      <c r="A774" s="51" t="n"/>
      <c r="B774" s="52" t="n"/>
      <c r="C774" s="52" t="n"/>
      <c r="D774" s="53" t="n"/>
      <c r="E774" s="60" t="n"/>
      <c r="F774" s="53" t="n"/>
      <c r="G774" s="61" t="str">
        <f>IF(OR(COUNTA(A774:E774)=0,D774=""),"",IFERROR(INDEX(ca_fam,MATCH(D774,ca_name,0))&amp;"",""))</f>
        <v/>
      </c>
      <c r="H774" s="58" t="str">
        <f>IF(OR(COUNTA(A774:E774)=0,D774=""),"",IFERROR(INDEX(ca_type,MATCH(D774,ca_name,0))&amp;"",""))</f>
        <v/>
      </c>
      <c r="I774" s="58" t="str">
        <f>IF(COUNTA(A774:E774)=0,"",IF(N(A774)&lt;=0,"Date manquante ou invalide",IF(B774="","Équipe manquante",IF(ISNA(MATCH(B774,eq_code,0)),"Équipe inconnue",IF(C774="","Poste manquant",IF(ISNA(MATCH(C774,po_code,0)),"Poste inconnu",IF(D774="","Cause manquante",IF(ISNA(MATCH(D774,ca_name,0)),"Cause inconnue",IF(H774="","Cause à compléter dans Paramètres",IF(OR(NOT(ISNUMBER(E774)),N(E774)&lt;=0,N(E774)&gt;1440),"Durée invalide",IF(COUNTIFS(sj_date,A774,sj_eq,B774,sj_po,C774)=0,"Pas de saisie journalière ce jour-là","OK")))))))))))</f>
        <v/>
      </c>
      <c r="J774">
        <f>IF(OR(I774="OK",I774="Pas de saisie journalière ce jour-là"),E774,0)</f>
        <v>0.0</v>
      </c>
      <c r="K774">
        <f>IF(AND(J774&gt;0,A774&gt;=p_from,A774&lt;=p_to),1,0)</f>
        <v>0.0</v>
      </c>
      <c r="L774">
        <f>IF(AND(K774=1,OR(pa_po="",C774=pa_po),OR(pa_eq="",B774=pa_eq)),1,0)</f>
        <v>0.0</v>
      </c>
    </row>
    <row r="775">
      <c r="A775" s="51" t="n"/>
      <c r="B775" s="52" t="n"/>
      <c r="C775" s="52" t="n"/>
      <c r="D775" s="53" t="n"/>
      <c r="E775" s="60" t="n"/>
      <c r="F775" s="53" t="n"/>
      <c r="G775" s="61" t="str">
        <f>IF(OR(COUNTA(A775:E775)=0,D775=""),"",IFERROR(INDEX(ca_fam,MATCH(D775,ca_name,0))&amp;"",""))</f>
        <v/>
      </c>
      <c r="H775" s="58" t="str">
        <f>IF(OR(COUNTA(A775:E775)=0,D775=""),"",IFERROR(INDEX(ca_type,MATCH(D775,ca_name,0))&amp;"",""))</f>
        <v/>
      </c>
      <c r="I775" s="58" t="str">
        <f>IF(COUNTA(A775:E775)=0,"",IF(N(A775)&lt;=0,"Date manquante ou invalide",IF(B775="","Équipe manquante",IF(ISNA(MATCH(B775,eq_code,0)),"Équipe inconnue",IF(C775="","Poste manquant",IF(ISNA(MATCH(C775,po_code,0)),"Poste inconnu",IF(D775="","Cause manquante",IF(ISNA(MATCH(D775,ca_name,0)),"Cause inconnue",IF(H775="","Cause à compléter dans Paramètres",IF(OR(NOT(ISNUMBER(E775)),N(E775)&lt;=0,N(E775)&gt;1440),"Durée invalide",IF(COUNTIFS(sj_date,A775,sj_eq,B775,sj_po,C775)=0,"Pas de saisie journalière ce jour-là","OK")))))))))))</f>
        <v/>
      </c>
      <c r="J775">
        <f>IF(OR(I775="OK",I775="Pas de saisie journalière ce jour-là"),E775,0)</f>
        <v>0.0</v>
      </c>
      <c r="K775">
        <f>IF(AND(J775&gt;0,A775&gt;=p_from,A775&lt;=p_to),1,0)</f>
        <v>0.0</v>
      </c>
      <c r="L775">
        <f>IF(AND(K775=1,OR(pa_po="",C775=pa_po),OR(pa_eq="",B775=pa_eq)),1,0)</f>
        <v>0.0</v>
      </c>
    </row>
    <row r="776">
      <c r="A776" s="51" t="n"/>
      <c r="B776" s="52" t="n"/>
      <c r="C776" s="52" t="n"/>
      <c r="D776" s="53" t="n"/>
      <c r="E776" s="60" t="n"/>
      <c r="F776" s="53" t="n"/>
      <c r="G776" s="61" t="str">
        <f>IF(OR(COUNTA(A776:E776)=0,D776=""),"",IFERROR(INDEX(ca_fam,MATCH(D776,ca_name,0))&amp;"",""))</f>
        <v/>
      </c>
      <c r="H776" s="58" t="str">
        <f>IF(OR(COUNTA(A776:E776)=0,D776=""),"",IFERROR(INDEX(ca_type,MATCH(D776,ca_name,0))&amp;"",""))</f>
        <v/>
      </c>
      <c r="I776" s="58" t="str">
        <f>IF(COUNTA(A776:E776)=0,"",IF(N(A776)&lt;=0,"Date manquante ou invalide",IF(B776="","Équipe manquante",IF(ISNA(MATCH(B776,eq_code,0)),"Équipe inconnue",IF(C776="","Poste manquant",IF(ISNA(MATCH(C776,po_code,0)),"Poste inconnu",IF(D776="","Cause manquante",IF(ISNA(MATCH(D776,ca_name,0)),"Cause inconnue",IF(H776="","Cause à compléter dans Paramètres",IF(OR(NOT(ISNUMBER(E776)),N(E776)&lt;=0,N(E776)&gt;1440),"Durée invalide",IF(COUNTIFS(sj_date,A776,sj_eq,B776,sj_po,C776)=0,"Pas de saisie journalière ce jour-là","OK")))))))))))</f>
        <v/>
      </c>
      <c r="J776">
        <f>IF(OR(I776="OK",I776="Pas de saisie journalière ce jour-là"),E776,0)</f>
        <v>0.0</v>
      </c>
      <c r="K776">
        <f>IF(AND(J776&gt;0,A776&gt;=p_from,A776&lt;=p_to),1,0)</f>
        <v>0.0</v>
      </c>
      <c r="L776">
        <f>IF(AND(K776=1,OR(pa_po="",C776=pa_po),OR(pa_eq="",B776=pa_eq)),1,0)</f>
        <v>0.0</v>
      </c>
    </row>
    <row r="777">
      <c r="A777" s="51" t="n"/>
      <c r="B777" s="52" t="n"/>
      <c r="C777" s="52" t="n"/>
      <c r="D777" s="53" t="n"/>
      <c r="E777" s="60" t="n"/>
      <c r="F777" s="53" t="n"/>
      <c r="G777" s="61" t="str">
        <f>IF(OR(COUNTA(A777:E777)=0,D777=""),"",IFERROR(INDEX(ca_fam,MATCH(D777,ca_name,0))&amp;"",""))</f>
        <v/>
      </c>
      <c r="H777" s="58" t="str">
        <f>IF(OR(COUNTA(A777:E777)=0,D777=""),"",IFERROR(INDEX(ca_type,MATCH(D777,ca_name,0))&amp;"",""))</f>
        <v/>
      </c>
      <c r="I777" s="58" t="str">
        <f>IF(COUNTA(A777:E777)=0,"",IF(N(A777)&lt;=0,"Date manquante ou invalide",IF(B777="","Équipe manquante",IF(ISNA(MATCH(B777,eq_code,0)),"Équipe inconnue",IF(C777="","Poste manquant",IF(ISNA(MATCH(C777,po_code,0)),"Poste inconnu",IF(D777="","Cause manquante",IF(ISNA(MATCH(D777,ca_name,0)),"Cause inconnue",IF(H777="","Cause à compléter dans Paramètres",IF(OR(NOT(ISNUMBER(E777)),N(E777)&lt;=0,N(E777)&gt;1440),"Durée invalide",IF(COUNTIFS(sj_date,A777,sj_eq,B777,sj_po,C777)=0,"Pas de saisie journalière ce jour-là","OK")))))))))))</f>
        <v/>
      </c>
      <c r="J777">
        <f>IF(OR(I777="OK",I777="Pas de saisie journalière ce jour-là"),E777,0)</f>
        <v>0.0</v>
      </c>
      <c r="K777">
        <f>IF(AND(J777&gt;0,A777&gt;=p_from,A777&lt;=p_to),1,0)</f>
        <v>0.0</v>
      </c>
      <c r="L777">
        <f>IF(AND(K777=1,OR(pa_po="",C777=pa_po),OR(pa_eq="",B777=pa_eq)),1,0)</f>
        <v>0.0</v>
      </c>
    </row>
    <row r="778">
      <c r="A778" s="51" t="n"/>
      <c r="B778" s="52" t="n"/>
      <c r="C778" s="52" t="n"/>
      <c r="D778" s="53" t="n"/>
      <c r="E778" s="60" t="n"/>
      <c r="F778" s="53" t="n"/>
      <c r="G778" s="61" t="str">
        <f>IF(OR(COUNTA(A778:E778)=0,D778=""),"",IFERROR(INDEX(ca_fam,MATCH(D778,ca_name,0))&amp;"",""))</f>
        <v/>
      </c>
      <c r="H778" s="58" t="str">
        <f>IF(OR(COUNTA(A778:E778)=0,D778=""),"",IFERROR(INDEX(ca_type,MATCH(D778,ca_name,0))&amp;"",""))</f>
        <v/>
      </c>
      <c r="I778" s="58" t="str">
        <f>IF(COUNTA(A778:E778)=0,"",IF(N(A778)&lt;=0,"Date manquante ou invalide",IF(B778="","Équipe manquante",IF(ISNA(MATCH(B778,eq_code,0)),"Équipe inconnue",IF(C778="","Poste manquant",IF(ISNA(MATCH(C778,po_code,0)),"Poste inconnu",IF(D778="","Cause manquante",IF(ISNA(MATCH(D778,ca_name,0)),"Cause inconnue",IF(H778="","Cause à compléter dans Paramètres",IF(OR(NOT(ISNUMBER(E778)),N(E778)&lt;=0,N(E778)&gt;1440),"Durée invalide",IF(COUNTIFS(sj_date,A778,sj_eq,B778,sj_po,C778)=0,"Pas de saisie journalière ce jour-là","OK")))))))))))</f>
        <v/>
      </c>
      <c r="J778">
        <f>IF(OR(I778="OK",I778="Pas de saisie journalière ce jour-là"),E778,0)</f>
        <v>0.0</v>
      </c>
      <c r="K778">
        <f>IF(AND(J778&gt;0,A778&gt;=p_from,A778&lt;=p_to),1,0)</f>
        <v>0.0</v>
      </c>
      <c r="L778">
        <f>IF(AND(K778=1,OR(pa_po="",C778=pa_po),OR(pa_eq="",B778=pa_eq)),1,0)</f>
        <v>0.0</v>
      </c>
    </row>
    <row r="779">
      <c r="A779" s="51" t="n"/>
      <c r="B779" s="52" t="n"/>
      <c r="C779" s="52" t="n"/>
      <c r="D779" s="53" t="n"/>
      <c r="E779" s="60" t="n"/>
      <c r="F779" s="53" t="n"/>
      <c r="G779" s="61" t="str">
        <f>IF(OR(COUNTA(A779:E779)=0,D779=""),"",IFERROR(INDEX(ca_fam,MATCH(D779,ca_name,0))&amp;"",""))</f>
        <v/>
      </c>
      <c r="H779" s="58" t="str">
        <f>IF(OR(COUNTA(A779:E779)=0,D779=""),"",IFERROR(INDEX(ca_type,MATCH(D779,ca_name,0))&amp;"",""))</f>
        <v/>
      </c>
      <c r="I779" s="58" t="str">
        <f>IF(COUNTA(A779:E779)=0,"",IF(N(A779)&lt;=0,"Date manquante ou invalide",IF(B779="","Équipe manquante",IF(ISNA(MATCH(B779,eq_code,0)),"Équipe inconnue",IF(C779="","Poste manquant",IF(ISNA(MATCH(C779,po_code,0)),"Poste inconnu",IF(D779="","Cause manquante",IF(ISNA(MATCH(D779,ca_name,0)),"Cause inconnue",IF(H779="","Cause à compléter dans Paramètres",IF(OR(NOT(ISNUMBER(E779)),N(E779)&lt;=0,N(E779)&gt;1440),"Durée invalide",IF(COUNTIFS(sj_date,A779,sj_eq,B779,sj_po,C779)=0,"Pas de saisie journalière ce jour-là","OK")))))))))))</f>
        <v/>
      </c>
      <c r="J779">
        <f>IF(OR(I779="OK",I779="Pas de saisie journalière ce jour-là"),E779,0)</f>
        <v>0.0</v>
      </c>
      <c r="K779">
        <f>IF(AND(J779&gt;0,A779&gt;=p_from,A779&lt;=p_to),1,0)</f>
        <v>0.0</v>
      </c>
      <c r="L779">
        <f>IF(AND(K779=1,OR(pa_po="",C779=pa_po),OR(pa_eq="",B779=pa_eq)),1,0)</f>
        <v>0.0</v>
      </c>
    </row>
    <row r="780">
      <c r="A780" s="51" t="n"/>
      <c r="B780" s="52" t="n"/>
      <c r="C780" s="52" t="n"/>
      <c r="D780" s="53" t="n"/>
      <c r="E780" s="60" t="n"/>
      <c r="F780" s="53" t="n"/>
      <c r="G780" s="61" t="str">
        <f>IF(OR(COUNTA(A780:E780)=0,D780=""),"",IFERROR(INDEX(ca_fam,MATCH(D780,ca_name,0))&amp;"",""))</f>
        <v/>
      </c>
      <c r="H780" s="58" t="str">
        <f>IF(OR(COUNTA(A780:E780)=0,D780=""),"",IFERROR(INDEX(ca_type,MATCH(D780,ca_name,0))&amp;"",""))</f>
        <v/>
      </c>
      <c r="I780" s="58" t="str">
        <f>IF(COUNTA(A780:E780)=0,"",IF(N(A780)&lt;=0,"Date manquante ou invalide",IF(B780="","Équipe manquante",IF(ISNA(MATCH(B780,eq_code,0)),"Équipe inconnue",IF(C780="","Poste manquant",IF(ISNA(MATCH(C780,po_code,0)),"Poste inconnu",IF(D780="","Cause manquante",IF(ISNA(MATCH(D780,ca_name,0)),"Cause inconnue",IF(H780="","Cause à compléter dans Paramètres",IF(OR(NOT(ISNUMBER(E780)),N(E780)&lt;=0,N(E780)&gt;1440),"Durée invalide",IF(COUNTIFS(sj_date,A780,sj_eq,B780,sj_po,C780)=0,"Pas de saisie journalière ce jour-là","OK")))))))))))</f>
        <v/>
      </c>
      <c r="J780">
        <f>IF(OR(I780="OK",I780="Pas de saisie journalière ce jour-là"),E780,0)</f>
        <v>0.0</v>
      </c>
      <c r="K780">
        <f>IF(AND(J780&gt;0,A780&gt;=p_from,A780&lt;=p_to),1,0)</f>
        <v>0.0</v>
      </c>
      <c r="L780">
        <f>IF(AND(K780=1,OR(pa_po="",C780=pa_po),OR(pa_eq="",B780=pa_eq)),1,0)</f>
        <v>0.0</v>
      </c>
    </row>
    <row r="781">
      <c r="A781" s="51" t="n"/>
      <c r="B781" s="52" t="n"/>
      <c r="C781" s="52" t="n"/>
      <c r="D781" s="53" t="n"/>
      <c r="E781" s="60" t="n"/>
      <c r="F781" s="53" t="n"/>
      <c r="G781" s="61" t="str">
        <f>IF(OR(COUNTA(A781:E781)=0,D781=""),"",IFERROR(INDEX(ca_fam,MATCH(D781,ca_name,0))&amp;"",""))</f>
        <v/>
      </c>
      <c r="H781" s="58" t="str">
        <f>IF(OR(COUNTA(A781:E781)=0,D781=""),"",IFERROR(INDEX(ca_type,MATCH(D781,ca_name,0))&amp;"",""))</f>
        <v/>
      </c>
      <c r="I781" s="58" t="str">
        <f>IF(COUNTA(A781:E781)=0,"",IF(N(A781)&lt;=0,"Date manquante ou invalide",IF(B781="","Équipe manquante",IF(ISNA(MATCH(B781,eq_code,0)),"Équipe inconnue",IF(C781="","Poste manquant",IF(ISNA(MATCH(C781,po_code,0)),"Poste inconnu",IF(D781="","Cause manquante",IF(ISNA(MATCH(D781,ca_name,0)),"Cause inconnue",IF(H781="","Cause à compléter dans Paramètres",IF(OR(NOT(ISNUMBER(E781)),N(E781)&lt;=0,N(E781)&gt;1440),"Durée invalide",IF(COUNTIFS(sj_date,A781,sj_eq,B781,sj_po,C781)=0,"Pas de saisie journalière ce jour-là","OK")))))))))))</f>
        <v/>
      </c>
      <c r="J781">
        <f>IF(OR(I781="OK",I781="Pas de saisie journalière ce jour-là"),E781,0)</f>
        <v>0.0</v>
      </c>
      <c r="K781">
        <f>IF(AND(J781&gt;0,A781&gt;=p_from,A781&lt;=p_to),1,0)</f>
        <v>0.0</v>
      </c>
      <c r="L781">
        <f>IF(AND(K781=1,OR(pa_po="",C781=pa_po),OR(pa_eq="",B781=pa_eq)),1,0)</f>
        <v>0.0</v>
      </c>
    </row>
    <row r="782">
      <c r="A782" s="51" t="n"/>
      <c r="B782" s="52" t="n"/>
      <c r="C782" s="52" t="n"/>
      <c r="D782" s="53" t="n"/>
      <c r="E782" s="60" t="n"/>
      <c r="F782" s="53" t="n"/>
      <c r="G782" s="61" t="str">
        <f>IF(OR(COUNTA(A782:E782)=0,D782=""),"",IFERROR(INDEX(ca_fam,MATCH(D782,ca_name,0))&amp;"",""))</f>
        <v/>
      </c>
      <c r="H782" s="58" t="str">
        <f>IF(OR(COUNTA(A782:E782)=0,D782=""),"",IFERROR(INDEX(ca_type,MATCH(D782,ca_name,0))&amp;"",""))</f>
        <v/>
      </c>
      <c r="I782" s="58" t="str">
        <f>IF(COUNTA(A782:E782)=0,"",IF(N(A782)&lt;=0,"Date manquante ou invalide",IF(B782="","Équipe manquante",IF(ISNA(MATCH(B782,eq_code,0)),"Équipe inconnue",IF(C782="","Poste manquant",IF(ISNA(MATCH(C782,po_code,0)),"Poste inconnu",IF(D782="","Cause manquante",IF(ISNA(MATCH(D782,ca_name,0)),"Cause inconnue",IF(H782="","Cause à compléter dans Paramètres",IF(OR(NOT(ISNUMBER(E782)),N(E782)&lt;=0,N(E782)&gt;1440),"Durée invalide",IF(COUNTIFS(sj_date,A782,sj_eq,B782,sj_po,C782)=0,"Pas de saisie journalière ce jour-là","OK")))))))))))</f>
        <v/>
      </c>
      <c r="J782">
        <f>IF(OR(I782="OK",I782="Pas de saisie journalière ce jour-là"),E782,0)</f>
        <v>0.0</v>
      </c>
      <c r="K782">
        <f>IF(AND(J782&gt;0,A782&gt;=p_from,A782&lt;=p_to),1,0)</f>
        <v>0.0</v>
      </c>
      <c r="L782">
        <f>IF(AND(K782=1,OR(pa_po="",C782=pa_po),OR(pa_eq="",B782=pa_eq)),1,0)</f>
        <v>0.0</v>
      </c>
    </row>
    <row r="783">
      <c r="A783" s="51" t="n"/>
      <c r="B783" s="52" t="n"/>
      <c r="C783" s="52" t="n"/>
      <c r="D783" s="53" t="n"/>
      <c r="E783" s="60" t="n"/>
      <c r="F783" s="53" t="n"/>
      <c r="G783" s="61" t="str">
        <f>IF(OR(COUNTA(A783:E783)=0,D783=""),"",IFERROR(INDEX(ca_fam,MATCH(D783,ca_name,0))&amp;"",""))</f>
        <v/>
      </c>
      <c r="H783" s="58" t="str">
        <f>IF(OR(COUNTA(A783:E783)=0,D783=""),"",IFERROR(INDEX(ca_type,MATCH(D783,ca_name,0))&amp;"",""))</f>
        <v/>
      </c>
      <c r="I783" s="58" t="str">
        <f>IF(COUNTA(A783:E783)=0,"",IF(N(A783)&lt;=0,"Date manquante ou invalide",IF(B783="","Équipe manquante",IF(ISNA(MATCH(B783,eq_code,0)),"Équipe inconnue",IF(C783="","Poste manquant",IF(ISNA(MATCH(C783,po_code,0)),"Poste inconnu",IF(D783="","Cause manquante",IF(ISNA(MATCH(D783,ca_name,0)),"Cause inconnue",IF(H783="","Cause à compléter dans Paramètres",IF(OR(NOT(ISNUMBER(E783)),N(E783)&lt;=0,N(E783)&gt;1440),"Durée invalide",IF(COUNTIFS(sj_date,A783,sj_eq,B783,sj_po,C783)=0,"Pas de saisie journalière ce jour-là","OK")))))))))))</f>
        <v/>
      </c>
      <c r="J783">
        <f>IF(OR(I783="OK",I783="Pas de saisie journalière ce jour-là"),E783,0)</f>
        <v>0.0</v>
      </c>
      <c r="K783">
        <f>IF(AND(J783&gt;0,A783&gt;=p_from,A783&lt;=p_to),1,0)</f>
        <v>0.0</v>
      </c>
      <c r="L783">
        <f>IF(AND(K783=1,OR(pa_po="",C783=pa_po),OR(pa_eq="",B783=pa_eq)),1,0)</f>
        <v>0.0</v>
      </c>
    </row>
    <row r="784">
      <c r="A784" s="51" t="n"/>
      <c r="B784" s="52" t="n"/>
      <c r="C784" s="52" t="n"/>
      <c r="D784" s="53" t="n"/>
      <c r="E784" s="60" t="n"/>
      <c r="F784" s="53" t="n"/>
      <c r="G784" s="61" t="str">
        <f>IF(OR(COUNTA(A784:E784)=0,D784=""),"",IFERROR(INDEX(ca_fam,MATCH(D784,ca_name,0))&amp;"",""))</f>
        <v/>
      </c>
      <c r="H784" s="58" t="str">
        <f>IF(OR(COUNTA(A784:E784)=0,D784=""),"",IFERROR(INDEX(ca_type,MATCH(D784,ca_name,0))&amp;"",""))</f>
        <v/>
      </c>
      <c r="I784" s="58" t="str">
        <f>IF(COUNTA(A784:E784)=0,"",IF(N(A784)&lt;=0,"Date manquante ou invalide",IF(B784="","Équipe manquante",IF(ISNA(MATCH(B784,eq_code,0)),"Équipe inconnue",IF(C784="","Poste manquant",IF(ISNA(MATCH(C784,po_code,0)),"Poste inconnu",IF(D784="","Cause manquante",IF(ISNA(MATCH(D784,ca_name,0)),"Cause inconnue",IF(H784="","Cause à compléter dans Paramètres",IF(OR(NOT(ISNUMBER(E784)),N(E784)&lt;=0,N(E784)&gt;1440),"Durée invalide",IF(COUNTIFS(sj_date,A784,sj_eq,B784,sj_po,C784)=0,"Pas de saisie journalière ce jour-là","OK")))))))))))</f>
        <v/>
      </c>
      <c r="J784">
        <f>IF(OR(I784="OK",I784="Pas de saisie journalière ce jour-là"),E784,0)</f>
        <v>0.0</v>
      </c>
      <c r="K784">
        <f>IF(AND(J784&gt;0,A784&gt;=p_from,A784&lt;=p_to),1,0)</f>
        <v>0.0</v>
      </c>
      <c r="L784">
        <f>IF(AND(K784=1,OR(pa_po="",C784=pa_po),OR(pa_eq="",B784=pa_eq)),1,0)</f>
        <v>0.0</v>
      </c>
    </row>
    <row r="785">
      <c r="A785" s="51" t="n"/>
      <c r="B785" s="52" t="n"/>
      <c r="C785" s="52" t="n"/>
      <c r="D785" s="53" t="n"/>
      <c r="E785" s="60" t="n"/>
      <c r="F785" s="53" t="n"/>
      <c r="G785" s="61" t="str">
        <f>IF(OR(COUNTA(A785:E785)=0,D785=""),"",IFERROR(INDEX(ca_fam,MATCH(D785,ca_name,0))&amp;"",""))</f>
        <v/>
      </c>
      <c r="H785" s="58" t="str">
        <f>IF(OR(COUNTA(A785:E785)=0,D785=""),"",IFERROR(INDEX(ca_type,MATCH(D785,ca_name,0))&amp;"",""))</f>
        <v/>
      </c>
      <c r="I785" s="58" t="str">
        <f>IF(COUNTA(A785:E785)=0,"",IF(N(A785)&lt;=0,"Date manquante ou invalide",IF(B785="","Équipe manquante",IF(ISNA(MATCH(B785,eq_code,0)),"Équipe inconnue",IF(C785="","Poste manquant",IF(ISNA(MATCH(C785,po_code,0)),"Poste inconnu",IF(D785="","Cause manquante",IF(ISNA(MATCH(D785,ca_name,0)),"Cause inconnue",IF(H785="","Cause à compléter dans Paramètres",IF(OR(NOT(ISNUMBER(E785)),N(E785)&lt;=0,N(E785)&gt;1440),"Durée invalide",IF(COUNTIFS(sj_date,A785,sj_eq,B785,sj_po,C785)=0,"Pas de saisie journalière ce jour-là","OK")))))))))))</f>
        <v/>
      </c>
      <c r="J785">
        <f>IF(OR(I785="OK",I785="Pas de saisie journalière ce jour-là"),E785,0)</f>
        <v>0.0</v>
      </c>
      <c r="K785">
        <f>IF(AND(J785&gt;0,A785&gt;=p_from,A785&lt;=p_to),1,0)</f>
        <v>0.0</v>
      </c>
      <c r="L785">
        <f>IF(AND(K785=1,OR(pa_po="",C785=pa_po),OR(pa_eq="",B785=pa_eq)),1,0)</f>
        <v>0.0</v>
      </c>
    </row>
    <row r="786">
      <c r="A786" s="51" t="n"/>
      <c r="B786" s="52" t="n"/>
      <c r="C786" s="52" t="n"/>
      <c r="D786" s="53" t="n"/>
      <c r="E786" s="60" t="n"/>
      <c r="F786" s="53" t="n"/>
      <c r="G786" s="61" t="str">
        <f>IF(OR(COUNTA(A786:E786)=0,D786=""),"",IFERROR(INDEX(ca_fam,MATCH(D786,ca_name,0))&amp;"",""))</f>
        <v/>
      </c>
      <c r="H786" s="58" t="str">
        <f>IF(OR(COUNTA(A786:E786)=0,D786=""),"",IFERROR(INDEX(ca_type,MATCH(D786,ca_name,0))&amp;"",""))</f>
        <v/>
      </c>
      <c r="I786" s="58" t="str">
        <f>IF(COUNTA(A786:E786)=0,"",IF(N(A786)&lt;=0,"Date manquante ou invalide",IF(B786="","Équipe manquante",IF(ISNA(MATCH(B786,eq_code,0)),"Équipe inconnue",IF(C786="","Poste manquant",IF(ISNA(MATCH(C786,po_code,0)),"Poste inconnu",IF(D786="","Cause manquante",IF(ISNA(MATCH(D786,ca_name,0)),"Cause inconnue",IF(H786="","Cause à compléter dans Paramètres",IF(OR(NOT(ISNUMBER(E786)),N(E786)&lt;=0,N(E786)&gt;1440),"Durée invalide",IF(COUNTIFS(sj_date,A786,sj_eq,B786,sj_po,C786)=0,"Pas de saisie journalière ce jour-là","OK")))))))))))</f>
        <v/>
      </c>
      <c r="J786">
        <f>IF(OR(I786="OK",I786="Pas de saisie journalière ce jour-là"),E786,0)</f>
        <v>0.0</v>
      </c>
      <c r="K786">
        <f>IF(AND(J786&gt;0,A786&gt;=p_from,A786&lt;=p_to),1,0)</f>
        <v>0.0</v>
      </c>
      <c r="L786">
        <f>IF(AND(K786=1,OR(pa_po="",C786=pa_po),OR(pa_eq="",B786=pa_eq)),1,0)</f>
        <v>0.0</v>
      </c>
    </row>
    <row r="787">
      <c r="A787" s="51" t="n"/>
      <c r="B787" s="52" t="n"/>
      <c r="C787" s="52" t="n"/>
      <c r="D787" s="53" t="n"/>
      <c r="E787" s="60" t="n"/>
      <c r="F787" s="53" t="n"/>
      <c r="G787" s="61" t="str">
        <f>IF(OR(COUNTA(A787:E787)=0,D787=""),"",IFERROR(INDEX(ca_fam,MATCH(D787,ca_name,0))&amp;"",""))</f>
        <v/>
      </c>
      <c r="H787" s="58" t="str">
        <f>IF(OR(COUNTA(A787:E787)=0,D787=""),"",IFERROR(INDEX(ca_type,MATCH(D787,ca_name,0))&amp;"",""))</f>
        <v/>
      </c>
      <c r="I787" s="58" t="str">
        <f>IF(COUNTA(A787:E787)=0,"",IF(N(A787)&lt;=0,"Date manquante ou invalide",IF(B787="","Équipe manquante",IF(ISNA(MATCH(B787,eq_code,0)),"Équipe inconnue",IF(C787="","Poste manquant",IF(ISNA(MATCH(C787,po_code,0)),"Poste inconnu",IF(D787="","Cause manquante",IF(ISNA(MATCH(D787,ca_name,0)),"Cause inconnue",IF(H787="","Cause à compléter dans Paramètres",IF(OR(NOT(ISNUMBER(E787)),N(E787)&lt;=0,N(E787)&gt;1440),"Durée invalide",IF(COUNTIFS(sj_date,A787,sj_eq,B787,sj_po,C787)=0,"Pas de saisie journalière ce jour-là","OK")))))))))))</f>
        <v/>
      </c>
      <c r="J787">
        <f>IF(OR(I787="OK",I787="Pas de saisie journalière ce jour-là"),E787,0)</f>
        <v>0.0</v>
      </c>
      <c r="K787">
        <f>IF(AND(J787&gt;0,A787&gt;=p_from,A787&lt;=p_to),1,0)</f>
        <v>0.0</v>
      </c>
      <c r="L787">
        <f>IF(AND(K787=1,OR(pa_po="",C787=pa_po),OR(pa_eq="",B787=pa_eq)),1,0)</f>
        <v>0.0</v>
      </c>
    </row>
    <row r="788">
      <c r="A788" s="51" t="n"/>
      <c r="B788" s="52" t="n"/>
      <c r="C788" s="52" t="n"/>
      <c r="D788" s="53" t="n"/>
      <c r="E788" s="60" t="n"/>
      <c r="F788" s="53" t="n"/>
      <c r="G788" s="61" t="str">
        <f>IF(OR(COUNTA(A788:E788)=0,D788=""),"",IFERROR(INDEX(ca_fam,MATCH(D788,ca_name,0))&amp;"",""))</f>
        <v/>
      </c>
      <c r="H788" s="58" t="str">
        <f>IF(OR(COUNTA(A788:E788)=0,D788=""),"",IFERROR(INDEX(ca_type,MATCH(D788,ca_name,0))&amp;"",""))</f>
        <v/>
      </c>
      <c r="I788" s="58" t="str">
        <f>IF(COUNTA(A788:E788)=0,"",IF(N(A788)&lt;=0,"Date manquante ou invalide",IF(B788="","Équipe manquante",IF(ISNA(MATCH(B788,eq_code,0)),"Équipe inconnue",IF(C788="","Poste manquant",IF(ISNA(MATCH(C788,po_code,0)),"Poste inconnu",IF(D788="","Cause manquante",IF(ISNA(MATCH(D788,ca_name,0)),"Cause inconnue",IF(H788="","Cause à compléter dans Paramètres",IF(OR(NOT(ISNUMBER(E788)),N(E788)&lt;=0,N(E788)&gt;1440),"Durée invalide",IF(COUNTIFS(sj_date,A788,sj_eq,B788,sj_po,C788)=0,"Pas de saisie journalière ce jour-là","OK")))))))))))</f>
        <v/>
      </c>
      <c r="J788">
        <f>IF(OR(I788="OK",I788="Pas de saisie journalière ce jour-là"),E788,0)</f>
        <v>0.0</v>
      </c>
      <c r="K788">
        <f>IF(AND(J788&gt;0,A788&gt;=p_from,A788&lt;=p_to),1,0)</f>
        <v>0.0</v>
      </c>
      <c r="L788">
        <f>IF(AND(K788=1,OR(pa_po="",C788=pa_po),OR(pa_eq="",B788=pa_eq)),1,0)</f>
        <v>0.0</v>
      </c>
    </row>
    <row r="789">
      <c r="A789" s="51" t="n"/>
      <c r="B789" s="52" t="n"/>
      <c r="C789" s="52" t="n"/>
      <c r="D789" s="53" t="n"/>
      <c r="E789" s="60" t="n"/>
      <c r="F789" s="53" t="n"/>
      <c r="G789" s="61" t="str">
        <f>IF(OR(COUNTA(A789:E789)=0,D789=""),"",IFERROR(INDEX(ca_fam,MATCH(D789,ca_name,0))&amp;"",""))</f>
        <v/>
      </c>
      <c r="H789" s="58" t="str">
        <f>IF(OR(COUNTA(A789:E789)=0,D789=""),"",IFERROR(INDEX(ca_type,MATCH(D789,ca_name,0))&amp;"",""))</f>
        <v/>
      </c>
      <c r="I789" s="58" t="str">
        <f>IF(COUNTA(A789:E789)=0,"",IF(N(A789)&lt;=0,"Date manquante ou invalide",IF(B789="","Équipe manquante",IF(ISNA(MATCH(B789,eq_code,0)),"Équipe inconnue",IF(C789="","Poste manquant",IF(ISNA(MATCH(C789,po_code,0)),"Poste inconnu",IF(D789="","Cause manquante",IF(ISNA(MATCH(D789,ca_name,0)),"Cause inconnue",IF(H789="","Cause à compléter dans Paramètres",IF(OR(NOT(ISNUMBER(E789)),N(E789)&lt;=0,N(E789)&gt;1440),"Durée invalide",IF(COUNTIFS(sj_date,A789,sj_eq,B789,sj_po,C789)=0,"Pas de saisie journalière ce jour-là","OK")))))))))))</f>
        <v/>
      </c>
      <c r="J789">
        <f>IF(OR(I789="OK",I789="Pas de saisie journalière ce jour-là"),E789,0)</f>
        <v>0.0</v>
      </c>
      <c r="K789">
        <f>IF(AND(J789&gt;0,A789&gt;=p_from,A789&lt;=p_to),1,0)</f>
        <v>0.0</v>
      </c>
      <c r="L789">
        <f>IF(AND(K789=1,OR(pa_po="",C789=pa_po),OR(pa_eq="",B789=pa_eq)),1,0)</f>
        <v>0.0</v>
      </c>
    </row>
    <row r="790">
      <c r="A790" s="51" t="n"/>
      <c r="B790" s="52" t="n"/>
      <c r="C790" s="52" t="n"/>
      <c r="D790" s="53" t="n"/>
      <c r="E790" s="60" t="n"/>
      <c r="F790" s="53" t="n"/>
      <c r="G790" s="61" t="str">
        <f>IF(OR(COUNTA(A790:E790)=0,D790=""),"",IFERROR(INDEX(ca_fam,MATCH(D790,ca_name,0))&amp;"",""))</f>
        <v/>
      </c>
      <c r="H790" s="58" t="str">
        <f>IF(OR(COUNTA(A790:E790)=0,D790=""),"",IFERROR(INDEX(ca_type,MATCH(D790,ca_name,0))&amp;"",""))</f>
        <v/>
      </c>
      <c r="I790" s="58" t="str">
        <f>IF(COUNTA(A790:E790)=0,"",IF(N(A790)&lt;=0,"Date manquante ou invalide",IF(B790="","Équipe manquante",IF(ISNA(MATCH(B790,eq_code,0)),"Équipe inconnue",IF(C790="","Poste manquant",IF(ISNA(MATCH(C790,po_code,0)),"Poste inconnu",IF(D790="","Cause manquante",IF(ISNA(MATCH(D790,ca_name,0)),"Cause inconnue",IF(H790="","Cause à compléter dans Paramètres",IF(OR(NOT(ISNUMBER(E790)),N(E790)&lt;=0,N(E790)&gt;1440),"Durée invalide",IF(COUNTIFS(sj_date,A790,sj_eq,B790,sj_po,C790)=0,"Pas de saisie journalière ce jour-là","OK")))))))))))</f>
        <v/>
      </c>
      <c r="J790">
        <f>IF(OR(I790="OK",I790="Pas de saisie journalière ce jour-là"),E790,0)</f>
        <v>0.0</v>
      </c>
      <c r="K790">
        <f>IF(AND(J790&gt;0,A790&gt;=p_from,A790&lt;=p_to),1,0)</f>
        <v>0.0</v>
      </c>
      <c r="L790">
        <f>IF(AND(K790=1,OR(pa_po="",C790=pa_po),OR(pa_eq="",B790=pa_eq)),1,0)</f>
        <v>0.0</v>
      </c>
    </row>
    <row r="791">
      <c r="A791" s="51" t="n"/>
      <c r="B791" s="52" t="n"/>
      <c r="C791" s="52" t="n"/>
      <c r="D791" s="53" t="n"/>
      <c r="E791" s="60" t="n"/>
      <c r="F791" s="53" t="n"/>
      <c r="G791" s="61" t="str">
        <f>IF(OR(COUNTA(A791:E791)=0,D791=""),"",IFERROR(INDEX(ca_fam,MATCH(D791,ca_name,0))&amp;"",""))</f>
        <v/>
      </c>
      <c r="H791" s="58" t="str">
        <f>IF(OR(COUNTA(A791:E791)=0,D791=""),"",IFERROR(INDEX(ca_type,MATCH(D791,ca_name,0))&amp;"",""))</f>
        <v/>
      </c>
      <c r="I791" s="58" t="str">
        <f>IF(COUNTA(A791:E791)=0,"",IF(N(A791)&lt;=0,"Date manquante ou invalide",IF(B791="","Équipe manquante",IF(ISNA(MATCH(B791,eq_code,0)),"Équipe inconnue",IF(C791="","Poste manquant",IF(ISNA(MATCH(C791,po_code,0)),"Poste inconnu",IF(D791="","Cause manquante",IF(ISNA(MATCH(D791,ca_name,0)),"Cause inconnue",IF(H791="","Cause à compléter dans Paramètres",IF(OR(NOT(ISNUMBER(E791)),N(E791)&lt;=0,N(E791)&gt;1440),"Durée invalide",IF(COUNTIFS(sj_date,A791,sj_eq,B791,sj_po,C791)=0,"Pas de saisie journalière ce jour-là","OK")))))))))))</f>
        <v/>
      </c>
      <c r="J791">
        <f>IF(OR(I791="OK",I791="Pas de saisie journalière ce jour-là"),E791,0)</f>
        <v>0.0</v>
      </c>
      <c r="K791">
        <f>IF(AND(J791&gt;0,A791&gt;=p_from,A791&lt;=p_to),1,0)</f>
        <v>0.0</v>
      </c>
      <c r="L791">
        <f>IF(AND(K791=1,OR(pa_po="",C791=pa_po),OR(pa_eq="",B791=pa_eq)),1,0)</f>
        <v>0.0</v>
      </c>
    </row>
    <row r="792">
      <c r="A792" s="51" t="n"/>
      <c r="B792" s="52" t="n"/>
      <c r="C792" s="52" t="n"/>
      <c r="D792" s="53" t="n"/>
      <c r="E792" s="60" t="n"/>
      <c r="F792" s="53" t="n"/>
      <c r="G792" s="61" t="str">
        <f>IF(OR(COUNTA(A792:E792)=0,D792=""),"",IFERROR(INDEX(ca_fam,MATCH(D792,ca_name,0))&amp;"",""))</f>
        <v/>
      </c>
      <c r="H792" s="58" t="str">
        <f>IF(OR(COUNTA(A792:E792)=0,D792=""),"",IFERROR(INDEX(ca_type,MATCH(D792,ca_name,0))&amp;"",""))</f>
        <v/>
      </c>
      <c r="I792" s="58" t="str">
        <f>IF(COUNTA(A792:E792)=0,"",IF(N(A792)&lt;=0,"Date manquante ou invalide",IF(B792="","Équipe manquante",IF(ISNA(MATCH(B792,eq_code,0)),"Équipe inconnue",IF(C792="","Poste manquant",IF(ISNA(MATCH(C792,po_code,0)),"Poste inconnu",IF(D792="","Cause manquante",IF(ISNA(MATCH(D792,ca_name,0)),"Cause inconnue",IF(H792="","Cause à compléter dans Paramètres",IF(OR(NOT(ISNUMBER(E792)),N(E792)&lt;=0,N(E792)&gt;1440),"Durée invalide",IF(COUNTIFS(sj_date,A792,sj_eq,B792,sj_po,C792)=0,"Pas de saisie journalière ce jour-là","OK")))))))))))</f>
        <v/>
      </c>
      <c r="J792">
        <f>IF(OR(I792="OK",I792="Pas de saisie journalière ce jour-là"),E792,0)</f>
        <v>0.0</v>
      </c>
      <c r="K792">
        <f>IF(AND(J792&gt;0,A792&gt;=p_from,A792&lt;=p_to),1,0)</f>
        <v>0.0</v>
      </c>
      <c r="L792">
        <f>IF(AND(K792=1,OR(pa_po="",C792=pa_po),OR(pa_eq="",B792=pa_eq)),1,0)</f>
        <v>0.0</v>
      </c>
    </row>
    <row r="793">
      <c r="A793" s="51" t="n"/>
      <c r="B793" s="52" t="n"/>
      <c r="C793" s="52" t="n"/>
      <c r="D793" s="53" t="n"/>
      <c r="E793" s="60" t="n"/>
      <c r="F793" s="53" t="n"/>
      <c r="G793" s="61" t="str">
        <f>IF(OR(COUNTA(A793:E793)=0,D793=""),"",IFERROR(INDEX(ca_fam,MATCH(D793,ca_name,0))&amp;"",""))</f>
        <v/>
      </c>
      <c r="H793" s="58" t="str">
        <f>IF(OR(COUNTA(A793:E793)=0,D793=""),"",IFERROR(INDEX(ca_type,MATCH(D793,ca_name,0))&amp;"",""))</f>
        <v/>
      </c>
      <c r="I793" s="58" t="str">
        <f>IF(COUNTA(A793:E793)=0,"",IF(N(A793)&lt;=0,"Date manquante ou invalide",IF(B793="","Équipe manquante",IF(ISNA(MATCH(B793,eq_code,0)),"Équipe inconnue",IF(C793="","Poste manquant",IF(ISNA(MATCH(C793,po_code,0)),"Poste inconnu",IF(D793="","Cause manquante",IF(ISNA(MATCH(D793,ca_name,0)),"Cause inconnue",IF(H793="","Cause à compléter dans Paramètres",IF(OR(NOT(ISNUMBER(E793)),N(E793)&lt;=0,N(E793)&gt;1440),"Durée invalide",IF(COUNTIFS(sj_date,A793,sj_eq,B793,sj_po,C793)=0,"Pas de saisie journalière ce jour-là","OK")))))))))))</f>
        <v/>
      </c>
      <c r="J793">
        <f>IF(OR(I793="OK",I793="Pas de saisie journalière ce jour-là"),E793,0)</f>
        <v>0.0</v>
      </c>
      <c r="K793">
        <f>IF(AND(J793&gt;0,A793&gt;=p_from,A793&lt;=p_to),1,0)</f>
        <v>0.0</v>
      </c>
      <c r="L793">
        <f>IF(AND(K793=1,OR(pa_po="",C793=pa_po),OR(pa_eq="",B793=pa_eq)),1,0)</f>
        <v>0.0</v>
      </c>
    </row>
    <row r="794">
      <c r="A794" s="51" t="n"/>
      <c r="B794" s="52" t="n"/>
      <c r="C794" s="52" t="n"/>
      <c r="D794" s="53" t="n"/>
      <c r="E794" s="60" t="n"/>
      <c r="F794" s="53" t="n"/>
      <c r="G794" s="61" t="str">
        <f>IF(OR(COUNTA(A794:E794)=0,D794=""),"",IFERROR(INDEX(ca_fam,MATCH(D794,ca_name,0))&amp;"",""))</f>
        <v/>
      </c>
      <c r="H794" s="58" t="str">
        <f>IF(OR(COUNTA(A794:E794)=0,D794=""),"",IFERROR(INDEX(ca_type,MATCH(D794,ca_name,0))&amp;"",""))</f>
        <v/>
      </c>
      <c r="I794" s="58" t="str">
        <f>IF(COUNTA(A794:E794)=0,"",IF(N(A794)&lt;=0,"Date manquante ou invalide",IF(B794="","Équipe manquante",IF(ISNA(MATCH(B794,eq_code,0)),"Équipe inconnue",IF(C794="","Poste manquant",IF(ISNA(MATCH(C794,po_code,0)),"Poste inconnu",IF(D794="","Cause manquante",IF(ISNA(MATCH(D794,ca_name,0)),"Cause inconnue",IF(H794="","Cause à compléter dans Paramètres",IF(OR(NOT(ISNUMBER(E794)),N(E794)&lt;=0,N(E794)&gt;1440),"Durée invalide",IF(COUNTIFS(sj_date,A794,sj_eq,B794,sj_po,C794)=0,"Pas de saisie journalière ce jour-là","OK")))))))))))</f>
        <v/>
      </c>
      <c r="J794">
        <f>IF(OR(I794="OK",I794="Pas de saisie journalière ce jour-là"),E794,0)</f>
        <v>0.0</v>
      </c>
      <c r="K794">
        <f>IF(AND(J794&gt;0,A794&gt;=p_from,A794&lt;=p_to),1,0)</f>
        <v>0.0</v>
      </c>
      <c r="L794">
        <f>IF(AND(K794=1,OR(pa_po="",C794=pa_po),OR(pa_eq="",B794=pa_eq)),1,0)</f>
        <v>0.0</v>
      </c>
    </row>
    <row r="795">
      <c r="A795" s="51" t="n"/>
      <c r="B795" s="52" t="n"/>
      <c r="C795" s="52" t="n"/>
      <c r="D795" s="53" t="n"/>
      <c r="E795" s="60" t="n"/>
      <c r="F795" s="53" t="n"/>
      <c r="G795" s="61" t="str">
        <f>IF(OR(COUNTA(A795:E795)=0,D795=""),"",IFERROR(INDEX(ca_fam,MATCH(D795,ca_name,0))&amp;"",""))</f>
        <v/>
      </c>
      <c r="H795" s="58" t="str">
        <f>IF(OR(COUNTA(A795:E795)=0,D795=""),"",IFERROR(INDEX(ca_type,MATCH(D795,ca_name,0))&amp;"",""))</f>
        <v/>
      </c>
      <c r="I795" s="58" t="str">
        <f>IF(COUNTA(A795:E795)=0,"",IF(N(A795)&lt;=0,"Date manquante ou invalide",IF(B795="","Équipe manquante",IF(ISNA(MATCH(B795,eq_code,0)),"Équipe inconnue",IF(C795="","Poste manquant",IF(ISNA(MATCH(C795,po_code,0)),"Poste inconnu",IF(D795="","Cause manquante",IF(ISNA(MATCH(D795,ca_name,0)),"Cause inconnue",IF(H795="","Cause à compléter dans Paramètres",IF(OR(NOT(ISNUMBER(E795)),N(E795)&lt;=0,N(E795)&gt;1440),"Durée invalide",IF(COUNTIFS(sj_date,A795,sj_eq,B795,sj_po,C795)=0,"Pas de saisie journalière ce jour-là","OK")))))))))))</f>
        <v/>
      </c>
      <c r="J795">
        <f>IF(OR(I795="OK",I795="Pas de saisie journalière ce jour-là"),E795,0)</f>
        <v>0.0</v>
      </c>
      <c r="K795">
        <f>IF(AND(J795&gt;0,A795&gt;=p_from,A795&lt;=p_to),1,0)</f>
        <v>0.0</v>
      </c>
      <c r="L795">
        <f>IF(AND(K795=1,OR(pa_po="",C795=pa_po),OR(pa_eq="",B795=pa_eq)),1,0)</f>
        <v>0.0</v>
      </c>
    </row>
    <row r="796">
      <c r="A796" s="51" t="n"/>
      <c r="B796" s="52" t="n"/>
      <c r="C796" s="52" t="n"/>
      <c r="D796" s="53" t="n"/>
      <c r="E796" s="60" t="n"/>
      <c r="F796" s="53" t="n"/>
      <c r="G796" s="61" t="str">
        <f>IF(OR(COUNTA(A796:E796)=0,D796=""),"",IFERROR(INDEX(ca_fam,MATCH(D796,ca_name,0))&amp;"",""))</f>
        <v/>
      </c>
      <c r="H796" s="58" t="str">
        <f>IF(OR(COUNTA(A796:E796)=0,D796=""),"",IFERROR(INDEX(ca_type,MATCH(D796,ca_name,0))&amp;"",""))</f>
        <v/>
      </c>
      <c r="I796" s="58" t="str">
        <f>IF(COUNTA(A796:E796)=0,"",IF(N(A796)&lt;=0,"Date manquante ou invalide",IF(B796="","Équipe manquante",IF(ISNA(MATCH(B796,eq_code,0)),"Équipe inconnue",IF(C796="","Poste manquant",IF(ISNA(MATCH(C796,po_code,0)),"Poste inconnu",IF(D796="","Cause manquante",IF(ISNA(MATCH(D796,ca_name,0)),"Cause inconnue",IF(H796="","Cause à compléter dans Paramètres",IF(OR(NOT(ISNUMBER(E796)),N(E796)&lt;=0,N(E796)&gt;1440),"Durée invalide",IF(COUNTIFS(sj_date,A796,sj_eq,B796,sj_po,C796)=0,"Pas de saisie journalière ce jour-là","OK")))))))))))</f>
        <v/>
      </c>
      <c r="J796">
        <f>IF(OR(I796="OK",I796="Pas de saisie journalière ce jour-là"),E796,0)</f>
        <v>0.0</v>
      </c>
      <c r="K796">
        <f>IF(AND(J796&gt;0,A796&gt;=p_from,A796&lt;=p_to),1,0)</f>
        <v>0.0</v>
      </c>
      <c r="L796">
        <f>IF(AND(K796=1,OR(pa_po="",C796=pa_po),OR(pa_eq="",B796=pa_eq)),1,0)</f>
        <v>0.0</v>
      </c>
    </row>
    <row r="797">
      <c r="A797" s="51" t="n"/>
      <c r="B797" s="52" t="n"/>
      <c r="C797" s="52" t="n"/>
      <c r="D797" s="53" t="n"/>
      <c r="E797" s="60" t="n"/>
      <c r="F797" s="53" t="n"/>
      <c r="G797" s="61" t="str">
        <f>IF(OR(COUNTA(A797:E797)=0,D797=""),"",IFERROR(INDEX(ca_fam,MATCH(D797,ca_name,0))&amp;"",""))</f>
        <v/>
      </c>
      <c r="H797" s="58" t="str">
        <f>IF(OR(COUNTA(A797:E797)=0,D797=""),"",IFERROR(INDEX(ca_type,MATCH(D797,ca_name,0))&amp;"",""))</f>
        <v/>
      </c>
      <c r="I797" s="58" t="str">
        <f>IF(COUNTA(A797:E797)=0,"",IF(N(A797)&lt;=0,"Date manquante ou invalide",IF(B797="","Équipe manquante",IF(ISNA(MATCH(B797,eq_code,0)),"Équipe inconnue",IF(C797="","Poste manquant",IF(ISNA(MATCH(C797,po_code,0)),"Poste inconnu",IF(D797="","Cause manquante",IF(ISNA(MATCH(D797,ca_name,0)),"Cause inconnue",IF(H797="","Cause à compléter dans Paramètres",IF(OR(NOT(ISNUMBER(E797)),N(E797)&lt;=0,N(E797)&gt;1440),"Durée invalide",IF(COUNTIFS(sj_date,A797,sj_eq,B797,sj_po,C797)=0,"Pas de saisie journalière ce jour-là","OK")))))))))))</f>
        <v/>
      </c>
      <c r="J797">
        <f>IF(OR(I797="OK",I797="Pas de saisie journalière ce jour-là"),E797,0)</f>
        <v>0.0</v>
      </c>
      <c r="K797">
        <f>IF(AND(J797&gt;0,A797&gt;=p_from,A797&lt;=p_to),1,0)</f>
        <v>0.0</v>
      </c>
      <c r="L797">
        <f>IF(AND(K797=1,OR(pa_po="",C797=pa_po),OR(pa_eq="",B797=pa_eq)),1,0)</f>
        <v>0.0</v>
      </c>
    </row>
    <row r="798">
      <c r="A798" s="51" t="n"/>
      <c r="B798" s="52" t="n"/>
      <c r="C798" s="52" t="n"/>
      <c r="D798" s="53" t="n"/>
      <c r="E798" s="60" t="n"/>
      <c r="F798" s="53" t="n"/>
      <c r="G798" s="61" t="str">
        <f>IF(OR(COUNTA(A798:E798)=0,D798=""),"",IFERROR(INDEX(ca_fam,MATCH(D798,ca_name,0))&amp;"",""))</f>
        <v/>
      </c>
      <c r="H798" s="58" t="str">
        <f>IF(OR(COUNTA(A798:E798)=0,D798=""),"",IFERROR(INDEX(ca_type,MATCH(D798,ca_name,0))&amp;"",""))</f>
        <v/>
      </c>
      <c r="I798" s="58" t="str">
        <f>IF(COUNTA(A798:E798)=0,"",IF(N(A798)&lt;=0,"Date manquante ou invalide",IF(B798="","Équipe manquante",IF(ISNA(MATCH(B798,eq_code,0)),"Équipe inconnue",IF(C798="","Poste manquant",IF(ISNA(MATCH(C798,po_code,0)),"Poste inconnu",IF(D798="","Cause manquante",IF(ISNA(MATCH(D798,ca_name,0)),"Cause inconnue",IF(H798="","Cause à compléter dans Paramètres",IF(OR(NOT(ISNUMBER(E798)),N(E798)&lt;=0,N(E798)&gt;1440),"Durée invalide",IF(COUNTIFS(sj_date,A798,sj_eq,B798,sj_po,C798)=0,"Pas de saisie journalière ce jour-là","OK")))))))))))</f>
        <v/>
      </c>
      <c r="J798">
        <f>IF(OR(I798="OK",I798="Pas de saisie journalière ce jour-là"),E798,0)</f>
        <v>0.0</v>
      </c>
      <c r="K798">
        <f>IF(AND(J798&gt;0,A798&gt;=p_from,A798&lt;=p_to),1,0)</f>
        <v>0.0</v>
      </c>
      <c r="L798">
        <f>IF(AND(K798=1,OR(pa_po="",C798=pa_po),OR(pa_eq="",B798=pa_eq)),1,0)</f>
        <v>0.0</v>
      </c>
    </row>
    <row r="799">
      <c r="A799" s="51" t="n"/>
      <c r="B799" s="52" t="n"/>
      <c r="C799" s="52" t="n"/>
      <c r="D799" s="53" t="n"/>
      <c r="E799" s="60" t="n"/>
      <c r="F799" s="53" t="n"/>
      <c r="G799" s="61" t="str">
        <f>IF(OR(COUNTA(A799:E799)=0,D799=""),"",IFERROR(INDEX(ca_fam,MATCH(D799,ca_name,0))&amp;"",""))</f>
        <v/>
      </c>
      <c r="H799" s="58" t="str">
        <f>IF(OR(COUNTA(A799:E799)=0,D799=""),"",IFERROR(INDEX(ca_type,MATCH(D799,ca_name,0))&amp;"",""))</f>
        <v/>
      </c>
      <c r="I799" s="58" t="str">
        <f>IF(COUNTA(A799:E799)=0,"",IF(N(A799)&lt;=0,"Date manquante ou invalide",IF(B799="","Équipe manquante",IF(ISNA(MATCH(B799,eq_code,0)),"Équipe inconnue",IF(C799="","Poste manquant",IF(ISNA(MATCH(C799,po_code,0)),"Poste inconnu",IF(D799="","Cause manquante",IF(ISNA(MATCH(D799,ca_name,0)),"Cause inconnue",IF(H799="","Cause à compléter dans Paramètres",IF(OR(NOT(ISNUMBER(E799)),N(E799)&lt;=0,N(E799)&gt;1440),"Durée invalide",IF(COUNTIFS(sj_date,A799,sj_eq,B799,sj_po,C799)=0,"Pas de saisie journalière ce jour-là","OK")))))))))))</f>
        <v/>
      </c>
      <c r="J799">
        <f>IF(OR(I799="OK",I799="Pas de saisie journalière ce jour-là"),E799,0)</f>
        <v>0.0</v>
      </c>
      <c r="K799">
        <f>IF(AND(J799&gt;0,A799&gt;=p_from,A799&lt;=p_to),1,0)</f>
        <v>0.0</v>
      </c>
      <c r="L799">
        <f>IF(AND(K799=1,OR(pa_po="",C799=pa_po),OR(pa_eq="",B799=pa_eq)),1,0)</f>
        <v>0.0</v>
      </c>
    </row>
    <row r="800">
      <c r="A800" s="51" t="n"/>
      <c r="B800" s="52" t="n"/>
      <c r="C800" s="52" t="n"/>
      <c r="D800" s="53" t="n"/>
      <c r="E800" s="60" t="n"/>
      <c r="F800" s="53" t="n"/>
      <c r="G800" s="61" t="str">
        <f>IF(OR(COUNTA(A800:E800)=0,D800=""),"",IFERROR(INDEX(ca_fam,MATCH(D800,ca_name,0))&amp;"",""))</f>
        <v/>
      </c>
      <c r="H800" s="58" t="str">
        <f>IF(OR(COUNTA(A800:E800)=0,D800=""),"",IFERROR(INDEX(ca_type,MATCH(D800,ca_name,0))&amp;"",""))</f>
        <v/>
      </c>
      <c r="I800" s="58" t="str">
        <f>IF(COUNTA(A800:E800)=0,"",IF(N(A800)&lt;=0,"Date manquante ou invalide",IF(B800="","Équipe manquante",IF(ISNA(MATCH(B800,eq_code,0)),"Équipe inconnue",IF(C800="","Poste manquant",IF(ISNA(MATCH(C800,po_code,0)),"Poste inconnu",IF(D800="","Cause manquante",IF(ISNA(MATCH(D800,ca_name,0)),"Cause inconnue",IF(H800="","Cause à compléter dans Paramètres",IF(OR(NOT(ISNUMBER(E800)),N(E800)&lt;=0,N(E800)&gt;1440),"Durée invalide",IF(COUNTIFS(sj_date,A800,sj_eq,B800,sj_po,C800)=0,"Pas de saisie journalière ce jour-là","OK")))))))))))</f>
        <v/>
      </c>
      <c r="J800">
        <f>IF(OR(I800="OK",I800="Pas de saisie journalière ce jour-là"),E800,0)</f>
        <v>0.0</v>
      </c>
      <c r="K800">
        <f>IF(AND(J800&gt;0,A800&gt;=p_from,A800&lt;=p_to),1,0)</f>
        <v>0.0</v>
      </c>
      <c r="L800">
        <f>IF(AND(K800=1,OR(pa_po="",C800=pa_po),OR(pa_eq="",B800=pa_eq)),1,0)</f>
        <v>0.0</v>
      </c>
    </row>
    <row r="801">
      <c r="A801" s="51" t="n"/>
      <c r="B801" s="52" t="n"/>
      <c r="C801" s="52" t="n"/>
      <c r="D801" s="53" t="n"/>
      <c r="E801" s="60" t="n"/>
      <c r="F801" s="53" t="n"/>
      <c r="G801" s="61" t="str">
        <f>IF(OR(COUNTA(A801:E801)=0,D801=""),"",IFERROR(INDEX(ca_fam,MATCH(D801,ca_name,0))&amp;"",""))</f>
        <v/>
      </c>
      <c r="H801" s="58" t="str">
        <f>IF(OR(COUNTA(A801:E801)=0,D801=""),"",IFERROR(INDEX(ca_type,MATCH(D801,ca_name,0))&amp;"",""))</f>
        <v/>
      </c>
      <c r="I801" s="58" t="str">
        <f>IF(COUNTA(A801:E801)=0,"",IF(N(A801)&lt;=0,"Date manquante ou invalide",IF(B801="","Équipe manquante",IF(ISNA(MATCH(B801,eq_code,0)),"Équipe inconnue",IF(C801="","Poste manquant",IF(ISNA(MATCH(C801,po_code,0)),"Poste inconnu",IF(D801="","Cause manquante",IF(ISNA(MATCH(D801,ca_name,0)),"Cause inconnue",IF(H801="","Cause à compléter dans Paramètres",IF(OR(NOT(ISNUMBER(E801)),N(E801)&lt;=0,N(E801)&gt;1440),"Durée invalide",IF(COUNTIFS(sj_date,A801,sj_eq,B801,sj_po,C801)=0,"Pas de saisie journalière ce jour-là","OK")))))))))))</f>
        <v/>
      </c>
      <c r="J801">
        <f>IF(OR(I801="OK",I801="Pas de saisie journalière ce jour-là"),E801,0)</f>
        <v>0.0</v>
      </c>
      <c r="K801">
        <f>IF(AND(J801&gt;0,A801&gt;=p_from,A801&lt;=p_to),1,0)</f>
        <v>0.0</v>
      </c>
      <c r="L801">
        <f>IF(AND(K801=1,OR(pa_po="",C801=pa_po),OR(pa_eq="",B801=pa_eq)),1,0)</f>
        <v>0.0</v>
      </c>
    </row>
    <row r="802">
      <c r="A802" s="51" t="n"/>
      <c r="B802" s="52" t="n"/>
      <c r="C802" s="52" t="n"/>
      <c r="D802" s="53" t="n"/>
      <c r="E802" s="60" t="n"/>
      <c r="F802" s="53" t="n"/>
      <c r="G802" s="61" t="str">
        <f>IF(OR(COUNTA(A802:E802)=0,D802=""),"",IFERROR(INDEX(ca_fam,MATCH(D802,ca_name,0))&amp;"",""))</f>
        <v/>
      </c>
      <c r="H802" s="58" t="str">
        <f>IF(OR(COUNTA(A802:E802)=0,D802=""),"",IFERROR(INDEX(ca_type,MATCH(D802,ca_name,0))&amp;"",""))</f>
        <v/>
      </c>
      <c r="I802" s="58" t="str">
        <f>IF(COUNTA(A802:E802)=0,"",IF(N(A802)&lt;=0,"Date manquante ou invalide",IF(B802="","Équipe manquante",IF(ISNA(MATCH(B802,eq_code,0)),"Équipe inconnue",IF(C802="","Poste manquant",IF(ISNA(MATCH(C802,po_code,0)),"Poste inconnu",IF(D802="","Cause manquante",IF(ISNA(MATCH(D802,ca_name,0)),"Cause inconnue",IF(H802="","Cause à compléter dans Paramètres",IF(OR(NOT(ISNUMBER(E802)),N(E802)&lt;=0,N(E802)&gt;1440),"Durée invalide",IF(COUNTIFS(sj_date,A802,sj_eq,B802,sj_po,C802)=0,"Pas de saisie journalière ce jour-là","OK")))))))))))</f>
        <v/>
      </c>
      <c r="J802">
        <f>IF(OR(I802="OK",I802="Pas de saisie journalière ce jour-là"),E802,0)</f>
        <v>0.0</v>
      </c>
      <c r="K802">
        <f>IF(AND(J802&gt;0,A802&gt;=p_from,A802&lt;=p_to),1,0)</f>
        <v>0.0</v>
      </c>
      <c r="L802">
        <f>IF(AND(K802=1,OR(pa_po="",C802=pa_po),OR(pa_eq="",B802=pa_eq)),1,0)</f>
        <v>0.0</v>
      </c>
    </row>
    <row r="803">
      <c r="A803" s="51" t="n"/>
      <c r="B803" s="52" t="n"/>
      <c r="C803" s="52" t="n"/>
      <c r="D803" s="53" t="n"/>
      <c r="E803" s="60" t="n"/>
      <c r="F803" s="53" t="n"/>
      <c r="G803" s="61" t="str">
        <f>IF(OR(COUNTA(A803:E803)=0,D803=""),"",IFERROR(INDEX(ca_fam,MATCH(D803,ca_name,0))&amp;"",""))</f>
        <v/>
      </c>
      <c r="H803" s="58" t="str">
        <f>IF(OR(COUNTA(A803:E803)=0,D803=""),"",IFERROR(INDEX(ca_type,MATCH(D803,ca_name,0))&amp;"",""))</f>
        <v/>
      </c>
      <c r="I803" s="58" t="str">
        <f>IF(COUNTA(A803:E803)=0,"",IF(N(A803)&lt;=0,"Date manquante ou invalide",IF(B803="","Équipe manquante",IF(ISNA(MATCH(B803,eq_code,0)),"Équipe inconnue",IF(C803="","Poste manquant",IF(ISNA(MATCH(C803,po_code,0)),"Poste inconnu",IF(D803="","Cause manquante",IF(ISNA(MATCH(D803,ca_name,0)),"Cause inconnue",IF(H803="","Cause à compléter dans Paramètres",IF(OR(NOT(ISNUMBER(E803)),N(E803)&lt;=0,N(E803)&gt;1440),"Durée invalide",IF(COUNTIFS(sj_date,A803,sj_eq,B803,sj_po,C803)=0,"Pas de saisie journalière ce jour-là","OK")))))))))))</f>
        <v/>
      </c>
      <c r="J803">
        <f>IF(OR(I803="OK",I803="Pas de saisie journalière ce jour-là"),E803,0)</f>
        <v>0.0</v>
      </c>
      <c r="K803">
        <f>IF(AND(J803&gt;0,A803&gt;=p_from,A803&lt;=p_to),1,0)</f>
        <v>0.0</v>
      </c>
      <c r="L803">
        <f>IF(AND(K803=1,OR(pa_po="",C803=pa_po),OR(pa_eq="",B803=pa_eq)),1,0)</f>
        <v>0.0</v>
      </c>
    </row>
    <row r="804">
      <c r="A804" s="51" t="n"/>
      <c r="B804" s="52" t="n"/>
      <c r="C804" s="52" t="n"/>
      <c r="D804" s="53" t="n"/>
      <c r="E804" s="60" t="n"/>
      <c r="F804" s="53" t="n"/>
      <c r="G804" s="61" t="str">
        <f>IF(OR(COUNTA(A804:E804)=0,D804=""),"",IFERROR(INDEX(ca_fam,MATCH(D804,ca_name,0))&amp;"",""))</f>
        <v/>
      </c>
      <c r="H804" s="58" t="str">
        <f>IF(OR(COUNTA(A804:E804)=0,D804=""),"",IFERROR(INDEX(ca_type,MATCH(D804,ca_name,0))&amp;"",""))</f>
        <v/>
      </c>
      <c r="I804" s="58" t="str">
        <f>IF(COUNTA(A804:E804)=0,"",IF(N(A804)&lt;=0,"Date manquante ou invalide",IF(B804="","Équipe manquante",IF(ISNA(MATCH(B804,eq_code,0)),"Équipe inconnue",IF(C804="","Poste manquant",IF(ISNA(MATCH(C804,po_code,0)),"Poste inconnu",IF(D804="","Cause manquante",IF(ISNA(MATCH(D804,ca_name,0)),"Cause inconnue",IF(H804="","Cause à compléter dans Paramètres",IF(OR(NOT(ISNUMBER(E804)),N(E804)&lt;=0,N(E804)&gt;1440),"Durée invalide",IF(COUNTIFS(sj_date,A804,sj_eq,B804,sj_po,C804)=0,"Pas de saisie journalière ce jour-là","OK")))))))))))</f>
        <v/>
      </c>
      <c r="J804">
        <f>IF(OR(I804="OK",I804="Pas de saisie journalière ce jour-là"),E804,0)</f>
        <v>0.0</v>
      </c>
      <c r="K804">
        <f>IF(AND(J804&gt;0,A804&gt;=p_from,A804&lt;=p_to),1,0)</f>
        <v>0.0</v>
      </c>
      <c r="L804">
        <f>IF(AND(K804=1,OR(pa_po="",C804=pa_po),OR(pa_eq="",B804=pa_eq)),1,0)</f>
        <v>0.0</v>
      </c>
    </row>
    <row r="805">
      <c r="A805" s="51" t="n"/>
      <c r="B805" s="52" t="n"/>
      <c r="C805" s="52" t="n"/>
      <c r="D805" s="53" t="n"/>
      <c r="E805" s="60" t="n"/>
      <c r="F805" s="53" t="n"/>
      <c r="G805" s="61" t="str">
        <f>IF(OR(COUNTA(A805:E805)=0,D805=""),"",IFERROR(INDEX(ca_fam,MATCH(D805,ca_name,0))&amp;"",""))</f>
        <v/>
      </c>
      <c r="H805" s="58" t="str">
        <f>IF(OR(COUNTA(A805:E805)=0,D805=""),"",IFERROR(INDEX(ca_type,MATCH(D805,ca_name,0))&amp;"",""))</f>
        <v/>
      </c>
      <c r="I805" s="58" t="str">
        <f>IF(COUNTA(A805:E805)=0,"",IF(N(A805)&lt;=0,"Date manquante ou invalide",IF(B805="","Équipe manquante",IF(ISNA(MATCH(B805,eq_code,0)),"Équipe inconnue",IF(C805="","Poste manquant",IF(ISNA(MATCH(C805,po_code,0)),"Poste inconnu",IF(D805="","Cause manquante",IF(ISNA(MATCH(D805,ca_name,0)),"Cause inconnue",IF(H805="","Cause à compléter dans Paramètres",IF(OR(NOT(ISNUMBER(E805)),N(E805)&lt;=0,N(E805)&gt;1440),"Durée invalide",IF(COUNTIFS(sj_date,A805,sj_eq,B805,sj_po,C805)=0,"Pas de saisie journalière ce jour-là","OK")))))))))))</f>
        <v/>
      </c>
      <c r="J805">
        <f>IF(OR(I805="OK",I805="Pas de saisie journalière ce jour-là"),E805,0)</f>
        <v>0.0</v>
      </c>
      <c r="K805">
        <f>IF(AND(J805&gt;0,A805&gt;=p_from,A805&lt;=p_to),1,0)</f>
        <v>0.0</v>
      </c>
      <c r="L805">
        <f>IF(AND(K805=1,OR(pa_po="",C805=pa_po),OR(pa_eq="",B805=pa_eq)),1,0)</f>
        <v>0.0</v>
      </c>
    </row>
    <row r="806">
      <c r="A806" s="51" t="n"/>
      <c r="B806" s="52" t="n"/>
      <c r="C806" s="52" t="n"/>
      <c r="D806" s="53" t="n"/>
      <c r="E806" s="60" t="n"/>
      <c r="F806" s="53" t="n"/>
      <c r="G806" s="61" t="str">
        <f>IF(OR(COUNTA(A806:E806)=0,D806=""),"",IFERROR(INDEX(ca_fam,MATCH(D806,ca_name,0))&amp;"",""))</f>
        <v/>
      </c>
      <c r="H806" s="58" t="str">
        <f>IF(OR(COUNTA(A806:E806)=0,D806=""),"",IFERROR(INDEX(ca_type,MATCH(D806,ca_name,0))&amp;"",""))</f>
        <v/>
      </c>
      <c r="I806" s="58" t="str">
        <f>IF(COUNTA(A806:E806)=0,"",IF(N(A806)&lt;=0,"Date manquante ou invalide",IF(B806="","Équipe manquante",IF(ISNA(MATCH(B806,eq_code,0)),"Équipe inconnue",IF(C806="","Poste manquant",IF(ISNA(MATCH(C806,po_code,0)),"Poste inconnu",IF(D806="","Cause manquante",IF(ISNA(MATCH(D806,ca_name,0)),"Cause inconnue",IF(H806="","Cause à compléter dans Paramètres",IF(OR(NOT(ISNUMBER(E806)),N(E806)&lt;=0,N(E806)&gt;1440),"Durée invalide",IF(COUNTIFS(sj_date,A806,sj_eq,B806,sj_po,C806)=0,"Pas de saisie journalière ce jour-là","OK")))))))))))</f>
        <v/>
      </c>
      <c r="J806">
        <f>IF(OR(I806="OK",I806="Pas de saisie journalière ce jour-là"),E806,0)</f>
        <v>0.0</v>
      </c>
      <c r="K806">
        <f>IF(AND(J806&gt;0,A806&gt;=p_from,A806&lt;=p_to),1,0)</f>
        <v>0.0</v>
      </c>
      <c r="L806">
        <f>IF(AND(K806=1,OR(pa_po="",C806=pa_po),OR(pa_eq="",B806=pa_eq)),1,0)</f>
        <v>0.0</v>
      </c>
    </row>
    <row r="807">
      <c r="A807" s="51" t="n"/>
      <c r="B807" s="52" t="n"/>
      <c r="C807" s="52" t="n"/>
      <c r="D807" s="53" t="n"/>
      <c r="E807" s="60" t="n"/>
      <c r="F807" s="53" t="n"/>
      <c r="G807" s="61" t="str">
        <f>IF(OR(COUNTA(A807:E807)=0,D807=""),"",IFERROR(INDEX(ca_fam,MATCH(D807,ca_name,0))&amp;"",""))</f>
        <v/>
      </c>
      <c r="H807" s="58" t="str">
        <f>IF(OR(COUNTA(A807:E807)=0,D807=""),"",IFERROR(INDEX(ca_type,MATCH(D807,ca_name,0))&amp;"",""))</f>
        <v/>
      </c>
      <c r="I807" s="58" t="str">
        <f>IF(COUNTA(A807:E807)=0,"",IF(N(A807)&lt;=0,"Date manquante ou invalide",IF(B807="","Équipe manquante",IF(ISNA(MATCH(B807,eq_code,0)),"Équipe inconnue",IF(C807="","Poste manquant",IF(ISNA(MATCH(C807,po_code,0)),"Poste inconnu",IF(D807="","Cause manquante",IF(ISNA(MATCH(D807,ca_name,0)),"Cause inconnue",IF(H807="","Cause à compléter dans Paramètres",IF(OR(NOT(ISNUMBER(E807)),N(E807)&lt;=0,N(E807)&gt;1440),"Durée invalide",IF(COUNTIFS(sj_date,A807,sj_eq,B807,sj_po,C807)=0,"Pas de saisie journalière ce jour-là","OK")))))))))))</f>
        <v/>
      </c>
      <c r="J807">
        <f>IF(OR(I807="OK",I807="Pas de saisie journalière ce jour-là"),E807,0)</f>
        <v>0.0</v>
      </c>
      <c r="K807">
        <f>IF(AND(J807&gt;0,A807&gt;=p_from,A807&lt;=p_to),1,0)</f>
        <v>0.0</v>
      </c>
      <c r="L807">
        <f>IF(AND(K807=1,OR(pa_po="",C807=pa_po),OR(pa_eq="",B807=pa_eq)),1,0)</f>
        <v>0.0</v>
      </c>
    </row>
    <row r="808">
      <c r="A808" s="51" t="n"/>
      <c r="B808" s="52" t="n"/>
      <c r="C808" s="52" t="n"/>
      <c r="D808" s="53" t="n"/>
      <c r="E808" s="60" t="n"/>
      <c r="F808" s="53" t="n"/>
      <c r="G808" s="61" t="str">
        <f>IF(OR(COUNTA(A808:E808)=0,D808=""),"",IFERROR(INDEX(ca_fam,MATCH(D808,ca_name,0))&amp;"",""))</f>
        <v/>
      </c>
      <c r="H808" s="58" t="str">
        <f>IF(OR(COUNTA(A808:E808)=0,D808=""),"",IFERROR(INDEX(ca_type,MATCH(D808,ca_name,0))&amp;"",""))</f>
        <v/>
      </c>
      <c r="I808" s="58" t="str">
        <f>IF(COUNTA(A808:E808)=0,"",IF(N(A808)&lt;=0,"Date manquante ou invalide",IF(B808="","Équipe manquante",IF(ISNA(MATCH(B808,eq_code,0)),"Équipe inconnue",IF(C808="","Poste manquant",IF(ISNA(MATCH(C808,po_code,0)),"Poste inconnu",IF(D808="","Cause manquante",IF(ISNA(MATCH(D808,ca_name,0)),"Cause inconnue",IF(H808="","Cause à compléter dans Paramètres",IF(OR(NOT(ISNUMBER(E808)),N(E808)&lt;=0,N(E808)&gt;1440),"Durée invalide",IF(COUNTIFS(sj_date,A808,sj_eq,B808,sj_po,C808)=0,"Pas de saisie journalière ce jour-là","OK")))))))))))</f>
        <v/>
      </c>
      <c r="J808">
        <f>IF(OR(I808="OK",I808="Pas de saisie journalière ce jour-là"),E808,0)</f>
        <v>0.0</v>
      </c>
      <c r="K808">
        <f>IF(AND(J808&gt;0,A808&gt;=p_from,A808&lt;=p_to),1,0)</f>
        <v>0.0</v>
      </c>
      <c r="L808">
        <f>IF(AND(K808=1,OR(pa_po="",C808=pa_po),OR(pa_eq="",B808=pa_eq)),1,0)</f>
        <v>0.0</v>
      </c>
    </row>
    <row r="809">
      <c r="A809" s="51" t="n"/>
      <c r="B809" s="52" t="n"/>
      <c r="C809" s="52" t="n"/>
      <c r="D809" s="53" t="n"/>
      <c r="E809" s="60" t="n"/>
      <c r="F809" s="53" t="n"/>
      <c r="G809" s="61" t="str">
        <f>IF(OR(COUNTA(A809:E809)=0,D809=""),"",IFERROR(INDEX(ca_fam,MATCH(D809,ca_name,0))&amp;"",""))</f>
        <v/>
      </c>
      <c r="H809" s="58" t="str">
        <f>IF(OR(COUNTA(A809:E809)=0,D809=""),"",IFERROR(INDEX(ca_type,MATCH(D809,ca_name,0))&amp;"",""))</f>
        <v/>
      </c>
      <c r="I809" s="58" t="str">
        <f>IF(COUNTA(A809:E809)=0,"",IF(N(A809)&lt;=0,"Date manquante ou invalide",IF(B809="","Équipe manquante",IF(ISNA(MATCH(B809,eq_code,0)),"Équipe inconnue",IF(C809="","Poste manquant",IF(ISNA(MATCH(C809,po_code,0)),"Poste inconnu",IF(D809="","Cause manquante",IF(ISNA(MATCH(D809,ca_name,0)),"Cause inconnue",IF(H809="","Cause à compléter dans Paramètres",IF(OR(NOT(ISNUMBER(E809)),N(E809)&lt;=0,N(E809)&gt;1440),"Durée invalide",IF(COUNTIFS(sj_date,A809,sj_eq,B809,sj_po,C809)=0,"Pas de saisie journalière ce jour-là","OK")))))))))))</f>
        <v/>
      </c>
      <c r="J809">
        <f>IF(OR(I809="OK",I809="Pas de saisie journalière ce jour-là"),E809,0)</f>
        <v>0.0</v>
      </c>
      <c r="K809">
        <f>IF(AND(J809&gt;0,A809&gt;=p_from,A809&lt;=p_to),1,0)</f>
        <v>0.0</v>
      </c>
      <c r="L809">
        <f>IF(AND(K809=1,OR(pa_po="",C809=pa_po),OR(pa_eq="",B809=pa_eq)),1,0)</f>
        <v>0.0</v>
      </c>
    </row>
    <row r="810">
      <c r="A810" s="51" t="n"/>
      <c r="B810" s="52" t="n"/>
      <c r="C810" s="52" t="n"/>
      <c r="D810" s="53" t="n"/>
      <c r="E810" s="60" t="n"/>
      <c r="F810" s="53" t="n"/>
      <c r="G810" s="61" t="str">
        <f>IF(OR(COUNTA(A810:E810)=0,D810=""),"",IFERROR(INDEX(ca_fam,MATCH(D810,ca_name,0))&amp;"",""))</f>
        <v/>
      </c>
      <c r="H810" s="58" t="str">
        <f>IF(OR(COUNTA(A810:E810)=0,D810=""),"",IFERROR(INDEX(ca_type,MATCH(D810,ca_name,0))&amp;"",""))</f>
        <v/>
      </c>
      <c r="I810" s="58" t="str">
        <f>IF(COUNTA(A810:E810)=0,"",IF(N(A810)&lt;=0,"Date manquante ou invalide",IF(B810="","Équipe manquante",IF(ISNA(MATCH(B810,eq_code,0)),"Équipe inconnue",IF(C810="","Poste manquant",IF(ISNA(MATCH(C810,po_code,0)),"Poste inconnu",IF(D810="","Cause manquante",IF(ISNA(MATCH(D810,ca_name,0)),"Cause inconnue",IF(H810="","Cause à compléter dans Paramètres",IF(OR(NOT(ISNUMBER(E810)),N(E810)&lt;=0,N(E810)&gt;1440),"Durée invalide",IF(COUNTIFS(sj_date,A810,sj_eq,B810,sj_po,C810)=0,"Pas de saisie journalière ce jour-là","OK")))))))))))</f>
        <v/>
      </c>
      <c r="J810">
        <f>IF(OR(I810="OK",I810="Pas de saisie journalière ce jour-là"),E810,0)</f>
        <v>0.0</v>
      </c>
      <c r="K810">
        <f>IF(AND(J810&gt;0,A810&gt;=p_from,A810&lt;=p_to),1,0)</f>
        <v>0.0</v>
      </c>
      <c r="L810">
        <f>IF(AND(K810=1,OR(pa_po="",C810=pa_po),OR(pa_eq="",B810=pa_eq)),1,0)</f>
        <v>0.0</v>
      </c>
    </row>
    <row r="811">
      <c r="A811" s="51" t="n"/>
      <c r="B811" s="52" t="n"/>
      <c r="C811" s="52" t="n"/>
      <c r="D811" s="53" t="n"/>
      <c r="E811" s="60" t="n"/>
      <c r="F811" s="53" t="n"/>
      <c r="G811" s="61" t="str">
        <f>IF(OR(COUNTA(A811:E811)=0,D811=""),"",IFERROR(INDEX(ca_fam,MATCH(D811,ca_name,0))&amp;"",""))</f>
        <v/>
      </c>
      <c r="H811" s="58" t="str">
        <f>IF(OR(COUNTA(A811:E811)=0,D811=""),"",IFERROR(INDEX(ca_type,MATCH(D811,ca_name,0))&amp;"",""))</f>
        <v/>
      </c>
      <c r="I811" s="58" t="str">
        <f>IF(COUNTA(A811:E811)=0,"",IF(N(A811)&lt;=0,"Date manquante ou invalide",IF(B811="","Équipe manquante",IF(ISNA(MATCH(B811,eq_code,0)),"Équipe inconnue",IF(C811="","Poste manquant",IF(ISNA(MATCH(C811,po_code,0)),"Poste inconnu",IF(D811="","Cause manquante",IF(ISNA(MATCH(D811,ca_name,0)),"Cause inconnue",IF(H811="","Cause à compléter dans Paramètres",IF(OR(NOT(ISNUMBER(E811)),N(E811)&lt;=0,N(E811)&gt;1440),"Durée invalide",IF(COUNTIFS(sj_date,A811,sj_eq,B811,sj_po,C811)=0,"Pas de saisie journalière ce jour-là","OK")))))))))))</f>
        <v/>
      </c>
      <c r="J811">
        <f>IF(OR(I811="OK",I811="Pas de saisie journalière ce jour-là"),E811,0)</f>
        <v>0.0</v>
      </c>
      <c r="K811">
        <f>IF(AND(J811&gt;0,A811&gt;=p_from,A811&lt;=p_to),1,0)</f>
        <v>0.0</v>
      </c>
      <c r="L811">
        <f>IF(AND(K811=1,OR(pa_po="",C811=pa_po),OR(pa_eq="",B811=pa_eq)),1,0)</f>
        <v>0.0</v>
      </c>
    </row>
    <row r="812">
      <c r="A812" s="51" t="n"/>
      <c r="B812" s="52" t="n"/>
      <c r="C812" s="52" t="n"/>
      <c r="D812" s="53" t="n"/>
      <c r="E812" s="60" t="n"/>
      <c r="F812" s="53" t="n"/>
      <c r="G812" s="61" t="str">
        <f>IF(OR(COUNTA(A812:E812)=0,D812=""),"",IFERROR(INDEX(ca_fam,MATCH(D812,ca_name,0))&amp;"",""))</f>
        <v/>
      </c>
      <c r="H812" s="58" t="str">
        <f>IF(OR(COUNTA(A812:E812)=0,D812=""),"",IFERROR(INDEX(ca_type,MATCH(D812,ca_name,0))&amp;"",""))</f>
        <v/>
      </c>
      <c r="I812" s="58" t="str">
        <f>IF(COUNTA(A812:E812)=0,"",IF(N(A812)&lt;=0,"Date manquante ou invalide",IF(B812="","Équipe manquante",IF(ISNA(MATCH(B812,eq_code,0)),"Équipe inconnue",IF(C812="","Poste manquant",IF(ISNA(MATCH(C812,po_code,0)),"Poste inconnu",IF(D812="","Cause manquante",IF(ISNA(MATCH(D812,ca_name,0)),"Cause inconnue",IF(H812="","Cause à compléter dans Paramètres",IF(OR(NOT(ISNUMBER(E812)),N(E812)&lt;=0,N(E812)&gt;1440),"Durée invalide",IF(COUNTIFS(sj_date,A812,sj_eq,B812,sj_po,C812)=0,"Pas de saisie journalière ce jour-là","OK")))))))))))</f>
        <v/>
      </c>
      <c r="J812">
        <f>IF(OR(I812="OK",I812="Pas de saisie journalière ce jour-là"),E812,0)</f>
        <v>0.0</v>
      </c>
      <c r="K812">
        <f>IF(AND(J812&gt;0,A812&gt;=p_from,A812&lt;=p_to),1,0)</f>
        <v>0.0</v>
      </c>
      <c r="L812">
        <f>IF(AND(K812=1,OR(pa_po="",C812=pa_po),OR(pa_eq="",B812=pa_eq)),1,0)</f>
        <v>0.0</v>
      </c>
    </row>
    <row r="813">
      <c r="A813" s="51" t="n"/>
      <c r="B813" s="52" t="n"/>
      <c r="C813" s="52" t="n"/>
      <c r="D813" s="53" t="n"/>
      <c r="E813" s="60" t="n"/>
      <c r="F813" s="53" t="n"/>
      <c r="G813" s="61" t="str">
        <f>IF(OR(COUNTA(A813:E813)=0,D813=""),"",IFERROR(INDEX(ca_fam,MATCH(D813,ca_name,0))&amp;"",""))</f>
        <v/>
      </c>
      <c r="H813" s="58" t="str">
        <f>IF(OR(COUNTA(A813:E813)=0,D813=""),"",IFERROR(INDEX(ca_type,MATCH(D813,ca_name,0))&amp;"",""))</f>
        <v/>
      </c>
      <c r="I813" s="58" t="str">
        <f>IF(COUNTA(A813:E813)=0,"",IF(N(A813)&lt;=0,"Date manquante ou invalide",IF(B813="","Équipe manquante",IF(ISNA(MATCH(B813,eq_code,0)),"Équipe inconnue",IF(C813="","Poste manquant",IF(ISNA(MATCH(C813,po_code,0)),"Poste inconnu",IF(D813="","Cause manquante",IF(ISNA(MATCH(D813,ca_name,0)),"Cause inconnue",IF(H813="","Cause à compléter dans Paramètres",IF(OR(NOT(ISNUMBER(E813)),N(E813)&lt;=0,N(E813)&gt;1440),"Durée invalide",IF(COUNTIFS(sj_date,A813,sj_eq,B813,sj_po,C813)=0,"Pas de saisie journalière ce jour-là","OK")))))))))))</f>
        <v/>
      </c>
      <c r="J813">
        <f>IF(OR(I813="OK",I813="Pas de saisie journalière ce jour-là"),E813,0)</f>
        <v>0.0</v>
      </c>
      <c r="K813">
        <f>IF(AND(J813&gt;0,A813&gt;=p_from,A813&lt;=p_to),1,0)</f>
        <v>0.0</v>
      </c>
      <c r="L813">
        <f>IF(AND(K813=1,OR(pa_po="",C813=pa_po),OR(pa_eq="",B813=pa_eq)),1,0)</f>
        <v>0.0</v>
      </c>
    </row>
    <row r="814">
      <c r="A814" s="51" t="n"/>
      <c r="B814" s="52" t="n"/>
      <c r="C814" s="52" t="n"/>
      <c r="D814" s="53" t="n"/>
      <c r="E814" s="60" t="n"/>
      <c r="F814" s="53" t="n"/>
      <c r="G814" s="61" t="str">
        <f>IF(OR(COUNTA(A814:E814)=0,D814=""),"",IFERROR(INDEX(ca_fam,MATCH(D814,ca_name,0))&amp;"",""))</f>
        <v/>
      </c>
      <c r="H814" s="58" t="str">
        <f>IF(OR(COUNTA(A814:E814)=0,D814=""),"",IFERROR(INDEX(ca_type,MATCH(D814,ca_name,0))&amp;"",""))</f>
        <v/>
      </c>
      <c r="I814" s="58" t="str">
        <f>IF(COUNTA(A814:E814)=0,"",IF(N(A814)&lt;=0,"Date manquante ou invalide",IF(B814="","Équipe manquante",IF(ISNA(MATCH(B814,eq_code,0)),"Équipe inconnue",IF(C814="","Poste manquant",IF(ISNA(MATCH(C814,po_code,0)),"Poste inconnu",IF(D814="","Cause manquante",IF(ISNA(MATCH(D814,ca_name,0)),"Cause inconnue",IF(H814="","Cause à compléter dans Paramètres",IF(OR(NOT(ISNUMBER(E814)),N(E814)&lt;=0,N(E814)&gt;1440),"Durée invalide",IF(COUNTIFS(sj_date,A814,sj_eq,B814,sj_po,C814)=0,"Pas de saisie journalière ce jour-là","OK")))))))))))</f>
        <v/>
      </c>
      <c r="J814">
        <f>IF(OR(I814="OK",I814="Pas de saisie journalière ce jour-là"),E814,0)</f>
        <v>0.0</v>
      </c>
      <c r="K814">
        <f>IF(AND(J814&gt;0,A814&gt;=p_from,A814&lt;=p_to),1,0)</f>
        <v>0.0</v>
      </c>
      <c r="L814">
        <f>IF(AND(K814=1,OR(pa_po="",C814=pa_po),OR(pa_eq="",B814=pa_eq)),1,0)</f>
        <v>0.0</v>
      </c>
    </row>
    <row r="815">
      <c r="A815" s="51" t="n"/>
      <c r="B815" s="52" t="n"/>
      <c r="C815" s="52" t="n"/>
      <c r="D815" s="53" t="n"/>
      <c r="E815" s="60" t="n"/>
      <c r="F815" s="53" t="n"/>
      <c r="G815" s="61" t="str">
        <f>IF(OR(COUNTA(A815:E815)=0,D815=""),"",IFERROR(INDEX(ca_fam,MATCH(D815,ca_name,0))&amp;"",""))</f>
        <v/>
      </c>
      <c r="H815" s="58" t="str">
        <f>IF(OR(COUNTA(A815:E815)=0,D815=""),"",IFERROR(INDEX(ca_type,MATCH(D815,ca_name,0))&amp;"",""))</f>
        <v/>
      </c>
      <c r="I815" s="58" t="str">
        <f>IF(COUNTA(A815:E815)=0,"",IF(N(A815)&lt;=0,"Date manquante ou invalide",IF(B815="","Équipe manquante",IF(ISNA(MATCH(B815,eq_code,0)),"Équipe inconnue",IF(C815="","Poste manquant",IF(ISNA(MATCH(C815,po_code,0)),"Poste inconnu",IF(D815="","Cause manquante",IF(ISNA(MATCH(D815,ca_name,0)),"Cause inconnue",IF(H815="","Cause à compléter dans Paramètres",IF(OR(NOT(ISNUMBER(E815)),N(E815)&lt;=0,N(E815)&gt;1440),"Durée invalide",IF(COUNTIFS(sj_date,A815,sj_eq,B815,sj_po,C815)=0,"Pas de saisie journalière ce jour-là","OK")))))))))))</f>
        <v/>
      </c>
      <c r="J815">
        <f>IF(OR(I815="OK",I815="Pas de saisie journalière ce jour-là"),E815,0)</f>
        <v>0.0</v>
      </c>
      <c r="K815">
        <f>IF(AND(J815&gt;0,A815&gt;=p_from,A815&lt;=p_to),1,0)</f>
        <v>0.0</v>
      </c>
      <c r="L815">
        <f>IF(AND(K815=1,OR(pa_po="",C815=pa_po),OR(pa_eq="",B815=pa_eq)),1,0)</f>
        <v>0.0</v>
      </c>
    </row>
    <row r="816">
      <c r="A816" s="51" t="n"/>
      <c r="B816" s="52" t="n"/>
      <c r="C816" s="52" t="n"/>
      <c r="D816" s="53" t="n"/>
      <c r="E816" s="60" t="n"/>
      <c r="F816" s="53" t="n"/>
      <c r="G816" s="61" t="str">
        <f>IF(OR(COUNTA(A816:E816)=0,D816=""),"",IFERROR(INDEX(ca_fam,MATCH(D816,ca_name,0))&amp;"",""))</f>
        <v/>
      </c>
      <c r="H816" s="58" t="str">
        <f>IF(OR(COUNTA(A816:E816)=0,D816=""),"",IFERROR(INDEX(ca_type,MATCH(D816,ca_name,0))&amp;"",""))</f>
        <v/>
      </c>
      <c r="I816" s="58" t="str">
        <f>IF(COUNTA(A816:E816)=0,"",IF(N(A816)&lt;=0,"Date manquante ou invalide",IF(B816="","Équipe manquante",IF(ISNA(MATCH(B816,eq_code,0)),"Équipe inconnue",IF(C816="","Poste manquant",IF(ISNA(MATCH(C816,po_code,0)),"Poste inconnu",IF(D816="","Cause manquante",IF(ISNA(MATCH(D816,ca_name,0)),"Cause inconnue",IF(H816="","Cause à compléter dans Paramètres",IF(OR(NOT(ISNUMBER(E816)),N(E816)&lt;=0,N(E816)&gt;1440),"Durée invalide",IF(COUNTIFS(sj_date,A816,sj_eq,B816,sj_po,C816)=0,"Pas de saisie journalière ce jour-là","OK")))))))))))</f>
        <v/>
      </c>
      <c r="J816">
        <f>IF(OR(I816="OK",I816="Pas de saisie journalière ce jour-là"),E816,0)</f>
        <v>0.0</v>
      </c>
      <c r="K816">
        <f>IF(AND(J816&gt;0,A816&gt;=p_from,A816&lt;=p_to),1,0)</f>
        <v>0.0</v>
      </c>
      <c r="L816">
        <f>IF(AND(K816=1,OR(pa_po="",C816=pa_po),OR(pa_eq="",B816=pa_eq)),1,0)</f>
        <v>0.0</v>
      </c>
    </row>
    <row r="817">
      <c r="A817" s="51" t="n"/>
      <c r="B817" s="52" t="n"/>
      <c r="C817" s="52" t="n"/>
      <c r="D817" s="53" t="n"/>
      <c r="E817" s="60" t="n"/>
      <c r="F817" s="53" t="n"/>
      <c r="G817" s="61" t="str">
        <f>IF(OR(COUNTA(A817:E817)=0,D817=""),"",IFERROR(INDEX(ca_fam,MATCH(D817,ca_name,0))&amp;"",""))</f>
        <v/>
      </c>
      <c r="H817" s="58" t="str">
        <f>IF(OR(COUNTA(A817:E817)=0,D817=""),"",IFERROR(INDEX(ca_type,MATCH(D817,ca_name,0))&amp;"",""))</f>
        <v/>
      </c>
      <c r="I817" s="58" t="str">
        <f>IF(COUNTA(A817:E817)=0,"",IF(N(A817)&lt;=0,"Date manquante ou invalide",IF(B817="","Équipe manquante",IF(ISNA(MATCH(B817,eq_code,0)),"Équipe inconnue",IF(C817="","Poste manquant",IF(ISNA(MATCH(C817,po_code,0)),"Poste inconnu",IF(D817="","Cause manquante",IF(ISNA(MATCH(D817,ca_name,0)),"Cause inconnue",IF(H817="","Cause à compléter dans Paramètres",IF(OR(NOT(ISNUMBER(E817)),N(E817)&lt;=0,N(E817)&gt;1440),"Durée invalide",IF(COUNTIFS(sj_date,A817,sj_eq,B817,sj_po,C817)=0,"Pas de saisie journalière ce jour-là","OK")))))))))))</f>
        <v/>
      </c>
      <c r="J817">
        <f>IF(OR(I817="OK",I817="Pas de saisie journalière ce jour-là"),E817,0)</f>
        <v>0.0</v>
      </c>
      <c r="K817">
        <f>IF(AND(J817&gt;0,A817&gt;=p_from,A817&lt;=p_to),1,0)</f>
        <v>0.0</v>
      </c>
      <c r="L817">
        <f>IF(AND(K817=1,OR(pa_po="",C817=pa_po),OR(pa_eq="",B817=pa_eq)),1,0)</f>
        <v>0.0</v>
      </c>
    </row>
    <row r="818">
      <c r="A818" s="51" t="n"/>
      <c r="B818" s="52" t="n"/>
      <c r="C818" s="52" t="n"/>
      <c r="D818" s="53" t="n"/>
      <c r="E818" s="60" t="n"/>
      <c r="F818" s="53" t="n"/>
      <c r="G818" s="61" t="str">
        <f>IF(OR(COUNTA(A818:E818)=0,D818=""),"",IFERROR(INDEX(ca_fam,MATCH(D818,ca_name,0))&amp;"",""))</f>
        <v/>
      </c>
      <c r="H818" s="58" t="str">
        <f>IF(OR(COUNTA(A818:E818)=0,D818=""),"",IFERROR(INDEX(ca_type,MATCH(D818,ca_name,0))&amp;"",""))</f>
        <v/>
      </c>
      <c r="I818" s="58" t="str">
        <f>IF(COUNTA(A818:E818)=0,"",IF(N(A818)&lt;=0,"Date manquante ou invalide",IF(B818="","Équipe manquante",IF(ISNA(MATCH(B818,eq_code,0)),"Équipe inconnue",IF(C818="","Poste manquant",IF(ISNA(MATCH(C818,po_code,0)),"Poste inconnu",IF(D818="","Cause manquante",IF(ISNA(MATCH(D818,ca_name,0)),"Cause inconnue",IF(H818="","Cause à compléter dans Paramètres",IF(OR(NOT(ISNUMBER(E818)),N(E818)&lt;=0,N(E818)&gt;1440),"Durée invalide",IF(COUNTIFS(sj_date,A818,sj_eq,B818,sj_po,C818)=0,"Pas de saisie journalière ce jour-là","OK")))))))))))</f>
        <v/>
      </c>
      <c r="J818">
        <f>IF(OR(I818="OK",I818="Pas de saisie journalière ce jour-là"),E818,0)</f>
        <v>0.0</v>
      </c>
      <c r="K818">
        <f>IF(AND(J818&gt;0,A818&gt;=p_from,A818&lt;=p_to),1,0)</f>
        <v>0.0</v>
      </c>
      <c r="L818">
        <f>IF(AND(K818=1,OR(pa_po="",C818=pa_po),OR(pa_eq="",B818=pa_eq)),1,0)</f>
        <v>0.0</v>
      </c>
    </row>
    <row r="819">
      <c r="A819" s="51" t="n"/>
      <c r="B819" s="52" t="n"/>
      <c r="C819" s="52" t="n"/>
      <c r="D819" s="53" t="n"/>
      <c r="E819" s="60" t="n"/>
      <c r="F819" s="53" t="n"/>
      <c r="G819" s="61" t="str">
        <f>IF(OR(COUNTA(A819:E819)=0,D819=""),"",IFERROR(INDEX(ca_fam,MATCH(D819,ca_name,0))&amp;"",""))</f>
        <v/>
      </c>
      <c r="H819" s="58" t="str">
        <f>IF(OR(COUNTA(A819:E819)=0,D819=""),"",IFERROR(INDEX(ca_type,MATCH(D819,ca_name,0))&amp;"",""))</f>
        <v/>
      </c>
      <c r="I819" s="58" t="str">
        <f>IF(COUNTA(A819:E819)=0,"",IF(N(A819)&lt;=0,"Date manquante ou invalide",IF(B819="","Équipe manquante",IF(ISNA(MATCH(B819,eq_code,0)),"Équipe inconnue",IF(C819="","Poste manquant",IF(ISNA(MATCH(C819,po_code,0)),"Poste inconnu",IF(D819="","Cause manquante",IF(ISNA(MATCH(D819,ca_name,0)),"Cause inconnue",IF(H819="","Cause à compléter dans Paramètres",IF(OR(NOT(ISNUMBER(E819)),N(E819)&lt;=0,N(E819)&gt;1440),"Durée invalide",IF(COUNTIFS(sj_date,A819,sj_eq,B819,sj_po,C819)=0,"Pas de saisie journalière ce jour-là","OK")))))))))))</f>
        <v/>
      </c>
      <c r="J819">
        <f>IF(OR(I819="OK",I819="Pas de saisie journalière ce jour-là"),E819,0)</f>
        <v>0.0</v>
      </c>
      <c r="K819">
        <f>IF(AND(J819&gt;0,A819&gt;=p_from,A819&lt;=p_to),1,0)</f>
        <v>0.0</v>
      </c>
      <c r="L819">
        <f>IF(AND(K819=1,OR(pa_po="",C819=pa_po),OR(pa_eq="",B819=pa_eq)),1,0)</f>
        <v>0.0</v>
      </c>
    </row>
    <row r="820">
      <c r="A820" s="51" t="n"/>
      <c r="B820" s="52" t="n"/>
      <c r="C820" s="52" t="n"/>
      <c r="D820" s="53" t="n"/>
      <c r="E820" s="60" t="n"/>
      <c r="F820" s="53" t="n"/>
      <c r="G820" s="61" t="str">
        <f>IF(OR(COUNTA(A820:E820)=0,D820=""),"",IFERROR(INDEX(ca_fam,MATCH(D820,ca_name,0))&amp;"",""))</f>
        <v/>
      </c>
      <c r="H820" s="58" t="str">
        <f>IF(OR(COUNTA(A820:E820)=0,D820=""),"",IFERROR(INDEX(ca_type,MATCH(D820,ca_name,0))&amp;"",""))</f>
        <v/>
      </c>
      <c r="I820" s="58" t="str">
        <f>IF(COUNTA(A820:E820)=0,"",IF(N(A820)&lt;=0,"Date manquante ou invalide",IF(B820="","Équipe manquante",IF(ISNA(MATCH(B820,eq_code,0)),"Équipe inconnue",IF(C820="","Poste manquant",IF(ISNA(MATCH(C820,po_code,0)),"Poste inconnu",IF(D820="","Cause manquante",IF(ISNA(MATCH(D820,ca_name,0)),"Cause inconnue",IF(H820="","Cause à compléter dans Paramètres",IF(OR(NOT(ISNUMBER(E820)),N(E820)&lt;=0,N(E820)&gt;1440),"Durée invalide",IF(COUNTIFS(sj_date,A820,sj_eq,B820,sj_po,C820)=0,"Pas de saisie journalière ce jour-là","OK")))))))))))</f>
        <v/>
      </c>
      <c r="J820">
        <f>IF(OR(I820="OK",I820="Pas de saisie journalière ce jour-là"),E820,0)</f>
        <v>0.0</v>
      </c>
      <c r="K820">
        <f>IF(AND(J820&gt;0,A820&gt;=p_from,A820&lt;=p_to),1,0)</f>
        <v>0.0</v>
      </c>
      <c r="L820">
        <f>IF(AND(K820=1,OR(pa_po="",C820=pa_po),OR(pa_eq="",B820=pa_eq)),1,0)</f>
        <v>0.0</v>
      </c>
    </row>
    <row r="821">
      <c r="A821" s="51" t="n"/>
      <c r="B821" s="52" t="n"/>
      <c r="C821" s="52" t="n"/>
      <c r="D821" s="53" t="n"/>
      <c r="E821" s="60" t="n"/>
      <c r="F821" s="53" t="n"/>
      <c r="G821" s="61" t="str">
        <f>IF(OR(COUNTA(A821:E821)=0,D821=""),"",IFERROR(INDEX(ca_fam,MATCH(D821,ca_name,0))&amp;"",""))</f>
        <v/>
      </c>
      <c r="H821" s="58" t="str">
        <f>IF(OR(COUNTA(A821:E821)=0,D821=""),"",IFERROR(INDEX(ca_type,MATCH(D821,ca_name,0))&amp;"",""))</f>
        <v/>
      </c>
      <c r="I821" s="58" t="str">
        <f>IF(COUNTA(A821:E821)=0,"",IF(N(A821)&lt;=0,"Date manquante ou invalide",IF(B821="","Équipe manquante",IF(ISNA(MATCH(B821,eq_code,0)),"Équipe inconnue",IF(C821="","Poste manquant",IF(ISNA(MATCH(C821,po_code,0)),"Poste inconnu",IF(D821="","Cause manquante",IF(ISNA(MATCH(D821,ca_name,0)),"Cause inconnue",IF(H821="","Cause à compléter dans Paramètres",IF(OR(NOT(ISNUMBER(E821)),N(E821)&lt;=0,N(E821)&gt;1440),"Durée invalide",IF(COUNTIFS(sj_date,A821,sj_eq,B821,sj_po,C821)=0,"Pas de saisie journalière ce jour-là","OK")))))))))))</f>
        <v/>
      </c>
      <c r="J821">
        <f>IF(OR(I821="OK",I821="Pas de saisie journalière ce jour-là"),E821,0)</f>
        <v>0.0</v>
      </c>
      <c r="K821">
        <f>IF(AND(J821&gt;0,A821&gt;=p_from,A821&lt;=p_to),1,0)</f>
        <v>0.0</v>
      </c>
      <c r="L821">
        <f>IF(AND(K821=1,OR(pa_po="",C821=pa_po),OR(pa_eq="",B821=pa_eq)),1,0)</f>
        <v>0.0</v>
      </c>
    </row>
    <row r="822">
      <c r="A822" s="51" t="n"/>
      <c r="B822" s="52" t="n"/>
      <c r="C822" s="52" t="n"/>
      <c r="D822" s="53" t="n"/>
      <c r="E822" s="60" t="n"/>
      <c r="F822" s="53" t="n"/>
      <c r="G822" s="61" t="str">
        <f>IF(OR(COUNTA(A822:E822)=0,D822=""),"",IFERROR(INDEX(ca_fam,MATCH(D822,ca_name,0))&amp;"",""))</f>
        <v/>
      </c>
      <c r="H822" s="58" t="str">
        <f>IF(OR(COUNTA(A822:E822)=0,D822=""),"",IFERROR(INDEX(ca_type,MATCH(D822,ca_name,0))&amp;"",""))</f>
        <v/>
      </c>
      <c r="I822" s="58" t="str">
        <f>IF(COUNTA(A822:E822)=0,"",IF(N(A822)&lt;=0,"Date manquante ou invalide",IF(B822="","Équipe manquante",IF(ISNA(MATCH(B822,eq_code,0)),"Équipe inconnue",IF(C822="","Poste manquant",IF(ISNA(MATCH(C822,po_code,0)),"Poste inconnu",IF(D822="","Cause manquante",IF(ISNA(MATCH(D822,ca_name,0)),"Cause inconnue",IF(H822="","Cause à compléter dans Paramètres",IF(OR(NOT(ISNUMBER(E822)),N(E822)&lt;=0,N(E822)&gt;1440),"Durée invalide",IF(COUNTIFS(sj_date,A822,sj_eq,B822,sj_po,C822)=0,"Pas de saisie journalière ce jour-là","OK")))))))))))</f>
        <v/>
      </c>
      <c r="J822">
        <f>IF(OR(I822="OK",I822="Pas de saisie journalière ce jour-là"),E822,0)</f>
        <v>0.0</v>
      </c>
      <c r="K822">
        <f>IF(AND(J822&gt;0,A822&gt;=p_from,A822&lt;=p_to),1,0)</f>
        <v>0.0</v>
      </c>
      <c r="L822">
        <f>IF(AND(K822=1,OR(pa_po="",C822=pa_po),OR(pa_eq="",B822=pa_eq)),1,0)</f>
        <v>0.0</v>
      </c>
    </row>
    <row r="823">
      <c r="A823" s="51" t="n"/>
      <c r="B823" s="52" t="n"/>
      <c r="C823" s="52" t="n"/>
      <c r="D823" s="53" t="n"/>
      <c r="E823" s="60" t="n"/>
      <c r="F823" s="53" t="n"/>
      <c r="G823" s="61" t="str">
        <f>IF(OR(COUNTA(A823:E823)=0,D823=""),"",IFERROR(INDEX(ca_fam,MATCH(D823,ca_name,0))&amp;"",""))</f>
        <v/>
      </c>
      <c r="H823" s="58" t="str">
        <f>IF(OR(COUNTA(A823:E823)=0,D823=""),"",IFERROR(INDEX(ca_type,MATCH(D823,ca_name,0))&amp;"",""))</f>
        <v/>
      </c>
      <c r="I823" s="58" t="str">
        <f>IF(COUNTA(A823:E823)=0,"",IF(N(A823)&lt;=0,"Date manquante ou invalide",IF(B823="","Équipe manquante",IF(ISNA(MATCH(B823,eq_code,0)),"Équipe inconnue",IF(C823="","Poste manquant",IF(ISNA(MATCH(C823,po_code,0)),"Poste inconnu",IF(D823="","Cause manquante",IF(ISNA(MATCH(D823,ca_name,0)),"Cause inconnue",IF(H823="","Cause à compléter dans Paramètres",IF(OR(NOT(ISNUMBER(E823)),N(E823)&lt;=0,N(E823)&gt;1440),"Durée invalide",IF(COUNTIFS(sj_date,A823,sj_eq,B823,sj_po,C823)=0,"Pas de saisie journalière ce jour-là","OK")))))))))))</f>
        <v/>
      </c>
      <c r="J823">
        <f>IF(OR(I823="OK",I823="Pas de saisie journalière ce jour-là"),E823,0)</f>
        <v>0.0</v>
      </c>
      <c r="K823">
        <f>IF(AND(J823&gt;0,A823&gt;=p_from,A823&lt;=p_to),1,0)</f>
        <v>0.0</v>
      </c>
      <c r="L823">
        <f>IF(AND(K823=1,OR(pa_po="",C823=pa_po),OR(pa_eq="",B823=pa_eq)),1,0)</f>
        <v>0.0</v>
      </c>
    </row>
    <row r="824">
      <c r="A824" s="51" t="n"/>
      <c r="B824" s="52" t="n"/>
      <c r="C824" s="52" t="n"/>
      <c r="D824" s="53" t="n"/>
      <c r="E824" s="60" t="n"/>
      <c r="F824" s="53" t="n"/>
      <c r="G824" s="61" t="str">
        <f>IF(OR(COUNTA(A824:E824)=0,D824=""),"",IFERROR(INDEX(ca_fam,MATCH(D824,ca_name,0))&amp;"",""))</f>
        <v/>
      </c>
      <c r="H824" s="58" t="str">
        <f>IF(OR(COUNTA(A824:E824)=0,D824=""),"",IFERROR(INDEX(ca_type,MATCH(D824,ca_name,0))&amp;"",""))</f>
        <v/>
      </c>
      <c r="I824" s="58" t="str">
        <f>IF(COUNTA(A824:E824)=0,"",IF(N(A824)&lt;=0,"Date manquante ou invalide",IF(B824="","Équipe manquante",IF(ISNA(MATCH(B824,eq_code,0)),"Équipe inconnue",IF(C824="","Poste manquant",IF(ISNA(MATCH(C824,po_code,0)),"Poste inconnu",IF(D824="","Cause manquante",IF(ISNA(MATCH(D824,ca_name,0)),"Cause inconnue",IF(H824="","Cause à compléter dans Paramètres",IF(OR(NOT(ISNUMBER(E824)),N(E824)&lt;=0,N(E824)&gt;1440),"Durée invalide",IF(COUNTIFS(sj_date,A824,sj_eq,B824,sj_po,C824)=0,"Pas de saisie journalière ce jour-là","OK")))))))))))</f>
        <v/>
      </c>
      <c r="J824">
        <f>IF(OR(I824="OK",I824="Pas de saisie journalière ce jour-là"),E824,0)</f>
        <v>0.0</v>
      </c>
      <c r="K824">
        <f>IF(AND(J824&gt;0,A824&gt;=p_from,A824&lt;=p_to),1,0)</f>
        <v>0.0</v>
      </c>
      <c r="L824">
        <f>IF(AND(K824=1,OR(pa_po="",C824=pa_po),OR(pa_eq="",B824=pa_eq)),1,0)</f>
        <v>0.0</v>
      </c>
    </row>
    <row r="825">
      <c r="A825" s="51" t="n"/>
      <c r="B825" s="52" t="n"/>
      <c r="C825" s="52" t="n"/>
      <c r="D825" s="53" t="n"/>
      <c r="E825" s="60" t="n"/>
      <c r="F825" s="53" t="n"/>
      <c r="G825" s="61" t="str">
        <f>IF(OR(COUNTA(A825:E825)=0,D825=""),"",IFERROR(INDEX(ca_fam,MATCH(D825,ca_name,0))&amp;"",""))</f>
        <v/>
      </c>
      <c r="H825" s="58" t="str">
        <f>IF(OR(COUNTA(A825:E825)=0,D825=""),"",IFERROR(INDEX(ca_type,MATCH(D825,ca_name,0))&amp;"",""))</f>
        <v/>
      </c>
      <c r="I825" s="58" t="str">
        <f>IF(COUNTA(A825:E825)=0,"",IF(N(A825)&lt;=0,"Date manquante ou invalide",IF(B825="","Équipe manquante",IF(ISNA(MATCH(B825,eq_code,0)),"Équipe inconnue",IF(C825="","Poste manquant",IF(ISNA(MATCH(C825,po_code,0)),"Poste inconnu",IF(D825="","Cause manquante",IF(ISNA(MATCH(D825,ca_name,0)),"Cause inconnue",IF(H825="","Cause à compléter dans Paramètres",IF(OR(NOT(ISNUMBER(E825)),N(E825)&lt;=0,N(E825)&gt;1440),"Durée invalide",IF(COUNTIFS(sj_date,A825,sj_eq,B825,sj_po,C825)=0,"Pas de saisie journalière ce jour-là","OK")))))))))))</f>
        <v/>
      </c>
      <c r="J825">
        <f>IF(OR(I825="OK",I825="Pas de saisie journalière ce jour-là"),E825,0)</f>
        <v>0.0</v>
      </c>
      <c r="K825">
        <f>IF(AND(J825&gt;0,A825&gt;=p_from,A825&lt;=p_to),1,0)</f>
        <v>0.0</v>
      </c>
      <c r="L825">
        <f>IF(AND(K825=1,OR(pa_po="",C825=pa_po),OR(pa_eq="",B825=pa_eq)),1,0)</f>
        <v>0.0</v>
      </c>
    </row>
    <row r="826">
      <c r="A826" s="51" t="n"/>
      <c r="B826" s="52" t="n"/>
      <c r="C826" s="52" t="n"/>
      <c r="D826" s="53" t="n"/>
      <c r="E826" s="60" t="n"/>
      <c r="F826" s="53" t="n"/>
      <c r="G826" s="61" t="str">
        <f>IF(OR(COUNTA(A826:E826)=0,D826=""),"",IFERROR(INDEX(ca_fam,MATCH(D826,ca_name,0))&amp;"",""))</f>
        <v/>
      </c>
      <c r="H826" s="58" t="str">
        <f>IF(OR(COUNTA(A826:E826)=0,D826=""),"",IFERROR(INDEX(ca_type,MATCH(D826,ca_name,0))&amp;"",""))</f>
        <v/>
      </c>
      <c r="I826" s="58" t="str">
        <f>IF(COUNTA(A826:E826)=0,"",IF(N(A826)&lt;=0,"Date manquante ou invalide",IF(B826="","Équipe manquante",IF(ISNA(MATCH(B826,eq_code,0)),"Équipe inconnue",IF(C826="","Poste manquant",IF(ISNA(MATCH(C826,po_code,0)),"Poste inconnu",IF(D826="","Cause manquante",IF(ISNA(MATCH(D826,ca_name,0)),"Cause inconnue",IF(H826="","Cause à compléter dans Paramètres",IF(OR(NOT(ISNUMBER(E826)),N(E826)&lt;=0,N(E826)&gt;1440),"Durée invalide",IF(COUNTIFS(sj_date,A826,sj_eq,B826,sj_po,C826)=0,"Pas de saisie journalière ce jour-là","OK")))))))))))</f>
        <v/>
      </c>
      <c r="J826">
        <f>IF(OR(I826="OK",I826="Pas de saisie journalière ce jour-là"),E826,0)</f>
        <v>0.0</v>
      </c>
      <c r="K826">
        <f>IF(AND(J826&gt;0,A826&gt;=p_from,A826&lt;=p_to),1,0)</f>
        <v>0.0</v>
      </c>
      <c r="L826">
        <f>IF(AND(K826=1,OR(pa_po="",C826=pa_po),OR(pa_eq="",B826=pa_eq)),1,0)</f>
        <v>0.0</v>
      </c>
    </row>
    <row r="827">
      <c r="A827" s="51" t="n"/>
      <c r="B827" s="52" t="n"/>
      <c r="C827" s="52" t="n"/>
      <c r="D827" s="53" t="n"/>
      <c r="E827" s="60" t="n"/>
      <c r="F827" s="53" t="n"/>
      <c r="G827" s="61" t="str">
        <f>IF(OR(COUNTA(A827:E827)=0,D827=""),"",IFERROR(INDEX(ca_fam,MATCH(D827,ca_name,0))&amp;"",""))</f>
        <v/>
      </c>
      <c r="H827" s="58" t="str">
        <f>IF(OR(COUNTA(A827:E827)=0,D827=""),"",IFERROR(INDEX(ca_type,MATCH(D827,ca_name,0))&amp;"",""))</f>
        <v/>
      </c>
      <c r="I827" s="58" t="str">
        <f>IF(COUNTA(A827:E827)=0,"",IF(N(A827)&lt;=0,"Date manquante ou invalide",IF(B827="","Équipe manquante",IF(ISNA(MATCH(B827,eq_code,0)),"Équipe inconnue",IF(C827="","Poste manquant",IF(ISNA(MATCH(C827,po_code,0)),"Poste inconnu",IF(D827="","Cause manquante",IF(ISNA(MATCH(D827,ca_name,0)),"Cause inconnue",IF(H827="","Cause à compléter dans Paramètres",IF(OR(NOT(ISNUMBER(E827)),N(E827)&lt;=0,N(E827)&gt;1440),"Durée invalide",IF(COUNTIFS(sj_date,A827,sj_eq,B827,sj_po,C827)=0,"Pas de saisie journalière ce jour-là","OK")))))))))))</f>
        <v/>
      </c>
      <c r="J827">
        <f>IF(OR(I827="OK",I827="Pas de saisie journalière ce jour-là"),E827,0)</f>
        <v>0.0</v>
      </c>
      <c r="K827">
        <f>IF(AND(J827&gt;0,A827&gt;=p_from,A827&lt;=p_to),1,0)</f>
        <v>0.0</v>
      </c>
      <c r="L827">
        <f>IF(AND(K827=1,OR(pa_po="",C827=pa_po),OR(pa_eq="",B827=pa_eq)),1,0)</f>
        <v>0.0</v>
      </c>
    </row>
    <row r="828">
      <c r="A828" s="51" t="n"/>
      <c r="B828" s="52" t="n"/>
      <c r="C828" s="52" t="n"/>
      <c r="D828" s="53" t="n"/>
      <c r="E828" s="60" t="n"/>
      <c r="F828" s="53" t="n"/>
      <c r="G828" s="61" t="str">
        <f>IF(OR(COUNTA(A828:E828)=0,D828=""),"",IFERROR(INDEX(ca_fam,MATCH(D828,ca_name,0))&amp;"",""))</f>
        <v/>
      </c>
      <c r="H828" s="58" t="str">
        <f>IF(OR(COUNTA(A828:E828)=0,D828=""),"",IFERROR(INDEX(ca_type,MATCH(D828,ca_name,0))&amp;"",""))</f>
        <v/>
      </c>
      <c r="I828" s="58" t="str">
        <f>IF(COUNTA(A828:E828)=0,"",IF(N(A828)&lt;=0,"Date manquante ou invalide",IF(B828="","Équipe manquante",IF(ISNA(MATCH(B828,eq_code,0)),"Équipe inconnue",IF(C828="","Poste manquant",IF(ISNA(MATCH(C828,po_code,0)),"Poste inconnu",IF(D828="","Cause manquante",IF(ISNA(MATCH(D828,ca_name,0)),"Cause inconnue",IF(H828="","Cause à compléter dans Paramètres",IF(OR(NOT(ISNUMBER(E828)),N(E828)&lt;=0,N(E828)&gt;1440),"Durée invalide",IF(COUNTIFS(sj_date,A828,sj_eq,B828,sj_po,C828)=0,"Pas de saisie journalière ce jour-là","OK")))))))))))</f>
        <v/>
      </c>
      <c r="J828">
        <f>IF(OR(I828="OK",I828="Pas de saisie journalière ce jour-là"),E828,0)</f>
        <v>0.0</v>
      </c>
      <c r="K828">
        <f>IF(AND(J828&gt;0,A828&gt;=p_from,A828&lt;=p_to),1,0)</f>
        <v>0.0</v>
      </c>
      <c r="L828">
        <f>IF(AND(K828=1,OR(pa_po="",C828=pa_po),OR(pa_eq="",B828=pa_eq)),1,0)</f>
        <v>0.0</v>
      </c>
    </row>
    <row r="829">
      <c r="A829" s="51" t="n"/>
      <c r="B829" s="52" t="n"/>
      <c r="C829" s="52" t="n"/>
      <c r="D829" s="53" t="n"/>
      <c r="E829" s="60" t="n"/>
      <c r="F829" s="53" t="n"/>
      <c r="G829" s="61" t="str">
        <f>IF(OR(COUNTA(A829:E829)=0,D829=""),"",IFERROR(INDEX(ca_fam,MATCH(D829,ca_name,0))&amp;"",""))</f>
        <v/>
      </c>
      <c r="H829" s="58" t="str">
        <f>IF(OR(COUNTA(A829:E829)=0,D829=""),"",IFERROR(INDEX(ca_type,MATCH(D829,ca_name,0))&amp;"",""))</f>
        <v/>
      </c>
      <c r="I829" s="58" t="str">
        <f>IF(COUNTA(A829:E829)=0,"",IF(N(A829)&lt;=0,"Date manquante ou invalide",IF(B829="","Équipe manquante",IF(ISNA(MATCH(B829,eq_code,0)),"Équipe inconnue",IF(C829="","Poste manquant",IF(ISNA(MATCH(C829,po_code,0)),"Poste inconnu",IF(D829="","Cause manquante",IF(ISNA(MATCH(D829,ca_name,0)),"Cause inconnue",IF(H829="","Cause à compléter dans Paramètres",IF(OR(NOT(ISNUMBER(E829)),N(E829)&lt;=0,N(E829)&gt;1440),"Durée invalide",IF(COUNTIFS(sj_date,A829,sj_eq,B829,sj_po,C829)=0,"Pas de saisie journalière ce jour-là","OK")))))))))))</f>
        <v/>
      </c>
      <c r="J829">
        <f>IF(OR(I829="OK",I829="Pas de saisie journalière ce jour-là"),E829,0)</f>
        <v>0.0</v>
      </c>
      <c r="K829">
        <f>IF(AND(J829&gt;0,A829&gt;=p_from,A829&lt;=p_to),1,0)</f>
        <v>0.0</v>
      </c>
      <c r="L829">
        <f>IF(AND(K829=1,OR(pa_po="",C829=pa_po),OR(pa_eq="",B829=pa_eq)),1,0)</f>
        <v>0.0</v>
      </c>
    </row>
    <row r="830">
      <c r="A830" s="51" t="n"/>
      <c r="B830" s="52" t="n"/>
      <c r="C830" s="52" t="n"/>
      <c r="D830" s="53" t="n"/>
      <c r="E830" s="60" t="n"/>
      <c r="F830" s="53" t="n"/>
      <c r="G830" s="61" t="str">
        <f>IF(OR(COUNTA(A830:E830)=0,D830=""),"",IFERROR(INDEX(ca_fam,MATCH(D830,ca_name,0))&amp;"",""))</f>
        <v/>
      </c>
      <c r="H830" s="58" t="str">
        <f>IF(OR(COUNTA(A830:E830)=0,D830=""),"",IFERROR(INDEX(ca_type,MATCH(D830,ca_name,0))&amp;"",""))</f>
        <v/>
      </c>
      <c r="I830" s="58" t="str">
        <f>IF(COUNTA(A830:E830)=0,"",IF(N(A830)&lt;=0,"Date manquante ou invalide",IF(B830="","Équipe manquante",IF(ISNA(MATCH(B830,eq_code,0)),"Équipe inconnue",IF(C830="","Poste manquant",IF(ISNA(MATCH(C830,po_code,0)),"Poste inconnu",IF(D830="","Cause manquante",IF(ISNA(MATCH(D830,ca_name,0)),"Cause inconnue",IF(H830="","Cause à compléter dans Paramètres",IF(OR(NOT(ISNUMBER(E830)),N(E830)&lt;=0,N(E830)&gt;1440),"Durée invalide",IF(COUNTIFS(sj_date,A830,sj_eq,B830,sj_po,C830)=0,"Pas de saisie journalière ce jour-là","OK")))))))))))</f>
        <v/>
      </c>
      <c r="J830">
        <f>IF(OR(I830="OK",I830="Pas de saisie journalière ce jour-là"),E830,0)</f>
        <v>0.0</v>
      </c>
      <c r="K830">
        <f>IF(AND(J830&gt;0,A830&gt;=p_from,A830&lt;=p_to),1,0)</f>
        <v>0.0</v>
      </c>
      <c r="L830">
        <f>IF(AND(K830=1,OR(pa_po="",C830=pa_po),OR(pa_eq="",B830=pa_eq)),1,0)</f>
        <v>0.0</v>
      </c>
    </row>
    <row r="831">
      <c r="A831" s="51" t="n"/>
      <c r="B831" s="52" t="n"/>
      <c r="C831" s="52" t="n"/>
      <c r="D831" s="53" t="n"/>
      <c r="E831" s="60" t="n"/>
      <c r="F831" s="53" t="n"/>
      <c r="G831" s="61" t="str">
        <f>IF(OR(COUNTA(A831:E831)=0,D831=""),"",IFERROR(INDEX(ca_fam,MATCH(D831,ca_name,0))&amp;"",""))</f>
        <v/>
      </c>
      <c r="H831" s="58" t="str">
        <f>IF(OR(COUNTA(A831:E831)=0,D831=""),"",IFERROR(INDEX(ca_type,MATCH(D831,ca_name,0))&amp;"",""))</f>
        <v/>
      </c>
      <c r="I831" s="58" t="str">
        <f>IF(COUNTA(A831:E831)=0,"",IF(N(A831)&lt;=0,"Date manquante ou invalide",IF(B831="","Équipe manquante",IF(ISNA(MATCH(B831,eq_code,0)),"Équipe inconnue",IF(C831="","Poste manquant",IF(ISNA(MATCH(C831,po_code,0)),"Poste inconnu",IF(D831="","Cause manquante",IF(ISNA(MATCH(D831,ca_name,0)),"Cause inconnue",IF(H831="","Cause à compléter dans Paramètres",IF(OR(NOT(ISNUMBER(E831)),N(E831)&lt;=0,N(E831)&gt;1440),"Durée invalide",IF(COUNTIFS(sj_date,A831,sj_eq,B831,sj_po,C831)=0,"Pas de saisie journalière ce jour-là","OK")))))))))))</f>
        <v/>
      </c>
      <c r="J831">
        <f>IF(OR(I831="OK",I831="Pas de saisie journalière ce jour-là"),E831,0)</f>
        <v>0.0</v>
      </c>
      <c r="K831">
        <f>IF(AND(J831&gt;0,A831&gt;=p_from,A831&lt;=p_to),1,0)</f>
        <v>0.0</v>
      </c>
      <c r="L831">
        <f>IF(AND(K831=1,OR(pa_po="",C831=pa_po),OR(pa_eq="",B831=pa_eq)),1,0)</f>
        <v>0.0</v>
      </c>
    </row>
    <row r="832">
      <c r="A832" s="51" t="n"/>
      <c r="B832" s="52" t="n"/>
      <c r="C832" s="52" t="n"/>
      <c r="D832" s="53" t="n"/>
      <c r="E832" s="60" t="n"/>
      <c r="F832" s="53" t="n"/>
      <c r="G832" s="61" t="str">
        <f>IF(OR(COUNTA(A832:E832)=0,D832=""),"",IFERROR(INDEX(ca_fam,MATCH(D832,ca_name,0))&amp;"",""))</f>
        <v/>
      </c>
      <c r="H832" s="58" t="str">
        <f>IF(OR(COUNTA(A832:E832)=0,D832=""),"",IFERROR(INDEX(ca_type,MATCH(D832,ca_name,0))&amp;"",""))</f>
        <v/>
      </c>
      <c r="I832" s="58" t="str">
        <f>IF(COUNTA(A832:E832)=0,"",IF(N(A832)&lt;=0,"Date manquante ou invalide",IF(B832="","Équipe manquante",IF(ISNA(MATCH(B832,eq_code,0)),"Équipe inconnue",IF(C832="","Poste manquant",IF(ISNA(MATCH(C832,po_code,0)),"Poste inconnu",IF(D832="","Cause manquante",IF(ISNA(MATCH(D832,ca_name,0)),"Cause inconnue",IF(H832="","Cause à compléter dans Paramètres",IF(OR(NOT(ISNUMBER(E832)),N(E832)&lt;=0,N(E832)&gt;1440),"Durée invalide",IF(COUNTIFS(sj_date,A832,sj_eq,B832,sj_po,C832)=0,"Pas de saisie journalière ce jour-là","OK")))))))))))</f>
        <v/>
      </c>
      <c r="J832">
        <f>IF(OR(I832="OK",I832="Pas de saisie journalière ce jour-là"),E832,0)</f>
        <v>0.0</v>
      </c>
      <c r="K832">
        <f>IF(AND(J832&gt;0,A832&gt;=p_from,A832&lt;=p_to),1,0)</f>
        <v>0.0</v>
      </c>
      <c r="L832">
        <f>IF(AND(K832=1,OR(pa_po="",C832=pa_po),OR(pa_eq="",B832=pa_eq)),1,0)</f>
        <v>0.0</v>
      </c>
    </row>
    <row r="833">
      <c r="A833" s="51" t="n"/>
      <c r="B833" s="52" t="n"/>
      <c r="C833" s="52" t="n"/>
      <c r="D833" s="53" t="n"/>
      <c r="E833" s="60" t="n"/>
      <c r="F833" s="53" t="n"/>
      <c r="G833" s="61" t="str">
        <f>IF(OR(COUNTA(A833:E833)=0,D833=""),"",IFERROR(INDEX(ca_fam,MATCH(D833,ca_name,0))&amp;"",""))</f>
        <v/>
      </c>
      <c r="H833" s="58" t="str">
        <f>IF(OR(COUNTA(A833:E833)=0,D833=""),"",IFERROR(INDEX(ca_type,MATCH(D833,ca_name,0))&amp;"",""))</f>
        <v/>
      </c>
      <c r="I833" s="58" t="str">
        <f>IF(COUNTA(A833:E833)=0,"",IF(N(A833)&lt;=0,"Date manquante ou invalide",IF(B833="","Équipe manquante",IF(ISNA(MATCH(B833,eq_code,0)),"Équipe inconnue",IF(C833="","Poste manquant",IF(ISNA(MATCH(C833,po_code,0)),"Poste inconnu",IF(D833="","Cause manquante",IF(ISNA(MATCH(D833,ca_name,0)),"Cause inconnue",IF(H833="","Cause à compléter dans Paramètres",IF(OR(NOT(ISNUMBER(E833)),N(E833)&lt;=0,N(E833)&gt;1440),"Durée invalide",IF(COUNTIFS(sj_date,A833,sj_eq,B833,sj_po,C833)=0,"Pas de saisie journalière ce jour-là","OK")))))))))))</f>
        <v/>
      </c>
      <c r="J833">
        <f>IF(OR(I833="OK",I833="Pas de saisie journalière ce jour-là"),E833,0)</f>
        <v>0.0</v>
      </c>
      <c r="K833">
        <f>IF(AND(J833&gt;0,A833&gt;=p_from,A833&lt;=p_to),1,0)</f>
        <v>0.0</v>
      </c>
      <c r="L833">
        <f>IF(AND(K833=1,OR(pa_po="",C833=pa_po),OR(pa_eq="",B833=pa_eq)),1,0)</f>
        <v>0.0</v>
      </c>
    </row>
    <row r="834">
      <c r="A834" s="51" t="n"/>
      <c r="B834" s="52" t="n"/>
      <c r="C834" s="52" t="n"/>
      <c r="D834" s="53" t="n"/>
      <c r="E834" s="60" t="n"/>
      <c r="F834" s="53" t="n"/>
      <c r="G834" s="61" t="str">
        <f>IF(OR(COUNTA(A834:E834)=0,D834=""),"",IFERROR(INDEX(ca_fam,MATCH(D834,ca_name,0))&amp;"",""))</f>
        <v/>
      </c>
      <c r="H834" s="58" t="str">
        <f>IF(OR(COUNTA(A834:E834)=0,D834=""),"",IFERROR(INDEX(ca_type,MATCH(D834,ca_name,0))&amp;"",""))</f>
        <v/>
      </c>
      <c r="I834" s="58" t="str">
        <f>IF(COUNTA(A834:E834)=0,"",IF(N(A834)&lt;=0,"Date manquante ou invalide",IF(B834="","Équipe manquante",IF(ISNA(MATCH(B834,eq_code,0)),"Équipe inconnue",IF(C834="","Poste manquant",IF(ISNA(MATCH(C834,po_code,0)),"Poste inconnu",IF(D834="","Cause manquante",IF(ISNA(MATCH(D834,ca_name,0)),"Cause inconnue",IF(H834="","Cause à compléter dans Paramètres",IF(OR(NOT(ISNUMBER(E834)),N(E834)&lt;=0,N(E834)&gt;1440),"Durée invalide",IF(COUNTIFS(sj_date,A834,sj_eq,B834,sj_po,C834)=0,"Pas de saisie journalière ce jour-là","OK")))))))))))</f>
        <v/>
      </c>
      <c r="J834">
        <f>IF(OR(I834="OK",I834="Pas de saisie journalière ce jour-là"),E834,0)</f>
        <v>0.0</v>
      </c>
      <c r="K834">
        <f>IF(AND(J834&gt;0,A834&gt;=p_from,A834&lt;=p_to),1,0)</f>
        <v>0.0</v>
      </c>
      <c r="L834">
        <f>IF(AND(K834=1,OR(pa_po="",C834=pa_po),OR(pa_eq="",B834=pa_eq)),1,0)</f>
        <v>0.0</v>
      </c>
    </row>
    <row r="835">
      <c r="A835" s="51" t="n"/>
      <c r="B835" s="52" t="n"/>
      <c r="C835" s="52" t="n"/>
      <c r="D835" s="53" t="n"/>
      <c r="E835" s="60" t="n"/>
      <c r="F835" s="53" t="n"/>
      <c r="G835" s="61" t="str">
        <f>IF(OR(COUNTA(A835:E835)=0,D835=""),"",IFERROR(INDEX(ca_fam,MATCH(D835,ca_name,0))&amp;"",""))</f>
        <v/>
      </c>
      <c r="H835" s="58" t="str">
        <f>IF(OR(COUNTA(A835:E835)=0,D835=""),"",IFERROR(INDEX(ca_type,MATCH(D835,ca_name,0))&amp;"",""))</f>
        <v/>
      </c>
      <c r="I835" s="58" t="str">
        <f>IF(COUNTA(A835:E835)=0,"",IF(N(A835)&lt;=0,"Date manquante ou invalide",IF(B835="","Équipe manquante",IF(ISNA(MATCH(B835,eq_code,0)),"Équipe inconnue",IF(C835="","Poste manquant",IF(ISNA(MATCH(C835,po_code,0)),"Poste inconnu",IF(D835="","Cause manquante",IF(ISNA(MATCH(D835,ca_name,0)),"Cause inconnue",IF(H835="","Cause à compléter dans Paramètres",IF(OR(NOT(ISNUMBER(E835)),N(E835)&lt;=0,N(E835)&gt;1440),"Durée invalide",IF(COUNTIFS(sj_date,A835,sj_eq,B835,sj_po,C835)=0,"Pas de saisie journalière ce jour-là","OK")))))))))))</f>
        <v/>
      </c>
      <c r="J835">
        <f>IF(OR(I835="OK",I835="Pas de saisie journalière ce jour-là"),E835,0)</f>
        <v>0.0</v>
      </c>
      <c r="K835">
        <f>IF(AND(J835&gt;0,A835&gt;=p_from,A835&lt;=p_to),1,0)</f>
        <v>0.0</v>
      </c>
      <c r="L835">
        <f>IF(AND(K835=1,OR(pa_po="",C835=pa_po),OR(pa_eq="",B835=pa_eq)),1,0)</f>
        <v>0.0</v>
      </c>
    </row>
    <row r="836">
      <c r="A836" s="51" t="n"/>
      <c r="B836" s="52" t="n"/>
      <c r="C836" s="52" t="n"/>
      <c r="D836" s="53" t="n"/>
      <c r="E836" s="60" t="n"/>
      <c r="F836" s="53" t="n"/>
      <c r="G836" s="61" t="str">
        <f>IF(OR(COUNTA(A836:E836)=0,D836=""),"",IFERROR(INDEX(ca_fam,MATCH(D836,ca_name,0))&amp;"",""))</f>
        <v/>
      </c>
      <c r="H836" s="58" t="str">
        <f>IF(OR(COUNTA(A836:E836)=0,D836=""),"",IFERROR(INDEX(ca_type,MATCH(D836,ca_name,0))&amp;"",""))</f>
        <v/>
      </c>
      <c r="I836" s="58" t="str">
        <f>IF(COUNTA(A836:E836)=0,"",IF(N(A836)&lt;=0,"Date manquante ou invalide",IF(B836="","Équipe manquante",IF(ISNA(MATCH(B836,eq_code,0)),"Équipe inconnue",IF(C836="","Poste manquant",IF(ISNA(MATCH(C836,po_code,0)),"Poste inconnu",IF(D836="","Cause manquante",IF(ISNA(MATCH(D836,ca_name,0)),"Cause inconnue",IF(H836="","Cause à compléter dans Paramètres",IF(OR(NOT(ISNUMBER(E836)),N(E836)&lt;=0,N(E836)&gt;1440),"Durée invalide",IF(COUNTIFS(sj_date,A836,sj_eq,B836,sj_po,C836)=0,"Pas de saisie journalière ce jour-là","OK")))))))))))</f>
        <v/>
      </c>
      <c r="J836">
        <f>IF(OR(I836="OK",I836="Pas de saisie journalière ce jour-là"),E836,0)</f>
        <v>0.0</v>
      </c>
      <c r="K836">
        <f>IF(AND(J836&gt;0,A836&gt;=p_from,A836&lt;=p_to),1,0)</f>
        <v>0.0</v>
      </c>
      <c r="L836">
        <f>IF(AND(K836=1,OR(pa_po="",C836=pa_po),OR(pa_eq="",B836=pa_eq)),1,0)</f>
        <v>0.0</v>
      </c>
    </row>
    <row r="837">
      <c r="A837" s="51" t="n"/>
      <c r="B837" s="52" t="n"/>
      <c r="C837" s="52" t="n"/>
      <c r="D837" s="53" t="n"/>
      <c r="E837" s="60" t="n"/>
      <c r="F837" s="53" t="n"/>
      <c r="G837" s="61" t="str">
        <f>IF(OR(COUNTA(A837:E837)=0,D837=""),"",IFERROR(INDEX(ca_fam,MATCH(D837,ca_name,0))&amp;"",""))</f>
        <v/>
      </c>
      <c r="H837" s="58" t="str">
        <f>IF(OR(COUNTA(A837:E837)=0,D837=""),"",IFERROR(INDEX(ca_type,MATCH(D837,ca_name,0))&amp;"",""))</f>
        <v/>
      </c>
      <c r="I837" s="58" t="str">
        <f>IF(COUNTA(A837:E837)=0,"",IF(N(A837)&lt;=0,"Date manquante ou invalide",IF(B837="","Équipe manquante",IF(ISNA(MATCH(B837,eq_code,0)),"Équipe inconnue",IF(C837="","Poste manquant",IF(ISNA(MATCH(C837,po_code,0)),"Poste inconnu",IF(D837="","Cause manquante",IF(ISNA(MATCH(D837,ca_name,0)),"Cause inconnue",IF(H837="","Cause à compléter dans Paramètres",IF(OR(NOT(ISNUMBER(E837)),N(E837)&lt;=0,N(E837)&gt;1440),"Durée invalide",IF(COUNTIFS(sj_date,A837,sj_eq,B837,sj_po,C837)=0,"Pas de saisie journalière ce jour-là","OK")))))))))))</f>
        <v/>
      </c>
      <c r="J837">
        <f>IF(OR(I837="OK",I837="Pas de saisie journalière ce jour-là"),E837,0)</f>
        <v>0.0</v>
      </c>
      <c r="K837">
        <f>IF(AND(J837&gt;0,A837&gt;=p_from,A837&lt;=p_to),1,0)</f>
        <v>0.0</v>
      </c>
      <c r="L837">
        <f>IF(AND(K837=1,OR(pa_po="",C837=pa_po),OR(pa_eq="",B837=pa_eq)),1,0)</f>
        <v>0.0</v>
      </c>
    </row>
    <row r="838">
      <c r="A838" s="51" t="n"/>
      <c r="B838" s="52" t="n"/>
      <c r="C838" s="52" t="n"/>
      <c r="D838" s="53" t="n"/>
      <c r="E838" s="60" t="n"/>
      <c r="F838" s="53" t="n"/>
      <c r="G838" s="61" t="str">
        <f>IF(OR(COUNTA(A838:E838)=0,D838=""),"",IFERROR(INDEX(ca_fam,MATCH(D838,ca_name,0))&amp;"",""))</f>
        <v/>
      </c>
      <c r="H838" s="58" t="str">
        <f>IF(OR(COUNTA(A838:E838)=0,D838=""),"",IFERROR(INDEX(ca_type,MATCH(D838,ca_name,0))&amp;"",""))</f>
        <v/>
      </c>
      <c r="I838" s="58" t="str">
        <f>IF(COUNTA(A838:E838)=0,"",IF(N(A838)&lt;=0,"Date manquante ou invalide",IF(B838="","Équipe manquante",IF(ISNA(MATCH(B838,eq_code,0)),"Équipe inconnue",IF(C838="","Poste manquant",IF(ISNA(MATCH(C838,po_code,0)),"Poste inconnu",IF(D838="","Cause manquante",IF(ISNA(MATCH(D838,ca_name,0)),"Cause inconnue",IF(H838="","Cause à compléter dans Paramètres",IF(OR(NOT(ISNUMBER(E838)),N(E838)&lt;=0,N(E838)&gt;1440),"Durée invalide",IF(COUNTIFS(sj_date,A838,sj_eq,B838,sj_po,C838)=0,"Pas de saisie journalière ce jour-là","OK")))))))))))</f>
        <v/>
      </c>
      <c r="J838">
        <f>IF(OR(I838="OK",I838="Pas de saisie journalière ce jour-là"),E838,0)</f>
        <v>0.0</v>
      </c>
      <c r="K838">
        <f>IF(AND(J838&gt;0,A838&gt;=p_from,A838&lt;=p_to),1,0)</f>
        <v>0.0</v>
      </c>
      <c r="L838">
        <f>IF(AND(K838=1,OR(pa_po="",C838=pa_po),OR(pa_eq="",B838=pa_eq)),1,0)</f>
        <v>0.0</v>
      </c>
    </row>
    <row r="839">
      <c r="A839" s="51" t="n"/>
      <c r="B839" s="52" t="n"/>
      <c r="C839" s="52" t="n"/>
      <c r="D839" s="53" t="n"/>
      <c r="E839" s="60" t="n"/>
      <c r="F839" s="53" t="n"/>
      <c r="G839" s="61" t="str">
        <f>IF(OR(COUNTA(A839:E839)=0,D839=""),"",IFERROR(INDEX(ca_fam,MATCH(D839,ca_name,0))&amp;"",""))</f>
        <v/>
      </c>
      <c r="H839" s="58" t="str">
        <f>IF(OR(COUNTA(A839:E839)=0,D839=""),"",IFERROR(INDEX(ca_type,MATCH(D839,ca_name,0))&amp;"",""))</f>
        <v/>
      </c>
      <c r="I839" s="58" t="str">
        <f>IF(COUNTA(A839:E839)=0,"",IF(N(A839)&lt;=0,"Date manquante ou invalide",IF(B839="","Équipe manquante",IF(ISNA(MATCH(B839,eq_code,0)),"Équipe inconnue",IF(C839="","Poste manquant",IF(ISNA(MATCH(C839,po_code,0)),"Poste inconnu",IF(D839="","Cause manquante",IF(ISNA(MATCH(D839,ca_name,0)),"Cause inconnue",IF(H839="","Cause à compléter dans Paramètres",IF(OR(NOT(ISNUMBER(E839)),N(E839)&lt;=0,N(E839)&gt;1440),"Durée invalide",IF(COUNTIFS(sj_date,A839,sj_eq,B839,sj_po,C839)=0,"Pas de saisie journalière ce jour-là","OK")))))))))))</f>
        <v/>
      </c>
      <c r="J839">
        <f>IF(OR(I839="OK",I839="Pas de saisie journalière ce jour-là"),E839,0)</f>
        <v>0.0</v>
      </c>
      <c r="K839">
        <f>IF(AND(J839&gt;0,A839&gt;=p_from,A839&lt;=p_to),1,0)</f>
        <v>0.0</v>
      </c>
      <c r="L839">
        <f>IF(AND(K839=1,OR(pa_po="",C839=pa_po),OR(pa_eq="",B839=pa_eq)),1,0)</f>
        <v>0.0</v>
      </c>
    </row>
    <row r="840">
      <c r="A840" s="51" t="n"/>
      <c r="B840" s="52" t="n"/>
      <c r="C840" s="52" t="n"/>
      <c r="D840" s="53" t="n"/>
      <c r="E840" s="60" t="n"/>
      <c r="F840" s="53" t="n"/>
      <c r="G840" s="61" t="str">
        <f>IF(OR(COUNTA(A840:E840)=0,D840=""),"",IFERROR(INDEX(ca_fam,MATCH(D840,ca_name,0))&amp;"",""))</f>
        <v/>
      </c>
      <c r="H840" s="58" t="str">
        <f>IF(OR(COUNTA(A840:E840)=0,D840=""),"",IFERROR(INDEX(ca_type,MATCH(D840,ca_name,0))&amp;"",""))</f>
        <v/>
      </c>
      <c r="I840" s="58" t="str">
        <f>IF(COUNTA(A840:E840)=0,"",IF(N(A840)&lt;=0,"Date manquante ou invalide",IF(B840="","Équipe manquante",IF(ISNA(MATCH(B840,eq_code,0)),"Équipe inconnue",IF(C840="","Poste manquant",IF(ISNA(MATCH(C840,po_code,0)),"Poste inconnu",IF(D840="","Cause manquante",IF(ISNA(MATCH(D840,ca_name,0)),"Cause inconnue",IF(H840="","Cause à compléter dans Paramètres",IF(OR(NOT(ISNUMBER(E840)),N(E840)&lt;=0,N(E840)&gt;1440),"Durée invalide",IF(COUNTIFS(sj_date,A840,sj_eq,B840,sj_po,C840)=0,"Pas de saisie journalière ce jour-là","OK")))))))))))</f>
        <v/>
      </c>
      <c r="J840">
        <f>IF(OR(I840="OK",I840="Pas de saisie journalière ce jour-là"),E840,0)</f>
        <v>0.0</v>
      </c>
      <c r="K840">
        <f>IF(AND(J840&gt;0,A840&gt;=p_from,A840&lt;=p_to),1,0)</f>
        <v>0.0</v>
      </c>
      <c r="L840">
        <f>IF(AND(K840=1,OR(pa_po="",C840=pa_po),OR(pa_eq="",B840=pa_eq)),1,0)</f>
        <v>0.0</v>
      </c>
    </row>
    <row r="841">
      <c r="A841" s="51" t="n"/>
      <c r="B841" s="52" t="n"/>
      <c r="C841" s="52" t="n"/>
      <c r="D841" s="53" t="n"/>
      <c r="E841" s="60" t="n"/>
      <c r="F841" s="53" t="n"/>
      <c r="G841" s="61" t="str">
        <f>IF(OR(COUNTA(A841:E841)=0,D841=""),"",IFERROR(INDEX(ca_fam,MATCH(D841,ca_name,0))&amp;"",""))</f>
        <v/>
      </c>
      <c r="H841" s="58" t="str">
        <f>IF(OR(COUNTA(A841:E841)=0,D841=""),"",IFERROR(INDEX(ca_type,MATCH(D841,ca_name,0))&amp;"",""))</f>
        <v/>
      </c>
      <c r="I841" s="58" t="str">
        <f>IF(COUNTA(A841:E841)=0,"",IF(N(A841)&lt;=0,"Date manquante ou invalide",IF(B841="","Équipe manquante",IF(ISNA(MATCH(B841,eq_code,0)),"Équipe inconnue",IF(C841="","Poste manquant",IF(ISNA(MATCH(C841,po_code,0)),"Poste inconnu",IF(D841="","Cause manquante",IF(ISNA(MATCH(D841,ca_name,0)),"Cause inconnue",IF(H841="","Cause à compléter dans Paramètres",IF(OR(NOT(ISNUMBER(E841)),N(E841)&lt;=0,N(E841)&gt;1440),"Durée invalide",IF(COUNTIFS(sj_date,A841,sj_eq,B841,sj_po,C841)=0,"Pas de saisie journalière ce jour-là","OK")))))))))))</f>
        <v/>
      </c>
      <c r="J841">
        <f>IF(OR(I841="OK",I841="Pas de saisie journalière ce jour-là"),E841,0)</f>
        <v>0.0</v>
      </c>
      <c r="K841">
        <f>IF(AND(J841&gt;0,A841&gt;=p_from,A841&lt;=p_to),1,0)</f>
        <v>0.0</v>
      </c>
      <c r="L841">
        <f>IF(AND(K841=1,OR(pa_po="",C841=pa_po),OR(pa_eq="",B841=pa_eq)),1,0)</f>
        <v>0.0</v>
      </c>
    </row>
    <row r="842">
      <c r="A842" s="51" t="n"/>
      <c r="B842" s="52" t="n"/>
      <c r="C842" s="52" t="n"/>
      <c r="D842" s="53" t="n"/>
      <c r="E842" s="60" t="n"/>
      <c r="F842" s="53" t="n"/>
      <c r="G842" s="61" t="str">
        <f>IF(OR(COUNTA(A842:E842)=0,D842=""),"",IFERROR(INDEX(ca_fam,MATCH(D842,ca_name,0))&amp;"",""))</f>
        <v/>
      </c>
      <c r="H842" s="58" t="str">
        <f>IF(OR(COUNTA(A842:E842)=0,D842=""),"",IFERROR(INDEX(ca_type,MATCH(D842,ca_name,0))&amp;"",""))</f>
        <v/>
      </c>
      <c r="I842" s="58" t="str">
        <f>IF(COUNTA(A842:E842)=0,"",IF(N(A842)&lt;=0,"Date manquante ou invalide",IF(B842="","Équipe manquante",IF(ISNA(MATCH(B842,eq_code,0)),"Équipe inconnue",IF(C842="","Poste manquant",IF(ISNA(MATCH(C842,po_code,0)),"Poste inconnu",IF(D842="","Cause manquante",IF(ISNA(MATCH(D842,ca_name,0)),"Cause inconnue",IF(H842="","Cause à compléter dans Paramètres",IF(OR(NOT(ISNUMBER(E842)),N(E842)&lt;=0,N(E842)&gt;1440),"Durée invalide",IF(COUNTIFS(sj_date,A842,sj_eq,B842,sj_po,C842)=0,"Pas de saisie journalière ce jour-là","OK")))))))))))</f>
        <v/>
      </c>
      <c r="J842">
        <f>IF(OR(I842="OK",I842="Pas de saisie journalière ce jour-là"),E842,0)</f>
        <v>0.0</v>
      </c>
      <c r="K842">
        <f>IF(AND(J842&gt;0,A842&gt;=p_from,A842&lt;=p_to),1,0)</f>
        <v>0.0</v>
      </c>
      <c r="L842">
        <f>IF(AND(K842=1,OR(pa_po="",C842=pa_po),OR(pa_eq="",B842=pa_eq)),1,0)</f>
        <v>0.0</v>
      </c>
    </row>
    <row r="843">
      <c r="A843" s="51" t="n"/>
      <c r="B843" s="52" t="n"/>
      <c r="C843" s="52" t="n"/>
      <c r="D843" s="53" t="n"/>
      <c r="E843" s="60" t="n"/>
      <c r="F843" s="53" t="n"/>
      <c r="G843" s="61" t="str">
        <f>IF(OR(COUNTA(A843:E843)=0,D843=""),"",IFERROR(INDEX(ca_fam,MATCH(D843,ca_name,0))&amp;"",""))</f>
        <v/>
      </c>
      <c r="H843" s="58" t="str">
        <f>IF(OR(COUNTA(A843:E843)=0,D843=""),"",IFERROR(INDEX(ca_type,MATCH(D843,ca_name,0))&amp;"",""))</f>
        <v/>
      </c>
      <c r="I843" s="58" t="str">
        <f>IF(COUNTA(A843:E843)=0,"",IF(N(A843)&lt;=0,"Date manquante ou invalide",IF(B843="","Équipe manquante",IF(ISNA(MATCH(B843,eq_code,0)),"Équipe inconnue",IF(C843="","Poste manquant",IF(ISNA(MATCH(C843,po_code,0)),"Poste inconnu",IF(D843="","Cause manquante",IF(ISNA(MATCH(D843,ca_name,0)),"Cause inconnue",IF(H843="","Cause à compléter dans Paramètres",IF(OR(NOT(ISNUMBER(E843)),N(E843)&lt;=0,N(E843)&gt;1440),"Durée invalide",IF(COUNTIFS(sj_date,A843,sj_eq,B843,sj_po,C843)=0,"Pas de saisie journalière ce jour-là","OK")))))))))))</f>
        <v/>
      </c>
      <c r="J843">
        <f>IF(OR(I843="OK",I843="Pas de saisie journalière ce jour-là"),E843,0)</f>
        <v>0.0</v>
      </c>
      <c r="K843">
        <f>IF(AND(J843&gt;0,A843&gt;=p_from,A843&lt;=p_to),1,0)</f>
        <v>0.0</v>
      </c>
      <c r="L843">
        <f>IF(AND(K843=1,OR(pa_po="",C843=pa_po),OR(pa_eq="",B843=pa_eq)),1,0)</f>
        <v>0.0</v>
      </c>
    </row>
    <row r="844">
      <c r="A844" s="51" t="n"/>
      <c r="B844" s="52" t="n"/>
      <c r="C844" s="52" t="n"/>
      <c r="D844" s="53" t="n"/>
      <c r="E844" s="60" t="n"/>
      <c r="F844" s="53" t="n"/>
      <c r="G844" s="61" t="str">
        <f>IF(OR(COUNTA(A844:E844)=0,D844=""),"",IFERROR(INDEX(ca_fam,MATCH(D844,ca_name,0))&amp;"",""))</f>
        <v/>
      </c>
      <c r="H844" s="58" t="str">
        <f>IF(OR(COUNTA(A844:E844)=0,D844=""),"",IFERROR(INDEX(ca_type,MATCH(D844,ca_name,0))&amp;"",""))</f>
        <v/>
      </c>
      <c r="I844" s="58" t="str">
        <f>IF(COUNTA(A844:E844)=0,"",IF(N(A844)&lt;=0,"Date manquante ou invalide",IF(B844="","Équipe manquante",IF(ISNA(MATCH(B844,eq_code,0)),"Équipe inconnue",IF(C844="","Poste manquant",IF(ISNA(MATCH(C844,po_code,0)),"Poste inconnu",IF(D844="","Cause manquante",IF(ISNA(MATCH(D844,ca_name,0)),"Cause inconnue",IF(H844="","Cause à compléter dans Paramètres",IF(OR(NOT(ISNUMBER(E844)),N(E844)&lt;=0,N(E844)&gt;1440),"Durée invalide",IF(COUNTIFS(sj_date,A844,sj_eq,B844,sj_po,C844)=0,"Pas de saisie journalière ce jour-là","OK")))))))))))</f>
        <v/>
      </c>
      <c r="J844">
        <f>IF(OR(I844="OK",I844="Pas de saisie journalière ce jour-là"),E844,0)</f>
        <v>0.0</v>
      </c>
      <c r="K844">
        <f>IF(AND(J844&gt;0,A844&gt;=p_from,A844&lt;=p_to),1,0)</f>
        <v>0.0</v>
      </c>
      <c r="L844">
        <f>IF(AND(K844=1,OR(pa_po="",C844=pa_po),OR(pa_eq="",B844=pa_eq)),1,0)</f>
        <v>0.0</v>
      </c>
    </row>
    <row r="845">
      <c r="A845" s="51" t="n"/>
      <c r="B845" s="52" t="n"/>
      <c r="C845" s="52" t="n"/>
      <c r="D845" s="53" t="n"/>
      <c r="E845" s="60" t="n"/>
      <c r="F845" s="53" t="n"/>
      <c r="G845" s="61" t="str">
        <f>IF(OR(COUNTA(A845:E845)=0,D845=""),"",IFERROR(INDEX(ca_fam,MATCH(D845,ca_name,0))&amp;"",""))</f>
        <v/>
      </c>
      <c r="H845" s="58" t="str">
        <f>IF(OR(COUNTA(A845:E845)=0,D845=""),"",IFERROR(INDEX(ca_type,MATCH(D845,ca_name,0))&amp;"",""))</f>
        <v/>
      </c>
      <c r="I845" s="58" t="str">
        <f>IF(COUNTA(A845:E845)=0,"",IF(N(A845)&lt;=0,"Date manquante ou invalide",IF(B845="","Équipe manquante",IF(ISNA(MATCH(B845,eq_code,0)),"Équipe inconnue",IF(C845="","Poste manquant",IF(ISNA(MATCH(C845,po_code,0)),"Poste inconnu",IF(D845="","Cause manquante",IF(ISNA(MATCH(D845,ca_name,0)),"Cause inconnue",IF(H845="","Cause à compléter dans Paramètres",IF(OR(NOT(ISNUMBER(E845)),N(E845)&lt;=0,N(E845)&gt;1440),"Durée invalide",IF(COUNTIFS(sj_date,A845,sj_eq,B845,sj_po,C845)=0,"Pas de saisie journalière ce jour-là","OK")))))))))))</f>
        <v/>
      </c>
      <c r="J845">
        <f>IF(OR(I845="OK",I845="Pas de saisie journalière ce jour-là"),E845,0)</f>
        <v>0.0</v>
      </c>
      <c r="K845">
        <f>IF(AND(J845&gt;0,A845&gt;=p_from,A845&lt;=p_to),1,0)</f>
        <v>0.0</v>
      </c>
      <c r="L845">
        <f>IF(AND(K845=1,OR(pa_po="",C845=pa_po),OR(pa_eq="",B845=pa_eq)),1,0)</f>
        <v>0.0</v>
      </c>
    </row>
    <row r="846">
      <c r="A846" s="51" t="n"/>
      <c r="B846" s="52" t="n"/>
      <c r="C846" s="52" t="n"/>
      <c r="D846" s="53" t="n"/>
      <c r="E846" s="60" t="n"/>
      <c r="F846" s="53" t="n"/>
      <c r="G846" s="61" t="str">
        <f>IF(OR(COUNTA(A846:E846)=0,D846=""),"",IFERROR(INDEX(ca_fam,MATCH(D846,ca_name,0))&amp;"",""))</f>
        <v/>
      </c>
      <c r="H846" s="58" t="str">
        <f>IF(OR(COUNTA(A846:E846)=0,D846=""),"",IFERROR(INDEX(ca_type,MATCH(D846,ca_name,0))&amp;"",""))</f>
        <v/>
      </c>
      <c r="I846" s="58" t="str">
        <f>IF(COUNTA(A846:E846)=0,"",IF(N(A846)&lt;=0,"Date manquante ou invalide",IF(B846="","Équipe manquante",IF(ISNA(MATCH(B846,eq_code,0)),"Équipe inconnue",IF(C846="","Poste manquant",IF(ISNA(MATCH(C846,po_code,0)),"Poste inconnu",IF(D846="","Cause manquante",IF(ISNA(MATCH(D846,ca_name,0)),"Cause inconnue",IF(H846="","Cause à compléter dans Paramètres",IF(OR(NOT(ISNUMBER(E846)),N(E846)&lt;=0,N(E846)&gt;1440),"Durée invalide",IF(COUNTIFS(sj_date,A846,sj_eq,B846,sj_po,C846)=0,"Pas de saisie journalière ce jour-là","OK")))))))))))</f>
        <v/>
      </c>
      <c r="J846">
        <f>IF(OR(I846="OK",I846="Pas de saisie journalière ce jour-là"),E846,0)</f>
        <v>0.0</v>
      </c>
      <c r="K846">
        <f>IF(AND(J846&gt;0,A846&gt;=p_from,A846&lt;=p_to),1,0)</f>
        <v>0.0</v>
      </c>
      <c r="L846">
        <f>IF(AND(K846=1,OR(pa_po="",C846=pa_po),OR(pa_eq="",B846=pa_eq)),1,0)</f>
        <v>0.0</v>
      </c>
    </row>
    <row r="847">
      <c r="A847" s="51" t="n"/>
      <c r="B847" s="52" t="n"/>
      <c r="C847" s="52" t="n"/>
      <c r="D847" s="53" t="n"/>
      <c r="E847" s="60" t="n"/>
      <c r="F847" s="53" t="n"/>
      <c r="G847" s="61" t="str">
        <f>IF(OR(COUNTA(A847:E847)=0,D847=""),"",IFERROR(INDEX(ca_fam,MATCH(D847,ca_name,0))&amp;"",""))</f>
        <v/>
      </c>
      <c r="H847" s="58" t="str">
        <f>IF(OR(COUNTA(A847:E847)=0,D847=""),"",IFERROR(INDEX(ca_type,MATCH(D847,ca_name,0))&amp;"",""))</f>
        <v/>
      </c>
      <c r="I847" s="58" t="str">
        <f>IF(COUNTA(A847:E847)=0,"",IF(N(A847)&lt;=0,"Date manquante ou invalide",IF(B847="","Équipe manquante",IF(ISNA(MATCH(B847,eq_code,0)),"Équipe inconnue",IF(C847="","Poste manquant",IF(ISNA(MATCH(C847,po_code,0)),"Poste inconnu",IF(D847="","Cause manquante",IF(ISNA(MATCH(D847,ca_name,0)),"Cause inconnue",IF(H847="","Cause à compléter dans Paramètres",IF(OR(NOT(ISNUMBER(E847)),N(E847)&lt;=0,N(E847)&gt;1440),"Durée invalide",IF(COUNTIFS(sj_date,A847,sj_eq,B847,sj_po,C847)=0,"Pas de saisie journalière ce jour-là","OK")))))))))))</f>
        <v/>
      </c>
      <c r="J847">
        <f>IF(OR(I847="OK",I847="Pas de saisie journalière ce jour-là"),E847,0)</f>
        <v>0.0</v>
      </c>
      <c r="K847">
        <f>IF(AND(J847&gt;0,A847&gt;=p_from,A847&lt;=p_to),1,0)</f>
        <v>0.0</v>
      </c>
      <c r="L847">
        <f>IF(AND(K847=1,OR(pa_po="",C847=pa_po),OR(pa_eq="",B847=pa_eq)),1,0)</f>
        <v>0.0</v>
      </c>
    </row>
    <row r="848">
      <c r="A848" s="51" t="n"/>
      <c r="B848" s="52" t="n"/>
      <c r="C848" s="52" t="n"/>
      <c r="D848" s="53" t="n"/>
      <c r="E848" s="60" t="n"/>
      <c r="F848" s="53" t="n"/>
      <c r="G848" s="61" t="str">
        <f>IF(OR(COUNTA(A848:E848)=0,D848=""),"",IFERROR(INDEX(ca_fam,MATCH(D848,ca_name,0))&amp;"",""))</f>
        <v/>
      </c>
      <c r="H848" s="58" t="str">
        <f>IF(OR(COUNTA(A848:E848)=0,D848=""),"",IFERROR(INDEX(ca_type,MATCH(D848,ca_name,0))&amp;"",""))</f>
        <v/>
      </c>
      <c r="I848" s="58" t="str">
        <f>IF(COUNTA(A848:E848)=0,"",IF(N(A848)&lt;=0,"Date manquante ou invalide",IF(B848="","Équipe manquante",IF(ISNA(MATCH(B848,eq_code,0)),"Équipe inconnue",IF(C848="","Poste manquant",IF(ISNA(MATCH(C848,po_code,0)),"Poste inconnu",IF(D848="","Cause manquante",IF(ISNA(MATCH(D848,ca_name,0)),"Cause inconnue",IF(H848="","Cause à compléter dans Paramètres",IF(OR(NOT(ISNUMBER(E848)),N(E848)&lt;=0,N(E848)&gt;1440),"Durée invalide",IF(COUNTIFS(sj_date,A848,sj_eq,B848,sj_po,C848)=0,"Pas de saisie journalière ce jour-là","OK")))))))))))</f>
        <v/>
      </c>
      <c r="J848">
        <f>IF(OR(I848="OK",I848="Pas de saisie journalière ce jour-là"),E848,0)</f>
        <v>0.0</v>
      </c>
      <c r="K848">
        <f>IF(AND(J848&gt;0,A848&gt;=p_from,A848&lt;=p_to),1,0)</f>
        <v>0.0</v>
      </c>
      <c r="L848">
        <f>IF(AND(K848=1,OR(pa_po="",C848=pa_po),OR(pa_eq="",B848=pa_eq)),1,0)</f>
        <v>0.0</v>
      </c>
    </row>
    <row r="849">
      <c r="A849" s="51" t="n"/>
      <c r="B849" s="52" t="n"/>
      <c r="C849" s="52" t="n"/>
      <c r="D849" s="53" t="n"/>
      <c r="E849" s="60" t="n"/>
      <c r="F849" s="53" t="n"/>
      <c r="G849" s="61" t="str">
        <f>IF(OR(COUNTA(A849:E849)=0,D849=""),"",IFERROR(INDEX(ca_fam,MATCH(D849,ca_name,0))&amp;"",""))</f>
        <v/>
      </c>
      <c r="H849" s="58" t="str">
        <f>IF(OR(COUNTA(A849:E849)=0,D849=""),"",IFERROR(INDEX(ca_type,MATCH(D849,ca_name,0))&amp;"",""))</f>
        <v/>
      </c>
      <c r="I849" s="58" t="str">
        <f>IF(COUNTA(A849:E849)=0,"",IF(N(A849)&lt;=0,"Date manquante ou invalide",IF(B849="","Équipe manquante",IF(ISNA(MATCH(B849,eq_code,0)),"Équipe inconnue",IF(C849="","Poste manquant",IF(ISNA(MATCH(C849,po_code,0)),"Poste inconnu",IF(D849="","Cause manquante",IF(ISNA(MATCH(D849,ca_name,0)),"Cause inconnue",IF(H849="","Cause à compléter dans Paramètres",IF(OR(NOT(ISNUMBER(E849)),N(E849)&lt;=0,N(E849)&gt;1440),"Durée invalide",IF(COUNTIFS(sj_date,A849,sj_eq,B849,sj_po,C849)=0,"Pas de saisie journalière ce jour-là","OK")))))))))))</f>
        <v/>
      </c>
      <c r="J849">
        <f>IF(OR(I849="OK",I849="Pas de saisie journalière ce jour-là"),E849,0)</f>
        <v>0.0</v>
      </c>
      <c r="K849">
        <f>IF(AND(J849&gt;0,A849&gt;=p_from,A849&lt;=p_to),1,0)</f>
        <v>0.0</v>
      </c>
      <c r="L849">
        <f>IF(AND(K849=1,OR(pa_po="",C849=pa_po),OR(pa_eq="",B849=pa_eq)),1,0)</f>
        <v>0.0</v>
      </c>
    </row>
    <row r="850">
      <c r="A850" s="51" t="n"/>
      <c r="B850" s="52" t="n"/>
      <c r="C850" s="52" t="n"/>
      <c r="D850" s="53" t="n"/>
      <c r="E850" s="60" t="n"/>
      <c r="F850" s="53" t="n"/>
      <c r="G850" s="61" t="str">
        <f>IF(OR(COUNTA(A850:E850)=0,D850=""),"",IFERROR(INDEX(ca_fam,MATCH(D850,ca_name,0))&amp;"",""))</f>
        <v/>
      </c>
      <c r="H850" s="58" t="str">
        <f>IF(OR(COUNTA(A850:E850)=0,D850=""),"",IFERROR(INDEX(ca_type,MATCH(D850,ca_name,0))&amp;"",""))</f>
        <v/>
      </c>
      <c r="I850" s="58" t="str">
        <f>IF(COUNTA(A850:E850)=0,"",IF(N(A850)&lt;=0,"Date manquante ou invalide",IF(B850="","Équipe manquante",IF(ISNA(MATCH(B850,eq_code,0)),"Équipe inconnue",IF(C850="","Poste manquant",IF(ISNA(MATCH(C850,po_code,0)),"Poste inconnu",IF(D850="","Cause manquante",IF(ISNA(MATCH(D850,ca_name,0)),"Cause inconnue",IF(H850="","Cause à compléter dans Paramètres",IF(OR(NOT(ISNUMBER(E850)),N(E850)&lt;=0,N(E850)&gt;1440),"Durée invalide",IF(COUNTIFS(sj_date,A850,sj_eq,B850,sj_po,C850)=0,"Pas de saisie journalière ce jour-là","OK")))))))))))</f>
        <v/>
      </c>
      <c r="J850">
        <f>IF(OR(I850="OK",I850="Pas de saisie journalière ce jour-là"),E850,0)</f>
        <v>0.0</v>
      </c>
      <c r="K850">
        <f>IF(AND(J850&gt;0,A850&gt;=p_from,A850&lt;=p_to),1,0)</f>
        <v>0.0</v>
      </c>
      <c r="L850">
        <f>IF(AND(K850=1,OR(pa_po="",C850=pa_po),OR(pa_eq="",B850=pa_eq)),1,0)</f>
        <v>0.0</v>
      </c>
    </row>
    <row r="851">
      <c r="A851" s="51" t="n"/>
      <c r="B851" s="52" t="n"/>
      <c r="C851" s="52" t="n"/>
      <c r="D851" s="53" t="n"/>
      <c r="E851" s="60" t="n"/>
      <c r="F851" s="53" t="n"/>
      <c r="G851" s="61" t="str">
        <f>IF(OR(COUNTA(A851:E851)=0,D851=""),"",IFERROR(INDEX(ca_fam,MATCH(D851,ca_name,0))&amp;"",""))</f>
        <v/>
      </c>
      <c r="H851" s="58" t="str">
        <f>IF(OR(COUNTA(A851:E851)=0,D851=""),"",IFERROR(INDEX(ca_type,MATCH(D851,ca_name,0))&amp;"",""))</f>
        <v/>
      </c>
      <c r="I851" s="58" t="str">
        <f>IF(COUNTA(A851:E851)=0,"",IF(N(A851)&lt;=0,"Date manquante ou invalide",IF(B851="","Équipe manquante",IF(ISNA(MATCH(B851,eq_code,0)),"Équipe inconnue",IF(C851="","Poste manquant",IF(ISNA(MATCH(C851,po_code,0)),"Poste inconnu",IF(D851="","Cause manquante",IF(ISNA(MATCH(D851,ca_name,0)),"Cause inconnue",IF(H851="","Cause à compléter dans Paramètres",IF(OR(NOT(ISNUMBER(E851)),N(E851)&lt;=0,N(E851)&gt;1440),"Durée invalide",IF(COUNTIFS(sj_date,A851,sj_eq,B851,sj_po,C851)=0,"Pas de saisie journalière ce jour-là","OK")))))))))))</f>
        <v/>
      </c>
      <c r="J851">
        <f>IF(OR(I851="OK",I851="Pas de saisie journalière ce jour-là"),E851,0)</f>
        <v>0.0</v>
      </c>
      <c r="K851">
        <f>IF(AND(J851&gt;0,A851&gt;=p_from,A851&lt;=p_to),1,0)</f>
        <v>0.0</v>
      </c>
      <c r="L851">
        <f>IF(AND(K851=1,OR(pa_po="",C851=pa_po),OR(pa_eq="",B851=pa_eq)),1,0)</f>
        <v>0.0</v>
      </c>
    </row>
    <row r="852">
      <c r="A852" s="51" t="n"/>
      <c r="B852" s="52" t="n"/>
      <c r="C852" s="52" t="n"/>
      <c r="D852" s="53" t="n"/>
      <c r="E852" s="60" t="n"/>
      <c r="F852" s="53" t="n"/>
      <c r="G852" s="61" t="str">
        <f>IF(OR(COUNTA(A852:E852)=0,D852=""),"",IFERROR(INDEX(ca_fam,MATCH(D852,ca_name,0))&amp;"",""))</f>
        <v/>
      </c>
      <c r="H852" s="58" t="str">
        <f>IF(OR(COUNTA(A852:E852)=0,D852=""),"",IFERROR(INDEX(ca_type,MATCH(D852,ca_name,0))&amp;"",""))</f>
        <v/>
      </c>
      <c r="I852" s="58" t="str">
        <f>IF(COUNTA(A852:E852)=0,"",IF(N(A852)&lt;=0,"Date manquante ou invalide",IF(B852="","Équipe manquante",IF(ISNA(MATCH(B852,eq_code,0)),"Équipe inconnue",IF(C852="","Poste manquant",IF(ISNA(MATCH(C852,po_code,0)),"Poste inconnu",IF(D852="","Cause manquante",IF(ISNA(MATCH(D852,ca_name,0)),"Cause inconnue",IF(H852="","Cause à compléter dans Paramètres",IF(OR(NOT(ISNUMBER(E852)),N(E852)&lt;=0,N(E852)&gt;1440),"Durée invalide",IF(COUNTIFS(sj_date,A852,sj_eq,B852,sj_po,C852)=0,"Pas de saisie journalière ce jour-là","OK")))))))))))</f>
        <v/>
      </c>
      <c r="J852">
        <f>IF(OR(I852="OK",I852="Pas de saisie journalière ce jour-là"),E852,0)</f>
        <v>0.0</v>
      </c>
      <c r="K852">
        <f>IF(AND(J852&gt;0,A852&gt;=p_from,A852&lt;=p_to),1,0)</f>
        <v>0.0</v>
      </c>
      <c r="L852">
        <f>IF(AND(K852=1,OR(pa_po="",C852=pa_po),OR(pa_eq="",B852=pa_eq)),1,0)</f>
        <v>0.0</v>
      </c>
    </row>
    <row r="853">
      <c r="A853" s="51" t="n"/>
      <c r="B853" s="52" t="n"/>
      <c r="C853" s="52" t="n"/>
      <c r="D853" s="53" t="n"/>
      <c r="E853" s="60" t="n"/>
      <c r="F853" s="53" t="n"/>
      <c r="G853" s="61" t="str">
        <f>IF(OR(COUNTA(A853:E853)=0,D853=""),"",IFERROR(INDEX(ca_fam,MATCH(D853,ca_name,0))&amp;"",""))</f>
        <v/>
      </c>
      <c r="H853" s="58" t="str">
        <f>IF(OR(COUNTA(A853:E853)=0,D853=""),"",IFERROR(INDEX(ca_type,MATCH(D853,ca_name,0))&amp;"",""))</f>
        <v/>
      </c>
      <c r="I853" s="58" t="str">
        <f>IF(COUNTA(A853:E853)=0,"",IF(N(A853)&lt;=0,"Date manquante ou invalide",IF(B853="","Équipe manquante",IF(ISNA(MATCH(B853,eq_code,0)),"Équipe inconnue",IF(C853="","Poste manquant",IF(ISNA(MATCH(C853,po_code,0)),"Poste inconnu",IF(D853="","Cause manquante",IF(ISNA(MATCH(D853,ca_name,0)),"Cause inconnue",IF(H853="","Cause à compléter dans Paramètres",IF(OR(NOT(ISNUMBER(E853)),N(E853)&lt;=0,N(E853)&gt;1440),"Durée invalide",IF(COUNTIFS(sj_date,A853,sj_eq,B853,sj_po,C853)=0,"Pas de saisie journalière ce jour-là","OK")))))))))))</f>
        <v/>
      </c>
      <c r="J853">
        <f>IF(OR(I853="OK",I853="Pas de saisie journalière ce jour-là"),E853,0)</f>
        <v>0.0</v>
      </c>
      <c r="K853">
        <f>IF(AND(J853&gt;0,A853&gt;=p_from,A853&lt;=p_to),1,0)</f>
        <v>0.0</v>
      </c>
      <c r="L853">
        <f>IF(AND(K853=1,OR(pa_po="",C853=pa_po),OR(pa_eq="",B853=pa_eq)),1,0)</f>
        <v>0.0</v>
      </c>
    </row>
    <row r="854">
      <c r="A854" s="51" t="n"/>
      <c r="B854" s="52" t="n"/>
      <c r="C854" s="52" t="n"/>
      <c r="D854" s="53" t="n"/>
      <c r="E854" s="60" t="n"/>
      <c r="F854" s="53" t="n"/>
      <c r="G854" s="61" t="str">
        <f>IF(OR(COUNTA(A854:E854)=0,D854=""),"",IFERROR(INDEX(ca_fam,MATCH(D854,ca_name,0))&amp;"",""))</f>
        <v/>
      </c>
      <c r="H854" s="58" t="str">
        <f>IF(OR(COUNTA(A854:E854)=0,D854=""),"",IFERROR(INDEX(ca_type,MATCH(D854,ca_name,0))&amp;"",""))</f>
        <v/>
      </c>
      <c r="I854" s="58" t="str">
        <f>IF(COUNTA(A854:E854)=0,"",IF(N(A854)&lt;=0,"Date manquante ou invalide",IF(B854="","Équipe manquante",IF(ISNA(MATCH(B854,eq_code,0)),"Équipe inconnue",IF(C854="","Poste manquant",IF(ISNA(MATCH(C854,po_code,0)),"Poste inconnu",IF(D854="","Cause manquante",IF(ISNA(MATCH(D854,ca_name,0)),"Cause inconnue",IF(H854="","Cause à compléter dans Paramètres",IF(OR(NOT(ISNUMBER(E854)),N(E854)&lt;=0,N(E854)&gt;1440),"Durée invalide",IF(COUNTIFS(sj_date,A854,sj_eq,B854,sj_po,C854)=0,"Pas de saisie journalière ce jour-là","OK")))))))))))</f>
        <v/>
      </c>
      <c r="J854">
        <f>IF(OR(I854="OK",I854="Pas de saisie journalière ce jour-là"),E854,0)</f>
        <v>0.0</v>
      </c>
      <c r="K854">
        <f>IF(AND(J854&gt;0,A854&gt;=p_from,A854&lt;=p_to),1,0)</f>
        <v>0.0</v>
      </c>
      <c r="L854">
        <f>IF(AND(K854=1,OR(pa_po="",C854=pa_po),OR(pa_eq="",B854=pa_eq)),1,0)</f>
        <v>0.0</v>
      </c>
    </row>
    <row r="855">
      <c r="A855" s="51" t="n"/>
      <c r="B855" s="52" t="n"/>
      <c r="C855" s="52" t="n"/>
      <c r="D855" s="53" t="n"/>
      <c r="E855" s="60" t="n"/>
      <c r="F855" s="53" t="n"/>
      <c r="G855" s="61" t="str">
        <f>IF(OR(COUNTA(A855:E855)=0,D855=""),"",IFERROR(INDEX(ca_fam,MATCH(D855,ca_name,0))&amp;"",""))</f>
        <v/>
      </c>
      <c r="H855" s="58" t="str">
        <f>IF(OR(COUNTA(A855:E855)=0,D855=""),"",IFERROR(INDEX(ca_type,MATCH(D855,ca_name,0))&amp;"",""))</f>
        <v/>
      </c>
      <c r="I855" s="58" t="str">
        <f>IF(COUNTA(A855:E855)=0,"",IF(N(A855)&lt;=0,"Date manquante ou invalide",IF(B855="","Équipe manquante",IF(ISNA(MATCH(B855,eq_code,0)),"Équipe inconnue",IF(C855="","Poste manquant",IF(ISNA(MATCH(C855,po_code,0)),"Poste inconnu",IF(D855="","Cause manquante",IF(ISNA(MATCH(D855,ca_name,0)),"Cause inconnue",IF(H855="","Cause à compléter dans Paramètres",IF(OR(NOT(ISNUMBER(E855)),N(E855)&lt;=0,N(E855)&gt;1440),"Durée invalide",IF(COUNTIFS(sj_date,A855,sj_eq,B855,sj_po,C855)=0,"Pas de saisie journalière ce jour-là","OK")))))))))))</f>
        <v/>
      </c>
      <c r="J855">
        <f>IF(OR(I855="OK",I855="Pas de saisie journalière ce jour-là"),E855,0)</f>
        <v>0.0</v>
      </c>
      <c r="K855">
        <f>IF(AND(J855&gt;0,A855&gt;=p_from,A855&lt;=p_to),1,0)</f>
        <v>0.0</v>
      </c>
      <c r="L855">
        <f>IF(AND(K855=1,OR(pa_po="",C855=pa_po),OR(pa_eq="",B855=pa_eq)),1,0)</f>
        <v>0.0</v>
      </c>
    </row>
    <row r="856">
      <c r="A856" s="51" t="n"/>
      <c r="B856" s="52" t="n"/>
      <c r="C856" s="52" t="n"/>
      <c r="D856" s="53" t="n"/>
      <c r="E856" s="60" t="n"/>
      <c r="F856" s="53" t="n"/>
      <c r="G856" s="61" t="str">
        <f>IF(OR(COUNTA(A856:E856)=0,D856=""),"",IFERROR(INDEX(ca_fam,MATCH(D856,ca_name,0))&amp;"",""))</f>
        <v/>
      </c>
      <c r="H856" s="58" t="str">
        <f>IF(OR(COUNTA(A856:E856)=0,D856=""),"",IFERROR(INDEX(ca_type,MATCH(D856,ca_name,0))&amp;"",""))</f>
        <v/>
      </c>
      <c r="I856" s="58" t="str">
        <f>IF(COUNTA(A856:E856)=0,"",IF(N(A856)&lt;=0,"Date manquante ou invalide",IF(B856="","Équipe manquante",IF(ISNA(MATCH(B856,eq_code,0)),"Équipe inconnue",IF(C856="","Poste manquant",IF(ISNA(MATCH(C856,po_code,0)),"Poste inconnu",IF(D856="","Cause manquante",IF(ISNA(MATCH(D856,ca_name,0)),"Cause inconnue",IF(H856="","Cause à compléter dans Paramètres",IF(OR(NOT(ISNUMBER(E856)),N(E856)&lt;=0,N(E856)&gt;1440),"Durée invalide",IF(COUNTIFS(sj_date,A856,sj_eq,B856,sj_po,C856)=0,"Pas de saisie journalière ce jour-là","OK")))))))))))</f>
        <v/>
      </c>
      <c r="J856">
        <f>IF(OR(I856="OK",I856="Pas de saisie journalière ce jour-là"),E856,0)</f>
        <v>0.0</v>
      </c>
      <c r="K856">
        <f>IF(AND(J856&gt;0,A856&gt;=p_from,A856&lt;=p_to),1,0)</f>
        <v>0.0</v>
      </c>
      <c r="L856">
        <f>IF(AND(K856=1,OR(pa_po="",C856=pa_po),OR(pa_eq="",B856=pa_eq)),1,0)</f>
        <v>0.0</v>
      </c>
    </row>
    <row r="857">
      <c r="A857" s="51" t="n"/>
      <c r="B857" s="52" t="n"/>
      <c r="C857" s="52" t="n"/>
      <c r="D857" s="53" t="n"/>
      <c r="E857" s="60" t="n"/>
      <c r="F857" s="53" t="n"/>
      <c r="G857" s="61" t="str">
        <f>IF(OR(COUNTA(A857:E857)=0,D857=""),"",IFERROR(INDEX(ca_fam,MATCH(D857,ca_name,0))&amp;"",""))</f>
        <v/>
      </c>
      <c r="H857" s="58" t="str">
        <f>IF(OR(COUNTA(A857:E857)=0,D857=""),"",IFERROR(INDEX(ca_type,MATCH(D857,ca_name,0))&amp;"",""))</f>
        <v/>
      </c>
      <c r="I857" s="58" t="str">
        <f>IF(COUNTA(A857:E857)=0,"",IF(N(A857)&lt;=0,"Date manquante ou invalide",IF(B857="","Équipe manquante",IF(ISNA(MATCH(B857,eq_code,0)),"Équipe inconnue",IF(C857="","Poste manquant",IF(ISNA(MATCH(C857,po_code,0)),"Poste inconnu",IF(D857="","Cause manquante",IF(ISNA(MATCH(D857,ca_name,0)),"Cause inconnue",IF(H857="","Cause à compléter dans Paramètres",IF(OR(NOT(ISNUMBER(E857)),N(E857)&lt;=0,N(E857)&gt;1440),"Durée invalide",IF(COUNTIFS(sj_date,A857,sj_eq,B857,sj_po,C857)=0,"Pas de saisie journalière ce jour-là","OK")))))))))))</f>
        <v/>
      </c>
      <c r="J857">
        <f>IF(OR(I857="OK",I857="Pas de saisie journalière ce jour-là"),E857,0)</f>
        <v>0.0</v>
      </c>
      <c r="K857">
        <f>IF(AND(J857&gt;0,A857&gt;=p_from,A857&lt;=p_to),1,0)</f>
        <v>0.0</v>
      </c>
      <c r="L857">
        <f>IF(AND(K857=1,OR(pa_po="",C857=pa_po),OR(pa_eq="",B857=pa_eq)),1,0)</f>
        <v>0.0</v>
      </c>
    </row>
    <row r="858">
      <c r="A858" s="51" t="n"/>
      <c r="B858" s="52" t="n"/>
      <c r="C858" s="52" t="n"/>
      <c r="D858" s="53" t="n"/>
      <c r="E858" s="60" t="n"/>
      <c r="F858" s="53" t="n"/>
      <c r="G858" s="61" t="str">
        <f>IF(OR(COUNTA(A858:E858)=0,D858=""),"",IFERROR(INDEX(ca_fam,MATCH(D858,ca_name,0))&amp;"",""))</f>
        <v/>
      </c>
      <c r="H858" s="58" t="str">
        <f>IF(OR(COUNTA(A858:E858)=0,D858=""),"",IFERROR(INDEX(ca_type,MATCH(D858,ca_name,0))&amp;"",""))</f>
        <v/>
      </c>
      <c r="I858" s="58" t="str">
        <f>IF(COUNTA(A858:E858)=0,"",IF(N(A858)&lt;=0,"Date manquante ou invalide",IF(B858="","Équipe manquante",IF(ISNA(MATCH(B858,eq_code,0)),"Équipe inconnue",IF(C858="","Poste manquant",IF(ISNA(MATCH(C858,po_code,0)),"Poste inconnu",IF(D858="","Cause manquante",IF(ISNA(MATCH(D858,ca_name,0)),"Cause inconnue",IF(H858="","Cause à compléter dans Paramètres",IF(OR(NOT(ISNUMBER(E858)),N(E858)&lt;=0,N(E858)&gt;1440),"Durée invalide",IF(COUNTIFS(sj_date,A858,sj_eq,B858,sj_po,C858)=0,"Pas de saisie journalière ce jour-là","OK")))))))))))</f>
        <v/>
      </c>
      <c r="J858">
        <f>IF(OR(I858="OK",I858="Pas de saisie journalière ce jour-là"),E858,0)</f>
        <v>0.0</v>
      </c>
      <c r="K858">
        <f>IF(AND(J858&gt;0,A858&gt;=p_from,A858&lt;=p_to),1,0)</f>
        <v>0.0</v>
      </c>
      <c r="L858">
        <f>IF(AND(K858=1,OR(pa_po="",C858=pa_po),OR(pa_eq="",B858=pa_eq)),1,0)</f>
        <v>0.0</v>
      </c>
    </row>
    <row r="859">
      <c r="A859" s="51" t="n"/>
      <c r="B859" s="52" t="n"/>
      <c r="C859" s="52" t="n"/>
      <c r="D859" s="53" t="n"/>
      <c r="E859" s="60" t="n"/>
      <c r="F859" s="53" t="n"/>
      <c r="G859" s="61" t="str">
        <f>IF(OR(COUNTA(A859:E859)=0,D859=""),"",IFERROR(INDEX(ca_fam,MATCH(D859,ca_name,0))&amp;"",""))</f>
        <v/>
      </c>
      <c r="H859" s="58" t="str">
        <f>IF(OR(COUNTA(A859:E859)=0,D859=""),"",IFERROR(INDEX(ca_type,MATCH(D859,ca_name,0))&amp;"",""))</f>
        <v/>
      </c>
      <c r="I859" s="58" t="str">
        <f>IF(COUNTA(A859:E859)=0,"",IF(N(A859)&lt;=0,"Date manquante ou invalide",IF(B859="","Équipe manquante",IF(ISNA(MATCH(B859,eq_code,0)),"Équipe inconnue",IF(C859="","Poste manquant",IF(ISNA(MATCH(C859,po_code,0)),"Poste inconnu",IF(D859="","Cause manquante",IF(ISNA(MATCH(D859,ca_name,0)),"Cause inconnue",IF(H859="","Cause à compléter dans Paramètres",IF(OR(NOT(ISNUMBER(E859)),N(E859)&lt;=0,N(E859)&gt;1440),"Durée invalide",IF(COUNTIFS(sj_date,A859,sj_eq,B859,sj_po,C859)=0,"Pas de saisie journalière ce jour-là","OK")))))))))))</f>
        <v/>
      </c>
      <c r="J859">
        <f>IF(OR(I859="OK",I859="Pas de saisie journalière ce jour-là"),E859,0)</f>
        <v>0.0</v>
      </c>
      <c r="K859">
        <f>IF(AND(J859&gt;0,A859&gt;=p_from,A859&lt;=p_to),1,0)</f>
        <v>0.0</v>
      </c>
      <c r="L859">
        <f>IF(AND(K859=1,OR(pa_po="",C859=pa_po),OR(pa_eq="",B859=pa_eq)),1,0)</f>
        <v>0.0</v>
      </c>
    </row>
    <row r="860">
      <c r="A860" s="51" t="n"/>
      <c r="B860" s="52" t="n"/>
      <c r="C860" s="52" t="n"/>
      <c r="D860" s="53" t="n"/>
      <c r="E860" s="60" t="n"/>
      <c r="F860" s="53" t="n"/>
      <c r="G860" s="61" t="str">
        <f>IF(OR(COUNTA(A860:E860)=0,D860=""),"",IFERROR(INDEX(ca_fam,MATCH(D860,ca_name,0))&amp;"",""))</f>
        <v/>
      </c>
      <c r="H860" s="58" t="str">
        <f>IF(OR(COUNTA(A860:E860)=0,D860=""),"",IFERROR(INDEX(ca_type,MATCH(D860,ca_name,0))&amp;"",""))</f>
        <v/>
      </c>
      <c r="I860" s="58" t="str">
        <f>IF(COUNTA(A860:E860)=0,"",IF(N(A860)&lt;=0,"Date manquante ou invalide",IF(B860="","Équipe manquante",IF(ISNA(MATCH(B860,eq_code,0)),"Équipe inconnue",IF(C860="","Poste manquant",IF(ISNA(MATCH(C860,po_code,0)),"Poste inconnu",IF(D860="","Cause manquante",IF(ISNA(MATCH(D860,ca_name,0)),"Cause inconnue",IF(H860="","Cause à compléter dans Paramètres",IF(OR(NOT(ISNUMBER(E860)),N(E860)&lt;=0,N(E860)&gt;1440),"Durée invalide",IF(COUNTIFS(sj_date,A860,sj_eq,B860,sj_po,C860)=0,"Pas de saisie journalière ce jour-là","OK")))))))))))</f>
        <v/>
      </c>
      <c r="J860">
        <f>IF(OR(I860="OK",I860="Pas de saisie journalière ce jour-là"),E860,0)</f>
        <v>0.0</v>
      </c>
      <c r="K860">
        <f>IF(AND(J860&gt;0,A860&gt;=p_from,A860&lt;=p_to),1,0)</f>
        <v>0.0</v>
      </c>
      <c r="L860">
        <f>IF(AND(K860=1,OR(pa_po="",C860=pa_po),OR(pa_eq="",B860=pa_eq)),1,0)</f>
        <v>0.0</v>
      </c>
    </row>
    <row r="861">
      <c r="A861" s="51" t="n"/>
      <c r="B861" s="52" t="n"/>
      <c r="C861" s="52" t="n"/>
      <c r="D861" s="53" t="n"/>
      <c r="E861" s="60" t="n"/>
      <c r="F861" s="53" t="n"/>
      <c r="G861" s="61" t="str">
        <f>IF(OR(COUNTA(A861:E861)=0,D861=""),"",IFERROR(INDEX(ca_fam,MATCH(D861,ca_name,0))&amp;"",""))</f>
        <v/>
      </c>
      <c r="H861" s="58" t="str">
        <f>IF(OR(COUNTA(A861:E861)=0,D861=""),"",IFERROR(INDEX(ca_type,MATCH(D861,ca_name,0))&amp;"",""))</f>
        <v/>
      </c>
      <c r="I861" s="58" t="str">
        <f>IF(COUNTA(A861:E861)=0,"",IF(N(A861)&lt;=0,"Date manquante ou invalide",IF(B861="","Équipe manquante",IF(ISNA(MATCH(B861,eq_code,0)),"Équipe inconnue",IF(C861="","Poste manquant",IF(ISNA(MATCH(C861,po_code,0)),"Poste inconnu",IF(D861="","Cause manquante",IF(ISNA(MATCH(D861,ca_name,0)),"Cause inconnue",IF(H861="","Cause à compléter dans Paramètres",IF(OR(NOT(ISNUMBER(E861)),N(E861)&lt;=0,N(E861)&gt;1440),"Durée invalide",IF(COUNTIFS(sj_date,A861,sj_eq,B861,sj_po,C861)=0,"Pas de saisie journalière ce jour-là","OK")))))))))))</f>
        <v/>
      </c>
      <c r="J861">
        <f>IF(OR(I861="OK",I861="Pas de saisie journalière ce jour-là"),E861,0)</f>
        <v>0.0</v>
      </c>
      <c r="K861">
        <f>IF(AND(J861&gt;0,A861&gt;=p_from,A861&lt;=p_to),1,0)</f>
        <v>0.0</v>
      </c>
      <c r="L861">
        <f>IF(AND(K861=1,OR(pa_po="",C861=pa_po),OR(pa_eq="",B861=pa_eq)),1,0)</f>
        <v>0.0</v>
      </c>
    </row>
    <row r="862">
      <c r="A862" s="51" t="n"/>
      <c r="B862" s="52" t="n"/>
      <c r="C862" s="52" t="n"/>
      <c r="D862" s="53" t="n"/>
      <c r="E862" s="60" t="n"/>
      <c r="F862" s="53" t="n"/>
      <c r="G862" s="61" t="str">
        <f>IF(OR(COUNTA(A862:E862)=0,D862=""),"",IFERROR(INDEX(ca_fam,MATCH(D862,ca_name,0))&amp;"",""))</f>
        <v/>
      </c>
      <c r="H862" s="58" t="str">
        <f>IF(OR(COUNTA(A862:E862)=0,D862=""),"",IFERROR(INDEX(ca_type,MATCH(D862,ca_name,0))&amp;"",""))</f>
        <v/>
      </c>
      <c r="I862" s="58" t="str">
        <f>IF(COUNTA(A862:E862)=0,"",IF(N(A862)&lt;=0,"Date manquante ou invalide",IF(B862="","Équipe manquante",IF(ISNA(MATCH(B862,eq_code,0)),"Équipe inconnue",IF(C862="","Poste manquant",IF(ISNA(MATCH(C862,po_code,0)),"Poste inconnu",IF(D862="","Cause manquante",IF(ISNA(MATCH(D862,ca_name,0)),"Cause inconnue",IF(H862="","Cause à compléter dans Paramètres",IF(OR(NOT(ISNUMBER(E862)),N(E862)&lt;=0,N(E862)&gt;1440),"Durée invalide",IF(COUNTIFS(sj_date,A862,sj_eq,B862,sj_po,C862)=0,"Pas de saisie journalière ce jour-là","OK")))))))))))</f>
        <v/>
      </c>
      <c r="J862">
        <f>IF(OR(I862="OK",I862="Pas de saisie journalière ce jour-là"),E862,0)</f>
        <v>0.0</v>
      </c>
      <c r="K862">
        <f>IF(AND(J862&gt;0,A862&gt;=p_from,A862&lt;=p_to),1,0)</f>
        <v>0.0</v>
      </c>
      <c r="L862">
        <f>IF(AND(K862=1,OR(pa_po="",C862=pa_po),OR(pa_eq="",B862=pa_eq)),1,0)</f>
        <v>0.0</v>
      </c>
    </row>
    <row r="863">
      <c r="A863" s="51" t="n"/>
      <c r="B863" s="52" t="n"/>
      <c r="C863" s="52" t="n"/>
      <c r="D863" s="53" t="n"/>
      <c r="E863" s="60" t="n"/>
      <c r="F863" s="53" t="n"/>
      <c r="G863" s="61" t="str">
        <f>IF(OR(COUNTA(A863:E863)=0,D863=""),"",IFERROR(INDEX(ca_fam,MATCH(D863,ca_name,0))&amp;"",""))</f>
        <v/>
      </c>
      <c r="H863" s="58" t="str">
        <f>IF(OR(COUNTA(A863:E863)=0,D863=""),"",IFERROR(INDEX(ca_type,MATCH(D863,ca_name,0))&amp;"",""))</f>
        <v/>
      </c>
      <c r="I863" s="58" t="str">
        <f>IF(COUNTA(A863:E863)=0,"",IF(N(A863)&lt;=0,"Date manquante ou invalide",IF(B863="","Équipe manquante",IF(ISNA(MATCH(B863,eq_code,0)),"Équipe inconnue",IF(C863="","Poste manquant",IF(ISNA(MATCH(C863,po_code,0)),"Poste inconnu",IF(D863="","Cause manquante",IF(ISNA(MATCH(D863,ca_name,0)),"Cause inconnue",IF(H863="","Cause à compléter dans Paramètres",IF(OR(NOT(ISNUMBER(E863)),N(E863)&lt;=0,N(E863)&gt;1440),"Durée invalide",IF(COUNTIFS(sj_date,A863,sj_eq,B863,sj_po,C863)=0,"Pas de saisie journalière ce jour-là","OK")))))))))))</f>
        <v/>
      </c>
      <c r="J863">
        <f>IF(OR(I863="OK",I863="Pas de saisie journalière ce jour-là"),E863,0)</f>
        <v>0.0</v>
      </c>
      <c r="K863">
        <f>IF(AND(J863&gt;0,A863&gt;=p_from,A863&lt;=p_to),1,0)</f>
        <v>0.0</v>
      </c>
      <c r="L863">
        <f>IF(AND(K863=1,OR(pa_po="",C863=pa_po),OR(pa_eq="",B863=pa_eq)),1,0)</f>
        <v>0.0</v>
      </c>
    </row>
    <row r="864">
      <c r="A864" s="51" t="n"/>
      <c r="B864" s="52" t="n"/>
      <c r="C864" s="52" t="n"/>
      <c r="D864" s="53" t="n"/>
      <c r="E864" s="60" t="n"/>
      <c r="F864" s="53" t="n"/>
      <c r="G864" s="61" t="str">
        <f>IF(OR(COUNTA(A864:E864)=0,D864=""),"",IFERROR(INDEX(ca_fam,MATCH(D864,ca_name,0))&amp;"",""))</f>
        <v/>
      </c>
      <c r="H864" s="58" t="str">
        <f>IF(OR(COUNTA(A864:E864)=0,D864=""),"",IFERROR(INDEX(ca_type,MATCH(D864,ca_name,0))&amp;"",""))</f>
        <v/>
      </c>
      <c r="I864" s="58" t="str">
        <f>IF(COUNTA(A864:E864)=0,"",IF(N(A864)&lt;=0,"Date manquante ou invalide",IF(B864="","Équipe manquante",IF(ISNA(MATCH(B864,eq_code,0)),"Équipe inconnue",IF(C864="","Poste manquant",IF(ISNA(MATCH(C864,po_code,0)),"Poste inconnu",IF(D864="","Cause manquante",IF(ISNA(MATCH(D864,ca_name,0)),"Cause inconnue",IF(H864="","Cause à compléter dans Paramètres",IF(OR(NOT(ISNUMBER(E864)),N(E864)&lt;=0,N(E864)&gt;1440),"Durée invalide",IF(COUNTIFS(sj_date,A864,sj_eq,B864,sj_po,C864)=0,"Pas de saisie journalière ce jour-là","OK")))))))))))</f>
        <v/>
      </c>
      <c r="J864">
        <f>IF(OR(I864="OK",I864="Pas de saisie journalière ce jour-là"),E864,0)</f>
        <v>0.0</v>
      </c>
      <c r="K864">
        <f>IF(AND(J864&gt;0,A864&gt;=p_from,A864&lt;=p_to),1,0)</f>
        <v>0.0</v>
      </c>
      <c r="L864">
        <f>IF(AND(K864=1,OR(pa_po="",C864=pa_po),OR(pa_eq="",B864=pa_eq)),1,0)</f>
        <v>0.0</v>
      </c>
    </row>
    <row r="865">
      <c r="A865" s="51" t="n"/>
      <c r="B865" s="52" t="n"/>
      <c r="C865" s="52" t="n"/>
      <c r="D865" s="53" t="n"/>
      <c r="E865" s="60" t="n"/>
      <c r="F865" s="53" t="n"/>
      <c r="G865" s="61" t="str">
        <f>IF(OR(COUNTA(A865:E865)=0,D865=""),"",IFERROR(INDEX(ca_fam,MATCH(D865,ca_name,0))&amp;"",""))</f>
        <v/>
      </c>
      <c r="H865" s="58" t="str">
        <f>IF(OR(COUNTA(A865:E865)=0,D865=""),"",IFERROR(INDEX(ca_type,MATCH(D865,ca_name,0))&amp;"",""))</f>
        <v/>
      </c>
      <c r="I865" s="58" t="str">
        <f>IF(COUNTA(A865:E865)=0,"",IF(N(A865)&lt;=0,"Date manquante ou invalide",IF(B865="","Équipe manquante",IF(ISNA(MATCH(B865,eq_code,0)),"Équipe inconnue",IF(C865="","Poste manquant",IF(ISNA(MATCH(C865,po_code,0)),"Poste inconnu",IF(D865="","Cause manquante",IF(ISNA(MATCH(D865,ca_name,0)),"Cause inconnue",IF(H865="","Cause à compléter dans Paramètres",IF(OR(NOT(ISNUMBER(E865)),N(E865)&lt;=0,N(E865)&gt;1440),"Durée invalide",IF(COUNTIFS(sj_date,A865,sj_eq,B865,sj_po,C865)=0,"Pas de saisie journalière ce jour-là","OK")))))))))))</f>
        <v/>
      </c>
      <c r="J865">
        <f>IF(OR(I865="OK",I865="Pas de saisie journalière ce jour-là"),E865,0)</f>
        <v>0.0</v>
      </c>
      <c r="K865">
        <f>IF(AND(J865&gt;0,A865&gt;=p_from,A865&lt;=p_to),1,0)</f>
        <v>0.0</v>
      </c>
      <c r="L865">
        <f>IF(AND(K865=1,OR(pa_po="",C865=pa_po),OR(pa_eq="",B865=pa_eq)),1,0)</f>
        <v>0.0</v>
      </c>
    </row>
    <row r="866">
      <c r="A866" s="51" t="n"/>
      <c r="B866" s="52" t="n"/>
      <c r="C866" s="52" t="n"/>
      <c r="D866" s="53" t="n"/>
      <c r="E866" s="60" t="n"/>
      <c r="F866" s="53" t="n"/>
      <c r="G866" s="61" t="str">
        <f>IF(OR(COUNTA(A866:E866)=0,D866=""),"",IFERROR(INDEX(ca_fam,MATCH(D866,ca_name,0))&amp;"",""))</f>
        <v/>
      </c>
      <c r="H866" s="58" t="str">
        <f>IF(OR(COUNTA(A866:E866)=0,D866=""),"",IFERROR(INDEX(ca_type,MATCH(D866,ca_name,0))&amp;"",""))</f>
        <v/>
      </c>
      <c r="I866" s="58" t="str">
        <f>IF(COUNTA(A866:E866)=0,"",IF(N(A866)&lt;=0,"Date manquante ou invalide",IF(B866="","Équipe manquante",IF(ISNA(MATCH(B866,eq_code,0)),"Équipe inconnue",IF(C866="","Poste manquant",IF(ISNA(MATCH(C866,po_code,0)),"Poste inconnu",IF(D866="","Cause manquante",IF(ISNA(MATCH(D866,ca_name,0)),"Cause inconnue",IF(H866="","Cause à compléter dans Paramètres",IF(OR(NOT(ISNUMBER(E866)),N(E866)&lt;=0,N(E866)&gt;1440),"Durée invalide",IF(COUNTIFS(sj_date,A866,sj_eq,B866,sj_po,C866)=0,"Pas de saisie journalière ce jour-là","OK")))))))))))</f>
        <v/>
      </c>
      <c r="J866">
        <f>IF(OR(I866="OK",I866="Pas de saisie journalière ce jour-là"),E866,0)</f>
        <v>0.0</v>
      </c>
      <c r="K866">
        <f>IF(AND(J866&gt;0,A866&gt;=p_from,A866&lt;=p_to),1,0)</f>
        <v>0.0</v>
      </c>
      <c r="L866">
        <f>IF(AND(K866=1,OR(pa_po="",C866=pa_po),OR(pa_eq="",B866=pa_eq)),1,0)</f>
        <v>0.0</v>
      </c>
    </row>
    <row r="867">
      <c r="A867" s="51" t="n"/>
      <c r="B867" s="52" t="n"/>
      <c r="C867" s="52" t="n"/>
      <c r="D867" s="53" t="n"/>
      <c r="E867" s="60" t="n"/>
      <c r="F867" s="53" t="n"/>
      <c r="G867" s="61" t="str">
        <f>IF(OR(COUNTA(A867:E867)=0,D867=""),"",IFERROR(INDEX(ca_fam,MATCH(D867,ca_name,0))&amp;"",""))</f>
        <v/>
      </c>
      <c r="H867" s="58" t="str">
        <f>IF(OR(COUNTA(A867:E867)=0,D867=""),"",IFERROR(INDEX(ca_type,MATCH(D867,ca_name,0))&amp;"",""))</f>
        <v/>
      </c>
      <c r="I867" s="58" t="str">
        <f>IF(COUNTA(A867:E867)=0,"",IF(N(A867)&lt;=0,"Date manquante ou invalide",IF(B867="","Équipe manquante",IF(ISNA(MATCH(B867,eq_code,0)),"Équipe inconnue",IF(C867="","Poste manquant",IF(ISNA(MATCH(C867,po_code,0)),"Poste inconnu",IF(D867="","Cause manquante",IF(ISNA(MATCH(D867,ca_name,0)),"Cause inconnue",IF(H867="","Cause à compléter dans Paramètres",IF(OR(NOT(ISNUMBER(E867)),N(E867)&lt;=0,N(E867)&gt;1440),"Durée invalide",IF(COUNTIFS(sj_date,A867,sj_eq,B867,sj_po,C867)=0,"Pas de saisie journalière ce jour-là","OK")))))))))))</f>
        <v/>
      </c>
      <c r="J867">
        <f>IF(OR(I867="OK",I867="Pas de saisie journalière ce jour-là"),E867,0)</f>
        <v>0.0</v>
      </c>
      <c r="K867">
        <f>IF(AND(J867&gt;0,A867&gt;=p_from,A867&lt;=p_to),1,0)</f>
        <v>0.0</v>
      </c>
      <c r="L867">
        <f>IF(AND(K867=1,OR(pa_po="",C867=pa_po),OR(pa_eq="",B867=pa_eq)),1,0)</f>
        <v>0.0</v>
      </c>
    </row>
    <row r="868">
      <c r="A868" s="51" t="n"/>
      <c r="B868" s="52" t="n"/>
      <c r="C868" s="52" t="n"/>
      <c r="D868" s="53" t="n"/>
      <c r="E868" s="60" t="n"/>
      <c r="F868" s="53" t="n"/>
      <c r="G868" s="61" t="str">
        <f>IF(OR(COUNTA(A868:E868)=0,D868=""),"",IFERROR(INDEX(ca_fam,MATCH(D868,ca_name,0))&amp;"",""))</f>
        <v/>
      </c>
      <c r="H868" s="58" t="str">
        <f>IF(OR(COUNTA(A868:E868)=0,D868=""),"",IFERROR(INDEX(ca_type,MATCH(D868,ca_name,0))&amp;"",""))</f>
        <v/>
      </c>
      <c r="I868" s="58" t="str">
        <f>IF(COUNTA(A868:E868)=0,"",IF(N(A868)&lt;=0,"Date manquante ou invalide",IF(B868="","Équipe manquante",IF(ISNA(MATCH(B868,eq_code,0)),"Équipe inconnue",IF(C868="","Poste manquant",IF(ISNA(MATCH(C868,po_code,0)),"Poste inconnu",IF(D868="","Cause manquante",IF(ISNA(MATCH(D868,ca_name,0)),"Cause inconnue",IF(H868="","Cause à compléter dans Paramètres",IF(OR(NOT(ISNUMBER(E868)),N(E868)&lt;=0,N(E868)&gt;1440),"Durée invalide",IF(COUNTIFS(sj_date,A868,sj_eq,B868,sj_po,C868)=0,"Pas de saisie journalière ce jour-là","OK")))))))))))</f>
        <v/>
      </c>
      <c r="J868">
        <f>IF(OR(I868="OK",I868="Pas de saisie journalière ce jour-là"),E868,0)</f>
        <v>0.0</v>
      </c>
      <c r="K868">
        <f>IF(AND(J868&gt;0,A868&gt;=p_from,A868&lt;=p_to),1,0)</f>
        <v>0.0</v>
      </c>
      <c r="L868">
        <f>IF(AND(K868=1,OR(pa_po="",C868=pa_po),OR(pa_eq="",B868=pa_eq)),1,0)</f>
        <v>0.0</v>
      </c>
    </row>
    <row r="869">
      <c r="A869" s="51" t="n"/>
      <c r="B869" s="52" t="n"/>
      <c r="C869" s="52" t="n"/>
      <c r="D869" s="53" t="n"/>
      <c r="E869" s="60" t="n"/>
      <c r="F869" s="53" t="n"/>
      <c r="G869" s="61" t="str">
        <f>IF(OR(COUNTA(A869:E869)=0,D869=""),"",IFERROR(INDEX(ca_fam,MATCH(D869,ca_name,0))&amp;"",""))</f>
        <v/>
      </c>
      <c r="H869" s="58" t="str">
        <f>IF(OR(COUNTA(A869:E869)=0,D869=""),"",IFERROR(INDEX(ca_type,MATCH(D869,ca_name,0))&amp;"",""))</f>
        <v/>
      </c>
      <c r="I869" s="58" t="str">
        <f>IF(COUNTA(A869:E869)=0,"",IF(N(A869)&lt;=0,"Date manquante ou invalide",IF(B869="","Équipe manquante",IF(ISNA(MATCH(B869,eq_code,0)),"Équipe inconnue",IF(C869="","Poste manquant",IF(ISNA(MATCH(C869,po_code,0)),"Poste inconnu",IF(D869="","Cause manquante",IF(ISNA(MATCH(D869,ca_name,0)),"Cause inconnue",IF(H869="","Cause à compléter dans Paramètres",IF(OR(NOT(ISNUMBER(E869)),N(E869)&lt;=0,N(E869)&gt;1440),"Durée invalide",IF(COUNTIFS(sj_date,A869,sj_eq,B869,sj_po,C869)=0,"Pas de saisie journalière ce jour-là","OK")))))))))))</f>
        <v/>
      </c>
      <c r="J869">
        <f>IF(OR(I869="OK",I869="Pas de saisie journalière ce jour-là"),E869,0)</f>
        <v>0.0</v>
      </c>
      <c r="K869">
        <f>IF(AND(J869&gt;0,A869&gt;=p_from,A869&lt;=p_to),1,0)</f>
        <v>0.0</v>
      </c>
      <c r="L869">
        <f>IF(AND(K869=1,OR(pa_po="",C869=pa_po),OR(pa_eq="",B869=pa_eq)),1,0)</f>
        <v>0.0</v>
      </c>
    </row>
    <row r="870">
      <c r="A870" s="51" t="n"/>
      <c r="B870" s="52" t="n"/>
      <c r="C870" s="52" t="n"/>
      <c r="D870" s="53" t="n"/>
      <c r="E870" s="60" t="n"/>
      <c r="F870" s="53" t="n"/>
      <c r="G870" s="61" t="str">
        <f>IF(OR(COUNTA(A870:E870)=0,D870=""),"",IFERROR(INDEX(ca_fam,MATCH(D870,ca_name,0))&amp;"",""))</f>
        <v/>
      </c>
      <c r="H870" s="58" t="str">
        <f>IF(OR(COUNTA(A870:E870)=0,D870=""),"",IFERROR(INDEX(ca_type,MATCH(D870,ca_name,0))&amp;"",""))</f>
        <v/>
      </c>
      <c r="I870" s="58" t="str">
        <f>IF(COUNTA(A870:E870)=0,"",IF(N(A870)&lt;=0,"Date manquante ou invalide",IF(B870="","Équipe manquante",IF(ISNA(MATCH(B870,eq_code,0)),"Équipe inconnue",IF(C870="","Poste manquant",IF(ISNA(MATCH(C870,po_code,0)),"Poste inconnu",IF(D870="","Cause manquante",IF(ISNA(MATCH(D870,ca_name,0)),"Cause inconnue",IF(H870="","Cause à compléter dans Paramètres",IF(OR(NOT(ISNUMBER(E870)),N(E870)&lt;=0,N(E870)&gt;1440),"Durée invalide",IF(COUNTIFS(sj_date,A870,sj_eq,B870,sj_po,C870)=0,"Pas de saisie journalière ce jour-là","OK")))))))))))</f>
        <v/>
      </c>
      <c r="J870">
        <f>IF(OR(I870="OK",I870="Pas de saisie journalière ce jour-là"),E870,0)</f>
        <v>0.0</v>
      </c>
      <c r="K870">
        <f>IF(AND(J870&gt;0,A870&gt;=p_from,A870&lt;=p_to),1,0)</f>
        <v>0.0</v>
      </c>
      <c r="L870">
        <f>IF(AND(K870=1,OR(pa_po="",C870=pa_po),OR(pa_eq="",B870=pa_eq)),1,0)</f>
        <v>0.0</v>
      </c>
    </row>
    <row r="871">
      <c r="A871" s="51" t="n"/>
      <c r="B871" s="52" t="n"/>
      <c r="C871" s="52" t="n"/>
      <c r="D871" s="53" t="n"/>
      <c r="E871" s="60" t="n"/>
      <c r="F871" s="53" t="n"/>
      <c r="G871" s="61" t="str">
        <f>IF(OR(COUNTA(A871:E871)=0,D871=""),"",IFERROR(INDEX(ca_fam,MATCH(D871,ca_name,0))&amp;"",""))</f>
        <v/>
      </c>
      <c r="H871" s="58" t="str">
        <f>IF(OR(COUNTA(A871:E871)=0,D871=""),"",IFERROR(INDEX(ca_type,MATCH(D871,ca_name,0))&amp;"",""))</f>
        <v/>
      </c>
      <c r="I871" s="58" t="str">
        <f>IF(COUNTA(A871:E871)=0,"",IF(N(A871)&lt;=0,"Date manquante ou invalide",IF(B871="","Équipe manquante",IF(ISNA(MATCH(B871,eq_code,0)),"Équipe inconnue",IF(C871="","Poste manquant",IF(ISNA(MATCH(C871,po_code,0)),"Poste inconnu",IF(D871="","Cause manquante",IF(ISNA(MATCH(D871,ca_name,0)),"Cause inconnue",IF(H871="","Cause à compléter dans Paramètres",IF(OR(NOT(ISNUMBER(E871)),N(E871)&lt;=0,N(E871)&gt;1440),"Durée invalide",IF(COUNTIFS(sj_date,A871,sj_eq,B871,sj_po,C871)=0,"Pas de saisie journalière ce jour-là","OK")))))))))))</f>
        <v/>
      </c>
      <c r="J871">
        <f>IF(OR(I871="OK",I871="Pas de saisie journalière ce jour-là"),E871,0)</f>
        <v>0.0</v>
      </c>
      <c r="K871">
        <f>IF(AND(J871&gt;0,A871&gt;=p_from,A871&lt;=p_to),1,0)</f>
        <v>0.0</v>
      </c>
      <c r="L871">
        <f>IF(AND(K871=1,OR(pa_po="",C871=pa_po),OR(pa_eq="",B871=pa_eq)),1,0)</f>
        <v>0.0</v>
      </c>
    </row>
    <row r="872">
      <c r="A872" s="51" t="n"/>
      <c r="B872" s="52" t="n"/>
      <c r="C872" s="52" t="n"/>
      <c r="D872" s="53" t="n"/>
      <c r="E872" s="60" t="n"/>
      <c r="F872" s="53" t="n"/>
      <c r="G872" s="61" t="str">
        <f>IF(OR(COUNTA(A872:E872)=0,D872=""),"",IFERROR(INDEX(ca_fam,MATCH(D872,ca_name,0))&amp;"",""))</f>
        <v/>
      </c>
      <c r="H872" s="58" t="str">
        <f>IF(OR(COUNTA(A872:E872)=0,D872=""),"",IFERROR(INDEX(ca_type,MATCH(D872,ca_name,0))&amp;"",""))</f>
        <v/>
      </c>
      <c r="I872" s="58" t="str">
        <f>IF(COUNTA(A872:E872)=0,"",IF(N(A872)&lt;=0,"Date manquante ou invalide",IF(B872="","Équipe manquante",IF(ISNA(MATCH(B872,eq_code,0)),"Équipe inconnue",IF(C872="","Poste manquant",IF(ISNA(MATCH(C872,po_code,0)),"Poste inconnu",IF(D872="","Cause manquante",IF(ISNA(MATCH(D872,ca_name,0)),"Cause inconnue",IF(H872="","Cause à compléter dans Paramètres",IF(OR(NOT(ISNUMBER(E872)),N(E872)&lt;=0,N(E872)&gt;1440),"Durée invalide",IF(COUNTIFS(sj_date,A872,sj_eq,B872,sj_po,C872)=0,"Pas de saisie journalière ce jour-là","OK")))))))))))</f>
        <v/>
      </c>
      <c r="J872">
        <f>IF(OR(I872="OK",I872="Pas de saisie journalière ce jour-là"),E872,0)</f>
        <v>0.0</v>
      </c>
      <c r="K872">
        <f>IF(AND(J872&gt;0,A872&gt;=p_from,A872&lt;=p_to),1,0)</f>
        <v>0.0</v>
      </c>
      <c r="L872">
        <f>IF(AND(K872=1,OR(pa_po="",C872=pa_po),OR(pa_eq="",B872=pa_eq)),1,0)</f>
        <v>0.0</v>
      </c>
    </row>
    <row r="873">
      <c r="A873" s="51" t="n"/>
      <c r="B873" s="52" t="n"/>
      <c r="C873" s="52" t="n"/>
      <c r="D873" s="53" t="n"/>
      <c r="E873" s="60" t="n"/>
      <c r="F873" s="53" t="n"/>
      <c r="G873" s="61" t="str">
        <f>IF(OR(COUNTA(A873:E873)=0,D873=""),"",IFERROR(INDEX(ca_fam,MATCH(D873,ca_name,0))&amp;"",""))</f>
        <v/>
      </c>
      <c r="H873" s="58" t="str">
        <f>IF(OR(COUNTA(A873:E873)=0,D873=""),"",IFERROR(INDEX(ca_type,MATCH(D873,ca_name,0))&amp;"",""))</f>
        <v/>
      </c>
      <c r="I873" s="58" t="str">
        <f>IF(COUNTA(A873:E873)=0,"",IF(N(A873)&lt;=0,"Date manquante ou invalide",IF(B873="","Équipe manquante",IF(ISNA(MATCH(B873,eq_code,0)),"Équipe inconnue",IF(C873="","Poste manquant",IF(ISNA(MATCH(C873,po_code,0)),"Poste inconnu",IF(D873="","Cause manquante",IF(ISNA(MATCH(D873,ca_name,0)),"Cause inconnue",IF(H873="","Cause à compléter dans Paramètres",IF(OR(NOT(ISNUMBER(E873)),N(E873)&lt;=0,N(E873)&gt;1440),"Durée invalide",IF(COUNTIFS(sj_date,A873,sj_eq,B873,sj_po,C873)=0,"Pas de saisie journalière ce jour-là","OK")))))))))))</f>
        <v/>
      </c>
      <c r="J873">
        <f>IF(OR(I873="OK",I873="Pas de saisie journalière ce jour-là"),E873,0)</f>
        <v>0.0</v>
      </c>
      <c r="K873">
        <f>IF(AND(J873&gt;0,A873&gt;=p_from,A873&lt;=p_to),1,0)</f>
        <v>0.0</v>
      </c>
      <c r="L873">
        <f>IF(AND(K873=1,OR(pa_po="",C873=pa_po),OR(pa_eq="",B873=pa_eq)),1,0)</f>
        <v>0.0</v>
      </c>
    </row>
    <row r="874">
      <c r="A874" s="51" t="n"/>
      <c r="B874" s="52" t="n"/>
      <c r="C874" s="52" t="n"/>
      <c r="D874" s="53" t="n"/>
      <c r="E874" s="60" t="n"/>
      <c r="F874" s="53" t="n"/>
      <c r="G874" s="61" t="str">
        <f>IF(OR(COUNTA(A874:E874)=0,D874=""),"",IFERROR(INDEX(ca_fam,MATCH(D874,ca_name,0))&amp;"",""))</f>
        <v/>
      </c>
      <c r="H874" s="58" t="str">
        <f>IF(OR(COUNTA(A874:E874)=0,D874=""),"",IFERROR(INDEX(ca_type,MATCH(D874,ca_name,0))&amp;"",""))</f>
        <v/>
      </c>
      <c r="I874" s="58" t="str">
        <f>IF(COUNTA(A874:E874)=0,"",IF(N(A874)&lt;=0,"Date manquante ou invalide",IF(B874="","Équipe manquante",IF(ISNA(MATCH(B874,eq_code,0)),"Équipe inconnue",IF(C874="","Poste manquant",IF(ISNA(MATCH(C874,po_code,0)),"Poste inconnu",IF(D874="","Cause manquante",IF(ISNA(MATCH(D874,ca_name,0)),"Cause inconnue",IF(H874="","Cause à compléter dans Paramètres",IF(OR(NOT(ISNUMBER(E874)),N(E874)&lt;=0,N(E874)&gt;1440),"Durée invalide",IF(COUNTIFS(sj_date,A874,sj_eq,B874,sj_po,C874)=0,"Pas de saisie journalière ce jour-là","OK")))))))))))</f>
        <v/>
      </c>
      <c r="J874">
        <f>IF(OR(I874="OK",I874="Pas de saisie journalière ce jour-là"),E874,0)</f>
        <v>0.0</v>
      </c>
      <c r="K874">
        <f>IF(AND(J874&gt;0,A874&gt;=p_from,A874&lt;=p_to),1,0)</f>
        <v>0.0</v>
      </c>
      <c r="L874">
        <f>IF(AND(K874=1,OR(pa_po="",C874=pa_po),OR(pa_eq="",B874=pa_eq)),1,0)</f>
        <v>0.0</v>
      </c>
    </row>
    <row r="875">
      <c r="A875" s="51" t="n"/>
      <c r="B875" s="52" t="n"/>
      <c r="C875" s="52" t="n"/>
      <c r="D875" s="53" t="n"/>
      <c r="E875" s="60" t="n"/>
      <c r="F875" s="53" t="n"/>
      <c r="G875" s="61" t="str">
        <f>IF(OR(COUNTA(A875:E875)=0,D875=""),"",IFERROR(INDEX(ca_fam,MATCH(D875,ca_name,0))&amp;"",""))</f>
        <v/>
      </c>
      <c r="H875" s="58" t="str">
        <f>IF(OR(COUNTA(A875:E875)=0,D875=""),"",IFERROR(INDEX(ca_type,MATCH(D875,ca_name,0))&amp;"",""))</f>
        <v/>
      </c>
      <c r="I875" s="58" t="str">
        <f>IF(COUNTA(A875:E875)=0,"",IF(N(A875)&lt;=0,"Date manquante ou invalide",IF(B875="","Équipe manquante",IF(ISNA(MATCH(B875,eq_code,0)),"Équipe inconnue",IF(C875="","Poste manquant",IF(ISNA(MATCH(C875,po_code,0)),"Poste inconnu",IF(D875="","Cause manquante",IF(ISNA(MATCH(D875,ca_name,0)),"Cause inconnue",IF(H875="","Cause à compléter dans Paramètres",IF(OR(NOT(ISNUMBER(E875)),N(E875)&lt;=0,N(E875)&gt;1440),"Durée invalide",IF(COUNTIFS(sj_date,A875,sj_eq,B875,sj_po,C875)=0,"Pas de saisie journalière ce jour-là","OK")))))))))))</f>
        <v/>
      </c>
      <c r="J875">
        <f>IF(OR(I875="OK",I875="Pas de saisie journalière ce jour-là"),E875,0)</f>
        <v>0.0</v>
      </c>
      <c r="K875">
        <f>IF(AND(J875&gt;0,A875&gt;=p_from,A875&lt;=p_to),1,0)</f>
        <v>0.0</v>
      </c>
      <c r="L875">
        <f>IF(AND(K875=1,OR(pa_po="",C875=pa_po),OR(pa_eq="",B875=pa_eq)),1,0)</f>
        <v>0.0</v>
      </c>
    </row>
    <row r="876">
      <c r="A876" s="51" t="n"/>
      <c r="B876" s="52" t="n"/>
      <c r="C876" s="52" t="n"/>
      <c r="D876" s="53" t="n"/>
      <c r="E876" s="60" t="n"/>
      <c r="F876" s="53" t="n"/>
      <c r="G876" s="61" t="str">
        <f>IF(OR(COUNTA(A876:E876)=0,D876=""),"",IFERROR(INDEX(ca_fam,MATCH(D876,ca_name,0))&amp;"",""))</f>
        <v/>
      </c>
      <c r="H876" s="58" t="str">
        <f>IF(OR(COUNTA(A876:E876)=0,D876=""),"",IFERROR(INDEX(ca_type,MATCH(D876,ca_name,0))&amp;"",""))</f>
        <v/>
      </c>
      <c r="I876" s="58" t="str">
        <f>IF(COUNTA(A876:E876)=0,"",IF(N(A876)&lt;=0,"Date manquante ou invalide",IF(B876="","Équipe manquante",IF(ISNA(MATCH(B876,eq_code,0)),"Équipe inconnue",IF(C876="","Poste manquant",IF(ISNA(MATCH(C876,po_code,0)),"Poste inconnu",IF(D876="","Cause manquante",IF(ISNA(MATCH(D876,ca_name,0)),"Cause inconnue",IF(H876="","Cause à compléter dans Paramètres",IF(OR(NOT(ISNUMBER(E876)),N(E876)&lt;=0,N(E876)&gt;1440),"Durée invalide",IF(COUNTIFS(sj_date,A876,sj_eq,B876,sj_po,C876)=0,"Pas de saisie journalière ce jour-là","OK")))))))))))</f>
        <v/>
      </c>
      <c r="J876">
        <f>IF(OR(I876="OK",I876="Pas de saisie journalière ce jour-là"),E876,0)</f>
        <v>0.0</v>
      </c>
      <c r="K876">
        <f>IF(AND(J876&gt;0,A876&gt;=p_from,A876&lt;=p_to),1,0)</f>
        <v>0.0</v>
      </c>
      <c r="L876">
        <f>IF(AND(K876=1,OR(pa_po="",C876=pa_po),OR(pa_eq="",B876=pa_eq)),1,0)</f>
        <v>0.0</v>
      </c>
    </row>
    <row r="877">
      <c r="A877" s="51" t="n"/>
      <c r="B877" s="52" t="n"/>
      <c r="C877" s="52" t="n"/>
      <c r="D877" s="53" t="n"/>
      <c r="E877" s="60" t="n"/>
      <c r="F877" s="53" t="n"/>
      <c r="G877" s="61" t="str">
        <f>IF(OR(COUNTA(A877:E877)=0,D877=""),"",IFERROR(INDEX(ca_fam,MATCH(D877,ca_name,0))&amp;"",""))</f>
        <v/>
      </c>
      <c r="H877" s="58" t="str">
        <f>IF(OR(COUNTA(A877:E877)=0,D877=""),"",IFERROR(INDEX(ca_type,MATCH(D877,ca_name,0))&amp;"",""))</f>
        <v/>
      </c>
      <c r="I877" s="58" t="str">
        <f>IF(COUNTA(A877:E877)=0,"",IF(N(A877)&lt;=0,"Date manquante ou invalide",IF(B877="","Équipe manquante",IF(ISNA(MATCH(B877,eq_code,0)),"Équipe inconnue",IF(C877="","Poste manquant",IF(ISNA(MATCH(C877,po_code,0)),"Poste inconnu",IF(D877="","Cause manquante",IF(ISNA(MATCH(D877,ca_name,0)),"Cause inconnue",IF(H877="","Cause à compléter dans Paramètres",IF(OR(NOT(ISNUMBER(E877)),N(E877)&lt;=0,N(E877)&gt;1440),"Durée invalide",IF(COUNTIFS(sj_date,A877,sj_eq,B877,sj_po,C877)=0,"Pas de saisie journalière ce jour-là","OK")))))))))))</f>
        <v/>
      </c>
      <c r="J877">
        <f>IF(OR(I877="OK",I877="Pas de saisie journalière ce jour-là"),E877,0)</f>
        <v>0.0</v>
      </c>
      <c r="K877">
        <f>IF(AND(J877&gt;0,A877&gt;=p_from,A877&lt;=p_to),1,0)</f>
        <v>0.0</v>
      </c>
      <c r="L877">
        <f>IF(AND(K877=1,OR(pa_po="",C877=pa_po),OR(pa_eq="",B877=pa_eq)),1,0)</f>
        <v>0.0</v>
      </c>
    </row>
    <row r="878">
      <c r="A878" s="51" t="n"/>
      <c r="B878" s="52" t="n"/>
      <c r="C878" s="52" t="n"/>
      <c r="D878" s="53" t="n"/>
      <c r="E878" s="60" t="n"/>
      <c r="F878" s="53" t="n"/>
      <c r="G878" s="61" t="str">
        <f>IF(OR(COUNTA(A878:E878)=0,D878=""),"",IFERROR(INDEX(ca_fam,MATCH(D878,ca_name,0))&amp;"",""))</f>
        <v/>
      </c>
      <c r="H878" s="58" t="str">
        <f>IF(OR(COUNTA(A878:E878)=0,D878=""),"",IFERROR(INDEX(ca_type,MATCH(D878,ca_name,0))&amp;"",""))</f>
        <v/>
      </c>
      <c r="I878" s="58" t="str">
        <f>IF(COUNTA(A878:E878)=0,"",IF(N(A878)&lt;=0,"Date manquante ou invalide",IF(B878="","Équipe manquante",IF(ISNA(MATCH(B878,eq_code,0)),"Équipe inconnue",IF(C878="","Poste manquant",IF(ISNA(MATCH(C878,po_code,0)),"Poste inconnu",IF(D878="","Cause manquante",IF(ISNA(MATCH(D878,ca_name,0)),"Cause inconnue",IF(H878="","Cause à compléter dans Paramètres",IF(OR(NOT(ISNUMBER(E878)),N(E878)&lt;=0,N(E878)&gt;1440),"Durée invalide",IF(COUNTIFS(sj_date,A878,sj_eq,B878,sj_po,C878)=0,"Pas de saisie journalière ce jour-là","OK")))))))))))</f>
        <v/>
      </c>
      <c r="J878">
        <f>IF(OR(I878="OK",I878="Pas de saisie journalière ce jour-là"),E878,0)</f>
        <v>0.0</v>
      </c>
      <c r="K878">
        <f>IF(AND(J878&gt;0,A878&gt;=p_from,A878&lt;=p_to),1,0)</f>
        <v>0.0</v>
      </c>
      <c r="L878">
        <f>IF(AND(K878=1,OR(pa_po="",C878=pa_po),OR(pa_eq="",B878=pa_eq)),1,0)</f>
        <v>0.0</v>
      </c>
    </row>
    <row r="879">
      <c r="A879" s="51" t="n"/>
      <c r="B879" s="52" t="n"/>
      <c r="C879" s="52" t="n"/>
      <c r="D879" s="53" t="n"/>
      <c r="E879" s="60" t="n"/>
      <c r="F879" s="53" t="n"/>
      <c r="G879" s="61" t="str">
        <f>IF(OR(COUNTA(A879:E879)=0,D879=""),"",IFERROR(INDEX(ca_fam,MATCH(D879,ca_name,0))&amp;"",""))</f>
        <v/>
      </c>
      <c r="H879" s="58" t="str">
        <f>IF(OR(COUNTA(A879:E879)=0,D879=""),"",IFERROR(INDEX(ca_type,MATCH(D879,ca_name,0))&amp;"",""))</f>
        <v/>
      </c>
      <c r="I879" s="58" t="str">
        <f>IF(COUNTA(A879:E879)=0,"",IF(N(A879)&lt;=0,"Date manquante ou invalide",IF(B879="","Équipe manquante",IF(ISNA(MATCH(B879,eq_code,0)),"Équipe inconnue",IF(C879="","Poste manquant",IF(ISNA(MATCH(C879,po_code,0)),"Poste inconnu",IF(D879="","Cause manquante",IF(ISNA(MATCH(D879,ca_name,0)),"Cause inconnue",IF(H879="","Cause à compléter dans Paramètres",IF(OR(NOT(ISNUMBER(E879)),N(E879)&lt;=0,N(E879)&gt;1440),"Durée invalide",IF(COUNTIFS(sj_date,A879,sj_eq,B879,sj_po,C879)=0,"Pas de saisie journalière ce jour-là","OK")))))))))))</f>
        <v/>
      </c>
      <c r="J879">
        <f>IF(OR(I879="OK",I879="Pas de saisie journalière ce jour-là"),E879,0)</f>
        <v>0.0</v>
      </c>
      <c r="K879">
        <f>IF(AND(J879&gt;0,A879&gt;=p_from,A879&lt;=p_to),1,0)</f>
        <v>0.0</v>
      </c>
      <c r="L879">
        <f>IF(AND(K879=1,OR(pa_po="",C879=pa_po),OR(pa_eq="",B879=pa_eq)),1,0)</f>
        <v>0.0</v>
      </c>
    </row>
    <row r="880">
      <c r="A880" s="51" t="n"/>
      <c r="B880" s="52" t="n"/>
      <c r="C880" s="52" t="n"/>
      <c r="D880" s="53" t="n"/>
      <c r="E880" s="60" t="n"/>
      <c r="F880" s="53" t="n"/>
      <c r="G880" s="61" t="str">
        <f>IF(OR(COUNTA(A880:E880)=0,D880=""),"",IFERROR(INDEX(ca_fam,MATCH(D880,ca_name,0))&amp;"",""))</f>
        <v/>
      </c>
      <c r="H880" s="58" t="str">
        <f>IF(OR(COUNTA(A880:E880)=0,D880=""),"",IFERROR(INDEX(ca_type,MATCH(D880,ca_name,0))&amp;"",""))</f>
        <v/>
      </c>
      <c r="I880" s="58" t="str">
        <f>IF(COUNTA(A880:E880)=0,"",IF(N(A880)&lt;=0,"Date manquante ou invalide",IF(B880="","Équipe manquante",IF(ISNA(MATCH(B880,eq_code,0)),"Équipe inconnue",IF(C880="","Poste manquant",IF(ISNA(MATCH(C880,po_code,0)),"Poste inconnu",IF(D880="","Cause manquante",IF(ISNA(MATCH(D880,ca_name,0)),"Cause inconnue",IF(H880="","Cause à compléter dans Paramètres",IF(OR(NOT(ISNUMBER(E880)),N(E880)&lt;=0,N(E880)&gt;1440),"Durée invalide",IF(COUNTIFS(sj_date,A880,sj_eq,B880,sj_po,C880)=0,"Pas de saisie journalière ce jour-là","OK")))))))))))</f>
        <v/>
      </c>
      <c r="J880">
        <f>IF(OR(I880="OK",I880="Pas de saisie journalière ce jour-là"),E880,0)</f>
        <v>0.0</v>
      </c>
      <c r="K880">
        <f>IF(AND(J880&gt;0,A880&gt;=p_from,A880&lt;=p_to),1,0)</f>
        <v>0.0</v>
      </c>
      <c r="L880">
        <f>IF(AND(K880=1,OR(pa_po="",C880=pa_po),OR(pa_eq="",B880=pa_eq)),1,0)</f>
        <v>0.0</v>
      </c>
    </row>
    <row r="881">
      <c r="A881" s="51" t="n"/>
      <c r="B881" s="52" t="n"/>
      <c r="C881" s="52" t="n"/>
      <c r="D881" s="53" t="n"/>
      <c r="E881" s="60" t="n"/>
      <c r="F881" s="53" t="n"/>
      <c r="G881" s="61" t="str">
        <f>IF(OR(COUNTA(A881:E881)=0,D881=""),"",IFERROR(INDEX(ca_fam,MATCH(D881,ca_name,0))&amp;"",""))</f>
        <v/>
      </c>
      <c r="H881" s="58" t="str">
        <f>IF(OR(COUNTA(A881:E881)=0,D881=""),"",IFERROR(INDEX(ca_type,MATCH(D881,ca_name,0))&amp;"",""))</f>
        <v/>
      </c>
      <c r="I881" s="58" t="str">
        <f>IF(COUNTA(A881:E881)=0,"",IF(N(A881)&lt;=0,"Date manquante ou invalide",IF(B881="","Équipe manquante",IF(ISNA(MATCH(B881,eq_code,0)),"Équipe inconnue",IF(C881="","Poste manquant",IF(ISNA(MATCH(C881,po_code,0)),"Poste inconnu",IF(D881="","Cause manquante",IF(ISNA(MATCH(D881,ca_name,0)),"Cause inconnue",IF(H881="","Cause à compléter dans Paramètres",IF(OR(NOT(ISNUMBER(E881)),N(E881)&lt;=0,N(E881)&gt;1440),"Durée invalide",IF(COUNTIFS(sj_date,A881,sj_eq,B881,sj_po,C881)=0,"Pas de saisie journalière ce jour-là","OK")))))))))))</f>
        <v/>
      </c>
      <c r="J881">
        <f>IF(OR(I881="OK",I881="Pas de saisie journalière ce jour-là"),E881,0)</f>
        <v>0.0</v>
      </c>
      <c r="K881">
        <f>IF(AND(J881&gt;0,A881&gt;=p_from,A881&lt;=p_to),1,0)</f>
        <v>0.0</v>
      </c>
      <c r="L881">
        <f>IF(AND(K881=1,OR(pa_po="",C881=pa_po),OR(pa_eq="",B881=pa_eq)),1,0)</f>
        <v>0.0</v>
      </c>
    </row>
    <row r="882">
      <c r="A882" s="51" t="n"/>
      <c r="B882" s="52" t="n"/>
      <c r="C882" s="52" t="n"/>
      <c r="D882" s="53" t="n"/>
      <c r="E882" s="60" t="n"/>
      <c r="F882" s="53" t="n"/>
      <c r="G882" s="61" t="str">
        <f>IF(OR(COUNTA(A882:E882)=0,D882=""),"",IFERROR(INDEX(ca_fam,MATCH(D882,ca_name,0))&amp;"",""))</f>
        <v/>
      </c>
      <c r="H882" s="58" t="str">
        <f>IF(OR(COUNTA(A882:E882)=0,D882=""),"",IFERROR(INDEX(ca_type,MATCH(D882,ca_name,0))&amp;"",""))</f>
        <v/>
      </c>
      <c r="I882" s="58" t="str">
        <f>IF(COUNTA(A882:E882)=0,"",IF(N(A882)&lt;=0,"Date manquante ou invalide",IF(B882="","Équipe manquante",IF(ISNA(MATCH(B882,eq_code,0)),"Équipe inconnue",IF(C882="","Poste manquant",IF(ISNA(MATCH(C882,po_code,0)),"Poste inconnu",IF(D882="","Cause manquante",IF(ISNA(MATCH(D882,ca_name,0)),"Cause inconnue",IF(H882="","Cause à compléter dans Paramètres",IF(OR(NOT(ISNUMBER(E882)),N(E882)&lt;=0,N(E882)&gt;1440),"Durée invalide",IF(COUNTIFS(sj_date,A882,sj_eq,B882,sj_po,C882)=0,"Pas de saisie journalière ce jour-là","OK")))))))))))</f>
        <v/>
      </c>
      <c r="J882">
        <f>IF(OR(I882="OK",I882="Pas de saisie journalière ce jour-là"),E882,0)</f>
        <v>0.0</v>
      </c>
      <c r="K882">
        <f>IF(AND(J882&gt;0,A882&gt;=p_from,A882&lt;=p_to),1,0)</f>
        <v>0.0</v>
      </c>
      <c r="L882">
        <f>IF(AND(K882=1,OR(pa_po="",C882=pa_po),OR(pa_eq="",B882=pa_eq)),1,0)</f>
        <v>0.0</v>
      </c>
    </row>
    <row r="883">
      <c r="A883" s="51" t="n"/>
      <c r="B883" s="52" t="n"/>
      <c r="C883" s="52" t="n"/>
      <c r="D883" s="53" t="n"/>
      <c r="E883" s="60" t="n"/>
      <c r="F883" s="53" t="n"/>
      <c r="G883" s="61" t="str">
        <f>IF(OR(COUNTA(A883:E883)=0,D883=""),"",IFERROR(INDEX(ca_fam,MATCH(D883,ca_name,0))&amp;"",""))</f>
        <v/>
      </c>
      <c r="H883" s="58" t="str">
        <f>IF(OR(COUNTA(A883:E883)=0,D883=""),"",IFERROR(INDEX(ca_type,MATCH(D883,ca_name,0))&amp;"",""))</f>
        <v/>
      </c>
      <c r="I883" s="58" t="str">
        <f>IF(COUNTA(A883:E883)=0,"",IF(N(A883)&lt;=0,"Date manquante ou invalide",IF(B883="","Équipe manquante",IF(ISNA(MATCH(B883,eq_code,0)),"Équipe inconnue",IF(C883="","Poste manquant",IF(ISNA(MATCH(C883,po_code,0)),"Poste inconnu",IF(D883="","Cause manquante",IF(ISNA(MATCH(D883,ca_name,0)),"Cause inconnue",IF(H883="","Cause à compléter dans Paramètres",IF(OR(NOT(ISNUMBER(E883)),N(E883)&lt;=0,N(E883)&gt;1440),"Durée invalide",IF(COUNTIFS(sj_date,A883,sj_eq,B883,sj_po,C883)=0,"Pas de saisie journalière ce jour-là","OK")))))))))))</f>
        <v/>
      </c>
      <c r="J883">
        <f>IF(OR(I883="OK",I883="Pas de saisie journalière ce jour-là"),E883,0)</f>
        <v>0.0</v>
      </c>
      <c r="K883">
        <f>IF(AND(J883&gt;0,A883&gt;=p_from,A883&lt;=p_to),1,0)</f>
        <v>0.0</v>
      </c>
      <c r="L883">
        <f>IF(AND(K883=1,OR(pa_po="",C883=pa_po),OR(pa_eq="",B883=pa_eq)),1,0)</f>
        <v>0.0</v>
      </c>
    </row>
    <row r="884">
      <c r="A884" s="51" t="n"/>
      <c r="B884" s="52" t="n"/>
      <c r="C884" s="52" t="n"/>
      <c r="D884" s="53" t="n"/>
      <c r="E884" s="60" t="n"/>
      <c r="F884" s="53" t="n"/>
      <c r="G884" s="61" t="str">
        <f>IF(OR(COUNTA(A884:E884)=0,D884=""),"",IFERROR(INDEX(ca_fam,MATCH(D884,ca_name,0))&amp;"",""))</f>
        <v/>
      </c>
      <c r="H884" s="58" t="str">
        <f>IF(OR(COUNTA(A884:E884)=0,D884=""),"",IFERROR(INDEX(ca_type,MATCH(D884,ca_name,0))&amp;"",""))</f>
        <v/>
      </c>
      <c r="I884" s="58" t="str">
        <f>IF(COUNTA(A884:E884)=0,"",IF(N(A884)&lt;=0,"Date manquante ou invalide",IF(B884="","Équipe manquante",IF(ISNA(MATCH(B884,eq_code,0)),"Équipe inconnue",IF(C884="","Poste manquant",IF(ISNA(MATCH(C884,po_code,0)),"Poste inconnu",IF(D884="","Cause manquante",IF(ISNA(MATCH(D884,ca_name,0)),"Cause inconnue",IF(H884="","Cause à compléter dans Paramètres",IF(OR(NOT(ISNUMBER(E884)),N(E884)&lt;=0,N(E884)&gt;1440),"Durée invalide",IF(COUNTIFS(sj_date,A884,sj_eq,B884,sj_po,C884)=0,"Pas de saisie journalière ce jour-là","OK")))))))))))</f>
        <v/>
      </c>
      <c r="J884">
        <f>IF(OR(I884="OK",I884="Pas de saisie journalière ce jour-là"),E884,0)</f>
        <v>0.0</v>
      </c>
      <c r="K884">
        <f>IF(AND(J884&gt;0,A884&gt;=p_from,A884&lt;=p_to),1,0)</f>
        <v>0.0</v>
      </c>
      <c r="L884">
        <f>IF(AND(K884=1,OR(pa_po="",C884=pa_po),OR(pa_eq="",B884=pa_eq)),1,0)</f>
        <v>0.0</v>
      </c>
    </row>
    <row r="885">
      <c r="A885" s="51" t="n"/>
      <c r="B885" s="52" t="n"/>
      <c r="C885" s="52" t="n"/>
      <c r="D885" s="53" t="n"/>
      <c r="E885" s="60" t="n"/>
      <c r="F885" s="53" t="n"/>
      <c r="G885" s="61" t="str">
        <f>IF(OR(COUNTA(A885:E885)=0,D885=""),"",IFERROR(INDEX(ca_fam,MATCH(D885,ca_name,0))&amp;"",""))</f>
        <v/>
      </c>
      <c r="H885" s="58" t="str">
        <f>IF(OR(COUNTA(A885:E885)=0,D885=""),"",IFERROR(INDEX(ca_type,MATCH(D885,ca_name,0))&amp;"",""))</f>
        <v/>
      </c>
      <c r="I885" s="58" t="str">
        <f>IF(COUNTA(A885:E885)=0,"",IF(N(A885)&lt;=0,"Date manquante ou invalide",IF(B885="","Équipe manquante",IF(ISNA(MATCH(B885,eq_code,0)),"Équipe inconnue",IF(C885="","Poste manquant",IF(ISNA(MATCH(C885,po_code,0)),"Poste inconnu",IF(D885="","Cause manquante",IF(ISNA(MATCH(D885,ca_name,0)),"Cause inconnue",IF(H885="","Cause à compléter dans Paramètres",IF(OR(NOT(ISNUMBER(E885)),N(E885)&lt;=0,N(E885)&gt;1440),"Durée invalide",IF(COUNTIFS(sj_date,A885,sj_eq,B885,sj_po,C885)=0,"Pas de saisie journalière ce jour-là","OK")))))))))))</f>
        <v/>
      </c>
      <c r="J885">
        <f>IF(OR(I885="OK",I885="Pas de saisie journalière ce jour-là"),E885,0)</f>
        <v>0.0</v>
      </c>
      <c r="K885">
        <f>IF(AND(J885&gt;0,A885&gt;=p_from,A885&lt;=p_to),1,0)</f>
        <v>0.0</v>
      </c>
      <c r="L885">
        <f>IF(AND(K885=1,OR(pa_po="",C885=pa_po),OR(pa_eq="",B885=pa_eq)),1,0)</f>
        <v>0.0</v>
      </c>
    </row>
    <row r="886">
      <c r="A886" s="51" t="n"/>
      <c r="B886" s="52" t="n"/>
      <c r="C886" s="52" t="n"/>
      <c r="D886" s="53" t="n"/>
      <c r="E886" s="60" t="n"/>
      <c r="F886" s="53" t="n"/>
      <c r="G886" s="61" t="str">
        <f>IF(OR(COUNTA(A886:E886)=0,D886=""),"",IFERROR(INDEX(ca_fam,MATCH(D886,ca_name,0))&amp;"",""))</f>
        <v/>
      </c>
      <c r="H886" s="58" t="str">
        <f>IF(OR(COUNTA(A886:E886)=0,D886=""),"",IFERROR(INDEX(ca_type,MATCH(D886,ca_name,0))&amp;"",""))</f>
        <v/>
      </c>
      <c r="I886" s="58" t="str">
        <f>IF(COUNTA(A886:E886)=0,"",IF(N(A886)&lt;=0,"Date manquante ou invalide",IF(B886="","Équipe manquante",IF(ISNA(MATCH(B886,eq_code,0)),"Équipe inconnue",IF(C886="","Poste manquant",IF(ISNA(MATCH(C886,po_code,0)),"Poste inconnu",IF(D886="","Cause manquante",IF(ISNA(MATCH(D886,ca_name,0)),"Cause inconnue",IF(H886="","Cause à compléter dans Paramètres",IF(OR(NOT(ISNUMBER(E886)),N(E886)&lt;=0,N(E886)&gt;1440),"Durée invalide",IF(COUNTIFS(sj_date,A886,sj_eq,B886,sj_po,C886)=0,"Pas de saisie journalière ce jour-là","OK")))))))))))</f>
        <v/>
      </c>
      <c r="J886">
        <f>IF(OR(I886="OK",I886="Pas de saisie journalière ce jour-là"),E886,0)</f>
        <v>0.0</v>
      </c>
      <c r="K886">
        <f>IF(AND(J886&gt;0,A886&gt;=p_from,A886&lt;=p_to),1,0)</f>
        <v>0.0</v>
      </c>
      <c r="L886">
        <f>IF(AND(K886=1,OR(pa_po="",C886=pa_po),OR(pa_eq="",B886=pa_eq)),1,0)</f>
        <v>0.0</v>
      </c>
    </row>
    <row r="887">
      <c r="A887" s="51" t="n"/>
      <c r="B887" s="52" t="n"/>
      <c r="C887" s="52" t="n"/>
      <c r="D887" s="53" t="n"/>
      <c r="E887" s="60" t="n"/>
      <c r="F887" s="53" t="n"/>
      <c r="G887" s="61" t="str">
        <f>IF(OR(COUNTA(A887:E887)=0,D887=""),"",IFERROR(INDEX(ca_fam,MATCH(D887,ca_name,0))&amp;"",""))</f>
        <v/>
      </c>
      <c r="H887" s="58" t="str">
        <f>IF(OR(COUNTA(A887:E887)=0,D887=""),"",IFERROR(INDEX(ca_type,MATCH(D887,ca_name,0))&amp;"",""))</f>
        <v/>
      </c>
      <c r="I887" s="58" t="str">
        <f>IF(COUNTA(A887:E887)=0,"",IF(N(A887)&lt;=0,"Date manquante ou invalide",IF(B887="","Équipe manquante",IF(ISNA(MATCH(B887,eq_code,0)),"Équipe inconnue",IF(C887="","Poste manquant",IF(ISNA(MATCH(C887,po_code,0)),"Poste inconnu",IF(D887="","Cause manquante",IF(ISNA(MATCH(D887,ca_name,0)),"Cause inconnue",IF(H887="","Cause à compléter dans Paramètres",IF(OR(NOT(ISNUMBER(E887)),N(E887)&lt;=0,N(E887)&gt;1440),"Durée invalide",IF(COUNTIFS(sj_date,A887,sj_eq,B887,sj_po,C887)=0,"Pas de saisie journalière ce jour-là","OK")))))))))))</f>
        <v/>
      </c>
      <c r="J887">
        <f>IF(OR(I887="OK",I887="Pas de saisie journalière ce jour-là"),E887,0)</f>
        <v>0.0</v>
      </c>
      <c r="K887">
        <f>IF(AND(J887&gt;0,A887&gt;=p_from,A887&lt;=p_to),1,0)</f>
        <v>0.0</v>
      </c>
      <c r="L887">
        <f>IF(AND(K887=1,OR(pa_po="",C887=pa_po),OR(pa_eq="",B887=pa_eq)),1,0)</f>
        <v>0.0</v>
      </c>
    </row>
    <row r="888">
      <c r="A888" s="51" t="n"/>
      <c r="B888" s="52" t="n"/>
      <c r="C888" s="52" t="n"/>
      <c r="D888" s="53" t="n"/>
      <c r="E888" s="60" t="n"/>
      <c r="F888" s="53" t="n"/>
      <c r="G888" s="61" t="str">
        <f>IF(OR(COUNTA(A888:E888)=0,D888=""),"",IFERROR(INDEX(ca_fam,MATCH(D888,ca_name,0))&amp;"",""))</f>
        <v/>
      </c>
      <c r="H888" s="58" t="str">
        <f>IF(OR(COUNTA(A888:E888)=0,D888=""),"",IFERROR(INDEX(ca_type,MATCH(D888,ca_name,0))&amp;"",""))</f>
        <v/>
      </c>
      <c r="I888" s="58" t="str">
        <f>IF(COUNTA(A888:E888)=0,"",IF(N(A888)&lt;=0,"Date manquante ou invalide",IF(B888="","Équipe manquante",IF(ISNA(MATCH(B888,eq_code,0)),"Équipe inconnue",IF(C888="","Poste manquant",IF(ISNA(MATCH(C888,po_code,0)),"Poste inconnu",IF(D888="","Cause manquante",IF(ISNA(MATCH(D888,ca_name,0)),"Cause inconnue",IF(H888="","Cause à compléter dans Paramètres",IF(OR(NOT(ISNUMBER(E888)),N(E888)&lt;=0,N(E888)&gt;1440),"Durée invalide",IF(COUNTIFS(sj_date,A888,sj_eq,B888,sj_po,C888)=0,"Pas de saisie journalière ce jour-là","OK")))))))))))</f>
        <v/>
      </c>
      <c r="J888">
        <f>IF(OR(I888="OK",I888="Pas de saisie journalière ce jour-là"),E888,0)</f>
        <v>0.0</v>
      </c>
      <c r="K888">
        <f>IF(AND(J888&gt;0,A888&gt;=p_from,A888&lt;=p_to),1,0)</f>
        <v>0.0</v>
      </c>
      <c r="L888">
        <f>IF(AND(K888=1,OR(pa_po="",C888=pa_po),OR(pa_eq="",B888=pa_eq)),1,0)</f>
        <v>0.0</v>
      </c>
    </row>
    <row r="889">
      <c r="A889" s="51" t="n"/>
      <c r="B889" s="52" t="n"/>
      <c r="C889" s="52" t="n"/>
      <c r="D889" s="53" t="n"/>
      <c r="E889" s="60" t="n"/>
      <c r="F889" s="53" t="n"/>
      <c r="G889" s="61" t="str">
        <f>IF(OR(COUNTA(A889:E889)=0,D889=""),"",IFERROR(INDEX(ca_fam,MATCH(D889,ca_name,0))&amp;"",""))</f>
        <v/>
      </c>
      <c r="H889" s="58" t="str">
        <f>IF(OR(COUNTA(A889:E889)=0,D889=""),"",IFERROR(INDEX(ca_type,MATCH(D889,ca_name,0))&amp;"",""))</f>
        <v/>
      </c>
      <c r="I889" s="58" t="str">
        <f>IF(COUNTA(A889:E889)=0,"",IF(N(A889)&lt;=0,"Date manquante ou invalide",IF(B889="","Équipe manquante",IF(ISNA(MATCH(B889,eq_code,0)),"Équipe inconnue",IF(C889="","Poste manquant",IF(ISNA(MATCH(C889,po_code,0)),"Poste inconnu",IF(D889="","Cause manquante",IF(ISNA(MATCH(D889,ca_name,0)),"Cause inconnue",IF(H889="","Cause à compléter dans Paramètres",IF(OR(NOT(ISNUMBER(E889)),N(E889)&lt;=0,N(E889)&gt;1440),"Durée invalide",IF(COUNTIFS(sj_date,A889,sj_eq,B889,sj_po,C889)=0,"Pas de saisie journalière ce jour-là","OK")))))))))))</f>
        <v/>
      </c>
      <c r="J889">
        <f>IF(OR(I889="OK",I889="Pas de saisie journalière ce jour-là"),E889,0)</f>
        <v>0.0</v>
      </c>
      <c r="K889">
        <f>IF(AND(J889&gt;0,A889&gt;=p_from,A889&lt;=p_to),1,0)</f>
        <v>0.0</v>
      </c>
      <c r="L889">
        <f>IF(AND(K889=1,OR(pa_po="",C889=pa_po),OR(pa_eq="",B889=pa_eq)),1,0)</f>
        <v>0.0</v>
      </c>
    </row>
    <row r="890">
      <c r="A890" s="51" t="n"/>
      <c r="B890" s="52" t="n"/>
      <c r="C890" s="52" t="n"/>
      <c r="D890" s="53" t="n"/>
      <c r="E890" s="60" t="n"/>
      <c r="F890" s="53" t="n"/>
      <c r="G890" s="61" t="str">
        <f>IF(OR(COUNTA(A890:E890)=0,D890=""),"",IFERROR(INDEX(ca_fam,MATCH(D890,ca_name,0))&amp;"",""))</f>
        <v/>
      </c>
      <c r="H890" s="58" t="str">
        <f>IF(OR(COUNTA(A890:E890)=0,D890=""),"",IFERROR(INDEX(ca_type,MATCH(D890,ca_name,0))&amp;"",""))</f>
        <v/>
      </c>
      <c r="I890" s="58" t="str">
        <f>IF(COUNTA(A890:E890)=0,"",IF(N(A890)&lt;=0,"Date manquante ou invalide",IF(B890="","Équipe manquante",IF(ISNA(MATCH(B890,eq_code,0)),"Équipe inconnue",IF(C890="","Poste manquant",IF(ISNA(MATCH(C890,po_code,0)),"Poste inconnu",IF(D890="","Cause manquante",IF(ISNA(MATCH(D890,ca_name,0)),"Cause inconnue",IF(H890="","Cause à compléter dans Paramètres",IF(OR(NOT(ISNUMBER(E890)),N(E890)&lt;=0,N(E890)&gt;1440),"Durée invalide",IF(COUNTIFS(sj_date,A890,sj_eq,B890,sj_po,C890)=0,"Pas de saisie journalière ce jour-là","OK")))))))))))</f>
        <v/>
      </c>
      <c r="J890">
        <f>IF(OR(I890="OK",I890="Pas de saisie journalière ce jour-là"),E890,0)</f>
        <v>0.0</v>
      </c>
      <c r="K890">
        <f>IF(AND(J890&gt;0,A890&gt;=p_from,A890&lt;=p_to),1,0)</f>
        <v>0.0</v>
      </c>
      <c r="L890">
        <f>IF(AND(K890=1,OR(pa_po="",C890=pa_po),OR(pa_eq="",B890=pa_eq)),1,0)</f>
        <v>0.0</v>
      </c>
    </row>
    <row r="891">
      <c r="A891" s="51" t="n"/>
      <c r="B891" s="52" t="n"/>
      <c r="C891" s="52" t="n"/>
      <c r="D891" s="53" t="n"/>
      <c r="E891" s="60" t="n"/>
      <c r="F891" s="53" t="n"/>
      <c r="G891" s="61" t="str">
        <f>IF(OR(COUNTA(A891:E891)=0,D891=""),"",IFERROR(INDEX(ca_fam,MATCH(D891,ca_name,0))&amp;"",""))</f>
        <v/>
      </c>
      <c r="H891" s="58" t="str">
        <f>IF(OR(COUNTA(A891:E891)=0,D891=""),"",IFERROR(INDEX(ca_type,MATCH(D891,ca_name,0))&amp;"",""))</f>
        <v/>
      </c>
      <c r="I891" s="58" t="str">
        <f>IF(COUNTA(A891:E891)=0,"",IF(N(A891)&lt;=0,"Date manquante ou invalide",IF(B891="","Équipe manquante",IF(ISNA(MATCH(B891,eq_code,0)),"Équipe inconnue",IF(C891="","Poste manquant",IF(ISNA(MATCH(C891,po_code,0)),"Poste inconnu",IF(D891="","Cause manquante",IF(ISNA(MATCH(D891,ca_name,0)),"Cause inconnue",IF(H891="","Cause à compléter dans Paramètres",IF(OR(NOT(ISNUMBER(E891)),N(E891)&lt;=0,N(E891)&gt;1440),"Durée invalide",IF(COUNTIFS(sj_date,A891,sj_eq,B891,sj_po,C891)=0,"Pas de saisie journalière ce jour-là","OK")))))))))))</f>
        <v/>
      </c>
      <c r="J891">
        <f>IF(OR(I891="OK",I891="Pas de saisie journalière ce jour-là"),E891,0)</f>
        <v>0.0</v>
      </c>
      <c r="K891">
        <f>IF(AND(J891&gt;0,A891&gt;=p_from,A891&lt;=p_to),1,0)</f>
        <v>0.0</v>
      </c>
      <c r="L891">
        <f>IF(AND(K891=1,OR(pa_po="",C891=pa_po),OR(pa_eq="",B891=pa_eq)),1,0)</f>
        <v>0.0</v>
      </c>
    </row>
    <row r="892">
      <c r="A892" s="51" t="n"/>
      <c r="B892" s="52" t="n"/>
      <c r="C892" s="52" t="n"/>
      <c r="D892" s="53" t="n"/>
      <c r="E892" s="60" t="n"/>
      <c r="F892" s="53" t="n"/>
      <c r="G892" s="61" t="str">
        <f>IF(OR(COUNTA(A892:E892)=0,D892=""),"",IFERROR(INDEX(ca_fam,MATCH(D892,ca_name,0))&amp;"",""))</f>
        <v/>
      </c>
      <c r="H892" s="58" t="str">
        <f>IF(OR(COUNTA(A892:E892)=0,D892=""),"",IFERROR(INDEX(ca_type,MATCH(D892,ca_name,0))&amp;"",""))</f>
        <v/>
      </c>
      <c r="I892" s="58" t="str">
        <f>IF(COUNTA(A892:E892)=0,"",IF(N(A892)&lt;=0,"Date manquante ou invalide",IF(B892="","Équipe manquante",IF(ISNA(MATCH(B892,eq_code,0)),"Équipe inconnue",IF(C892="","Poste manquant",IF(ISNA(MATCH(C892,po_code,0)),"Poste inconnu",IF(D892="","Cause manquante",IF(ISNA(MATCH(D892,ca_name,0)),"Cause inconnue",IF(H892="","Cause à compléter dans Paramètres",IF(OR(NOT(ISNUMBER(E892)),N(E892)&lt;=0,N(E892)&gt;1440),"Durée invalide",IF(COUNTIFS(sj_date,A892,sj_eq,B892,sj_po,C892)=0,"Pas de saisie journalière ce jour-là","OK")))))))))))</f>
        <v/>
      </c>
      <c r="J892">
        <f>IF(OR(I892="OK",I892="Pas de saisie journalière ce jour-là"),E892,0)</f>
        <v>0.0</v>
      </c>
      <c r="K892">
        <f>IF(AND(J892&gt;0,A892&gt;=p_from,A892&lt;=p_to),1,0)</f>
        <v>0.0</v>
      </c>
      <c r="L892">
        <f>IF(AND(K892=1,OR(pa_po="",C892=pa_po),OR(pa_eq="",B892=pa_eq)),1,0)</f>
        <v>0.0</v>
      </c>
    </row>
    <row r="893">
      <c r="A893" s="51" t="n"/>
      <c r="B893" s="52" t="n"/>
      <c r="C893" s="52" t="n"/>
      <c r="D893" s="53" t="n"/>
      <c r="E893" s="60" t="n"/>
      <c r="F893" s="53" t="n"/>
      <c r="G893" s="61" t="str">
        <f>IF(OR(COUNTA(A893:E893)=0,D893=""),"",IFERROR(INDEX(ca_fam,MATCH(D893,ca_name,0))&amp;"",""))</f>
        <v/>
      </c>
      <c r="H893" s="58" t="str">
        <f>IF(OR(COUNTA(A893:E893)=0,D893=""),"",IFERROR(INDEX(ca_type,MATCH(D893,ca_name,0))&amp;"",""))</f>
        <v/>
      </c>
      <c r="I893" s="58" t="str">
        <f>IF(COUNTA(A893:E893)=0,"",IF(N(A893)&lt;=0,"Date manquante ou invalide",IF(B893="","Équipe manquante",IF(ISNA(MATCH(B893,eq_code,0)),"Équipe inconnue",IF(C893="","Poste manquant",IF(ISNA(MATCH(C893,po_code,0)),"Poste inconnu",IF(D893="","Cause manquante",IF(ISNA(MATCH(D893,ca_name,0)),"Cause inconnue",IF(H893="","Cause à compléter dans Paramètres",IF(OR(NOT(ISNUMBER(E893)),N(E893)&lt;=0,N(E893)&gt;1440),"Durée invalide",IF(COUNTIFS(sj_date,A893,sj_eq,B893,sj_po,C893)=0,"Pas de saisie journalière ce jour-là","OK")))))))))))</f>
        <v/>
      </c>
      <c r="J893">
        <f>IF(OR(I893="OK",I893="Pas de saisie journalière ce jour-là"),E893,0)</f>
        <v>0.0</v>
      </c>
      <c r="K893">
        <f>IF(AND(J893&gt;0,A893&gt;=p_from,A893&lt;=p_to),1,0)</f>
        <v>0.0</v>
      </c>
      <c r="L893">
        <f>IF(AND(K893=1,OR(pa_po="",C893=pa_po),OR(pa_eq="",B893=pa_eq)),1,0)</f>
        <v>0.0</v>
      </c>
    </row>
    <row r="894">
      <c r="A894" s="51" t="n"/>
      <c r="B894" s="52" t="n"/>
      <c r="C894" s="52" t="n"/>
      <c r="D894" s="53" t="n"/>
      <c r="E894" s="60" t="n"/>
      <c r="F894" s="53" t="n"/>
      <c r="G894" s="61" t="str">
        <f>IF(OR(COUNTA(A894:E894)=0,D894=""),"",IFERROR(INDEX(ca_fam,MATCH(D894,ca_name,0))&amp;"",""))</f>
        <v/>
      </c>
      <c r="H894" s="58" t="str">
        <f>IF(OR(COUNTA(A894:E894)=0,D894=""),"",IFERROR(INDEX(ca_type,MATCH(D894,ca_name,0))&amp;"",""))</f>
        <v/>
      </c>
      <c r="I894" s="58" t="str">
        <f>IF(COUNTA(A894:E894)=0,"",IF(N(A894)&lt;=0,"Date manquante ou invalide",IF(B894="","Équipe manquante",IF(ISNA(MATCH(B894,eq_code,0)),"Équipe inconnue",IF(C894="","Poste manquant",IF(ISNA(MATCH(C894,po_code,0)),"Poste inconnu",IF(D894="","Cause manquante",IF(ISNA(MATCH(D894,ca_name,0)),"Cause inconnue",IF(H894="","Cause à compléter dans Paramètres",IF(OR(NOT(ISNUMBER(E894)),N(E894)&lt;=0,N(E894)&gt;1440),"Durée invalide",IF(COUNTIFS(sj_date,A894,sj_eq,B894,sj_po,C894)=0,"Pas de saisie journalière ce jour-là","OK")))))))))))</f>
        <v/>
      </c>
      <c r="J894">
        <f>IF(OR(I894="OK",I894="Pas de saisie journalière ce jour-là"),E894,0)</f>
        <v>0.0</v>
      </c>
      <c r="K894">
        <f>IF(AND(J894&gt;0,A894&gt;=p_from,A894&lt;=p_to),1,0)</f>
        <v>0.0</v>
      </c>
      <c r="L894">
        <f>IF(AND(K894=1,OR(pa_po="",C894=pa_po),OR(pa_eq="",B894=pa_eq)),1,0)</f>
        <v>0.0</v>
      </c>
    </row>
    <row r="895">
      <c r="A895" s="51" t="n"/>
      <c r="B895" s="52" t="n"/>
      <c r="C895" s="52" t="n"/>
      <c r="D895" s="53" t="n"/>
      <c r="E895" s="60" t="n"/>
      <c r="F895" s="53" t="n"/>
      <c r="G895" s="61" t="str">
        <f>IF(OR(COUNTA(A895:E895)=0,D895=""),"",IFERROR(INDEX(ca_fam,MATCH(D895,ca_name,0))&amp;"",""))</f>
        <v/>
      </c>
      <c r="H895" s="58" t="str">
        <f>IF(OR(COUNTA(A895:E895)=0,D895=""),"",IFERROR(INDEX(ca_type,MATCH(D895,ca_name,0))&amp;"",""))</f>
        <v/>
      </c>
      <c r="I895" s="58" t="str">
        <f>IF(COUNTA(A895:E895)=0,"",IF(N(A895)&lt;=0,"Date manquante ou invalide",IF(B895="","Équipe manquante",IF(ISNA(MATCH(B895,eq_code,0)),"Équipe inconnue",IF(C895="","Poste manquant",IF(ISNA(MATCH(C895,po_code,0)),"Poste inconnu",IF(D895="","Cause manquante",IF(ISNA(MATCH(D895,ca_name,0)),"Cause inconnue",IF(H895="","Cause à compléter dans Paramètres",IF(OR(NOT(ISNUMBER(E895)),N(E895)&lt;=0,N(E895)&gt;1440),"Durée invalide",IF(COUNTIFS(sj_date,A895,sj_eq,B895,sj_po,C895)=0,"Pas de saisie journalière ce jour-là","OK")))))))))))</f>
        <v/>
      </c>
      <c r="J895">
        <f>IF(OR(I895="OK",I895="Pas de saisie journalière ce jour-là"),E895,0)</f>
        <v>0.0</v>
      </c>
      <c r="K895">
        <f>IF(AND(J895&gt;0,A895&gt;=p_from,A895&lt;=p_to),1,0)</f>
        <v>0.0</v>
      </c>
      <c r="L895">
        <f>IF(AND(K895=1,OR(pa_po="",C895=pa_po),OR(pa_eq="",B895=pa_eq)),1,0)</f>
        <v>0.0</v>
      </c>
    </row>
    <row r="896">
      <c r="A896" s="51" t="n"/>
      <c r="B896" s="52" t="n"/>
      <c r="C896" s="52" t="n"/>
      <c r="D896" s="53" t="n"/>
      <c r="E896" s="60" t="n"/>
      <c r="F896" s="53" t="n"/>
      <c r="G896" s="61" t="str">
        <f>IF(OR(COUNTA(A896:E896)=0,D896=""),"",IFERROR(INDEX(ca_fam,MATCH(D896,ca_name,0))&amp;"",""))</f>
        <v/>
      </c>
      <c r="H896" s="58" t="str">
        <f>IF(OR(COUNTA(A896:E896)=0,D896=""),"",IFERROR(INDEX(ca_type,MATCH(D896,ca_name,0))&amp;"",""))</f>
        <v/>
      </c>
      <c r="I896" s="58" t="str">
        <f>IF(COUNTA(A896:E896)=0,"",IF(N(A896)&lt;=0,"Date manquante ou invalide",IF(B896="","Équipe manquante",IF(ISNA(MATCH(B896,eq_code,0)),"Équipe inconnue",IF(C896="","Poste manquant",IF(ISNA(MATCH(C896,po_code,0)),"Poste inconnu",IF(D896="","Cause manquante",IF(ISNA(MATCH(D896,ca_name,0)),"Cause inconnue",IF(H896="","Cause à compléter dans Paramètres",IF(OR(NOT(ISNUMBER(E896)),N(E896)&lt;=0,N(E896)&gt;1440),"Durée invalide",IF(COUNTIFS(sj_date,A896,sj_eq,B896,sj_po,C896)=0,"Pas de saisie journalière ce jour-là","OK")))))))))))</f>
        <v/>
      </c>
      <c r="J896">
        <f>IF(OR(I896="OK",I896="Pas de saisie journalière ce jour-là"),E896,0)</f>
        <v>0.0</v>
      </c>
      <c r="K896">
        <f>IF(AND(J896&gt;0,A896&gt;=p_from,A896&lt;=p_to),1,0)</f>
        <v>0.0</v>
      </c>
      <c r="L896">
        <f>IF(AND(K896=1,OR(pa_po="",C896=pa_po),OR(pa_eq="",B896=pa_eq)),1,0)</f>
        <v>0.0</v>
      </c>
    </row>
    <row r="897">
      <c r="A897" s="51" t="n"/>
      <c r="B897" s="52" t="n"/>
      <c r="C897" s="52" t="n"/>
      <c r="D897" s="53" t="n"/>
      <c r="E897" s="60" t="n"/>
      <c r="F897" s="53" t="n"/>
      <c r="G897" s="61" t="str">
        <f>IF(OR(COUNTA(A897:E897)=0,D897=""),"",IFERROR(INDEX(ca_fam,MATCH(D897,ca_name,0))&amp;"",""))</f>
        <v/>
      </c>
      <c r="H897" s="58" t="str">
        <f>IF(OR(COUNTA(A897:E897)=0,D897=""),"",IFERROR(INDEX(ca_type,MATCH(D897,ca_name,0))&amp;"",""))</f>
        <v/>
      </c>
      <c r="I897" s="58" t="str">
        <f>IF(COUNTA(A897:E897)=0,"",IF(N(A897)&lt;=0,"Date manquante ou invalide",IF(B897="","Équipe manquante",IF(ISNA(MATCH(B897,eq_code,0)),"Équipe inconnue",IF(C897="","Poste manquant",IF(ISNA(MATCH(C897,po_code,0)),"Poste inconnu",IF(D897="","Cause manquante",IF(ISNA(MATCH(D897,ca_name,0)),"Cause inconnue",IF(H897="","Cause à compléter dans Paramètres",IF(OR(NOT(ISNUMBER(E897)),N(E897)&lt;=0,N(E897)&gt;1440),"Durée invalide",IF(COUNTIFS(sj_date,A897,sj_eq,B897,sj_po,C897)=0,"Pas de saisie journalière ce jour-là","OK")))))))))))</f>
        <v/>
      </c>
      <c r="J897">
        <f>IF(OR(I897="OK",I897="Pas de saisie journalière ce jour-là"),E897,0)</f>
        <v>0.0</v>
      </c>
      <c r="K897">
        <f>IF(AND(J897&gt;0,A897&gt;=p_from,A897&lt;=p_to),1,0)</f>
        <v>0.0</v>
      </c>
      <c r="L897">
        <f>IF(AND(K897=1,OR(pa_po="",C897=pa_po),OR(pa_eq="",B897=pa_eq)),1,0)</f>
        <v>0.0</v>
      </c>
    </row>
    <row r="898">
      <c r="A898" s="51" t="n"/>
      <c r="B898" s="52" t="n"/>
      <c r="C898" s="52" t="n"/>
      <c r="D898" s="53" t="n"/>
      <c r="E898" s="60" t="n"/>
      <c r="F898" s="53" t="n"/>
      <c r="G898" s="61" t="str">
        <f>IF(OR(COUNTA(A898:E898)=0,D898=""),"",IFERROR(INDEX(ca_fam,MATCH(D898,ca_name,0))&amp;"",""))</f>
        <v/>
      </c>
      <c r="H898" s="58" t="str">
        <f>IF(OR(COUNTA(A898:E898)=0,D898=""),"",IFERROR(INDEX(ca_type,MATCH(D898,ca_name,0))&amp;"",""))</f>
        <v/>
      </c>
      <c r="I898" s="58" t="str">
        <f>IF(COUNTA(A898:E898)=0,"",IF(N(A898)&lt;=0,"Date manquante ou invalide",IF(B898="","Équipe manquante",IF(ISNA(MATCH(B898,eq_code,0)),"Équipe inconnue",IF(C898="","Poste manquant",IF(ISNA(MATCH(C898,po_code,0)),"Poste inconnu",IF(D898="","Cause manquante",IF(ISNA(MATCH(D898,ca_name,0)),"Cause inconnue",IF(H898="","Cause à compléter dans Paramètres",IF(OR(NOT(ISNUMBER(E898)),N(E898)&lt;=0,N(E898)&gt;1440),"Durée invalide",IF(COUNTIFS(sj_date,A898,sj_eq,B898,sj_po,C898)=0,"Pas de saisie journalière ce jour-là","OK")))))))))))</f>
        <v/>
      </c>
      <c r="J898">
        <f>IF(OR(I898="OK",I898="Pas de saisie journalière ce jour-là"),E898,0)</f>
        <v>0.0</v>
      </c>
      <c r="K898">
        <f>IF(AND(J898&gt;0,A898&gt;=p_from,A898&lt;=p_to),1,0)</f>
        <v>0.0</v>
      </c>
      <c r="L898">
        <f>IF(AND(K898=1,OR(pa_po="",C898=pa_po),OR(pa_eq="",B898=pa_eq)),1,0)</f>
        <v>0.0</v>
      </c>
    </row>
    <row r="899">
      <c r="A899" s="51" t="n"/>
      <c r="B899" s="52" t="n"/>
      <c r="C899" s="52" t="n"/>
      <c r="D899" s="53" t="n"/>
      <c r="E899" s="60" t="n"/>
      <c r="F899" s="53" t="n"/>
      <c r="G899" s="61" t="str">
        <f>IF(OR(COUNTA(A899:E899)=0,D899=""),"",IFERROR(INDEX(ca_fam,MATCH(D899,ca_name,0))&amp;"",""))</f>
        <v/>
      </c>
      <c r="H899" s="58" t="str">
        <f>IF(OR(COUNTA(A899:E899)=0,D899=""),"",IFERROR(INDEX(ca_type,MATCH(D899,ca_name,0))&amp;"",""))</f>
        <v/>
      </c>
      <c r="I899" s="58" t="str">
        <f>IF(COUNTA(A899:E899)=0,"",IF(N(A899)&lt;=0,"Date manquante ou invalide",IF(B899="","Équipe manquante",IF(ISNA(MATCH(B899,eq_code,0)),"Équipe inconnue",IF(C899="","Poste manquant",IF(ISNA(MATCH(C899,po_code,0)),"Poste inconnu",IF(D899="","Cause manquante",IF(ISNA(MATCH(D899,ca_name,0)),"Cause inconnue",IF(H899="","Cause à compléter dans Paramètres",IF(OR(NOT(ISNUMBER(E899)),N(E899)&lt;=0,N(E899)&gt;1440),"Durée invalide",IF(COUNTIFS(sj_date,A899,sj_eq,B899,sj_po,C899)=0,"Pas de saisie journalière ce jour-là","OK")))))))))))</f>
        <v/>
      </c>
      <c r="J899">
        <f>IF(OR(I899="OK",I899="Pas de saisie journalière ce jour-là"),E899,0)</f>
        <v>0.0</v>
      </c>
      <c r="K899">
        <f>IF(AND(J899&gt;0,A899&gt;=p_from,A899&lt;=p_to),1,0)</f>
        <v>0.0</v>
      </c>
      <c r="L899">
        <f>IF(AND(K899=1,OR(pa_po="",C899=pa_po),OR(pa_eq="",B899=pa_eq)),1,0)</f>
        <v>0.0</v>
      </c>
    </row>
    <row r="900">
      <c r="A900" s="51" t="n"/>
      <c r="B900" s="52" t="n"/>
      <c r="C900" s="52" t="n"/>
      <c r="D900" s="53" t="n"/>
      <c r="E900" s="60" t="n"/>
      <c r="F900" s="53" t="n"/>
      <c r="G900" s="61" t="str">
        <f>IF(OR(COUNTA(A900:E900)=0,D900=""),"",IFERROR(INDEX(ca_fam,MATCH(D900,ca_name,0))&amp;"",""))</f>
        <v/>
      </c>
      <c r="H900" s="58" t="str">
        <f>IF(OR(COUNTA(A900:E900)=0,D900=""),"",IFERROR(INDEX(ca_type,MATCH(D900,ca_name,0))&amp;"",""))</f>
        <v/>
      </c>
      <c r="I900" s="58" t="str">
        <f>IF(COUNTA(A900:E900)=0,"",IF(N(A900)&lt;=0,"Date manquante ou invalide",IF(B900="","Équipe manquante",IF(ISNA(MATCH(B900,eq_code,0)),"Équipe inconnue",IF(C900="","Poste manquant",IF(ISNA(MATCH(C900,po_code,0)),"Poste inconnu",IF(D900="","Cause manquante",IF(ISNA(MATCH(D900,ca_name,0)),"Cause inconnue",IF(H900="","Cause à compléter dans Paramètres",IF(OR(NOT(ISNUMBER(E900)),N(E900)&lt;=0,N(E900)&gt;1440),"Durée invalide",IF(COUNTIFS(sj_date,A900,sj_eq,B900,sj_po,C900)=0,"Pas de saisie journalière ce jour-là","OK")))))))))))</f>
        <v/>
      </c>
      <c r="J900">
        <f>IF(OR(I900="OK",I900="Pas de saisie journalière ce jour-là"),E900,0)</f>
        <v>0.0</v>
      </c>
      <c r="K900">
        <f>IF(AND(J900&gt;0,A900&gt;=p_from,A900&lt;=p_to),1,0)</f>
        <v>0.0</v>
      </c>
      <c r="L900">
        <f>IF(AND(K900=1,OR(pa_po="",C900=pa_po),OR(pa_eq="",B900=pa_eq)),1,0)</f>
        <v>0.0</v>
      </c>
    </row>
    <row r="901">
      <c r="A901" s="51" t="n"/>
      <c r="B901" s="52" t="n"/>
      <c r="C901" s="52" t="n"/>
      <c r="D901" s="53" t="n"/>
      <c r="E901" s="60" t="n"/>
      <c r="F901" s="53" t="n"/>
      <c r="G901" s="61" t="str">
        <f>IF(OR(COUNTA(A901:E901)=0,D901=""),"",IFERROR(INDEX(ca_fam,MATCH(D901,ca_name,0))&amp;"",""))</f>
        <v/>
      </c>
      <c r="H901" s="58" t="str">
        <f>IF(OR(COUNTA(A901:E901)=0,D901=""),"",IFERROR(INDEX(ca_type,MATCH(D901,ca_name,0))&amp;"",""))</f>
        <v/>
      </c>
      <c r="I901" s="58" t="str">
        <f>IF(COUNTA(A901:E901)=0,"",IF(N(A901)&lt;=0,"Date manquante ou invalide",IF(B901="","Équipe manquante",IF(ISNA(MATCH(B901,eq_code,0)),"Équipe inconnue",IF(C901="","Poste manquant",IF(ISNA(MATCH(C901,po_code,0)),"Poste inconnu",IF(D901="","Cause manquante",IF(ISNA(MATCH(D901,ca_name,0)),"Cause inconnue",IF(H901="","Cause à compléter dans Paramètres",IF(OR(NOT(ISNUMBER(E901)),N(E901)&lt;=0,N(E901)&gt;1440),"Durée invalide",IF(COUNTIFS(sj_date,A901,sj_eq,B901,sj_po,C901)=0,"Pas de saisie journalière ce jour-là","OK")))))))))))</f>
        <v/>
      </c>
      <c r="J901">
        <f>IF(OR(I901="OK",I901="Pas de saisie journalière ce jour-là"),E901,0)</f>
        <v>0.0</v>
      </c>
      <c r="K901">
        <f>IF(AND(J901&gt;0,A901&gt;=p_from,A901&lt;=p_to),1,0)</f>
        <v>0.0</v>
      </c>
      <c r="L901">
        <f>IF(AND(K901=1,OR(pa_po="",C901=pa_po),OR(pa_eq="",B901=pa_eq)),1,0)</f>
        <v>0.0</v>
      </c>
    </row>
    <row r="902">
      <c r="A902" s="51" t="n"/>
      <c r="B902" s="52" t="n"/>
      <c r="C902" s="52" t="n"/>
      <c r="D902" s="53" t="n"/>
      <c r="E902" s="60" t="n"/>
      <c r="F902" s="53" t="n"/>
      <c r="G902" s="61" t="str">
        <f>IF(OR(COUNTA(A902:E902)=0,D902=""),"",IFERROR(INDEX(ca_fam,MATCH(D902,ca_name,0))&amp;"",""))</f>
        <v/>
      </c>
      <c r="H902" s="58" t="str">
        <f>IF(OR(COUNTA(A902:E902)=0,D902=""),"",IFERROR(INDEX(ca_type,MATCH(D902,ca_name,0))&amp;"",""))</f>
        <v/>
      </c>
      <c r="I902" s="58" t="str">
        <f>IF(COUNTA(A902:E902)=0,"",IF(N(A902)&lt;=0,"Date manquante ou invalide",IF(B902="","Équipe manquante",IF(ISNA(MATCH(B902,eq_code,0)),"Équipe inconnue",IF(C902="","Poste manquant",IF(ISNA(MATCH(C902,po_code,0)),"Poste inconnu",IF(D902="","Cause manquante",IF(ISNA(MATCH(D902,ca_name,0)),"Cause inconnue",IF(H902="","Cause à compléter dans Paramètres",IF(OR(NOT(ISNUMBER(E902)),N(E902)&lt;=0,N(E902)&gt;1440),"Durée invalide",IF(COUNTIFS(sj_date,A902,sj_eq,B902,sj_po,C902)=0,"Pas de saisie journalière ce jour-là","OK")))))))))))</f>
        <v/>
      </c>
      <c r="J902">
        <f>IF(OR(I902="OK",I902="Pas de saisie journalière ce jour-là"),E902,0)</f>
        <v>0.0</v>
      </c>
      <c r="K902">
        <f>IF(AND(J902&gt;0,A902&gt;=p_from,A902&lt;=p_to),1,0)</f>
        <v>0.0</v>
      </c>
      <c r="L902">
        <f>IF(AND(K902=1,OR(pa_po="",C902=pa_po),OR(pa_eq="",B902=pa_eq)),1,0)</f>
        <v>0.0</v>
      </c>
    </row>
    <row r="903">
      <c r="A903" s="51" t="n"/>
      <c r="B903" s="52" t="n"/>
      <c r="C903" s="52" t="n"/>
      <c r="D903" s="53" t="n"/>
      <c r="E903" s="60" t="n"/>
      <c r="F903" s="53" t="n"/>
      <c r="G903" s="61" t="str">
        <f>IF(OR(COUNTA(A903:E903)=0,D903=""),"",IFERROR(INDEX(ca_fam,MATCH(D903,ca_name,0))&amp;"",""))</f>
        <v/>
      </c>
      <c r="H903" s="58" t="str">
        <f>IF(OR(COUNTA(A903:E903)=0,D903=""),"",IFERROR(INDEX(ca_type,MATCH(D903,ca_name,0))&amp;"",""))</f>
        <v/>
      </c>
      <c r="I903" s="58" t="str">
        <f>IF(COUNTA(A903:E903)=0,"",IF(N(A903)&lt;=0,"Date manquante ou invalide",IF(B903="","Équipe manquante",IF(ISNA(MATCH(B903,eq_code,0)),"Équipe inconnue",IF(C903="","Poste manquant",IF(ISNA(MATCH(C903,po_code,0)),"Poste inconnu",IF(D903="","Cause manquante",IF(ISNA(MATCH(D903,ca_name,0)),"Cause inconnue",IF(H903="","Cause à compléter dans Paramètres",IF(OR(NOT(ISNUMBER(E903)),N(E903)&lt;=0,N(E903)&gt;1440),"Durée invalide",IF(COUNTIFS(sj_date,A903,sj_eq,B903,sj_po,C903)=0,"Pas de saisie journalière ce jour-là","OK")))))))))))</f>
        <v/>
      </c>
      <c r="J903">
        <f>IF(OR(I903="OK",I903="Pas de saisie journalière ce jour-là"),E903,0)</f>
        <v>0.0</v>
      </c>
      <c r="K903">
        <f>IF(AND(J903&gt;0,A903&gt;=p_from,A903&lt;=p_to),1,0)</f>
        <v>0.0</v>
      </c>
      <c r="L903">
        <f>IF(AND(K903=1,OR(pa_po="",C903=pa_po),OR(pa_eq="",B903=pa_eq)),1,0)</f>
        <v>0.0</v>
      </c>
    </row>
    <row r="904">
      <c r="A904" s="51" t="n"/>
      <c r="B904" s="52" t="n"/>
      <c r="C904" s="52" t="n"/>
      <c r="D904" s="53" t="n"/>
      <c r="E904" s="60" t="n"/>
      <c r="F904" s="53" t="n"/>
      <c r="G904" s="61" t="str">
        <f>IF(OR(COUNTA(A904:E904)=0,D904=""),"",IFERROR(INDEX(ca_fam,MATCH(D904,ca_name,0))&amp;"",""))</f>
        <v/>
      </c>
      <c r="H904" s="58" t="str">
        <f>IF(OR(COUNTA(A904:E904)=0,D904=""),"",IFERROR(INDEX(ca_type,MATCH(D904,ca_name,0))&amp;"",""))</f>
        <v/>
      </c>
      <c r="I904" s="58" t="str">
        <f>IF(COUNTA(A904:E904)=0,"",IF(N(A904)&lt;=0,"Date manquante ou invalide",IF(B904="","Équipe manquante",IF(ISNA(MATCH(B904,eq_code,0)),"Équipe inconnue",IF(C904="","Poste manquant",IF(ISNA(MATCH(C904,po_code,0)),"Poste inconnu",IF(D904="","Cause manquante",IF(ISNA(MATCH(D904,ca_name,0)),"Cause inconnue",IF(H904="","Cause à compléter dans Paramètres",IF(OR(NOT(ISNUMBER(E904)),N(E904)&lt;=0,N(E904)&gt;1440),"Durée invalide",IF(COUNTIFS(sj_date,A904,sj_eq,B904,sj_po,C904)=0,"Pas de saisie journalière ce jour-là","OK")))))))))))</f>
        <v/>
      </c>
      <c r="J904">
        <f>IF(OR(I904="OK",I904="Pas de saisie journalière ce jour-là"),E904,0)</f>
        <v>0.0</v>
      </c>
      <c r="K904">
        <f>IF(AND(J904&gt;0,A904&gt;=p_from,A904&lt;=p_to),1,0)</f>
        <v>0.0</v>
      </c>
      <c r="L904">
        <f>IF(AND(K904=1,OR(pa_po="",C904=pa_po),OR(pa_eq="",B904=pa_eq)),1,0)</f>
        <v>0.0</v>
      </c>
    </row>
    <row r="905">
      <c r="A905" s="51" t="n"/>
      <c r="B905" s="52" t="n"/>
      <c r="C905" s="52" t="n"/>
      <c r="D905" s="53" t="n"/>
      <c r="E905" s="60" t="n"/>
      <c r="F905" s="53" t="n"/>
      <c r="G905" s="61" t="str">
        <f>IF(OR(COUNTA(A905:E905)=0,D905=""),"",IFERROR(INDEX(ca_fam,MATCH(D905,ca_name,0))&amp;"",""))</f>
        <v/>
      </c>
      <c r="H905" s="58" t="str">
        <f>IF(OR(COUNTA(A905:E905)=0,D905=""),"",IFERROR(INDEX(ca_type,MATCH(D905,ca_name,0))&amp;"",""))</f>
        <v/>
      </c>
      <c r="I905" s="58" t="str">
        <f>IF(COUNTA(A905:E905)=0,"",IF(N(A905)&lt;=0,"Date manquante ou invalide",IF(B905="","Équipe manquante",IF(ISNA(MATCH(B905,eq_code,0)),"Équipe inconnue",IF(C905="","Poste manquant",IF(ISNA(MATCH(C905,po_code,0)),"Poste inconnu",IF(D905="","Cause manquante",IF(ISNA(MATCH(D905,ca_name,0)),"Cause inconnue",IF(H905="","Cause à compléter dans Paramètres",IF(OR(NOT(ISNUMBER(E905)),N(E905)&lt;=0,N(E905)&gt;1440),"Durée invalide",IF(COUNTIFS(sj_date,A905,sj_eq,B905,sj_po,C905)=0,"Pas de saisie journalière ce jour-là","OK")))))))))))</f>
        <v/>
      </c>
      <c r="J905">
        <f>IF(OR(I905="OK",I905="Pas de saisie journalière ce jour-là"),E905,0)</f>
        <v>0.0</v>
      </c>
      <c r="K905">
        <f>IF(AND(J905&gt;0,A905&gt;=p_from,A905&lt;=p_to),1,0)</f>
        <v>0.0</v>
      </c>
      <c r="L905">
        <f>IF(AND(K905=1,OR(pa_po="",C905=pa_po),OR(pa_eq="",B905=pa_eq)),1,0)</f>
        <v>0.0</v>
      </c>
    </row>
    <row r="906">
      <c r="A906" s="51" t="n"/>
      <c r="B906" s="52" t="n"/>
      <c r="C906" s="52" t="n"/>
      <c r="D906" s="53" t="n"/>
      <c r="E906" s="60" t="n"/>
      <c r="F906" s="53" t="n"/>
      <c r="G906" s="61" t="str">
        <f>IF(OR(COUNTA(A906:E906)=0,D906=""),"",IFERROR(INDEX(ca_fam,MATCH(D906,ca_name,0))&amp;"",""))</f>
        <v/>
      </c>
      <c r="H906" s="58" t="str">
        <f>IF(OR(COUNTA(A906:E906)=0,D906=""),"",IFERROR(INDEX(ca_type,MATCH(D906,ca_name,0))&amp;"",""))</f>
        <v/>
      </c>
      <c r="I906" s="58" t="str">
        <f>IF(COUNTA(A906:E906)=0,"",IF(N(A906)&lt;=0,"Date manquante ou invalide",IF(B906="","Équipe manquante",IF(ISNA(MATCH(B906,eq_code,0)),"Équipe inconnue",IF(C906="","Poste manquant",IF(ISNA(MATCH(C906,po_code,0)),"Poste inconnu",IF(D906="","Cause manquante",IF(ISNA(MATCH(D906,ca_name,0)),"Cause inconnue",IF(H906="","Cause à compléter dans Paramètres",IF(OR(NOT(ISNUMBER(E906)),N(E906)&lt;=0,N(E906)&gt;1440),"Durée invalide",IF(COUNTIFS(sj_date,A906,sj_eq,B906,sj_po,C906)=0,"Pas de saisie journalière ce jour-là","OK")))))))))))</f>
        <v/>
      </c>
      <c r="J906">
        <f>IF(OR(I906="OK",I906="Pas de saisie journalière ce jour-là"),E906,0)</f>
        <v>0.0</v>
      </c>
      <c r="K906">
        <f>IF(AND(J906&gt;0,A906&gt;=p_from,A906&lt;=p_to),1,0)</f>
        <v>0.0</v>
      </c>
      <c r="L906">
        <f>IF(AND(K906=1,OR(pa_po="",C906=pa_po),OR(pa_eq="",B906=pa_eq)),1,0)</f>
        <v>0.0</v>
      </c>
    </row>
    <row r="907">
      <c r="A907" s="51" t="n"/>
      <c r="B907" s="52" t="n"/>
      <c r="C907" s="52" t="n"/>
      <c r="D907" s="53" t="n"/>
      <c r="E907" s="60" t="n"/>
      <c r="F907" s="53" t="n"/>
      <c r="G907" s="61" t="str">
        <f>IF(OR(COUNTA(A907:E907)=0,D907=""),"",IFERROR(INDEX(ca_fam,MATCH(D907,ca_name,0))&amp;"",""))</f>
        <v/>
      </c>
      <c r="H907" s="58" t="str">
        <f>IF(OR(COUNTA(A907:E907)=0,D907=""),"",IFERROR(INDEX(ca_type,MATCH(D907,ca_name,0))&amp;"",""))</f>
        <v/>
      </c>
      <c r="I907" s="58" t="str">
        <f>IF(COUNTA(A907:E907)=0,"",IF(N(A907)&lt;=0,"Date manquante ou invalide",IF(B907="","Équipe manquante",IF(ISNA(MATCH(B907,eq_code,0)),"Équipe inconnue",IF(C907="","Poste manquant",IF(ISNA(MATCH(C907,po_code,0)),"Poste inconnu",IF(D907="","Cause manquante",IF(ISNA(MATCH(D907,ca_name,0)),"Cause inconnue",IF(H907="","Cause à compléter dans Paramètres",IF(OR(NOT(ISNUMBER(E907)),N(E907)&lt;=0,N(E907)&gt;1440),"Durée invalide",IF(COUNTIFS(sj_date,A907,sj_eq,B907,sj_po,C907)=0,"Pas de saisie journalière ce jour-là","OK")))))))))))</f>
        <v/>
      </c>
      <c r="J907">
        <f>IF(OR(I907="OK",I907="Pas de saisie journalière ce jour-là"),E907,0)</f>
        <v>0.0</v>
      </c>
      <c r="K907">
        <f>IF(AND(J907&gt;0,A907&gt;=p_from,A907&lt;=p_to),1,0)</f>
        <v>0.0</v>
      </c>
      <c r="L907">
        <f>IF(AND(K907=1,OR(pa_po="",C907=pa_po),OR(pa_eq="",B907=pa_eq)),1,0)</f>
        <v>0.0</v>
      </c>
    </row>
    <row r="908">
      <c r="A908" s="51" t="n"/>
      <c r="B908" s="52" t="n"/>
      <c r="C908" s="52" t="n"/>
      <c r="D908" s="53" t="n"/>
      <c r="E908" s="60" t="n"/>
      <c r="F908" s="53" t="n"/>
      <c r="G908" s="61" t="str">
        <f>IF(OR(COUNTA(A908:E908)=0,D908=""),"",IFERROR(INDEX(ca_fam,MATCH(D908,ca_name,0))&amp;"",""))</f>
        <v/>
      </c>
      <c r="H908" s="58" t="str">
        <f>IF(OR(COUNTA(A908:E908)=0,D908=""),"",IFERROR(INDEX(ca_type,MATCH(D908,ca_name,0))&amp;"",""))</f>
        <v/>
      </c>
      <c r="I908" s="58" t="str">
        <f>IF(COUNTA(A908:E908)=0,"",IF(N(A908)&lt;=0,"Date manquante ou invalide",IF(B908="","Équipe manquante",IF(ISNA(MATCH(B908,eq_code,0)),"Équipe inconnue",IF(C908="","Poste manquant",IF(ISNA(MATCH(C908,po_code,0)),"Poste inconnu",IF(D908="","Cause manquante",IF(ISNA(MATCH(D908,ca_name,0)),"Cause inconnue",IF(H908="","Cause à compléter dans Paramètres",IF(OR(NOT(ISNUMBER(E908)),N(E908)&lt;=0,N(E908)&gt;1440),"Durée invalide",IF(COUNTIFS(sj_date,A908,sj_eq,B908,sj_po,C908)=0,"Pas de saisie journalière ce jour-là","OK")))))))))))</f>
        <v/>
      </c>
      <c r="J908">
        <f>IF(OR(I908="OK",I908="Pas de saisie journalière ce jour-là"),E908,0)</f>
        <v>0.0</v>
      </c>
      <c r="K908">
        <f>IF(AND(J908&gt;0,A908&gt;=p_from,A908&lt;=p_to),1,0)</f>
        <v>0.0</v>
      </c>
      <c r="L908">
        <f>IF(AND(K908=1,OR(pa_po="",C908=pa_po),OR(pa_eq="",B908=pa_eq)),1,0)</f>
        <v>0.0</v>
      </c>
    </row>
    <row r="909">
      <c r="A909" s="51" t="n"/>
      <c r="B909" s="52" t="n"/>
      <c r="C909" s="52" t="n"/>
      <c r="D909" s="53" t="n"/>
      <c r="E909" s="60" t="n"/>
      <c r="F909" s="53" t="n"/>
      <c r="G909" s="61" t="str">
        <f>IF(OR(COUNTA(A909:E909)=0,D909=""),"",IFERROR(INDEX(ca_fam,MATCH(D909,ca_name,0))&amp;"",""))</f>
        <v/>
      </c>
      <c r="H909" s="58" t="str">
        <f>IF(OR(COUNTA(A909:E909)=0,D909=""),"",IFERROR(INDEX(ca_type,MATCH(D909,ca_name,0))&amp;"",""))</f>
        <v/>
      </c>
      <c r="I909" s="58" t="str">
        <f>IF(COUNTA(A909:E909)=0,"",IF(N(A909)&lt;=0,"Date manquante ou invalide",IF(B909="","Équipe manquante",IF(ISNA(MATCH(B909,eq_code,0)),"Équipe inconnue",IF(C909="","Poste manquant",IF(ISNA(MATCH(C909,po_code,0)),"Poste inconnu",IF(D909="","Cause manquante",IF(ISNA(MATCH(D909,ca_name,0)),"Cause inconnue",IF(H909="","Cause à compléter dans Paramètres",IF(OR(NOT(ISNUMBER(E909)),N(E909)&lt;=0,N(E909)&gt;1440),"Durée invalide",IF(COUNTIFS(sj_date,A909,sj_eq,B909,sj_po,C909)=0,"Pas de saisie journalière ce jour-là","OK")))))))))))</f>
        <v/>
      </c>
      <c r="J909">
        <f>IF(OR(I909="OK",I909="Pas de saisie journalière ce jour-là"),E909,0)</f>
        <v>0.0</v>
      </c>
      <c r="K909">
        <f>IF(AND(J909&gt;0,A909&gt;=p_from,A909&lt;=p_to),1,0)</f>
        <v>0.0</v>
      </c>
      <c r="L909">
        <f>IF(AND(K909=1,OR(pa_po="",C909=pa_po),OR(pa_eq="",B909=pa_eq)),1,0)</f>
        <v>0.0</v>
      </c>
    </row>
    <row r="910">
      <c r="A910" s="51" t="n"/>
      <c r="B910" s="52" t="n"/>
      <c r="C910" s="52" t="n"/>
      <c r="D910" s="53" t="n"/>
      <c r="E910" s="60" t="n"/>
      <c r="F910" s="53" t="n"/>
      <c r="G910" s="61" t="str">
        <f>IF(OR(COUNTA(A910:E910)=0,D910=""),"",IFERROR(INDEX(ca_fam,MATCH(D910,ca_name,0))&amp;"",""))</f>
        <v/>
      </c>
      <c r="H910" s="58" t="str">
        <f>IF(OR(COUNTA(A910:E910)=0,D910=""),"",IFERROR(INDEX(ca_type,MATCH(D910,ca_name,0))&amp;"",""))</f>
        <v/>
      </c>
      <c r="I910" s="58" t="str">
        <f>IF(COUNTA(A910:E910)=0,"",IF(N(A910)&lt;=0,"Date manquante ou invalide",IF(B910="","Équipe manquante",IF(ISNA(MATCH(B910,eq_code,0)),"Équipe inconnue",IF(C910="","Poste manquant",IF(ISNA(MATCH(C910,po_code,0)),"Poste inconnu",IF(D910="","Cause manquante",IF(ISNA(MATCH(D910,ca_name,0)),"Cause inconnue",IF(H910="","Cause à compléter dans Paramètres",IF(OR(NOT(ISNUMBER(E910)),N(E910)&lt;=0,N(E910)&gt;1440),"Durée invalide",IF(COUNTIFS(sj_date,A910,sj_eq,B910,sj_po,C910)=0,"Pas de saisie journalière ce jour-là","OK")))))))))))</f>
        <v/>
      </c>
      <c r="J910">
        <f>IF(OR(I910="OK",I910="Pas de saisie journalière ce jour-là"),E910,0)</f>
        <v>0.0</v>
      </c>
      <c r="K910">
        <f>IF(AND(J910&gt;0,A910&gt;=p_from,A910&lt;=p_to),1,0)</f>
        <v>0.0</v>
      </c>
      <c r="L910">
        <f>IF(AND(K910=1,OR(pa_po="",C910=pa_po),OR(pa_eq="",B910=pa_eq)),1,0)</f>
        <v>0.0</v>
      </c>
    </row>
    <row r="911">
      <c r="A911" s="51" t="n"/>
      <c r="B911" s="52" t="n"/>
      <c r="C911" s="52" t="n"/>
      <c r="D911" s="53" t="n"/>
      <c r="E911" s="60" t="n"/>
      <c r="F911" s="53" t="n"/>
      <c r="G911" s="61" t="str">
        <f>IF(OR(COUNTA(A911:E911)=0,D911=""),"",IFERROR(INDEX(ca_fam,MATCH(D911,ca_name,0))&amp;"",""))</f>
        <v/>
      </c>
      <c r="H911" s="58" t="str">
        <f>IF(OR(COUNTA(A911:E911)=0,D911=""),"",IFERROR(INDEX(ca_type,MATCH(D911,ca_name,0))&amp;"",""))</f>
        <v/>
      </c>
      <c r="I911" s="58" t="str">
        <f>IF(COUNTA(A911:E911)=0,"",IF(N(A911)&lt;=0,"Date manquante ou invalide",IF(B911="","Équipe manquante",IF(ISNA(MATCH(B911,eq_code,0)),"Équipe inconnue",IF(C911="","Poste manquant",IF(ISNA(MATCH(C911,po_code,0)),"Poste inconnu",IF(D911="","Cause manquante",IF(ISNA(MATCH(D911,ca_name,0)),"Cause inconnue",IF(H911="","Cause à compléter dans Paramètres",IF(OR(NOT(ISNUMBER(E911)),N(E911)&lt;=0,N(E911)&gt;1440),"Durée invalide",IF(COUNTIFS(sj_date,A911,sj_eq,B911,sj_po,C911)=0,"Pas de saisie journalière ce jour-là","OK")))))))))))</f>
        <v/>
      </c>
      <c r="J911">
        <f>IF(OR(I911="OK",I911="Pas de saisie journalière ce jour-là"),E911,0)</f>
        <v>0.0</v>
      </c>
      <c r="K911">
        <f>IF(AND(J911&gt;0,A911&gt;=p_from,A911&lt;=p_to),1,0)</f>
        <v>0.0</v>
      </c>
      <c r="L911">
        <f>IF(AND(K911=1,OR(pa_po="",C911=pa_po),OR(pa_eq="",B911=pa_eq)),1,0)</f>
        <v>0.0</v>
      </c>
    </row>
    <row r="912">
      <c r="A912" s="51" t="n"/>
      <c r="B912" s="52" t="n"/>
      <c r="C912" s="52" t="n"/>
      <c r="D912" s="53" t="n"/>
      <c r="E912" s="60" t="n"/>
      <c r="F912" s="53" t="n"/>
      <c r="G912" s="61" t="str">
        <f>IF(OR(COUNTA(A912:E912)=0,D912=""),"",IFERROR(INDEX(ca_fam,MATCH(D912,ca_name,0))&amp;"",""))</f>
        <v/>
      </c>
      <c r="H912" s="58" t="str">
        <f>IF(OR(COUNTA(A912:E912)=0,D912=""),"",IFERROR(INDEX(ca_type,MATCH(D912,ca_name,0))&amp;"",""))</f>
        <v/>
      </c>
      <c r="I912" s="58" t="str">
        <f>IF(COUNTA(A912:E912)=0,"",IF(N(A912)&lt;=0,"Date manquante ou invalide",IF(B912="","Équipe manquante",IF(ISNA(MATCH(B912,eq_code,0)),"Équipe inconnue",IF(C912="","Poste manquant",IF(ISNA(MATCH(C912,po_code,0)),"Poste inconnu",IF(D912="","Cause manquante",IF(ISNA(MATCH(D912,ca_name,0)),"Cause inconnue",IF(H912="","Cause à compléter dans Paramètres",IF(OR(NOT(ISNUMBER(E912)),N(E912)&lt;=0,N(E912)&gt;1440),"Durée invalide",IF(COUNTIFS(sj_date,A912,sj_eq,B912,sj_po,C912)=0,"Pas de saisie journalière ce jour-là","OK")))))))))))</f>
        <v/>
      </c>
      <c r="J912">
        <f>IF(OR(I912="OK",I912="Pas de saisie journalière ce jour-là"),E912,0)</f>
        <v>0.0</v>
      </c>
      <c r="K912">
        <f>IF(AND(J912&gt;0,A912&gt;=p_from,A912&lt;=p_to),1,0)</f>
        <v>0.0</v>
      </c>
      <c r="L912">
        <f>IF(AND(K912=1,OR(pa_po="",C912=pa_po),OR(pa_eq="",B912=pa_eq)),1,0)</f>
        <v>0.0</v>
      </c>
    </row>
    <row r="913">
      <c r="A913" s="51" t="n"/>
      <c r="B913" s="52" t="n"/>
      <c r="C913" s="52" t="n"/>
      <c r="D913" s="53" t="n"/>
      <c r="E913" s="60" t="n"/>
      <c r="F913" s="53" t="n"/>
      <c r="G913" s="61" t="str">
        <f>IF(OR(COUNTA(A913:E913)=0,D913=""),"",IFERROR(INDEX(ca_fam,MATCH(D913,ca_name,0))&amp;"",""))</f>
        <v/>
      </c>
      <c r="H913" s="58" t="str">
        <f>IF(OR(COUNTA(A913:E913)=0,D913=""),"",IFERROR(INDEX(ca_type,MATCH(D913,ca_name,0))&amp;"",""))</f>
        <v/>
      </c>
      <c r="I913" s="58" t="str">
        <f>IF(COUNTA(A913:E913)=0,"",IF(N(A913)&lt;=0,"Date manquante ou invalide",IF(B913="","Équipe manquante",IF(ISNA(MATCH(B913,eq_code,0)),"Équipe inconnue",IF(C913="","Poste manquant",IF(ISNA(MATCH(C913,po_code,0)),"Poste inconnu",IF(D913="","Cause manquante",IF(ISNA(MATCH(D913,ca_name,0)),"Cause inconnue",IF(H913="","Cause à compléter dans Paramètres",IF(OR(NOT(ISNUMBER(E913)),N(E913)&lt;=0,N(E913)&gt;1440),"Durée invalide",IF(COUNTIFS(sj_date,A913,sj_eq,B913,sj_po,C913)=0,"Pas de saisie journalière ce jour-là","OK")))))))))))</f>
        <v/>
      </c>
      <c r="J913">
        <f>IF(OR(I913="OK",I913="Pas de saisie journalière ce jour-là"),E913,0)</f>
        <v>0.0</v>
      </c>
      <c r="K913">
        <f>IF(AND(J913&gt;0,A913&gt;=p_from,A913&lt;=p_to),1,0)</f>
        <v>0.0</v>
      </c>
      <c r="L913">
        <f>IF(AND(K913=1,OR(pa_po="",C913=pa_po),OR(pa_eq="",B913=pa_eq)),1,0)</f>
        <v>0.0</v>
      </c>
    </row>
    <row r="914">
      <c r="A914" s="51" t="n"/>
      <c r="B914" s="52" t="n"/>
      <c r="C914" s="52" t="n"/>
      <c r="D914" s="53" t="n"/>
      <c r="E914" s="60" t="n"/>
      <c r="F914" s="53" t="n"/>
      <c r="G914" s="61" t="str">
        <f>IF(OR(COUNTA(A914:E914)=0,D914=""),"",IFERROR(INDEX(ca_fam,MATCH(D914,ca_name,0))&amp;"",""))</f>
        <v/>
      </c>
      <c r="H914" s="58" t="str">
        <f>IF(OR(COUNTA(A914:E914)=0,D914=""),"",IFERROR(INDEX(ca_type,MATCH(D914,ca_name,0))&amp;"",""))</f>
        <v/>
      </c>
      <c r="I914" s="58" t="str">
        <f>IF(COUNTA(A914:E914)=0,"",IF(N(A914)&lt;=0,"Date manquante ou invalide",IF(B914="","Équipe manquante",IF(ISNA(MATCH(B914,eq_code,0)),"Équipe inconnue",IF(C914="","Poste manquant",IF(ISNA(MATCH(C914,po_code,0)),"Poste inconnu",IF(D914="","Cause manquante",IF(ISNA(MATCH(D914,ca_name,0)),"Cause inconnue",IF(H914="","Cause à compléter dans Paramètres",IF(OR(NOT(ISNUMBER(E914)),N(E914)&lt;=0,N(E914)&gt;1440),"Durée invalide",IF(COUNTIFS(sj_date,A914,sj_eq,B914,sj_po,C914)=0,"Pas de saisie journalière ce jour-là","OK")))))))))))</f>
        <v/>
      </c>
      <c r="J914">
        <f>IF(OR(I914="OK",I914="Pas de saisie journalière ce jour-là"),E914,0)</f>
        <v>0.0</v>
      </c>
      <c r="K914">
        <f>IF(AND(J914&gt;0,A914&gt;=p_from,A914&lt;=p_to),1,0)</f>
        <v>0.0</v>
      </c>
      <c r="L914">
        <f>IF(AND(K914=1,OR(pa_po="",C914=pa_po),OR(pa_eq="",B914=pa_eq)),1,0)</f>
        <v>0.0</v>
      </c>
    </row>
    <row r="915">
      <c r="A915" s="51" t="n"/>
      <c r="B915" s="52" t="n"/>
      <c r="C915" s="52" t="n"/>
      <c r="D915" s="53" t="n"/>
      <c r="E915" s="60" t="n"/>
      <c r="F915" s="53" t="n"/>
      <c r="G915" s="61" t="str">
        <f>IF(OR(COUNTA(A915:E915)=0,D915=""),"",IFERROR(INDEX(ca_fam,MATCH(D915,ca_name,0))&amp;"",""))</f>
        <v/>
      </c>
      <c r="H915" s="58" t="str">
        <f>IF(OR(COUNTA(A915:E915)=0,D915=""),"",IFERROR(INDEX(ca_type,MATCH(D915,ca_name,0))&amp;"",""))</f>
        <v/>
      </c>
      <c r="I915" s="58" t="str">
        <f>IF(COUNTA(A915:E915)=0,"",IF(N(A915)&lt;=0,"Date manquante ou invalide",IF(B915="","Équipe manquante",IF(ISNA(MATCH(B915,eq_code,0)),"Équipe inconnue",IF(C915="","Poste manquant",IF(ISNA(MATCH(C915,po_code,0)),"Poste inconnu",IF(D915="","Cause manquante",IF(ISNA(MATCH(D915,ca_name,0)),"Cause inconnue",IF(H915="","Cause à compléter dans Paramètres",IF(OR(NOT(ISNUMBER(E915)),N(E915)&lt;=0,N(E915)&gt;1440),"Durée invalide",IF(COUNTIFS(sj_date,A915,sj_eq,B915,sj_po,C915)=0,"Pas de saisie journalière ce jour-là","OK")))))))))))</f>
        <v/>
      </c>
      <c r="J915">
        <f>IF(OR(I915="OK",I915="Pas de saisie journalière ce jour-là"),E915,0)</f>
        <v>0.0</v>
      </c>
      <c r="K915">
        <f>IF(AND(J915&gt;0,A915&gt;=p_from,A915&lt;=p_to),1,0)</f>
        <v>0.0</v>
      </c>
      <c r="L915">
        <f>IF(AND(K915=1,OR(pa_po="",C915=pa_po),OR(pa_eq="",B915=pa_eq)),1,0)</f>
        <v>0.0</v>
      </c>
    </row>
    <row r="916">
      <c r="A916" s="51" t="n"/>
      <c r="B916" s="52" t="n"/>
      <c r="C916" s="52" t="n"/>
      <c r="D916" s="53" t="n"/>
      <c r="E916" s="60" t="n"/>
      <c r="F916" s="53" t="n"/>
      <c r="G916" s="61" t="str">
        <f>IF(OR(COUNTA(A916:E916)=0,D916=""),"",IFERROR(INDEX(ca_fam,MATCH(D916,ca_name,0))&amp;"",""))</f>
        <v/>
      </c>
      <c r="H916" s="58" t="str">
        <f>IF(OR(COUNTA(A916:E916)=0,D916=""),"",IFERROR(INDEX(ca_type,MATCH(D916,ca_name,0))&amp;"",""))</f>
        <v/>
      </c>
      <c r="I916" s="58" t="str">
        <f>IF(COUNTA(A916:E916)=0,"",IF(N(A916)&lt;=0,"Date manquante ou invalide",IF(B916="","Équipe manquante",IF(ISNA(MATCH(B916,eq_code,0)),"Équipe inconnue",IF(C916="","Poste manquant",IF(ISNA(MATCH(C916,po_code,0)),"Poste inconnu",IF(D916="","Cause manquante",IF(ISNA(MATCH(D916,ca_name,0)),"Cause inconnue",IF(H916="","Cause à compléter dans Paramètres",IF(OR(NOT(ISNUMBER(E916)),N(E916)&lt;=0,N(E916)&gt;1440),"Durée invalide",IF(COUNTIFS(sj_date,A916,sj_eq,B916,sj_po,C916)=0,"Pas de saisie journalière ce jour-là","OK")))))))))))</f>
        <v/>
      </c>
      <c r="J916">
        <f>IF(OR(I916="OK",I916="Pas de saisie journalière ce jour-là"),E916,0)</f>
        <v>0.0</v>
      </c>
      <c r="K916">
        <f>IF(AND(J916&gt;0,A916&gt;=p_from,A916&lt;=p_to),1,0)</f>
        <v>0.0</v>
      </c>
      <c r="L916">
        <f>IF(AND(K916=1,OR(pa_po="",C916=pa_po),OR(pa_eq="",B916=pa_eq)),1,0)</f>
        <v>0.0</v>
      </c>
    </row>
    <row r="917">
      <c r="A917" s="51" t="n"/>
      <c r="B917" s="52" t="n"/>
      <c r="C917" s="52" t="n"/>
      <c r="D917" s="53" t="n"/>
      <c r="E917" s="60" t="n"/>
      <c r="F917" s="53" t="n"/>
      <c r="G917" s="61" t="str">
        <f>IF(OR(COUNTA(A917:E917)=0,D917=""),"",IFERROR(INDEX(ca_fam,MATCH(D917,ca_name,0))&amp;"",""))</f>
        <v/>
      </c>
      <c r="H917" s="58" t="str">
        <f>IF(OR(COUNTA(A917:E917)=0,D917=""),"",IFERROR(INDEX(ca_type,MATCH(D917,ca_name,0))&amp;"",""))</f>
        <v/>
      </c>
      <c r="I917" s="58" t="str">
        <f>IF(COUNTA(A917:E917)=0,"",IF(N(A917)&lt;=0,"Date manquante ou invalide",IF(B917="","Équipe manquante",IF(ISNA(MATCH(B917,eq_code,0)),"Équipe inconnue",IF(C917="","Poste manquant",IF(ISNA(MATCH(C917,po_code,0)),"Poste inconnu",IF(D917="","Cause manquante",IF(ISNA(MATCH(D917,ca_name,0)),"Cause inconnue",IF(H917="","Cause à compléter dans Paramètres",IF(OR(NOT(ISNUMBER(E917)),N(E917)&lt;=0,N(E917)&gt;1440),"Durée invalide",IF(COUNTIFS(sj_date,A917,sj_eq,B917,sj_po,C917)=0,"Pas de saisie journalière ce jour-là","OK")))))))))))</f>
        <v/>
      </c>
      <c r="J917">
        <f>IF(OR(I917="OK",I917="Pas de saisie journalière ce jour-là"),E917,0)</f>
        <v>0.0</v>
      </c>
      <c r="K917">
        <f>IF(AND(J917&gt;0,A917&gt;=p_from,A917&lt;=p_to),1,0)</f>
        <v>0.0</v>
      </c>
      <c r="L917">
        <f>IF(AND(K917=1,OR(pa_po="",C917=pa_po),OR(pa_eq="",B917=pa_eq)),1,0)</f>
        <v>0.0</v>
      </c>
    </row>
    <row r="918">
      <c r="A918" s="51" t="n"/>
      <c r="B918" s="52" t="n"/>
      <c r="C918" s="52" t="n"/>
      <c r="D918" s="53" t="n"/>
      <c r="E918" s="60" t="n"/>
      <c r="F918" s="53" t="n"/>
      <c r="G918" s="61" t="str">
        <f>IF(OR(COUNTA(A918:E918)=0,D918=""),"",IFERROR(INDEX(ca_fam,MATCH(D918,ca_name,0))&amp;"",""))</f>
        <v/>
      </c>
      <c r="H918" s="58" t="str">
        <f>IF(OR(COUNTA(A918:E918)=0,D918=""),"",IFERROR(INDEX(ca_type,MATCH(D918,ca_name,0))&amp;"",""))</f>
        <v/>
      </c>
      <c r="I918" s="58" t="str">
        <f>IF(COUNTA(A918:E918)=0,"",IF(N(A918)&lt;=0,"Date manquante ou invalide",IF(B918="","Équipe manquante",IF(ISNA(MATCH(B918,eq_code,0)),"Équipe inconnue",IF(C918="","Poste manquant",IF(ISNA(MATCH(C918,po_code,0)),"Poste inconnu",IF(D918="","Cause manquante",IF(ISNA(MATCH(D918,ca_name,0)),"Cause inconnue",IF(H918="","Cause à compléter dans Paramètres",IF(OR(NOT(ISNUMBER(E918)),N(E918)&lt;=0,N(E918)&gt;1440),"Durée invalide",IF(COUNTIFS(sj_date,A918,sj_eq,B918,sj_po,C918)=0,"Pas de saisie journalière ce jour-là","OK")))))))))))</f>
        <v/>
      </c>
      <c r="J918">
        <f>IF(OR(I918="OK",I918="Pas de saisie journalière ce jour-là"),E918,0)</f>
        <v>0.0</v>
      </c>
      <c r="K918">
        <f>IF(AND(J918&gt;0,A918&gt;=p_from,A918&lt;=p_to),1,0)</f>
        <v>0.0</v>
      </c>
      <c r="L918">
        <f>IF(AND(K918=1,OR(pa_po="",C918=pa_po),OR(pa_eq="",B918=pa_eq)),1,0)</f>
        <v>0.0</v>
      </c>
    </row>
    <row r="919">
      <c r="A919" s="51" t="n"/>
      <c r="B919" s="52" t="n"/>
      <c r="C919" s="52" t="n"/>
      <c r="D919" s="53" t="n"/>
      <c r="E919" s="60" t="n"/>
      <c r="F919" s="53" t="n"/>
      <c r="G919" s="61" t="str">
        <f>IF(OR(COUNTA(A919:E919)=0,D919=""),"",IFERROR(INDEX(ca_fam,MATCH(D919,ca_name,0))&amp;"",""))</f>
        <v/>
      </c>
      <c r="H919" s="58" t="str">
        <f>IF(OR(COUNTA(A919:E919)=0,D919=""),"",IFERROR(INDEX(ca_type,MATCH(D919,ca_name,0))&amp;"",""))</f>
        <v/>
      </c>
      <c r="I919" s="58" t="str">
        <f>IF(COUNTA(A919:E919)=0,"",IF(N(A919)&lt;=0,"Date manquante ou invalide",IF(B919="","Équipe manquante",IF(ISNA(MATCH(B919,eq_code,0)),"Équipe inconnue",IF(C919="","Poste manquant",IF(ISNA(MATCH(C919,po_code,0)),"Poste inconnu",IF(D919="","Cause manquante",IF(ISNA(MATCH(D919,ca_name,0)),"Cause inconnue",IF(H919="","Cause à compléter dans Paramètres",IF(OR(NOT(ISNUMBER(E919)),N(E919)&lt;=0,N(E919)&gt;1440),"Durée invalide",IF(COUNTIFS(sj_date,A919,sj_eq,B919,sj_po,C919)=0,"Pas de saisie journalière ce jour-là","OK")))))))))))</f>
        <v/>
      </c>
      <c r="J919">
        <f>IF(OR(I919="OK",I919="Pas de saisie journalière ce jour-là"),E919,0)</f>
        <v>0.0</v>
      </c>
      <c r="K919">
        <f>IF(AND(J919&gt;0,A919&gt;=p_from,A919&lt;=p_to),1,0)</f>
        <v>0.0</v>
      </c>
      <c r="L919">
        <f>IF(AND(K919=1,OR(pa_po="",C919=pa_po),OR(pa_eq="",B919=pa_eq)),1,0)</f>
        <v>0.0</v>
      </c>
    </row>
    <row r="920">
      <c r="A920" s="51" t="n"/>
      <c r="B920" s="52" t="n"/>
      <c r="C920" s="52" t="n"/>
      <c r="D920" s="53" t="n"/>
      <c r="E920" s="60" t="n"/>
      <c r="F920" s="53" t="n"/>
      <c r="G920" s="61" t="str">
        <f>IF(OR(COUNTA(A920:E920)=0,D920=""),"",IFERROR(INDEX(ca_fam,MATCH(D920,ca_name,0))&amp;"",""))</f>
        <v/>
      </c>
      <c r="H920" s="58" t="str">
        <f>IF(OR(COUNTA(A920:E920)=0,D920=""),"",IFERROR(INDEX(ca_type,MATCH(D920,ca_name,0))&amp;"",""))</f>
        <v/>
      </c>
      <c r="I920" s="58" t="str">
        <f>IF(COUNTA(A920:E920)=0,"",IF(N(A920)&lt;=0,"Date manquante ou invalide",IF(B920="","Équipe manquante",IF(ISNA(MATCH(B920,eq_code,0)),"Équipe inconnue",IF(C920="","Poste manquant",IF(ISNA(MATCH(C920,po_code,0)),"Poste inconnu",IF(D920="","Cause manquante",IF(ISNA(MATCH(D920,ca_name,0)),"Cause inconnue",IF(H920="","Cause à compléter dans Paramètres",IF(OR(NOT(ISNUMBER(E920)),N(E920)&lt;=0,N(E920)&gt;1440),"Durée invalide",IF(COUNTIFS(sj_date,A920,sj_eq,B920,sj_po,C920)=0,"Pas de saisie journalière ce jour-là","OK")))))))))))</f>
        <v/>
      </c>
      <c r="J920">
        <f>IF(OR(I920="OK",I920="Pas de saisie journalière ce jour-là"),E920,0)</f>
        <v>0.0</v>
      </c>
      <c r="K920">
        <f>IF(AND(J920&gt;0,A920&gt;=p_from,A920&lt;=p_to),1,0)</f>
        <v>0.0</v>
      </c>
      <c r="L920">
        <f>IF(AND(K920=1,OR(pa_po="",C920=pa_po),OR(pa_eq="",B920=pa_eq)),1,0)</f>
        <v>0.0</v>
      </c>
    </row>
    <row r="921">
      <c r="A921" s="51" t="n"/>
      <c r="B921" s="52" t="n"/>
      <c r="C921" s="52" t="n"/>
      <c r="D921" s="53" t="n"/>
      <c r="E921" s="60" t="n"/>
      <c r="F921" s="53" t="n"/>
      <c r="G921" s="61" t="str">
        <f>IF(OR(COUNTA(A921:E921)=0,D921=""),"",IFERROR(INDEX(ca_fam,MATCH(D921,ca_name,0))&amp;"",""))</f>
        <v/>
      </c>
      <c r="H921" s="58" t="str">
        <f>IF(OR(COUNTA(A921:E921)=0,D921=""),"",IFERROR(INDEX(ca_type,MATCH(D921,ca_name,0))&amp;"",""))</f>
        <v/>
      </c>
      <c r="I921" s="58" t="str">
        <f>IF(COUNTA(A921:E921)=0,"",IF(N(A921)&lt;=0,"Date manquante ou invalide",IF(B921="","Équipe manquante",IF(ISNA(MATCH(B921,eq_code,0)),"Équipe inconnue",IF(C921="","Poste manquant",IF(ISNA(MATCH(C921,po_code,0)),"Poste inconnu",IF(D921="","Cause manquante",IF(ISNA(MATCH(D921,ca_name,0)),"Cause inconnue",IF(H921="","Cause à compléter dans Paramètres",IF(OR(NOT(ISNUMBER(E921)),N(E921)&lt;=0,N(E921)&gt;1440),"Durée invalide",IF(COUNTIFS(sj_date,A921,sj_eq,B921,sj_po,C921)=0,"Pas de saisie journalière ce jour-là","OK")))))))))))</f>
        <v/>
      </c>
      <c r="J921">
        <f>IF(OR(I921="OK",I921="Pas de saisie journalière ce jour-là"),E921,0)</f>
        <v>0.0</v>
      </c>
      <c r="K921">
        <f>IF(AND(J921&gt;0,A921&gt;=p_from,A921&lt;=p_to),1,0)</f>
        <v>0.0</v>
      </c>
      <c r="L921">
        <f>IF(AND(K921=1,OR(pa_po="",C921=pa_po),OR(pa_eq="",B921=pa_eq)),1,0)</f>
        <v>0.0</v>
      </c>
    </row>
    <row r="922">
      <c r="A922" s="51" t="n"/>
      <c r="B922" s="52" t="n"/>
      <c r="C922" s="52" t="n"/>
      <c r="D922" s="53" t="n"/>
      <c r="E922" s="60" t="n"/>
      <c r="F922" s="53" t="n"/>
      <c r="G922" s="61" t="str">
        <f>IF(OR(COUNTA(A922:E922)=0,D922=""),"",IFERROR(INDEX(ca_fam,MATCH(D922,ca_name,0))&amp;"",""))</f>
        <v/>
      </c>
      <c r="H922" s="58" t="str">
        <f>IF(OR(COUNTA(A922:E922)=0,D922=""),"",IFERROR(INDEX(ca_type,MATCH(D922,ca_name,0))&amp;"",""))</f>
        <v/>
      </c>
      <c r="I922" s="58" t="str">
        <f>IF(COUNTA(A922:E922)=0,"",IF(N(A922)&lt;=0,"Date manquante ou invalide",IF(B922="","Équipe manquante",IF(ISNA(MATCH(B922,eq_code,0)),"Équipe inconnue",IF(C922="","Poste manquant",IF(ISNA(MATCH(C922,po_code,0)),"Poste inconnu",IF(D922="","Cause manquante",IF(ISNA(MATCH(D922,ca_name,0)),"Cause inconnue",IF(H922="","Cause à compléter dans Paramètres",IF(OR(NOT(ISNUMBER(E922)),N(E922)&lt;=0,N(E922)&gt;1440),"Durée invalide",IF(COUNTIFS(sj_date,A922,sj_eq,B922,sj_po,C922)=0,"Pas de saisie journalière ce jour-là","OK")))))))))))</f>
        <v/>
      </c>
      <c r="J922">
        <f>IF(OR(I922="OK",I922="Pas de saisie journalière ce jour-là"),E922,0)</f>
        <v>0.0</v>
      </c>
      <c r="K922">
        <f>IF(AND(J922&gt;0,A922&gt;=p_from,A922&lt;=p_to),1,0)</f>
        <v>0.0</v>
      </c>
      <c r="L922">
        <f>IF(AND(K922=1,OR(pa_po="",C922=pa_po),OR(pa_eq="",B922=pa_eq)),1,0)</f>
        <v>0.0</v>
      </c>
    </row>
    <row r="923">
      <c r="A923" s="51" t="n"/>
      <c r="B923" s="52" t="n"/>
      <c r="C923" s="52" t="n"/>
      <c r="D923" s="53" t="n"/>
      <c r="E923" s="60" t="n"/>
      <c r="F923" s="53" t="n"/>
      <c r="G923" s="61" t="str">
        <f>IF(OR(COUNTA(A923:E923)=0,D923=""),"",IFERROR(INDEX(ca_fam,MATCH(D923,ca_name,0))&amp;"",""))</f>
        <v/>
      </c>
      <c r="H923" s="58" t="str">
        <f>IF(OR(COUNTA(A923:E923)=0,D923=""),"",IFERROR(INDEX(ca_type,MATCH(D923,ca_name,0))&amp;"",""))</f>
        <v/>
      </c>
      <c r="I923" s="58" t="str">
        <f>IF(COUNTA(A923:E923)=0,"",IF(N(A923)&lt;=0,"Date manquante ou invalide",IF(B923="","Équipe manquante",IF(ISNA(MATCH(B923,eq_code,0)),"Équipe inconnue",IF(C923="","Poste manquant",IF(ISNA(MATCH(C923,po_code,0)),"Poste inconnu",IF(D923="","Cause manquante",IF(ISNA(MATCH(D923,ca_name,0)),"Cause inconnue",IF(H923="","Cause à compléter dans Paramètres",IF(OR(NOT(ISNUMBER(E923)),N(E923)&lt;=0,N(E923)&gt;1440),"Durée invalide",IF(COUNTIFS(sj_date,A923,sj_eq,B923,sj_po,C923)=0,"Pas de saisie journalière ce jour-là","OK")))))))))))</f>
        <v/>
      </c>
      <c r="J923">
        <f>IF(OR(I923="OK",I923="Pas de saisie journalière ce jour-là"),E923,0)</f>
        <v>0.0</v>
      </c>
      <c r="K923">
        <f>IF(AND(J923&gt;0,A923&gt;=p_from,A923&lt;=p_to),1,0)</f>
        <v>0.0</v>
      </c>
      <c r="L923">
        <f>IF(AND(K923=1,OR(pa_po="",C923=pa_po),OR(pa_eq="",B923=pa_eq)),1,0)</f>
        <v>0.0</v>
      </c>
    </row>
    <row r="924">
      <c r="A924" s="51" t="n"/>
      <c r="B924" s="52" t="n"/>
      <c r="C924" s="52" t="n"/>
      <c r="D924" s="53" t="n"/>
      <c r="E924" s="60" t="n"/>
      <c r="F924" s="53" t="n"/>
      <c r="G924" s="61" t="str">
        <f>IF(OR(COUNTA(A924:E924)=0,D924=""),"",IFERROR(INDEX(ca_fam,MATCH(D924,ca_name,0))&amp;"",""))</f>
        <v/>
      </c>
      <c r="H924" s="58" t="str">
        <f>IF(OR(COUNTA(A924:E924)=0,D924=""),"",IFERROR(INDEX(ca_type,MATCH(D924,ca_name,0))&amp;"",""))</f>
        <v/>
      </c>
      <c r="I924" s="58" t="str">
        <f>IF(COUNTA(A924:E924)=0,"",IF(N(A924)&lt;=0,"Date manquante ou invalide",IF(B924="","Équipe manquante",IF(ISNA(MATCH(B924,eq_code,0)),"Équipe inconnue",IF(C924="","Poste manquant",IF(ISNA(MATCH(C924,po_code,0)),"Poste inconnu",IF(D924="","Cause manquante",IF(ISNA(MATCH(D924,ca_name,0)),"Cause inconnue",IF(H924="","Cause à compléter dans Paramètres",IF(OR(NOT(ISNUMBER(E924)),N(E924)&lt;=0,N(E924)&gt;1440),"Durée invalide",IF(COUNTIFS(sj_date,A924,sj_eq,B924,sj_po,C924)=0,"Pas de saisie journalière ce jour-là","OK")))))))))))</f>
        <v/>
      </c>
      <c r="J924">
        <f>IF(OR(I924="OK",I924="Pas de saisie journalière ce jour-là"),E924,0)</f>
        <v>0.0</v>
      </c>
      <c r="K924">
        <f>IF(AND(J924&gt;0,A924&gt;=p_from,A924&lt;=p_to),1,0)</f>
        <v>0.0</v>
      </c>
      <c r="L924">
        <f>IF(AND(K924=1,OR(pa_po="",C924=pa_po),OR(pa_eq="",B924=pa_eq)),1,0)</f>
        <v>0.0</v>
      </c>
    </row>
    <row r="925">
      <c r="A925" s="51" t="n"/>
      <c r="B925" s="52" t="n"/>
      <c r="C925" s="52" t="n"/>
      <c r="D925" s="53" t="n"/>
      <c r="E925" s="60" t="n"/>
      <c r="F925" s="53" t="n"/>
      <c r="G925" s="61" t="str">
        <f>IF(OR(COUNTA(A925:E925)=0,D925=""),"",IFERROR(INDEX(ca_fam,MATCH(D925,ca_name,0))&amp;"",""))</f>
        <v/>
      </c>
      <c r="H925" s="58" t="str">
        <f>IF(OR(COUNTA(A925:E925)=0,D925=""),"",IFERROR(INDEX(ca_type,MATCH(D925,ca_name,0))&amp;"",""))</f>
        <v/>
      </c>
      <c r="I925" s="58" t="str">
        <f>IF(COUNTA(A925:E925)=0,"",IF(N(A925)&lt;=0,"Date manquante ou invalide",IF(B925="","Équipe manquante",IF(ISNA(MATCH(B925,eq_code,0)),"Équipe inconnue",IF(C925="","Poste manquant",IF(ISNA(MATCH(C925,po_code,0)),"Poste inconnu",IF(D925="","Cause manquante",IF(ISNA(MATCH(D925,ca_name,0)),"Cause inconnue",IF(H925="","Cause à compléter dans Paramètres",IF(OR(NOT(ISNUMBER(E925)),N(E925)&lt;=0,N(E925)&gt;1440),"Durée invalide",IF(COUNTIFS(sj_date,A925,sj_eq,B925,sj_po,C925)=0,"Pas de saisie journalière ce jour-là","OK")))))))))))</f>
        <v/>
      </c>
      <c r="J925">
        <f>IF(OR(I925="OK",I925="Pas de saisie journalière ce jour-là"),E925,0)</f>
        <v>0.0</v>
      </c>
      <c r="K925">
        <f>IF(AND(J925&gt;0,A925&gt;=p_from,A925&lt;=p_to),1,0)</f>
        <v>0.0</v>
      </c>
      <c r="L925">
        <f>IF(AND(K925=1,OR(pa_po="",C925=pa_po),OR(pa_eq="",B925=pa_eq)),1,0)</f>
        <v>0.0</v>
      </c>
    </row>
    <row r="926">
      <c r="A926" s="51" t="n"/>
      <c r="B926" s="52" t="n"/>
      <c r="C926" s="52" t="n"/>
      <c r="D926" s="53" t="n"/>
      <c r="E926" s="60" t="n"/>
      <c r="F926" s="53" t="n"/>
      <c r="G926" s="61" t="str">
        <f>IF(OR(COUNTA(A926:E926)=0,D926=""),"",IFERROR(INDEX(ca_fam,MATCH(D926,ca_name,0))&amp;"",""))</f>
        <v/>
      </c>
      <c r="H926" s="58" t="str">
        <f>IF(OR(COUNTA(A926:E926)=0,D926=""),"",IFERROR(INDEX(ca_type,MATCH(D926,ca_name,0))&amp;"",""))</f>
        <v/>
      </c>
      <c r="I926" s="58" t="str">
        <f>IF(COUNTA(A926:E926)=0,"",IF(N(A926)&lt;=0,"Date manquante ou invalide",IF(B926="","Équipe manquante",IF(ISNA(MATCH(B926,eq_code,0)),"Équipe inconnue",IF(C926="","Poste manquant",IF(ISNA(MATCH(C926,po_code,0)),"Poste inconnu",IF(D926="","Cause manquante",IF(ISNA(MATCH(D926,ca_name,0)),"Cause inconnue",IF(H926="","Cause à compléter dans Paramètres",IF(OR(NOT(ISNUMBER(E926)),N(E926)&lt;=0,N(E926)&gt;1440),"Durée invalide",IF(COUNTIFS(sj_date,A926,sj_eq,B926,sj_po,C926)=0,"Pas de saisie journalière ce jour-là","OK")))))))))))</f>
        <v/>
      </c>
      <c r="J926">
        <f>IF(OR(I926="OK",I926="Pas de saisie journalière ce jour-là"),E926,0)</f>
        <v>0.0</v>
      </c>
      <c r="K926">
        <f>IF(AND(J926&gt;0,A926&gt;=p_from,A926&lt;=p_to),1,0)</f>
        <v>0.0</v>
      </c>
      <c r="L926">
        <f>IF(AND(K926=1,OR(pa_po="",C926=pa_po),OR(pa_eq="",B926=pa_eq)),1,0)</f>
        <v>0.0</v>
      </c>
    </row>
    <row r="927">
      <c r="A927" s="51" t="n"/>
      <c r="B927" s="52" t="n"/>
      <c r="C927" s="52" t="n"/>
      <c r="D927" s="53" t="n"/>
      <c r="E927" s="60" t="n"/>
      <c r="F927" s="53" t="n"/>
      <c r="G927" s="61" t="str">
        <f>IF(OR(COUNTA(A927:E927)=0,D927=""),"",IFERROR(INDEX(ca_fam,MATCH(D927,ca_name,0))&amp;"",""))</f>
        <v/>
      </c>
      <c r="H927" s="58" t="str">
        <f>IF(OR(COUNTA(A927:E927)=0,D927=""),"",IFERROR(INDEX(ca_type,MATCH(D927,ca_name,0))&amp;"",""))</f>
        <v/>
      </c>
      <c r="I927" s="58" t="str">
        <f>IF(COUNTA(A927:E927)=0,"",IF(N(A927)&lt;=0,"Date manquante ou invalide",IF(B927="","Équipe manquante",IF(ISNA(MATCH(B927,eq_code,0)),"Équipe inconnue",IF(C927="","Poste manquant",IF(ISNA(MATCH(C927,po_code,0)),"Poste inconnu",IF(D927="","Cause manquante",IF(ISNA(MATCH(D927,ca_name,0)),"Cause inconnue",IF(H927="","Cause à compléter dans Paramètres",IF(OR(NOT(ISNUMBER(E927)),N(E927)&lt;=0,N(E927)&gt;1440),"Durée invalide",IF(COUNTIFS(sj_date,A927,sj_eq,B927,sj_po,C927)=0,"Pas de saisie journalière ce jour-là","OK")))))))))))</f>
        <v/>
      </c>
      <c r="J927">
        <f>IF(OR(I927="OK",I927="Pas de saisie journalière ce jour-là"),E927,0)</f>
        <v>0.0</v>
      </c>
      <c r="K927">
        <f>IF(AND(J927&gt;0,A927&gt;=p_from,A927&lt;=p_to),1,0)</f>
        <v>0.0</v>
      </c>
      <c r="L927">
        <f>IF(AND(K927=1,OR(pa_po="",C927=pa_po),OR(pa_eq="",B927=pa_eq)),1,0)</f>
        <v>0.0</v>
      </c>
    </row>
    <row r="928">
      <c r="A928" s="51" t="n"/>
      <c r="B928" s="52" t="n"/>
      <c r="C928" s="52" t="n"/>
      <c r="D928" s="53" t="n"/>
      <c r="E928" s="60" t="n"/>
      <c r="F928" s="53" t="n"/>
      <c r="G928" s="61" t="str">
        <f>IF(OR(COUNTA(A928:E928)=0,D928=""),"",IFERROR(INDEX(ca_fam,MATCH(D928,ca_name,0))&amp;"",""))</f>
        <v/>
      </c>
      <c r="H928" s="58" t="str">
        <f>IF(OR(COUNTA(A928:E928)=0,D928=""),"",IFERROR(INDEX(ca_type,MATCH(D928,ca_name,0))&amp;"",""))</f>
        <v/>
      </c>
      <c r="I928" s="58" t="str">
        <f>IF(COUNTA(A928:E928)=0,"",IF(N(A928)&lt;=0,"Date manquante ou invalide",IF(B928="","Équipe manquante",IF(ISNA(MATCH(B928,eq_code,0)),"Équipe inconnue",IF(C928="","Poste manquant",IF(ISNA(MATCH(C928,po_code,0)),"Poste inconnu",IF(D928="","Cause manquante",IF(ISNA(MATCH(D928,ca_name,0)),"Cause inconnue",IF(H928="","Cause à compléter dans Paramètres",IF(OR(NOT(ISNUMBER(E928)),N(E928)&lt;=0,N(E928)&gt;1440),"Durée invalide",IF(COUNTIFS(sj_date,A928,sj_eq,B928,sj_po,C928)=0,"Pas de saisie journalière ce jour-là","OK")))))))))))</f>
        <v/>
      </c>
      <c r="J928">
        <f>IF(OR(I928="OK",I928="Pas de saisie journalière ce jour-là"),E928,0)</f>
        <v>0.0</v>
      </c>
      <c r="K928">
        <f>IF(AND(J928&gt;0,A928&gt;=p_from,A928&lt;=p_to),1,0)</f>
        <v>0.0</v>
      </c>
      <c r="L928">
        <f>IF(AND(K928=1,OR(pa_po="",C928=pa_po),OR(pa_eq="",B928=pa_eq)),1,0)</f>
        <v>0.0</v>
      </c>
    </row>
    <row r="929">
      <c r="A929" s="51" t="n"/>
      <c r="B929" s="52" t="n"/>
      <c r="C929" s="52" t="n"/>
      <c r="D929" s="53" t="n"/>
      <c r="E929" s="60" t="n"/>
      <c r="F929" s="53" t="n"/>
      <c r="G929" s="61" t="str">
        <f>IF(OR(COUNTA(A929:E929)=0,D929=""),"",IFERROR(INDEX(ca_fam,MATCH(D929,ca_name,0))&amp;"",""))</f>
        <v/>
      </c>
      <c r="H929" s="58" t="str">
        <f>IF(OR(COUNTA(A929:E929)=0,D929=""),"",IFERROR(INDEX(ca_type,MATCH(D929,ca_name,0))&amp;"",""))</f>
        <v/>
      </c>
      <c r="I929" s="58" t="str">
        <f>IF(COUNTA(A929:E929)=0,"",IF(N(A929)&lt;=0,"Date manquante ou invalide",IF(B929="","Équipe manquante",IF(ISNA(MATCH(B929,eq_code,0)),"Équipe inconnue",IF(C929="","Poste manquant",IF(ISNA(MATCH(C929,po_code,0)),"Poste inconnu",IF(D929="","Cause manquante",IF(ISNA(MATCH(D929,ca_name,0)),"Cause inconnue",IF(H929="","Cause à compléter dans Paramètres",IF(OR(NOT(ISNUMBER(E929)),N(E929)&lt;=0,N(E929)&gt;1440),"Durée invalide",IF(COUNTIFS(sj_date,A929,sj_eq,B929,sj_po,C929)=0,"Pas de saisie journalière ce jour-là","OK")))))))))))</f>
        <v/>
      </c>
      <c r="J929">
        <f>IF(OR(I929="OK",I929="Pas de saisie journalière ce jour-là"),E929,0)</f>
        <v>0.0</v>
      </c>
      <c r="K929">
        <f>IF(AND(J929&gt;0,A929&gt;=p_from,A929&lt;=p_to),1,0)</f>
        <v>0.0</v>
      </c>
      <c r="L929">
        <f>IF(AND(K929=1,OR(pa_po="",C929=pa_po),OR(pa_eq="",B929=pa_eq)),1,0)</f>
        <v>0.0</v>
      </c>
    </row>
    <row r="930">
      <c r="A930" s="51" t="n"/>
      <c r="B930" s="52" t="n"/>
      <c r="C930" s="52" t="n"/>
      <c r="D930" s="53" t="n"/>
      <c r="E930" s="60" t="n"/>
      <c r="F930" s="53" t="n"/>
      <c r="G930" s="61" t="str">
        <f>IF(OR(COUNTA(A930:E930)=0,D930=""),"",IFERROR(INDEX(ca_fam,MATCH(D930,ca_name,0))&amp;"",""))</f>
        <v/>
      </c>
      <c r="H930" s="58" t="str">
        <f>IF(OR(COUNTA(A930:E930)=0,D930=""),"",IFERROR(INDEX(ca_type,MATCH(D930,ca_name,0))&amp;"",""))</f>
        <v/>
      </c>
      <c r="I930" s="58" t="str">
        <f>IF(COUNTA(A930:E930)=0,"",IF(N(A930)&lt;=0,"Date manquante ou invalide",IF(B930="","Équipe manquante",IF(ISNA(MATCH(B930,eq_code,0)),"Équipe inconnue",IF(C930="","Poste manquant",IF(ISNA(MATCH(C930,po_code,0)),"Poste inconnu",IF(D930="","Cause manquante",IF(ISNA(MATCH(D930,ca_name,0)),"Cause inconnue",IF(H930="","Cause à compléter dans Paramètres",IF(OR(NOT(ISNUMBER(E930)),N(E930)&lt;=0,N(E930)&gt;1440),"Durée invalide",IF(COUNTIFS(sj_date,A930,sj_eq,B930,sj_po,C930)=0,"Pas de saisie journalière ce jour-là","OK")))))))))))</f>
        <v/>
      </c>
      <c r="J930">
        <f>IF(OR(I930="OK",I930="Pas de saisie journalière ce jour-là"),E930,0)</f>
        <v>0.0</v>
      </c>
      <c r="K930">
        <f>IF(AND(J930&gt;0,A930&gt;=p_from,A930&lt;=p_to),1,0)</f>
        <v>0.0</v>
      </c>
      <c r="L930">
        <f>IF(AND(K930=1,OR(pa_po="",C930=pa_po),OR(pa_eq="",B930=pa_eq)),1,0)</f>
        <v>0.0</v>
      </c>
    </row>
    <row r="931">
      <c r="A931" s="51" t="n"/>
      <c r="B931" s="52" t="n"/>
      <c r="C931" s="52" t="n"/>
      <c r="D931" s="53" t="n"/>
      <c r="E931" s="60" t="n"/>
      <c r="F931" s="53" t="n"/>
      <c r="G931" s="61" t="str">
        <f>IF(OR(COUNTA(A931:E931)=0,D931=""),"",IFERROR(INDEX(ca_fam,MATCH(D931,ca_name,0))&amp;"",""))</f>
        <v/>
      </c>
      <c r="H931" s="58" t="str">
        <f>IF(OR(COUNTA(A931:E931)=0,D931=""),"",IFERROR(INDEX(ca_type,MATCH(D931,ca_name,0))&amp;"",""))</f>
        <v/>
      </c>
      <c r="I931" s="58" t="str">
        <f>IF(COUNTA(A931:E931)=0,"",IF(N(A931)&lt;=0,"Date manquante ou invalide",IF(B931="","Équipe manquante",IF(ISNA(MATCH(B931,eq_code,0)),"Équipe inconnue",IF(C931="","Poste manquant",IF(ISNA(MATCH(C931,po_code,0)),"Poste inconnu",IF(D931="","Cause manquante",IF(ISNA(MATCH(D931,ca_name,0)),"Cause inconnue",IF(H931="","Cause à compléter dans Paramètres",IF(OR(NOT(ISNUMBER(E931)),N(E931)&lt;=0,N(E931)&gt;1440),"Durée invalide",IF(COUNTIFS(sj_date,A931,sj_eq,B931,sj_po,C931)=0,"Pas de saisie journalière ce jour-là","OK")))))))))))</f>
        <v/>
      </c>
      <c r="J931">
        <f>IF(OR(I931="OK",I931="Pas de saisie journalière ce jour-là"),E931,0)</f>
        <v>0.0</v>
      </c>
      <c r="K931">
        <f>IF(AND(J931&gt;0,A931&gt;=p_from,A931&lt;=p_to),1,0)</f>
        <v>0.0</v>
      </c>
      <c r="L931">
        <f>IF(AND(K931=1,OR(pa_po="",C931=pa_po),OR(pa_eq="",B931=pa_eq)),1,0)</f>
        <v>0.0</v>
      </c>
    </row>
    <row r="932">
      <c r="A932" s="51" t="n"/>
      <c r="B932" s="52" t="n"/>
      <c r="C932" s="52" t="n"/>
      <c r="D932" s="53" t="n"/>
      <c r="E932" s="60" t="n"/>
      <c r="F932" s="53" t="n"/>
      <c r="G932" s="61" t="str">
        <f>IF(OR(COUNTA(A932:E932)=0,D932=""),"",IFERROR(INDEX(ca_fam,MATCH(D932,ca_name,0))&amp;"",""))</f>
        <v/>
      </c>
      <c r="H932" s="58" t="str">
        <f>IF(OR(COUNTA(A932:E932)=0,D932=""),"",IFERROR(INDEX(ca_type,MATCH(D932,ca_name,0))&amp;"",""))</f>
        <v/>
      </c>
      <c r="I932" s="58" t="str">
        <f>IF(COUNTA(A932:E932)=0,"",IF(N(A932)&lt;=0,"Date manquante ou invalide",IF(B932="","Équipe manquante",IF(ISNA(MATCH(B932,eq_code,0)),"Équipe inconnue",IF(C932="","Poste manquant",IF(ISNA(MATCH(C932,po_code,0)),"Poste inconnu",IF(D932="","Cause manquante",IF(ISNA(MATCH(D932,ca_name,0)),"Cause inconnue",IF(H932="","Cause à compléter dans Paramètres",IF(OR(NOT(ISNUMBER(E932)),N(E932)&lt;=0,N(E932)&gt;1440),"Durée invalide",IF(COUNTIFS(sj_date,A932,sj_eq,B932,sj_po,C932)=0,"Pas de saisie journalière ce jour-là","OK")))))))))))</f>
        <v/>
      </c>
      <c r="J932">
        <f>IF(OR(I932="OK",I932="Pas de saisie journalière ce jour-là"),E932,0)</f>
        <v>0.0</v>
      </c>
      <c r="K932">
        <f>IF(AND(J932&gt;0,A932&gt;=p_from,A932&lt;=p_to),1,0)</f>
        <v>0.0</v>
      </c>
      <c r="L932">
        <f>IF(AND(K932=1,OR(pa_po="",C932=pa_po),OR(pa_eq="",B932=pa_eq)),1,0)</f>
        <v>0.0</v>
      </c>
    </row>
    <row r="933">
      <c r="A933" s="51" t="n"/>
      <c r="B933" s="52" t="n"/>
      <c r="C933" s="52" t="n"/>
      <c r="D933" s="53" t="n"/>
      <c r="E933" s="60" t="n"/>
      <c r="F933" s="53" t="n"/>
      <c r="G933" s="61" t="str">
        <f>IF(OR(COUNTA(A933:E933)=0,D933=""),"",IFERROR(INDEX(ca_fam,MATCH(D933,ca_name,0))&amp;"",""))</f>
        <v/>
      </c>
      <c r="H933" s="58" t="str">
        <f>IF(OR(COUNTA(A933:E933)=0,D933=""),"",IFERROR(INDEX(ca_type,MATCH(D933,ca_name,0))&amp;"",""))</f>
        <v/>
      </c>
      <c r="I933" s="58" t="str">
        <f>IF(COUNTA(A933:E933)=0,"",IF(N(A933)&lt;=0,"Date manquante ou invalide",IF(B933="","Équipe manquante",IF(ISNA(MATCH(B933,eq_code,0)),"Équipe inconnue",IF(C933="","Poste manquant",IF(ISNA(MATCH(C933,po_code,0)),"Poste inconnu",IF(D933="","Cause manquante",IF(ISNA(MATCH(D933,ca_name,0)),"Cause inconnue",IF(H933="","Cause à compléter dans Paramètres",IF(OR(NOT(ISNUMBER(E933)),N(E933)&lt;=0,N(E933)&gt;1440),"Durée invalide",IF(COUNTIFS(sj_date,A933,sj_eq,B933,sj_po,C933)=0,"Pas de saisie journalière ce jour-là","OK")))))))))))</f>
        <v/>
      </c>
      <c r="J933">
        <f>IF(OR(I933="OK",I933="Pas de saisie journalière ce jour-là"),E933,0)</f>
        <v>0.0</v>
      </c>
      <c r="K933">
        <f>IF(AND(J933&gt;0,A933&gt;=p_from,A933&lt;=p_to),1,0)</f>
        <v>0.0</v>
      </c>
      <c r="L933">
        <f>IF(AND(K933=1,OR(pa_po="",C933=pa_po),OR(pa_eq="",B933=pa_eq)),1,0)</f>
        <v>0.0</v>
      </c>
    </row>
    <row r="934">
      <c r="A934" s="51" t="n"/>
      <c r="B934" s="52" t="n"/>
      <c r="C934" s="52" t="n"/>
      <c r="D934" s="53" t="n"/>
      <c r="E934" s="60" t="n"/>
      <c r="F934" s="53" t="n"/>
      <c r="G934" s="61" t="str">
        <f>IF(OR(COUNTA(A934:E934)=0,D934=""),"",IFERROR(INDEX(ca_fam,MATCH(D934,ca_name,0))&amp;"",""))</f>
        <v/>
      </c>
      <c r="H934" s="58" t="str">
        <f>IF(OR(COUNTA(A934:E934)=0,D934=""),"",IFERROR(INDEX(ca_type,MATCH(D934,ca_name,0))&amp;"",""))</f>
        <v/>
      </c>
      <c r="I934" s="58" t="str">
        <f>IF(COUNTA(A934:E934)=0,"",IF(N(A934)&lt;=0,"Date manquante ou invalide",IF(B934="","Équipe manquante",IF(ISNA(MATCH(B934,eq_code,0)),"Équipe inconnue",IF(C934="","Poste manquant",IF(ISNA(MATCH(C934,po_code,0)),"Poste inconnu",IF(D934="","Cause manquante",IF(ISNA(MATCH(D934,ca_name,0)),"Cause inconnue",IF(H934="","Cause à compléter dans Paramètres",IF(OR(NOT(ISNUMBER(E934)),N(E934)&lt;=0,N(E934)&gt;1440),"Durée invalide",IF(COUNTIFS(sj_date,A934,sj_eq,B934,sj_po,C934)=0,"Pas de saisie journalière ce jour-là","OK")))))))))))</f>
        <v/>
      </c>
      <c r="J934">
        <f>IF(OR(I934="OK",I934="Pas de saisie journalière ce jour-là"),E934,0)</f>
        <v>0.0</v>
      </c>
      <c r="K934">
        <f>IF(AND(J934&gt;0,A934&gt;=p_from,A934&lt;=p_to),1,0)</f>
        <v>0.0</v>
      </c>
      <c r="L934">
        <f>IF(AND(K934=1,OR(pa_po="",C934=pa_po),OR(pa_eq="",B934=pa_eq)),1,0)</f>
        <v>0.0</v>
      </c>
    </row>
    <row r="935">
      <c r="A935" s="51" t="n"/>
      <c r="B935" s="52" t="n"/>
      <c r="C935" s="52" t="n"/>
      <c r="D935" s="53" t="n"/>
      <c r="E935" s="60" t="n"/>
      <c r="F935" s="53" t="n"/>
      <c r="G935" s="61" t="str">
        <f>IF(OR(COUNTA(A935:E935)=0,D935=""),"",IFERROR(INDEX(ca_fam,MATCH(D935,ca_name,0))&amp;"",""))</f>
        <v/>
      </c>
      <c r="H935" s="58" t="str">
        <f>IF(OR(COUNTA(A935:E935)=0,D935=""),"",IFERROR(INDEX(ca_type,MATCH(D935,ca_name,0))&amp;"",""))</f>
        <v/>
      </c>
      <c r="I935" s="58" t="str">
        <f>IF(COUNTA(A935:E935)=0,"",IF(N(A935)&lt;=0,"Date manquante ou invalide",IF(B935="","Équipe manquante",IF(ISNA(MATCH(B935,eq_code,0)),"Équipe inconnue",IF(C935="","Poste manquant",IF(ISNA(MATCH(C935,po_code,0)),"Poste inconnu",IF(D935="","Cause manquante",IF(ISNA(MATCH(D935,ca_name,0)),"Cause inconnue",IF(H935="","Cause à compléter dans Paramètres",IF(OR(NOT(ISNUMBER(E935)),N(E935)&lt;=0,N(E935)&gt;1440),"Durée invalide",IF(COUNTIFS(sj_date,A935,sj_eq,B935,sj_po,C935)=0,"Pas de saisie journalière ce jour-là","OK")))))))))))</f>
        <v/>
      </c>
      <c r="J935">
        <f>IF(OR(I935="OK",I935="Pas de saisie journalière ce jour-là"),E935,0)</f>
        <v>0.0</v>
      </c>
      <c r="K935">
        <f>IF(AND(J935&gt;0,A935&gt;=p_from,A935&lt;=p_to),1,0)</f>
        <v>0.0</v>
      </c>
      <c r="L935">
        <f>IF(AND(K935=1,OR(pa_po="",C935=pa_po),OR(pa_eq="",B935=pa_eq)),1,0)</f>
        <v>0.0</v>
      </c>
    </row>
    <row r="936">
      <c r="A936" s="51" t="n"/>
      <c r="B936" s="52" t="n"/>
      <c r="C936" s="52" t="n"/>
      <c r="D936" s="53" t="n"/>
      <c r="E936" s="60" t="n"/>
      <c r="F936" s="53" t="n"/>
      <c r="G936" s="61" t="str">
        <f>IF(OR(COUNTA(A936:E936)=0,D936=""),"",IFERROR(INDEX(ca_fam,MATCH(D936,ca_name,0))&amp;"",""))</f>
        <v/>
      </c>
      <c r="H936" s="58" t="str">
        <f>IF(OR(COUNTA(A936:E936)=0,D936=""),"",IFERROR(INDEX(ca_type,MATCH(D936,ca_name,0))&amp;"",""))</f>
        <v/>
      </c>
      <c r="I936" s="58" t="str">
        <f>IF(COUNTA(A936:E936)=0,"",IF(N(A936)&lt;=0,"Date manquante ou invalide",IF(B936="","Équipe manquante",IF(ISNA(MATCH(B936,eq_code,0)),"Équipe inconnue",IF(C936="","Poste manquant",IF(ISNA(MATCH(C936,po_code,0)),"Poste inconnu",IF(D936="","Cause manquante",IF(ISNA(MATCH(D936,ca_name,0)),"Cause inconnue",IF(H936="","Cause à compléter dans Paramètres",IF(OR(NOT(ISNUMBER(E936)),N(E936)&lt;=0,N(E936)&gt;1440),"Durée invalide",IF(COUNTIFS(sj_date,A936,sj_eq,B936,sj_po,C936)=0,"Pas de saisie journalière ce jour-là","OK")))))))))))</f>
        <v/>
      </c>
      <c r="J936">
        <f>IF(OR(I936="OK",I936="Pas de saisie journalière ce jour-là"),E936,0)</f>
        <v>0.0</v>
      </c>
      <c r="K936">
        <f>IF(AND(J936&gt;0,A936&gt;=p_from,A936&lt;=p_to),1,0)</f>
        <v>0.0</v>
      </c>
      <c r="L936">
        <f>IF(AND(K936=1,OR(pa_po="",C936=pa_po),OR(pa_eq="",B936=pa_eq)),1,0)</f>
        <v>0.0</v>
      </c>
    </row>
    <row r="937">
      <c r="A937" s="51" t="n"/>
      <c r="B937" s="52" t="n"/>
      <c r="C937" s="52" t="n"/>
      <c r="D937" s="53" t="n"/>
      <c r="E937" s="60" t="n"/>
      <c r="F937" s="53" t="n"/>
      <c r="G937" s="61" t="str">
        <f>IF(OR(COUNTA(A937:E937)=0,D937=""),"",IFERROR(INDEX(ca_fam,MATCH(D937,ca_name,0))&amp;"",""))</f>
        <v/>
      </c>
      <c r="H937" s="58" t="str">
        <f>IF(OR(COUNTA(A937:E937)=0,D937=""),"",IFERROR(INDEX(ca_type,MATCH(D937,ca_name,0))&amp;"",""))</f>
        <v/>
      </c>
      <c r="I937" s="58" t="str">
        <f>IF(COUNTA(A937:E937)=0,"",IF(N(A937)&lt;=0,"Date manquante ou invalide",IF(B937="","Équipe manquante",IF(ISNA(MATCH(B937,eq_code,0)),"Équipe inconnue",IF(C937="","Poste manquant",IF(ISNA(MATCH(C937,po_code,0)),"Poste inconnu",IF(D937="","Cause manquante",IF(ISNA(MATCH(D937,ca_name,0)),"Cause inconnue",IF(H937="","Cause à compléter dans Paramètres",IF(OR(NOT(ISNUMBER(E937)),N(E937)&lt;=0,N(E937)&gt;1440),"Durée invalide",IF(COUNTIFS(sj_date,A937,sj_eq,B937,sj_po,C937)=0,"Pas de saisie journalière ce jour-là","OK")))))))))))</f>
        <v/>
      </c>
      <c r="J937">
        <f>IF(OR(I937="OK",I937="Pas de saisie journalière ce jour-là"),E937,0)</f>
        <v>0.0</v>
      </c>
      <c r="K937">
        <f>IF(AND(J937&gt;0,A937&gt;=p_from,A937&lt;=p_to),1,0)</f>
        <v>0.0</v>
      </c>
      <c r="L937">
        <f>IF(AND(K937=1,OR(pa_po="",C937=pa_po),OR(pa_eq="",B937=pa_eq)),1,0)</f>
        <v>0.0</v>
      </c>
    </row>
    <row r="938">
      <c r="A938" s="51" t="n"/>
      <c r="B938" s="52" t="n"/>
      <c r="C938" s="52" t="n"/>
      <c r="D938" s="53" t="n"/>
      <c r="E938" s="60" t="n"/>
      <c r="F938" s="53" t="n"/>
      <c r="G938" s="61" t="str">
        <f>IF(OR(COUNTA(A938:E938)=0,D938=""),"",IFERROR(INDEX(ca_fam,MATCH(D938,ca_name,0))&amp;"",""))</f>
        <v/>
      </c>
      <c r="H938" s="58" t="str">
        <f>IF(OR(COUNTA(A938:E938)=0,D938=""),"",IFERROR(INDEX(ca_type,MATCH(D938,ca_name,0))&amp;"",""))</f>
        <v/>
      </c>
      <c r="I938" s="58" t="str">
        <f>IF(COUNTA(A938:E938)=0,"",IF(N(A938)&lt;=0,"Date manquante ou invalide",IF(B938="","Équipe manquante",IF(ISNA(MATCH(B938,eq_code,0)),"Équipe inconnue",IF(C938="","Poste manquant",IF(ISNA(MATCH(C938,po_code,0)),"Poste inconnu",IF(D938="","Cause manquante",IF(ISNA(MATCH(D938,ca_name,0)),"Cause inconnue",IF(H938="","Cause à compléter dans Paramètres",IF(OR(NOT(ISNUMBER(E938)),N(E938)&lt;=0,N(E938)&gt;1440),"Durée invalide",IF(COUNTIFS(sj_date,A938,sj_eq,B938,sj_po,C938)=0,"Pas de saisie journalière ce jour-là","OK")))))))))))</f>
        <v/>
      </c>
      <c r="J938">
        <f>IF(OR(I938="OK",I938="Pas de saisie journalière ce jour-là"),E938,0)</f>
        <v>0.0</v>
      </c>
      <c r="K938">
        <f>IF(AND(J938&gt;0,A938&gt;=p_from,A938&lt;=p_to),1,0)</f>
        <v>0.0</v>
      </c>
      <c r="L938">
        <f>IF(AND(K938=1,OR(pa_po="",C938=pa_po),OR(pa_eq="",B938=pa_eq)),1,0)</f>
        <v>0.0</v>
      </c>
    </row>
    <row r="939">
      <c r="A939" s="51" t="n"/>
      <c r="B939" s="52" t="n"/>
      <c r="C939" s="52" t="n"/>
      <c r="D939" s="53" t="n"/>
      <c r="E939" s="60" t="n"/>
      <c r="F939" s="53" t="n"/>
      <c r="G939" s="61" t="str">
        <f>IF(OR(COUNTA(A939:E939)=0,D939=""),"",IFERROR(INDEX(ca_fam,MATCH(D939,ca_name,0))&amp;"",""))</f>
        <v/>
      </c>
      <c r="H939" s="58" t="str">
        <f>IF(OR(COUNTA(A939:E939)=0,D939=""),"",IFERROR(INDEX(ca_type,MATCH(D939,ca_name,0))&amp;"",""))</f>
        <v/>
      </c>
      <c r="I939" s="58" t="str">
        <f>IF(COUNTA(A939:E939)=0,"",IF(N(A939)&lt;=0,"Date manquante ou invalide",IF(B939="","Équipe manquante",IF(ISNA(MATCH(B939,eq_code,0)),"Équipe inconnue",IF(C939="","Poste manquant",IF(ISNA(MATCH(C939,po_code,0)),"Poste inconnu",IF(D939="","Cause manquante",IF(ISNA(MATCH(D939,ca_name,0)),"Cause inconnue",IF(H939="","Cause à compléter dans Paramètres",IF(OR(NOT(ISNUMBER(E939)),N(E939)&lt;=0,N(E939)&gt;1440),"Durée invalide",IF(COUNTIFS(sj_date,A939,sj_eq,B939,sj_po,C939)=0,"Pas de saisie journalière ce jour-là","OK")))))))))))</f>
        <v/>
      </c>
      <c r="J939">
        <f>IF(OR(I939="OK",I939="Pas de saisie journalière ce jour-là"),E939,0)</f>
        <v>0.0</v>
      </c>
      <c r="K939">
        <f>IF(AND(J939&gt;0,A939&gt;=p_from,A939&lt;=p_to),1,0)</f>
        <v>0.0</v>
      </c>
      <c r="L939">
        <f>IF(AND(K939=1,OR(pa_po="",C939=pa_po),OR(pa_eq="",B939=pa_eq)),1,0)</f>
        <v>0.0</v>
      </c>
    </row>
    <row r="940">
      <c r="A940" s="51" t="n"/>
      <c r="B940" s="52" t="n"/>
      <c r="C940" s="52" t="n"/>
      <c r="D940" s="53" t="n"/>
      <c r="E940" s="60" t="n"/>
      <c r="F940" s="53" t="n"/>
      <c r="G940" s="61" t="str">
        <f>IF(OR(COUNTA(A940:E940)=0,D940=""),"",IFERROR(INDEX(ca_fam,MATCH(D940,ca_name,0))&amp;"",""))</f>
        <v/>
      </c>
      <c r="H940" s="58" t="str">
        <f>IF(OR(COUNTA(A940:E940)=0,D940=""),"",IFERROR(INDEX(ca_type,MATCH(D940,ca_name,0))&amp;"",""))</f>
        <v/>
      </c>
      <c r="I940" s="58" t="str">
        <f>IF(COUNTA(A940:E940)=0,"",IF(N(A940)&lt;=0,"Date manquante ou invalide",IF(B940="","Équipe manquante",IF(ISNA(MATCH(B940,eq_code,0)),"Équipe inconnue",IF(C940="","Poste manquant",IF(ISNA(MATCH(C940,po_code,0)),"Poste inconnu",IF(D940="","Cause manquante",IF(ISNA(MATCH(D940,ca_name,0)),"Cause inconnue",IF(H940="","Cause à compléter dans Paramètres",IF(OR(NOT(ISNUMBER(E940)),N(E940)&lt;=0,N(E940)&gt;1440),"Durée invalide",IF(COUNTIFS(sj_date,A940,sj_eq,B940,sj_po,C940)=0,"Pas de saisie journalière ce jour-là","OK")))))))))))</f>
        <v/>
      </c>
      <c r="J940">
        <f>IF(OR(I940="OK",I940="Pas de saisie journalière ce jour-là"),E940,0)</f>
        <v>0.0</v>
      </c>
      <c r="K940">
        <f>IF(AND(J940&gt;0,A940&gt;=p_from,A940&lt;=p_to),1,0)</f>
        <v>0.0</v>
      </c>
      <c r="L940">
        <f>IF(AND(K940=1,OR(pa_po="",C940=pa_po),OR(pa_eq="",B940=pa_eq)),1,0)</f>
        <v>0.0</v>
      </c>
    </row>
    <row r="941">
      <c r="A941" s="51" t="n"/>
      <c r="B941" s="52" t="n"/>
      <c r="C941" s="52" t="n"/>
      <c r="D941" s="53" t="n"/>
      <c r="E941" s="60" t="n"/>
      <c r="F941" s="53" t="n"/>
      <c r="G941" s="61" t="str">
        <f>IF(OR(COUNTA(A941:E941)=0,D941=""),"",IFERROR(INDEX(ca_fam,MATCH(D941,ca_name,0))&amp;"",""))</f>
        <v/>
      </c>
      <c r="H941" s="58" t="str">
        <f>IF(OR(COUNTA(A941:E941)=0,D941=""),"",IFERROR(INDEX(ca_type,MATCH(D941,ca_name,0))&amp;"",""))</f>
        <v/>
      </c>
      <c r="I941" s="58" t="str">
        <f>IF(COUNTA(A941:E941)=0,"",IF(N(A941)&lt;=0,"Date manquante ou invalide",IF(B941="","Équipe manquante",IF(ISNA(MATCH(B941,eq_code,0)),"Équipe inconnue",IF(C941="","Poste manquant",IF(ISNA(MATCH(C941,po_code,0)),"Poste inconnu",IF(D941="","Cause manquante",IF(ISNA(MATCH(D941,ca_name,0)),"Cause inconnue",IF(H941="","Cause à compléter dans Paramètres",IF(OR(NOT(ISNUMBER(E941)),N(E941)&lt;=0,N(E941)&gt;1440),"Durée invalide",IF(COUNTIFS(sj_date,A941,sj_eq,B941,sj_po,C941)=0,"Pas de saisie journalière ce jour-là","OK")))))))))))</f>
        <v/>
      </c>
      <c r="J941">
        <f>IF(OR(I941="OK",I941="Pas de saisie journalière ce jour-là"),E941,0)</f>
        <v>0.0</v>
      </c>
      <c r="K941">
        <f>IF(AND(J941&gt;0,A941&gt;=p_from,A941&lt;=p_to),1,0)</f>
        <v>0.0</v>
      </c>
      <c r="L941">
        <f>IF(AND(K941=1,OR(pa_po="",C941=pa_po),OR(pa_eq="",B941=pa_eq)),1,0)</f>
        <v>0.0</v>
      </c>
    </row>
    <row r="942">
      <c r="A942" s="51" t="n"/>
      <c r="B942" s="52" t="n"/>
      <c r="C942" s="52" t="n"/>
      <c r="D942" s="53" t="n"/>
      <c r="E942" s="60" t="n"/>
      <c r="F942" s="53" t="n"/>
      <c r="G942" s="61" t="str">
        <f>IF(OR(COUNTA(A942:E942)=0,D942=""),"",IFERROR(INDEX(ca_fam,MATCH(D942,ca_name,0))&amp;"",""))</f>
        <v/>
      </c>
      <c r="H942" s="58" t="str">
        <f>IF(OR(COUNTA(A942:E942)=0,D942=""),"",IFERROR(INDEX(ca_type,MATCH(D942,ca_name,0))&amp;"",""))</f>
        <v/>
      </c>
      <c r="I942" s="58" t="str">
        <f>IF(COUNTA(A942:E942)=0,"",IF(N(A942)&lt;=0,"Date manquante ou invalide",IF(B942="","Équipe manquante",IF(ISNA(MATCH(B942,eq_code,0)),"Équipe inconnue",IF(C942="","Poste manquant",IF(ISNA(MATCH(C942,po_code,0)),"Poste inconnu",IF(D942="","Cause manquante",IF(ISNA(MATCH(D942,ca_name,0)),"Cause inconnue",IF(H942="","Cause à compléter dans Paramètres",IF(OR(NOT(ISNUMBER(E942)),N(E942)&lt;=0,N(E942)&gt;1440),"Durée invalide",IF(COUNTIFS(sj_date,A942,sj_eq,B942,sj_po,C942)=0,"Pas de saisie journalière ce jour-là","OK")))))))))))</f>
        <v/>
      </c>
      <c r="J942">
        <f>IF(OR(I942="OK",I942="Pas de saisie journalière ce jour-là"),E942,0)</f>
        <v>0.0</v>
      </c>
      <c r="K942">
        <f>IF(AND(J942&gt;0,A942&gt;=p_from,A942&lt;=p_to),1,0)</f>
        <v>0.0</v>
      </c>
      <c r="L942">
        <f>IF(AND(K942=1,OR(pa_po="",C942=pa_po),OR(pa_eq="",B942=pa_eq)),1,0)</f>
        <v>0.0</v>
      </c>
    </row>
    <row r="943">
      <c r="A943" s="51" t="n"/>
      <c r="B943" s="52" t="n"/>
      <c r="C943" s="52" t="n"/>
      <c r="D943" s="53" t="n"/>
      <c r="E943" s="60" t="n"/>
      <c r="F943" s="53" t="n"/>
      <c r="G943" s="61" t="str">
        <f>IF(OR(COUNTA(A943:E943)=0,D943=""),"",IFERROR(INDEX(ca_fam,MATCH(D943,ca_name,0))&amp;"",""))</f>
        <v/>
      </c>
      <c r="H943" s="58" t="str">
        <f>IF(OR(COUNTA(A943:E943)=0,D943=""),"",IFERROR(INDEX(ca_type,MATCH(D943,ca_name,0))&amp;"",""))</f>
        <v/>
      </c>
      <c r="I943" s="58" t="str">
        <f>IF(COUNTA(A943:E943)=0,"",IF(N(A943)&lt;=0,"Date manquante ou invalide",IF(B943="","Équipe manquante",IF(ISNA(MATCH(B943,eq_code,0)),"Équipe inconnue",IF(C943="","Poste manquant",IF(ISNA(MATCH(C943,po_code,0)),"Poste inconnu",IF(D943="","Cause manquante",IF(ISNA(MATCH(D943,ca_name,0)),"Cause inconnue",IF(H943="","Cause à compléter dans Paramètres",IF(OR(NOT(ISNUMBER(E943)),N(E943)&lt;=0,N(E943)&gt;1440),"Durée invalide",IF(COUNTIFS(sj_date,A943,sj_eq,B943,sj_po,C943)=0,"Pas de saisie journalière ce jour-là","OK")))))))))))</f>
        <v/>
      </c>
      <c r="J943">
        <f>IF(OR(I943="OK",I943="Pas de saisie journalière ce jour-là"),E943,0)</f>
        <v>0.0</v>
      </c>
      <c r="K943">
        <f>IF(AND(J943&gt;0,A943&gt;=p_from,A943&lt;=p_to),1,0)</f>
        <v>0.0</v>
      </c>
      <c r="L943">
        <f>IF(AND(K943=1,OR(pa_po="",C943=pa_po),OR(pa_eq="",B943=pa_eq)),1,0)</f>
        <v>0.0</v>
      </c>
    </row>
    <row r="944">
      <c r="A944" s="51" t="n"/>
      <c r="B944" s="52" t="n"/>
      <c r="C944" s="52" t="n"/>
      <c r="D944" s="53" t="n"/>
      <c r="E944" s="60" t="n"/>
      <c r="F944" s="53" t="n"/>
      <c r="G944" s="61" t="str">
        <f>IF(OR(COUNTA(A944:E944)=0,D944=""),"",IFERROR(INDEX(ca_fam,MATCH(D944,ca_name,0))&amp;"",""))</f>
        <v/>
      </c>
      <c r="H944" s="58" t="str">
        <f>IF(OR(COUNTA(A944:E944)=0,D944=""),"",IFERROR(INDEX(ca_type,MATCH(D944,ca_name,0))&amp;"",""))</f>
        <v/>
      </c>
      <c r="I944" s="58" t="str">
        <f>IF(COUNTA(A944:E944)=0,"",IF(N(A944)&lt;=0,"Date manquante ou invalide",IF(B944="","Équipe manquante",IF(ISNA(MATCH(B944,eq_code,0)),"Équipe inconnue",IF(C944="","Poste manquant",IF(ISNA(MATCH(C944,po_code,0)),"Poste inconnu",IF(D944="","Cause manquante",IF(ISNA(MATCH(D944,ca_name,0)),"Cause inconnue",IF(H944="","Cause à compléter dans Paramètres",IF(OR(NOT(ISNUMBER(E944)),N(E944)&lt;=0,N(E944)&gt;1440),"Durée invalide",IF(COUNTIFS(sj_date,A944,sj_eq,B944,sj_po,C944)=0,"Pas de saisie journalière ce jour-là","OK")))))))))))</f>
        <v/>
      </c>
      <c r="J944">
        <f>IF(OR(I944="OK",I944="Pas de saisie journalière ce jour-là"),E944,0)</f>
        <v>0.0</v>
      </c>
      <c r="K944">
        <f>IF(AND(J944&gt;0,A944&gt;=p_from,A944&lt;=p_to),1,0)</f>
        <v>0.0</v>
      </c>
      <c r="L944">
        <f>IF(AND(K944=1,OR(pa_po="",C944=pa_po),OR(pa_eq="",B944=pa_eq)),1,0)</f>
        <v>0.0</v>
      </c>
    </row>
    <row r="945">
      <c r="A945" s="51" t="n"/>
      <c r="B945" s="52" t="n"/>
      <c r="C945" s="52" t="n"/>
      <c r="D945" s="53" t="n"/>
      <c r="E945" s="60" t="n"/>
      <c r="F945" s="53" t="n"/>
      <c r="G945" s="61" t="str">
        <f>IF(OR(COUNTA(A945:E945)=0,D945=""),"",IFERROR(INDEX(ca_fam,MATCH(D945,ca_name,0))&amp;"",""))</f>
        <v/>
      </c>
      <c r="H945" s="58" t="str">
        <f>IF(OR(COUNTA(A945:E945)=0,D945=""),"",IFERROR(INDEX(ca_type,MATCH(D945,ca_name,0))&amp;"",""))</f>
        <v/>
      </c>
      <c r="I945" s="58" t="str">
        <f>IF(COUNTA(A945:E945)=0,"",IF(N(A945)&lt;=0,"Date manquante ou invalide",IF(B945="","Équipe manquante",IF(ISNA(MATCH(B945,eq_code,0)),"Équipe inconnue",IF(C945="","Poste manquant",IF(ISNA(MATCH(C945,po_code,0)),"Poste inconnu",IF(D945="","Cause manquante",IF(ISNA(MATCH(D945,ca_name,0)),"Cause inconnue",IF(H945="","Cause à compléter dans Paramètres",IF(OR(NOT(ISNUMBER(E945)),N(E945)&lt;=0,N(E945)&gt;1440),"Durée invalide",IF(COUNTIFS(sj_date,A945,sj_eq,B945,sj_po,C945)=0,"Pas de saisie journalière ce jour-là","OK")))))))))))</f>
        <v/>
      </c>
      <c r="J945">
        <f>IF(OR(I945="OK",I945="Pas de saisie journalière ce jour-là"),E945,0)</f>
        <v>0.0</v>
      </c>
      <c r="K945">
        <f>IF(AND(J945&gt;0,A945&gt;=p_from,A945&lt;=p_to),1,0)</f>
        <v>0.0</v>
      </c>
      <c r="L945">
        <f>IF(AND(K945=1,OR(pa_po="",C945=pa_po),OR(pa_eq="",B945=pa_eq)),1,0)</f>
        <v>0.0</v>
      </c>
    </row>
    <row r="946">
      <c r="A946" s="51" t="n"/>
      <c r="B946" s="52" t="n"/>
      <c r="C946" s="52" t="n"/>
      <c r="D946" s="53" t="n"/>
      <c r="E946" s="60" t="n"/>
      <c r="F946" s="53" t="n"/>
      <c r="G946" s="61" t="str">
        <f>IF(OR(COUNTA(A946:E946)=0,D946=""),"",IFERROR(INDEX(ca_fam,MATCH(D946,ca_name,0))&amp;"",""))</f>
        <v/>
      </c>
      <c r="H946" s="58" t="str">
        <f>IF(OR(COUNTA(A946:E946)=0,D946=""),"",IFERROR(INDEX(ca_type,MATCH(D946,ca_name,0))&amp;"",""))</f>
        <v/>
      </c>
      <c r="I946" s="58" t="str">
        <f>IF(COUNTA(A946:E946)=0,"",IF(N(A946)&lt;=0,"Date manquante ou invalide",IF(B946="","Équipe manquante",IF(ISNA(MATCH(B946,eq_code,0)),"Équipe inconnue",IF(C946="","Poste manquant",IF(ISNA(MATCH(C946,po_code,0)),"Poste inconnu",IF(D946="","Cause manquante",IF(ISNA(MATCH(D946,ca_name,0)),"Cause inconnue",IF(H946="","Cause à compléter dans Paramètres",IF(OR(NOT(ISNUMBER(E946)),N(E946)&lt;=0,N(E946)&gt;1440),"Durée invalide",IF(COUNTIFS(sj_date,A946,sj_eq,B946,sj_po,C946)=0,"Pas de saisie journalière ce jour-là","OK")))))))))))</f>
        <v/>
      </c>
      <c r="J946">
        <f>IF(OR(I946="OK",I946="Pas de saisie journalière ce jour-là"),E946,0)</f>
        <v>0.0</v>
      </c>
      <c r="K946">
        <f>IF(AND(J946&gt;0,A946&gt;=p_from,A946&lt;=p_to),1,0)</f>
        <v>0.0</v>
      </c>
      <c r="L946">
        <f>IF(AND(K946=1,OR(pa_po="",C946=pa_po),OR(pa_eq="",B946=pa_eq)),1,0)</f>
        <v>0.0</v>
      </c>
    </row>
    <row r="947">
      <c r="A947" s="51" t="n"/>
      <c r="B947" s="52" t="n"/>
      <c r="C947" s="52" t="n"/>
      <c r="D947" s="53" t="n"/>
      <c r="E947" s="60" t="n"/>
      <c r="F947" s="53" t="n"/>
      <c r="G947" s="61" t="str">
        <f>IF(OR(COUNTA(A947:E947)=0,D947=""),"",IFERROR(INDEX(ca_fam,MATCH(D947,ca_name,0))&amp;"",""))</f>
        <v/>
      </c>
      <c r="H947" s="58" t="str">
        <f>IF(OR(COUNTA(A947:E947)=0,D947=""),"",IFERROR(INDEX(ca_type,MATCH(D947,ca_name,0))&amp;"",""))</f>
        <v/>
      </c>
      <c r="I947" s="58" t="str">
        <f>IF(COUNTA(A947:E947)=0,"",IF(N(A947)&lt;=0,"Date manquante ou invalide",IF(B947="","Équipe manquante",IF(ISNA(MATCH(B947,eq_code,0)),"Équipe inconnue",IF(C947="","Poste manquant",IF(ISNA(MATCH(C947,po_code,0)),"Poste inconnu",IF(D947="","Cause manquante",IF(ISNA(MATCH(D947,ca_name,0)),"Cause inconnue",IF(H947="","Cause à compléter dans Paramètres",IF(OR(NOT(ISNUMBER(E947)),N(E947)&lt;=0,N(E947)&gt;1440),"Durée invalide",IF(COUNTIFS(sj_date,A947,sj_eq,B947,sj_po,C947)=0,"Pas de saisie journalière ce jour-là","OK")))))))))))</f>
        <v/>
      </c>
      <c r="J947">
        <f>IF(OR(I947="OK",I947="Pas de saisie journalière ce jour-là"),E947,0)</f>
        <v>0.0</v>
      </c>
      <c r="K947">
        <f>IF(AND(J947&gt;0,A947&gt;=p_from,A947&lt;=p_to),1,0)</f>
        <v>0.0</v>
      </c>
      <c r="L947">
        <f>IF(AND(K947=1,OR(pa_po="",C947=pa_po),OR(pa_eq="",B947=pa_eq)),1,0)</f>
        <v>0.0</v>
      </c>
    </row>
    <row r="948">
      <c r="A948" s="51" t="n"/>
      <c r="B948" s="52" t="n"/>
      <c r="C948" s="52" t="n"/>
      <c r="D948" s="53" t="n"/>
      <c r="E948" s="60" t="n"/>
      <c r="F948" s="53" t="n"/>
      <c r="G948" s="61" t="str">
        <f>IF(OR(COUNTA(A948:E948)=0,D948=""),"",IFERROR(INDEX(ca_fam,MATCH(D948,ca_name,0))&amp;"",""))</f>
        <v/>
      </c>
      <c r="H948" s="58" t="str">
        <f>IF(OR(COUNTA(A948:E948)=0,D948=""),"",IFERROR(INDEX(ca_type,MATCH(D948,ca_name,0))&amp;"",""))</f>
        <v/>
      </c>
      <c r="I948" s="58" t="str">
        <f>IF(COUNTA(A948:E948)=0,"",IF(N(A948)&lt;=0,"Date manquante ou invalide",IF(B948="","Équipe manquante",IF(ISNA(MATCH(B948,eq_code,0)),"Équipe inconnue",IF(C948="","Poste manquant",IF(ISNA(MATCH(C948,po_code,0)),"Poste inconnu",IF(D948="","Cause manquante",IF(ISNA(MATCH(D948,ca_name,0)),"Cause inconnue",IF(H948="","Cause à compléter dans Paramètres",IF(OR(NOT(ISNUMBER(E948)),N(E948)&lt;=0,N(E948)&gt;1440),"Durée invalide",IF(COUNTIFS(sj_date,A948,sj_eq,B948,sj_po,C948)=0,"Pas de saisie journalière ce jour-là","OK")))))))))))</f>
        <v/>
      </c>
      <c r="J948">
        <f>IF(OR(I948="OK",I948="Pas de saisie journalière ce jour-là"),E948,0)</f>
        <v>0.0</v>
      </c>
      <c r="K948">
        <f>IF(AND(J948&gt;0,A948&gt;=p_from,A948&lt;=p_to),1,0)</f>
        <v>0.0</v>
      </c>
      <c r="L948">
        <f>IF(AND(K948=1,OR(pa_po="",C948=pa_po),OR(pa_eq="",B948=pa_eq)),1,0)</f>
        <v>0.0</v>
      </c>
    </row>
    <row r="949">
      <c r="A949" s="51" t="n"/>
      <c r="B949" s="52" t="n"/>
      <c r="C949" s="52" t="n"/>
      <c r="D949" s="53" t="n"/>
      <c r="E949" s="60" t="n"/>
      <c r="F949" s="53" t="n"/>
      <c r="G949" s="61" t="str">
        <f>IF(OR(COUNTA(A949:E949)=0,D949=""),"",IFERROR(INDEX(ca_fam,MATCH(D949,ca_name,0))&amp;"",""))</f>
        <v/>
      </c>
      <c r="H949" s="58" t="str">
        <f>IF(OR(COUNTA(A949:E949)=0,D949=""),"",IFERROR(INDEX(ca_type,MATCH(D949,ca_name,0))&amp;"",""))</f>
        <v/>
      </c>
      <c r="I949" s="58" t="str">
        <f>IF(COUNTA(A949:E949)=0,"",IF(N(A949)&lt;=0,"Date manquante ou invalide",IF(B949="","Équipe manquante",IF(ISNA(MATCH(B949,eq_code,0)),"Équipe inconnue",IF(C949="","Poste manquant",IF(ISNA(MATCH(C949,po_code,0)),"Poste inconnu",IF(D949="","Cause manquante",IF(ISNA(MATCH(D949,ca_name,0)),"Cause inconnue",IF(H949="","Cause à compléter dans Paramètres",IF(OR(NOT(ISNUMBER(E949)),N(E949)&lt;=0,N(E949)&gt;1440),"Durée invalide",IF(COUNTIFS(sj_date,A949,sj_eq,B949,sj_po,C949)=0,"Pas de saisie journalière ce jour-là","OK")))))))))))</f>
        <v/>
      </c>
      <c r="J949">
        <f>IF(OR(I949="OK",I949="Pas de saisie journalière ce jour-là"),E949,0)</f>
        <v>0.0</v>
      </c>
      <c r="K949">
        <f>IF(AND(J949&gt;0,A949&gt;=p_from,A949&lt;=p_to),1,0)</f>
        <v>0.0</v>
      </c>
      <c r="L949">
        <f>IF(AND(K949=1,OR(pa_po="",C949=pa_po),OR(pa_eq="",B949=pa_eq)),1,0)</f>
        <v>0.0</v>
      </c>
    </row>
    <row r="950">
      <c r="A950" s="51" t="n"/>
      <c r="B950" s="52" t="n"/>
      <c r="C950" s="52" t="n"/>
      <c r="D950" s="53" t="n"/>
      <c r="E950" s="60" t="n"/>
      <c r="F950" s="53" t="n"/>
      <c r="G950" s="61" t="str">
        <f>IF(OR(COUNTA(A950:E950)=0,D950=""),"",IFERROR(INDEX(ca_fam,MATCH(D950,ca_name,0))&amp;"",""))</f>
        <v/>
      </c>
      <c r="H950" s="58" t="str">
        <f>IF(OR(COUNTA(A950:E950)=0,D950=""),"",IFERROR(INDEX(ca_type,MATCH(D950,ca_name,0))&amp;"",""))</f>
        <v/>
      </c>
      <c r="I950" s="58" t="str">
        <f>IF(COUNTA(A950:E950)=0,"",IF(N(A950)&lt;=0,"Date manquante ou invalide",IF(B950="","Équipe manquante",IF(ISNA(MATCH(B950,eq_code,0)),"Équipe inconnue",IF(C950="","Poste manquant",IF(ISNA(MATCH(C950,po_code,0)),"Poste inconnu",IF(D950="","Cause manquante",IF(ISNA(MATCH(D950,ca_name,0)),"Cause inconnue",IF(H950="","Cause à compléter dans Paramètres",IF(OR(NOT(ISNUMBER(E950)),N(E950)&lt;=0,N(E950)&gt;1440),"Durée invalide",IF(COUNTIFS(sj_date,A950,sj_eq,B950,sj_po,C950)=0,"Pas de saisie journalière ce jour-là","OK")))))))))))</f>
        <v/>
      </c>
      <c r="J950">
        <f>IF(OR(I950="OK",I950="Pas de saisie journalière ce jour-là"),E950,0)</f>
        <v>0.0</v>
      </c>
      <c r="K950">
        <f>IF(AND(J950&gt;0,A950&gt;=p_from,A950&lt;=p_to),1,0)</f>
        <v>0.0</v>
      </c>
      <c r="L950">
        <f>IF(AND(K950=1,OR(pa_po="",C950=pa_po),OR(pa_eq="",B950=pa_eq)),1,0)</f>
        <v>0.0</v>
      </c>
    </row>
    <row r="951">
      <c r="A951" s="51" t="n"/>
      <c r="B951" s="52" t="n"/>
      <c r="C951" s="52" t="n"/>
      <c r="D951" s="53" t="n"/>
      <c r="E951" s="60" t="n"/>
      <c r="F951" s="53" t="n"/>
      <c r="G951" s="61" t="str">
        <f>IF(OR(COUNTA(A951:E951)=0,D951=""),"",IFERROR(INDEX(ca_fam,MATCH(D951,ca_name,0))&amp;"",""))</f>
        <v/>
      </c>
      <c r="H951" s="58" t="str">
        <f>IF(OR(COUNTA(A951:E951)=0,D951=""),"",IFERROR(INDEX(ca_type,MATCH(D951,ca_name,0))&amp;"",""))</f>
        <v/>
      </c>
      <c r="I951" s="58" t="str">
        <f>IF(COUNTA(A951:E951)=0,"",IF(N(A951)&lt;=0,"Date manquante ou invalide",IF(B951="","Équipe manquante",IF(ISNA(MATCH(B951,eq_code,0)),"Équipe inconnue",IF(C951="","Poste manquant",IF(ISNA(MATCH(C951,po_code,0)),"Poste inconnu",IF(D951="","Cause manquante",IF(ISNA(MATCH(D951,ca_name,0)),"Cause inconnue",IF(H951="","Cause à compléter dans Paramètres",IF(OR(NOT(ISNUMBER(E951)),N(E951)&lt;=0,N(E951)&gt;1440),"Durée invalide",IF(COUNTIFS(sj_date,A951,sj_eq,B951,sj_po,C951)=0,"Pas de saisie journalière ce jour-là","OK")))))))))))</f>
        <v/>
      </c>
      <c r="J951">
        <f>IF(OR(I951="OK",I951="Pas de saisie journalière ce jour-là"),E951,0)</f>
        <v>0.0</v>
      </c>
      <c r="K951">
        <f>IF(AND(J951&gt;0,A951&gt;=p_from,A951&lt;=p_to),1,0)</f>
        <v>0.0</v>
      </c>
      <c r="L951">
        <f>IF(AND(K951=1,OR(pa_po="",C951=pa_po),OR(pa_eq="",B951=pa_eq)),1,0)</f>
        <v>0.0</v>
      </c>
    </row>
    <row r="952">
      <c r="A952" s="51" t="n"/>
      <c r="B952" s="52" t="n"/>
      <c r="C952" s="52" t="n"/>
      <c r="D952" s="53" t="n"/>
      <c r="E952" s="60" t="n"/>
      <c r="F952" s="53" t="n"/>
      <c r="G952" s="61" t="str">
        <f>IF(OR(COUNTA(A952:E952)=0,D952=""),"",IFERROR(INDEX(ca_fam,MATCH(D952,ca_name,0))&amp;"",""))</f>
        <v/>
      </c>
      <c r="H952" s="58" t="str">
        <f>IF(OR(COUNTA(A952:E952)=0,D952=""),"",IFERROR(INDEX(ca_type,MATCH(D952,ca_name,0))&amp;"",""))</f>
        <v/>
      </c>
      <c r="I952" s="58" t="str">
        <f>IF(COUNTA(A952:E952)=0,"",IF(N(A952)&lt;=0,"Date manquante ou invalide",IF(B952="","Équipe manquante",IF(ISNA(MATCH(B952,eq_code,0)),"Équipe inconnue",IF(C952="","Poste manquant",IF(ISNA(MATCH(C952,po_code,0)),"Poste inconnu",IF(D952="","Cause manquante",IF(ISNA(MATCH(D952,ca_name,0)),"Cause inconnue",IF(H952="","Cause à compléter dans Paramètres",IF(OR(NOT(ISNUMBER(E952)),N(E952)&lt;=0,N(E952)&gt;1440),"Durée invalide",IF(COUNTIFS(sj_date,A952,sj_eq,B952,sj_po,C952)=0,"Pas de saisie journalière ce jour-là","OK")))))))))))</f>
        <v/>
      </c>
      <c r="J952">
        <f>IF(OR(I952="OK",I952="Pas de saisie journalière ce jour-là"),E952,0)</f>
        <v>0.0</v>
      </c>
      <c r="K952">
        <f>IF(AND(J952&gt;0,A952&gt;=p_from,A952&lt;=p_to),1,0)</f>
        <v>0.0</v>
      </c>
      <c r="L952">
        <f>IF(AND(K952=1,OR(pa_po="",C952=pa_po),OR(pa_eq="",B952=pa_eq)),1,0)</f>
        <v>0.0</v>
      </c>
    </row>
    <row r="953">
      <c r="A953" s="51" t="n"/>
      <c r="B953" s="52" t="n"/>
      <c r="C953" s="52" t="n"/>
      <c r="D953" s="53" t="n"/>
      <c r="E953" s="60" t="n"/>
      <c r="F953" s="53" t="n"/>
      <c r="G953" s="61" t="str">
        <f>IF(OR(COUNTA(A953:E953)=0,D953=""),"",IFERROR(INDEX(ca_fam,MATCH(D953,ca_name,0))&amp;"",""))</f>
        <v/>
      </c>
      <c r="H953" s="58" t="str">
        <f>IF(OR(COUNTA(A953:E953)=0,D953=""),"",IFERROR(INDEX(ca_type,MATCH(D953,ca_name,0))&amp;"",""))</f>
        <v/>
      </c>
      <c r="I953" s="58" t="str">
        <f>IF(COUNTA(A953:E953)=0,"",IF(N(A953)&lt;=0,"Date manquante ou invalide",IF(B953="","Équipe manquante",IF(ISNA(MATCH(B953,eq_code,0)),"Équipe inconnue",IF(C953="","Poste manquant",IF(ISNA(MATCH(C953,po_code,0)),"Poste inconnu",IF(D953="","Cause manquante",IF(ISNA(MATCH(D953,ca_name,0)),"Cause inconnue",IF(H953="","Cause à compléter dans Paramètres",IF(OR(NOT(ISNUMBER(E953)),N(E953)&lt;=0,N(E953)&gt;1440),"Durée invalide",IF(COUNTIFS(sj_date,A953,sj_eq,B953,sj_po,C953)=0,"Pas de saisie journalière ce jour-là","OK")))))))))))</f>
        <v/>
      </c>
      <c r="J953">
        <f>IF(OR(I953="OK",I953="Pas de saisie journalière ce jour-là"),E953,0)</f>
        <v>0.0</v>
      </c>
      <c r="K953">
        <f>IF(AND(J953&gt;0,A953&gt;=p_from,A953&lt;=p_to),1,0)</f>
        <v>0.0</v>
      </c>
      <c r="L953">
        <f>IF(AND(K953=1,OR(pa_po="",C953=pa_po),OR(pa_eq="",B953=pa_eq)),1,0)</f>
        <v>0.0</v>
      </c>
    </row>
    <row r="954">
      <c r="A954" s="51" t="n"/>
      <c r="B954" s="52" t="n"/>
      <c r="C954" s="52" t="n"/>
      <c r="D954" s="53" t="n"/>
      <c r="E954" s="60" t="n"/>
      <c r="F954" s="53" t="n"/>
      <c r="G954" s="61" t="str">
        <f>IF(OR(COUNTA(A954:E954)=0,D954=""),"",IFERROR(INDEX(ca_fam,MATCH(D954,ca_name,0))&amp;"",""))</f>
        <v/>
      </c>
      <c r="H954" s="58" t="str">
        <f>IF(OR(COUNTA(A954:E954)=0,D954=""),"",IFERROR(INDEX(ca_type,MATCH(D954,ca_name,0))&amp;"",""))</f>
        <v/>
      </c>
      <c r="I954" s="58" t="str">
        <f>IF(COUNTA(A954:E954)=0,"",IF(N(A954)&lt;=0,"Date manquante ou invalide",IF(B954="","Équipe manquante",IF(ISNA(MATCH(B954,eq_code,0)),"Équipe inconnue",IF(C954="","Poste manquant",IF(ISNA(MATCH(C954,po_code,0)),"Poste inconnu",IF(D954="","Cause manquante",IF(ISNA(MATCH(D954,ca_name,0)),"Cause inconnue",IF(H954="","Cause à compléter dans Paramètres",IF(OR(NOT(ISNUMBER(E954)),N(E954)&lt;=0,N(E954)&gt;1440),"Durée invalide",IF(COUNTIFS(sj_date,A954,sj_eq,B954,sj_po,C954)=0,"Pas de saisie journalière ce jour-là","OK")))))))))))</f>
        <v/>
      </c>
      <c r="J954">
        <f>IF(OR(I954="OK",I954="Pas de saisie journalière ce jour-là"),E954,0)</f>
        <v>0.0</v>
      </c>
      <c r="K954">
        <f>IF(AND(J954&gt;0,A954&gt;=p_from,A954&lt;=p_to),1,0)</f>
        <v>0.0</v>
      </c>
      <c r="L954">
        <f>IF(AND(K954=1,OR(pa_po="",C954=pa_po),OR(pa_eq="",B954=pa_eq)),1,0)</f>
        <v>0.0</v>
      </c>
    </row>
    <row r="955">
      <c r="A955" s="51" t="n"/>
      <c r="B955" s="52" t="n"/>
      <c r="C955" s="52" t="n"/>
      <c r="D955" s="53" t="n"/>
      <c r="E955" s="60" t="n"/>
      <c r="F955" s="53" t="n"/>
      <c r="G955" s="61" t="str">
        <f>IF(OR(COUNTA(A955:E955)=0,D955=""),"",IFERROR(INDEX(ca_fam,MATCH(D955,ca_name,0))&amp;"",""))</f>
        <v/>
      </c>
      <c r="H955" s="58" t="str">
        <f>IF(OR(COUNTA(A955:E955)=0,D955=""),"",IFERROR(INDEX(ca_type,MATCH(D955,ca_name,0))&amp;"",""))</f>
        <v/>
      </c>
      <c r="I955" s="58" t="str">
        <f>IF(COUNTA(A955:E955)=0,"",IF(N(A955)&lt;=0,"Date manquante ou invalide",IF(B955="","Équipe manquante",IF(ISNA(MATCH(B955,eq_code,0)),"Équipe inconnue",IF(C955="","Poste manquant",IF(ISNA(MATCH(C955,po_code,0)),"Poste inconnu",IF(D955="","Cause manquante",IF(ISNA(MATCH(D955,ca_name,0)),"Cause inconnue",IF(H955="","Cause à compléter dans Paramètres",IF(OR(NOT(ISNUMBER(E955)),N(E955)&lt;=0,N(E955)&gt;1440),"Durée invalide",IF(COUNTIFS(sj_date,A955,sj_eq,B955,sj_po,C955)=0,"Pas de saisie journalière ce jour-là","OK")))))))))))</f>
        <v/>
      </c>
      <c r="J955">
        <f>IF(OR(I955="OK",I955="Pas de saisie journalière ce jour-là"),E955,0)</f>
        <v>0.0</v>
      </c>
      <c r="K955">
        <f>IF(AND(J955&gt;0,A955&gt;=p_from,A955&lt;=p_to),1,0)</f>
        <v>0.0</v>
      </c>
      <c r="L955">
        <f>IF(AND(K955=1,OR(pa_po="",C955=pa_po),OR(pa_eq="",B955=pa_eq)),1,0)</f>
        <v>0.0</v>
      </c>
    </row>
    <row r="956">
      <c r="A956" s="51" t="n"/>
      <c r="B956" s="52" t="n"/>
      <c r="C956" s="52" t="n"/>
      <c r="D956" s="53" t="n"/>
      <c r="E956" s="60" t="n"/>
      <c r="F956" s="53" t="n"/>
      <c r="G956" s="61" t="str">
        <f>IF(OR(COUNTA(A956:E956)=0,D956=""),"",IFERROR(INDEX(ca_fam,MATCH(D956,ca_name,0))&amp;"",""))</f>
        <v/>
      </c>
      <c r="H956" s="58" t="str">
        <f>IF(OR(COUNTA(A956:E956)=0,D956=""),"",IFERROR(INDEX(ca_type,MATCH(D956,ca_name,0))&amp;"",""))</f>
        <v/>
      </c>
      <c r="I956" s="58" t="str">
        <f>IF(COUNTA(A956:E956)=0,"",IF(N(A956)&lt;=0,"Date manquante ou invalide",IF(B956="","Équipe manquante",IF(ISNA(MATCH(B956,eq_code,0)),"Équipe inconnue",IF(C956="","Poste manquant",IF(ISNA(MATCH(C956,po_code,0)),"Poste inconnu",IF(D956="","Cause manquante",IF(ISNA(MATCH(D956,ca_name,0)),"Cause inconnue",IF(H956="","Cause à compléter dans Paramètres",IF(OR(NOT(ISNUMBER(E956)),N(E956)&lt;=0,N(E956)&gt;1440),"Durée invalide",IF(COUNTIFS(sj_date,A956,sj_eq,B956,sj_po,C956)=0,"Pas de saisie journalière ce jour-là","OK")))))))))))</f>
        <v/>
      </c>
      <c r="J956">
        <f>IF(OR(I956="OK",I956="Pas de saisie journalière ce jour-là"),E956,0)</f>
        <v>0.0</v>
      </c>
      <c r="K956">
        <f>IF(AND(J956&gt;0,A956&gt;=p_from,A956&lt;=p_to),1,0)</f>
        <v>0.0</v>
      </c>
      <c r="L956">
        <f>IF(AND(K956=1,OR(pa_po="",C956=pa_po),OR(pa_eq="",B956=pa_eq)),1,0)</f>
        <v>0.0</v>
      </c>
    </row>
    <row r="957">
      <c r="A957" s="51" t="n"/>
      <c r="B957" s="52" t="n"/>
      <c r="C957" s="52" t="n"/>
      <c r="D957" s="53" t="n"/>
      <c r="E957" s="60" t="n"/>
      <c r="F957" s="53" t="n"/>
      <c r="G957" s="61" t="str">
        <f>IF(OR(COUNTA(A957:E957)=0,D957=""),"",IFERROR(INDEX(ca_fam,MATCH(D957,ca_name,0))&amp;"",""))</f>
        <v/>
      </c>
      <c r="H957" s="58" t="str">
        <f>IF(OR(COUNTA(A957:E957)=0,D957=""),"",IFERROR(INDEX(ca_type,MATCH(D957,ca_name,0))&amp;"",""))</f>
        <v/>
      </c>
      <c r="I957" s="58" t="str">
        <f>IF(COUNTA(A957:E957)=0,"",IF(N(A957)&lt;=0,"Date manquante ou invalide",IF(B957="","Équipe manquante",IF(ISNA(MATCH(B957,eq_code,0)),"Équipe inconnue",IF(C957="","Poste manquant",IF(ISNA(MATCH(C957,po_code,0)),"Poste inconnu",IF(D957="","Cause manquante",IF(ISNA(MATCH(D957,ca_name,0)),"Cause inconnue",IF(H957="","Cause à compléter dans Paramètres",IF(OR(NOT(ISNUMBER(E957)),N(E957)&lt;=0,N(E957)&gt;1440),"Durée invalide",IF(COUNTIFS(sj_date,A957,sj_eq,B957,sj_po,C957)=0,"Pas de saisie journalière ce jour-là","OK")))))))))))</f>
        <v/>
      </c>
      <c r="J957">
        <f>IF(OR(I957="OK",I957="Pas de saisie journalière ce jour-là"),E957,0)</f>
        <v>0.0</v>
      </c>
      <c r="K957">
        <f>IF(AND(J957&gt;0,A957&gt;=p_from,A957&lt;=p_to),1,0)</f>
        <v>0.0</v>
      </c>
      <c r="L957">
        <f>IF(AND(K957=1,OR(pa_po="",C957=pa_po),OR(pa_eq="",B957=pa_eq)),1,0)</f>
        <v>0.0</v>
      </c>
    </row>
    <row r="958">
      <c r="A958" s="51" t="n"/>
      <c r="B958" s="52" t="n"/>
      <c r="C958" s="52" t="n"/>
      <c r="D958" s="53" t="n"/>
      <c r="E958" s="60" t="n"/>
      <c r="F958" s="53" t="n"/>
      <c r="G958" s="61" t="str">
        <f>IF(OR(COUNTA(A958:E958)=0,D958=""),"",IFERROR(INDEX(ca_fam,MATCH(D958,ca_name,0))&amp;"",""))</f>
        <v/>
      </c>
      <c r="H958" s="58" t="str">
        <f>IF(OR(COUNTA(A958:E958)=0,D958=""),"",IFERROR(INDEX(ca_type,MATCH(D958,ca_name,0))&amp;"",""))</f>
        <v/>
      </c>
      <c r="I958" s="58" t="str">
        <f>IF(COUNTA(A958:E958)=0,"",IF(N(A958)&lt;=0,"Date manquante ou invalide",IF(B958="","Équipe manquante",IF(ISNA(MATCH(B958,eq_code,0)),"Équipe inconnue",IF(C958="","Poste manquant",IF(ISNA(MATCH(C958,po_code,0)),"Poste inconnu",IF(D958="","Cause manquante",IF(ISNA(MATCH(D958,ca_name,0)),"Cause inconnue",IF(H958="","Cause à compléter dans Paramètres",IF(OR(NOT(ISNUMBER(E958)),N(E958)&lt;=0,N(E958)&gt;1440),"Durée invalide",IF(COUNTIFS(sj_date,A958,sj_eq,B958,sj_po,C958)=0,"Pas de saisie journalière ce jour-là","OK")))))))))))</f>
        <v/>
      </c>
      <c r="J958">
        <f>IF(OR(I958="OK",I958="Pas de saisie journalière ce jour-là"),E958,0)</f>
        <v>0.0</v>
      </c>
      <c r="K958">
        <f>IF(AND(J958&gt;0,A958&gt;=p_from,A958&lt;=p_to),1,0)</f>
        <v>0.0</v>
      </c>
      <c r="L958">
        <f>IF(AND(K958=1,OR(pa_po="",C958=pa_po),OR(pa_eq="",B958=pa_eq)),1,0)</f>
        <v>0.0</v>
      </c>
    </row>
    <row r="959">
      <c r="A959" s="51" t="n"/>
      <c r="B959" s="52" t="n"/>
      <c r="C959" s="52" t="n"/>
      <c r="D959" s="53" t="n"/>
      <c r="E959" s="60" t="n"/>
      <c r="F959" s="53" t="n"/>
      <c r="G959" s="61" t="str">
        <f>IF(OR(COUNTA(A959:E959)=0,D959=""),"",IFERROR(INDEX(ca_fam,MATCH(D959,ca_name,0))&amp;"",""))</f>
        <v/>
      </c>
      <c r="H959" s="58" t="str">
        <f>IF(OR(COUNTA(A959:E959)=0,D959=""),"",IFERROR(INDEX(ca_type,MATCH(D959,ca_name,0))&amp;"",""))</f>
        <v/>
      </c>
      <c r="I959" s="58" t="str">
        <f>IF(COUNTA(A959:E959)=0,"",IF(N(A959)&lt;=0,"Date manquante ou invalide",IF(B959="","Équipe manquante",IF(ISNA(MATCH(B959,eq_code,0)),"Équipe inconnue",IF(C959="","Poste manquant",IF(ISNA(MATCH(C959,po_code,0)),"Poste inconnu",IF(D959="","Cause manquante",IF(ISNA(MATCH(D959,ca_name,0)),"Cause inconnue",IF(H959="","Cause à compléter dans Paramètres",IF(OR(NOT(ISNUMBER(E959)),N(E959)&lt;=0,N(E959)&gt;1440),"Durée invalide",IF(COUNTIFS(sj_date,A959,sj_eq,B959,sj_po,C959)=0,"Pas de saisie journalière ce jour-là","OK")))))))))))</f>
        <v/>
      </c>
      <c r="J959">
        <f>IF(OR(I959="OK",I959="Pas de saisie journalière ce jour-là"),E959,0)</f>
        <v>0.0</v>
      </c>
      <c r="K959">
        <f>IF(AND(J959&gt;0,A959&gt;=p_from,A959&lt;=p_to),1,0)</f>
        <v>0.0</v>
      </c>
      <c r="L959">
        <f>IF(AND(K959=1,OR(pa_po="",C959=pa_po),OR(pa_eq="",B959=pa_eq)),1,0)</f>
        <v>0.0</v>
      </c>
    </row>
    <row r="960">
      <c r="A960" s="51" t="n"/>
      <c r="B960" s="52" t="n"/>
      <c r="C960" s="52" t="n"/>
      <c r="D960" s="53" t="n"/>
      <c r="E960" s="60" t="n"/>
      <c r="F960" s="53" t="n"/>
      <c r="G960" s="61" t="str">
        <f>IF(OR(COUNTA(A960:E960)=0,D960=""),"",IFERROR(INDEX(ca_fam,MATCH(D960,ca_name,0))&amp;"",""))</f>
        <v/>
      </c>
      <c r="H960" s="58" t="str">
        <f>IF(OR(COUNTA(A960:E960)=0,D960=""),"",IFERROR(INDEX(ca_type,MATCH(D960,ca_name,0))&amp;"",""))</f>
        <v/>
      </c>
      <c r="I960" s="58" t="str">
        <f>IF(COUNTA(A960:E960)=0,"",IF(N(A960)&lt;=0,"Date manquante ou invalide",IF(B960="","Équipe manquante",IF(ISNA(MATCH(B960,eq_code,0)),"Équipe inconnue",IF(C960="","Poste manquant",IF(ISNA(MATCH(C960,po_code,0)),"Poste inconnu",IF(D960="","Cause manquante",IF(ISNA(MATCH(D960,ca_name,0)),"Cause inconnue",IF(H960="","Cause à compléter dans Paramètres",IF(OR(NOT(ISNUMBER(E960)),N(E960)&lt;=0,N(E960)&gt;1440),"Durée invalide",IF(COUNTIFS(sj_date,A960,sj_eq,B960,sj_po,C960)=0,"Pas de saisie journalière ce jour-là","OK")))))))))))</f>
        <v/>
      </c>
      <c r="J960">
        <f>IF(OR(I960="OK",I960="Pas de saisie journalière ce jour-là"),E960,0)</f>
        <v>0.0</v>
      </c>
      <c r="K960">
        <f>IF(AND(J960&gt;0,A960&gt;=p_from,A960&lt;=p_to),1,0)</f>
        <v>0.0</v>
      </c>
      <c r="L960">
        <f>IF(AND(K960=1,OR(pa_po="",C960=pa_po),OR(pa_eq="",B960=pa_eq)),1,0)</f>
        <v>0.0</v>
      </c>
    </row>
    <row r="961">
      <c r="A961" s="51" t="n"/>
      <c r="B961" s="52" t="n"/>
      <c r="C961" s="52" t="n"/>
      <c r="D961" s="53" t="n"/>
      <c r="E961" s="60" t="n"/>
      <c r="F961" s="53" t="n"/>
      <c r="G961" s="61" t="str">
        <f>IF(OR(COUNTA(A961:E961)=0,D961=""),"",IFERROR(INDEX(ca_fam,MATCH(D961,ca_name,0))&amp;"",""))</f>
        <v/>
      </c>
      <c r="H961" s="58" t="str">
        <f>IF(OR(COUNTA(A961:E961)=0,D961=""),"",IFERROR(INDEX(ca_type,MATCH(D961,ca_name,0))&amp;"",""))</f>
        <v/>
      </c>
      <c r="I961" s="58" t="str">
        <f>IF(COUNTA(A961:E961)=0,"",IF(N(A961)&lt;=0,"Date manquante ou invalide",IF(B961="","Équipe manquante",IF(ISNA(MATCH(B961,eq_code,0)),"Équipe inconnue",IF(C961="","Poste manquant",IF(ISNA(MATCH(C961,po_code,0)),"Poste inconnu",IF(D961="","Cause manquante",IF(ISNA(MATCH(D961,ca_name,0)),"Cause inconnue",IF(H961="","Cause à compléter dans Paramètres",IF(OR(NOT(ISNUMBER(E961)),N(E961)&lt;=0,N(E961)&gt;1440),"Durée invalide",IF(COUNTIFS(sj_date,A961,sj_eq,B961,sj_po,C961)=0,"Pas de saisie journalière ce jour-là","OK")))))))))))</f>
        <v/>
      </c>
      <c r="J961">
        <f>IF(OR(I961="OK",I961="Pas de saisie journalière ce jour-là"),E961,0)</f>
        <v>0.0</v>
      </c>
      <c r="K961">
        <f>IF(AND(J961&gt;0,A961&gt;=p_from,A961&lt;=p_to),1,0)</f>
        <v>0.0</v>
      </c>
      <c r="L961">
        <f>IF(AND(K961=1,OR(pa_po="",C961=pa_po),OR(pa_eq="",B961=pa_eq)),1,0)</f>
        <v>0.0</v>
      </c>
    </row>
    <row r="962">
      <c r="A962" s="51" t="n"/>
      <c r="B962" s="52" t="n"/>
      <c r="C962" s="52" t="n"/>
      <c r="D962" s="53" t="n"/>
      <c r="E962" s="60" t="n"/>
      <c r="F962" s="53" t="n"/>
      <c r="G962" s="61" t="str">
        <f>IF(OR(COUNTA(A962:E962)=0,D962=""),"",IFERROR(INDEX(ca_fam,MATCH(D962,ca_name,0))&amp;"",""))</f>
        <v/>
      </c>
      <c r="H962" s="58" t="str">
        <f>IF(OR(COUNTA(A962:E962)=0,D962=""),"",IFERROR(INDEX(ca_type,MATCH(D962,ca_name,0))&amp;"",""))</f>
        <v/>
      </c>
      <c r="I962" s="58" t="str">
        <f>IF(COUNTA(A962:E962)=0,"",IF(N(A962)&lt;=0,"Date manquante ou invalide",IF(B962="","Équipe manquante",IF(ISNA(MATCH(B962,eq_code,0)),"Équipe inconnue",IF(C962="","Poste manquant",IF(ISNA(MATCH(C962,po_code,0)),"Poste inconnu",IF(D962="","Cause manquante",IF(ISNA(MATCH(D962,ca_name,0)),"Cause inconnue",IF(H962="","Cause à compléter dans Paramètres",IF(OR(NOT(ISNUMBER(E962)),N(E962)&lt;=0,N(E962)&gt;1440),"Durée invalide",IF(COUNTIFS(sj_date,A962,sj_eq,B962,sj_po,C962)=0,"Pas de saisie journalière ce jour-là","OK")))))))))))</f>
        <v/>
      </c>
      <c r="J962">
        <f>IF(OR(I962="OK",I962="Pas de saisie journalière ce jour-là"),E962,0)</f>
        <v>0.0</v>
      </c>
      <c r="K962">
        <f>IF(AND(J962&gt;0,A962&gt;=p_from,A962&lt;=p_to),1,0)</f>
        <v>0.0</v>
      </c>
      <c r="L962">
        <f>IF(AND(K962=1,OR(pa_po="",C962=pa_po),OR(pa_eq="",B962=pa_eq)),1,0)</f>
        <v>0.0</v>
      </c>
    </row>
    <row r="963">
      <c r="A963" s="51" t="n"/>
      <c r="B963" s="52" t="n"/>
      <c r="C963" s="52" t="n"/>
      <c r="D963" s="53" t="n"/>
      <c r="E963" s="60" t="n"/>
      <c r="F963" s="53" t="n"/>
      <c r="G963" s="61" t="str">
        <f>IF(OR(COUNTA(A963:E963)=0,D963=""),"",IFERROR(INDEX(ca_fam,MATCH(D963,ca_name,0))&amp;"",""))</f>
        <v/>
      </c>
      <c r="H963" s="58" t="str">
        <f>IF(OR(COUNTA(A963:E963)=0,D963=""),"",IFERROR(INDEX(ca_type,MATCH(D963,ca_name,0))&amp;"",""))</f>
        <v/>
      </c>
      <c r="I963" s="58" t="str">
        <f>IF(COUNTA(A963:E963)=0,"",IF(N(A963)&lt;=0,"Date manquante ou invalide",IF(B963="","Équipe manquante",IF(ISNA(MATCH(B963,eq_code,0)),"Équipe inconnue",IF(C963="","Poste manquant",IF(ISNA(MATCH(C963,po_code,0)),"Poste inconnu",IF(D963="","Cause manquante",IF(ISNA(MATCH(D963,ca_name,0)),"Cause inconnue",IF(H963="","Cause à compléter dans Paramètres",IF(OR(NOT(ISNUMBER(E963)),N(E963)&lt;=0,N(E963)&gt;1440),"Durée invalide",IF(COUNTIFS(sj_date,A963,sj_eq,B963,sj_po,C963)=0,"Pas de saisie journalière ce jour-là","OK")))))))))))</f>
        <v/>
      </c>
      <c r="J963">
        <f>IF(OR(I963="OK",I963="Pas de saisie journalière ce jour-là"),E963,0)</f>
        <v>0.0</v>
      </c>
      <c r="K963">
        <f>IF(AND(J963&gt;0,A963&gt;=p_from,A963&lt;=p_to),1,0)</f>
        <v>0.0</v>
      </c>
      <c r="L963">
        <f>IF(AND(K963=1,OR(pa_po="",C963=pa_po),OR(pa_eq="",B963=pa_eq)),1,0)</f>
        <v>0.0</v>
      </c>
    </row>
    <row r="964">
      <c r="A964" s="51" t="n"/>
      <c r="B964" s="52" t="n"/>
      <c r="C964" s="52" t="n"/>
      <c r="D964" s="53" t="n"/>
      <c r="E964" s="60" t="n"/>
      <c r="F964" s="53" t="n"/>
      <c r="G964" s="61" t="str">
        <f>IF(OR(COUNTA(A964:E964)=0,D964=""),"",IFERROR(INDEX(ca_fam,MATCH(D964,ca_name,0))&amp;"",""))</f>
        <v/>
      </c>
      <c r="H964" s="58" t="str">
        <f>IF(OR(COUNTA(A964:E964)=0,D964=""),"",IFERROR(INDEX(ca_type,MATCH(D964,ca_name,0))&amp;"",""))</f>
        <v/>
      </c>
      <c r="I964" s="58" t="str">
        <f>IF(COUNTA(A964:E964)=0,"",IF(N(A964)&lt;=0,"Date manquante ou invalide",IF(B964="","Équipe manquante",IF(ISNA(MATCH(B964,eq_code,0)),"Équipe inconnue",IF(C964="","Poste manquant",IF(ISNA(MATCH(C964,po_code,0)),"Poste inconnu",IF(D964="","Cause manquante",IF(ISNA(MATCH(D964,ca_name,0)),"Cause inconnue",IF(H964="","Cause à compléter dans Paramètres",IF(OR(NOT(ISNUMBER(E964)),N(E964)&lt;=0,N(E964)&gt;1440),"Durée invalide",IF(COUNTIFS(sj_date,A964,sj_eq,B964,sj_po,C964)=0,"Pas de saisie journalière ce jour-là","OK")))))))))))</f>
        <v/>
      </c>
      <c r="J964">
        <f>IF(OR(I964="OK",I964="Pas de saisie journalière ce jour-là"),E964,0)</f>
        <v>0.0</v>
      </c>
      <c r="K964">
        <f>IF(AND(J964&gt;0,A964&gt;=p_from,A964&lt;=p_to),1,0)</f>
        <v>0.0</v>
      </c>
      <c r="L964">
        <f>IF(AND(K964=1,OR(pa_po="",C964=pa_po),OR(pa_eq="",B964=pa_eq)),1,0)</f>
        <v>0.0</v>
      </c>
    </row>
    <row r="965">
      <c r="A965" s="51" t="n"/>
      <c r="B965" s="52" t="n"/>
      <c r="C965" s="52" t="n"/>
      <c r="D965" s="53" t="n"/>
      <c r="E965" s="60" t="n"/>
      <c r="F965" s="53" t="n"/>
      <c r="G965" s="61" t="str">
        <f>IF(OR(COUNTA(A965:E965)=0,D965=""),"",IFERROR(INDEX(ca_fam,MATCH(D965,ca_name,0))&amp;"",""))</f>
        <v/>
      </c>
      <c r="H965" s="58" t="str">
        <f>IF(OR(COUNTA(A965:E965)=0,D965=""),"",IFERROR(INDEX(ca_type,MATCH(D965,ca_name,0))&amp;"",""))</f>
        <v/>
      </c>
      <c r="I965" s="58" t="str">
        <f>IF(COUNTA(A965:E965)=0,"",IF(N(A965)&lt;=0,"Date manquante ou invalide",IF(B965="","Équipe manquante",IF(ISNA(MATCH(B965,eq_code,0)),"Équipe inconnue",IF(C965="","Poste manquant",IF(ISNA(MATCH(C965,po_code,0)),"Poste inconnu",IF(D965="","Cause manquante",IF(ISNA(MATCH(D965,ca_name,0)),"Cause inconnue",IF(H965="","Cause à compléter dans Paramètres",IF(OR(NOT(ISNUMBER(E965)),N(E965)&lt;=0,N(E965)&gt;1440),"Durée invalide",IF(COUNTIFS(sj_date,A965,sj_eq,B965,sj_po,C965)=0,"Pas de saisie journalière ce jour-là","OK")))))))))))</f>
        <v/>
      </c>
      <c r="J965">
        <f>IF(OR(I965="OK",I965="Pas de saisie journalière ce jour-là"),E965,0)</f>
        <v>0.0</v>
      </c>
      <c r="K965">
        <f>IF(AND(J965&gt;0,A965&gt;=p_from,A965&lt;=p_to),1,0)</f>
        <v>0.0</v>
      </c>
      <c r="L965">
        <f>IF(AND(K965=1,OR(pa_po="",C965=pa_po),OR(pa_eq="",B965=pa_eq)),1,0)</f>
        <v>0.0</v>
      </c>
    </row>
    <row r="966">
      <c r="A966" s="51" t="n"/>
      <c r="B966" s="52" t="n"/>
      <c r="C966" s="52" t="n"/>
      <c r="D966" s="53" t="n"/>
      <c r="E966" s="60" t="n"/>
      <c r="F966" s="53" t="n"/>
      <c r="G966" s="61" t="str">
        <f>IF(OR(COUNTA(A966:E966)=0,D966=""),"",IFERROR(INDEX(ca_fam,MATCH(D966,ca_name,0))&amp;"",""))</f>
        <v/>
      </c>
      <c r="H966" s="58" t="str">
        <f>IF(OR(COUNTA(A966:E966)=0,D966=""),"",IFERROR(INDEX(ca_type,MATCH(D966,ca_name,0))&amp;"",""))</f>
        <v/>
      </c>
      <c r="I966" s="58" t="str">
        <f>IF(COUNTA(A966:E966)=0,"",IF(N(A966)&lt;=0,"Date manquante ou invalide",IF(B966="","Équipe manquante",IF(ISNA(MATCH(B966,eq_code,0)),"Équipe inconnue",IF(C966="","Poste manquant",IF(ISNA(MATCH(C966,po_code,0)),"Poste inconnu",IF(D966="","Cause manquante",IF(ISNA(MATCH(D966,ca_name,0)),"Cause inconnue",IF(H966="","Cause à compléter dans Paramètres",IF(OR(NOT(ISNUMBER(E966)),N(E966)&lt;=0,N(E966)&gt;1440),"Durée invalide",IF(COUNTIFS(sj_date,A966,sj_eq,B966,sj_po,C966)=0,"Pas de saisie journalière ce jour-là","OK")))))))))))</f>
        <v/>
      </c>
      <c r="J966">
        <f>IF(OR(I966="OK",I966="Pas de saisie journalière ce jour-là"),E966,0)</f>
        <v>0.0</v>
      </c>
      <c r="K966">
        <f>IF(AND(J966&gt;0,A966&gt;=p_from,A966&lt;=p_to),1,0)</f>
        <v>0.0</v>
      </c>
      <c r="L966">
        <f>IF(AND(K966=1,OR(pa_po="",C966=pa_po),OR(pa_eq="",B966=pa_eq)),1,0)</f>
        <v>0.0</v>
      </c>
    </row>
    <row r="967">
      <c r="A967" s="51" t="n"/>
      <c r="B967" s="52" t="n"/>
      <c r="C967" s="52" t="n"/>
      <c r="D967" s="53" t="n"/>
      <c r="E967" s="60" t="n"/>
      <c r="F967" s="53" t="n"/>
      <c r="G967" s="61" t="str">
        <f>IF(OR(COUNTA(A967:E967)=0,D967=""),"",IFERROR(INDEX(ca_fam,MATCH(D967,ca_name,0))&amp;"",""))</f>
        <v/>
      </c>
      <c r="H967" s="58" t="str">
        <f>IF(OR(COUNTA(A967:E967)=0,D967=""),"",IFERROR(INDEX(ca_type,MATCH(D967,ca_name,0))&amp;"",""))</f>
        <v/>
      </c>
      <c r="I967" s="58" t="str">
        <f>IF(COUNTA(A967:E967)=0,"",IF(N(A967)&lt;=0,"Date manquante ou invalide",IF(B967="","Équipe manquante",IF(ISNA(MATCH(B967,eq_code,0)),"Équipe inconnue",IF(C967="","Poste manquant",IF(ISNA(MATCH(C967,po_code,0)),"Poste inconnu",IF(D967="","Cause manquante",IF(ISNA(MATCH(D967,ca_name,0)),"Cause inconnue",IF(H967="","Cause à compléter dans Paramètres",IF(OR(NOT(ISNUMBER(E967)),N(E967)&lt;=0,N(E967)&gt;1440),"Durée invalide",IF(COUNTIFS(sj_date,A967,sj_eq,B967,sj_po,C967)=0,"Pas de saisie journalière ce jour-là","OK")))))))))))</f>
        <v/>
      </c>
      <c r="J967">
        <f>IF(OR(I967="OK",I967="Pas de saisie journalière ce jour-là"),E967,0)</f>
        <v>0.0</v>
      </c>
      <c r="K967">
        <f>IF(AND(J967&gt;0,A967&gt;=p_from,A967&lt;=p_to),1,0)</f>
        <v>0.0</v>
      </c>
      <c r="L967">
        <f>IF(AND(K967=1,OR(pa_po="",C967=pa_po),OR(pa_eq="",B967=pa_eq)),1,0)</f>
        <v>0.0</v>
      </c>
    </row>
    <row r="968">
      <c r="A968" s="51" t="n"/>
      <c r="B968" s="52" t="n"/>
      <c r="C968" s="52" t="n"/>
      <c r="D968" s="53" t="n"/>
      <c r="E968" s="60" t="n"/>
      <c r="F968" s="53" t="n"/>
      <c r="G968" s="61" t="str">
        <f>IF(OR(COUNTA(A968:E968)=0,D968=""),"",IFERROR(INDEX(ca_fam,MATCH(D968,ca_name,0))&amp;"",""))</f>
        <v/>
      </c>
      <c r="H968" s="58" t="str">
        <f>IF(OR(COUNTA(A968:E968)=0,D968=""),"",IFERROR(INDEX(ca_type,MATCH(D968,ca_name,0))&amp;"",""))</f>
        <v/>
      </c>
      <c r="I968" s="58" t="str">
        <f>IF(COUNTA(A968:E968)=0,"",IF(N(A968)&lt;=0,"Date manquante ou invalide",IF(B968="","Équipe manquante",IF(ISNA(MATCH(B968,eq_code,0)),"Équipe inconnue",IF(C968="","Poste manquant",IF(ISNA(MATCH(C968,po_code,0)),"Poste inconnu",IF(D968="","Cause manquante",IF(ISNA(MATCH(D968,ca_name,0)),"Cause inconnue",IF(H968="","Cause à compléter dans Paramètres",IF(OR(NOT(ISNUMBER(E968)),N(E968)&lt;=0,N(E968)&gt;1440),"Durée invalide",IF(COUNTIFS(sj_date,A968,sj_eq,B968,sj_po,C968)=0,"Pas de saisie journalière ce jour-là","OK")))))))))))</f>
        <v/>
      </c>
      <c r="J968">
        <f>IF(OR(I968="OK",I968="Pas de saisie journalière ce jour-là"),E968,0)</f>
        <v>0.0</v>
      </c>
      <c r="K968">
        <f>IF(AND(J968&gt;0,A968&gt;=p_from,A968&lt;=p_to),1,0)</f>
        <v>0.0</v>
      </c>
      <c r="L968">
        <f>IF(AND(K968=1,OR(pa_po="",C968=pa_po),OR(pa_eq="",B968=pa_eq)),1,0)</f>
        <v>0.0</v>
      </c>
    </row>
    <row r="969">
      <c r="A969" s="51" t="n"/>
      <c r="B969" s="52" t="n"/>
      <c r="C969" s="52" t="n"/>
      <c r="D969" s="53" t="n"/>
      <c r="E969" s="60" t="n"/>
      <c r="F969" s="53" t="n"/>
      <c r="G969" s="61" t="str">
        <f>IF(OR(COUNTA(A969:E969)=0,D969=""),"",IFERROR(INDEX(ca_fam,MATCH(D969,ca_name,0))&amp;"",""))</f>
        <v/>
      </c>
      <c r="H969" s="58" t="str">
        <f>IF(OR(COUNTA(A969:E969)=0,D969=""),"",IFERROR(INDEX(ca_type,MATCH(D969,ca_name,0))&amp;"",""))</f>
        <v/>
      </c>
      <c r="I969" s="58" t="str">
        <f>IF(COUNTA(A969:E969)=0,"",IF(N(A969)&lt;=0,"Date manquante ou invalide",IF(B969="","Équipe manquante",IF(ISNA(MATCH(B969,eq_code,0)),"Équipe inconnue",IF(C969="","Poste manquant",IF(ISNA(MATCH(C969,po_code,0)),"Poste inconnu",IF(D969="","Cause manquante",IF(ISNA(MATCH(D969,ca_name,0)),"Cause inconnue",IF(H969="","Cause à compléter dans Paramètres",IF(OR(NOT(ISNUMBER(E969)),N(E969)&lt;=0,N(E969)&gt;1440),"Durée invalide",IF(COUNTIFS(sj_date,A969,sj_eq,B969,sj_po,C969)=0,"Pas de saisie journalière ce jour-là","OK")))))))))))</f>
        <v/>
      </c>
      <c r="J969">
        <f>IF(OR(I969="OK",I969="Pas de saisie journalière ce jour-là"),E969,0)</f>
        <v>0.0</v>
      </c>
      <c r="K969">
        <f>IF(AND(J969&gt;0,A969&gt;=p_from,A969&lt;=p_to),1,0)</f>
        <v>0.0</v>
      </c>
      <c r="L969">
        <f>IF(AND(K969=1,OR(pa_po="",C969=pa_po),OR(pa_eq="",B969=pa_eq)),1,0)</f>
        <v>0.0</v>
      </c>
    </row>
    <row r="970">
      <c r="A970" s="51" t="n"/>
      <c r="B970" s="52" t="n"/>
      <c r="C970" s="52" t="n"/>
      <c r="D970" s="53" t="n"/>
      <c r="E970" s="60" t="n"/>
      <c r="F970" s="53" t="n"/>
      <c r="G970" s="61" t="str">
        <f>IF(OR(COUNTA(A970:E970)=0,D970=""),"",IFERROR(INDEX(ca_fam,MATCH(D970,ca_name,0))&amp;"",""))</f>
        <v/>
      </c>
      <c r="H970" s="58" t="str">
        <f>IF(OR(COUNTA(A970:E970)=0,D970=""),"",IFERROR(INDEX(ca_type,MATCH(D970,ca_name,0))&amp;"",""))</f>
        <v/>
      </c>
      <c r="I970" s="58" t="str">
        <f>IF(COUNTA(A970:E970)=0,"",IF(N(A970)&lt;=0,"Date manquante ou invalide",IF(B970="","Équipe manquante",IF(ISNA(MATCH(B970,eq_code,0)),"Équipe inconnue",IF(C970="","Poste manquant",IF(ISNA(MATCH(C970,po_code,0)),"Poste inconnu",IF(D970="","Cause manquante",IF(ISNA(MATCH(D970,ca_name,0)),"Cause inconnue",IF(H970="","Cause à compléter dans Paramètres",IF(OR(NOT(ISNUMBER(E970)),N(E970)&lt;=0,N(E970)&gt;1440),"Durée invalide",IF(COUNTIFS(sj_date,A970,sj_eq,B970,sj_po,C970)=0,"Pas de saisie journalière ce jour-là","OK")))))))))))</f>
        <v/>
      </c>
      <c r="J970">
        <f>IF(OR(I970="OK",I970="Pas de saisie journalière ce jour-là"),E970,0)</f>
        <v>0.0</v>
      </c>
      <c r="K970">
        <f>IF(AND(J970&gt;0,A970&gt;=p_from,A970&lt;=p_to),1,0)</f>
        <v>0.0</v>
      </c>
      <c r="L970">
        <f>IF(AND(K970=1,OR(pa_po="",C970=pa_po),OR(pa_eq="",B970=pa_eq)),1,0)</f>
        <v>0.0</v>
      </c>
    </row>
    <row r="971">
      <c r="A971" s="51" t="n"/>
      <c r="B971" s="52" t="n"/>
      <c r="C971" s="52" t="n"/>
      <c r="D971" s="53" t="n"/>
      <c r="E971" s="60" t="n"/>
      <c r="F971" s="53" t="n"/>
      <c r="G971" s="61" t="str">
        <f>IF(OR(COUNTA(A971:E971)=0,D971=""),"",IFERROR(INDEX(ca_fam,MATCH(D971,ca_name,0))&amp;"",""))</f>
        <v/>
      </c>
      <c r="H971" s="58" t="str">
        <f>IF(OR(COUNTA(A971:E971)=0,D971=""),"",IFERROR(INDEX(ca_type,MATCH(D971,ca_name,0))&amp;"",""))</f>
        <v/>
      </c>
      <c r="I971" s="58" t="str">
        <f>IF(COUNTA(A971:E971)=0,"",IF(N(A971)&lt;=0,"Date manquante ou invalide",IF(B971="","Équipe manquante",IF(ISNA(MATCH(B971,eq_code,0)),"Équipe inconnue",IF(C971="","Poste manquant",IF(ISNA(MATCH(C971,po_code,0)),"Poste inconnu",IF(D971="","Cause manquante",IF(ISNA(MATCH(D971,ca_name,0)),"Cause inconnue",IF(H971="","Cause à compléter dans Paramètres",IF(OR(NOT(ISNUMBER(E971)),N(E971)&lt;=0,N(E971)&gt;1440),"Durée invalide",IF(COUNTIFS(sj_date,A971,sj_eq,B971,sj_po,C971)=0,"Pas de saisie journalière ce jour-là","OK")))))))))))</f>
        <v/>
      </c>
      <c r="J971">
        <f>IF(OR(I971="OK",I971="Pas de saisie journalière ce jour-là"),E971,0)</f>
        <v>0.0</v>
      </c>
      <c r="K971">
        <f>IF(AND(J971&gt;0,A971&gt;=p_from,A971&lt;=p_to),1,0)</f>
        <v>0.0</v>
      </c>
      <c r="L971">
        <f>IF(AND(K971=1,OR(pa_po="",C971=pa_po),OR(pa_eq="",B971=pa_eq)),1,0)</f>
        <v>0.0</v>
      </c>
    </row>
    <row r="972">
      <c r="A972" s="51" t="n"/>
      <c r="B972" s="52" t="n"/>
      <c r="C972" s="52" t="n"/>
      <c r="D972" s="53" t="n"/>
      <c r="E972" s="60" t="n"/>
      <c r="F972" s="53" t="n"/>
      <c r="G972" s="61" t="str">
        <f>IF(OR(COUNTA(A972:E972)=0,D972=""),"",IFERROR(INDEX(ca_fam,MATCH(D972,ca_name,0))&amp;"",""))</f>
        <v/>
      </c>
      <c r="H972" s="58" t="str">
        <f>IF(OR(COUNTA(A972:E972)=0,D972=""),"",IFERROR(INDEX(ca_type,MATCH(D972,ca_name,0))&amp;"",""))</f>
        <v/>
      </c>
      <c r="I972" s="58" t="str">
        <f>IF(COUNTA(A972:E972)=0,"",IF(N(A972)&lt;=0,"Date manquante ou invalide",IF(B972="","Équipe manquante",IF(ISNA(MATCH(B972,eq_code,0)),"Équipe inconnue",IF(C972="","Poste manquant",IF(ISNA(MATCH(C972,po_code,0)),"Poste inconnu",IF(D972="","Cause manquante",IF(ISNA(MATCH(D972,ca_name,0)),"Cause inconnue",IF(H972="","Cause à compléter dans Paramètres",IF(OR(NOT(ISNUMBER(E972)),N(E972)&lt;=0,N(E972)&gt;1440),"Durée invalide",IF(COUNTIFS(sj_date,A972,sj_eq,B972,sj_po,C972)=0,"Pas de saisie journalière ce jour-là","OK")))))))))))</f>
        <v/>
      </c>
      <c r="J972">
        <f>IF(OR(I972="OK",I972="Pas de saisie journalière ce jour-là"),E972,0)</f>
        <v>0.0</v>
      </c>
      <c r="K972">
        <f>IF(AND(J972&gt;0,A972&gt;=p_from,A972&lt;=p_to),1,0)</f>
        <v>0.0</v>
      </c>
      <c r="L972">
        <f>IF(AND(K972=1,OR(pa_po="",C972=pa_po),OR(pa_eq="",B972=pa_eq)),1,0)</f>
        <v>0.0</v>
      </c>
    </row>
    <row r="973">
      <c r="A973" s="51" t="n"/>
      <c r="B973" s="52" t="n"/>
      <c r="C973" s="52" t="n"/>
      <c r="D973" s="53" t="n"/>
      <c r="E973" s="60" t="n"/>
      <c r="F973" s="53" t="n"/>
      <c r="G973" s="61" t="str">
        <f>IF(OR(COUNTA(A973:E973)=0,D973=""),"",IFERROR(INDEX(ca_fam,MATCH(D973,ca_name,0))&amp;"",""))</f>
        <v/>
      </c>
      <c r="H973" s="58" t="str">
        <f>IF(OR(COUNTA(A973:E973)=0,D973=""),"",IFERROR(INDEX(ca_type,MATCH(D973,ca_name,0))&amp;"",""))</f>
        <v/>
      </c>
      <c r="I973" s="58" t="str">
        <f>IF(COUNTA(A973:E973)=0,"",IF(N(A973)&lt;=0,"Date manquante ou invalide",IF(B973="","Équipe manquante",IF(ISNA(MATCH(B973,eq_code,0)),"Équipe inconnue",IF(C973="","Poste manquant",IF(ISNA(MATCH(C973,po_code,0)),"Poste inconnu",IF(D973="","Cause manquante",IF(ISNA(MATCH(D973,ca_name,0)),"Cause inconnue",IF(H973="","Cause à compléter dans Paramètres",IF(OR(NOT(ISNUMBER(E973)),N(E973)&lt;=0,N(E973)&gt;1440),"Durée invalide",IF(COUNTIFS(sj_date,A973,sj_eq,B973,sj_po,C973)=0,"Pas de saisie journalière ce jour-là","OK")))))))))))</f>
        <v/>
      </c>
      <c r="J973">
        <f>IF(OR(I973="OK",I973="Pas de saisie journalière ce jour-là"),E973,0)</f>
        <v>0.0</v>
      </c>
      <c r="K973">
        <f>IF(AND(J973&gt;0,A973&gt;=p_from,A973&lt;=p_to),1,0)</f>
        <v>0.0</v>
      </c>
      <c r="L973">
        <f>IF(AND(K973=1,OR(pa_po="",C973=pa_po),OR(pa_eq="",B973=pa_eq)),1,0)</f>
        <v>0.0</v>
      </c>
    </row>
    <row r="974">
      <c r="A974" s="51" t="n"/>
      <c r="B974" s="52" t="n"/>
      <c r="C974" s="52" t="n"/>
      <c r="D974" s="53" t="n"/>
      <c r="E974" s="60" t="n"/>
      <c r="F974" s="53" t="n"/>
      <c r="G974" s="61" t="str">
        <f>IF(OR(COUNTA(A974:E974)=0,D974=""),"",IFERROR(INDEX(ca_fam,MATCH(D974,ca_name,0))&amp;"",""))</f>
        <v/>
      </c>
      <c r="H974" s="58" t="str">
        <f>IF(OR(COUNTA(A974:E974)=0,D974=""),"",IFERROR(INDEX(ca_type,MATCH(D974,ca_name,0))&amp;"",""))</f>
        <v/>
      </c>
      <c r="I974" s="58" t="str">
        <f>IF(COUNTA(A974:E974)=0,"",IF(N(A974)&lt;=0,"Date manquante ou invalide",IF(B974="","Équipe manquante",IF(ISNA(MATCH(B974,eq_code,0)),"Équipe inconnue",IF(C974="","Poste manquant",IF(ISNA(MATCH(C974,po_code,0)),"Poste inconnu",IF(D974="","Cause manquante",IF(ISNA(MATCH(D974,ca_name,0)),"Cause inconnue",IF(H974="","Cause à compléter dans Paramètres",IF(OR(NOT(ISNUMBER(E974)),N(E974)&lt;=0,N(E974)&gt;1440),"Durée invalide",IF(COUNTIFS(sj_date,A974,sj_eq,B974,sj_po,C974)=0,"Pas de saisie journalière ce jour-là","OK")))))))))))</f>
        <v/>
      </c>
      <c r="J974">
        <f>IF(OR(I974="OK",I974="Pas de saisie journalière ce jour-là"),E974,0)</f>
        <v>0.0</v>
      </c>
      <c r="K974">
        <f>IF(AND(J974&gt;0,A974&gt;=p_from,A974&lt;=p_to),1,0)</f>
        <v>0.0</v>
      </c>
      <c r="L974">
        <f>IF(AND(K974=1,OR(pa_po="",C974=pa_po),OR(pa_eq="",B974=pa_eq)),1,0)</f>
        <v>0.0</v>
      </c>
    </row>
    <row r="975">
      <c r="A975" s="51" t="n"/>
      <c r="B975" s="52" t="n"/>
      <c r="C975" s="52" t="n"/>
      <c r="D975" s="53" t="n"/>
      <c r="E975" s="60" t="n"/>
      <c r="F975" s="53" t="n"/>
      <c r="G975" s="61" t="str">
        <f>IF(OR(COUNTA(A975:E975)=0,D975=""),"",IFERROR(INDEX(ca_fam,MATCH(D975,ca_name,0))&amp;"",""))</f>
        <v/>
      </c>
      <c r="H975" s="58" t="str">
        <f>IF(OR(COUNTA(A975:E975)=0,D975=""),"",IFERROR(INDEX(ca_type,MATCH(D975,ca_name,0))&amp;"",""))</f>
        <v/>
      </c>
      <c r="I975" s="58" t="str">
        <f>IF(COUNTA(A975:E975)=0,"",IF(N(A975)&lt;=0,"Date manquante ou invalide",IF(B975="","Équipe manquante",IF(ISNA(MATCH(B975,eq_code,0)),"Équipe inconnue",IF(C975="","Poste manquant",IF(ISNA(MATCH(C975,po_code,0)),"Poste inconnu",IF(D975="","Cause manquante",IF(ISNA(MATCH(D975,ca_name,0)),"Cause inconnue",IF(H975="","Cause à compléter dans Paramètres",IF(OR(NOT(ISNUMBER(E975)),N(E975)&lt;=0,N(E975)&gt;1440),"Durée invalide",IF(COUNTIFS(sj_date,A975,sj_eq,B975,sj_po,C975)=0,"Pas de saisie journalière ce jour-là","OK")))))))))))</f>
        <v/>
      </c>
      <c r="J975">
        <f>IF(OR(I975="OK",I975="Pas de saisie journalière ce jour-là"),E975,0)</f>
        <v>0.0</v>
      </c>
      <c r="K975">
        <f>IF(AND(J975&gt;0,A975&gt;=p_from,A975&lt;=p_to),1,0)</f>
        <v>0.0</v>
      </c>
      <c r="L975">
        <f>IF(AND(K975=1,OR(pa_po="",C975=pa_po),OR(pa_eq="",B975=pa_eq)),1,0)</f>
        <v>0.0</v>
      </c>
    </row>
    <row r="976">
      <c r="A976" s="51" t="n"/>
      <c r="B976" s="52" t="n"/>
      <c r="C976" s="52" t="n"/>
      <c r="D976" s="53" t="n"/>
      <c r="E976" s="60" t="n"/>
      <c r="F976" s="53" t="n"/>
      <c r="G976" s="61" t="str">
        <f>IF(OR(COUNTA(A976:E976)=0,D976=""),"",IFERROR(INDEX(ca_fam,MATCH(D976,ca_name,0))&amp;"",""))</f>
        <v/>
      </c>
      <c r="H976" s="58" t="str">
        <f>IF(OR(COUNTA(A976:E976)=0,D976=""),"",IFERROR(INDEX(ca_type,MATCH(D976,ca_name,0))&amp;"",""))</f>
        <v/>
      </c>
      <c r="I976" s="58" t="str">
        <f>IF(COUNTA(A976:E976)=0,"",IF(N(A976)&lt;=0,"Date manquante ou invalide",IF(B976="","Équipe manquante",IF(ISNA(MATCH(B976,eq_code,0)),"Équipe inconnue",IF(C976="","Poste manquant",IF(ISNA(MATCH(C976,po_code,0)),"Poste inconnu",IF(D976="","Cause manquante",IF(ISNA(MATCH(D976,ca_name,0)),"Cause inconnue",IF(H976="","Cause à compléter dans Paramètres",IF(OR(NOT(ISNUMBER(E976)),N(E976)&lt;=0,N(E976)&gt;1440),"Durée invalide",IF(COUNTIFS(sj_date,A976,sj_eq,B976,sj_po,C976)=0,"Pas de saisie journalière ce jour-là","OK")))))))))))</f>
        <v/>
      </c>
      <c r="J976">
        <f>IF(OR(I976="OK",I976="Pas de saisie journalière ce jour-là"),E976,0)</f>
        <v>0.0</v>
      </c>
      <c r="K976">
        <f>IF(AND(J976&gt;0,A976&gt;=p_from,A976&lt;=p_to),1,0)</f>
        <v>0.0</v>
      </c>
      <c r="L976">
        <f>IF(AND(K976=1,OR(pa_po="",C976=pa_po),OR(pa_eq="",B976=pa_eq)),1,0)</f>
        <v>0.0</v>
      </c>
    </row>
    <row r="977">
      <c r="A977" s="51" t="n"/>
      <c r="B977" s="52" t="n"/>
      <c r="C977" s="52" t="n"/>
      <c r="D977" s="53" t="n"/>
      <c r="E977" s="60" t="n"/>
      <c r="F977" s="53" t="n"/>
      <c r="G977" s="61" t="str">
        <f>IF(OR(COUNTA(A977:E977)=0,D977=""),"",IFERROR(INDEX(ca_fam,MATCH(D977,ca_name,0))&amp;"",""))</f>
        <v/>
      </c>
      <c r="H977" s="58" t="str">
        <f>IF(OR(COUNTA(A977:E977)=0,D977=""),"",IFERROR(INDEX(ca_type,MATCH(D977,ca_name,0))&amp;"",""))</f>
        <v/>
      </c>
      <c r="I977" s="58" t="str">
        <f>IF(COUNTA(A977:E977)=0,"",IF(N(A977)&lt;=0,"Date manquante ou invalide",IF(B977="","Équipe manquante",IF(ISNA(MATCH(B977,eq_code,0)),"Équipe inconnue",IF(C977="","Poste manquant",IF(ISNA(MATCH(C977,po_code,0)),"Poste inconnu",IF(D977="","Cause manquante",IF(ISNA(MATCH(D977,ca_name,0)),"Cause inconnue",IF(H977="","Cause à compléter dans Paramètres",IF(OR(NOT(ISNUMBER(E977)),N(E977)&lt;=0,N(E977)&gt;1440),"Durée invalide",IF(COUNTIFS(sj_date,A977,sj_eq,B977,sj_po,C977)=0,"Pas de saisie journalière ce jour-là","OK")))))))))))</f>
        <v/>
      </c>
      <c r="J977">
        <f>IF(OR(I977="OK",I977="Pas de saisie journalière ce jour-là"),E977,0)</f>
        <v>0.0</v>
      </c>
      <c r="K977">
        <f>IF(AND(J977&gt;0,A977&gt;=p_from,A977&lt;=p_to),1,0)</f>
        <v>0.0</v>
      </c>
      <c r="L977">
        <f>IF(AND(K977=1,OR(pa_po="",C977=pa_po),OR(pa_eq="",B977=pa_eq)),1,0)</f>
        <v>0.0</v>
      </c>
    </row>
    <row r="978">
      <c r="A978" s="51" t="n"/>
      <c r="B978" s="52" t="n"/>
      <c r="C978" s="52" t="n"/>
      <c r="D978" s="53" t="n"/>
      <c r="E978" s="60" t="n"/>
      <c r="F978" s="53" t="n"/>
      <c r="G978" s="61" t="str">
        <f>IF(OR(COUNTA(A978:E978)=0,D978=""),"",IFERROR(INDEX(ca_fam,MATCH(D978,ca_name,0))&amp;"",""))</f>
        <v/>
      </c>
      <c r="H978" s="58" t="str">
        <f>IF(OR(COUNTA(A978:E978)=0,D978=""),"",IFERROR(INDEX(ca_type,MATCH(D978,ca_name,0))&amp;"",""))</f>
        <v/>
      </c>
      <c r="I978" s="58" t="str">
        <f>IF(COUNTA(A978:E978)=0,"",IF(N(A978)&lt;=0,"Date manquante ou invalide",IF(B978="","Équipe manquante",IF(ISNA(MATCH(B978,eq_code,0)),"Équipe inconnue",IF(C978="","Poste manquant",IF(ISNA(MATCH(C978,po_code,0)),"Poste inconnu",IF(D978="","Cause manquante",IF(ISNA(MATCH(D978,ca_name,0)),"Cause inconnue",IF(H978="","Cause à compléter dans Paramètres",IF(OR(NOT(ISNUMBER(E978)),N(E978)&lt;=0,N(E978)&gt;1440),"Durée invalide",IF(COUNTIFS(sj_date,A978,sj_eq,B978,sj_po,C978)=0,"Pas de saisie journalière ce jour-là","OK")))))))))))</f>
        <v/>
      </c>
      <c r="J978">
        <f>IF(OR(I978="OK",I978="Pas de saisie journalière ce jour-là"),E978,0)</f>
        <v>0.0</v>
      </c>
      <c r="K978">
        <f>IF(AND(J978&gt;0,A978&gt;=p_from,A978&lt;=p_to),1,0)</f>
        <v>0.0</v>
      </c>
      <c r="L978">
        <f>IF(AND(K978=1,OR(pa_po="",C978=pa_po),OR(pa_eq="",B978=pa_eq)),1,0)</f>
        <v>0.0</v>
      </c>
    </row>
    <row r="979">
      <c r="A979" s="51" t="n"/>
      <c r="B979" s="52" t="n"/>
      <c r="C979" s="52" t="n"/>
      <c r="D979" s="53" t="n"/>
      <c r="E979" s="60" t="n"/>
      <c r="F979" s="53" t="n"/>
      <c r="G979" s="61" t="str">
        <f>IF(OR(COUNTA(A979:E979)=0,D979=""),"",IFERROR(INDEX(ca_fam,MATCH(D979,ca_name,0))&amp;"",""))</f>
        <v/>
      </c>
      <c r="H979" s="58" t="str">
        <f>IF(OR(COUNTA(A979:E979)=0,D979=""),"",IFERROR(INDEX(ca_type,MATCH(D979,ca_name,0))&amp;"",""))</f>
        <v/>
      </c>
      <c r="I979" s="58" t="str">
        <f>IF(COUNTA(A979:E979)=0,"",IF(N(A979)&lt;=0,"Date manquante ou invalide",IF(B979="","Équipe manquante",IF(ISNA(MATCH(B979,eq_code,0)),"Équipe inconnue",IF(C979="","Poste manquant",IF(ISNA(MATCH(C979,po_code,0)),"Poste inconnu",IF(D979="","Cause manquante",IF(ISNA(MATCH(D979,ca_name,0)),"Cause inconnue",IF(H979="","Cause à compléter dans Paramètres",IF(OR(NOT(ISNUMBER(E979)),N(E979)&lt;=0,N(E979)&gt;1440),"Durée invalide",IF(COUNTIFS(sj_date,A979,sj_eq,B979,sj_po,C979)=0,"Pas de saisie journalière ce jour-là","OK")))))))))))</f>
        <v/>
      </c>
      <c r="J979">
        <f>IF(OR(I979="OK",I979="Pas de saisie journalière ce jour-là"),E979,0)</f>
        <v>0.0</v>
      </c>
      <c r="K979">
        <f>IF(AND(J979&gt;0,A979&gt;=p_from,A979&lt;=p_to),1,0)</f>
        <v>0.0</v>
      </c>
      <c r="L979">
        <f>IF(AND(K979=1,OR(pa_po="",C979=pa_po),OR(pa_eq="",B979=pa_eq)),1,0)</f>
        <v>0.0</v>
      </c>
    </row>
    <row r="980">
      <c r="A980" s="51" t="n"/>
      <c r="B980" s="52" t="n"/>
      <c r="C980" s="52" t="n"/>
      <c r="D980" s="53" t="n"/>
      <c r="E980" s="60" t="n"/>
      <c r="F980" s="53" t="n"/>
      <c r="G980" s="61" t="str">
        <f>IF(OR(COUNTA(A980:E980)=0,D980=""),"",IFERROR(INDEX(ca_fam,MATCH(D980,ca_name,0))&amp;"",""))</f>
        <v/>
      </c>
      <c r="H980" s="58" t="str">
        <f>IF(OR(COUNTA(A980:E980)=0,D980=""),"",IFERROR(INDEX(ca_type,MATCH(D980,ca_name,0))&amp;"",""))</f>
        <v/>
      </c>
      <c r="I980" s="58" t="str">
        <f>IF(COUNTA(A980:E980)=0,"",IF(N(A980)&lt;=0,"Date manquante ou invalide",IF(B980="","Équipe manquante",IF(ISNA(MATCH(B980,eq_code,0)),"Équipe inconnue",IF(C980="","Poste manquant",IF(ISNA(MATCH(C980,po_code,0)),"Poste inconnu",IF(D980="","Cause manquante",IF(ISNA(MATCH(D980,ca_name,0)),"Cause inconnue",IF(H980="","Cause à compléter dans Paramètres",IF(OR(NOT(ISNUMBER(E980)),N(E980)&lt;=0,N(E980)&gt;1440),"Durée invalide",IF(COUNTIFS(sj_date,A980,sj_eq,B980,sj_po,C980)=0,"Pas de saisie journalière ce jour-là","OK")))))))))))</f>
        <v/>
      </c>
      <c r="J980">
        <f>IF(OR(I980="OK",I980="Pas de saisie journalière ce jour-là"),E980,0)</f>
        <v>0.0</v>
      </c>
      <c r="K980">
        <f>IF(AND(J980&gt;0,A980&gt;=p_from,A980&lt;=p_to),1,0)</f>
        <v>0.0</v>
      </c>
      <c r="L980">
        <f>IF(AND(K980=1,OR(pa_po="",C980=pa_po),OR(pa_eq="",B980=pa_eq)),1,0)</f>
        <v>0.0</v>
      </c>
    </row>
    <row r="981">
      <c r="A981" s="51" t="n"/>
      <c r="B981" s="52" t="n"/>
      <c r="C981" s="52" t="n"/>
      <c r="D981" s="53" t="n"/>
      <c r="E981" s="60" t="n"/>
      <c r="F981" s="53" t="n"/>
      <c r="G981" s="61" t="str">
        <f>IF(OR(COUNTA(A981:E981)=0,D981=""),"",IFERROR(INDEX(ca_fam,MATCH(D981,ca_name,0))&amp;"",""))</f>
        <v/>
      </c>
      <c r="H981" s="58" t="str">
        <f>IF(OR(COUNTA(A981:E981)=0,D981=""),"",IFERROR(INDEX(ca_type,MATCH(D981,ca_name,0))&amp;"",""))</f>
        <v/>
      </c>
      <c r="I981" s="58" t="str">
        <f>IF(COUNTA(A981:E981)=0,"",IF(N(A981)&lt;=0,"Date manquante ou invalide",IF(B981="","Équipe manquante",IF(ISNA(MATCH(B981,eq_code,0)),"Équipe inconnue",IF(C981="","Poste manquant",IF(ISNA(MATCH(C981,po_code,0)),"Poste inconnu",IF(D981="","Cause manquante",IF(ISNA(MATCH(D981,ca_name,0)),"Cause inconnue",IF(H981="","Cause à compléter dans Paramètres",IF(OR(NOT(ISNUMBER(E981)),N(E981)&lt;=0,N(E981)&gt;1440),"Durée invalide",IF(COUNTIFS(sj_date,A981,sj_eq,B981,sj_po,C981)=0,"Pas de saisie journalière ce jour-là","OK")))))))))))</f>
        <v/>
      </c>
      <c r="J981">
        <f>IF(OR(I981="OK",I981="Pas de saisie journalière ce jour-là"),E981,0)</f>
        <v>0.0</v>
      </c>
      <c r="K981">
        <f>IF(AND(J981&gt;0,A981&gt;=p_from,A981&lt;=p_to),1,0)</f>
        <v>0.0</v>
      </c>
      <c r="L981">
        <f>IF(AND(K981=1,OR(pa_po="",C981=pa_po),OR(pa_eq="",B981=pa_eq)),1,0)</f>
        <v>0.0</v>
      </c>
    </row>
    <row r="982">
      <c r="A982" s="51" t="n"/>
      <c r="B982" s="52" t="n"/>
      <c r="C982" s="52" t="n"/>
      <c r="D982" s="53" t="n"/>
      <c r="E982" s="60" t="n"/>
      <c r="F982" s="53" t="n"/>
      <c r="G982" s="61" t="str">
        <f>IF(OR(COUNTA(A982:E982)=0,D982=""),"",IFERROR(INDEX(ca_fam,MATCH(D982,ca_name,0))&amp;"",""))</f>
        <v/>
      </c>
      <c r="H982" s="58" t="str">
        <f>IF(OR(COUNTA(A982:E982)=0,D982=""),"",IFERROR(INDEX(ca_type,MATCH(D982,ca_name,0))&amp;"",""))</f>
        <v/>
      </c>
      <c r="I982" s="58" t="str">
        <f>IF(COUNTA(A982:E982)=0,"",IF(N(A982)&lt;=0,"Date manquante ou invalide",IF(B982="","Équipe manquante",IF(ISNA(MATCH(B982,eq_code,0)),"Équipe inconnue",IF(C982="","Poste manquant",IF(ISNA(MATCH(C982,po_code,0)),"Poste inconnu",IF(D982="","Cause manquante",IF(ISNA(MATCH(D982,ca_name,0)),"Cause inconnue",IF(H982="","Cause à compléter dans Paramètres",IF(OR(NOT(ISNUMBER(E982)),N(E982)&lt;=0,N(E982)&gt;1440),"Durée invalide",IF(COUNTIFS(sj_date,A982,sj_eq,B982,sj_po,C982)=0,"Pas de saisie journalière ce jour-là","OK")))))))))))</f>
        <v/>
      </c>
      <c r="J982">
        <f>IF(OR(I982="OK",I982="Pas de saisie journalière ce jour-là"),E982,0)</f>
        <v>0.0</v>
      </c>
      <c r="K982">
        <f>IF(AND(J982&gt;0,A982&gt;=p_from,A982&lt;=p_to),1,0)</f>
        <v>0.0</v>
      </c>
      <c r="L982">
        <f>IF(AND(K982=1,OR(pa_po="",C982=pa_po),OR(pa_eq="",B982=pa_eq)),1,0)</f>
        <v>0.0</v>
      </c>
    </row>
    <row r="983">
      <c r="A983" s="51" t="n"/>
      <c r="B983" s="52" t="n"/>
      <c r="C983" s="52" t="n"/>
      <c r="D983" s="53" t="n"/>
      <c r="E983" s="60" t="n"/>
      <c r="F983" s="53" t="n"/>
      <c r="G983" s="61" t="str">
        <f>IF(OR(COUNTA(A983:E983)=0,D983=""),"",IFERROR(INDEX(ca_fam,MATCH(D983,ca_name,0))&amp;"",""))</f>
        <v/>
      </c>
      <c r="H983" s="58" t="str">
        <f>IF(OR(COUNTA(A983:E983)=0,D983=""),"",IFERROR(INDEX(ca_type,MATCH(D983,ca_name,0))&amp;"",""))</f>
        <v/>
      </c>
      <c r="I983" s="58" t="str">
        <f>IF(COUNTA(A983:E983)=0,"",IF(N(A983)&lt;=0,"Date manquante ou invalide",IF(B983="","Équipe manquante",IF(ISNA(MATCH(B983,eq_code,0)),"Équipe inconnue",IF(C983="","Poste manquant",IF(ISNA(MATCH(C983,po_code,0)),"Poste inconnu",IF(D983="","Cause manquante",IF(ISNA(MATCH(D983,ca_name,0)),"Cause inconnue",IF(H983="","Cause à compléter dans Paramètres",IF(OR(NOT(ISNUMBER(E983)),N(E983)&lt;=0,N(E983)&gt;1440),"Durée invalide",IF(COUNTIFS(sj_date,A983,sj_eq,B983,sj_po,C983)=0,"Pas de saisie journalière ce jour-là","OK")))))))))))</f>
        <v/>
      </c>
      <c r="J983">
        <f>IF(OR(I983="OK",I983="Pas de saisie journalière ce jour-là"),E983,0)</f>
        <v>0.0</v>
      </c>
      <c r="K983">
        <f>IF(AND(J983&gt;0,A983&gt;=p_from,A983&lt;=p_to),1,0)</f>
        <v>0.0</v>
      </c>
      <c r="L983">
        <f>IF(AND(K983=1,OR(pa_po="",C983=pa_po),OR(pa_eq="",B983=pa_eq)),1,0)</f>
        <v>0.0</v>
      </c>
    </row>
    <row r="984">
      <c r="A984" s="51" t="n"/>
      <c r="B984" s="52" t="n"/>
      <c r="C984" s="52" t="n"/>
      <c r="D984" s="53" t="n"/>
      <c r="E984" s="60" t="n"/>
      <c r="F984" s="53" t="n"/>
      <c r="G984" s="61" t="str">
        <f>IF(OR(COUNTA(A984:E984)=0,D984=""),"",IFERROR(INDEX(ca_fam,MATCH(D984,ca_name,0))&amp;"",""))</f>
        <v/>
      </c>
      <c r="H984" s="58" t="str">
        <f>IF(OR(COUNTA(A984:E984)=0,D984=""),"",IFERROR(INDEX(ca_type,MATCH(D984,ca_name,0))&amp;"",""))</f>
        <v/>
      </c>
      <c r="I984" s="58" t="str">
        <f>IF(COUNTA(A984:E984)=0,"",IF(N(A984)&lt;=0,"Date manquante ou invalide",IF(B984="","Équipe manquante",IF(ISNA(MATCH(B984,eq_code,0)),"Équipe inconnue",IF(C984="","Poste manquant",IF(ISNA(MATCH(C984,po_code,0)),"Poste inconnu",IF(D984="","Cause manquante",IF(ISNA(MATCH(D984,ca_name,0)),"Cause inconnue",IF(H984="","Cause à compléter dans Paramètres",IF(OR(NOT(ISNUMBER(E984)),N(E984)&lt;=0,N(E984)&gt;1440),"Durée invalide",IF(COUNTIFS(sj_date,A984,sj_eq,B984,sj_po,C984)=0,"Pas de saisie journalière ce jour-là","OK")))))))))))</f>
        <v/>
      </c>
      <c r="J984">
        <f>IF(OR(I984="OK",I984="Pas de saisie journalière ce jour-là"),E984,0)</f>
        <v>0.0</v>
      </c>
      <c r="K984">
        <f>IF(AND(J984&gt;0,A984&gt;=p_from,A984&lt;=p_to),1,0)</f>
        <v>0.0</v>
      </c>
      <c r="L984">
        <f>IF(AND(K984=1,OR(pa_po="",C984=pa_po),OR(pa_eq="",B984=pa_eq)),1,0)</f>
        <v>0.0</v>
      </c>
    </row>
    <row r="985">
      <c r="A985" s="51" t="n"/>
      <c r="B985" s="52" t="n"/>
      <c r="C985" s="52" t="n"/>
      <c r="D985" s="53" t="n"/>
      <c r="E985" s="60" t="n"/>
      <c r="F985" s="53" t="n"/>
      <c r="G985" s="61" t="str">
        <f>IF(OR(COUNTA(A985:E985)=0,D985=""),"",IFERROR(INDEX(ca_fam,MATCH(D985,ca_name,0))&amp;"",""))</f>
        <v/>
      </c>
      <c r="H985" s="58" t="str">
        <f>IF(OR(COUNTA(A985:E985)=0,D985=""),"",IFERROR(INDEX(ca_type,MATCH(D985,ca_name,0))&amp;"",""))</f>
        <v/>
      </c>
      <c r="I985" s="58" t="str">
        <f>IF(COUNTA(A985:E985)=0,"",IF(N(A985)&lt;=0,"Date manquante ou invalide",IF(B985="","Équipe manquante",IF(ISNA(MATCH(B985,eq_code,0)),"Équipe inconnue",IF(C985="","Poste manquant",IF(ISNA(MATCH(C985,po_code,0)),"Poste inconnu",IF(D985="","Cause manquante",IF(ISNA(MATCH(D985,ca_name,0)),"Cause inconnue",IF(H985="","Cause à compléter dans Paramètres",IF(OR(NOT(ISNUMBER(E985)),N(E985)&lt;=0,N(E985)&gt;1440),"Durée invalide",IF(COUNTIFS(sj_date,A985,sj_eq,B985,sj_po,C985)=0,"Pas de saisie journalière ce jour-là","OK")))))))))))</f>
        <v/>
      </c>
      <c r="J985">
        <f>IF(OR(I985="OK",I985="Pas de saisie journalière ce jour-là"),E985,0)</f>
        <v>0.0</v>
      </c>
      <c r="K985">
        <f>IF(AND(J985&gt;0,A985&gt;=p_from,A985&lt;=p_to),1,0)</f>
        <v>0.0</v>
      </c>
      <c r="L985">
        <f>IF(AND(K985=1,OR(pa_po="",C985=pa_po),OR(pa_eq="",B985=pa_eq)),1,0)</f>
        <v>0.0</v>
      </c>
    </row>
    <row r="986">
      <c r="A986" s="51" t="n"/>
      <c r="B986" s="52" t="n"/>
      <c r="C986" s="52" t="n"/>
      <c r="D986" s="53" t="n"/>
      <c r="E986" s="60" t="n"/>
      <c r="F986" s="53" t="n"/>
      <c r="G986" s="61" t="str">
        <f>IF(OR(COUNTA(A986:E986)=0,D986=""),"",IFERROR(INDEX(ca_fam,MATCH(D986,ca_name,0))&amp;"",""))</f>
        <v/>
      </c>
      <c r="H986" s="58" t="str">
        <f>IF(OR(COUNTA(A986:E986)=0,D986=""),"",IFERROR(INDEX(ca_type,MATCH(D986,ca_name,0))&amp;"",""))</f>
        <v/>
      </c>
      <c r="I986" s="58" t="str">
        <f>IF(COUNTA(A986:E986)=0,"",IF(N(A986)&lt;=0,"Date manquante ou invalide",IF(B986="","Équipe manquante",IF(ISNA(MATCH(B986,eq_code,0)),"Équipe inconnue",IF(C986="","Poste manquant",IF(ISNA(MATCH(C986,po_code,0)),"Poste inconnu",IF(D986="","Cause manquante",IF(ISNA(MATCH(D986,ca_name,0)),"Cause inconnue",IF(H986="","Cause à compléter dans Paramètres",IF(OR(NOT(ISNUMBER(E986)),N(E986)&lt;=0,N(E986)&gt;1440),"Durée invalide",IF(COUNTIFS(sj_date,A986,sj_eq,B986,sj_po,C986)=0,"Pas de saisie journalière ce jour-là","OK")))))))))))</f>
        <v/>
      </c>
      <c r="J986">
        <f>IF(OR(I986="OK",I986="Pas de saisie journalière ce jour-là"),E986,0)</f>
        <v>0.0</v>
      </c>
      <c r="K986">
        <f>IF(AND(J986&gt;0,A986&gt;=p_from,A986&lt;=p_to),1,0)</f>
        <v>0.0</v>
      </c>
      <c r="L986">
        <f>IF(AND(K986=1,OR(pa_po="",C986=pa_po),OR(pa_eq="",B986=pa_eq)),1,0)</f>
        <v>0.0</v>
      </c>
    </row>
    <row r="987">
      <c r="A987" s="51" t="n"/>
      <c r="B987" s="52" t="n"/>
      <c r="C987" s="52" t="n"/>
      <c r="D987" s="53" t="n"/>
      <c r="E987" s="60" t="n"/>
      <c r="F987" s="53" t="n"/>
      <c r="G987" s="61" t="str">
        <f>IF(OR(COUNTA(A987:E987)=0,D987=""),"",IFERROR(INDEX(ca_fam,MATCH(D987,ca_name,0))&amp;"",""))</f>
        <v/>
      </c>
      <c r="H987" s="58" t="str">
        <f>IF(OR(COUNTA(A987:E987)=0,D987=""),"",IFERROR(INDEX(ca_type,MATCH(D987,ca_name,0))&amp;"",""))</f>
        <v/>
      </c>
      <c r="I987" s="58" t="str">
        <f>IF(COUNTA(A987:E987)=0,"",IF(N(A987)&lt;=0,"Date manquante ou invalide",IF(B987="","Équipe manquante",IF(ISNA(MATCH(B987,eq_code,0)),"Équipe inconnue",IF(C987="","Poste manquant",IF(ISNA(MATCH(C987,po_code,0)),"Poste inconnu",IF(D987="","Cause manquante",IF(ISNA(MATCH(D987,ca_name,0)),"Cause inconnue",IF(H987="","Cause à compléter dans Paramètres",IF(OR(NOT(ISNUMBER(E987)),N(E987)&lt;=0,N(E987)&gt;1440),"Durée invalide",IF(COUNTIFS(sj_date,A987,sj_eq,B987,sj_po,C987)=0,"Pas de saisie journalière ce jour-là","OK")))))))))))</f>
        <v/>
      </c>
      <c r="J987">
        <f>IF(OR(I987="OK",I987="Pas de saisie journalière ce jour-là"),E987,0)</f>
        <v>0.0</v>
      </c>
      <c r="K987">
        <f>IF(AND(J987&gt;0,A987&gt;=p_from,A987&lt;=p_to),1,0)</f>
        <v>0.0</v>
      </c>
      <c r="L987">
        <f>IF(AND(K987=1,OR(pa_po="",C987=pa_po),OR(pa_eq="",B987=pa_eq)),1,0)</f>
        <v>0.0</v>
      </c>
    </row>
    <row r="988">
      <c r="A988" s="51" t="n"/>
      <c r="B988" s="52" t="n"/>
      <c r="C988" s="52" t="n"/>
      <c r="D988" s="53" t="n"/>
      <c r="E988" s="60" t="n"/>
      <c r="F988" s="53" t="n"/>
      <c r="G988" s="61" t="str">
        <f>IF(OR(COUNTA(A988:E988)=0,D988=""),"",IFERROR(INDEX(ca_fam,MATCH(D988,ca_name,0))&amp;"",""))</f>
        <v/>
      </c>
      <c r="H988" s="58" t="str">
        <f>IF(OR(COUNTA(A988:E988)=0,D988=""),"",IFERROR(INDEX(ca_type,MATCH(D988,ca_name,0))&amp;"",""))</f>
        <v/>
      </c>
      <c r="I988" s="58" t="str">
        <f>IF(COUNTA(A988:E988)=0,"",IF(N(A988)&lt;=0,"Date manquante ou invalide",IF(B988="","Équipe manquante",IF(ISNA(MATCH(B988,eq_code,0)),"Équipe inconnue",IF(C988="","Poste manquant",IF(ISNA(MATCH(C988,po_code,0)),"Poste inconnu",IF(D988="","Cause manquante",IF(ISNA(MATCH(D988,ca_name,0)),"Cause inconnue",IF(H988="","Cause à compléter dans Paramètres",IF(OR(NOT(ISNUMBER(E988)),N(E988)&lt;=0,N(E988)&gt;1440),"Durée invalide",IF(COUNTIFS(sj_date,A988,sj_eq,B988,sj_po,C988)=0,"Pas de saisie journalière ce jour-là","OK")))))))))))</f>
        <v/>
      </c>
      <c r="J988">
        <f>IF(OR(I988="OK",I988="Pas de saisie journalière ce jour-là"),E988,0)</f>
        <v>0.0</v>
      </c>
      <c r="K988">
        <f>IF(AND(J988&gt;0,A988&gt;=p_from,A988&lt;=p_to),1,0)</f>
        <v>0.0</v>
      </c>
      <c r="L988">
        <f>IF(AND(K988=1,OR(pa_po="",C988=pa_po),OR(pa_eq="",B988=pa_eq)),1,0)</f>
        <v>0.0</v>
      </c>
    </row>
    <row r="989">
      <c r="A989" s="51" t="n"/>
      <c r="B989" s="52" t="n"/>
      <c r="C989" s="52" t="n"/>
      <c r="D989" s="53" t="n"/>
      <c r="E989" s="60" t="n"/>
      <c r="F989" s="53" t="n"/>
      <c r="G989" s="61" t="str">
        <f>IF(OR(COUNTA(A989:E989)=0,D989=""),"",IFERROR(INDEX(ca_fam,MATCH(D989,ca_name,0))&amp;"",""))</f>
        <v/>
      </c>
      <c r="H989" s="58" t="str">
        <f>IF(OR(COUNTA(A989:E989)=0,D989=""),"",IFERROR(INDEX(ca_type,MATCH(D989,ca_name,0))&amp;"",""))</f>
        <v/>
      </c>
      <c r="I989" s="58" t="str">
        <f>IF(COUNTA(A989:E989)=0,"",IF(N(A989)&lt;=0,"Date manquante ou invalide",IF(B989="","Équipe manquante",IF(ISNA(MATCH(B989,eq_code,0)),"Équipe inconnue",IF(C989="","Poste manquant",IF(ISNA(MATCH(C989,po_code,0)),"Poste inconnu",IF(D989="","Cause manquante",IF(ISNA(MATCH(D989,ca_name,0)),"Cause inconnue",IF(H989="","Cause à compléter dans Paramètres",IF(OR(NOT(ISNUMBER(E989)),N(E989)&lt;=0,N(E989)&gt;1440),"Durée invalide",IF(COUNTIFS(sj_date,A989,sj_eq,B989,sj_po,C989)=0,"Pas de saisie journalière ce jour-là","OK")))))))))))</f>
        <v/>
      </c>
      <c r="J989">
        <f>IF(OR(I989="OK",I989="Pas de saisie journalière ce jour-là"),E989,0)</f>
        <v>0.0</v>
      </c>
      <c r="K989">
        <f>IF(AND(J989&gt;0,A989&gt;=p_from,A989&lt;=p_to),1,0)</f>
        <v>0.0</v>
      </c>
      <c r="L989">
        <f>IF(AND(K989=1,OR(pa_po="",C989=pa_po),OR(pa_eq="",B989=pa_eq)),1,0)</f>
        <v>0.0</v>
      </c>
    </row>
    <row r="990">
      <c r="A990" s="51" t="n"/>
      <c r="B990" s="52" t="n"/>
      <c r="C990" s="52" t="n"/>
      <c r="D990" s="53" t="n"/>
      <c r="E990" s="60" t="n"/>
      <c r="F990" s="53" t="n"/>
      <c r="G990" s="61" t="str">
        <f>IF(OR(COUNTA(A990:E990)=0,D990=""),"",IFERROR(INDEX(ca_fam,MATCH(D990,ca_name,0))&amp;"",""))</f>
        <v/>
      </c>
      <c r="H990" s="58" t="str">
        <f>IF(OR(COUNTA(A990:E990)=0,D990=""),"",IFERROR(INDEX(ca_type,MATCH(D990,ca_name,0))&amp;"",""))</f>
        <v/>
      </c>
      <c r="I990" s="58" t="str">
        <f>IF(COUNTA(A990:E990)=0,"",IF(N(A990)&lt;=0,"Date manquante ou invalide",IF(B990="","Équipe manquante",IF(ISNA(MATCH(B990,eq_code,0)),"Équipe inconnue",IF(C990="","Poste manquant",IF(ISNA(MATCH(C990,po_code,0)),"Poste inconnu",IF(D990="","Cause manquante",IF(ISNA(MATCH(D990,ca_name,0)),"Cause inconnue",IF(H990="","Cause à compléter dans Paramètres",IF(OR(NOT(ISNUMBER(E990)),N(E990)&lt;=0,N(E990)&gt;1440),"Durée invalide",IF(COUNTIFS(sj_date,A990,sj_eq,B990,sj_po,C990)=0,"Pas de saisie journalière ce jour-là","OK")))))))))))</f>
        <v/>
      </c>
      <c r="J990">
        <f>IF(OR(I990="OK",I990="Pas de saisie journalière ce jour-là"),E990,0)</f>
        <v>0.0</v>
      </c>
      <c r="K990">
        <f>IF(AND(J990&gt;0,A990&gt;=p_from,A990&lt;=p_to),1,0)</f>
        <v>0.0</v>
      </c>
      <c r="L990">
        <f>IF(AND(K990=1,OR(pa_po="",C990=pa_po),OR(pa_eq="",B990=pa_eq)),1,0)</f>
        <v>0.0</v>
      </c>
    </row>
    <row r="991">
      <c r="A991" s="51" t="n"/>
      <c r="B991" s="52" t="n"/>
      <c r="C991" s="52" t="n"/>
      <c r="D991" s="53" t="n"/>
      <c r="E991" s="60" t="n"/>
      <c r="F991" s="53" t="n"/>
      <c r="G991" s="61" t="str">
        <f>IF(OR(COUNTA(A991:E991)=0,D991=""),"",IFERROR(INDEX(ca_fam,MATCH(D991,ca_name,0))&amp;"",""))</f>
        <v/>
      </c>
      <c r="H991" s="58" t="str">
        <f>IF(OR(COUNTA(A991:E991)=0,D991=""),"",IFERROR(INDEX(ca_type,MATCH(D991,ca_name,0))&amp;"",""))</f>
        <v/>
      </c>
      <c r="I991" s="58" t="str">
        <f>IF(COUNTA(A991:E991)=0,"",IF(N(A991)&lt;=0,"Date manquante ou invalide",IF(B991="","Équipe manquante",IF(ISNA(MATCH(B991,eq_code,0)),"Équipe inconnue",IF(C991="","Poste manquant",IF(ISNA(MATCH(C991,po_code,0)),"Poste inconnu",IF(D991="","Cause manquante",IF(ISNA(MATCH(D991,ca_name,0)),"Cause inconnue",IF(H991="","Cause à compléter dans Paramètres",IF(OR(NOT(ISNUMBER(E991)),N(E991)&lt;=0,N(E991)&gt;1440),"Durée invalide",IF(COUNTIFS(sj_date,A991,sj_eq,B991,sj_po,C991)=0,"Pas de saisie journalière ce jour-là","OK")))))))))))</f>
        <v/>
      </c>
      <c r="J991">
        <f>IF(OR(I991="OK",I991="Pas de saisie journalière ce jour-là"),E991,0)</f>
        <v>0.0</v>
      </c>
      <c r="K991">
        <f>IF(AND(J991&gt;0,A991&gt;=p_from,A991&lt;=p_to),1,0)</f>
        <v>0.0</v>
      </c>
      <c r="L991">
        <f>IF(AND(K991=1,OR(pa_po="",C991=pa_po),OR(pa_eq="",B991=pa_eq)),1,0)</f>
        <v>0.0</v>
      </c>
    </row>
    <row r="992">
      <c r="A992" s="51" t="n"/>
      <c r="B992" s="52" t="n"/>
      <c r="C992" s="52" t="n"/>
      <c r="D992" s="53" t="n"/>
      <c r="E992" s="60" t="n"/>
      <c r="F992" s="53" t="n"/>
      <c r="G992" s="61" t="str">
        <f>IF(OR(COUNTA(A992:E992)=0,D992=""),"",IFERROR(INDEX(ca_fam,MATCH(D992,ca_name,0))&amp;"",""))</f>
        <v/>
      </c>
      <c r="H992" s="58" t="str">
        <f>IF(OR(COUNTA(A992:E992)=0,D992=""),"",IFERROR(INDEX(ca_type,MATCH(D992,ca_name,0))&amp;"",""))</f>
        <v/>
      </c>
      <c r="I992" s="58" t="str">
        <f>IF(COUNTA(A992:E992)=0,"",IF(N(A992)&lt;=0,"Date manquante ou invalide",IF(B992="","Équipe manquante",IF(ISNA(MATCH(B992,eq_code,0)),"Équipe inconnue",IF(C992="","Poste manquant",IF(ISNA(MATCH(C992,po_code,0)),"Poste inconnu",IF(D992="","Cause manquante",IF(ISNA(MATCH(D992,ca_name,0)),"Cause inconnue",IF(H992="","Cause à compléter dans Paramètres",IF(OR(NOT(ISNUMBER(E992)),N(E992)&lt;=0,N(E992)&gt;1440),"Durée invalide",IF(COUNTIFS(sj_date,A992,sj_eq,B992,sj_po,C992)=0,"Pas de saisie journalière ce jour-là","OK")))))))))))</f>
        <v/>
      </c>
      <c r="J992">
        <f>IF(OR(I992="OK",I992="Pas de saisie journalière ce jour-là"),E992,0)</f>
        <v>0.0</v>
      </c>
      <c r="K992">
        <f>IF(AND(J992&gt;0,A992&gt;=p_from,A992&lt;=p_to),1,0)</f>
        <v>0.0</v>
      </c>
      <c r="L992">
        <f>IF(AND(K992=1,OR(pa_po="",C992=pa_po),OR(pa_eq="",B992=pa_eq)),1,0)</f>
        <v>0.0</v>
      </c>
    </row>
    <row r="993">
      <c r="A993" s="51" t="n"/>
      <c r="B993" s="52" t="n"/>
      <c r="C993" s="52" t="n"/>
      <c r="D993" s="53" t="n"/>
      <c r="E993" s="60" t="n"/>
      <c r="F993" s="53" t="n"/>
      <c r="G993" s="61" t="str">
        <f>IF(OR(COUNTA(A993:E993)=0,D993=""),"",IFERROR(INDEX(ca_fam,MATCH(D993,ca_name,0))&amp;"",""))</f>
        <v/>
      </c>
      <c r="H993" s="58" t="str">
        <f>IF(OR(COUNTA(A993:E993)=0,D993=""),"",IFERROR(INDEX(ca_type,MATCH(D993,ca_name,0))&amp;"",""))</f>
        <v/>
      </c>
      <c r="I993" s="58" t="str">
        <f>IF(COUNTA(A993:E993)=0,"",IF(N(A993)&lt;=0,"Date manquante ou invalide",IF(B993="","Équipe manquante",IF(ISNA(MATCH(B993,eq_code,0)),"Équipe inconnue",IF(C993="","Poste manquant",IF(ISNA(MATCH(C993,po_code,0)),"Poste inconnu",IF(D993="","Cause manquante",IF(ISNA(MATCH(D993,ca_name,0)),"Cause inconnue",IF(H993="","Cause à compléter dans Paramètres",IF(OR(NOT(ISNUMBER(E993)),N(E993)&lt;=0,N(E993)&gt;1440),"Durée invalide",IF(COUNTIFS(sj_date,A993,sj_eq,B993,sj_po,C993)=0,"Pas de saisie journalière ce jour-là","OK")))))))))))</f>
        <v/>
      </c>
      <c r="J993">
        <f>IF(OR(I993="OK",I993="Pas de saisie journalière ce jour-là"),E993,0)</f>
        <v>0.0</v>
      </c>
      <c r="K993">
        <f>IF(AND(J993&gt;0,A993&gt;=p_from,A993&lt;=p_to),1,0)</f>
        <v>0.0</v>
      </c>
      <c r="L993">
        <f>IF(AND(K993=1,OR(pa_po="",C993=pa_po),OR(pa_eq="",B993=pa_eq)),1,0)</f>
        <v>0.0</v>
      </c>
    </row>
    <row r="994">
      <c r="A994" s="51" t="n"/>
      <c r="B994" s="52" t="n"/>
      <c r="C994" s="52" t="n"/>
      <c r="D994" s="53" t="n"/>
      <c r="E994" s="60" t="n"/>
      <c r="F994" s="53" t="n"/>
      <c r="G994" s="61" t="str">
        <f>IF(OR(COUNTA(A994:E994)=0,D994=""),"",IFERROR(INDEX(ca_fam,MATCH(D994,ca_name,0))&amp;"",""))</f>
        <v/>
      </c>
      <c r="H994" s="58" t="str">
        <f>IF(OR(COUNTA(A994:E994)=0,D994=""),"",IFERROR(INDEX(ca_type,MATCH(D994,ca_name,0))&amp;"",""))</f>
        <v/>
      </c>
      <c r="I994" s="58" t="str">
        <f>IF(COUNTA(A994:E994)=0,"",IF(N(A994)&lt;=0,"Date manquante ou invalide",IF(B994="","Équipe manquante",IF(ISNA(MATCH(B994,eq_code,0)),"Équipe inconnue",IF(C994="","Poste manquant",IF(ISNA(MATCH(C994,po_code,0)),"Poste inconnu",IF(D994="","Cause manquante",IF(ISNA(MATCH(D994,ca_name,0)),"Cause inconnue",IF(H994="","Cause à compléter dans Paramètres",IF(OR(NOT(ISNUMBER(E994)),N(E994)&lt;=0,N(E994)&gt;1440),"Durée invalide",IF(COUNTIFS(sj_date,A994,sj_eq,B994,sj_po,C994)=0,"Pas de saisie journalière ce jour-là","OK")))))))))))</f>
        <v/>
      </c>
      <c r="J994">
        <f>IF(OR(I994="OK",I994="Pas de saisie journalière ce jour-là"),E994,0)</f>
        <v>0.0</v>
      </c>
      <c r="K994">
        <f>IF(AND(J994&gt;0,A994&gt;=p_from,A994&lt;=p_to),1,0)</f>
        <v>0.0</v>
      </c>
      <c r="L994">
        <f>IF(AND(K994=1,OR(pa_po="",C994=pa_po),OR(pa_eq="",B994=pa_eq)),1,0)</f>
        <v>0.0</v>
      </c>
    </row>
    <row r="995">
      <c r="A995" s="51" t="n"/>
      <c r="B995" s="52" t="n"/>
      <c r="C995" s="52" t="n"/>
      <c r="D995" s="53" t="n"/>
      <c r="E995" s="60" t="n"/>
      <c r="F995" s="53" t="n"/>
      <c r="G995" s="61" t="str">
        <f>IF(OR(COUNTA(A995:E995)=0,D995=""),"",IFERROR(INDEX(ca_fam,MATCH(D995,ca_name,0))&amp;"",""))</f>
        <v/>
      </c>
      <c r="H995" s="58" t="str">
        <f>IF(OR(COUNTA(A995:E995)=0,D995=""),"",IFERROR(INDEX(ca_type,MATCH(D995,ca_name,0))&amp;"",""))</f>
        <v/>
      </c>
      <c r="I995" s="58" t="str">
        <f>IF(COUNTA(A995:E995)=0,"",IF(N(A995)&lt;=0,"Date manquante ou invalide",IF(B995="","Équipe manquante",IF(ISNA(MATCH(B995,eq_code,0)),"Équipe inconnue",IF(C995="","Poste manquant",IF(ISNA(MATCH(C995,po_code,0)),"Poste inconnu",IF(D995="","Cause manquante",IF(ISNA(MATCH(D995,ca_name,0)),"Cause inconnue",IF(H995="","Cause à compléter dans Paramètres",IF(OR(NOT(ISNUMBER(E995)),N(E995)&lt;=0,N(E995)&gt;1440),"Durée invalide",IF(COUNTIFS(sj_date,A995,sj_eq,B995,sj_po,C995)=0,"Pas de saisie journalière ce jour-là","OK")))))))))))</f>
        <v/>
      </c>
      <c r="J995">
        <f>IF(OR(I995="OK",I995="Pas de saisie journalière ce jour-là"),E995,0)</f>
        <v>0.0</v>
      </c>
      <c r="K995">
        <f>IF(AND(J995&gt;0,A995&gt;=p_from,A995&lt;=p_to),1,0)</f>
        <v>0.0</v>
      </c>
      <c r="L995">
        <f>IF(AND(K995=1,OR(pa_po="",C995=pa_po),OR(pa_eq="",B995=pa_eq)),1,0)</f>
        <v>0.0</v>
      </c>
    </row>
    <row r="996">
      <c r="A996" s="51" t="n"/>
      <c r="B996" s="52" t="n"/>
      <c r="C996" s="52" t="n"/>
      <c r="D996" s="53" t="n"/>
      <c r="E996" s="60" t="n"/>
      <c r="F996" s="53" t="n"/>
      <c r="G996" s="61" t="str">
        <f>IF(OR(COUNTA(A996:E996)=0,D996=""),"",IFERROR(INDEX(ca_fam,MATCH(D996,ca_name,0))&amp;"",""))</f>
        <v/>
      </c>
      <c r="H996" s="58" t="str">
        <f>IF(OR(COUNTA(A996:E996)=0,D996=""),"",IFERROR(INDEX(ca_type,MATCH(D996,ca_name,0))&amp;"",""))</f>
        <v/>
      </c>
      <c r="I996" s="58" t="str">
        <f>IF(COUNTA(A996:E996)=0,"",IF(N(A996)&lt;=0,"Date manquante ou invalide",IF(B996="","Équipe manquante",IF(ISNA(MATCH(B996,eq_code,0)),"Équipe inconnue",IF(C996="","Poste manquant",IF(ISNA(MATCH(C996,po_code,0)),"Poste inconnu",IF(D996="","Cause manquante",IF(ISNA(MATCH(D996,ca_name,0)),"Cause inconnue",IF(H996="","Cause à compléter dans Paramètres",IF(OR(NOT(ISNUMBER(E996)),N(E996)&lt;=0,N(E996)&gt;1440),"Durée invalide",IF(COUNTIFS(sj_date,A996,sj_eq,B996,sj_po,C996)=0,"Pas de saisie journalière ce jour-là","OK")))))))))))</f>
        <v/>
      </c>
      <c r="J996">
        <f>IF(OR(I996="OK",I996="Pas de saisie journalière ce jour-là"),E996,0)</f>
        <v>0.0</v>
      </c>
      <c r="K996">
        <f>IF(AND(J996&gt;0,A996&gt;=p_from,A996&lt;=p_to),1,0)</f>
        <v>0.0</v>
      </c>
      <c r="L996">
        <f>IF(AND(K996=1,OR(pa_po="",C996=pa_po),OR(pa_eq="",B996=pa_eq)),1,0)</f>
        <v>0.0</v>
      </c>
    </row>
    <row r="997">
      <c r="A997" s="51" t="n"/>
      <c r="B997" s="52" t="n"/>
      <c r="C997" s="52" t="n"/>
      <c r="D997" s="53" t="n"/>
      <c r="E997" s="60" t="n"/>
      <c r="F997" s="53" t="n"/>
      <c r="G997" s="61" t="str">
        <f>IF(OR(COUNTA(A997:E997)=0,D997=""),"",IFERROR(INDEX(ca_fam,MATCH(D997,ca_name,0))&amp;"",""))</f>
        <v/>
      </c>
      <c r="H997" s="58" t="str">
        <f>IF(OR(COUNTA(A997:E997)=0,D997=""),"",IFERROR(INDEX(ca_type,MATCH(D997,ca_name,0))&amp;"",""))</f>
        <v/>
      </c>
      <c r="I997" s="58" t="str">
        <f>IF(COUNTA(A997:E997)=0,"",IF(N(A997)&lt;=0,"Date manquante ou invalide",IF(B997="","Équipe manquante",IF(ISNA(MATCH(B997,eq_code,0)),"Équipe inconnue",IF(C997="","Poste manquant",IF(ISNA(MATCH(C997,po_code,0)),"Poste inconnu",IF(D997="","Cause manquante",IF(ISNA(MATCH(D997,ca_name,0)),"Cause inconnue",IF(H997="","Cause à compléter dans Paramètres",IF(OR(NOT(ISNUMBER(E997)),N(E997)&lt;=0,N(E997)&gt;1440),"Durée invalide",IF(COUNTIFS(sj_date,A997,sj_eq,B997,sj_po,C997)=0,"Pas de saisie journalière ce jour-là","OK")))))))))))</f>
        <v/>
      </c>
      <c r="J997">
        <f>IF(OR(I997="OK",I997="Pas de saisie journalière ce jour-là"),E997,0)</f>
        <v>0.0</v>
      </c>
      <c r="K997">
        <f>IF(AND(J997&gt;0,A997&gt;=p_from,A997&lt;=p_to),1,0)</f>
        <v>0.0</v>
      </c>
      <c r="L997">
        <f>IF(AND(K997=1,OR(pa_po="",C997=pa_po),OR(pa_eq="",B997=pa_eq)),1,0)</f>
        <v>0.0</v>
      </c>
    </row>
    <row r="998">
      <c r="A998" s="51" t="n"/>
      <c r="B998" s="52" t="n"/>
      <c r="C998" s="52" t="n"/>
      <c r="D998" s="53" t="n"/>
      <c r="E998" s="60" t="n"/>
      <c r="F998" s="53" t="n"/>
      <c r="G998" s="61" t="str">
        <f>IF(OR(COUNTA(A998:E998)=0,D998=""),"",IFERROR(INDEX(ca_fam,MATCH(D998,ca_name,0))&amp;"",""))</f>
        <v/>
      </c>
      <c r="H998" s="58" t="str">
        <f>IF(OR(COUNTA(A998:E998)=0,D998=""),"",IFERROR(INDEX(ca_type,MATCH(D998,ca_name,0))&amp;"",""))</f>
        <v/>
      </c>
      <c r="I998" s="58" t="str">
        <f>IF(COUNTA(A998:E998)=0,"",IF(N(A998)&lt;=0,"Date manquante ou invalide",IF(B998="","Équipe manquante",IF(ISNA(MATCH(B998,eq_code,0)),"Équipe inconnue",IF(C998="","Poste manquant",IF(ISNA(MATCH(C998,po_code,0)),"Poste inconnu",IF(D998="","Cause manquante",IF(ISNA(MATCH(D998,ca_name,0)),"Cause inconnue",IF(H998="","Cause à compléter dans Paramètres",IF(OR(NOT(ISNUMBER(E998)),N(E998)&lt;=0,N(E998)&gt;1440),"Durée invalide",IF(COUNTIFS(sj_date,A998,sj_eq,B998,sj_po,C998)=0,"Pas de saisie journalière ce jour-là","OK")))))))))))</f>
        <v/>
      </c>
      <c r="J998">
        <f>IF(OR(I998="OK",I998="Pas de saisie journalière ce jour-là"),E998,0)</f>
        <v>0.0</v>
      </c>
      <c r="K998">
        <f>IF(AND(J998&gt;0,A998&gt;=p_from,A998&lt;=p_to),1,0)</f>
        <v>0.0</v>
      </c>
      <c r="L998">
        <f>IF(AND(K998=1,OR(pa_po="",C998=pa_po),OR(pa_eq="",B998=pa_eq)),1,0)</f>
        <v>0.0</v>
      </c>
    </row>
    <row r="999">
      <c r="A999" s="51" t="n"/>
      <c r="B999" s="52" t="n"/>
      <c r="C999" s="52" t="n"/>
      <c r="D999" s="53" t="n"/>
      <c r="E999" s="60" t="n"/>
      <c r="F999" s="53" t="n"/>
      <c r="G999" s="61" t="str">
        <f>IF(OR(COUNTA(A999:E999)=0,D999=""),"",IFERROR(INDEX(ca_fam,MATCH(D999,ca_name,0))&amp;"",""))</f>
        <v/>
      </c>
      <c r="H999" s="58" t="str">
        <f>IF(OR(COUNTA(A999:E999)=0,D999=""),"",IFERROR(INDEX(ca_type,MATCH(D999,ca_name,0))&amp;"",""))</f>
        <v/>
      </c>
      <c r="I999" s="58" t="str">
        <f>IF(COUNTA(A999:E999)=0,"",IF(N(A999)&lt;=0,"Date manquante ou invalide",IF(B999="","Équipe manquante",IF(ISNA(MATCH(B999,eq_code,0)),"Équipe inconnue",IF(C999="","Poste manquant",IF(ISNA(MATCH(C999,po_code,0)),"Poste inconnu",IF(D999="","Cause manquante",IF(ISNA(MATCH(D999,ca_name,0)),"Cause inconnue",IF(H999="","Cause à compléter dans Paramètres",IF(OR(NOT(ISNUMBER(E999)),N(E999)&lt;=0,N(E999)&gt;1440),"Durée invalide",IF(COUNTIFS(sj_date,A999,sj_eq,B999,sj_po,C999)=0,"Pas de saisie journalière ce jour-là","OK")))))))))))</f>
        <v/>
      </c>
      <c r="J999">
        <f>IF(OR(I999="OK",I999="Pas de saisie journalière ce jour-là"),E999,0)</f>
        <v>0.0</v>
      </c>
      <c r="K999">
        <f>IF(AND(J999&gt;0,A999&gt;=p_from,A999&lt;=p_to),1,0)</f>
        <v>0.0</v>
      </c>
      <c r="L999">
        <f>IF(AND(K999=1,OR(pa_po="",C999=pa_po),OR(pa_eq="",B999=pa_eq)),1,0)</f>
        <v>0.0</v>
      </c>
    </row>
    <row r="1000">
      <c r="A1000" s="51" t="n"/>
      <c r="B1000" s="52" t="n"/>
      <c r="C1000" s="52" t="n"/>
      <c r="D1000" s="53" t="n"/>
      <c r="E1000" s="60" t="n"/>
      <c r="F1000" s="53" t="n"/>
      <c r="G1000" s="61" t="str">
        <f>IF(OR(COUNTA(A1000:E1000)=0,D1000=""),"",IFERROR(INDEX(ca_fam,MATCH(D1000,ca_name,0))&amp;"",""))</f>
        <v/>
      </c>
      <c r="H1000" s="58" t="str">
        <f>IF(OR(COUNTA(A1000:E1000)=0,D1000=""),"",IFERROR(INDEX(ca_type,MATCH(D1000,ca_name,0))&amp;"",""))</f>
        <v/>
      </c>
      <c r="I1000" s="58" t="str">
        <f>IF(COUNTA(A1000:E1000)=0,"",IF(N(A1000)&lt;=0,"Date manquante ou invalide",IF(B1000="","Équipe manquante",IF(ISNA(MATCH(B1000,eq_code,0)),"Équipe inconnue",IF(C1000="","Poste manquant",IF(ISNA(MATCH(C1000,po_code,0)),"Poste inconnu",IF(D1000="","Cause manquante",IF(ISNA(MATCH(D1000,ca_name,0)),"Cause inconnue",IF(H1000="","Cause à compléter dans Paramètres",IF(OR(NOT(ISNUMBER(E1000)),N(E1000)&lt;=0,N(E1000)&gt;1440),"Durée invalide",IF(COUNTIFS(sj_date,A1000,sj_eq,B1000,sj_po,C1000)=0,"Pas de saisie journalière ce jour-là","OK")))))))))))</f>
        <v/>
      </c>
      <c r="J1000">
        <f>IF(OR(I1000="OK",I1000="Pas de saisie journalière ce jour-là"),E1000,0)</f>
        <v>0.0</v>
      </c>
      <c r="K1000">
        <f>IF(AND(J1000&gt;0,A1000&gt;=p_from,A1000&lt;=p_to),1,0)</f>
        <v>0.0</v>
      </c>
      <c r="L1000">
        <f>IF(AND(K1000=1,OR(pa_po="",C1000=pa_po),OR(pa_eq="",B1000=pa_eq)),1,0)</f>
        <v>0.0</v>
      </c>
    </row>
    <row r="1001">
      <c r="A1001" s="51" t="n"/>
      <c r="B1001" s="52" t="n"/>
      <c r="C1001" s="52" t="n"/>
      <c r="D1001" s="53" t="n"/>
      <c r="E1001" s="60" t="n"/>
      <c r="F1001" s="53" t="n"/>
      <c r="G1001" s="61" t="str">
        <f>IF(OR(COUNTA(A1001:E1001)=0,D1001=""),"",IFERROR(INDEX(ca_fam,MATCH(D1001,ca_name,0))&amp;"",""))</f>
        <v/>
      </c>
      <c r="H1001" s="58" t="str">
        <f>IF(OR(COUNTA(A1001:E1001)=0,D1001=""),"",IFERROR(INDEX(ca_type,MATCH(D1001,ca_name,0))&amp;"",""))</f>
        <v/>
      </c>
      <c r="I1001" s="58" t="str">
        <f>IF(COUNTA(A1001:E1001)=0,"",IF(N(A1001)&lt;=0,"Date manquante ou invalide",IF(B1001="","Équipe manquante",IF(ISNA(MATCH(B1001,eq_code,0)),"Équipe inconnue",IF(C1001="","Poste manquant",IF(ISNA(MATCH(C1001,po_code,0)),"Poste inconnu",IF(D1001="","Cause manquante",IF(ISNA(MATCH(D1001,ca_name,0)),"Cause inconnue",IF(H1001="","Cause à compléter dans Paramètres",IF(OR(NOT(ISNUMBER(E1001)),N(E1001)&lt;=0,N(E1001)&gt;1440),"Durée invalide",IF(COUNTIFS(sj_date,A1001,sj_eq,B1001,sj_po,C1001)=0,"Pas de saisie journalière ce jour-là","OK")))))))))))</f>
        <v/>
      </c>
      <c r="J1001">
        <f>IF(OR(I1001="OK",I1001="Pas de saisie journalière ce jour-là"),E1001,0)</f>
        <v>0.0</v>
      </c>
      <c r="K1001">
        <f>IF(AND(J1001&gt;0,A1001&gt;=p_from,A1001&lt;=p_to),1,0)</f>
        <v>0.0</v>
      </c>
      <c r="L1001">
        <f>IF(AND(K1001=1,OR(pa_po="",C1001=pa_po),OR(pa_eq="",B1001=pa_eq)),1,0)</f>
        <v>0.0</v>
      </c>
    </row>
    <row r="1002">
      <c r="A1002" s="51" t="n"/>
      <c r="B1002" s="52" t="n"/>
      <c r="C1002" s="52" t="n"/>
      <c r="D1002" s="53" t="n"/>
      <c r="E1002" s="60" t="n"/>
      <c r="F1002" s="53" t="n"/>
      <c r="G1002" s="61" t="str">
        <f>IF(OR(COUNTA(A1002:E1002)=0,D1002=""),"",IFERROR(INDEX(ca_fam,MATCH(D1002,ca_name,0))&amp;"",""))</f>
        <v/>
      </c>
      <c r="H1002" s="58" t="str">
        <f>IF(OR(COUNTA(A1002:E1002)=0,D1002=""),"",IFERROR(INDEX(ca_type,MATCH(D1002,ca_name,0))&amp;"",""))</f>
        <v/>
      </c>
      <c r="I1002" s="58" t="str">
        <f>IF(COUNTA(A1002:E1002)=0,"",IF(N(A1002)&lt;=0,"Date manquante ou invalide",IF(B1002="","Équipe manquante",IF(ISNA(MATCH(B1002,eq_code,0)),"Équipe inconnue",IF(C1002="","Poste manquant",IF(ISNA(MATCH(C1002,po_code,0)),"Poste inconnu",IF(D1002="","Cause manquante",IF(ISNA(MATCH(D1002,ca_name,0)),"Cause inconnue",IF(H1002="","Cause à compléter dans Paramètres",IF(OR(NOT(ISNUMBER(E1002)),N(E1002)&lt;=0,N(E1002)&gt;1440),"Durée invalide",IF(COUNTIFS(sj_date,A1002,sj_eq,B1002,sj_po,C1002)=0,"Pas de saisie journalière ce jour-là","OK")))))))))))</f>
        <v/>
      </c>
      <c r="J1002">
        <f>IF(OR(I1002="OK",I1002="Pas de saisie journalière ce jour-là"),E1002,0)</f>
        <v>0.0</v>
      </c>
      <c r="K1002">
        <f>IF(AND(J1002&gt;0,A1002&gt;=p_from,A1002&lt;=p_to),1,0)</f>
        <v>0.0</v>
      </c>
      <c r="L1002">
        <f>IF(AND(K1002=1,OR(pa_po="",C1002=pa_po),OR(pa_eq="",B1002=pa_eq)),1,0)</f>
        <v>0.0</v>
      </c>
    </row>
    <row r="1003">
      <c r="A1003" s="51" t="n"/>
      <c r="B1003" s="52" t="n"/>
      <c r="C1003" s="52" t="n"/>
      <c r="D1003" s="53" t="n"/>
      <c r="E1003" s="60" t="n"/>
      <c r="F1003" s="53" t="n"/>
      <c r="G1003" s="61" t="str">
        <f>IF(OR(COUNTA(A1003:E1003)=0,D1003=""),"",IFERROR(INDEX(ca_fam,MATCH(D1003,ca_name,0))&amp;"",""))</f>
        <v/>
      </c>
      <c r="H1003" s="58" t="str">
        <f>IF(OR(COUNTA(A1003:E1003)=0,D1003=""),"",IFERROR(INDEX(ca_type,MATCH(D1003,ca_name,0))&amp;"",""))</f>
        <v/>
      </c>
      <c r="I1003" s="58" t="str">
        <f>IF(COUNTA(A1003:E1003)=0,"",IF(N(A1003)&lt;=0,"Date manquante ou invalide",IF(B1003="","Équipe manquante",IF(ISNA(MATCH(B1003,eq_code,0)),"Équipe inconnue",IF(C1003="","Poste manquant",IF(ISNA(MATCH(C1003,po_code,0)),"Poste inconnu",IF(D1003="","Cause manquante",IF(ISNA(MATCH(D1003,ca_name,0)),"Cause inconnue",IF(H1003="","Cause à compléter dans Paramètres",IF(OR(NOT(ISNUMBER(E1003)),N(E1003)&lt;=0,N(E1003)&gt;1440),"Durée invalide",IF(COUNTIFS(sj_date,A1003,sj_eq,B1003,sj_po,C1003)=0,"Pas de saisie journalière ce jour-là","OK")))))))))))</f>
        <v/>
      </c>
      <c r="J1003">
        <f>IF(OR(I1003="OK",I1003="Pas de saisie journalière ce jour-là"),E1003,0)</f>
        <v>0.0</v>
      </c>
      <c r="K1003">
        <f>IF(AND(J1003&gt;0,A1003&gt;=p_from,A1003&lt;=p_to),1,0)</f>
        <v>0.0</v>
      </c>
      <c r="L1003">
        <f>IF(AND(K1003=1,OR(pa_po="",C1003=pa_po),OR(pa_eq="",B1003=pa_eq)),1,0)</f>
        <v>0.0</v>
      </c>
    </row>
    <row r="1004">
      <c r="A1004" s="51" t="n"/>
      <c r="B1004" s="52" t="n"/>
      <c r="C1004" s="52" t="n"/>
      <c r="D1004" s="53" t="n"/>
      <c r="E1004" s="60" t="n"/>
      <c r="F1004" s="53" t="n"/>
      <c r="G1004" s="61" t="str">
        <f>IF(OR(COUNTA(A1004:E1004)=0,D1004=""),"",IFERROR(INDEX(ca_fam,MATCH(D1004,ca_name,0))&amp;"",""))</f>
        <v/>
      </c>
      <c r="H1004" s="58" t="str">
        <f>IF(OR(COUNTA(A1004:E1004)=0,D1004=""),"",IFERROR(INDEX(ca_type,MATCH(D1004,ca_name,0))&amp;"",""))</f>
        <v/>
      </c>
      <c r="I1004" s="58" t="str">
        <f>IF(COUNTA(A1004:E1004)=0,"",IF(N(A1004)&lt;=0,"Date manquante ou invalide",IF(B1004="","Équipe manquante",IF(ISNA(MATCH(B1004,eq_code,0)),"Équipe inconnue",IF(C1004="","Poste manquant",IF(ISNA(MATCH(C1004,po_code,0)),"Poste inconnu",IF(D1004="","Cause manquante",IF(ISNA(MATCH(D1004,ca_name,0)),"Cause inconnue",IF(H1004="","Cause à compléter dans Paramètres",IF(OR(NOT(ISNUMBER(E1004)),N(E1004)&lt;=0,N(E1004)&gt;1440),"Durée invalide",IF(COUNTIFS(sj_date,A1004,sj_eq,B1004,sj_po,C1004)=0,"Pas de saisie journalière ce jour-là","OK")))))))))))</f>
        <v/>
      </c>
      <c r="J1004">
        <f>IF(OR(I1004="OK",I1004="Pas de saisie journalière ce jour-là"),E1004,0)</f>
        <v>0.0</v>
      </c>
      <c r="K1004">
        <f>IF(AND(J1004&gt;0,A1004&gt;=p_from,A1004&lt;=p_to),1,0)</f>
        <v>0.0</v>
      </c>
      <c r="L1004">
        <f>IF(AND(K1004=1,OR(pa_po="",C1004=pa_po),OR(pa_eq="",B1004=pa_eq)),1,0)</f>
        <v>0.0</v>
      </c>
    </row>
    <row r="1005">
      <c r="A1005" s="51" t="n"/>
      <c r="B1005" s="52" t="n"/>
      <c r="C1005" s="52" t="n"/>
      <c r="D1005" s="53" t="n"/>
      <c r="E1005" s="60" t="n"/>
      <c r="F1005" s="53" t="n"/>
      <c r="G1005" s="61" t="str">
        <f>IF(OR(COUNTA(A1005:E1005)=0,D1005=""),"",IFERROR(INDEX(ca_fam,MATCH(D1005,ca_name,0))&amp;"",""))</f>
        <v/>
      </c>
      <c r="H1005" s="58" t="str">
        <f>IF(OR(COUNTA(A1005:E1005)=0,D1005=""),"",IFERROR(INDEX(ca_type,MATCH(D1005,ca_name,0))&amp;"",""))</f>
        <v/>
      </c>
      <c r="I1005" s="58" t="str">
        <f>IF(COUNTA(A1005:E1005)=0,"",IF(N(A1005)&lt;=0,"Date manquante ou invalide",IF(B1005="","Équipe manquante",IF(ISNA(MATCH(B1005,eq_code,0)),"Équipe inconnue",IF(C1005="","Poste manquant",IF(ISNA(MATCH(C1005,po_code,0)),"Poste inconnu",IF(D1005="","Cause manquante",IF(ISNA(MATCH(D1005,ca_name,0)),"Cause inconnue",IF(H1005="","Cause à compléter dans Paramètres",IF(OR(NOT(ISNUMBER(E1005)),N(E1005)&lt;=0,N(E1005)&gt;1440),"Durée invalide",IF(COUNTIFS(sj_date,A1005,sj_eq,B1005,sj_po,C1005)=0,"Pas de saisie journalière ce jour-là","OK")))))))))))</f>
        <v/>
      </c>
      <c r="J1005">
        <f>IF(OR(I1005="OK",I1005="Pas de saisie journalière ce jour-là"),E1005,0)</f>
        <v>0.0</v>
      </c>
      <c r="K1005">
        <f>IF(AND(J1005&gt;0,A1005&gt;=p_from,A1005&lt;=p_to),1,0)</f>
        <v>0.0</v>
      </c>
      <c r="L1005">
        <f>IF(AND(K1005=1,OR(pa_po="",C1005=pa_po),OR(pa_eq="",B1005=pa_eq)),1,0)</f>
        <v>0.0</v>
      </c>
    </row>
    <row r="1006">
      <c r="A1006" s="51" t="n"/>
      <c r="B1006" s="52" t="n"/>
      <c r="C1006" s="52" t="n"/>
      <c r="D1006" s="53" t="n"/>
      <c r="E1006" s="60" t="n"/>
      <c r="F1006" s="53" t="n"/>
      <c r="G1006" s="61" t="str">
        <f>IF(OR(COUNTA(A1006:E1006)=0,D1006=""),"",IFERROR(INDEX(ca_fam,MATCH(D1006,ca_name,0))&amp;"",""))</f>
        <v/>
      </c>
      <c r="H1006" s="58" t="str">
        <f>IF(OR(COUNTA(A1006:E1006)=0,D1006=""),"",IFERROR(INDEX(ca_type,MATCH(D1006,ca_name,0))&amp;"",""))</f>
        <v/>
      </c>
      <c r="I1006" s="58" t="str">
        <f>IF(COUNTA(A1006:E1006)=0,"",IF(N(A1006)&lt;=0,"Date manquante ou invalide",IF(B1006="","Équipe manquante",IF(ISNA(MATCH(B1006,eq_code,0)),"Équipe inconnue",IF(C1006="","Poste manquant",IF(ISNA(MATCH(C1006,po_code,0)),"Poste inconnu",IF(D1006="","Cause manquante",IF(ISNA(MATCH(D1006,ca_name,0)),"Cause inconnue",IF(H1006="","Cause à compléter dans Paramètres",IF(OR(NOT(ISNUMBER(E1006)),N(E1006)&lt;=0,N(E1006)&gt;1440),"Durée invalide",IF(COUNTIFS(sj_date,A1006,sj_eq,B1006,sj_po,C1006)=0,"Pas de saisie journalière ce jour-là","OK")))))))))))</f>
        <v/>
      </c>
      <c r="J1006">
        <f>IF(OR(I1006="OK",I1006="Pas de saisie journalière ce jour-là"),E1006,0)</f>
        <v>0.0</v>
      </c>
      <c r="K1006">
        <f>IF(AND(J1006&gt;0,A1006&gt;=p_from,A1006&lt;=p_to),1,0)</f>
        <v>0.0</v>
      </c>
      <c r="L1006">
        <f>IF(AND(K1006=1,OR(pa_po="",C1006=pa_po),OR(pa_eq="",B1006=pa_eq)),1,0)</f>
        <v>0.0</v>
      </c>
    </row>
    <row r="1007">
      <c r="A1007" s="51" t="n"/>
      <c r="B1007" s="52" t="n"/>
      <c r="C1007" s="52" t="n"/>
      <c r="D1007" s="53" t="n"/>
      <c r="E1007" s="60" t="n"/>
      <c r="F1007" s="53" t="n"/>
      <c r="G1007" s="61" t="str">
        <f>IF(OR(COUNTA(A1007:E1007)=0,D1007=""),"",IFERROR(INDEX(ca_fam,MATCH(D1007,ca_name,0))&amp;"",""))</f>
        <v/>
      </c>
      <c r="H1007" s="58" t="str">
        <f>IF(OR(COUNTA(A1007:E1007)=0,D1007=""),"",IFERROR(INDEX(ca_type,MATCH(D1007,ca_name,0))&amp;"",""))</f>
        <v/>
      </c>
      <c r="I1007" s="58" t="str">
        <f>IF(COUNTA(A1007:E1007)=0,"",IF(N(A1007)&lt;=0,"Date manquante ou invalide",IF(B1007="","Équipe manquante",IF(ISNA(MATCH(B1007,eq_code,0)),"Équipe inconnue",IF(C1007="","Poste manquant",IF(ISNA(MATCH(C1007,po_code,0)),"Poste inconnu",IF(D1007="","Cause manquante",IF(ISNA(MATCH(D1007,ca_name,0)),"Cause inconnue",IF(H1007="","Cause à compléter dans Paramètres",IF(OR(NOT(ISNUMBER(E1007)),N(E1007)&lt;=0,N(E1007)&gt;1440),"Durée invalide",IF(COUNTIFS(sj_date,A1007,sj_eq,B1007,sj_po,C1007)=0,"Pas de saisie journalière ce jour-là","OK")))))))))))</f>
        <v/>
      </c>
      <c r="J1007">
        <f>IF(OR(I1007="OK",I1007="Pas de saisie journalière ce jour-là"),E1007,0)</f>
        <v>0.0</v>
      </c>
      <c r="K1007">
        <f>IF(AND(J1007&gt;0,A1007&gt;=p_from,A1007&lt;=p_to),1,0)</f>
        <v>0.0</v>
      </c>
      <c r="L1007">
        <f>IF(AND(K1007=1,OR(pa_po="",C1007=pa_po),OR(pa_eq="",B1007=pa_eq)),1,0)</f>
        <v>0.0</v>
      </c>
    </row>
    <row r="1008">
      <c r="A1008" s="51" t="n"/>
      <c r="B1008" s="52" t="n"/>
      <c r="C1008" s="52" t="n"/>
      <c r="D1008" s="53" t="n"/>
      <c r="E1008" s="60" t="n"/>
      <c r="F1008" s="53" t="n"/>
      <c r="G1008" s="61" t="str">
        <f>IF(OR(COUNTA(A1008:E1008)=0,D1008=""),"",IFERROR(INDEX(ca_fam,MATCH(D1008,ca_name,0))&amp;"",""))</f>
        <v/>
      </c>
      <c r="H1008" s="58" t="str">
        <f>IF(OR(COUNTA(A1008:E1008)=0,D1008=""),"",IFERROR(INDEX(ca_type,MATCH(D1008,ca_name,0))&amp;"",""))</f>
        <v/>
      </c>
      <c r="I1008" s="58" t="str">
        <f>IF(COUNTA(A1008:E1008)=0,"",IF(N(A1008)&lt;=0,"Date manquante ou invalide",IF(B1008="","Équipe manquante",IF(ISNA(MATCH(B1008,eq_code,0)),"Équipe inconnue",IF(C1008="","Poste manquant",IF(ISNA(MATCH(C1008,po_code,0)),"Poste inconnu",IF(D1008="","Cause manquante",IF(ISNA(MATCH(D1008,ca_name,0)),"Cause inconnue",IF(H1008="","Cause à compléter dans Paramètres",IF(OR(NOT(ISNUMBER(E1008)),N(E1008)&lt;=0,N(E1008)&gt;1440),"Durée invalide",IF(COUNTIFS(sj_date,A1008,sj_eq,B1008,sj_po,C1008)=0,"Pas de saisie journalière ce jour-là","OK")))))))))))</f>
        <v/>
      </c>
      <c r="J1008">
        <f>IF(OR(I1008="OK",I1008="Pas de saisie journalière ce jour-là"),E1008,0)</f>
        <v>0.0</v>
      </c>
      <c r="K1008">
        <f>IF(AND(J1008&gt;0,A1008&gt;=p_from,A1008&lt;=p_to),1,0)</f>
        <v>0.0</v>
      </c>
      <c r="L1008">
        <f>IF(AND(K1008=1,OR(pa_po="",C1008=pa_po),OR(pa_eq="",B1008=pa_eq)),1,0)</f>
        <v>0.0</v>
      </c>
    </row>
    <row r="1009">
      <c r="A1009" s="51" t="n"/>
      <c r="B1009" s="52" t="n"/>
      <c r="C1009" s="52" t="n"/>
      <c r="D1009" s="53" t="n"/>
      <c r="E1009" s="60" t="n"/>
      <c r="F1009" s="53" t="n"/>
      <c r="G1009" s="61" t="str">
        <f>IF(OR(COUNTA(A1009:E1009)=0,D1009=""),"",IFERROR(INDEX(ca_fam,MATCH(D1009,ca_name,0))&amp;"",""))</f>
        <v/>
      </c>
      <c r="H1009" s="58" t="str">
        <f>IF(OR(COUNTA(A1009:E1009)=0,D1009=""),"",IFERROR(INDEX(ca_type,MATCH(D1009,ca_name,0))&amp;"",""))</f>
        <v/>
      </c>
      <c r="I1009" s="58" t="str">
        <f>IF(COUNTA(A1009:E1009)=0,"",IF(N(A1009)&lt;=0,"Date manquante ou invalide",IF(B1009="","Équipe manquante",IF(ISNA(MATCH(B1009,eq_code,0)),"Équipe inconnue",IF(C1009="","Poste manquant",IF(ISNA(MATCH(C1009,po_code,0)),"Poste inconnu",IF(D1009="","Cause manquante",IF(ISNA(MATCH(D1009,ca_name,0)),"Cause inconnue",IF(H1009="","Cause à compléter dans Paramètres",IF(OR(NOT(ISNUMBER(E1009)),N(E1009)&lt;=0,N(E1009)&gt;1440),"Durée invalide",IF(COUNTIFS(sj_date,A1009,sj_eq,B1009,sj_po,C1009)=0,"Pas de saisie journalière ce jour-là","OK")))))))))))</f>
        <v/>
      </c>
      <c r="J1009">
        <f>IF(OR(I1009="OK",I1009="Pas de saisie journalière ce jour-là"),E1009,0)</f>
        <v>0.0</v>
      </c>
      <c r="K1009">
        <f>IF(AND(J1009&gt;0,A1009&gt;=p_from,A1009&lt;=p_to),1,0)</f>
        <v>0.0</v>
      </c>
      <c r="L1009">
        <f>IF(AND(K1009=1,OR(pa_po="",C1009=pa_po),OR(pa_eq="",B1009=pa_eq)),1,0)</f>
        <v>0.0</v>
      </c>
    </row>
    <row r="1010">
      <c r="A1010" s="51" t="n"/>
      <c r="B1010" s="52" t="n"/>
      <c r="C1010" s="52" t="n"/>
      <c r="D1010" s="53" t="n"/>
      <c r="E1010" s="60" t="n"/>
      <c r="F1010" s="53" t="n"/>
      <c r="G1010" s="61" t="str">
        <f>IF(OR(COUNTA(A1010:E1010)=0,D1010=""),"",IFERROR(INDEX(ca_fam,MATCH(D1010,ca_name,0))&amp;"",""))</f>
        <v/>
      </c>
      <c r="H1010" s="58" t="str">
        <f>IF(OR(COUNTA(A1010:E1010)=0,D1010=""),"",IFERROR(INDEX(ca_type,MATCH(D1010,ca_name,0))&amp;"",""))</f>
        <v/>
      </c>
      <c r="I1010" s="58" t="str">
        <f>IF(COUNTA(A1010:E1010)=0,"",IF(N(A1010)&lt;=0,"Date manquante ou invalide",IF(B1010="","Équipe manquante",IF(ISNA(MATCH(B1010,eq_code,0)),"Équipe inconnue",IF(C1010="","Poste manquant",IF(ISNA(MATCH(C1010,po_code,0)),"Poste inconnu",IF(D1010="","Cause manquante",IF(ISNA(MATCH(D1010,ca_name,0)),"Cause inconnue",IF(H1010="","Cause à compléter dans Paramètres",IF(OR(NOT(ISNUMBER(E1010)),N(E1010)&lt;=0,N(E1010)&gt;1440),"Durée invalide",IF(COUNTIFS(sj_date,A1010,sj_eq,B1010,sj_po,C1010)=0,"Pas de saisie journalière ce jour-là","OK")))))))))))</f>
        <v/>
      </c>
      <c r="J1010">
        <f>IF(OR(I1010="OK",I1010="Pas de saisie journalière ce jour-là"),E1010,0)</f>
        <v>0.0</v>
      </c>
      <c r="K1010">
        <f>IF(AND(J1010&gt;0,A1010&gt;=p_from,A1010&lt;=p_to),1,0)</f>
        <v>0.0</v>
      </c>
      <c r="L1010">
        <f>IF(AND(K1010=1,OR(pa_po="",C1010=pa_po),OR(pa_eq="",B1010=pa_eq)),1,0)</f>
        <v>0.0</v>
      </c>
    </row>
    <row r="1011">
      <c r="A1011" s="51" t="n"/>
      <c r="B1011" s="52" t="n"/>
      <c r="C1011" s="52" t="n"/>
      <c r="D1011" s="53" t="n"/>
      <c r="E1011" s="60" t="n"/>
      <c r="F1011" s="53" t="n"/>
      <c r="G1011" s="61" t="str">
        <f>IF(OR(COUNTA(A1011:E1011)=0,D1011=""),"",IFERROR(INDEX(ca_fam,MATCH(D1011,ca_name,0))&amp;"",""))</f>
        <v/>
      </c>
      <c r="H1011" s="58" t="str">
        <f>IF(OR(COUNTA(A1011:E1011)=0,D1011=""),"",IFERROR(INDEX(ca_type,MATCH(D1011,ca_name,0))&amp;"",""))</f>
        <v/>
      </c>
      <c r="I1011" s="58" t="str">
        <f>IF(COUNTA(A1011:E1011)=0,"",IF(N(A1011)&lt;=0,"Date manquante ou invalide",IF(B1011="","Équipe manquante",IF(ISNA(MATCH(B1011,eq_code,0)),"Équipe inconnue",IF(C1011="","Poste manquant",IF(ISNA(MATCH(C1011,po_code,0)),"Poste inconnu",IF(D1011="","Cause manquante",IF(ISNA(MATCH(D1011,ca_name,0)),"Cause inconnue",IF(H1011="","Cause à compléter dans Paramètres",IF(OR(NOT(ISNUMBER(E1011)),N(E1011)&lt;=0,N(E1011)&gt;1440),"Durée invalide",IF(COUNTIFS(sj_date,A1011,sj_eq,B1011,sj_po,C1011)=0,"Pas de saisie journalière ce jour-là","OK")))))))))))</f>
        <v/>
      </c>
      <c r="J1011">
        <f>IF(OR(I1011="OK",I1011="Pas de saisie journalière ce jour-là"),E1011,0)</f>
        <v>0.0</v>
      </c>
      <c r="K1011">
        <f>IF(AND(J1011&gt;0,A1011&gt;=p_from,A1011&lt;=p_to),1,0)</f>
        <v>0.0</v>
      </c>
      <c r="L1011">
        <f>IF(AND(K1011=1,OR(pa_po="",C1011=pa_po),OR(pa_eq="",B1011=pa_eq)),1,0)</f>
        <v>0.0</v>
      </c>
    </row>
    <row r="1012">
      <c r="A1012" s="51" t="n"/>
      <c r="B1012" s="52" t="n"/>
      <c r="C1012" s="52" t="n"/>
      <c r="D1012" s="53" t="n"/>
      <c r="E1012" s="60" t="n"/>
      <c r="F1012" s="53" t="n"/>
      <c r="G1012" s="61" t="str">
        <f>IF(OR(COUNTA(A1012:E1012)=0,D1012=""),"",IFERROR(INDEX(ca_fam,MATCH(D1012,ca_name,0))&amp;"",""))</f>
        <v/>
      </c>
      <c r="H1012" s="58" t="str">
        <f>IF(OR(COUNTA(A1012:E1012)=0,D1012=""),"",IFERROR(INDEX(ca_type,MATCH(D1012,ca_name,0))&amp;"",""))</f>
        <v/>
      </c>
      <c r="I1012" s="58" t="str">
        <f>IF(COUNTA(A1012:E1012)=0,"",IF(N(A1012)&lt;=0,"Date manquante ou invalide",IF(B1012="","Équipe manquante",IF(ISNA(MATCH(B1012,eq_code,0)),"Équipe inconnue",IF(C1012="","Poste manquant",IF(ISNA(MATCH(C1012,po_code,0)),"Poste inconnu",IF(D1012="","Cause manquante",IF(ISNA(MATCH(D1012,ca_name,0)),"Cause inconnue",IF(H1012="","Cause à compléter dans Paramètres",IF(OR(NOT(ISNUMBER(E1012)),N(E1012)&lt;=0,N(E1012)&gt;1440),"Durée invalide",IF(COUNTIFS(sj_date,A1012,sj_eq,B1012,sj_po,C1012)=0,"Pas de saisie journalière ce jour-là","OK")))))))))))</f>
        <v/>
      </c>
      <c r="J1012">
        <f>IF(OR(I1012="OK",I1012="Pas de saisie journalière ce jour-là"),E1012,0)</f>
        <v>0.0</v>
      </c>
      <c r="K1012">
        <f>IF(AND(J1012&gt;0,A1012&gt;=p_from,A1012&lt;=p_to),1,0)</f>
        <v>0.0</v>
      </c>
      <c r="L1012">
        <f>IF(AND(K1012=1,OR(pa_po="",C1012=pa_po),OR(pa_eq="",B1012=pa_eq)),1,0)</f>
        <v>0.0</v>
      </c>
    </row>
    <row r="1013">
      <c r="A1013" s="51" t="n"/>
      <c r="B1013" s="52" t="n"/>
      <c r="C1013" s="52" t="n"/>
      <c r="D1013" s="53" t="n"/>
      <c r="E1013" s="60" t="n"/>
      <c r="F1013" s="53" t="n"/>
      <c r="G1013" s="61" t="str">
        <f>IF(OR(COUNTA(A1013:E1013)=0,D1013=""),"",IFERROR(INDEX(ca_fam,MATCH(D1013,ca_name,0))&amp;"",""))</f>
        <v/>
      </c>
      <c r="H1013" s="58" t="str">
        <f>IF(OR(COUNTA(A1013:E1013)=0,D1013=""),"",IFERROR(INDEX(ca_type,MATCH(D1013,ca_name,0))&amp;"",""))</f>
        <v/>
      </c>
      <c r="I1013" s="58" t="str">
        <f>IF(COUNTA(A1013:E1013)=0,"",IF(N(A1013)&lt;=0,"Date manquante ou invalide",IF(B1013="","Équipe manquante",IF(ISNA(MATCH(B1013,eq_code,0)),"Équipe inconnue",IF(C1013="","Poste manquant",IF(ISNA(MATCH(C1013,po_code,0)),"Poste inconnu",IF(D1013="","Cause manquante",IF(ISNA(MATCH(D1013,ca_name,0)),"Cause inconnue",IF(H1013="","Cause à compléter dans Paramètres",IF(OR(NOT(ISNUMBER(E1013)),N(E1013)&lt;=0,N(E1013)&gt;1440),"Durée invalide",IF(COUNTIFS(sj_date,A1013,sj_eq,B1013,sj_po,C1013)=0,"Pas de saisie journalière ce jour-là","OK")))))))))))</f>
        <v/>
      </c>
      <c r="J1013">
        <f>IF(OR(I1013="OK",I1013="Pas de saisie journalière ce jour-là"),E1013,0)</f>
        <v>0.0</v>
      </c>
      <c r="K1013">
        <f>IF(AND(J1013&gt;0,A1013&gt;=p_from,A1013&lt;=p_to),1,0)</f>
        <v>0.0</v>
      </c>
      <c r="L1013">
        <f>IF(AND(K1013=1,OR(pa_po="",C1013=pa_po),OR(pa_eq="",B1013=pa_eq)),1,0)</f>
        <v>0.0</v>
      </c>
    </row>
    <row r="1014">
      <c r="A1014" s="51" t="n"/>
      <c r="B1014" s="52" t="n"/>
      <c r="C1014" s="52" t="n"/>
      <c r="D1014" s="53" t="n"/>
      <c r="E1014" s="60" t="n"/>
      <c r="F1014" s="53" t="n"/>
      <c r="G1014" s="61" t="str">
        <f>IF(OR(COUNTA(A1014:E1014)=0,D1014=""),"",IFERROR(INDEX(ca_fam,MATCH(D1014,ca_name,0))&amp;"",""))</f>
        <v/>
      </c>
      <c r="H1014" s="58" t="str">
        <f>IF(OR(COUNTA(A1014:E1014)=0,D1014=""),"",IFERROR(INDEX(ca_type,MATCH(D1014,ca_name,0))&amp;"",""))</f>
        <v/>
      </c>
      <c r="I1014" s="58" t="str">
        <f>IF(COUNTA(A1014:E1014)=0,"",IF(N(A1014)&lt;=0,"Date manquante ou invalide",IF(B1014="","Équipe manquante",IF(ISNA(MATCH(B1014,eq_code,0)),"Équipe inconnue",IF(C1014="","Poste manquant",IF(ISNA(MATCH(C1014,po_code,0)),"Poste inconnu",IF(D1014="","Cause manquante",IF(ISNA(MATCH(D1014,ca_name,0)),"Cause inconnue",IF(H1014="","Cause à compléter dans Paramètres",IF(OR(NOT(ISNUMBER(E1014)),N(E1014)&lt;=0,N(E1014)&gt;1440),"Durée invalide",IF(COUNTIFS(sj_date,A1014,sj_eq,B1014,sj_po,C1014)=0,"Pas de saisie journalière ce jour-là","OK")))))))))))</f>
        <v/>
      </c>
      <c r="J1014">
        <f>IF(OR(I1014="OK",I1014="Pas de saisie journalière ce jour-là"),E1014,0)</f>
        <v>0.0</v>
      </c>
      <c r="K1014">
        <f>IF(AND(J1014&gt;0,A1014&gt;=p_from,A1014&lt;=p_to),1,0)</f>
        <v>0.0</v>
      </c>
      <c r="L1014">
        <f>IF(AND(K1014=1,OR(pa_po="",C1014=pa_po),OR(pa_eq="",B1014=pa_eq)),1,0)</f>
        <v>0.0</v>
      </c>
    </row>
    <row r="1015">
      <c r="A1015" s="51" t="n"/>
      <c r="B1015" s="52" t="n"/>
      <c r="C1015" s="52" t="n"/>
      <c r="D1015" s="53" t="n"/>
      <c r="E1015" s="60" t="n"/>
      <c r="F1015" s="53" t="n"/>
      <c r="G1015" s="61" t="str">
        <f>IF(OR(COUNTA(A1015:E1015)=0,D1015=""),"",IFERROR(INDEX(ca_fam,MATCH(D1015,ca_name,0))&amp;"",""))</f>
        <v/>
      </c>
      <c r="H1015" s="58" t="str">
        <f>IF(OR(COUNTA(A1015:E1015)=0,D1015=""),"",IFERROR(INDEX(ca_type,MATCH(D1015,ca_name,0))&amp;"",""))</f>
        <v/>
      </c>
      <c r="I1015" s="58" t="str">
        <f>IF(COUNTA(A1015:E1015)=0,"",IF(N(A1015)&lt;=0,"Date manquante ou invalide",IF(B1015="","Équipe manquante",IF(ISNA(MATCH(B1015,eq_code,0)),"Équipe inconnue",IF(C1015="","Poste manquant",IF(ISNA(MATCH(C1015,po_code,0)),"Poste inconnu",IF(D1015="","Cause manquante",IF(ISNA(MATCH(D1015,ca_name,0)),"Cause inconnue",IF(H1015="","Cause à compléter dans Paramètres",IF(OR(NOT(ISNUMBER(E1015)),N(E1015)&lt;=0,N(E1015)&gt;1440),"Durée invalide",IF(COUNTIFS(sj_date,A1015,sj_eq,B1015,sj_po,C1015)=0,"Pas de saisie journalière ce jour-là","OK")))))))))))</f>
        <v/>
      </c>
      <c r="J1015">
        <f>IF(OR(I1015="OK",I1015="Pas de saisie journalière ce jour-là"),E1015,0)</f>
        <v>0.0</v>
      </c>
      <c r="K1015">
        <f>IF(AND(J1015&gt;0,A1015&gt;=p_from,A1015&lt;=p_to),1,0)</f>
        <v>0.0</v>
      </c>
      <c r="L1015">
        <f>IF(AND(K1015=1,OR(pa_po="",C1015=pa_po),OR(pa_eq="",B1015=pa_eq)),1,0)</f>
        <v>0.0</v>
      </c>
    </row>
    <row r="1016">
      <c r="A1016" s="51" t="n"/>
      <c r="B1016" s="52" t="n"/>
      <c r="C1016" s="52" t="n"/>
      <c r="D1016" s="53" t="n"/>
      <c r="E1016" s="60" t="n"/>
      <c r="F1016" s="53" t="n"/>
      <c r="G1016" s="61" t="str">
        <f>IF(OR(COUNTA(A1016:E1016)=0,D1016=""),"",IFERROR(INDEX(ca_fam,MATCH(D1016,ca_name,0))&amp;"",""))</f>
        <v/>
      </c>
      <c r="H1016" s="58" t="str">
        <f>IF(OR(COUNTA(A1016:E1016)=0,D1016=""),"",IFERROR(INDEX(ca_type,MATCH(D1016,ca_name,0))&amp;"",""))</f>
        <v/>
      </c>
      <c r="I1016" s="58" t="str">
        <f>IF(COUNTA(A1016:E1016)=0,"",IF(N(A1016)&lt;=0,"Date manquante ou invalide",IF(B1016="","Équipe manquante",IF(ISNA(MATCH(B1016,eq_code,0)),"Équipe inconnue",IF(C1016="","Poste manquant",IF(ISNA(MATCH(C1016,po_code,0)),"Poste inconnu",IF(D1016="","Cause manquante",IF(ISNA(MATCH(D1016,ca_name,0)),"Cause inconnue",IF(H1016="","Cause à compléter dans Paramètres",IF(OR(NOT(ISNUMBER(E1016)),N(E1016)&lt;=0,N(E1016)&gt;1440),"Durée invalide",IF(COUNTIFS(sj_date,A1016,sj_eq,B1016,sj_po,C1016)=0,"Pas de saisie journalière ce jour-là","OK")))))))))))</f>
        <v/>
      </c>
      <c r="J1016">
        <f>IF(OR(I1016="OK",I1016="Pas de saisie journalière ce jour-là"),E1016,0)</f>
        <v>0.0</v>
      </c>
      <c r="K1016">
        <f>IF(AND(J1016&gt;0,A1016&gt;=p_from,A1016&lt;=p_to),1,0)</f>
        <v>0.0</v>
      </c>
      <c r="L1016">
        <f>IF(AND(K1016=1,OR(pa_po="",C1016=pa_po),OR(pa_eq="",B1016=pa_eq)),1,0)</f>
        <v>0.0</v>
      </c>
    </row>
    <row r="1017">
      <c r="A1017" s="51" t="n"/>
      <c r="B1017" s="52" t="n"/>
      <c r="C1017" s="52" t="n"/>
      <c r="D1017" s="53" t="n"/>
      <c r="E1017" s="60" t="n"/>
      <c r="F1017" s="53" t="n"/>
      <c r="G1017" s="61" t="str">
        <f>IF(OR(COUNTA(A1017:E1017)=0,D1017=""),"",IFERROR(INDEX(ca_fam,MATCH(D1017,ca_name,0))&amp;"",""))</f>
        <v/>
      </c>
      <c r="H1017" s="58" t="str">
        <f>IF(OR(COUNTA(A1017:E1017)=0,D1017=""),"",IFERROR(INDEX(ca_type,MATCH(D1017,ca_name,0))&amp;"",""))</f>
        <v/>
      </c>
      <c r="I1017" s="58" t="str">
        <f>IF(COUNTA(A1017:E1017)=0,"",IF(N(A1017)&lt;=0,"Date manquante ou invalide",IF(B1017="","Équipe manquante",IF(ISNA(MATCH(B1017,eq_code,0)),"Équipe inconnue",IF(C1017="","Poste manquant",IF(ISNA(MATCH(C1017,po_code,0)),"Poste inconnu",IF(D1017="","Cause manquante",IF(ISNA(MATCH(D1017,ca_name,0)),"Cause inconnue",IF(H1017="","Cause à compléter dans Paramètres",IF(OR(NOT(ISNUMBER(E1017)),N(E1017)&lt;=0,N(E1017)&gt;1440),"Durée invalide",IF(COUNTIFS(sj_date,A1017,sj_eq,B1017,sj_po,C1017)=0,"Pas de saisie journalière ce jour-là","OK")))))))))))</f>
        <v/>
      </c>
      <c r="J1017">
        <f>IF(OR(I1017="OK",I1017="Pas de saisie journalière ce jour-là"),E1017,0)</f>
        <v>0.0</v>
      </c>
      <c r="K1017">
        <f>IF(AND(J1017&gt;0,A1017&gt;=p_from,A1017&lt;=p_to),1,0)</f>
        <v>0.0</v>
      </c>
      <c r="L1017">
        <f>IF(AND(K1017=1,OR(pa_po="",C1017=pa_po),OR(pa_eq="",B1017=pa_eq)),1,0)</f>
        <v>0.0</v>
      </c>
    </row>
    <row r="1018">
      <c r="A1018" s="51" t="n"/>
      <c r="B1018" s="52" t="n"/>
      <c r="C1018" s="52" t="n"/>
      <c r="D1018" s="53" t="n"/>
      <c r="E1018" s="60" t="n"/>
      <c r="F1018" s="53" t="n"/>
      <c r="G1018" s="61" t="str">
        <f>IF(OR(COUNTA(A1018:E1018)=0,D1018=""),"",IFERROR(INDEX(ca_fam,MATCH(D1018,ca_name,0))&amp;"",""))</f>
        <v/>
      </c>
      <c r="H1018" s="58" t="str">
        <f>IF(OR(COUNTA(A1018:E1018)=0,D1018=""),"",IFERROR(INDEX(ca_type,MATCH(D1018,ca_name,0))&amp;"",""))</f>
        <v/>
      </c>
      <c r="I1018" s="58" t="str">
        <f>IF(COUNTA(A1018:E1018)=0,"",IF(N(A1018)&lt;=0,"Date manquante ou invalide",IF(B1018="","Équipe manquante",IF(ISNA(MATCH(B1018,eq_code,0)),"Équipe inconnue",IF(C1018="","Poste manquant",IF(ISNA(MATCH(C1018,po_code,0)),"Poste inconnu",IF(D1018="","Cause manquante",IF(ISNA(MATCH(D1018,ca_name,0)),"Cause inconnue",IF(H1018="","Cause à compléter dans Paramètres",IF(OR(NOT(ISNUMBER(E1018)),N(E1018)&lt;=0,N(E1018)&gt;1440),"Durée invalide",IF(COUNTIFS(sj_date,A1018,sj_eq,B1018,sj_po,C1018)=0,"Pas de saisie journalière ce jour-là","OK")))))))))))</f>
        <v/>
      </c>
      <c r="J1018">
        <f>IF(OR(I1018="OK",I1018="Pas de saisie journalière ce jour-là"),E1018,0)</f>
        <v>0.0</v>
      </c>
      <c r="K1018">
        <f>IF(AND(J1018&gt;0,A1018&gt;=p_from,A1018&lt;=p_to),1,0)</f>
        <v>0.0</v>
      </c>
      <c r="L1018">
        <f>IF(AND(K1018=1,OR(pa_po="",C1018=pa_po),OR(pa_eq="",B1018=pa_eq)),1,0)</f>
        <v>0.0</v>
      </c>
    </row>
    <row r="1019">
      <c r="A1019" s="51" t="n"/>
      <c r="B1019" s="52" t="n"/>
      <c r="C1019" s="52" t="n"/>
      <c r="D1019" s="53" t="n"/>
      <c r="E1019" s="60" t="n"/>
      <c r="F1019" s="53" t="n"/>
      <c r="G1019" s="61" t="str">
        <f>IF(OR(COUNTA(A1019:E1019)=0,D1019=""),"",IFERROR(INDEX(ca_fam,MATCH(D1019,ca_name,0))&amp;"",""))</f>
        <v/>
      </c>
      <c r="H1019" s="58" t="str">
        <f>IF(OR(COUNTA(A1019:E1019)=0,D1019=""),"",IFERROR(INDEX(ca_type,MATCH(D1019,ca_name,0))&amp;"",""))</f>
        <v/>
      </c>
      <c r="I1019" s="58" t="str">
        <f>IF(COUNTA(A1019:E1019)=0,"",IF(N(A1019)&lt;=0,"Date manquante ou invalide",IF(B1019="","Équipe manquante",IF(ISNA(MATCH(B1019,eq_code,0)),"Équipe inconnue",IF(C1019="","Poste manquant",IF(ISNA(MATCH(C1019,po_code,0)),"Poste inconnu",IF(D1019="","Cause manquante",IF(ISNA(MATCH(D1019,ca_name,0)),"Cause inconnue",IF(H1019="","Cause à compléter dans Paramètres",IF(OR(NOT(ISNUMBER(E1019)),N(E1019)&lt;=0,N(E1019)&gt;1440),"Durée invalide",IF(COUNTIFS(sj_date,A1019,sj_eq,B1019,sj_po,C1019)=0,"Pas de saisie journalière ce jour-là","OK")))))))))))</f>
        <v/>
      </c>
      <c r="J1019">
        <f>IF(OR(I1019="OK",I1019="Pas de saisie journalière ce jour-là"),E1019,0)</f>
        <v>0.0</v>
      </c>
      <c r="K1019">
        <f>IF(AND(J1019&gt;0,A1019&gt;=p_from,A1019&lt;=p_to),1,0)</f>
        <v>0.0</v>
      </c>
      <c r="L1019">
        <f>IF(AND(K1019=1,OR(pa_po="",C1019=pa_po),OR(pa_eq="",B1019=pa_eq)),1,0)</f>
        <v>0.0</v>
      </c>
    </row>
    <row r="1020">
      <c r="A1020" s="51" t="n"/>
      <c r="B1020" s="52" t="n"/>
      <c r="C1020" s="52" t="n"/>
      <c r="D1020" s="53" t="n"/>
      <c r="E1020" s="60" t="n"/>
      <c r="F1020" s="53" t="n"/>
      <c r="G1020" s="61" t="str">
        <f>IF(OR(COUNTA(A1020:E1020)=0,D1020=""),"",IFERROR(INDEX(ca_fam,MATCH(D1020,ca_name,0))&amp;"",""))</f>
        <v/>
      </c>
      <c r="H1020" s="58" t="str">
        <f>IF(OR(COUNTA(A1020:E1020)=0,D1020=""),"",IFERROR(INDEX(ca_type,MATCH(D1020,ca_name,0))&amp;"",""))</f>
        <v/>
      </c>
      <c r="I1020" s="58" t="str">
        <f>IF(COUNTA(A1020:E1020)=0,"",IF(N(A1020)&lt;=0,"Date manquante ou invalide",IF(B1020="","Équipe manquante",IF(ISNA(MATCH(B1020,eq_code,0)),"Équipe inconnue",IF(C1020="","Poste manquant",IF(ISNA(MATCH(C1020,po_code,0)),"Poste inconnu",IF(D1020="","Cause manquante",IF(ISNA(MATCH(D1020,ca_name,0)),"Cause inconnue",IF(H1020="","Cause à compléter dans Paramètres",IF(OR(NOT(ISNUMBER(E1020)),N(E1020)&lt;=0,N(E1020)&gt;1440),"Durée invalide",IF(COUNTIFS(sj_date,A1020,sj_eq,B1020,sj_po,C1020)=0,"Pas de saisie journalière ce jour-là","OK")))))))))))</f>
        <v/>
      </c>
      <c r="J1020">
        <f>IF(OR(I1020="OK",I1020="Pas de saisie journalière ce jour-là"),E1020,0)</f>
        <v>0.0</v>
      </c>
      <c r="K1020">
        <f>IF(AND(J1020&gt;0,A1020&gt;=p_from,A1020&lt;=p_to),1,0)</f>
        <v>0.0</v>
      </c>
      <c r="L1020">
        <f>IF(AND(K1020=1,OR(pa_po="",C1020=pa_po),OR(pa_eq="",B1020=pa_eq)),1,0)</f>
        <v>0.0</v>
      </c>
    </row>
    <row r="1021">
      <c r="A1021" s="51" t="n"/>
      <c r="B1021" s="52" t="n"/>
      <c r="C1021" s="52" t="n"/>
      <c r="D1021" s="53" t="n"/>
      <c r="E1021" s="60" t="n"/>
      <c r="F1021" s="53" t="n"/>
      <c r="G1021" s="61" t="str">
        <f>IF(OR(COUNTA(A1021:E1021)=0,D1021=""),"",IFERROR(INDEX(ca_fam,MATCH(D1021,ca_name,0))&amp;"",""))</f>
        <v/>
      </c>
      <c r="H1021" s="58" t="str">
        <f>IF(OR(COUNTA(A1021:E1021)=0,D1021=""),"",IFERROR(INDEX(ca_type,MATCH(D1021,ca_name,0))&amp;"",""))</f>
        <v/>
      </c>
      <c r="I1021" s="58" t="str">
        <f>IF(COUNTA(A1021:E1021)=0,"",IF(N(A1021)&lt;=0,"Date manquante ou invalide",IF(B1021="","Équipe manquante",IF(ISNA(MATCH(B1021,eq_code,0)),"Équipe inconnue",IF(C1021="","Poste manquant",IF(ISNA(MATCH(C1021,po_code,0)),"Poste inconnu",IF(D1021="","Cause manquante",IF(ISNA(MATCH(D1021,ca_name,0)),"Cause inconnue",IF(H1021="","Cause à compléter dans Paramètres",IF(OR(NOT(ISNUMBER(E1021)),N(E1021)&lt;=0,N(E1021)&gt;1440),"Durée invalide",IF(COUNTIFS(sj_date,A1021,sj_eq,B1021,sj_po,C1021)=0,"Pas de saisie journalière ce jour-là","OK")))))))))))</f>
        <v/>
      </c>
      <c r="J1021">
        <f>IF(OR(I1021="OK",I1021="Pas de saisie journalière ce jour-là"),E1021,0)</f>
        <v>0.0</v>
      </c>
      <c r="K1021">
        <f>IF(AND(J1021&gt;0,A1021&gt;=p_from,A1021&lt;=p_to),1,0)</f>
        <v>0.0</v>
      </c>
      <c r="L1021">
        <f>IF(AND(K1021=1,OR(pa_po="",C1021=pa_po),OR(pa_eq="",B1021=pa_eq)),1,0)</f>
        <v>0.0</v>
      </c>
    </row>
    <row r="1022">
      <c r="A1022" s="51" t="n"/>
      <c r="B1022" s="52" t="n"/>
      <c r="C1022" s="52" t="n"/>
      <c r="D1022" s="53" t="n"/>
      <c r="E1022" s="60" t="n"/>
      <c r="F1022" s="53" t="n"/>
      <c r="G1022" s="61" t="str">
        <f>IF(OR(COUNTA(A1022:E1022)=0,D1022=""),"",IFERROR(INDEX(ca_fam,MATCH(D1022,ca_name,0))&amp;"",""))</f>
        <v/>
      </c>
      <c r="H1022" s="58" t="str">
        <f>IF(OR(COUNTA(A1022:E1022)=0,D1022=""),"",IFERROR(INDEX(ca_type,MATCH(D1022,ca_name,0))&amp;"",""))</f>
        <v/>
      </c>
      <c r="I1022" s="58" t="str">
        <f>IF(COUNTA(A1022:E1022)=0,"",IF(N(A1022)&lt;=0,"Date manquante ou invalide",IF(B1022="","Équipe manquante",IF(ISNA(MATCH(B1022,eq_code,0)),"Équipe inconnue",IF(C1022="","Poste manquant",IF(ISNA(MATCH(C1022,po_code,0)),"Poste inconnu",IF(D1022="","Cause manquante",IF(ISNA(MATCH(D1022,ca_name,0)),"Cause inconnue",IF(H1022="","Cause à compléter dans Paramètres",IF(OR(NOT(ISNUMBER(E1022)),N(E1022)&lt;=0,N(E1022)&gt;1440),"Durée invalide",IF(COUNTIFS(sj_date,A1022,sj_eq,B1022,sj_po,C1022)=0,"Pas de saisie journalière ce jour-là","OK")))))))))))</f>
        <v/>
      </c>
      <c r="J1022">
        <f>IF(OR(I1022="OK",I1022="Pas de saisie journalière ce jour-là"),E1022,0)</f>
        <v>0.0</v>
      </c>
      <c r="K1022">
        <f>IF(AND(J1022&gt;0,A1022&gt;=p_from,A1022&lt;=p_to),1,0)</f>
        <v>0.0</v>
      </c>
      <c r="L1022">
        <f>IF(AND(K1022=1,OR(pa_po="",C1022=pa_po),OR(pa_eq="",B1022=pa_eq)),1,0)</f>
        <v>0.0</v>
      </c>
    </row>
    <row r="1023">
      <c r="A1023" s="51" t="n"/>
      <c r="B1023" s="52" t="n"/>
      <c r="C1023" s="52" t="n"/>
      <c r="D1023" s="53" t="n"/>
      <c r="E1023" s="60" t="n"/>
      <c r="F1023" s="53" t="n"/>
      <c r="G1023" s="61" t="str">
        <f>IF(OR(COUNTA(A1023:E1023)=0,D1023=""),"",IFERROR(INDEX(ca_fam,MATCH(D1023,ca_name,0))&amp;"",""))</f>
        <v/>
      </c>
      <c r="H1023" s="58" t="str">
        <f>IF(OR(COUNTA(A1023:E1023)=0,D1023=""),"",IFERROR(INDEX(ca_type,MATCH(D1023,ca_name,0))&amp;"",""))</f>
        <v/>
      </c>
      <c r="I1023" s="58" t="str">
        <f>IF(COUNTA(A1023:E1023)=0,"",IF(N(A1023)&lt;=0,"Date manquante ou invalide",IF(B1023="","Équipe manquante",IF(ISNA(MATCH(B1023,eq_code,0)),"Équipe inconnue",IF(C1023="","Poste manquant",IF(ISNA(MATCH(C1023,po_code,0)),"Poste inconnu",IF(D1023="","Cause manquante",IF(ISNA(MATCH(D1023,ca_name,0)),"Cause inconnue",IF(H1023="","Cause à compléter dans Paramètres",IF(OR(NOT(ISNUMBER(E1023)),N(E1023)&lt;=0,N(E1023)&gt;1440),"Durée invalide",IF(COUNTIFS(sj_date,A1023,sj_eq,B1023,sj_po,C1023)=0,"Pas de saisie journalière ce jour-là","OK")))))))))))</f>
        <v/>
      </c>
      <c r="J1023">
        <f>IF(OR(I1023="OK",I1023="Pas de saisie journalière ce jour-là"),E1023,0)</f>
        <v>0.0</v>
      </c>
      <c r="K1023">
        <f>IF(AND(J1023&gt;0,A1023&gt;=p_from,A1023&lt;=p_to),1,0)</f>
        <v>0.0</v>
      </c>
      <c r="L1023">
        <f>IF(AND(K1023=1,OR(pa_po="",C1023=pa_po),OR(pa_eq="",B1023=pa_eq)),1,0)</f>
        <v>0.0</v>
      </c>
    </row>
    <row r="1024">
      <c r="A1024" s="51" t="n"/>
      <c r="B1024" s="52" t="n"/>
      <c r="C1024" s="52" t="n"/>
      <c r="D1024" s="53" t="n"/>
      <c r="E1024" s="60" t="n"/>
      <c r="F1024" s="53" t="n"/>
      <c r="G1024" s="61" t="str">
        <f>IF(OR(COUNTA(A1024:E1024)=0,D1024=""),"",IFERROR(INDEX(ca_fam,MATCH(D1024,ca_name,0))&amp;"",""))</f>
        <v/>
      </c>
      <c r="H1024" s="58" t="str">
        <f>IF(OR(COUNTA(A1024:E1024)=0,D1024=""),"",IFERROR(INDEX(ca_type,MATCH(D1024,ca_name,0))&amp;"",""))</f>
        <v/>
      </c>
      <c r="I1024" s="58" t="str">
        <f>IF(COUNTA(A1024:E1024)=0,"",IF(N(A1024)&lt;=0,"Date manquante ou invalide",IF(B1024="","Équipe manquante",IF(ISNA(MATCH(B1024,eq_code,0)),"Équipe inconnue",IF(C1024="","Poste manquant",IF(ISNA(MATCH(C1024,po_code,0)),"Poste inconnu",IF(D1024="","Cause manquante",IF(ISNA(MATCH(D1024,ca_name,0)),"Cause inconnue",IF(H1024="","Cause à compléter dans Paramètres",IF(OR(NOT(ISNUMBER(E1024)),N(E1024)&lt;=0,N(E1024)&gt;1440),"Durée invalide",IF(COUNTIFS(sj_date,A1024,sj_eq,B1024,sj_po,C1024)=0,"Pas de saisie journalière ce jour-là","OK")))))))))))</f>
        <v/>
      </c>
      <c r="J1024">
        <f>IF(OR(I1024="OK",I1024="Pas de saisie journalière ce jour-là"),E1024,0)</f>
        <v>0.0</v>
      </c>
      <c r="K1024">
        <f>IF(AND(J1024&gt;0,A1024&gt;=p_from,A1024&lt;=p_to),1,0)</f>
        <v>0.0</v>
      </c>
      <c r="L1024">
        <f>IF(AND(K1024=1,OR(pa_po="",C1024=pa_po),OR(pa_eq="",B1024=pa_eq)),1,0)</f>
        <v>0.0</v>
      </c>
    </row>
    <row r="1025">
      <c r="A1025" s="51" t="n"/>
      <c r="B1025" s="52" t="n"/>
      <c r="C1025" s="52" t="n"/>
      <c r="D1025" s="53" t="n"/>
      <c r="E1025" s="60" t="n"/>
      <c r="F1025" s="53" t="n"/>
      <c r="G1025" s="61" t="str">
        <f>IF(OR(COUNTA(A1025:E1025)=0,D1025=""),"",IFERROR(INDEX(ca_fam,MATCH(D1025,ca_name,0))&amp;"",""))</f>
        <v/>
      </c>
      <c r="H1025" s="58" t="str">
        <f>IF(OR(COUNTA(A1025:E1025)=0,D1025=""),"",IFERROR(INDEX(ca_type,MATCH(D1025,ca_name,0))&amp;"",""))</f>
        <v/>
      </c>
      <c r="I1025" s="58" t="str">
        <f>IF(COUNTA(A1025:E1025)=0,"",IF(N(A1025)&lt;=0,"Date manquante ou invalide",IF(B1025="","Équipe manquante",IF(ISNA(MATCH(B1025,eq_code,0)),"Équipe inconnue",IF(C1025="","Poste manquant",IF(ISNA(MATCH(C1025,po_code,0)),"Poste inconnu",IF(D1025="","Cause manquante",IF(ISNA(MATCH(D1025,ca_name,0)),"Cause inconnue",IF(H1025="","Cause à compléter dans Paramètres",IF(OR(NOT(ISNUMBER(E1025)),N(E1025)&lt;=0,N(E1025)&gt;1440),"Durée invalide",IF(COUNTIFS(sj_date,A1025,sj_eq,B1025,sj_po,C1025)=0,"Pas de saisie journalière ce jour-là","OK")))))))))))</f>
        <v/>
      </c>
      <c r="J1025">
        <f>IF(OR(I1025="OK",I1025="Pas de saisie journalière ce jour-là"),E1025,0)</f>
        <v>0.0</v>
      </c>
      <c r="K1025">
        <f>IF(AND(J1025&gt;0,A1025&gt;=p_from,A1025&lt;=p_to),1,0)</f>
        <v>0.0</v>
      </c>
      <c r="L1025">
        <f>IF(AND(K1025=1,OR(pa_po="",C1025=pa_po),OR(pa_eq="",B1025=pa_eq)),1,0)</f>
        <v>0.0</v>
      </c>
    </row>
    <row r="1026">
      <c r="A1026" s="51" t="n"/>
      <c r="B1026" s="52" t="n"/>
      <c r="C1026" s="52" t="n"/>
      <c r="D1026" s="53" t="n"/>
      <c r="E1026" s="60" t="n"/>
      <c r="F1026" s="53" t="n"/>
      <c r="G1026" s="61" t="str">
        <f>IF(OR(COUNTA(A1026:E1026)=0,D1026=""),"",IFERROR(INDEX(ca_fam,MATCH(D1026,ca_name,0))&amp;"",""))</f>
        <v/>
      </c>
      <c r="H1026" s="58" t="str">
        <f>IF(OR(COUNTA(A1026:E1026)=0,D1026=""),"",IFERROR(INDEX(ca_type,MATCH(D1026,ca_name,0))&amp;"",""))</f>
        <v/>
      </c>
      <c r="I1026" s="58" t="str">
        <f>IF(COUNTA(A1026:E1026)=0,"",IF(N(A1026)&lt;=0,"Date manquante ou invalide",IF(B1026="","Équipe manquante",IF(ISNA(MATCH(B1026,eq_code,0)),"Équipe inconnue",IF(C1026="","Poste manquant",IF(ISNA(MATCH(C1026,po_code,0)),"Poste inconnu",IF(D1026="","Cause manquante",IF(ISNA(MATCH(D1026,ca_name,0)),"Cause inconnue",IF(H1026="","Cause à compléter dans Paramètres",IF(OR(NOT(ISNUMBER(E1026)),N(E1026)&lt;=0,N(E1026)&gt;1440),"Durée invalide",IF(COUNTIFS(sj_date,A1026,sj_eq,B1026,sj_po,C1026)=0,"Pas de saisie journalière ce jour-là","OK")))))))))))</f>
        <v/>
      </c>
      <c r="J1026">
        <f>IF(OR(I1026="OK",I1026="Pas de saisie journalière ce jour-là"),E1026,0)</f>
        <v>0.0</v>
      </c>
      <c r="K1026">
        <f>IF(AND(J1026&gt;0,A1026&gt;=p_from,A1026&lt;=p_to),1,0)</f>
        <v>0.0</v>
      </c>
      <c r="L1026">
        <f>IF(AND(K1026=1,OR(pa_po="",C1026=pa_po),OR(pa_eq="",B1026=pa_eq)),1,0)</f>
        <v>0.0</v>
      </c>
    </row>
    <row r="1027">
      <c r="A1027" s="51" t="n"/>
      <c r="B1027" s="52" t="n"/>
      <c r="C1027" s="52" t="n"/>
      <c r="D1027" s="53" t="n"/>
      <c r="E1027" s="60" t="n"/>
      <c r="F1027" s="53" t="n"/>
      <c r="G1027" s="61" t="str">
        <f>IF(OR(COUNTA(A1027:E1027)=0,D1027=""),"",IFERROR(INDEX(ca_fam,MATCH(D1027,ca_name,0))&amp;"",""))</f>
        <v/>
      </c>
      <c r="H1027" s="58" t="str">
        <f>IF(OR(COUNTA(A1027:E1027)=0,D1027=""),"",IFERROR(INDEX(ca_type,MATCH(D1027,ca_name,0))&amp;"",""))</f>
        <v/>
      </c>
      <c r="I1027" s="58" t="str">
        <f>IF(COUNTA(A1027:E1027)=0,"",IF(N(A1027)&lt;=0,"Date manquante ou invalide",IF(B1027="","Équipe manquante",IF(ISNA(MATCH(B1027,eq_code,0)),"Équipe inconnue",IF(C1027="","Poste manquant",IF(ISNA(MATCH(C1027,po_code,0)),"Poste inconnu",IF(D1027="","Cause manquante",IF(ISNA(MATCH(D1027,ca_name,0)),"Cause inconnue",IF(H1027="","Cause à compléter dans Paramètres",IF(OR(NOT(ISNUMBER(E1027)),N(E1027)&lt;=0,N(E1027)&gt;1440),"Durée invalide",IF(COUNTIFS(sj_date,A1027,sj_eq,B1027,sj_po,C1027)=0,"Pas de saisie journalière ce jour-là","OK")))))))))))</f>
        <v/>
      </c>
      <c r="J1027">
        <f>IF(OR(I1027="OK",I1027="Pas de saisie journalière ce jour-là"),E1027,0)</f>
        <v>0.0</v>
      </c>
      <c r="K1027">
        <f>IF(AND(J1027&gt;0,A1027&gt;=p_from,A1027&lt;=p_to),1,0)</f>
        <v>0.0</v>
      </c>
      <c r="L1027">
        <f>IF(AND(K1027=1,OR(pa_po="",C1027=pa_po),OR(pa_eq="",B1027=pa_eq)),1,0)</f>
        <v>0.0</v>
      </c>
    </row>
    <row r="1028">
      <c r="A1028" s="51" t="n"/>
      <c r="B1028" s="52" t="n"/>
      <c r="C1028" s="52" t="n"/>
      <c r="D1028" s="53" t="n"/>
      <c r="E1028" s="60" t="n"/>
      <c r="F1028" s="53" t="n"/>
      <c r="G1028" s="61" t="str">
        <f>IF(OR(COUNTA(A1028:E1028)=0,D1028=""),"",IFERROR(INDEX(ca_fam,MATCH(D1028,ca_name,0))&amp;"",""))</f>
        <v/>
      </c>
      <c r="H1028" s="58" t="str">
        <f>IF(OR(COUNTA(A1028:E1028)=0,D1028=""),"",IFERROR(INDEX(ca_type,MATCH(D1028,ca_name,0))&amp;"",""))</f>
        <v/>
      </c>
      <c r="I1028" s="58" t="str">
        <f>IF(COUNTA(A1028:E1028)=0,"",IF(N(A1028)&lt;=0,"Date manquante ou invalide",IF(B1028="","Équipe manquante",IF(ISNA(MATCH(B1028,eq_code,0)),"Équipe inconnue",IF(C1028="","Poste manquant",IF(ISNA(MATCH(C1028,po_code,0)),"Poste inconnu",IF(D1028="","Cause manquante",IF(ISNA(MATCH(D1028,ca_name,0)),"Cause inconnue",IF(H1028="","Cause à compléter dans Paramètres",IF(OR(NOT(ISNUMBER(E1028)),N(E1028)&lt;=0,N(E1028)&gt;1440),"Durée invalide",IF(COUNTIFS(sj_date,A1028,sj_eq,B1028,sj_po,C1028)=0,"Pas de saisie journalière ce jour-là","OK")))))))))))</f>
        <v/>
      </c>
      <c r="J1028">
        <f>IF(OR(I1028="OK",I1028="Pas de saisie journalière ce jour-là"),E1028,0)</f>
        <v>0.0</v>
      </c>
      <c r="K1028">
        <f>IF(AND(J1028&gt;0,A1028&gt;=p_from,A1028&lt;=p_to),1,0)</f>
        <v>0.0</v>
      </c>
      <c r="L1028">
        <f>IF(AND(K1028=1,OR(pa_po="",C1028=pa_po),OR(pa_eq="",B1028=pa_eq)),1,0)</f>
        <v>0.0</v>
      </c>
    </row>
    <row r="1029">
      <c r="A1029" s="51" t="n"/>
      <c r="B1029" s="52" t="n"/>
      <c r="C1029" s="52" t="n"/>
      <c r="D1029" s="53" t="n"/>
      <c r="E1029" s="60" t="n"/>
      <c r="F1029" s="53" t="n"/>
      <c r="G1029" s="61" t="str">
        <f>IF(OR(COUNTA(A1029:E1029)=0,D1029=""),"",IFERROR(INDEX(ca_fam,MATCH(D1029,ca_name,0))&amp;"",""))</f>
        <v/>
      </c>
      <c r="H1029" s="58" t="str">
        <f>IF(OR(COUNTA(A1029:E1029)=0,D1029=""),"",IFERROR(INDEX(ca_type,MATCH(D1029,ca_name,0))&amp;"",""))</f>
        <v/>
      </c>
      <c r="I1029" s="58" t="str">
        <f>IF(COUNTA(A1029:E1029)=0,"",IF(N(A1029)&lt;=0,"Date manquante ou invalide",IF(B1029="","Équipe manquante",IF(ISNA(MATCH(B1029,eq_code,0)),"Équipe inconnue",IF(C1029="","Poste manquant",IF(ISNA(MATCH(C1029,po_code,0)),"Poste inconnu",IF(D1029="","Cause manquante",IF(ISNA(MATCH(D1029,ca_name,0)),"Cause inconnue",IF(H1029="","Cause à compléter dans Paramètres",IF(OR(NOT(ISNUMBER(E1029)),N(E1029)&lt;=0,N(E1029)&gt;1440),"Durée invalide",IF(COUNTIFS(sj_date,A1029,sj_eq,B1029,sj_po,C1029)=0,"Pas de saisie journalière ce jour-là","OK")))))))))))</f>
        <v/>
      </c>
      <c r="J1029">
        <f>IF(OR(I1029="OK",I1029="Pas de saisie journalière ce jour-là"),E1029,0)</f>
        <v>0.0</v>
      </c>
      <c r="K1029">
        <f>IF(AND(J1029&gt;0,A1029&gt;=p_from,A1029&lt;=p_to),1,0)</f>
        <v>0.0</v>
      </c>
      <c r="L1029">
        <f>IF(AND(K1029=1,OR(pa_po="",C1029=pa_po),OR(pa_eq="",B1029=pa_eq)),1,0)</f>
        <v>0.0</v>
      </c>
    </row>
    <row r="1030">
      <c r="A1030" s="51" t="n"/>
      <c r="B1030" s="52" t="n"/>
      <c r="C1030" s="52" t="n"/>
      <c r="D1030" s="53" t="n"/>
      <c r="E1030" s="60" t="n"/>
      <c r="F1030" s="53" t="n"/>
      <c r="G1030" s="61" t="str">
        <f>IF(OR(COUNTA(A1030:E1030)=0,D1030=""),"",IFERROR(INDEX(ca_fam,MATCH(D1030,ca_name,0))&amp;"",""))</f>
        <v/>
      </c>
      <c r="H1030" s="58" t="str">
        <f>IF(OR(COUNTA(A1030:E1030)=0,D1030=""),"",IFERROR(INDEX(ca_type,MATCH(D1030,ca_name,0))&amp;"",""))</f>
        <v/>
      </c>
      <c r="I1030" s="58" t="str">
        <f>IF(COUNTA(A1030:E1030)=0,"",IF(N(A1030)&lt;=0,"Date manquante ou invalide",IF(B1030="","Équipe manquante",IF(ISNA(MATCH(B1030,eq_code,0)),"Équipe inconnue",IF(C1030="","Poste manquant",IF(ISNA(MATCH(C1030,po_code,0)),"Poste inconnu",IF(D1030="","Cause manquante",IF(ISNA(MATCH(D1030,ca_name,0)),"Cause inconnue",IF(H1030="","Cause à compléter dans Paramètres",IF(OR(NOT(ISNUMBER(E1030)),N(E1030)&lt;=0,N(E1030)&gt;1440),"Durée invalide",IF(COUNTIFS(sj_date,A1030,sj_eq,B1030,sj_po,C1030)=0,"Pas de saisie journalière ce jour-là","OK")))))))))))</f>
        <v/>
      </c>
      <c r="J1030">
        <f>IF(OR(I1030="OK",I1030="Pas de saisie journalière ce jour-là"),E1030,0)</f>
        <v>0.0</v>
      </c>
      <c r="K1030">
        <f>IF(AND(J1030&gt;0,A1030&gt;=p_from,A1030&lt;=p_to),1,0)</f>
        <v>0.0</v>
      </c>
      <c r="L1030">
        <f>IF(AND(K1030=1,OR(pa_po="",C1030=pa_po),OR(pa_eq="",B1030=pa_eq)),1,0)</f>
        <v>0.0</v>
      </c>
    </row>
    <row r="1031">
      <c r="A1031" s="51" t="n"/>
      <c r="B1031" s="52" t="n"/>
      <c r="C1031" s="52" t="n"/>
      <c r="D1031" s="53" t="n"/>
      <c r="E1031" s="60" t="n"/>
      <c r="F1031" s="53" t="n"/>
      <c r="G1031" s="61" t="str">
        <f>IF(OR(COUNTA(A1031:E1031)=0,D1031=""),"",IFERROR(INDEX(ca_fam,MATCH(D1031,ca_name,0))&amp;"",""))</f>
        <v/>
      </c>
      <c r="H1031" s="58" t="str">
        <f>IF(OR(COUNTA(A1031:E1031)=0,D1031=""),"",IFERROR(INDEX(ca_type,MATCH(D1031,ca_name,0))&amp;"",""))</f>
        <v/>
      </c>
      <c r="I1031" s="58" t="str">
        <f>IF(COUNTA(A1031:E1031)=0,"",IF(N(A1031)&lt;=0,"Date manquante ou invalide",IF(B1031="","Équipe manquante",IF(ISNA(MATCH(B1031,eq_code,0)),"Équipe inconnue",IF(C1031="","Poste manquant",IF(ISNA(MATCH(C1031,po_code,0)),"Poste inconnu",IF(D1031="","Cause manquante",IF(ISNA(MATCH(D1031,ca_name,0)),"Cause inconnue",IF(H1031="","Cause à compléter dans Paramètres",IF(OR(NOT(ISNUMBER(E1031)),N(E1031)&lt;=0,N(E1031)&gt;1440),"Durée invalide",IF(COUNTIFS(sj_date,A1031,sj_eq,B1031,sj_po,C1031)=0,"Pas de saisie journalière ce jour-là","OK")))))))))))</f>
        <v/>
      </c>
      <c r="J1031">
        <f>IF(OR(I1031="OK",I1031="Pas de saisie journalière ce jour-là"),E1031,0)</f>
        <v>0.0</v>
      </c>
      <c r="K1031">
        <f>IF(AND(J1031&gt;0,A1031&gt;=p_from,A1031&lt;=p_to),1,0)</f>
        <v>0.0</v>
      </c>
      <c r="L1031">
        <f>IF(AND(K1031=1,OR(pa_po="",C1031=pa_po),OR(pa_eq="",B1031=pa_eq)),1,0)</f>
        <v>0.0</v>
      </c>
    </row>
    <row r="1032">
      <c r="A1032" s="51" t="n"/>
      <c r="B1032" s="52" t="n"/>
      <c r="C1032" s="52" t="n"/>
      <c r="D1032" s="53" t="n"/>
      <c r="E1032" s="60" t="n"/>
      <c r="F1032" s="53" t="n"/>
      <c r="G1032" s="61" t="str">
        <f>IF(OR(COUNTA(A1032:E1032)=0,D1032=""),"",IFERROR(INDEX(ca_fam,MATCH(D1032,ca_name,0))&amp;"",""))</f>
        <v/>
      </c>
      <c r="H1032" s="58" t="str">
        <f>IF(OR(COUNTA(A1032:E1032)=0,D1032=""),"",IFERROR(INDEX(ca_type,MATCH(D1032,ca_name,0))&amp;"",""))</f>
        <v/>
      </c>
      <c r="I1032" s="58" t="str">
        <f>IF(COUNTA(A1032:E1032)=0,"",IF(N(A1032)&lt;=0,"Date manquante ou invalide",IF(B1032="","Équipe manquante",IF(ISNA(MATCH(B1032,eq_code,0)),"Équipe inconnue",IF(C1032="","Poste manquant",IF(ISNA(MATCH(C1032,po_code,0)),"Poste inconnu",IF(D1032="","Cause manquante",IF(ISNA(MATCH(D1032,ca_name,0)),"Cause inconnue",IF(H1032="","Cause à compléter dans Paramètres",IF(OR(NOT(ISNUMBER(E1032)),N(E1032)&lt;=0,N(E1032)&gt;1440),"Durée invalide",IF(COUNTIFS(sj_date,A1032,sj_eq,B1032,sj_po,C1032)=0,"Pas de saisie journalière ce jour-là","OK")))))))))))</f>
        <v/>
      </c>
      <c r="J1032">
        <f>IF(OR(I1032="OK",I1032="Pas de saisie journalière ce jour-là"),E1032,0)</f>
        <v>0.0</v>
      </c>
      <c r="K1032">
        <f>IF(AND(J1032&gt;0,A1032&gt;=p_from,A1032&lt;=p_to),1,0)</f>
        <v>0.0</v>
      </c>
      <c r="L1032">
        <f>IF(AND(K1032=1,OR(pa_po="",C1032=pa_po),OR(pa_eq="",B1032=pa_eq)),1,0)</f>
        <v>0.0</v>
      </c>
    </row>
    <row r="1033">
      <c r="A1033" s="51" t="n"/>
      <c r="B1033" s="52" t="n"/>
      <c r="C1033" s="52" t="n"/>
      <c r="D1033" s="53" t="n"/>
      <c r="E1033" s="60" t="n"/>
      <c r="F1033" s="53" t="n"/>
      <c r="G1033" s="61" t="str">
        <f>IF(OR(COUNTA(A1033:E1033)=0,D1033=""),"",IFERROR(INDEX(ca_fam,MATCH(D1033,ca_name,0))&amp;"",""))</f>
        <v/>
      </c>
      <c r="H1033" s="58" t="str">
        <f>IF(OR(COUNTA(A1033:E1033)=0,D1033=""),"",IFERROR(INDEX(ca_type,MATCH(D1033,ca_name,0))&amp;"",""))</f>
        <v/>
      </c>
      <c r="I1033" s="58" t="str">
        <f>IF(COUNTA(A1033:E1033)=0,"",IF(N(A1033)&lt;=0,"Date manquante ou invalide",IF(B1033="","Équipe manquante",IF(ISNA(MATCH(B1033,eq_code,0)),"Équipe inconnue",IF(C1033="","Poste manquant",IF(ISNA(MATCH(C1033,po_code,0)),"Poste inconnu",IF(D1033="","Cause manquante",IF(ISNA(MATCH(D1033,ca_name,0)),"Cause inconnue",IF(H1033="","Cause à compléter dans Paramètres",IF(OR(NOT(ISNUMBER(E1033)),N(E1033)&lt;=0,N(E1033)&gt;1440),"Durée invalide",IF(COUNTIFS(sj_date,A1033,sj_eq,B1033,sj_po,C1033)=0,"Pas de saisie journalière ce jour-là","OK")))))))))))</f>
        <v/>
      </c>
      <c r="J1033">
        <f>IF(OR(I1033="OK",I1033="Pas de saisie journalière ce jour-là"),E1033,0)</f>
        <v>0.0</v>
      </c>
      <c r="K1033">
        <f>IF(AND(J1033&gt;0,A1033&gt;=p_from,A1033&lt;=p_to),1,0)</f>
        <v>0.0</v>
      </c>
      <c r="L1033">
        <f>IF(AND(K1033=1,OR(pa_po="",C1033=pa_po),OR(pa_eq="",B1033=pa_eq)),1,0)</f>
        <v>0.0</v>
      </c>
    </row>
    <row r="1034">
      <c r="A1034" s="51" t="n"/>
      <c r="B1034" s="52" t="n"/>
      <c r="C1034" s="52" t="n"/>
      <c r="D1034" s="53" t="n"/>
      <c r="E1034" s="60" t="n"/>
      <c r="F1034" s="53" t="n"/>
      <c r="G1034" s="61" t="str">
        <f>IF(OR(COUNTA(A1034:E1034)=0,D1034=""),"",IFERROR(INDEX(ca_fam,MATCH(D1034,ca_name,0))&amp;"",""))</f>
        <v/>
      </c>
      <c r="H1034" s="58" t="str">
        <f>IF(OR(COUNTA(A1034:E1034)=0,D1034=""),"",IFERROR(INDEX(ca_type,MATCH(D1034,ca_name,0))&amp;"",""))</f>
        <v/>
      </c>
      <c r="I1034" s="58" t="str">
        <f>IF(COUNTA(A1034:E1034)=0,"",IF(N(A1034)&lt;=0,"Date manquante ou invalide",IF(B1034="","Équipe manquante",IF(ISNA(MATCH(B1034,eq_code,0)),"Équipe inconnue",IF(C1034="","Poste manquant",IF(ISNA(MATCH(C1034,po_code,0)),"Poste inconnu",IF(D1034="","Cause manquante",IF(ISNA(MATCH(D1034,ca_name,0)),"Cause inconnue",IF(H1034="","Cause à compléter dans Paramètres",IF(OR(NOT(ISNUMBER(E1034)),N(E1034)&lt;=0,N(E1034)&gt;1440),"Durée invalide",IF(COUNTIFS(sj_date,A1034,sj_eq,B1034,sj_po,C1034)=0,"Pas de saisie journalière ce jour-là","OK")))))))))))</f>
        <v/>
      </c>
      <c r="J1034">
        <f>IF(OR(I1034="OK",I1034="Pas de saisie journalière ce jour-là"),E1034,0)</f>
        <v>0.0</v>
      </c>
      <c r="K1034">
        <f>IF(AND(J1034&gt;0,A1034&gt;=p_from,A1034&lt;=p_to),1,0)</f>
        <v>0.0</v>
      </c>
      <c r="L1034">
        <f>IF(AND(K1034=1,OR(pa_po="",C1034=pa_po),OR(pa_eq="",B1034=pa_eq)),1,0)</f>
        <v>0.0</v>
      </c>
    </row>
    <row r="1035">
      <c r="A1035" s="51" t="n"/>
      <c r="B1035" s="52" t="n"/>
      <c r="C1035" s="52" t="n"/>
      <c r="D1035" s="53" t="n"/>
      <c r="E1035" s="60" t="n"/>
      <c r="F1035" s="53" t="n"/>
      <c r="G1035" s="61" t="str">
        <f>IF(OR(COUNTA(A1035:E1035)=0,D1035=""),"",IFERROR(INDEX(ca_fam,MATCH(D1035,ca_name,0))&amp;"",""))</f>
        <v/>
      </c>
      <c r="H1035" s="58" t="str">
        <f>IF(OR(COUNTA(A1035:E1035)=0,D1035=""),"",IFERROR(INDEX(ca_type,MATCH(D1035,ca_name,0))&amp;"",""))</f>
        <v/>
      </c>
      <c r="I1035" s="58" t="str">
        <f>IF(COUNTA(A1035:E1035)=0,"",IF(N(A1035)&lt;=0,"Date manquante ou invalide",IF(B1035="","Équipe manquante",IF(ISNA(MATCH(B1035,eq_code,0)),"Équipe inconnue",IF(C1035="","Poste manquant",IF(ISNA(MATCH(C1035,po_code,0)),"Poste inconnu",IF(D1035="","Cause manquante",IF(ISNA(MATCH(D1035,ca_name,0)),"Cause inconnue",IF(H1035="","Cause à compléter dans Paramètres",IF(OR(NOT(ISNUMBER(E1035)),N(E1035)&lt;=0,N(E1035)&gt;1440),"Durée invalide",IF(COUNTIFS(sj_date,A1035,sj_eq,B1035,sj_po,C1035)=0,"Pas de saisie journalière ce jour-là","OK")))))))))))</f>
        <v/>
      </c>
      <c r="J1035">
        <f>IF(OR(I1035="OK",I1035="Pas de saisie journalière ce jour-là"),E1035,0)</f>
        <v>0.0</v>
      </c>
      <c r="K1035">
        <f>IF(AND(J1035&gt;0,A1035&gt;=p_from,A1035&lt;=p_to),1,0)</f>
        <v>0.0</v>
      </c>
      <c r="L1035">
        <f>IF(AND(K1035=1,OR(pa_po="",C1035=pa_po),OR(pa_eq="",B1035=pa_eq)),1,0)</f>
        <v>0.0</v>
      </c>
    </row>
    <row r="1036">
      <c r="A1036" s="51" t="n"/>
      <c r="B1036" s="52" t="n"/>
      <c r="C1036" s="52" t="n"/>
      <c r="D1036" s="53" t="n"/>
      <c r="E1036" s="60" t="n"/>
      <c r="F1036" s="53" t="n"/>
      <c r="G1036" s="61" t="str">
        <f>IF(OR(COUNTA(A1036:E1036)=0,D1036=""),"",IFERROR(INDEX(ca_fam,MATCH(D1036,ca_name,0))&amp;"",""))</f>
        <v/>
      </c>
      <c r="H1036" s="58" t="str">
        <f>IF(OR(COUNTA(A1036:E1036)=0,D1036=""),"",IFERROR(INDEX(ca_type,MATCH(D1036,ca_name,0))&amp;"",""))</f>
        <v/>
      </c>
      <c r="I1036" s="58" t="str">
        <f>IF(COUNTA(A1036:E1036)=0,"",IF(N(A1036)&lt;=0,"Date manquante ou invalide",IF(B1036="","Équipe manquante",IF(ISNA(MATCH(B1036,eq_code,0)),"Équipe inconnue",IF(C1036="","Poste manquant",IF(ISNA(MATCH(C1036,po_code,0)),"Poste inconnu",IF(D1036="","Cause manquante",IF(ISNA(MATCH(D1036,ca_name,0)),"Cause inconnue",IF(H1036="","Cause à compléter dans Paramètres",IF(OR(NOT(ISNUMBER(E1036)),N(E1036)&lt;=0,N(E1036)&gt;1440),"Durée invalide",IF(COUNTIFS(sj_date,A1036,sj_eq,B1036,sj_po,C1036)=0,"Pas de saisie journalière ce jour-là","OK")))))))))))</f>
        <v/>
      </c>
      <c r="J1036">
        <f>IF(OR(I1036="OK",I1036="Pas de saisie journalière ce jour-là"),E1036,0)</f>
        <v>0.0</v>
      </c>
      <c r="K1036">
        <f>IF(AND(J1036&gt;0,A1036&gt;=p_from,A1036&lt;=p_to),1,0)</f>
        <v>0.0</v>
      </c>
      <c r="L1036">
        <f>IF(AND(K1036=1,OR(pa_po="",C1036=pa_po),OR(pa_eq="",B1036=pa_eq)),1,0)</f>
        <v>0.0</v>
      </c>
    </row>
    <row r="1037">
      <c r="A1037" s="51" t="n"/>
      <c r="B1037" s="52" t="n"/>
      <c r="C1037" s="52" t="n"/>
      <c r="D1037" s="53" t="n"/>
      <c r="E1037" s="60" t="n"/>
      <c r="F1037" s="53" t="n"/>
      <c r="G1037" s="61" t="str">
        <f>IF(OR(COUNTA(A1037:E1037)=0,D1037=""),"",IFERROR(INDEX(ca_fam,MATCH(D1037,ca_name,0))&amp;"",""))</f>
        <v/>
      </c>
      <c r="H1037" s="58" t="str">
        <f>IF(OR(COUNTA(A1037:E1037)=0,D1037=""),"",IFERROR(INDEX(ca_type,MATCH(D1037,ca_name,0))&amp;"",""))</f>
        <v/>
      </c>
      <c r="I1037" s="58" t="str">
        <f>IF(COUNTA(A1037:E1037)=0,"",IF(N(A1037)&lt;=0,"Date manquante ou invalide",IF(B1037="","Équipe manquante",IF(ISNA(MATCH(B1037,eq_code,0)),"Équipe inconnue",IF(C1037="","Poste manquant",IF(ISNA(MATCH(C1037,po_code,0)),"Poste inconnu",IF(D1037="","Cause manquante",IF(ISNA(MATCH(D1037,ca_name,0)),"Cause inconnue",IF(H1037="","Cause à compléter dans Paramètres",IF(OR(NOT(ISNUMBER(E1037)),N(E1037)&lt;=0,N(E1037)&gt;1440),"Durée invalide",IF(COUNTIFS(sj_date,A1037,sj_eq,B1037,sj_po,C1037)=0,"Pas de saisie journalière ce jour-là","OK")))))))))))</f>
        <v/>
      </c>
      <c r="J1037">
        <f>IF(OR(I1037="OK",I1037="Pas de saisie journalière ce jour-là"),E1037,0)</f>
        <v>0.0</v>
      </c>
      <c r="K1037">
        <f>IF(AND(J1037&gt;0,A1037&gt;=p_from,A1037&lt;=p_to),1,0)</f>
        <v>0.0</v>
      </c>
      <c r="L1037">
        <f>IF(AND(K1037=1,OR(pa_po="",C1037=pa_po),OR(pa_eq="",B1037=pa_eq)),1,0)</f>
        <v>0.0</v>
      </c>
    </row>
    <row r="1038">
      <c r="A1038" s="51" t="n"/>
      <c r="B1038" s="52" t="n"/>
      <c r="C1038" s="52" t="n"/>
      <c r="D1038" s="53" t="n"/>
      <c r="E1038" s="60" t="n"/>
      <c r="F1038" s="53" t="n"/>
      <c r="G1038" s="61" t="str">
        <f>IF(OR(COUNTA(A1038:E1038)=0,D1038=""),"",IFERROR(INDEX(ca_fam,MATCH(D1038,ca_name,0))&amp;"",""))</f>
        <v/>
      </c>
      <c r="H1038" s="58" t="str">
        <f>IF(OR(COUNTA(A1038:E1038)=0,D1038=""),"",IFERROR(INDEX(ca_type,MATCH(D1038,ca_name,0))&amp;"",""))</f>
        <v/>
      </c>
      <c r="I1038" s="58" t="str">
        <f>IF(COUNTA(A1038:E1038)=0,"",IF(N(A1038)&lt;=0,"Date manquante ou invalide",IF(B1038="","Équipe manquante",IF(ISNA(MATCH(B1038,eq_code,0)),"Équipe inconnue",IF(C1038="","Poste manquant",IF(ISNA(MATCH(C1038,po_code,0)),"Poste inconnu",IF(D1038="","Cause manquante",IF(ISNA(MATCH(D1038,ca_name,0)),"Cause inconnue",IF(H1038="","Cause à compléter dans Paramètres",IF(OR(NOT(ISNUMBER(E1038)),N(E1038)&lt;=0,N(E1038)&gt;1440),"Durée invalide",IF(COUNTIFS(sj_date,A1038,sj_eq,B1038,sj_po,C1038)=0,"Pas de saisie journalière ce jour-là","OK")))))))))))</f>
        <v/>
      </c>
      <c r="J1038">
        <f>IF(OR(I1038="OK",I1038="Pas de saisie journalière ce jour-là"),E1038,0)</f>
        <v>0.0</v>
      </c>
      <c r="K1038">
        <f>IF(AND(J1038&gt;0,A1038&gt;=p_from,A1038&lt;=p_to),1,0)</f>
        <v>0.0</v>
      </c>
      <c r="L1038">
        <f>IF(AND(K1038=1,OR(pa_po="",C1038=pa_po),OR(pa_eq="",B1038=pa_eq)),1,0)</f>
        <v>0.0</v>
      </c>
    </row>
    <row r="1039">
      <c r="A1039" s="51" t="n"/>
      <c r="B1039" s="52" t="n"/>
      <c r="C1039" s="52" t="n"/>
      <c r="D1039" s="53" t="n"/>
      <c r="E1039" s="60" t="n"/>
      <c r="F1039" s="53" t="n"/>
      <c r="G1039" s="61" t="str">
        <f>IF(OR(COUNTA(A1039:E1039)=0,D1039=""),"",IFERROR(INDEX(ca_fam,MATCH(D1039,ca_name,0))&amp;"",""))</f>
        <v/>
      </c>
      <c r="H1039" s="58" t="str">
        <f>IF(OR(COUNTA(A1039:E1039)=0,D1039=""),"",IFERROR(INDEX(ca_type,MATCH(D1039,ca_name,0))&amp;"",""))</f>
        <v/>
      </c>
      <c r="I1039" s="58" t="str">
        <f>IF(COUNTA(A1039:E1039)=0,"",IF(N(A1039)&lt;=0,"Date manquante ou invalide",IF(B1039="","Équipe manquante",IF(ISNA(MATCH(B1039,eq_code,0)),"Équipe inconnue",IF(C1039="","Poste manquant",IF(ISNA(MATCH(C1039,po_code,0)),"Poste inconnu",IF(D1039="","Cause manquante",IF(ISNA(MATCH(D1039,ca_name,0)),"Cause inconnue",IF(H1039="","Cause à compléter dans Paramètres",IF(OR(NOT(ISNUMBER(E1039)),N(E1039)&lt;=0,N(E1039)&gt;1440),"Durée invalide",IF(COUNTIFS(sj_date,A1039,sj_eq,B1039,sj_po,C1039)=0,"Pas de saisie journalière ce jour-là","OK")))))))))))</f>
        <v/>
      </c>
      <c r="J1039">
        <f>IF(OR(I1039="OK",I1039="Pas de saisie journalière ce jour-là"),E1039,0)</f>
        <v>0.0</v>
      </c>
      <c r="K1039">
        <f>IF(AND(J1039&gt;0,A1039&gt;=p_from,A1039&lt;=p_to),1,0)</f>
        <v>0.0</v>
      </c>
      <c r="L1039">
        <f>IF(AND(K1039=1,OR(pa_po="",C1039=pa_po),OR(pa_eq="",B1039=pa_eq)),1,0)</f>
        <v>0.0</v>
      </c>
    </row>
    <row r="1040">
      <c r="A1040" s="51" t="n"/>
      <c r="B1040" s="52" t="n"/>
      <c r="C1040" s="52" t="n"/>
      <c r="D1040" s="53" t="n"/>
      <c r="E1040" s="60" t="n"/>
      <c r="F1040" s="53" t="n"/>
      <c r="G1040" s="61" t="str">
        <f>IF(OR(COUNTA(A1040:E1040)=0,D1040=""),"",IFERROR(INDEX(ca_fam,MATCH(D1040,ca_name,0))&amp;"",""))</f>
        <v/>
      </c>
      <c r="H1040" s="58" t="str">
        <f>IF(OR(COUNTA(A1040:E1040)=0,D1040=""),"",IFERROR(INDEX(ca_type,MATCH(D1040,ca_name,0))&amp;"",""))</f>
        <v/>
      </c>
      <c r="I1040" s="58" t="str">
        <f>IF(COUNTA(A1040:E1040)=0,"",IF(N(A1040)&lt;=0,"Date manquante ou invalide",IF(B1040="","Équipe manquante",IF(ISNA(MATCH(B1040,eq_code,0)),"Équipe inconnue",IF(C1040="","Poste manquant",IF(ISNA(MATCH(C1040,po_code,0)),"Poste inconnu",IF(D1040="","Cause manquante",IF(ISNA(MATCH(D1040,ca_name,0)),"Cause inconnue",IF(H1040="","Cause à compléter dans Paramètres",IF(OR(NOT(ISNUMBER(E1040)),N(E1040)&lt;=0,N(E1040)&gt;1440),"Durée invalide",IF(COUNTIFS(sj_date,A1040,sj_eq,B1040,sj_po,C1040)=0,"Pas de saisie journalière ce jour-là","OK")))))))))))</f>
        <v/>
      </c>
      <c r="J1040">
        <f>IF(OR(I1040="OK",I1040="Pas de saisie journalière ce jour-là"),E1040,0)</f>
        <v>0.0</v>
      </c>
      <c r="K1040">
        <f>IF(AND(J1040&gt;0,A1040&gt;=p_from,A1040&lt;=p_to),1,0)</f>
        <v>0.0</v>
      </c>
      <c r="L1040">
        <f>IF(AND(K1040=1,OR(pa_po="",C1040=pa_po),OR(pa_eq="",B1040=pa_eq)),1,0)</f>
        <v>0.0</v>
      </c>
    </row>
    <row r="1041">
      <c r="A1041" s="51" t="n"/>
      <c r="B1041" s="52" t="n"/>
      <c r="C1041" s="52" t="n"/>
      <c r="D1041" s="53" t="n"/>
      <c r="E1041" s="60" t="n"/>
      <c r="F1041" s="53" t="n"/>
      <c r="G1041" s="61" t="str">
        <f>IF(OR(COUNTA(A1041:E1041)=0,D1041=""),"",IFERROR(INDEX(ca_fam,MATCH(D1041,ca_name,0))&amp;"",""))</f>
        <v/>
      </c>
      <c r="H1041" s="58" t="str">
        <f>IF(OR(COUNTA(A1041:E1041)=0,D1041=""),"",IFERROR(INDEX(ca_type,MATCH(D1041,ca_name,0))&amp;"",""))</f>
        <v/>
      </c>
      <c r="I1041" s="58" t="str">
        <f>IF(COUNTA(A1041:E1041)=0,"",IF(N(A1041)&lt;=0,"Date manquante ou invalide",IF(B1041="","Équipe manquante",IF(ISNA(MATCH(B1041,eq_code,0)),"Équipe inconnue",IF(C1041="","Poste manquant",IF(ISNA(MATCH(C1041,po_code,0)),"Poste inconnu",IF(D1041="","Cause manquante",IF(ISNA(MATCH(D1041,ca_name,0)),"Cause inconnue",IF(H1041="","Cause à compléter dans Paramètres",IF(OR(NOT(ISNUMBER(E1041)),N(E1041)&lt;=0,N(E1041)&gt;1440),"Durée invalide",IF(COUNTIFS(sj_date,A1041,sj_eq,B1041,sj_po,C1041)=0,"Pas de saisie journalière ce jour-là","OK")))))))))))</f>
        <v/>
      </c>
      <c r="J1041">
        <f>IF(OR(I1041="OK",I1041="Pas de saisie journalière ce jour-là"),E1041,0)</f>
        <v>0.0</v>
      </c>
      <c r="K1041">
        <f>IF(AND(J1041&gt;0,A1041&gt;=p_from,A1041&lt;=p_to),1,0)</f>
        <v>0.0</v>
      </c>
      <c r="L1041">
        <f>IF(AND(K1041=1,OR(pa_po="",C1041=pa_po),OR(pa_eq="",B1041=pa_eq)),1,0)</f>
        <v>0.0</v>
      </c>
    </row>
    <row r="1042">
      <c r="A1042" s="51" t="n"/>
      <c r="B1042" s="52" t="n"/>
      <c r="C1042" s="52" t="n"/>
      <c r="D1042" s="53" t="n"/>
      <c r="E1042" s="60" t="n"/>
      <c r="F1042" s="53" t="n"/>
      <c r="G1042" s="61" t="str">
        <f>IF(OR(COUNTA(A1042:E1042)=0,D1042=""),"",IFERROR(INDEX(ca_fam,MATCH(D1042,ca_name,0))&amp;"",""))</f>
        <v/>
      </c>
      <c r="H1042" s="58" t="str">
        <f>IF(OR(COUNTA(A1042:E1042)=0,D1042=""),"",IFERROR(INDEX(ca_type,MATCH(D1042,ca_name,0))&amp;"",""))</f>
        <v/>
      </c>
      <c r="I1042" s="58" t="str">
        <f>IF(COUNTA(A1042:E1042)=0,"",IF(N(A1042)&lt;=0,"Date manquante ou invalide",IF(B1042="","Équipe manquante",IF(ISNA(MATCH(B1042,eq_code,0)),"Équipe inconnue",IF(C1042="","Poste manquant",IF(ISNA(MATCH(C1042,po_code,0)),"Poste inconnu",IF(D1042="","Cause manquante",IF(ISNA(MATCH(D1042,ca_name,0)),"Cause inconnue",IF(H1042="","Cause à compléter dans Paramètres",IF(OR(NOT(ISNUMBER(E1042)),N(E1042)&lt;=0,N(E1042)&gt;1440),"Durée invalide",IF(COUNTIFS(sj_date,A1042,sj_eq,B1042,sj_po,C1042)=0,"Pas de saisie journalière ce jour-là","OK")))))))))))</f>
        <v/>
      </c>
      <c r="J1042">
        <f>IF(OR(I1042="OK",I1042="Pas de saisie journalière ce jour-là"),E1042,0)</f>
        <v>0.0</v>
      </c>
      <c r="K1042">
        <f>IF(AND(J1042&gt;0,A1042&gt;=p_from,A1042&lt;=p_to),1,0)</f>
        <v>0.0</v>
      </c>
      <c r="L1042">
        <f>IF(AND(K1042=1,OR(pa_po="",C1042=pa_po),OR(pa_eq="",B1042=pa_eq)),1,0)</f>
        <v>0.0</v>
      </c>
    </row>
    <row r="1043">
      <c r="A1043" s="51" t="n"/>
      <c r="B1043" s="52" t="n"/>
      <c r="C1043" s="52" t="n"/>
      <c r="D1043" s="53" t="n"/>
      <c r="E1043" s="60" t="n"/>
      <c r="F1043" s="53" t="n"/>
      <c r="G1043" s="61" t="str">
        <f>IF(OR(COUNTA(A1043:E1043)=0,D1043=""),"",IFERROR(INDEX(ca_fam,MATCH(D1043,ca_name,0))&amp;"",""))</f>
        <v/>
      </c>
      <c r="H1043" s="58" t="str">
        <f>IF(OR(COUNTA(A1043:E1043)=0,D1043=""),"",IFERROR(INDEX(ca_type,MATCH(D1043,ca_name,0))&amp;"",""))</f>
        <v/>
      </c>
      <c r="I1043" s="58" t="str">
        <f>IF(COUNTA(A1043:E1043)=0,"",IF(N(A1043)&lt;=0,"Date manquante ou invalide",IF(B1043="","Équipe manquante",IF(ISNA(MATCH(B1043,eq_code,0)),"Équipe inconnue",IF(C1043="","Poste manquant",IF(ISNA(MATCH(C1043,po_code,0)),"Poste inconnu",IF(D1043="","Cause manquante",IF(ISNA(MATCH(D1043,ca_name,0)),"Cause inconnue",IF(H1043="","Cause à compléter dans Paramètres",IF(OR(NOT(ISNUMBER(E1043)),N(E1043)&lt;=0,N(E1043)&gt;1440),"Durée invalide",IF(COUNTIFS(sj_date,A1043,sj_eq,B1043,sj_po,C1043)=0,"Pas de saisie journalière ce jour-là","OK")))))))))))</f>
        <v/>
      </c>
      <c r="J1043">
        <f>IF(OR(I1043="OK",I1043="Pas de saisie journalière ce jour-là"),E1043,0)</f>
        <v>0.0</v>
      </c>
      <c r="K1043">
        <f>IF(AND(J1043&gt;0,A1043&gt;=p_from,A1043&lt;=p_to),1,0)</f>
        <v>0.0</v>
      </c>
      <c r="L1043">
        <f>IF(AND(K1043=1,OR(pa_po="",C1043=pa_po),OR(pa_eq="",B1043=pa_eq)),1,0)</f>
        <v>0.0</v>
      </c>
    </row>
    <row r="1044">
      <c r="A1044" s="51" t="n"/>
      <c r="B1044" s="52" t="n"/>
      <c r="C1044" s="52" t="n"/>
      <c r="D1044" s="53" t="n"/>
      <c r="E1044" s="60" t="n"/>
      <c r="F1044" s="53" t="n"/>
      <c r="G1044" s="61" t="str">
        <f>IF(OR(COUNTA(A1044:E1044)=0,D1044=""),"",IFERROR(INDEX(ca_fam,MATCH(D1044,ca_name,0))&amp;"",""))</f>
        <v/>
      </c>
      <c r="H1044" s="58" t="str">
        <f>IF(OR(COUNTA(A1044:E1044)=0,D1044=""),"",IFERROR(INDEX(ca_type,MATCH(D1044,ca_name,0))&amp;"",""))</f>
        <v/>
      </c>
      <c r="I1044" s="58" t="str">
        <f>IF(COUNTA(A1044:E1044)=0,"",IF(N(A1044)&lt;=0,"Date manquante ou invalide",IF(B1044="","Équipe manquante",IF(ISNA(MATCH(B1044,eq_code,0)),"Équipe inconnue",IF(C1044="","Poste manquant",IF(ISNA(MATCH(C1044,po_code,0)),"Poste inconnu",IF(D1044="","Cause manquante",IF(ISNA(MATCH(D1044,ca_name,0)),"Cause inconnue",IF(H1044="","Cause à compléter dans Paramètres",IF(OR(NOT(ISNUMBER(E1044)),N(E1044)&lt;=0,N(E1044)&gt;1440),"Durée invalide",IF(COUNTIFS(sj_date,A1044,sj_eq,B1044,sj_po,C1044)=0,"Pas de saisie journalière ce jour-là","OK")))))))))))</f>
        <v/>
      </c>
      <c r="J1044">
        <f>IF(OR(I1044="OK",I1044="Pas de saisie journalière ce jour-là"),E1044,0)</f>
        <v>0.0</v>
      </c>
      <c r="K1044">
        <f>IF(AND(J1044&gt;0,A1044&gt;=p_from,A1044&lt;=p_to),1,0)</f>
        <v>0.0</v>
      </c>
      <c r="L1044">
        <f>IF(AND(K1044=1,OR(pa_po="",C1044=pa_po),OR(pa_eq="",B1044=pa_eq)),1,0)</f>
        <v>0.0</v>
      </c>
    </row>
    <row r="1045">
      <c r="A1045" s="51" t="n"/>
      <c r="B1045" s="52" t="n"/>
      <c r="C1045" s="52" t="n"/>
      <c r="D1045" s="53" t="n"/>
      <c r="E1045" s="60" t="n"/>
      <c r="F1045" s="53" t="n"/>
      <c r="G1045" s="61" t="str">
        <f>IF(OR(COUNTA(A1045:E1045)=0,D1045=""),"",IFERROR(INDEX(ca_fam,MATCH(D1045,ca_name,0))&amp;"",""))</f>
        <v/>
      </c>
      <c r="H1045" s="58" t="str">
        <f>IF(OR(COUNTA(A1045:E1045)=0,D1045=""),"",IFERROR(INDEX(ca_type,MATCH(D1045,ca_name,0))&amp;"",""))</f>
        <v/>
      </c>
      <c r="I1045" s="58" t="str">
        <f>IF(COUNTA(A1045:E1045)=0,"",IF(N(A1045)&lt;=0,"Date manquante ou invalide",IF(B1045="","Équipe manquante",IF(ISNA(MATCH(B1045,eq_code,0)),"Équipe inconnue",IF(C1045="","Poste manquant",IF(ISNA(MATCH(C1045,po_code,0)),"Poste inconnu",IF(D1045="","Cause manquante",IF(ISNA(MATCH(D1045,ca_name,0)),"Cause inconnue",IF(H1045="","Cause à compléter dans Paramètres",IF(OR(NOT(ISNUMBER(E1045)),N(E1045)&lt;=0,N(E1045)&gt;1440),"Durée invalide",IF(COUNTIFS(sj_date,A1045,sj_eq,B1045,sj_po,C1045)=0,"Pas de saisie journalière ce jour-là","OK")))))))))))</f>
        <v/>
      </c>
      <c r="J1045">
        <f>IF(OR(I1045="OK",I1045="Pas de saisie journalière ce jour-là"),E1045,0)</f>
        <v>0.0</v>
      </c>
      <c r="K1045">
        <f>IF(AND(J1045&gt;0,A1045&gt;=p_from,A1045&lt;=p_to),1,0)</f>
        <v>0.0</v>
      </c>
      <c r="L1045">
        <f>IF(AND(K1045=1,OR(pa_po="",C1045=pa_po),OR(pa_eq="",B1045=pa_eq)),1,0)</f>
        <v>0.0</v>
      </c>
    </row>
    <row r="1046">
      <c r="A1046" s="51" t="n"/>
      <c r="B1046" s="52" t="n"/>
      <c r="C1046" s="52" t="n"/>
      <c r="D1046" s="53" t="n"/>
      <c r="E1046" s="60" t="n"/>
      <c r="F1046" s="53" t="n"/>
      <c r="G1046" s="61" t="str">
        <f>IF(OR(COUNTA(A1046:E1046)=0,D1046=""),"",IFERROR(INDEX(ca_fam,MATCH(D1046,ca_name,0))&amp;"",""))</f>
        <v/>
      </c>
      <c r="H1046" s="58" t="str">
        <f>IF(OR(COUNTA(A1046:E1046)=0,D1046=""),"",IFERROR(INDEX(ca_type,MATCH(D1046,ca_name,0))&amp;"",""))</f>
        <v/>
      </c>
      <c r="I1046" s="58" t="str">
        <f>IF(COUNTA(A1046:E1046)=0,"",IF(N(A1046)&lt;=0,"Date manquante ou invalide",IF(B1046="","Équipe manquante",IF(ISNA(MATCH(B1046,eq_code,0)),"Équipe inconnue",IF(C1046="","Poste manquant",IF(ISNA(MATCH(C1046,po_code,0)),"Poste inconnu",IF(D1046="","Cause manquante",IF(ISNA(MATCH(D1046,ca_name,0)),"Cause inconnue",IF(H1046="","Cause à compléter dans Paramètres",IF(OR(NOT(ISNUMBER(E1046)),N(E1046)&lt;=0,N(E1046)&gt;1440),"Durée invalide",IF(COUNTIFS(sj_date,A1046,sj_eq,B1046,sj_po,C1046)=0,"Pas de saisie journalière ce jour-là","OK")))))))))))</f>
        <v/>
      </c>
      <c r="J1046">
        <f>IF(OR(I1046="OK",I1046="Pas de saisie journalière ce jour-là"),E1046,0)</f>
        <v>0.0</v>
      </c>
      <c r="K1046">
        <f>IF(AND(J1046&gt;0,A1046&gt;=p_from,A1046&lt;=p_to),1,0)</f>
        <v>0.0</v>
      </c>
      <c r="L1046">
        <f>IF(AND(K1046=1,OR(pa_po="",C1046=pa_po),OR(pa_eq="",B1046=pa_eq)),1,0)</f>
        <v>0.0</v>
      </c>
    </row>
    <row r="1047">
      <c r="A1047" s="51" t="n"/>
      <c r="B1047" s="52" t="n"/>
      <c r="C1047" s="52" t="n"/>
      <c r="D1047" s="53" t="n"/>
      <c r="E1047" s="60" t="n"/>
      <c r="F1047" s="53" t="n"/>
      <c r="G1047" s="61" t="str">
        <f>IF(OR(COUNTA(A1047:E1047)=0,D1047=""),"",IFERROR(INDEX(ca_fam,MATCH(D1047,ca_name,0))&amp;"",""))</f>
        <v/>
      </c>
      <c r="H1047" s="58" t="str">
        <f>IF(OR(COUNTA(A1047:E1047)=0,D1047=""),"",IFERROR(INDEX(ca_type,MATCH(D1047,ca_name,0))&amp;"",""))</f>
        <v/>
      </c>
      <c r="I1047" s="58" t="str">
        <f>IF(COUNTA(A1047:E1047)=0,"",IF(N(A1047)&lt;=0,"Date manquante ou invalide",IF(B1047="","Équipe manquante",IF(ISNA(MATCH(B1047,eq_code,0)),"Équipe inconnue",IF(C1047="","Poste manquant",IF(ISNA(MATCH(C1047,po_code,0)),"Poste inconnu",IF(D1047="","Cause manquante",IF(ISNA(MATCH(D1047,ca_name,0)),"Cause inconnue",IF(H1047="","Cause à compléter dans Paramètres",IF(OR(NOT(ISNUMBER(E1047)),N(E1047)&lt;=0,N(E1047)&gt;1440),"Durée invalide",IF(COUNTIFS(sj_date,A1047,sj_eq,B1047,sj_po,C1047)=0,"Pas de saisie journalière ce jour-là","OK")))))))))))</f>
        <v/>
      </c>
      <c r="J1047">
        <f>IF(OR(I1047="OK",I1047="Pas de saisie journalière ce jour-là"),E1047,0)</f>
        <v>0.0</v>
      </c>
      <c r="K1047">
        <f>IF(AND(J1047&gt;0,A1047&gt;=p_from,A1047&lt;=p_to),1,0)</f>
        <v>0.0</v>
      </c>
      <c r="L1047">
        <f>IF(AND(K1047=1,OR(pa_po="",C1047=pa_po),OR(pa_eq="",B1047=pa_eq)),1,0)</f>
        <v>0.0</v>
      </c>
    </row>
    <row r="1048">
      <c r="A1048" s="51" t="n"/>
      <c r="B1048" s="52" t="n"/>
      <c r="C1048" s="52" t="n"/>
      <c r="D1048" s="53" t="n"/>
      <c r="E1048" s="60" t="n"/>
      <c r="F1048" s="53" t="n"/>
      <c r="G1048" s="61" t="str">
        <f>IF(OR(COUNTA(A1048:E1048)=0,D1048=""),"",IFERROR(INDEX(ca_fam,MATCH(D1048,ca_name,0))&amp;"",""))</f>
        <v/>
      </c>
      <c r="H1048" s="58" t="str">
        <f>IF(OR(COUNTA(A1048:E1048)=0,D1048=""),"",IFERROR(INDEX(ca_type,MATCH(D1048,ca_name,0))&amp;"",""))</f>
        <v/>
      </c>
      <c r="I1048" s="58" t="str">
        <f>IF(COUNTA(A1048:E1048)=0,"",IF(N(A1048)&lt;=0,"Date manquante ou invalide",IF(B1048="","Équipe manquante",IF(ISNA(MATCH(B1048,eq_code,0)),"Équipe inconnue",IF(C1048="","Poste manquant",IF(ISNA(MATCH(C1048,po_code,0)),"Poste inconnu",IF(D1048="","Cause manquante",IF(ISNA(MATCH(D1048,ca_name,0)),"Cause inconnue",IF(H1048="","Cause à compléter dans Paramètres",IF(OR(NOT(ISNUMBER(E1048)),N(E1048)&lt;=0,N(E1048)&gt;1440),"Durée invalide",IF(COUNTIFS(sj_date,A1048,sj_eq,B1048,sj_po,C1048)=0,"Pas de saisie journalière ce jour-là","OK")))))))))))</f>
        <v/>
      </c>
      <c r="J1048">
        <f>IF(OR(I1048="OK",I1048="Pas de saisie journalière ce jour-là"),E1048,0)</f>
        <v>0.0</v>
      </c>
      <c r="K1048">
        <f>IF(AND(J1048&gt;0,A1048&gt;=p_from,A1048&lt;=p_to),1,0)</f>
        <v>0.0</v>
      </c>
      <c r="L1048">
        <f>IF(AND(K1048=1,OR(pa_po="",C1048=pa_po),OR(pa_eq="",B1048=pa_eq)),1,0)</f>
        <v>0.0</v>
      </c>
    </row>
    <row r="1049">
      <c r="A1049" s="51" t="n"/>
      <c r="B1049" s="52" t="n"/>
      <c r="C1049" s="52" t="n"/>
      <c r="D1049" s="53" t="n"/>
      <c r="E1049" s="60" t="n"/>
      <c r="F1049" s="53" t="n"/>
      <c r="G1049" s="61" t="str">
        <f>IF(OR(COUNTA(A1049:E1049)=0,D1049=""),"",IFERROR(INDEX(ca_fam,MATCH(D1049,ca_name,0))&amp;"",""))</f>
        <v/>
      </c>
      <c r="H1049" s="58" t="str">
        <f>IF(OR(COUNTA(A1049:E1049)=0,D1049=""),"",IFERROR(INDEX(ca_type,MATCH(D1049,ca_name,0))&amp;"",""))</f>
        <v/>
      </c>
      <c r="I1049" s="58" t="str">
        <f>IF(COUNTA(A1049:E1049)=0,"",IF(N(A1049)&lt;=0,"Date manquante ou invalide",IF(B1049="","Équipe manquante",IF(ISNA(MATCH(B1049,eq_code,0)),"Équipe inconnue",IF(C1049="","Poste manquant",IF(ISNA(MATCH(C1049,po_code,0)),"Poste inconnu",IF(D1049="","Cause manquante",IF(ISNA(MATCH(D1049,ca_name,0)),"Cause inconnue",IF(H1049="","Cause à compléter dans Paramètres",IF(OR(NOT(ISNUMBER(E1049)),N(E1049)&lt;=0,N(E1049)&gt;1440),"Durée invalide",IF(COUNTIFS(sj_date,A1049,sj_eq,B1049,sj_po,C1049)=0,"Pas de saisie journalière ce jour-là","OK")))))))))))</f>
        <v/>
      </c>
      <c r="J1049">
        <f>IF(OR(I1049="OK",I1049="Pas de saisie journalière ce jour-là"),E1049,0)</f>
        <v>0.0</v>
      </c>
      <c r="K1049">
        <f>IF(AND(J1049&gt;0,A1049&gt;=p_from,A1049&lt;=p_to),1,0)</f>
        <v>0.0</v>
      </c>
      <c r="L1049">
        <f>IF(AND(K1049=1,OR(pa_po="",C1049=pa_po),OR(pa_eq="",B1049=pa_eq)),1,0)</f>
        <v>0.0</v>
      </c>
    </row>
    <row r="1050">
      <c r="A1050" s="51" t="n"/>
      <c r="B1050" s="52" t="n"/>
      <c r="C1050" s="52" t="n"/>
      <c r="D1050" s="53" t="n"/>
      <c r="E1050" s="60" t="n"/>
      <c r="F1050" s="53" t="n"/>
      <c r="G1050" s="61" t="str">
        <f>IF(OR(COUNTA(A1050:E1050)=0,D1050=""),"",IFERROR(INDEX(ca_fam,MATCH(D1050,ca_name,0))&amp;"",""))</f>
        <v/>
      </c>
      <c r="H1050" s="58" t="str">
        <f>IF(OR(COUNTA(A1050:E1050)=0,D1050=""),"",IFERROR(INDEX(ca_type,MATCH(D1050,ca_name,0))&amp;"",""))</f>
        <v/>
      </c>
      <c r="I1050" s="58" t="str">
        <f>IF(COUNTA(A1050:E1050)=0,"",IF(N(A1050)&lt;=0,"Date manquante ou invalide",IF(B1050="","Équipe manquante",IF(ISNA(MATCH(B1050,eq_code,0)),"Équipe inconnue",IF(C1050="","Poste manquant",IF(ISNA(MATCH(C1050,po_code,0)),"Poste inconnu",IF(D1050="","Cause manquante",IF(ISNA(MATCH(D1050,ca_name,0)),"Cause inconnue",IF(H1050="","Cause à compléter dans Paramètres",IF(OR(NOT(ISNUMBER(E1050)),N(E1050)&lt;=0,N(E1050)&gt;1440),"Durée invalide",IF(COUNTIFS(sj_date,A1050,sj_eq,B1050,sj_po,C1050)=0,"Pas de saisie journalière ce jour-là","OK")))))))))))</f>
        <v/>
      </c>
      <c r="J1050">
        <f>IF(OR(I1050="OK",I1050="Pas de saisie journalière ce jour-là"),E1050,0)</f>
        <v>0.0</v>
      </c>
      <c r="K1050">
        <f>IF(AND(J1050&gt;0,A1050&gt;=p_from,A1050&lt;=p_to),1,0)</f>
        <v>0.0</v>
      </c>
      <c r="L1050">
        <f>IF(AND(K1050=1,OR(pa_po="",C1050=pa_po),OR(pa_eq="",B1050=pa_eq)),1,0)</f>
        <v>0.0</v>
      </c>
    </row>
    <row r="1051">
      <c r="A1051" s="51" t="n"/>
      <c r="B1051" s="52" t="n"/>
      <c r="C1051" s="52" t="n"/>
      <c r="D1051" s="53" t="n"/>
      <c r="E1051" s="60" t="n"/>
      <c r="F1051" s="53" t="n"/>
      <c r="G1051" s="61" t="str">
        <f>IF(OR(COUNTA(A1051:E1051)=0,D1051=""),"",IFERROR(INDEX(ca_fam,MATCH(D1051,ca_name,0))&amp;"",""))</f>
        <v/>
      </c>
      <c r="H1051" s="58" t="str">
        <f>IF(OR(COUNTA(A1051:E1051)=0,D1051=""),"",IFERROR(INDEX(ca_type,MATCH(D1051,ca_name,0))&amp;"",""))</f>
        <v/>
      </c>
      <c r="I1051" s="58" t="str">
        <f>IF(COUNTA(A1051:E1051)=0,"",IF(N(A1051)&lt;=0,"Date manquante ou invalide",IF(B1051="","Équipe manquante",IF(ISNA(MATCH(B1051,eq_code,0)),"Équipe inconnue",IF(C1051="","Poste manquant",IF(ISNA(MATCH(C1051,po_code,0)),"Poste inconnu",IF(D1051="","Cause manquante",IF(ISNA(MATCH(D1051,ca_name,0)),"Cause inconnue",IF(H1051="","Cause à compléter dans Paramètres",IF(OR(NOT(ISNUMBER(E1051)),N(E1051)&lt;=0,N(E1051)&gt;1440),"Durée invalide",IF(COUNTIFS(sj_date,A1051,sj_eq,B1051,sj_po,C1051)=0,"Pas de saisie journalière ce jour-là","OK")))))))))))</f>
        <v/>
      </c>
      <c r="J1051">
        <f>IF(OR(I1051="OK",I1051="Pas de saisie journalière ce jour-là"),E1051,0)</f>
        <v>0.0</v>
      </c>
      <c r="K1051">
        <f>IF(AND(J1051&gt;0,A1051&gt;=p_from,A1051&lt;=p_to),1,0)</f>
        <v>0.0</v>
      </c>
      <c r="L1051">
        <f>IF(AND(K1051=1,OR(pa_po="",C1051=pa_po),OR(pa_eq="",B1051=pa_eq)),1,0)</f>
        <v>0.0</v>
      </c>
    </row>
    <row r="1052">
      <c r="A1052" s="51" t="n"/>
      <c r="B1052" s="52" t="n"/>
      <c r="C1052" s="52" t="n"/>
      <c r="D1052" s="53" t="n"/>
      <c r="E1052" s="60" t="n"/>
      <c r="F1052" s="53" t="n"/>
      <c r="G1052" s="61" t="str">
        <f>IF(OR(COUNTA(A1052:E1052)=0,D1052=""),"",IFERROR(INDEX(ca_fam,MATCH(D1052,ca_name,0))&amp;"",""))</f>
        <v/>
      </c>
      <c r="H1052" s="58" t="str">
        <f>IF(OR(COUNTA(A1052:E1052)=0,D1052=""),"",IFERROR(INDEX(ca_type,MATCH(D1052,ca_name,0))&amp;"",""))</f>
        <v/>
      </c>
      <c r="I1052" s="58" t="str">
        <f>IF(COUNTA(A1052:E1052)=0,"",IF(N(A1052)&lt;=0,"Date manquante ou invalide",IF(B1052="","Équipe manquante",IF(ISNA(MATCH(B1052,eq_code,0)),"Équipe inconnue",IF(C1052="","Poste manquant",IF(ISNA(MATCH(C1052,po_code,0)),"Poste inconnu",IF(D1052="","Cause manquante",IF(ISNA(MATCH(D1052,ca_name,0)),"Cause inconnue",IF(H1052="","Cause à compléter dans Paramètres",IF(OR(NOT(ISNUMBER(E1052)),N(E1052)&lt;=0,N(E1052)&gt;1440),"Durée invalide",IF(COUNTIFS(sj_date,A1052,sj_eq,B1052,sj_po,C1052)=0,"Pas de saisie journalière ce jour-là","OK")))))))))))</f>
        <v/>
      </c>
      <c r="J1052">
        <f>IF(OR(I1052="OK",I1052="Pas de saisie journalière ce jour-là"),E1052,0)</f>
        <v>0.0</v>
      </c>
      <c r="K1052">
        <f>IF(AND(J1052&gt;0,A1052&gt;=p_from,A1052&lt;=p_to),1,0)</f>
        <v>0.0</v>
      </c>
      <c r="L1052">
        <f>IF(AND(K1052=1,OR(pa_po="",C1052=pa_po),OR(pa_eq="",B1052=pa_eq)),1,0)</f>
        <v>0.0</v>
      </c>
    </row>
    <row r="1053">
      <c r="A1053" s="51" t="n"/>
      <c r="B1053" s="52" t="n"/>
      <c r="C1053" s="52" t="n"/>
      <c r="D1053" s="53" t="n"/>
      <c r="E1053" s="60" t="n"/>
      <c r="F1053" s="53" t="n"/>
      <c r="G1053" s="61" t="str">
        <f>IF(OR(COUNTA(A1053:E1053)=0,D1053=""),"",IFERROR(INDEX(ca_fam,MATCH(D1053,ca_name,0))&amp;"",""))</f>
        <v/>
      </c>
      <c r="H1053" s="58" t="str">
        <f>IF(OR(COUNTA(A1053:E1053)=0,D1053=""),"",IFERROR(INDEX(ca_type,MATCH(D1053,ca_name,0))&amp;"",""))</f>
        <v/>
      </c>
      <c r="I1053" s="58" t="str">
        <f>IF(COUNTA(A1053:E1053)=0,"",IF(N(A1053)&lt;=0,"Date manquante ou invalide",IF(B1053="","Équipe manquante",IF(ISNA(MATCH(B1053,eq_code,0)),"Équipe inconnue",IF(C1053="","Poste manquant",IF(ISNA(MATCH(C1053,po_code,0)),"Poste inconnu",IF(D1053="","Cause manquante",IF(ISNA(MATCH(D1053,ca_name,0)),"Cause inconnue",IF(H1053="","Cause à compléter dans Paramètres",IF(OR(NOT(ISNUMBER(E1053)),N(E1053)&lt;=0,N(E1053)&gt;1440),"Durée invalide",IF(COUNTIFS(sj_date,A1053,sj_eq,B1053,sj_po,C1053)=0,"Pas de saisie journalière ce jour-là","OK")))))))))))</f>
        <v/>
      </c>
      <c r="J1053">
        <f>IF(OR(I1053="OK",I1053="Pas de saisie journalière ce jour-là"),E1053,0)</f>
        <v>0.0</v>
      </c>
      <c r="K1053">
        <f>IF(AND(J1053&gt;0,A1053&gt;=p_from,A1053&lt;=p_to),1,0)</f>
        <v>0.0</v>
      </c>
      <c r="L1053">
        <f>IF(AND(K1053=1,OR(pa_po="",C1053=pa_po),OR(pa_eq="",B1053=pa_eq)),1,0)</f>
        <v>0.0</v>
      </c>
    </row>
    <row r="1054">
      <c r="A1054" s="51" t="n"/>
      <c r="B1054" s="52" t="n"/>
      <c r="C1054" s="52" t="n"/>
      <c r="D1054" s="53" t="n"/>
      <c r="E1054" s="60" t="n"/>
      <c r="F1054" s="53" t="n"/>
      <c r="G1054" s="61" t="str">
        <f>IF(OR(COUNTA(A1054:E1054)=0,D1054=""),"",IFERROR(INDEX(ca_fam,MATCH(D1054,ca_name,0))&amp;"",""))</f>
        <v/>
      </c>
      <c r="H1054" s="58" t="str">
        <f>IF(OR(COUNTA(A1054:E1054)=0,D1054=""),"",IFERROR(INDEX(ca_type,MATCH(D1054,ca_name,0))&amp;"",""))</f>
        <v/>
      </c>
      <c r="I1054" s="58" t="str">
        <f>IF(COUNTA(A1054:E1054)=0,"",IF(N(A1054)&lt;=0,"Date manquante ou invalide",IF(B1054="","Équipe manquante",IF(ISNA(MATCH(B1054,eq_code,0)),"Équipe inconnue",IF(C1054="","Poste manquant",IF(ISNA(MATCH(C1054,po_code,0)),"Poste inconnu",IF(D1054="","Cause manquante",IF(ISNA(MATCH(D1054,ca_name,0)),"Cause inconnue",IF(H1054="","Cause à compléter dans Paramètres",IF(OR(NOT(ISNUMBER(E1054)),N(E1054)&lt;=0,N(E1054)&gt;1440),"Durée invalide",IF(COUNTIFS(sj_date,A1054,sj_eq,B1054,sj_po,C1054)=0,"Pas de saisie journalière ce jour-là","OK")))))))))))</f>
        <v/>
      </c>
      <c r="J1054">
        <f>IF(OR(I1054="OK",I1054="Pas de saisie journalière ce jour-là"),E1054,0)</f>
        <v>0.0</v>
      </c>
      <c r="K1054">
        <f>IF(AND(J1054&gt;0,A1054&gt;=p_from,A1054&lt;=p_to),1,0)</f>
        <v>0.0</v>
      </c>
      <c r="L1054">
        <f>IF(AND(K1054=1,OR(pa_po="",C1054=pa_po),OR(pa_eq="",B1054=pa_eq)),1,0)</f>
        <v>0.0</v>
      </c>
    </row>
    <row r="1055">
      <c r="A1055" s="51" t="n"/>
      <c r="B1055" s="52" t="n"/>
      <c r="C1055" s="52" t="n"/>
      <c r="D1055" s="53" t="n"/>
      <c r="E1055" s="60" t="n"/>
      <c r="F1055" s="53" t="n"/>
      <c r="G1055" s="61" t="str">
        <f>IF(OR(COUNTA(A1055:E1055)=0,D1055=""),"",IFERROR(INDEX(ca_fam,MATCH(D1055,ca_name,0))&amp;"",""))</f>
        <v/>
      </c>
      <c r="H1055" s="58" t="str">
        <f>IF(OR(COUNTA(A1055:E1055)=0,D1055=""),"",IFERROR(INDEX(ca_type,MATCH(D1055,ca_name,0))&amp;"",""))</f>
        <v/>
      </c>
      <c r="I1055" s="58" t="str">
        <f>IF(COUNTA(A1055:E1055)=0,"",IF(N(A1055)&lt;=0,"Date manquante ou invalide",IF(B1055="","Équipe manquante",IF(ISNA(MATCH(B1055,eq_code,0)),"Équipe inconnue",IF(C1055="","Poste manquant",IF(ISNA(MATCH(C1055,po_code,0)),"Poste inconnu",IF(D1055="","Cause manquante",IF(ISNA(MATCH(D1055,ca_name,0)),"Cause inconnue",IF(H1055="","Cause à compléter dans Paramètres",IF(OR(NOT(ISNUMBER(E1055)),N(E1055)&lt;=0,N(E1055)&gt;1440),"Durée invalide",IF(COUNTIFS(sj_date,A1055,sj_eq,B1055,sj_po,C1055)=0,"Pas de saisie journalière ce jour-là","OK")))))))))))</f>
        <v/>
      </c>
      <c r="J1055">
        <f>IF(OR(I1055="OK",I1055="Pas de saisie journalière ce jour-là"),E1055,0)</f>
        <v>0.0</v>
      </c>
      <c r="K1055">
        <f>IF(AND(J1055&gt;0,A1055&gt;=p_from,A1055&lt;=p_to),1,0)</f>
        <v>0.0</v>
      </c>
      <c r="L1055">
        <f>IF(AND(K1055=1,OR(pa_po="",C1055=pa_po),OR(pa_eq="",B1055=pa_eq)),1,0)</f>
        <v>0.0</v>
      </c>
    </row>
    <row r="1056">
      <c r="A1056" s="51" t="n"/>
      <c r="B1056" s="52" t="n"/>
      <c r="C1056" s="52" t="n"/>
      <c r="D1056" s="53" t="n"/>
      <c r="E1056" s="60" t="n"/>
      <c r="F1056" s="53" t="n"/>
      <c r="G1056" s="61" t="str">
        <f>IF(OR(COUNTA(A1056:E1056)=0,D1056=""),"",IFERROR(INDEX(ca_fam,MATCH(D1056,ca_name,0))&amp;"",""))</f>
        <v/>
      </c>
      <c r="H1056" s="58" t="str">
        <f>IF(OR(COUNTA(A1056:E1056)=0,D1056=""),"",IFERROR(INDEX(ca_type,MATCH(D1056,ca_name,0))&amp;"",""))</f>
        <v/>
      </c>
      <c r="I1056" s="58" t="str">
        <f>IF(COUNTA(A1056:E1056)=0,"",IF(N(A1056)&lt;=0,"Date manquante ou invalide",IF(B1056="","Équipe manquante",IF(ISNA(MATCH(B1056,eq_code,0)),"Équipe inconnue",IF(C1056="","Poste manquant",IF(ISNA(MATCH(C1056,po_code,0)),"Poste inconnu",IF(D1056="","Cause manquante",IF(ISNA(MATCH(D1056,ca_name,0)),"Cause inconnue",IF(H1056="","Cause à compléter dans Paramètres",IF(OR(NOT(ISNUMBER(E1056)),N(E1056)&lt;=0,N(E1056)&gt;1440),"Durée invalide",IF(COUNTIFS(sj_date,A1056,sj_eq,B1056,sj_po,C1056)=0,"Pas de saisie journalière ce jour-là","OK")))))))))))</f>
        <v/>
      </c>
      <c r="J1056">
        <f>IF(OR(I1056="OK",I1056="Pas de saisie journalière ce jour-là"),E1056,0)</f>
        <v>0.0</v>
      </c>
      <c r="K1056">
        <f>IF(AND(J1056&gt;0,A1056&gt;=p_from,A1056&lt;=p_to),1,0)</f>
        <v>0.0</v>
      </c>
      <c r="L1056">
        <f>IF(AND(K1056=1,OR(pa_po="",C1056=pa_po),OR(pa_eq="",B1056=pa_eq)),1,0)</f>
        <v>0.0</v>
      </c>
    </row>
    <row r="1057">
      <c r="A1057" s="51" t="n"/>
      <c r="B1057" s="52" t="n"/>
      <c r="C1057" s="52" t="n"/>
      <c r="D1057" s="53" t="n"/>
      <c r="E1057" s="60" t="n"/>
      <c r="F1057" s="53" t="n"/>
      <c r="G1057" s="61" t="str">
        <f>IF(OR(COUNTA(A1057:E1057)=0,D1057=""),"",IFERROR(INDEX(ca_fam,MATCH(D1057,ca_name,0))&amp;"",""))</f>
        <v/>
      </c>
      <c r="H1057" s="58" t="str">
        <f>IF(OR(COUNTA(A1057:E1057)=0,D1057=""),"",IFERROR(INDEX(ca_type,MATCH(D1057,ca_name,0))&amp;"",""))</f>
        <v/>
      </c>
      <c r="I1057" s="58" t="str">
        <f>IF(COUNTA(A1057:E1057)=0,"",IF(N(A1057)&lt;=0,"Date manquante ou invalide",IF(B1057="","Équipe manquante",IF(ISNA(MATCH(B1057,eq_code,0)),"Équipe inconnue",IF(C1057="","Poste manquant",IF(ISNA(MATCH(C1057,po_code,0)),"Poste inconnu",IF(D1057="","Cause manquante",IF(ISNA(MATCH(D1057,ca_name,0)),"Cause inconnue",IF(H1057="","Cause à compléter dans Paramètres",IF(OR(NOT(ISNUMBER(E1057)),N(E1057)&lt;=0,N(E1057)&gt;1440),"Durée invalide",IF(COUNTIFS(sj_date,A1057,sj_eq,B1057,sj_po,C1057)=0,"Pas de saisie journalière ce jour-là","OK")))))))))))</f>
        <v/>
      </c>
      <c r="J1057">
        <f>IF(OR(I1057="OK",I1057="Pas de saisie journalière ce jour-là"),E1057,0)</f>
        <v>0.0</v>
      </c>
      <c r="K1057">
        <f>IF(AND(J1057&gt;0,A1057&gt;=p_from,A1057&lt;=p_to),1,0)</f>
        <v>0.0</v>
      </c>
      <c r="L1057">
        <f>IF(AND(K1057=1,OR(pa_po="",C1057=pa_po),OR(pa_eq="",B1057=pa_eq)),1,0)</f>
        <v>0.0</v>
      </c>
    </row>
    <row r="1058">
      <c r="A1058" s="51" t="n"/>
      <c r="B1058" s="52" t="n"/>
      <c r="C1058" s="52" t="n"/>
      <c r="D1058" s="53" t="n"/>
      <c r="E1058" s="60" t="n"/>
      <c r="F1058" s="53" t="n"/>
      <c r="G1058" s="61" t="str">
        <f>IF(OR(COUNTA(A1058:E1058)=0,D1058=""),"",IFERROR(INDEX(ca_fam,MATCH(D1058,ca_name,0))&amp;"",""))</f>
        <v/>
      </c>
      <c r="H1058" s="58" t="str">
        <f>IF(OR(COUNTA(A1058:E1058)=0,D1058=""),"",IFERROR(INDEX(ca_type,MATCH(D1058,ca_name,0))&amp;"",""))</f>
        <v/>
      </c>
      <c r="I1058" s="58" t="str">
        <f>IF(COUNTA(A1058:E1058)=0,"",IF(N(A1058)&lt;=0,"Date manquante ou invalide",IF(B1058="","Équipe manquante",IF(ISNA(MATCH(B1058,eq_code,0)),"Équipe inconnue",IF(C1058="","Poste manquant",IF(ISNA(MATCH(C1058,po_code,0)),"Poste inconnu",IF(D1058="","Cause manquante",IF(ISNA(MATCH(D1058,ca_name,0)),"Cause inconnue",IF(H1058="","Cause à compléter dans Paramètres",IF(OR(NOT(ISNUMBER(E1058)),N(E1058)&lt;=0,N(E1058)&gt;1440),"Durée invalide",IF(COUNTIFS(sj_date,A1058,sj_eq,B1058,sj_po,C1058)=0,"Pas de saisie journalière ce jour-là","OK")))))))))))</f>
        <v/>
      </c>
      <c r="J1058">
        <f>IF(OR(I1058="OK",I1058="Pas de saisie journalière ce jour-là"),E1058,0)</f>
        <v>0.0</v>
      </c>
      <c r="K1058">
        <f>IF(AND(J1058&gt;0,A1058&gt;=p_from,A1058&lt;=p_to),1,0)</f>
        <v>0.0</v>
      </c>
      <c r="L1058">
        <f>IF(AND(K1058=1,OR(pa_po="",C1058=pa_po),OR(pa_eq="",B1058=pa_eq)),1,0)</f>
        <v>0.0</v>
      </c>
    </row>
    <row r="1059">
      <c r="A1059" s="51" t="n"/>
      <c r="B1059" s="52" t="n"/>
      <c r="C1059" s="52" t="n"/>
      <c r="D1059" s="53" t="n"/>
      <c r="E1059" s="60" t="n"/>
      <c r="F1059" s="53" t="n"/>
      <c r="G1059" s="61" t="str">
        <f>IF(OR(COUNTA(A1059:E1059)=0,D1059=""),"",IFERROR(INDEX(ca_fam,MATCH(D1059,ca_name,0))&amp;"",""))</f>
        <v/>
      </c>
      <c r="H1059" s="58" t="str">
        <f>IF(OR(COUNTA(A1059:E1059)=0,D1059=""),"",IFERROR(INDEX(ca_type,MATCH(D1059,ca_name,0))&amp;"",""))</f>
        <v/>
      </c>
      <c r="I1059" s="58" t="str">
        <f>IF(COUNTA(A1059:E1059)=0,"",IF(N(A1059)&lt;=0,"Date manquante ou invalide",IF(B1059="","Équipe manquante",IF(ISNA(MATCH(B1059,eq_code,0)),"Équipe inconnue",IF(C1059="","Poste manquant",IF(ISNA(MATCH(C1059,po_code,0)),"Poste inconnu",IF(D1059="","Cause manquante",IF(ISNA(MATCH(D1059,ca_name,0)),"Cause inconnue",IF(H1059="","Cause à compléter dans Paramètres",IF(OR(NOT(ISNUMBER(E1059)),N(E1059)&lt;=0,N(E1059)&gt;1440),"Durée invalide",IF(COUNTIFS(sj_date,A1059,sj_eq,B1059,sj_po,C1059)=0,"Pas de saisie journalière ce jour-là","OK")))))))))))</f>
        <v/>
      </c>
      <c r="J1059">
        <f>IF(OR(I1059="OK",I1059="Pas de saisie journalière ce jour-là"),E1059,0)</f>
        <v>0.0</v>
      </c>
      <c r="K1059">
        <f>IF(AND(J1059&gt;0,A1059&gt;=p_from,A1059&lt;=p_to),1,0)</f>
        <v>0.0</v>
      </c>
      <c r="L1059">
        <f>IF(AND(K1059=1,OR(pa_po="",C1059=pa_po),OR(pa_eq="",B1059=pa_eq)),1,0)</f>
        <v>0.0</v>
      </c>
    </row>
    <row r="1060">
      <c r="A1060" s="51" t="n"/>
      <c r="B1060" s="52" t="n"/>
      <c r="C1060" s="52" t="n"/>
      <c r="D1060" s="53" t="n"/>
      <c r="E1060" s="60" t="n"/>
      <c r="F1060" s="53" t="n"/>
      <c r="G1060" s="61" t="str">
        <f>IF(OR(COUNTA(A1060:E1060)=0,D1060=""),"",IFERROR(INDEX(ca_fam,MATCH(D1060,ca_name,0))&amp;"",""))</f>
        <v/>
      </c>
      <c r="H1060" s="58" t="str">
        <f>IF(OR(COUNTA(A1060:E1060)=0,D1060=""),"",IFERROR(INDEX(ca_type,MATCH(D1060,ca_name,0))&amp;"",""))</f>
        <v/>
      </c>
      <c r="I1060" s="58" t="str">
        <f>IF(COUNTA(A1060:E1060)=0,"",IF(N(A1060)&lt;=0,"Date manquante ou invalide",IF(B1060="","Équipe manquante",IF(ISNA(MATCH(B1060,eq_code,0)),"Équipe inconnue",IF(C1060="","Poste manquant",IF(ISNA(MATCH(C1060,po_code,0)),"Poste inconnu",IF(D1060="","Cause manquante",IF(ISNA(MATCH(D1060,ca_name,0)),"Cause inconnue",IF(H1060="","Cause à compléter dans Paramètres",IF(OR(NOT(ISNUMBER(E1060)),N(E1060)&lt;=0,N(E1060)&gt;1440),"Durée invalide",IF(COUNTIFS(sj_date,A1060,sj_eq,B1060,sj_po,C1060)=0,"Pas de saisie journalière ce jour-là","OK")))))))))))</f>
        <v/>
      </c>
      <c r="J1060">
        <f>IF(OR(I1060="OK",I1060="Pas de saisie journalière ce jour-là"),E1060,0)</f>
        <v>0.0</v>
      </c>
      <c r="K1060">
        <f>IF(AND(J1060&gt;0,A1060&gt;=p_from,A1060&lt;=p_to),1,0)</f>
        <v>0.0</v>
      </c>
      <c r="L1060">
        <f>IF(AND(K1060=1,OR(pa_po="",C1060=pa_po),OR(pa_eq="",B1060=pa_eq)),1,0)</f>
        <v>0.0</v>
      </c>
    </row>
    <row r="1061">
      <c r="A1061" s="51" t="n"/>
      <c r="B1061" s="52" t="n"/>
      <c r="C1061" s="52" t="n"/>
      <c r="D1061" s="53" t="n"/>
      <c r="E1061" s="60" t="n"/>
      <c r="F1061" s="53" t="n"/>
      <c r="G1061" s="61" t="str">
        <f>IF(OR(COUNTA(A1061:E1061)=0,D1061=""),"",IFERROR(INDEX(ca_fam,MATCH(D1061,ca_name,0))&amp;"",""))</f>
        <v/>
      </c>
      <c r="H1061" s="58" t="str">
        <f>IF(OR(COUNTA(A1061:E1061)=0,D1061=""),"",IFERROR(INDEX(ca_type,MATCH(D1061,ca_name,0))&amp;"",""))</f>
        <v/>
      </c>
      <c r="I1061" s="58" t="str">
        <f>IF(COUNTA(A1061:E1061)=0,"",IF(N(A1061)&lt;=0,"Date manquante ou invalide",IF(B1061="","Équipe manquante",IF(ISNA(MATCH(B1061,eq_code,0)),"Équipe inconnue",IF(C1061="","Poste manquant",IF(ISNA(MATCH(C1061,po_code,0)),"Poste inconnu",IF(D1061="","Cause manquante",IF(ISNA(MATCH(D1061,ca_name,0)),"Cause inconnue",IF(H1061="","Cause à compléter dans Paramètres",IF(OR(NOT(ISNUMBER(E1061)),N(E1061)&lt;=0,N(E1061)&gt;1440),"Durée invalide",IF(COUNTIFS(sj_date,A1061,sj_eq,B1061,sj_po,C1061)=0,"Pas de saisie journalière ce jour-là","OK")))))))))))</f>
        <v/>
      </c>
      <c r="J1061">
        <f>IF(OR(I1061="OK",I1061="Pas de saisie journalière ce jour-là"),E1061,0)</f>
        <v>0.0</v>
      </c>
      <c r="K1061">
        <f>IF(AND(J1061&gt;0,A1061&gt;=p_from,A1061&lt;=p_to),1,0)</f>
        <v>0.0</v>
      </c>
      <c r="L1061">
        <f>IF(AND(K1061=1,OR(pa_po="",C1061=pa_po),OR(pa_eq="",B1061=pa_eq)),1,0)</f>
        <v>0.0</v>
      </c>
    </row>
    <row r="1062">
      <c r="A1062" s="51" t="n"/>
      <c r="B1062" s="52" t="n"/>
      <c r="C1062" s="52" t="n"/>
      <c r="D1062" s="53" t="n"/>
      <c r="E1062" s="60" t="n"/>
      <c r="F1062" s="53" t="n"/>
      <c r="G1062" s="61" t="str">
        <f>IF(OR(COUNTA(A1062:E1062)=0,D1062=""),"",IFERROR(INDEX(ca_fam,MATCH(D1062,ca_name,0))&amp;"",""))</f>
        <v/>
      </c>
      <c r="H1062" s="58" t="str">
        <f>IF(OR(COUNTA(A1062:E1062)=0,D1062=""),"",IFERROR(INDEX(ca_type,MATCH(D1062,ca_name,0))&amp;"",""))</f>
        <v/>
      </c>
      <c r="I1062" s="58" t="str">
        <f>IF(COUNTA(A1062:E1062)=0,"",IF(N(A1062)&lt;=0,"Date manquante ou invalide",IF(B1062="","Équipe manquante",IF(ISNA(MATCH(B1062,eq_code,0)),"Équipe inconnue",IF(C1062="","Poste manquant",IF(ISNA(MATCH(C1062,po_code,0)),"Poste inconnu",IF(D1062="","Cause manquante",IF(ISNA(MATCH(D1062,ca_name,0)),"Cause inconnue",IF(H1062="","Cause à compléter dans Paramètres",IF(OR(NOT(ISNUMBER(E1062)),N(E1062)&lt;=0,N(E1062)&gt;1440),"Durée invalide",IF(COUNTIFS(sj_date,A1062,sj_eq,B1062,sj_po,C1062)=0,"Pas de saisie journalière ce jour-là","OK")))))))))))</f>
        <v/>
      </c>
      <c r="J1062">
        <f>IF(OR(I1062="OK",I1062="Pas de saisie journalière ce jour-là"),E1062,0)</f>
        <v>0.0</v>
      </c>
      <c r="K1062">
        <f>IF(AND(J1062&gt;0,A1062&gt;=p_from,A1062&lt;=p_to),1,0)</f>
        <v>0.0</v>
      </c>
      <c r="L1062">
        <f>IF(AND(K1062=1,OR(pa_po="",C1062=pa_po),OR(pa_eq="",B1062=pa_eq)),1,0)</f>
        <v>0.0</v>
      </c>
    </row>
    <row r="1063">
      <c r="A1063" s="51" t="n"/>
      <c r="B1063" s="52" t="n"/>
      <c r="C1063" s="52" t="n"/>
      <c r="D1063" s="53" t="n"/>
      <c r="E1063" s="60" t="n"/>
      <c r="F1063" s="53" t="n"/>
      <c r="G1063" s="61" t="str">
        <f>IF(OR(COUNTA(A1063:E1063)=0,D1063=""),"",IFERROR(INDEX(ca_fam,MATCH(D1063,ca_name,0))&amp;"",""))</f>
        <v/>
      </c>
      <c r="H1063" s="58" t="str">
        <f>IF(OR(COUNTA(A1063:E1063)=0,D1063=""),"",IFERROR(INDEX(ca_type,MATCH(D1063,ca_name,0))&amp;"",""))</f>
        <v/>
      </c>
      <c r="I1063" s="58" t="str">
        <f>IF(COUNTA(A1063:E1063)=0,"",IF(N(A1063)&lt;=0,"Date manquante ou invalide",IF(B1063="","Équipe manquante",IF(ISNA(MATCH(B1063,eq_code,0)),"Équipe inconnue",IF(C1063="","Poste manquant",IF(ISNA(MATCH(C1063,po_code,0)),"Poste inconnu",IF(D1063="","Cause manquante",IF(ISNA(MATCH(D1063,ca_name,0)),"Cause inconnue",IF(H1063="","Cause à compléter dans Paramètres",IF(OR(NOT(ISNUMBER(E1063)),N(E1063)&lt;=0,N(E1063)&gt;1440),"Durée invalide",IF(COUNTIFS(sj_date,A1063,sj_eq,B1063,sj_po,C1063)=0,"Pas de saisie journalière ce jour-là","OK")))))))))))</f>
        <v/>
      </c>
      <c r="J1063">
        <f>IF(OR(I1063="OK",I1063="Pas de saisie journalière ce jour-là"),E1063,0)</f>
        <v>0.0</v>
      </c>
      <c r="K1063">
        <f>IF(AND(J1063&gt;0,A1063&gt;=p_from,A1063&lt;=p_to),1,0)</f>
        <v>0.0</v>
      </c>
      <c r="L1063">
        <f>IF(AND(K1063=1,OR(pa_po="",C1063=pa_po),OR(pa_eq="",B1063=pa_eq)),1,0)</f>
        <v>0.0</v>
      </c>
    </row>
    <row r="1064">
      <c r="A1064" s="51" t="n"/>
      <c r="B1064" s="52" t="n"/>
      <c r="C1064" s="52" t="n"/>
      <c r="D1064" s="53" t="n"/>
      <c r="E1064" s="60" t="n"/>
      <c r="F1064" s="53" t="n"/>
      <c r="G1064" s="61" t="str">
        <f>IF(OR(COUNTA(A1064:E1064)=0,D1064=""),"",IFERROR(INDEX(ca_fam,MATCH(D1064,ca_name,0))&amp;"",""))</f>
        <v/>
      </c>
      <c r="H1064" s="58" t="str">
        <f>IF(OR(COUNTA(A1064:E1064)=0,D1064=""),"",IFERROR(INDEX(ca_type,MATCH(D1064,ca_name,0))&amp;"",""))</f>
        <v/>
      </c>
      <c r="I1064" s="58" t="str">
        <f>IF(COUNTA(A1064:E1064)=0,"",IF(N(A1064)&lt;=0,"Date manquante ou invalide",IF(B1064="","Équipe manquante",IF(ISNA(MATCH(B1064,eq_code,0)),"Équipe inconnue",IF(C1064="","Poste manquant",IF(ISNA(MATCH(C1064,po_code,0)),"Poste inconnu",IF(D1064="","Cause manquante",IF(ISNA(MATCH(D1064,ca_name,0)),"Cause inconnue",IF(H1064="","Cause à compléter dans Paramètres",IF(OR(NOT(ISNUMBER(E1064)),N(E1064)&lt;=0,N(E1064)&gt;1440),"Durée invalide",IF(COUNTIFS(sj_date,A1064,sj_eq,B1064,sj_po,C1064)=0,"Pas de saisie journalière ce jour-là","OK")))))))))))</f>
        <v/>
      </c>
      <c r="J1064">
        <f>IF(OR(I1064="OK",I1064="Pas de saisie journalière ce jour-là"),E1064,0)</f>
        <v>0.0</v>
      </c>
      <c r="K1064">
        <f>IF(AND(J1064&gt;0,A1064&gt;=p_from,A1064&lt;=p_to),1,0)</f>
        <v>0.0</v>
      </c>
      <c r="L1064">
        <f>IF(AND(K1064=1,OR(pa_po="",C1064=pa_po),OR(pa_eq="",B1064=pa_eq)),1,0)</f>
        <v>0.0</v>
      </c>
    </row>
    <row r="1065">
      <c r="A1065" s="51" t="n"/>
      <c r="B1065" s="52" t="n"/>
      <c r="C1065" s="52" t="n"/>
      <c r="D1065" s="53" t="n"/>
      <c r="E1065" s="60" t="n"/>
      <c r="F1065" s="53" t="n"/>
      <c r="G1065" s="61" t="str">
        <f>IF(OR(COUNTA(A1065:E1065)=0,D1065=""),"",IFERROR(INDEX(ca_fam,MATCH(D1065,ca_name,0))&amp;"",""))</f>
        <v/>
      </c>
      <c r="H1065" s="58" t="str">
        <f>IF(OR(COUNTA(A1065:E1065)=0,D1065=""),"",IFERROR(INDEX(ca_type,MATCH(D1065,ca_name,0))&amp;"",""))</f>
        <v/>
      </c>
      <c r="I1065" s="58" t="str">
        <f>IF(COUNTA(A1065:E1065)=0,"",IF(N(A1065)&lt;=0,"Date manquante ou invalide",IF(B1065="","Équipe manquante",IF(ISNA(MATCH(B1065,eq_code,0)),"Équipe inconnue",IF(C1065="","Poste manquant",IF(ISNA(MATCH(C1065,po_code,0)),"Poste inconnu",IF(D1065="","Cause manquante",IF(ISNA(MATCH(D1065,ca_name,0)),"Cause inconnue",IF(H1065="","Cause à compléter dans Paramètres",IF(OR(NOT(ISNUMBER(E1065)),N(E1065)&lt;=0,N(E1065)&gt;1440),"Durée invalide",IF(COUNTIFS(sj_date,A1065,sj_eq,B1065,sj_po,C1065)=0,"Pas de saisie journalière ce jour-là","OK")))))))))))</f>
        <v/>
      </c>
      <c r="J1065">
        <f>IF(OR(I1065="OK",I1065="Pas de saisie journalière ce jour-là"),E1065,0)</f>
        <v>0.0</v>
      </c>
      <c r="K1065">
        <f>IF(AND(J1065&gt;0,A1065&gt;=p_from,A1065&lt;=p_to),1,0)</f>
        <v>0.0</v>
      </c>
      <c r="L1065">
        <f>IF(AND(K1065=1,OR(pa_po="",C1065=pa_po),OR(pa_eq="",B1065=pa_eq)),1,0)</f>
        <v>0.0</v>
      </c>
    </row>
    <row r="1066">
      <c r="A1066" s="51" t="n"/>
      <c r="B1066" s="52" t="n"/>
      <c r="C1066" s="52" t="n"/>
      <c r="D1066" s="53" t="n"/>
      <c r="E1066" s="60" t="n"/>
      <c r="F1066" s="53" t="n"/>
      <c r="G1066" s="61" t="str">
        <f>IF(OR(COUNTA(A1066:E1066)=0,D1066=""),"",IFERROR(INDEX(ca_fam,MATCH(D1066,ca_name,0))&amp;"",""))</f>
        <v/>
      </c>
      <c r="H1066" s="58" t="str">
        <f>IF(OR(COUNTA(A1066:E1066)=0,D1066=""),"",IFERROR(INDEX(ca_type,MATCH(D1066,ca_name,0))&amp;"",""))</f>
        <v/>
      </c>
      <c r="I1066" s="58" t="str">
        <f>IF(COUNTA(A1066:E1066)=0,"",IF(N(A1066)&lt;=0,"Date manquante ou invalide",IF(B1066="","Équipe manquante",IF(ISNA(MATCH(B1066,eq_code,0)),"Équipe inconnue",IF(C1066="","Poste manquant",IF(ISNA(MATCH(C1066,po_code,0)),"Poste inconnu",IF(D1066="","Cause manquante",IF(ISNA(MATCH(D1066,ca_name,0)),"Cause inconnue",IF(H1066="","Cause à compléter dans Paramètres",IF(OR(NOT(ISNUMBER(E1066)),N(E1066)&lt;=0,N(E1066)&gt;1440),"Durée invalide",IF(COUNTIFS(sj_date,A1066,sj_eq,B1066,sj_po,C1066)=0,"Pas de saisie journalière ce jour-là","OK")))))))))))</f>
        <v/>
      </c>
      <c r="J1066">
        <f>IF(OR(I1066="OK",I1066="Pas de saisie journalière ce jour-là"),E1066,0)</f>
        <v>0.0</v>
      </c>
      <c r="K1066">
        <f>IF(AND(J1066&gt;0,A1066&gt;=p_from,A1066&lt;=p_to),1,0)</f>
        <v>0.0</v>
      </c>
      <c r="L1066">
        <f>IF(AND(K1066=1,OR(pa_po="",C1066=pa_po),OR(pa_eq="",B1066=pa_eq)),1,0)</f>
        <v>0.0</v>
      </c>
    </row>
    <row r="1067">
      <c r="A1067" s="51" t="n"/>
      <c r="B1067" s="52" t="n"/>
      <c r="C1067" s="52" t="n"/>
      <c r="D1067" s="53" t="n"/>
      <c r="E1067" s="60" t="n"/>
      <c r="F1067" s="53" t="n"/>
      <c r="G1067" s="61" t="str">
        <f>IF(OR(COUNTA(A1067:E1067)=0,D1067=""),"",IFERROR(INDEX(ca_fam,MATCH(D1067,ca_name,0))&amp;"",""))</f>
        <v/>
      </c>
      <c r="H1067" s="58" t="str">
        <f>IF(OR(COUNTA(A1067:E1067)=0,D1067=""),"",IFERROR(INDEX(ca_type,MATCH(D1067,ca_name,0))&amp;"",""))</f>
        <v/>
      </c>
      <c r="I1067" s="58" t="str">
        <f>IF(COUNTA(A1067:E1067)=0,"",IF(N(A1067)&lt;=0,"Date manquante ou invalide",IF(B1067="","Équipe manquante",IF(ISNA(MATCH(B1067,eq_code,0)),"Équipe inconnue",IF(C1067="","Poste manquant",IF(ISNA(MATCH(C1067,po_code,0)),"Poste inconnu",IF(D1067="","Cause manquante",IF(ISNA(MATCH(D1067,ca_name,0)),"Cause inconnue",IF(H1067="","Cause à compléter dans Paramètres",IF(OR(NOT(ISNUMBER(E1067)),N(E1067)&lt;=0,N(E1067)&gt;1440),"Durée invalide",IF(COUNTIFS(sj_date,A1067,sj_eq,B1067,sj_po,C1067)=0,"Pas de saisie journalière ce jour-là","OK")))))))))))</f>
        <v/>
      </c>
      <c r="J1067">
        <f>IF(OR(I1067="OK",I1067="Pas de saisie journalière ce jour-là"),E1067,0)</f>
        <v>0.0</v>
      </c>
      <c r="K1067">
        <f>IF(AND(J1067&gt;0,A1067&gt;=p_from,A1067&lt;=p_to),1,0)</f>
        <v>0.0</v>
      </c>
      <c r="L1067">
        <f>IF(AND(K1067=1,OR(pa_po="",C1067=pa_po),OR(pa_eq="",B1067=pa_eq)),1,0)</f>
        <v>0.0</v>
      </c>
    </row>
    <row r="1068">
      <c r="A1068" s="51" t="n"/>
      <c r="B1068" s="52" t="n"/>
      <c r="C1068" s="52" t="n"/>
      <c r="D1068" s="53" t="n"/>
      <c r="E1068" s="60" t="n"/>
      <c r="F1068" s="53" t="n"/>
      <c r="G1068" s="61" t="str">
        <f>IF(OR(COUNTA(A1068:E1068)=0,D1068=""),"",IFERROR(INDEX(ca_fam,MATCH(D1068,ca_name,0))&amp;"",""))</f>
        <v/>
      </c>
      <c r="H1068" s="58" t="str">
        <f>IF(OR(COUNTA(A1068:E1068)=0,D1068=""),"",IFERROR(INDEX(ca_type,MATCH(D1068,ca_name,0))&amp;"",""))</f>
        <v/>
      </c>
      <c r="I1068" s="58" t="str">
        <f>IF(COUNTA(A1068:E1068)=0,"",IF(N(A1068)&lt;=0,"Date manquante ou invalide",IF(B1068="","Équipe manquante",IF(ISNA(MATCH(B1068,eq_code,0)),"Équipe inconnue",IF(C1068="","Poste manquant",IF(ISNA(MATCH(C1068,po_code,0)),"Poste inconnu",IF(D1068="","Cause manquante",IF(ISNA(MATCH(D1068,ca_name,0)),"Cause inconnue",IF(H1068="","Cause à compléter dans Paramètres",IF(OR(NOT(ISNUMBER(E1068)),N(E1068)&lt;=0,N(E1068)&gt;1440),"Durée invalide",IF(COUNTIFS(sj_date,A1068,sj_eq,B1068,sj_po,C1068)=0,"Pas de saisie journalière ce jour-là","OK")))))))))))</f>
        <v/>
      </c>
      <c r="J1068">
        <f>IF(OR(I1068="OK",I1068="Pas de saisie journalière ce jour-là"),E1068,0)</f>
        <v>0.0</v>
      </c>
      <c r="K1068">
        <f>IF(AND(J1068&gt;0,A1068&gt;=p_from,A1068&lt;=p_to),1,0)</f>
        <v>0.0</v>
      </c>
      <c r="L1068">
        <f>IF(AND(K1068=1,OR(pa_po="",C1068=pa_po),OR(pa_eq="",B1068=pa_eq)),1,0)</f>
        <v>0.0</v>
      </c>
    </row>
    <row r="1069">
      <c r="A1069" s="51" t="n"/>
      <c r="B1069" s="52" t="n"/>
      <c r="C1069" s="52" t="n"/>
      <c r="D1069" s="53" t="n"/>
      <c r="E1069" s="60" t="n"/>
      <c r="F1069" s="53" t="n"/>
      <c r="G1069" s="61" t="str">
        <f>IF(OR(COUNTA(A1069:E1069)=0,D1069=""),"",IFERROR(INDEX(ca_fam,MATCH(D1069,ca_name,0))&amp;"",""))</f>
        <v/>
      </c>
      <c r="H1069" s="58" t="str">
        <f>IF(OR(COUNTA(A1069:E1069)=0,D1069=""),"",IFERROR(INDEX(ca_type,MATCH(D1069,ca_name,0))&amp;"",""))</f>
        <v/>
      </c>
      <c r="I1069" s="58" t="str">
        <f>IF(COUNTA(A1069:E1069)=0,"",IF(N(A1069)&lt;=0,"Date manquante ou invalide",IF(B1069="","Équipe manquante",IF(ISNA(MATCH(B1069,eq_code,0)),"Équipe inconnue",IF(C1069="","Poste manquant",IF(ISNA(MATCH(C1069,po_code,0)),"Poste inconnu",IF(D1069="","Cause manquante",IF(ISNA(MATCH(D1069,ca_name,0)),"Cause inconnue",IF(H1069="","Cause à compléter dans Paramètres",IF(OR(NOT(ISNUMBER(E1069)),N(E1069)&lt;=0,N(E1069)&gt;1440),"Durée invalide",IF(COUNTIFS(sj_date,A1069,sj_eq,B1069,sj_po,C1069)=0,"Pas de saisie journalière ce jour-là","OK")))))))))))</f>
        <v/>
      </c>
      <c r="J1069">
        <f>IF(OR(I1069="OK",I1069="Pas de saisie journalière ce jour-là"),E1069,0)</f>
        <v>0.0</v>
      </c>
      <c r="K1069">
        <f>IF(AND(J1069&gt;0,A1069&gt;=p_from,A1069&lt;=p_to),1,0)</f>
        <v>0.0</v>
      </c>
      <c r="L1069">
        <f>IF(AND(K1069=1,OR(pa_po="",C1069=pa_po),OR(pa_eq="",B1069=pa_eq)),1,0)</f>
        <v>0.0</v>
      </c>
    </row>
    <row r="1070">
      <c r="A1070" s="51" t="n"/>
      <c r="B1070" s="52" t="n"/>
      <c r="C1070" s="52" t="n"/>
      <c r="D1070" s="53" t="n"/>
      <c r="E1070" s="60" t="n"/>
      <c r="F1070" s="53" t="n"/>
      <c r="G1070" s="61" t="str">
        <f>IF(OR(COUNTA(A1070:E1070)=0,D1070=""),"",IFERROR(INDEX(ca_fam,MATCH(D1070,ca_name,0))&amp;"",""))</f>
        <v/>
      </c>
      <c r="H1070" s="58" t="str">
        <f>IF(OR(COUNTA(A1070:E1070)=0,D1070=""),"",IFERROR(INDEX(ca_type,MATCH(D1070,ca_name,0))&amp;"",""))</f>
        <v/>
      </c>
      <c r="I1070" s="58" t="str">
        <f>IF(COUNTA(A1070:E1070)=0,"",IF(N(A1070)&lt;=0,"Date manquante ou invalide",IF(B1070="","Équipe manquante",IF(ISNA(MATCH(B1070,eq_code,0)),"Équipe inconnue",IF(C1070="","Poste manquant",IF(ISNA(MATCH(C1070,po_code,0)),"Poste inconnu",IF(D1070="","Cause manquante",IF(ISNA(MATCH(D1070,ca_name,0)),"Cause inconnue",IF(H1070="","Cause à compléter dans Paramètres",IF(OR(NOT(ISNUMBER(E1070)),N(E1070)&lt;=0,N(E1070)&gt;1440),"Durée invalide",IF(COUNTIFS(sj_date,A1070,sj_eq,B1070,sj_po,C1070)=0,"Pas de saisie journalière ce jour-là","OK")))))))))))</f>
        <v/>
      </c>
      <c r="J1070">
        <f>IF(OR(I1070="OK",I1070="Pas de saisie journalière ce jour-là"),E1070,0)</f>
        <v>0.0</v>
      </c>
      <c r="K1070">
        <f>IF(AND(J1070&gt;0,A1070&gt;=p_from,A1070&lt;=p_to),1,0)</f>
        <v>0.0</v>
      </c>
      <c r="L1070">
        <f>IF(AND(K1070=1,OR(pa_po="",C1070=pa_po),OR(pa_eq="",B1070=pa_eq)),1,0)</f>
        <v>0.0</v>
      </c>
    </row>
    <row r="1071">
      <c r="A1071" s="51" t="n"/>
      <c r="B1071" s="52" t="n"/>
      <c r="C1071" s="52" t="n"/>
      <c r="D1071" s="53" t="n"/>
      <c r="E1071" s="60" t="n"/>
      <c r="F1071" s="53" t="n"/>
      <c r="G1071" s="61" t="str">
        <f>IF(OR(COUNTA(A1071:E1071)=0,D1071=""),"",IFERROR(INDEX(ca_fam,MATCH(D1071,ca_name,0))&amp;"",""))</f>
        <v/>
      </c>
      <c r="H1071" s="58" t="str">
        <f>IF(OR(COUNTA(A1071:E1071)=0,D1071=""),"",IFERROR(INDEX(ca_type,MATCH(D1071,ca_name,0))&amp;"",""))</f>
        <v/>
      </c>
      <c r="I1071" s="58" t="str">
        <f>IF(COUNTA(A1071:E1071)=0,"",IF(N(A1071)&lt;=0,"Date manquante ou invalide",IF(B1071="","Équipe manquante",IF(ISNA(MATCH(B1071,eq_code,0)),"Équipe inconnue",IF(C1071="","Poste manquant",IF(ISNA(MATCH(C1071,po_code,0)),"Poste inconnu",IF(D1071="","Cause manquante",IF(ISNA(MATCH(D1071,ca_name,0)),"Cause inconnue",IF(H1071="","Cause à compléter dans Paramètres",IF(OR(NOT(ISNUMBER(E1071)),N(E1071)&lt;=0,N(E1071)&gt;1440),"Durée invalide",IF(COUNTIFS(sj_date,A1071,sj_eq,B1071,sj_po,C1071)=0,"Pas de saisie journalière ce jour-là","OK")))))))))))</f>
        <v/>
      </c>
      <c r="J1071">
        <f>IF(OR(I1071="OK",I1071="Pas de saisie journalière ce jour-là"),E1071,0)</f>
        <v>0.0</v>
      </c>
      <c r="K1071">
        <f>IF(AND(J1071&gt;0,A1071&gt;=p_from,A1071&lt;=p_to),1,0)</f>
        <v>0.0</v>
      </c>
      <c r="L1071">
        <f>IF(AND(K1071=1,OR(pa_po="",C1071=pa_po),OR(pa_eq="",B1071=pa_eq)),1,0)</f>
        <v>0.0</v>
      </c>
    </row>
    <row r="1072">
      <c r="A1072" s="51" t="n"/>
      <c r="B1072" s="52" t="n"/>
      <c r="C1072" s="52" t="n"/>
      <c r="D1072" s="53" t="n"/>
      <c r="E1072" s="60" t="n"/>
      <c r="F1072" s="53" t="n"/>
      <c r="G1072" s="61" t="str">
        <f>IF(OR(COUNTA(A1072:E1072)=0,D1072=""),"",IFERROR(INDEX(ca_fam,MATCH(D1072,ca_name,0))&amp;"",""))</f>
        <v/>
      </c>
      <c r="H1072" s="58" t="str">
        <f>IF(OR(COUNTA(A1072:E1072)=0,D1072=""),"",IFERROR(INDEX(ca_type,MATCH(D1072,ca_name,0))&amp;"",""))</f>
        <v/>
      </c>
      <c r="I1072" s="58" t="str">
        <f>IF(COUNTA(A1072:E1072)=0,"",IF(N(A1072)&lt;=0,"Date manquante ou invalide",IF(B1072="","Équipe manquante",IF(ISNA(MATCH(B1072,eq_code,0)),"Équipe inconnue",IF(C1072="","Poste manquant",IF(ISNA(MATCH(C1072,po_code,0)),"Poste inconnu",IF(D1072="","Cause manquante",IF(ISNA(MATCH(D1072,ca_name,0)),"Cause inconnue",IF(H1072="","Cause à compléter dans Paramètres",IF(OR(NOT(ISNUMBER(E1072)),N(E1072)&lt;=0,N(E1072)&gt;1440),"Durée invalide",IF(COUNTIFS(sj_date,A1072,sj_eq,B1072,sj_po,C1072)=0,"Pas de saisie journalière ce jour-là","OK")))))))))))</f>
        <v/>
      </c>
      <c r="J1072">
        <f>IF(OR(I1072="OK",I1072="Pas de saisie journalière ce jour-là"),E1072,0)</f>
        <v>0.0</v>
      </c>
      <c r="K1072">
        <f>IF(AND(J1072&gt;0,A1072&gt;=p_from,A1072&lt;=p_to),1,0)</f>
        <v>0.0</v>
      </c>
      <c r="L1072">
        <f>IF(AND(K1072=1,OR(pa_po="",C1072=pa_po),OR(pa_eq="",B1072=pa_eq)),1,0)</f>
        <v>0.0</v>
      </c>
    </row>
    <row r="1073">
      <c r="A1073" s="51" t="n"/>
      <c r="B1073" s="52" t="n"/>
      <c r="C1073" s="52" t="n"/>
      <c r="D1073" s="53" t="n"/>
      <c r="E1073" s="60" t="n"/>
      <c r="F1073" s="53" t="n"/>
      <c r="G1073" s="61" t="str">
        <f>IF(OR(COUNTA(A1073:E1073)=0,D1073=""),"",IFERROR(INDEX(ca_fam,MATCH(D1073,ca_name,0))&amp;"",""))</f>
        <v/>
      </c>
      <c r="H1073" s="58" t="str">
        <f>IF(OR(COUNTA(A1073:E1073)=0,D1073=""),"",IFERROR(INDEX(ca_type,MATCH(D1073,ca_name,0))&amp;"",""))</f>
        <v/>
      </c>
      <c r="I1073" s="58" t="str">
        <f>IF(COUNTA(A1073:E1073)=0,"",IF(N(A1073)&lt;=0,"Date manquante ou invalide",IF(B1073="","Équipe manquante",IF(ISNA(MATCH(B1073,eq_code,0)),"Équipe inconnue",IF(C1073="","Poste manquant",IF(ISNA(MATCH(C1073,po_code,0)),"Poste inconnu",IF(D1073="","Cause manquante",IF(ISNA(MATCH(D1073,ca_name,0)),"Cause inconnue",IF(H1073="","Cause à compléter dans Paramètres",IF(OR(NOT(ISNUMBER(E1073)),N(E1073)&lt;=0,N(E1073)&gt;1440),"Durée invalide",IF(COUNTIFS(sj_date,A1073,sj_eq,B1073,sj_po,C1073)=0,"Pas de saisie journalière ce jour-là","OK")))))))))))</f>
        <v/>
      </c>
      <c r="J1073">
        <f>IF(OR(I1073="OK",I1073="Pas de saisie journalière ce jour-là"),E1073,0)</f>
        <v>0.0</v>
      </c>
      <c r="K1073">
        <f>IF(AND(J1073&gt;0,A1073&gt;=p_from,A1073&lt;=p_to),1,0)</f>
        <v>0.0</v>
      </c>
      <c r="L1073">
        <f>IF(AND(K1073=1,OR(pa_po="",C1073=pa_po),OR(pa_eq="",B1073=pa_eq)),1,0)</f>
        <v>0.0</v>
      </c>
    </row>
    <row r="1074">
      <c r="A1074" s="51" t="n"/>
      <c r="B1074" s="52" t="n"/>
      <c r="C1074" s="52" t="n"/>
      <c r="D1074" s="53" t="n"/>
      <c r="E1074" s="60" t="n"/>
      <c r="F1074" s="53" t="n"/>
      <c r="G1074" s="61" t="str">
        <f>IF(OR(COUNTA(A1074:E1074)=0,D1074=""),"",IFERROR(INDEX(ca_fam,MATCH(D1074,ca_name,0))&amp;"",""))</f>
        <v/>
      </c>
      <c r="H1074" s="58" t="str">
        <f>IF(OR(COUNTA(A1074:E1074)=0,D1074=""),"",IFERROR(INDEX(ca_type,MATCH(D1074,ca_name,0))&amp;"",""))</f>
        <v/>
      </c>
      <c r="I1074" s="58" t="str">
        <f>IF(COUNTA(A1074:E1074)=0,"",IF(N(A1074)&lt;=0,"Date manquante ou invalide",IF(B1074="","Équipe manquante",IF(ISNA(MATCH(B1074,eq_code,0)),"Équipe inconnue",IF(C1074="","Poste manquant",IF(ISNA(MATCH(C1074,po_code,0)),"Poste inconnu",IF(D1074="","Cause manquante",IF(ISNA(MATCH(D1074,ca_name,0)),"Cause inconnue",IF(H1074="","Cause à compléter dans Paramètres",IF(OR(NOT(ISNUMBER(E1074)),N(E1074)&lt;=0,N(E1074)&gt;1440),"Durée invalide",IF(COUNTIFS(sj_date,A1074,sj_eq,B1074,sj_po,C1074)=0,"Pas de saisie journalière ce jour-là","OK")))))))))))</f>
        <v/>
      </c>
      <c r="J1074">
        <f>IF(OR(I1074="OK",I1074="Pas de saisie journalière ce jour-là"),E1074,0)</f>
        <v>0.0</v>
      </c>
      <c r="K1074">
        <f>IF(AND(J1074&gt;0,A1074&gt;=p_from,A1074&lt;=p_to),1,0)</f>
        <v>0.0</v>
      </c>
      <c r="L1074">
        <f>IF(AND(K1074=1,OR(pa_po="",C1074=pa_po),OR(pa_eq="",B1074=pa_eq)),1,0)</f>
        <v>0.0</v>
      </c>
    </row>
    <row r="1075">
      <c r="A1075" s="51" t="n"/>
      <c r="B1075" s="52" t="n"/>
      <c r="C1075" s="52" t="n"/>
      <c r="D1075" s="53" t="n"/>
      <c r="E1075" s="60" t="n"/>
      <c r="F1075" s="53" t="n"/>
      <c r="G1075" s="61" t="str">
        <f>IF(OR(COUNTA(A1075:E1075)=0,D1075=""),"",IFERROR(INDEX(ca_fam,MATCH(D1075,ca_name,0))&amp;"",""))</f>
        <v/>
      </c>
      <c r="H1075" s="58" t="str">
        <f>IF(OR(COUNTA(A1075:E1075)=0,D1075=""),"",IFERROR(INDEX(ca_type,MATCH(D1075,ca_name,0))&amp;"",""))</f>
        <v/>
      </c>
      <c r="I1075" s="58" t="str">
        <f>IF(COUNTA(A1075:E1075)=0,"",IF(N(A1075)&lt;=0,"Date manquante ou invalide",IF(B1075="","Équipe manquante",IF(ISNA(MATCH(B1075,eq_code,0)),"Équipe inconnue",IF(C1075="","Poste manquant",IF(ISNA(MATCH(C1075,po_code,0)),"Poste inconnu",IF(D1075="","Cause manquante",IF(ISNA(MATCH(D1075,ca_name,0)),"Cause inconnue",IF(H1075="","Cause à compléter dans Paramètres",IF(OR(NOT(ISNUMBER(E1075)),N(E1075)&lt;=0,N(E1075)&gt;1440),"Durée invalide",IF(COUNTIFS(sj_date,A1075,sj_eq,B1075,sj_po,C1075)=0,"Pas de saisie journalière ce jour-là","OK")))))))))))</f>
        <v/>
      </c>
      <c r="J1075">
        <f>IF(OR(I1075="OK",I1075="Pas de saisie journalière ce jour-là"),E1075,0)</f>
        <v>0.0</v>
      </c>
      <c r="K1075">
        <f>IF(AND(J1075&gt;0,A1075&gt;=p_from,A1075&lt;=p_to),1,0)</f>
        <v>0.0</v>
      </c>
      <c r="L1075">
        <f>IF(AND(K1075=1,OR(pa_po="",C1075=pa_po),OR(pa_eq="",B1075=pa_eq)),1,0)</f>
        <v>0.0</v>
      </c>
    </row>
    <row r="1076">
      <c r="A1076" s="51" t="n"/>
      <c r="B1076" s="52" t="n"/>
      <c r="C1076" s="52" t="n"/>
      <c r="D1076" s="53" t="n"/>
      <c r="E1076" s="60" t="n"/>
      <c r="F1076" s="53" t="n"/>
      <c r="G1076" s="61" t="str">
        <f>IF(OR(COUNTA(A1076:E1076)=0,D1076=""),"",IFERROR(INDEX(ca_fam,MATCH(D1076,ca_name,0))&amp;"",""))</f>
        <v/>
      </c>
      <c r="H1076" s="58" t="str">
        <f>IF(OR(COUNTA(A1076:E1076)=0,D1076=""),"",IFERROR(INDEX(ca_type,MATCH(D1076,ca_name,0))&amp;"",""))</f>
        <v/>
      </c>
      <c r="I1076" s="58" t="str">
        <f>IF(COUNTA(A1076:E1076)=0,"",IF(N(A1076)&lt;=0,"Date manquante ou invalide",IF(B1076="","Équipe manquante",IF(ISNA(MATCH(B1076,eq_code,0)),"Équipe inconnue",IF(C1076="","Poste manquant",IF(ISNA(MATCH(C1076,po_code,0)),"Poste inconnu",IF(D1076="","Cause manquante",IF(ISNA(MATCH(D1076,ca_name,0)),"Cause inconnue",IF(H1076="","Cause à compléter dans Paramètres",IF(OR(NOT(ISNUMBER(E1076)),N(E1076)&lt;=0,N(E1076)&gt;1440),"Durée invalide",IF(COUNTIFS(sj_date,A1076,sj_eq,B1076,sj_po,C1076)=0,"Pas de saisie journalière ce jour-là","OK")))))))))))</f>
        <v/>
      </c>
      <c r="J1076">
        <f>IF(OR(I1076="OK",I1076="Pas de saisie journalière ce jour-là"),E1076,0)</f>
        <v>0.0</v>
      </c>
      <c r="K1076">
        <f>IF(AND(J1076&gt;0,A1076&gt;=p_from,A1076&lt;=p_to),1,0)</f>
        <v>0.0</v>
      </c>
      <c r="L1076">
        <f>IF(AND(K1076=1,OR(pa_po="",C1076=pa_po),OR(pa_eq="",B1076=pa_eq)),1,0)</f>
        <v>0.0</v>
      </c>
    </row>
    <row r="1077">
      <c r="A1077" s="51" t="n"/>
      <c r="B1077" s="52" t="n"/>
      <c r="C1077" s="52" t="n"/>
      <c r="D1077" s="53" t="n"/>
      <c r="E1077" s="60" t="n"/>
      <c r="F1077" s="53" t="n"/>
      <c r="G1077" s="61" t="str">
        <f>IF(OR(COUNTA(A1077:E1077)=0,D1077=""),"",IFERROR(INDEX(ca_fam,MATCH(D1077,ca_name,0))&amp;"",""))</f>
        <v/>
      </c>
      <c r="H1077" s="58" t="str">
        <f>IF(OR(COUNTA(A1077:E1077)=0,D1077=""),"",IFERROR(INDEX(ca_type,MATCH(D1077,ca_name,0))&amp;"",""))</f>
        <v/>
      </c>
      <c r="I1077" s="58" t="str">
        <f>IF(COUNTA(A1077:E1077)=0,"",IF(N(A1077)&lt;=0,"Date manquante ou invalide",IF(B1077="","Équipe manquante",IF(ISNA(MATCH(B1077,eq_code,0)),"Équipe inconnue",IF(C1077="","Poste manquant",IF(ISNA(MATCH(C1077,po_code,0)),"Poste inconnu",IF(D1077="","Cause manquante",IF(ISNA(MATCH(D1077,ca_name,0)),"Cause inconnue",IF(H1077="","Cause à compléter dans Paramètres",IF(OR(NOT(ISNUMBER(E1077)),N(E1077)&lt;=0,N(E1077)&gt;1440),"Durée invalide",IF(COUNTIFS(sj_date,A1077,sj_eq,B1077,sj_po,C1077)=0,"Pas de saisie journalière ce jour-là","OK")))))))))))</f>
        <v/>
      </c>
      <c r="J1077">
        <f>IF(OR(I1077="OK",I1077="Pas de saisie journalière ce jour-là"),E1077,0)</f>
        <v>0.0</v>
      </c>
      <c r="K1077">
        <f>IF(AND(J1077&gt;0,A1077&gt;=p_from,A1077&lt;=p_to),1,0)</f>
        <v>0.0</v>
      </c>
      <c r="L1077">
        <f>IF(AND(K1077=1,OR(pa_po="",C1077=pa_po),OR(pa_eq="",B1077=pa_eq)),1,0)</f>
        <v>0.0</v>
      </c>
    </row>
    <row r="1078">
      <c r="A1078" s="51" t="n"/>
      <c r="B1078" s="52" t="n"/>
      <c r="C1078" s="52" t="n"/>
      <c r="D1078" s="53" t="n"/>
      <c r="E1078" s="60" t="n"/>
      <c r="F1078" s="53" t="n"/>
      <c r="G1078" s="61" t="str">
        <f>IF(OR(COUNTA(A1078:E1078)=0,D1078=""),"",IFERROR(INDEX(ca_fam,MATCH(D1078,ca_name,0))&amp;"",""))</f>
        <v/>
      </c>
      <c r="H1078" s="58" t="str">
        <f>IF(OR(COUNTA(A1078:E1078)=0,D1078=""),"",IFERROR(INDEX(ca_type,MATCH(D1078,ca_name,0))&amp;"",""))</f>
        <v/>
      </c>
      <c r="I1078" s="58" t="str">
        <f>IF(COUNTA(A1078:E1078)=0,"",IF(N(A1078)&lt;=0,"Date manquante ou invalide",IF(B1078="","Équipe manquante",IF(ISNA(MATCH(B1078,eq_code,0)),"Équipe inconnue",IF(C1078="","Poste manquant",IF(ISNA(MATCH(C1078,po_code,0)),"Poste inconnu",IF(D1078="","Cause manquante",IF(ISNA(MATCH(D1078,ca_name,0)),"Cause inconnue",IF(H1078="","Cause à compléter dans Paramètres",IF(OR(NOT(ISNUMBER(E1078)),N(E1078)&lt;=0,N(E1078)&gt;1440),"Durée invalide",IF(COUNTIFS(sj_date,A1078,sj_eq,B1078,sj_po,C1078)=0,"Pas de saisie journalière ce jour-là","OK")))))))))))</f>
        <v/>
      </c>
      <c r="J1078">
        <f>IF(OR(I1078="OK",I1078="Pas de saisie journalière ce jour-là"),E1078,0)</f>
        <v>0.0</v>
      </c>
      <c r="K1078">
        <f>IF(AND(J1078&gt;0,A1078&gt;=p_from,A1078&lt;=p_to),1,0)</f>
        <v>0.0</v>
      </c>
      <c r="L1078">
        <f>IF(AND(K1078=1,OR(pa_po="",C1078=pa_po),OR(pa_eq="",B1078=pa_eq)),1,0)</f>
        <v>0.0</v>
      </c>
    </row>
    <row r="1079">
      <c r="A1079" s="51" t="n"/>
      <c r="B1079" s="52" t="n"/>
      <c r="C1079" s="52" t="n"/>
      <c r="D1079" s="53" t="n"/>
      <c r="E1079" s="60" t="n"/>
      <c r="F1079" s="53" t="n"/>
      <c r="G1079" s="61" t="str">
        <f>IF(OR(COUNTA(A1079:E1079)=0,D1079=""),"",IFERROR(INDEX(ca_fam,MATCH(D1079,ca_name,0))&amp;"",""))</f>
        <v/>
      </c>
      <c r="H1079" s="58" t="str">
        <f>IF(OR(COUNTA(A1079:E1079)=0,D1079=""),"",IFERROR(INDEX(ca_type,MATCH(D1079,ca_name,0))&amp;"",""))</f>
        <v/>
      </c>
      <c r="I1079" s="58" t="str">
        <f>IF(COUNTA(A1079:E1079)=0,"",IF(N(A1079)&lt;=0,"Date manquante ou invalide",IF(B1079="","Équipe manquante",IF(ISNA(MATCH(B1079,eq_code,0)),"Équipe inconnue",IF(C1079="","Poste manquant",IF(ISNA(MATCH(C1079,po_code,0)),"Poste inconnu",IF(D1079="","Cause manquante",IF(ISNA(MATCH(D1079,ca_name,0)),"Cause inconnue",IF(H1079="","Cause à compléter dans Paramètres",IF(OR(NOT(ISNUMBER(E1079)),N(E1079)&lt;=0,N(E1079)&gt;1440),"Durée invalide",IF(COUNTIFS(sj_date,A1079,sj_eq,B1079,sj_po,C1079)=0,"Pas de saisie journalière ce jour-là","OK")))))))))))</f>
        <v/>
      </c>
      <c r="J1079">
        <f>IF(OR(I1079="OK",I1079="Pas de saisie journalière ce jour-là"),E1079,0)</f>
        <v>0.0</v>
      </c>
      <c r="K1079">
        <f>IF(AND(J1079&gt;0,A1079&gt;=p_from,A1079&lt;=p_to),1,0)</f>
        <v>0.0</v>
      </c>
      <c r="L1079">
        <f>IF(AND(K1079=1,OR(pa_po="",C1079=pa_po),OR(pa_eq="",B1079=pa_eq)),1,0)</f>
        <v>0.0</v>
      </c>
    </row>
    <row r="1080">
      <c r="A1080" s="51" t="n"/>
      <c r="B1080" s="52" t="n"/>
      <c r="C1080" s="52" t="n"/>
      <c r="D1080" s="53" t="n"/>
      <c r="E1080" s="60" t="n"/>
      <c r="F1080" s="53" t="n"/>
      <c r="G1080" s="61" t="str">
        <f>IF(OR(COUNTA(A1080:E1080)=0,D1080=""),"",IFERROR(INDEX(ca_fam,MATCH(D1080,ca_name,0))&amp;"",""))</f>
        <v/>
      </c>
      <c r="H1080" s="58" t="str">
        <f>IF(OR(COUNTA(A1080:E1080)=0,D1080=""),"",IFERROR(INDEX(ca_type,MATCH(D1080,ca_name,0))&amp;"",""))</f>
        <v/>
      </c>
      <c r="I1080" s="58" t="str">
        <f>IF(COUNTA(A1080:E1080)=0,"",IF(N(A1080)&lt;=0,"Date manquante ou invalide",IF(B1080="","Équipe manquante",IF(ISNA(MATCH(B1080,eq_code,0)),"Équipe inconnue",IF(C1080="","Poste manquant",IF(ISNA(MATCH(C1080,po_code,0)),"Poste inconnu",IF(D1080="","Cause manquante",IF(ISNA(MATCH(D1080,ca_name,0)),"Cause inconnue",IF(H1080="","Cause à compléter dans Paramètres",IF(OR(NOT(ISNUMBER(E1080)),N(E1080)&lt;=0,N(E1080)&gt;1440),"Durée invalide",IF(COUNTIFS(sj_date,A1080,sj_eq,B1080,sj_po,C1080)=0,"Pas de saisie journalière ce jour-là","OK")))))))))))</f>
        <v/>
      </c>
      <c r="J1080">
        <f>IF(OR(I1080="OK",I1080="Pas de saisie journalière ce jour-là"),E1080,0)</f>
        <v>0.0</v>
      </c>
      <c r="K1080">
        <f>IF(AND(J1080&gt;0,A1080&gt;=p_from,A1080&lt;=p_to),1,0)</f>
        <v>0.0</v>
      </c>
      <c r="L1080">
        <f>IF(AND(K1080=1,OR(pa_po="",C1080=pa_po),OR(pa_eq="",B1080=pa_eq)),1,0)</f>
        <v>0.0</v>
      </c>
    </row>
    <row r="1081">
      <c r="A1081" s="51" t="n"/>
      <c r="B1081" s="52" t="n"/>
      <c r="C1081" s="52" t="n"/>
      <c r="D1081" s="53" t="n"/>
      <c r="E1081" s="60" t="n"/>
      <c r="F1081" s="53" t="n"/>
      <c r="G1081" s="61" t="str">
        <f>IF(OR(COUNTA(A1081:E1081)=0,D1081=""),"",IFERROR(INDEX(ca_fam,MATCH(D1081,ca_name,0))&amp;"",""))</f>
        <v/>
      </c>
      <c r="H1081" s="58" t="str">
        <f>IF(OR(COUNTA(A1081:E1081)=0,D1081=""),"",IFERROR(INDEX(ca_type,MATCH(D1081,ca_name,0))&amp;"",""))</f>
        <v/>
      </c>
      <c r="I1081" s="58" t="str">
        <f>IF(COUNTA(A1081:E1081)=0,"",IF(N(A1081)&lt;=0,"Date manquante ou invalide",IF(B1081="","Équipe manquante",IF(ISNA(MATCH(B1081,eq_code,0)),"Équipe inconnue",IF(C1081="","Poste manquant",IF(ISNA(MATCH(C1081,po_code,0)),"Poste inconnu",IF(D1081="","Cause manquante",IF(ISNA(MATCH(D1081,ca_name,0)),"Cause inconnue",IF(H1081="","Cause à compléter dans Paramètres",IF(OR(NOT(ISNUMBER(E1081)),N(E1081)&lt;=0,N(E1081)&gt;1440),"Durée invalide",IF(COUNTIFS(sj_date,A1081,sj_eq,B1081,sj_po,C1081)=0,"Pas de saisie journalière ce jour-là","OK")))))))))))</f>
        <v/>
      </c>
      <c r="J1081">
        <f>IF(OR(I1081="OK",I1081="Pas de saisie journalière ce jour-là"),E1081,0)</f>
        <v>0.0</v>
      </c>
      <c r="K1081">
        <f>IF(AND(J1081&gt;0,A1081&gt;=p_from,A1081&lt;=p_to),1,0)</f>
        <v>0.0</v>
      </c>
      <c r="L1081">
        <f>IF(AND(K1081=1,OR(pa_po="",C1081=pa_po),OR(pa_eq="",B1081=pa_eq)),1,0)</f>
        <v>0.0</v>
      </c>
    </row>
    <row r="1082">
      <c r="A1082" s="51" t="n"/>
      <c r="B1082" s="52" t="n"/>
      <c r="C1082" s="52" t="n"/>
      <c r="D1082" s="53" t="n"/>
      <c r="E1082" s="60" t="n"/>
      <c r="F1082" s="53" t="n"/>
      <c r="G1082" s="61" t="str">
        <f>IF(OR(COUNTA(A1082:E1082)=0,D1082=""),"",IFERROR(INDEX(ca_fam,MATCH(D1082,ca_name,0))&amp;"",""))</f>
        <v/>
      </c>
      <c r="H1082" s="58" t="str">
        <f>IF(OR(COUNTA(A1082:E1082)=0,D1082=""),"",IFERROR(INDEX(ca_type,MATCH(D1082,ca_name,0))&amp;"",""))</f>
        <v/>
      </c>
      <c r="I1082" s="58" t="str">
        <f>IF(COUNTA(A1082:E1082)=0,"",IF(N(A1082)&lt;=0,"Date manquante ou invalide",IF(B1082="","Équipe manquante",IF(ISNA(MATCH(B1082,eq_code,0)),"Équipe inconnue",IF(C1082="","Poste manquant",IF(ISNA(MATCH(C1082,po_code,0)),"Poste inconnu",IF(D1082="","Cause manquante",IF(ISNA(MATCH(D1082,ca_name,0)),"Cause inconnue",IF(H1082="","Cause à compléter dans Paramètres",IF(OR(NOT(ISNUMBER(E1082)),N(E1082)&lt;=0,N(E1082)&gt;1440),"Durée invalide",IF(COUNTIFS(sj_date,A1082,sj_eq,B1082,sj_po,C1082)=0,"Pas de saisie journalière ce jour-là","OK")))))))))))</f>
        <v/>
      </c>
      <c r="J1082">
        <f>IF(OR(I1082="OK",I1082="Pas de saisie journalière ce jour-là"),E1082,0)</f>
        <v>0.0</v>
      </c>
      <c r="K1082">
        <f>IF(AND(J1082&gt;0,A1082&gt;=p_from,A1082&lt;=p_to),1,0)</f>
        <v>0.0</v>
      </c>
      <c r="L1082">
        <f>IF(AND(K1082=1,OR(pa_po="",C1082=pa_po),OR(pa_eq="",B1082=pa_eq)),1,0)</f>
        <v>0.0</v>
      </c>
    </row>
    <row r="1083">
      <c r="A1083" s="51" t="n"/>
      <c r="B1083" s="52" t="n"/>
      <c r="C1083" s="52" t="n"/>
      <c r="D1083" s="53" t="n"/>
      <c r="E1083" s="60" t="n"/>
      <c r="F1083" s="53" t="n"/>
      <c r="G1083" s="61" t="str">
        <f>IF(OR(COUNTA(A1083:E1083)=0,D1083=""),"",IFERROR(INDEX(ca_fam,MATCH(D1083,ca_name,0))&amp;"",""))</f>
        <v/>
      </c>
      <c r="H1083" s="58" t="str">
        <f>IF(OR(COUNTA(A1083:E1083)=0,D1083=""),"",IFERROR(INDEX(ca_type,MATCH(D1083,ca_name,0))&amp;"",""))</f>
        <v/>
      </c>
      <c r="I1083" s="58" t="str">
        <f>IF(COUNTA(A1083:E1083)=0,"",IF(N(A1083)&lt;=0,"Date manquante ou invalide",IF(B1083="","Équipe manquante",IF(ISNA(MATCH(B1083,eq_code,0)),"Équipe inconnue",IF(C1083="","Poste manquant",IF(ISNA(MATCH(C1083,po_code,0)),"Poste inconnu",IF(D1083="","Cause manquante",IF(ISNA(MATCH(D1083,ca_name,0)),"Cause inconnue",IF(H1083="","Cause à compléter dans Paramètres",IF(OR(NOT(ISNUMBER(E1083)),N(E1083)&lt;=0,N(E1083)&gt;1440),"Durée invalide",IF(COUNTIFS(sj_date,A1083,sj_eq,B1083,sj_po,C1083)=0,"Pas de saisie journalière ce jour-là","OK")))))))))))</f>
        <v/>
      </c>
      <c r="J1083">
        <f>IF(OR(I1083="OK",I1083="Pas de saisie journalière ce jour-là"),E1083,0)</f>
        <v>0.0</v>
      </c>
      <c r="K1083">
        <f>IF(AND(J1083&gt;0,A1083&gt;=p_from,A1083&lt;=p_to),1,0)</f>
        <v>0.0</v>
      </c>
      <c r="L1083">
        <f>IF(AND(K1083=1,OR(pa_po="",C1083=pa_po),OR(pa_eq="",B1083=pa_eq)),1,0)</f>
        <v>0.0</v>
      </c>
    </row>
    <row r="1084">
      <c r="A1084" s="51" t="n"/>
      <c r="B1084" s="52" t="n"/>
      <c r="C1084" s="52" t="n"/>
      <c r="D1084" s="53" t="n"/>
      <c r="E1084" s="60" t="n"/>
      <c r="F1084" s="53" t="n"/>
      <c r="G1084" s="61" t="str">
        <f>IF(OR(COUNTA(A1084:E1084)=0,D1084=""),"",IFERROR(INDEX(ca_fam,MATCH(D1084,ca_name,0))&amp;"",""))</f>
        <v/>
      </c>
      <c r="H1084" s="58" t="str">
        <f>IF(OR(COUNTA(A1084:E1084)=0,D1084=""),"",IFERROR(INDEX(ca_type,MATCH(D1084,ca_name,0))&amp;"",""))</f>
        <v/>
      </c>
      <c r="I1084" s="58" t="str">
        <f>IF(COUNTA(A1084:E1084)=0,"",IF(N(A1084)&lt;=0,"Date manquante ou invalide",IF(B1084="","Équipe manquante",IF(ISNA(MATCH(B1084,eq_code,0)),"Équipe inconnue",IF(C1084="","Poste manquant",IF(ISNA(MATCH(C1084,po_code,0)),"Poste inconnu",IF(D1084="","Cause manquante",IF(ISNA(MATCH(D1084,ca_name,0)),"Cause inconnue",IF(H1084="","Cause à compléter dans Paramètres",IF(OR(NOT(ISNUMBER(E1084)),N(E1084)&lt;=0,N(E1084)&gt;1440),"Durée invalide",IF(COUNTIFS(sj_date,A1084,sj_eq,B1084,sj_po,C1084)=0,"Pas de saisie journalière ce jour-là","OK")))))))))))</f>
        <v/>
      </c>
      <c r="J1084">
        <f>IF(OR(I1084="OK",I1084="Pas de saisie journalière ce jour-là"),E1084,0)</f>
        <v>0.0</v>
      </c>
      <c r="K1084">
        <f>IF(AND(J1084&gt;0,A1084&gt;=p_from,A1084&lt;=p_to),1,0)</f>
        <v>0.0</v>
      </c>
      <c r="L1084">
        <f>IF(AND(K1084=1,OR(pa_po="",C1084=pa_po),OR(pa_eq="",B1084=pa_eq)),1,0)</f>
        <v>0.0</v>
      </c>
    </row>
    <row r="1085">
      <c r="A1085" s="51" t="n"/>
      <c r="B1085" s="52" t="n"/>
      <c r="C1085" s="52" t="n"/>
      <c r="D1085" s="53" t="n"/>
      <c r="E1085" s="60" t="n"/>
      <c r="F1085" s="53" t="n"/>
      <c r="G1085" s="61" t="str">
        <f>IF(OR(COUNTA(A1085:E1085)=0,D1085=""),"",IFERROR(INDEX(ca_fam,MATCH(D1085,ca_name,0))&amp;"",""))</f>
        <v/>
      </c>
      <c r="H1085" s="58" t="str">
        <f>IF(OR(COUNTA(A1085:E1085)=0,D1085=""),"",IFERROR(INDEX(ca_type,MATCH(D1085,ca_name,0))&amp;"",""))</f>
        <v/>
      </c>
      <c r="I1085" s="58" t="str">
        <f>IF(COUNTA(A1085:E1085)=0,"",IF(N(A1085)&lt;=0,"Date manquante ou invalide",IF(B1085="","Équipe manquante",IF(ISNA(MATCH(B1085,eq_code,0)),"Équipe inconnue",IF(C1085="","Poste manquant",IF(ISNA(MATCH(C1085,po_code,0)),"Poste inconnu",IF(D1085="","Cause manquante",IF(ISNA(MATCH(D1085,ca_name,0)),"Cause inconnue",IF(H1085="","Cause à compléter dans Paramètres",IF(OR(NOT(ISNUMBER(E1085)),N(E1085)&lt;=0,N(E1085)&gt;1440),"Durée invalide",IF(COUNTIFS(sj_date,A1085,sj_eq,B1085,sj_po,C1085)=0,"Pas de saisie journalière ce jour-là","OK")))))))))))</f>
        <v/>
      </c>
      <c r="J1085">
        <f>IF(OR(I1085="OK",I1085="Pas de saisie journalière ce jour-là"),E1085,0)</f>
        <v>0.0</v>
      </c>
      <c r="K1085">
        <f>IF(AND(J1085&gt;0,A1085&gt;=p_from,A1085&lt;=p_to),1,0)</f>
        <v>0.0</v>
      </c>
      <c r="L1085">
        <f>IF(AND(K1085=1,OR(pa_po="",C1085=pa_po),OR(pa_eq="",B1085=pa_eq)),1,0)</f>
        <v>0.0</v>
      </c>
    </row>
    <row r="1086">
      <c r="A1086" s="51" t="n"/>
      <c r="B1086" s="52" t="n"/>
      <c r="C1086" s="52" t="n"/>
      <c r="D1086" s="53" t="n"/>
      <c r="E1086" s="60" t="n"/>
      <c r="F1086" s="53" t="n"/>
      <c r="G1086" s="61" t="str">
        <f>IF(OR(COUNTA(A1086:E1086)=0,D1086=""),"",IFERROR(INDEX(ca_fam,MATCH(D1086,ca_name,0))&amp;"",""))</f>
        <v/>
      </c>
      <c r="H1086" s="58" t="str">
        <f>IF(OR(COUNTA(A1086:E1086)=0,D1086=""),"",IFERROR(INDEX(ca_type,MATCH(D1086,ca_name,0))&amp;"",""))</f>
        <v/>
      </c>
      <c r="I1086" s="58" t="str">
        <f>IF(COUNTA(A1086:E1086)=0,"",IF(N(A1086)&lt;=0,"Date manquante ou invalide",IF(B1086="","Équipe manquante",IF(ISNA(MATCH(B1086,eq_code,0)),"Équipe inconnue",IF(C1086="","Poste manquant",IF(ISNA(MATCH(C1086,po_code,0)),"Poste inconnu",IF(D1086="","Cause manquante",IF(ISNA(MATCH(D1086,ca_name,0)),"Cause inconnue",IF(H1086="","Cause à compléter dans Paramètres",IF(OR(NOT(ISNUMBER(E1086)),N(E1086)&lt;=0,N(E1086)&gt;1440),"Durée invalide",IF(COUNTIFS(sj_date,A1086,sj_eq,B1086,sj_po,C1086)=0,"Pas de saisie journalière ce jour-là","OK")))))))))))</f>
        <v/>
      </c>
      <c r="J1086">
        <f>IF(OR(I1086="OK",I1086="Pas de saisie journalière ce jour-là"),E1086,0)</f>
        <v>0.0</v>
      </c>
      <c r="K1086">
        <f>IF(AND(J1086&gt;0,A1086&gt;=p_from,A1086&lt;=p_to),1,0)</f>
        <v>0.0</v>
      </c>
      <c r="L1086">
        <f>IF(AND(K1086=1,OR(pa_po="",C1086=pa_po),OR(pa_eq="",B1086=pa_eq)),1,0)</f>
        <v>0.0</v>
      </c>
    </row>
    <row r="1087">
      <c r="A1087" s="51" t="n"/>
      <c r="B1087" s="52" t="n"/>
      <c r="C1087" s="52" t="n"/>
      <c r="D1087" s="53" t="n"/>
      <c r="E1087" s="60" t="n"/>
      <c r="F1087" s="53" t="n"/>
      <c r="G1087" s="61" t="str">
        <f>IF(OR(COUNTA(A1087:E1087)=0,D1087=""),"",IFERROR(INDEX(ca_fam,MATCH(D1087,ca_name,0))&amp;"",""))</f>
        <v/>
      </c>
      <c r="H1087" s="58" t="str">
        <f>IF(OR(COUNTA(A1087:E1087)=0,D1087=""),"",IFERROR(INDEX(ca_type,MATCH(D1087,ca_name,0))&amp;"",""))</f>
        <v/>
      </c>
      <c r="I1087" s="58" t="str">
        <f>IF(COUNTA(A1087:E1087)=0,"",IF(N(A1087)&lt;=0,"Date manquante ou invalide",IF(B1087="","Équipe manquante",IF(ISNA(MATCH(B1087,eq_code,0)),"Équipe inconnue",IF(C1087="","Poste manquant",IF(ISNA(MATCH(C1087,po_code,0)),"Poste inconnu",IF(D1087="","Cause manquante",IF(ISNA(MATCH(D1087,ca_name,0)),"Cause inconnue",IF(H1087="","Cause à compléter dans Paramètres",IF(OR(NOT(ISNUMBER(E1087)),N(E1087)&lt;=0,N(E1087)&gt;1440),"Durée invalide",IF(COUNTIFS(sj_date,A1087,sj_eq,B1087,sj_po,C1087)=0,"Pas de saisie journalière ce jour-là","OK")))))))))))</f>
        <v/>
      </c>
      <c r="J1087">
        <f>IF(OR(I1087="OK",I1087="Pas de saisie journalière ce jour-là"),E1087,0)</f>
        <v>0.0</v>
      </c>
      <c r="K1087">
        <f>IF(AND(J1087&gt;0,A1087&gt;=p_from,A1087&lt;=p_to),1,0)</f>
        <v>0.0</v>
      </c>
      <c r="L1087">
        <f>IF(AND(K1087=1,OR(pa_po="",C1087=pa_po),OR(pa_eq="",B1087=pa_eq)),1,0)</f>
        <v>0.0</v>
      </c>
    </row>
    <row r="1088">
      <c r="A1088" s="51" t="n"/>
      <c r="B1088" s="52" t="n"/>
      <c r="C1088" s="52" t="n"/>
      <c r="D1088" s="53" t="n"/>
      <c r="E1088" s="60" t="n"/>
      <c r="F1088" s="53" t="n"/>
      <c r="G1088" s="61" t="str">
        <f>IF(OR(COUNTA(A1088:E1088)=0,D1088=""),"",IFERROR(INDEX(ca_fam,MATCH(D1088,ca_name,0))&amp;"",""))</f>
        <v/>
      </c>
      <c r="H1088" s="58" t="str">
        <f>IF(OR(COUNTA(A1088:E1088)=0,D1088=""),"",IFERROR(INDEX(ca_type,MATCH(D1088,ca_name,0))&amp;"",""))</f>
        <v/>
      </c>
      <c r="I1088" s="58" t="str">
        <f>IF(COUNTA(A1088:E1088)=0,"",IF(N(A1088)&lt;=0,"Date manquante ou invalide",IF(B1088="","Équipe manquante",IF(ISNA(MATCH(B1088,eq_code,0)),"Équipe inconnue",IF(C1088="","Poste manquant",IF(ISNA(MATCH(C1088,po_code,0)),"Poste inconnu",IF(D1088="","Cause manquante",IF(ISNA(MATCH(D1088,ca_name,0)),"Cause inconnue",IF(H1088="","Cause à compléter dans Paramètres",IF(OR(NOT(ISNUMBER(E1088)),N(E1088)&lt;=0,N(E1088)&gt;1440),"Durée invalide",IF(COUNTIFS(sj_date,A1088,sj_eq,B1088,sj_po,C1088)=0,"Pas de saisie journalière ce jour-là","OK")))))))))))</f>
        <v/>
      </c>
      <c r="J1088">
        <f>IF(OR(I1088="OK",I1088="Pas de saisie journalière ce jour-là"),E1088,0)</f>
        <v>0.0</v>
      </c>
      <c r="K1088">
        <f>IF(AND(J1088&gt;0,A1088&gt;=p_from,A1088&lt;=p_to),1,0)</f>
        <v>0.0</v>
      </c>
      <c r="L1088">
        <f>IF(AND(K1088=1,OR(pa_po="",C1088=pa_po),OR(pa_eq="",B1088=pa_eq)),1,0)</f>
        <v>0.0</v>
      </c>
    </row>
    <row r="1089">
      <c r="A1089" s="51" t="n"/>
      <c r="B1089" s="52" t="n"/>
      <c r="C1089" s="52" t="n"/>
      <c r="D1089" s="53" t="n"/>
      <c r="E1089" s="60" t="n"/>
      <c r="F1089" s="53" t="n"/>
      <c r="G1089" s="61" t="str">
        <f>IF(OR(COUNTA(A1089:E1089)=0,D1089=""),"",IFERROR(INDEX(ca_fam,MATCH(D1089,ca_name,0))&amp;"",""))</f>
        <v/>
      </c>
      <c r="H1089" s="58" t="str">
        <f>IF(OR(COUNTA(A1089:E1089)=0,D1089=""),"",IFERROR(INDEX(ca_type,MATCH(D1089,ca_name,0))&amp;"",""))</f>
        <v/>
      </c>
      <c r="I1089" s="58" t="str">
        <f>IF(COUNTA(A1089:E1089)=0,"",IF(N(A1089)&lt;=0,"Date manquante ou invalide",IF(B1089="","Équipe manquante",IF(ISNA(MATCH(B1089,eq_code,0)),"Équipe inconnue",IF(C1089="","Poste manquant",IF(ISNA(MATCH(C1089,po_code,0)),"Poste inconnu",IF(D1089="","Cause manquante",IF(ISNA(MATCH(D1089,ca_name,0)),"Cause inconnue",IF(H1089="","Cause à compléter dans Paramètres",IF(OR(NOT(ISNUMBER(E1089)),N(E1089)&lt;=0,N(E1089)&gt;1440),"Durée invalide",IF(COUNTIFS(sj_date,A1089,sj_eq,B1089,sj_po,C1089)=0,"Pas de saisie journalière ce jour-là","OK")))))))))))</f>
        <v/>
      </c>
      <c r="J1089">
        <f>IF(OR(I1089="OK",I1089="Pas de saisie journalière ce jour-là"),E1089,0)</f>
        <v>0.0</v>
      </c>
      <c r="K1089">
        <f>IF(AND(J1089&gt;0,A1089&gt;=p_from,A1089&lt;=p_to),1,0)</f>
        <v>0.0</v>
      </c>
      <c r="L1089">
        <f>IF(AND(K1089=1,OR(pa_po="",C1089=pa_po),OR(pa_eq="",B1089=pa_eq)),1,0)</f>
        <v>0.0</v>
      </c>
    </row>
    <row r="1090">
      <c r="A1090" s="51" t="n"/>
      <c r="B1090" s="52" t="n"/>
      <c r="C1090" s="52" t="n"/>
      <c r="D1090" s="53" t="n"/>
      <c r="E1090" s="60" t="n"/>
      <c r="F1090" s="53" t="n"/>
      <c r="G1090" s="61" t="str">
        <f>IF(OR(COUNTA(A1090:E1090)=0,D1090=""),"",IFERROR(INDEX(ca_fam,MATCH(D1090,ca_name,0))&amp;"",""))</f>
        <v/>
      </c>
      <c r="H1090" s="58" t="str">
        <f>IF(OR(COUNTA(A1090:E1090)=0,D1090=""),"",IFERROR(INDEX(ca_type,MATCH(D1090,ca_name,0))&amp;"",""))</f>
        <v/>
      </c>
      <c r="I1090" s="58" t="str">
        <f>IF(COUNTA(A1090:E1090)=0,"",IF(N(A1090)&lt;=0,"Date manquante ou invalide",IF(B1090="","Équipe manquante",IF(ISNA(MATCH(B1090,eq_code,0)),"Équipe inconnue",IF(C1090="","Poste manquant",IF(ISNA(MATCH(C1090,po_code,0)),"Poste inconnu",IF(D1090="","Cause manquante",IF(ISNA(MATCH(D1090,ca_name,0)),"Cause inconnue",IF(H1090="","Cause à compléter dans Paramètres",IF(OR(NOT(ISNUMBER(E1090)),N(E1090)&lt;=0,N(E1090)&gt;1440),"Durée invalide",IF(COUNTIFS(sj_date,A1090,sj_eq,B1090,sj_po,C1090)=0,"Pas de saisie journalière ce jour-là","OK")))))))))))</f>
        <v/>
      </c>
      <c r="J1090">
        <f>IF(OR(I1090="OK",I1090="Pas de saisie journalière ce jour-là"),E1090,0)</f>
        <v>0.0</v>
      </c>
      <c r="K1090">
        <f>IF(AND(J1090&gt;0,A1090&gt;=p_from,A1090&lt;=p_to),1,0)</f>
        <v>0.0</v>
      </c>
      <c r="L1090">
        <f>IF(AND(K1090=1,OR(pa_po="",C1090=pa_po),OR(pa_eq="",B1090=pa_eq)),1,0)</f>
        <v>0.0</v>
      </c>
    </row>
    <row r="1091">
      <c r="A1091" s="51" t="n"/>
      <c r="B1091" s="52" t="n"/>
      <c r="C1091" s="52" t="n"/>
      <c r="D1091" s="53" t="n"/>
      <c r="E1091" s="60" t="n"/>
      <c r="F1091" s="53" t="n"/>
      <c r="G1091" s="61" t="str">
        <f>IF(OR(COUNTA(A1091:E1091)=0,D1091=""),"",IFERROR(INDEX(ca_fam,MATCH(D1091,ca_name,0))&amp;"",""))</f>
        <v/>
      </c>
      <c r="H1091" s="58" t="str">
        <f>IF(OR(COUNTA(A1091:E1091)=0,D1091=""),"",IFERROR(INDEX(ca_type,MATCH(D1091,ca_name,0))&amp;"",""))</f>
        <v/>
      </c>
      <c r="I1091" s="58" t="str">
        <f>IF(COUNTA(A1091:E1091)=0,"",IF(N(A1091)&lt;=0,"Date manquante ou invalide",IF(B1091="","Équipe manquante",IF(ISNA(MATCH(B1091,eq_code,0)),"Équipe inconnue",IF(C1091="","Poste manquant",IF(ISNA(MATCH(C1091,po_code,0)),"Poste inconnu",IF(D1091="","Cause manquante",IF(ISNA(MATCH(D1091,ca_name,0)),"Cause inconnue",IF(H1091="","Cause à compléter dans Paramètres",IF(OR(NOT(ISNUMBER(E1091)),N(E1091)&lt;=0,N(E1091)&gt;1440),"Durée invalide",IF(COUNTIFS(sj_date,A1091,sj_eq,B1091,sj_po,C1091)=0,"Pas de saisie journalière ce jour-là","OK")))))))))))</f>
        <v/>
      </c>
      <c r="J1091">
        <f>IF(OR(I1091="OK",I1091="Pas de saisie journalière ce jour-là"),E1091,0)</f>
        <v>0.0</v>
      </c>
      <c r="K1091">
        <f>IF(AND(J1091&gt;0,A1091&gt;=p_from,A1091&lt;=p_to),1,0)</f>
        <v>0.0</v>
      </c>
      <c r="L1091">
        <f>IF(AND(K1091=1,OR(pa_po="",C1091=pa_po),OR(pa_eq="",B1091=pa_eq)),1,0)</f>
        <v>0.0</v>
      </c>
    </row>
    <row r="1092">
      <c r="A1092" s="51" t="n"/>
      <c r="B1092" s="52" t="n"/>
      <c r="C1092" s="52" t="n"/>
      <c r="D1092" s="53" t="n"/>
      <c r="E1092" s="60" t="n"/>
      <c r="F1092" s="53" t="n"/>
      <c r="G1092" s="61" t="str">
        <f>IF(OR(COUNTA(A1092:E1092)=0,D1092=""),"",IFERROR(INDEX(ca_fam,MATCH(D1092,ca_name,0))&amp;"",""))</f>
        <v/>
      </c>
      <c r="H1092" s="58" t="str">
        <f>IF(OR(COUNTA(A1092:E1092)=0,D1092=""),"",IFERROR(INDEX(ca_type,MATCH(D1092,ca_name,0))&amp;"",""))</f>
        <v/>
      </c>
      <c r="I1092" s="58" t="str">
        <f>IF(COUNTA(A1092:E1092)=0,"",IF(N(A1092)&lt;=0,"Date manquante ou invalide",IF(B1092="","Équipe manquante",IF(ISNA(MATCH(B1092,eq_code,0)),"Équipe inconnue",IF(C1092="","Poste manquant",IF(ISNA(MATCH(C1092,po_code,0)),"Poste inconnu",IF(D1092="","Cause manquante",IF(ISNA(MATCH(D1092,ca_name,0)),"Cause inconnue",IF(H1092="","Cause à compléter dans Paramètres",IF(OR(NOT(ISNUMBER(E1092)),N(E1092)&lt;=0,N(E1092)&gt;1440),"Durée invalide",IF(COUNTIFS(sj_date,A1092,sj_eq,B1092,sj_po,C1092)=0,"Pas de saisie journalière ce jour-là","OK")))))))))))</f>
        <v/>
      </c>
      <c r="J1092">
        <f>IF(OR(I1092="OK",I1092="Pas de saisie journalière ce jour-là"),E1092,0)</f>
        <v>0.0</v>
      </c>
      <c r="K1092">
        <f>IF(AND(J1092&gt;0,A1092&gt;=p_from,A1092&lt;=p_to),1,0)</f>
        <v>0.0</v>
      </c>
      <c r="L1092">
        <f>IF(AND(K1092=1,OR(pa_po="",C1092=pa_po),OR(pa_eq="",B1092=pa_eq)),1,0)</f>
        <v>0.0</v>
      </c>
    </row>
    <row r="1093">
      <c r="A1093" s="51" t="n"/>
      <c r="B1093" s="52" t="n"/>
      <c r="C1093" s="52" t="n"/>
      <c r="D1093" s="53" t="n"/>
      <c r="E1093" s="60" t="n"/>
      <c r="F1093" s="53" t="n"/>
      <c r="G1093" s="61" t="str">
        <f>IF(OR(COUNTA(A1093:E1093)=0,D1093=""),"",IFERROR(INDEX(ca_fam,MATCH(D1093,ca_name,0))&amp;"",""))</f>
        <v/>
      </c>
      <c r="H1093" s="58" t="str">
        <f>IF(OR(COUNTA(A1093:E1093)=0,D1093=""),"",IFERROR(INDEX(ca_type,MATCH(D1093,ca_name,0))&amp;"",""))</f>
        <v/>
      </c>
      <c r="I1093" s="58" t="str">
        <f>IF(COUNTA(A1093:E1093)=0,"",IF(N(A1093)&lt;=0,"Date manquante ou invalide",IF(B1093="","Équipe manquante",IF(ISNA(MATCH(B1093,eq_code,0)),"Équipe inconnue",IF(C1093="","Poste manquant",IF(ISNA(MATCH(C1093,po_code,0)),"Poste inconnu",IF(D1093="","Cause manquante",IF(ISNA(MATCH(D1093,ca_name,0)),"Cause inconnue",IF(H1093="","Cause à compléter dans Paramètres",IF(OR(NOT(ISNUMBER(E1093)),N(E1093)&lt;=0,N(E1093)&gt;1440),"Durée invalide",IF(COUNTIFS(sj_date,A1093,sj_eq,B1093,sj_po,C1093)=0,"Pas de saisie journalière ce jour-là","OK")))))))))))</f>
        <v/>
      </c>
      <c r="J1093">
        <f>IF(OR(I1093="OK",I1093="Pas de saisie journalière ce jour-là"),E1093,0)</f>
        <v>0.0</v>
      </c>
      <c r="K1093">
        <f>IF(AND(J1093&gt;0,A1093&gt;=p_from,A1093&lt;=p_to),1,0)</f>
        <v>0.0</v>
      </c>
      <c r="L1093">
        <f>IF(AND(K1093=1,OR(pa_po="",C1093=pa_po),OR(pa_eq="",B1093=pa_eq)),1,0)</f>
        <v>0.0</v>
      </c>
    </row>
    <row r="1094">
      <c r="A1094" s="51" t="n"/>
      <c r="B1094" s="52" t="n"/>
      <c r="C1094" s="52" t="n"/>
      <c r="D1094" s="53" t="n"/>
      <c r="E1094" s="60" t="n"/>
      <c r="F1094" s="53" t="n"/>
      <c r="G1094" s="61" t="str">
        <f>IF(OR(COUNTA(A1094:E1094)=0,D1094=""),"",IFERROR(INDEX(ca_fam,MATCH(D1094,ca_name,0))&amp;"",""))</f>
        <v/>
      </c>
      <c r="H1094" s="58" t="str">
        <f>IF(OR(COUNTA(A1094:E1094)=0,D1094=""),"",IFERROR(INDEX(ca_type,MATCH(D1094,ca_name,0))&amp;"",""))</f>
        <v/>
      </c>
      <c r="I1094" s="58" t="str">
        <f>IF(COUNTA(A1094:E1094)=0,"",IF(N(A1094)&lt;=0,"Date manquante ou invalide",IF(B1094="","Équipe manquante",IF(ISNA(MATCH(B1094,eq_code,0)),"Équipe inconnue",IF(C1094="","Poste manquant",IF(ISNA(MATCH(C1094,po_code,0)),"Poste inconnu",IF(D1094="","Cause manquante",IF(ISNA(MATCH(D1094,ca_name,0)),"Cause inconnue",IF(H1094="","Cause à compléter dans Paramètres",IF(OR(NOT(ISNUMBER(E1094)),N(E1094)&lt;=0,N(E1094)&gt;1440),"Durée invalide",IF(COUNTIFS(sj_date,A1094,sj_eq,B1094,sj_po,C1094)=0,"Pas de saisie journalière ce jour-là","OK")))))))))))</f>
        <v/>
      </c>
      <c r="J1094">
        <f>IF(OR(I1094="OK",I1094="Pas de saisie journalière ce jour-là"),E1094,0)</f>
        <v>0.0</v>
      </c>
      <c r="K1094">
        <f>IF(AND(J1094&gt;0,A1094&gt;=p_from,A1094&lt;=p_to),1,0)</f>
        <v>0.0</v>
      </c>
      <c r="L1094">
        <f>IF(AND(K1094=1,OR(pa_po="",C1094=pa_po),OR(pa_eq="",B1094=pa_eq)),1,0)</f>
        <v>0.0</v>
      </c>
    </row>
    <row r="1095">
      <c r="A1095" s="51" t="n"/>
      <c r="B1095" s="52" t="n"/>
      <c r="C1095" s="52" t="n"/>
      <c r="D1095" s="53" t="n"/>
      <c r="E1095" s="60" t="n"/>
      <c r="F1095" s="53" t="n"/>
      <c r="G1095" s="61" t="str">
        <f>IF(OR(COUNTA(A1095:E1095)=0,D1095=""),"",IFERROR(INDEX(ca_fam,MATCH(D1095,ca_name,0))&amp;"",""))</f>
        <v/>
      </c>
      <c r="H1095" s="58" t="str">
        <f>IF(OR(COUNTA(A1095:E1095)=0,D1095=""),"",IFERROR(INDEX(ca_type,MATCH(D1095,ca_name,0))&amp;"",""))</f>
        <v/>
      </c>
      <c r="I1095" s="58" t="str">
        <f>IF(COUNTA(A1095:E1095)=0,"",IF(N(A1095)&lt;=0,"Date manquante ou invalide",IF(B1095="","Équipe manquante",IF(ISNA(MATCH(B1095,eq_code,0)),"Équipe inconnue",IF(C1095="","Poste manquant",IF(ISNA(MATCH(C1095,po_code,0)),"Poste inconnu",IF(D1095="","Cause manquante",IF(ISNA(MATCH(D1095,ca_name,0)),"Cause inconnue",IF(H1095="","Cause à compléter dans Paramètres",IF(OR(NOT(ISNUMBER(E1095)),N(E1095)&lt;=0,N(E1095)&gt;1440),"Durée invalide",IF(COUNTIFS(sj_date,A1095,sj_eq,B1095,sj_po,C1095)=0,"Pas de saisie journalière ce jour-là","OK")))))))))))</f>
        <v/>
      </c>
      <c r="J1095">
        <f>IF(OR(I1095="OK",I1095="Pas de saisie journalière ce jour-là"),E1095,0)</f>
        <v>0.0</v>
      </c>
      <c r="K1095">
        <f>IF(AND(J1095&gt;0,A1095&gt;=p_from,A1095&lt;=p_to),1,0)</f>
        <v>0.0</v>
      </c>
      <c r="L1095">
        <f>IF(AND(K1095=1,OR(pa_po="",C1095=pa_po),OR(pa_eq="",B1095=pa_eq)),1,0)</f>
        <v>0.0</v>
      </c>
    </row>
    <row r="1096">
      <c r="A1096" s="51" t="n"/>
      <c r="B1096" s="52" t="n"/>
      <c r="C1096" s="52" t="n"/>
      <c r="D1096" s="53" t="n"/>
      <c r="E1096" s="60" t="n"/>
      <c r="F1096" s="53" t="n"/>
      <c r="G1096" s="61" t="str">
        <f>IF(OR(COUNTA(A1096:E1096)=0,D1096=""),"",IFERROR(INDEX(ca_fam,MATCH(D1096,ca_name,0))&amp;"",""))</f>
        <v/>
      </c>
      <c r="H1096" s="58" t="str">
        <f>IF(OR(COUNTA(A1096:E1096)=0,D1096=""),"",IFERROR(INDEX(ca_type,MATCH(D1096,ca_name,0))&amp;"",""))</f>
        <v/>
      </c>
      <c r="I1096" s="58" t="str">
        <f>IF(COUNTA(A1096:E1096)=0,"",IF(N(A1096)&lt;=0,"Date manquante ou invalide",IF(B1096="","Équipe manquante",IF(ISNA(MATCH(B1096,eq_code,0)),"Équipe inconnue",IF(C1096="","Poste manquant",IF(ISNA(MATCH(C1096,po_code,0)),"Poste inconnu",IF(D1096="","Cause manquante",IF(ISNA(MATCH(D1096,ca_name,0)),"Cause inconnue",IF(H1096="","Cause à compléter dans Paramètres",IF(OR(NOT(ISNUMBER(E1096)),N(E1096)&lt;=0,N(E1096)&gt;1440),"Durée invalide",IF(COUNTIFS(sj_date,A1096,sj_eq,B1096,sj_po,C1096)=0,"Pas de saisie journalière ce jour-là","OK")))))))))))</f>
        <v/>
      </c>
      <c r="J1096">
        <f>IF(OR(I1096="OK",I1096="Pas de saisie journalière ce jour-là"),E1096,0)</f>
        <v>0.0</v>
      </c>
      <c r="K1096">
        <f>IF(AND(J1096&gt;0,A1096&gt;=p_from,A1096&lt;=p_to),1,0)</f>
        <v>0.0</v>
      </c>
      <c r="L1096">
        <f>IF(AND(K1096=1,OR(pa_po="",C1096=pa_po),OR(pa_eq="",B1096=pa_eq)),1,0)</f>
        <v>0.0</v>
      </c>
    </row>
    <row r="1097">
      <c r="A1097" s="51" t="n"/>
      <c r="B1097" s="52" t="n"/>
      <c r="C1097" s="52" t="n"/>
      <c r="D1097" s="53" t="n"/>
      <c r="E1097" s="60" t="n"/>
      <c r="F1097" s="53" t="n"/>
      <c r="G1097" s="61" t="str">
        <f>IF(OR(COUNTA(A1097:E1097)=0,D1097=""),"",IFERROR(INDEX(ca_fam,MATCH(D1097,ca_name,0))&amp;"",""))</f>
        <v/>
      </c>
      <c r="H1097" s="58" t="str">
        <f>IF(OR(COUNTA(A1097:E1097)=0,D1097=""),"",IFERROR(INDEX(ca_type,MATCH(D1097,ca_name,0))&amp;"",""))</f>
        <v/>
      </c>
      <c r="I1097" s="58" t="str">
        <f>IF(COUNTA(A1097:E1097)=0,"",IF(N(A1097)&lt;=0,"Date manquante ou invalide",IF(B1097="","Équipe manquante",IF(ISNA(MATCH(B1097,eq_code,0)),"Équipe inconnue",IF(C1097="","Poste manquant",IF(ISNA(MATCH(C1097,po_code,0)),"Poste inconnu",IF(D1097="","Cause manquante",IF(ISNA(MATCH(D1097,ca_name,0)),"Cause inconnue",IF(H1097="","Cause à compléter dans Paramètres",IF(OR(NOT(ISNUMBER(E1097)),N(E1097)&lt;=0,N(E1097)&gt;1440),"Durée invalide",IF(COUNTIFS(sj_date,A1097,sj_eq,B1097,sj_po,C1097)=0,"Pas de saisie journalière ce jour-là","OK")))))))))))</f>
        <v/>
      </c>
      <c r="J1097">
        <f>IF(OR(I1097="OK",I1097="Pas de saisie journalière ce jour-là"),E1097,0)</f>
        <v>0.0</v>
      </c>
      <c r="K1097">
        <f>IF(AND(J1097&gt;0,A1097&gt;=p_from,A1097&lt;=p_to),1,0)</f>
        <v>0.0</v>
      </c>
      <c r="L1097">
        <f>IF(AND(K1097=1,OR(pa_po="",C1097=pa_po),OR(pa_eq="",B1097=pa_eq)),1,0)</f>
        <v>0.0</v>
      </c>
    </row>
    <row r="1098">
      <c r="A1098" s="51" t="n"/>
      <c r="B1098" s="52" t="n"/>
      <c r="C1098" s="52" t="n"/>
      <c r="D1098" s="53" t="n"/>
      <c r="E1098" s="60" t="n"/>
      <c r="F1098" s="53" t="n"/>
      <c r="G1098" s="61" t="str">
        <f>IF(OR(COUNTA(A1098:E1098)=0,D1098=""),"",IFERROR(INDEX(ca_fam,MATCH(D1098,ca_name,0))&amp;"",""))</f>
        <v/>
      </c>
      <c r="H1098" s="58" t="str">
        <f>IF(OR(COUNTA(A1098:E1098)=0,D1098=""),"",IFERROR(INDEX(ca_type,MATCH(D1098,ca_name,0))&amp;"",""))</f>
        <v/>
      </c>
      <c r="I1098" s="58" t="str">
        <f>IF(COUNTA(A1098:E1098)=0,"",IF(N(A1098)&lt;=0,"Date manquante ou invalide",IF(B1098="","Équipe manquante",IF(ISNA(MATCH(B1098,eq_code,0)),"Équipe inconnue",IF(C1098="","Poste manquant",IF(ISNA(MATCH(C1098,po_code,0)),"Poste inconnu",IF(D1098="","Cause manquante",IF(ISNA(MATCH(D1098,ca_name,0)),"Cause inconnue",IF(H1098="","Cause à compléter dans Paramètres",IF(OR(NOT(ISNUMBER(E1098)),N(E1098)&lt;=0,N(E1098)&gt;1440),"Durée invalide",IF(COUNTIFS(sj_date,A1098,sj_eq,B1098,sj_po,C1098)=0,"Pas de saisie journalière ce jour-là","OK")))))))))))</f>
        <v/>
      </c>
      <c r="J1098">
        <f>IF(OR(I1098="OK",I1098="Pas de saisie journalière ce jour-là"),E1098,0)</f>
        <v>0.0</v>
      </c>
      <c r="K1098">
        <f>IF(AND(J1098&gt;0,A1098&gt;=p_from,A1098&lt;=p_to),1,0)</f>
        <v>0.0</v>
      </c>
      <c r="L1098">
        <f>IF(AND(K1098=1,OR(pa_po="",C1098=pa_po),OR(pa_eq="",B1098=pa_eq)),1,0)</f>
        <v>0.0</v>
      </c>
    </row>
    <row r="1099">
      <c r="A1099" s="51" t="n"/>
      <c r="B1099" s="52" t="n"/>
      <c r="C1099" s="52" t="n"/>
      <c r="D1099" s="53" t="n"/>
      <c r="E1099" s="60" t="n"/>
      <c r="F1099" s="53" t="n"/>
      <c r="G1099" s="61" t="str">
        <f>IF(OR(COUNTA(A1099:E1099)=0,D1099=""),"",IFERROR(INDEX(ca_fam,MATCH(D1099,ca_name,0))&amp;"",""))</f>
        <v/>
      </c>
      <c r="H1099" s="58" t="str">
        <f>IF(OR(COUNTA(A1099:E1099)=0,D1099=""),"",IFERROR(INDEX(ca_type,MATCH(D1099,ca_name,0))&amp;"",""))</f>
        <v/>
      </c>
      <c r="I1099" s="58" t="str">
        <f>IF(COUNTA(A1099:E1099)=0,"",IF(N(A1099)&lt;=0,"Date manquante ou invalide",IF(B1099="","Équipe manquante",IF(ISNA(MATCH(B1099,eq_code,0)),"Équipe inconnue",IF(C1099="","Poste manquant",IF(ISNA(MATCH(C1099,po_code,0)),"Poste inconnu",IF(D1099="","Cause manquante",IF(ISNA(MATCH(D1099,ca_name,0)),"Cause inconnue",IF(H1099="","Cause à compléter dans Paramètres",IF(OR(NOT(ISNUMBER(E1099)),N(E1099)&lt;=0,N(E1099)&gt;1440),"Durée invalide",IF(COUNTIFS(sj_date,A1099,sj_eq,B1099,sj_po,C1099)=0,"Pas de saisie journalière ce jour-là","OK")))))))))))</f>
        <v/>
      </c>
      <c r="J1099">
        <f>IF(OR(I1099="OK",I1099="Pas de saisie journalière ce jour-là"),E1099,0)</f>
        <v>0.0</v>
      </c>
      <c r="K1099">
        <f>IF(AND(J1099&gt;0,A1099&gt;=p_from,A1099&lt;=p_to),1,0)</f>
        <v>0.0</v>
      </c>
      <c r="L1099">
        <f>IF(AND(K1099=1,OR(pa_po="",C1099=pa_po),OR(pa_eq="",B1099=pa_eq)),1,0)</f>
        <v>0.0</v>
      </c>
    </row>
    <row r="1100">
      <c r="A1100" s="51" t="n"/>
      <c r="B1100" s="52" t="n"/>
      <c r="C1100" s="52" t="n"/>
      <c r="D1100" s="53" t="n"/>
      <c r="E1100" s="60" t="n"/>
      <c r="F1100" s="53" t="n"/>
      <c r="G1100" s="61" t="str">
        <f>IF(OR(COUNTA(A1100:E1100)=0,D1100=""),"",IFERROR(INDEX(ca_fam,MATCH(D1100,ca_name,0))&amp;"",""))</f>
        <v/>
      </c>
      <c r="H1100" s="58" t="str">
        <f>IF(OR(COUNTA(A1100:E1100)=0,D1100=""),"",IFERROR(INDEX(ca_type,MATCH(D1100,ca_name,0))&amp;"",""))</f>
        <v/>
      </c>
      <c r="I1100" s="58" t="str">
        <f>IF(COUNTA(A1100:E1100)=0,"",IF(N(A1100)&lt;=0,"Date manquante ou invalide",IF(B1100="","Équipe manquante",IF(ISNA(MATCH(B1100,eq_code,0)),"Équipe inconnue",IF(C1100="","Poste manquant",IF(ISNA(MATCH(C1100,po_code,0)),"Poste inconnu",IF(D1100="","Cause manquante",IF(ISNA(MATCH(D1100,ca_name,0)),"Cause inconnue",IF(H1100="","Cause à compléter dans Paramètres",IF(OR(NOT(ISNUMBER(E1100)),N(E1100)&lt;=0,N(E1100)&gt;1440),"Durée invalide",IF(COUNTIFS(sj_date,A1100,sj_eq,B1100,sj_po,C1100)=0,"Pas de saisie journalière ce jour-là","OK")))))))))))</f>
        <v/>
      </c>
      <c r="J1100">
        <f>IF(OR(I1100="OK",I1100="Pas de saisie journalière ce jour-là"),E1100,0)</f>
        <v>0.0</v>
      </c>
      <c r="K1100">
        <f>IF(AND(J1100&gt;0,A1100&gt;=p_from,A1100&lt;=p_to),1,0)</f>
        <v>0.0</v>
      </c>
      <c r="L1100">
        <f>IF(AND(K1100=1,OR(pa_po="",C1100=pa_po),OR(pa_eq="",B1100=pa_eq)),1,0)</f>
        <v>0.0</v>
      </c>
    </row>
    <row r="1101">
      <c r="A1101" s="51" t="n"/>
      <c r="B1101" s="52" t="n"/>
      <c r="C1101" s="52" t="n"/>
      <c r="D1101" s="53" t="n"/>
      <c r="E1101" s="60" t="n"/>
      <c r="F1101" s="53" t="n"/>
      <c r="G1101" s="61" t="str">
        <f>IF(OR(COUNTA(A1101:E1101)=0,D1101=""),"",IFERROR(INDEX(ca_fam,MATCH(D1101,ca_name,0))&amp;"",""))</f>
        <v/>
      </c>
      <c r="H1101" s="58" t="str">
        <f>IF(OR(COUNTA(A1101:E1101)=0,D1101=""),"",IFERROR(INDEX(ca_type,MATCH(D1101,ca_name,0))&amp;"",""))</f>
        <v/>
      </c>
      <c r="I1101" s="58" t="str">
        <f>IF(COUNTA(A1101:E1101)=0,"",IF(N(A1101)&lt;=0,"Date manquante ou invalide",IF(B1101="","Équipe manquante",IF(ISNA(MATCH(B1101,eq_code,0)),"Équipe inconnue",IF(C1101="","Poste manquant",IF(ISNA(MATCH(C1101,po_code,0)),"Poste inconnu",IF(D1101="","Cause manquante",IF(ISNA(MATCH(D1101,ca_name,0)),"Cause inconnue",IF(H1101="","Cause à compléter dans Paramètres",IF(OR(NOT(ISNUMBER(E1101)),N(E1101)&lt;=0,N(E1101)&gt;1440),"Durée invalide",IF(COUNTIFS(sj_date,A1101,sj_eq,B1101,sj_po,C1101)=0,"Pas de saisie journalière ce jour-là","OK")))))))))))</f>
        <v/>
      </c>
      <c r="J1101">
        <f>IF(OR(I1101="OK",I1101="Pas de saisie journalière ce jour-là"),E1101,0)</f>
        <v>0.0</v>
      </c>
      <c r="K1101">
        <f>IF(AND(J1101&gt;0,A1101&gt;=p_from,A1101&lt;=p_to),1,0)</f>
        <v>0.0</v>
      </c>
      <c r="L1101">
        <f>IF(AND(K1101=1,OR(pa_po="",C1101=pa_po),OR(pa_eq="",B1101=pa_eq)),1,0)</f>
        <v>0.0</v>
      </c>
    </row>
    <row r="1102">
      <c r="A1102" s="51" t="n"/>
      <c r="B1102" s="52" t="n"/>
      <c r="C1102" s="52" t="n"/>
      <c r="D1102" s="53" t="n"/>
      <c r="E1102" s="60" t="n"/>
      <c r="F1102" s="53" t="n"/>
      <c r="G1102" s="61" t="str">
        <f>IF(OR(COUNTA(A1102:E1102)=0,D1102=""),"",IFERROR(INDEX(ca_fam,MATCH(D1102,ca_name,0))&amp;"",""))</f>
        <v/>
      </c>
      <c r="H1102" s="58" t="str">
        <f>IF(OR(COUNTA(A1102:E1102)=0,D1102=""),"",IFERROR(INDEX(ca_type,MATCH(D1102,ca_name,0))&amp;"",""))</f>
        <v/>
      </c>
      <c r="I1102" s="58" t="str">
        <f>IF(COUNTA(A1102:E1102)=0,"",IF(N(A1102)&lt;=0,"Date manquante ou invalide",IF(B1102="","Équipe manquante",IF(ISNA(MATCH(B1102,eq_code,0)),"Équipe inconnue",IF(C1102="","Poste manquant",IF(ISNA(MATCH(C1102,po_code,0)),"Poste inconnu",IF(D1102="","Cause manquante",IF(ISNA(MATCH(D1102,ca_name,0)),"Cause inconnue",IF(H1102="","Cause à compléter dans Paramètres",IF(OR(NOT(ISNUMBER(E1102)),N(E1102)&lt;=0,N(E1102)&gt;1440),"Durée invalide",IF(COUNTIFS(sj_date,A1102,sj_eq,B1102,sj_po,C1102)=0,"Pas de saisie journalière ce jour-là","OK")))))))))))</f>
        <v/>
      </c>
      <c r="J1102">
        <f>IF(OR(I1102="OK",I1102="Pas de saisie journalière ce jour-là"),E1102,0)</f>
        <v>0.0</v>
      </c>
      <c r="K1102">
        <f>IF(AND(J1102&gt;0,A1102&gt;=p_from,A1102&lt;=p_to),1,0)</f>
        <v>0.0</v>
      </c>
      <c r="L1102">
        <f>IF(AND(K1102=1,OR(pa_po="",C1102=pa_po),OR(pa_eq="",B1102=pa_eq)),1,0)</f>
        <v>0.0</v>
      </c>
    </row>
    <row r="1103">
      <c r="A1103" s="51" t="n"/>
      <c r="B1103" s="52" t="n"/>
      <c r="C1103" s="52" t="n"/>
      <c r="D1103" s="53" t="n"/>
      <c r="E1103" s="60" t="n"/>
      <c r="F1103" s="53" t="n"/>
      <c r="G1103" s="61" t="str">
        <f>IF(OR(COUNTA(A1103:E1103)=0,D1103=""),"",IFERROR(INDEX(ca_fam,MATCH(D1103,ca_name,0))&amp;"",""))</f>
        <v/>
      </c>
      <c r="H1103" s="58" t="str">
        <f>IF(OR(COUNTA(A1103:E1103)=0,D1103=""),"",IFERROR(INDEX(ca_type,MATCH(D1103,ca_name,0))&amp;"",""))</f>
        <v/>
      </c>
      <c r="I1103" s="58" t="str">
        <f>IF(COUNTA(A1103:E1103)=0,"",IF(N(A1103)&lt;=0,"Date manquante ou invalide",IF(B1103="","Équipe manquante",IF(ISNA(MATCH(B1103,eq_code,0)),"Équipe inconnue",IF(C1103="","Poste manquant",IF(ISNA(MATCH(C1103,po_code,0)),"Poste inconnu",IF(D1103="","Cause manquante",IF(ISNA(MATCH(D1103,ca_name,0)),"Cause inconnue",IF(H1103="","Cause à compléter dans Paramètres",IF(OR(NOT(ISNUMBER(E1103)),N(E1103)&lt;=0,N(E1103)&gt;1440),"Durée invalide",IF(COUNTIFS(sj_date,A1103,sj_eq,B1103,sj_po,C1103)=0,"Pas de saisie journalière ce jour-là","OK")))))))))))</f>
        <v/>
      </c>
      <c r="J1103">
        <f>IF(OR(I1103="OK",I1103="Pas de saisie journalière ce jour-là"),E1103,0)</f>
        <v>0.0</v>
      </c>
      <c r="K1103">
        <f>IF(AND(J1103&gt;0,A1103&gt;=p_from,A1103&lt;=p_to),1,0)</f>
        <v>0.0</v>
      </c>
      <c r="L1103">
        <f>IF(AND(K1103=1,OR(pa_po="",C1103=pa_po),OR(pa_eq="",B1103=pa_eq)),1,0)</f>
        <v>0.0</v>
      </c>
    </row>
    <row r="1104">
      <c r="A1104" s="51" t="n"/>
      <c r="B1104" s="52" t="n"/>
      <c r="C1104" s="52" t="n"/>
      <c r="D1104" s="53" t="n"/>
      <c r="E1104" s="60" t="n"/>
      <c r="F1104" s="53" t="n"/>
      <c r="G1104" s="61" t="str">
        <f>IF(OR(COUNTA(A1104:E1104)=0,D1104=""),"",IFERROR(INDEX(ca_fam,MATCH(D1104,ca_name,0))&amp;"",""))</f>
        <v/>
      </c>
      <c r="H1104" s="58" t="str">
        <f>IF(OR(COUNTA(A1104:E1104)=0,D1104=""),"",IFERROR(INDEX(ca_type,MATCH(D1104,ca_name,0))&amp;"",""))</f>
        <v/>
      </c>
      <c r="I1104" s="58" t="str">
        <f>IF(COUNTA(A1104:E1104)=0,"",IF(N(A1104)&lt;=0,"Date manquante ou invalide",IF(B1104="","Équipe manquante",IF(ISNA(MATCH(B1104,eq_code,0)),"Équipe inconnue",IF(C1104="","Poste manquant",IF(ISNA(MATCH(C1104,po_code,0)),"Poste inconnu",IF(D1104="","Cause manquante",IF(ISNA(MATCH(D1104,ca_name,0)),"Cause inconnue",IF(H1104="","Cause à compléter dans Paramètres",IF(OR(NOT(ISNUMBER(E1104)),N(E1104)&lt;=0,N(E1104)&gt;1440),"Durée invalide",IF(COUNTIFS(sj_date,A1104,sj_eq,B1104,sj_po,C1104)=0,"Pas de saisie journalière ce jour-là","OK")))))))))))</f>
        <v/>
      </c>
      <c r="J1104">
        <f>IF(OR(I1104="OK",I1104="Pas de saisie journalière ce jour-là"),E1104,0)</f>
        <v>0.0</v>
      </c>
      <c r="K1104">
        <f>IF(AND(J1104&gt;0,A1104&gt;=p_from,A1104&lt;=p_to),1,0)</f>
        <v>0.0</v>
      </c>
      <c r="L1104">
        <f>IF(AND(K1104=1,OR(pa_po="",C1104=pa_po),OR(pa_eq="",B1104=pa_eq)),1,0)</f>
        <v>0.0</v>
      </c>
    </row>
    <row r="1105">
      <c r="A1105" s="51" t="n"/>
      <c r="B1105" s="52" t="n"/>
      <c r="C1105" s="52" t="n"/>
      <c r="D1105" s="53" t="n"/>
      <c r="E1105" s="60" t="n"/>
      <c r="F1105" s="53" t="n"/>
      <c r="G1105" s="61" t="str">
        <f>IF(OR(COUNTA(A1105:E1105)=0,D1105=""),"",IFERROR(INDEX(ca_fam,MATCH(D1105,ca_name,0))&amp;"",""))</f>
        <v/>
      </c>
      <c r="H1105" s="58" t="str">
        <f>IF(OR(COUNTA(A1105:E1105)=0,D1105=""),"",IFERROR(INDEX(ca_type,MATCH(D1105,ca_name,0))&amp;"",""))</f>
        <v/>
      </c>
      <c r="I1105" s="58" t="str">
        <f>IF(COUNTA(A1105:E1105)=0,"",IF(N(A1105)&lt;=0,"Date manquante ou invalide",IF(B1105="","Équipe manquante",IF(ISNA(MATCH(B1105,eq_code,0)),"Équipe inconnue",IF(C1105="","Poste manquant",IF(ISNA(MATCH(C1105,po_code,0)),"Poste inconnu",IF(D1105="","Cause manquante",IF(ISNA(MATCH(D1105,ca_name,0)),"Cause inconnue",IF(H1105="","Cause à compléter dans Paramètres",IF(OR(NOT(ISNUMBER(E1105)),N(E1105)&lt;=0,N(E1105)&gt;1440),"Durée invalide",IF(COUNTIFS(sj_date,A1105,sj_eq,B1105,sj_po,C1105)=0,"Pas de saisie journalière ce jour-là","OK")))))))))))</f>
        <v/>
      </c>
      <c r="J1105">
        <f>IF(OR(I1105="OK",I1105="Pas de saisie journalière ce jour-là"),E1105,0)</f>
        <v>0.0</v>
      </c>
      <c r="K1105">
        <f>IF(AND(J1105&gt;0,A1105&gt;=p_from,A1105&lt;=p_to),1,0)</f>
        <v>0.0</v>
      </c>
      <c r="L1105">
        <f>IF(AND(K1105=1,OR(pa_po="",C1105=pa_po),OR(pa_eq="",B1105=pa_eq)),1,0)</f>
        <v>0.0</v>
      </c>
    </row>
    <row r="1106">
      <c r="A1106" s="51" t="n"/>
      <c r="B1106" s="52" t="n"/>
      <c r="C1106" s="52" t="n"/>
      <c r="D1106" s="53" t="n"/>
      <c r="E1106" s="60" t="n"/>
      <c r="F1106" s="53" t="n"/>
      <c r="G1106" s="61" t="str">
        <f>IF(OR(COUNTA(A1106:E1106)=0,D1106=""),"",IFERROR(INDEX(ca_fam,MATCH(D1106,ca_name,0))&amp;"",""))</f>
        <v/>
      </c>
      <c r="H1106" s="58" t="str">
        <f>IF(OR(COUNTA(A1106:E1106)=0,D1106=""),"",IFERROR(INDEX(ca_type,MATCH(D1106,ca_name,0))&amp;"",""))</f>
        <v/>
      </c>
      <c r="I1106" s="58" t="str">
        <f>IF(COUNTA(A1106:E1106)=0,"",IF(N(A1106)&lt;=0,"Date manquante ou invalide",IF(B1106="","Équipe manquante",IF(ISNA(MATCH(B1106,eq_code,0)),"Équipe inconnue",IF(C1106="","Poste manquant",IF(ISNA(MATCH(C1106,po_code,0)),"Poste inconnu",IF(D1106="","Cause manquante",IF(ISNA(MATCH(D1106,ca_name,0)),"Cause inconnue",IF(H1106="","Cause à compléter dans Paramètres",IF(OR(NOT(ISNUMBER(E1106)),N(E1106)&lt;=0,N(E1106)&gt;1440),"Durée invalide",IF(COUNTIFS(sj_date,A1106,sj_eq,B1106,sj_po,C1106)=0,"Pas de saisie journalière ce jour-là","OK")))))))))))</f>
        <v/>
      </c>
      <c r="J1106">
        <f>IF(OR(I1106="OK",I1106="Pas de saisie journalière ce jour-là"),E1106,0)</f>
        <v>0.0</v>
      </c>
      <c r="K1106">
        <f>IF(AND(J1106&gt;0,A1106&gt;=p_from,A1106&lt;=p_to),1,0)</f>
        <v>0.0</v>
      </c>
      <c r="L1106">
        <f>IF(AND(K1106=1,OR(pa_po="",C1106=pa_po),OR(pa_eq="",B1106=pa_eq)),1,0)</f>
        <v>0.0</v>
      </c>
    </row>
    <row r="1107">
      <c r="A1107" s="51" t="n"/>
      <c r="B1107" s="52" t="n"/>
      <c r="C1107" s="52" t="n"/>
      <c r="D1107" s="53" t="n"/>
      <c r="E1107" s="60" t="n"/>
      <c r="F1107" s="53" t="n"/>
      <c r="G1107" s="61" t="str">
        <f>IF(OR(COUNTA(A1107:E1107)=0,D1107=""),"",IFERROR(INDEX(ca_fam,MATCH(D1107,ca_name,0))&amp;"",""))</f>
        <v/>
      </c>
      <c r="H1107" s="58" t="str">
        <f>IF(OR(COUNTA(A1107:E1107)=0,D1107=""),"",IFERROR(INDEX(ca_type,MATCH(D1107,ca_name,0))&amp;"",""))</f>
        <v/>
      </c>
      <c r="I1107" s="58" t="str">
        <f>IF(COUNTA(A1107:E1107)=0,"",IF(N(A1107)&lt;=0,"Date manquante ou invalide",IF(B1107="","Équipe manquante",IF(ISNA(MATCH(B1107,eq_code,0)),"Équipe inconnue",IF(C1107="","Poste manquant",IF(ISNA(MATCH(C1107,po_code,0)),"Poste inconnu",IF(D1107="","Cause manquante",IF(ISNA(MATCH(D1107,ca_name,0)),"Cause inconnue",IF(H1107="","Cause à compléter dans Paramètres",IF(OR(NOT(ISNUMBER(E1107)),N(E1107)&lt;=0,N(E1107)&gt;1440),"Durée invalide",IF(COUNTIFS(sj_date,A1107,sj_eq,B1107,sj_po,C1107)=0,"Pas de saisie journalière ce jour-là","OK")))))))))))</f>
        <v/>
      </c>
      <c r="J1107">
        <f>IF(OR(I1107="OK",I1107="Pas de saisie journalière ce jour-là"),E1107,0)</f>
        <v>0.0</v>
      </c>
      <c r="K1107">
        <f>IF(AND(J1107&gt;0,A1107&gt;=p_from,A1107&lt;=p_to),1,0)</f>
        <v>0.0</v>
      </c>
      <c r="L1107">
        <f>IF(AND(K1107=1,OR(pa_po="",C1107=pa_po),OR(pa_eq="",B1107=pa_eq)),1,0)</f>
        <v>0.0</v>
      </c>
    </row>
    <row r="1108">
      <c r="A1108" s="51" t="n"/>
      <c r="B1108" s="52" t="n"/>
      <c r="C1108" s="52" t="n"/>
      <c r="D1108" s="53" t="n"/>
      <c r="E1108" s="60" t="n"/>
      <c r="F1108" s="53" t="n"/>
      <c r="G1108" s="61" t="str">
        <f>IF(OR(COUNTA(A1108:E1108)=0,D1108=""),"",IFERROR(INDEX(ca_fam,MATCH(D1108,ca_name,0))&amp;"",""))</f>
        <v/>
      </c>
      <c r="H1108" s="58" t="str">
        <f>IF(OR(COUNTA(A1108:E1108)=0,D1108=""),"",IFERROR(INDEX(ca_type,MATCH(D1108,ca_name,0))&amp;"",""))</f>
        <v/>
      </c>
      <c r="I1108" s="58" t="str">
        <f>IF(COUNTA(A1108:E1108)=0,"",IF(N(A1108)&lt;=0,"Date manquante ou invalide",IF(B1108="","Équipe manquante",IF(ISNA(MATCH(B1108,eq_code,0)),"Équipe inconnue",IF(C1108="","Poste manquant",IF(ISNA(MATCH(C1108,po_code,0)),"Poste inconnu",IF(D1108="","Cause manquante",IF(ISNA(MATCH(D1108,ca_name,0)),"Cause inconnue",IF(H1108="","Cause à compléter dans Paramètres",IF(OR(NOT(ISNUMBER(E1108)),N(E1108)&lt;=0,N(E1108)&gt;1440),"Durée invalide",IF(COUNTIFS(sj_date,A1108,sj_eq,B1108,sj_po,C1108)=0,"Pas de saisie journalière ce jour-là","OK")))))))))))</f>
        <v/>
      </c>
      <c r="J1108">
        <f>IF(OR(I1108="OK",I1108="Pas de saisie journalière ce jour-là"),E1108,0)</f>
        <v>0.0</v>
      </c>
      <c r="K1108">
        <f>IF(AND(J1108&gt;0,A1108&gt;=p_from,A1108&lt;=p_to),1,0)</f>
        <v>0.0</v>
      </c>
      <c r="L1108">
        <f>IF(AND(K1108=1,OR(pa_po="",C1108=pa_po),OR(pa_eq="",B1108=pa_eq)),1,0)</f>
        <v>0.0</v>
      </c>
    </row>
    <row r="1109">
      <c r="A1109" s="51" t="n"/>
      <c r="B1109" s="52" t="n"/>
      <c r="C1109" s="52" t="n"/>
      <c r="D1109" s="53" t="n"/>
      <c r="E1109" s="60" t="n"/>
      <c r="F1109" s="53" t="n"/>
      <c r="G1109" s="61" t="str">
        <f>IF(OR(COUNTA(A1109:E1109)=0,D1109=""),"",IFERROR(INDEX(ca_fam,MATCH(D1109,ca_name,0))&amp;"",""))</f>
        <v/>
      </c>
      <c r="H1109" s="58" t="str">
        <f>IF(OR(COUNTA(A1109:E1109)=0,D1109=""),"",IFERROR(INDEX(ca_type,MATCH(D1109,ca_name,0))&amp;"",""))</f>
        <v/>
      </c>
      <c r="I1109" s="58" t="str">
        <f>IF(COUNTA(A1109:E1109)=0,"",IF(N(A1109)&lt;=0,"Date manquante ou invalide",IF(B1109="","Équipe manquante",IF(ISNA(MATCH(B1109,eq_code,0)),"Équipe inconnue",IF(C1109="","Poste manquant",IF(ISNA(MATCH(C1109,po_code,0)),"Poste inconnu",IF(D1109="","Cause manquante",IF(ISNA(MATCH(D1109,ca_name,0)),"Cause inconnue",IF(H1109="","Cause à compléter dans Paramètres",IF(OR(NOT(ISNUMBER(E1109)),N(E1109)&lt;=0,N(E1109)&gt;1440),"Durée invalide",IF(COUNTIFS(sj_date,A1109,sj_eq,B1109,sj_po,C1109)=0,"Pas de saisie journalière ce jour-là","OK")))))))))))</f>
        <v/>
      </c>
      <c r="J1109">
        <f>IF(OR(I1109="OK",I1109="Pas de saisie journalière ce jour-là"),E1109,0)</f>
        <v>0.0</v>
      </c>
      <c r="K1109">
        <f>IF(AND(J1109&gt;0,A1109&gt;=p_from,A1109&lt;=p_to),1,0)</f>
        <v>0.0</v>
      </c>
      <c r="L1109">
        <f>IF(AND(K1109=1,OR(pa_po="",C1109=pa_po),OR(pa_eq="",B1109=pa_eq)),1,0)</f>
        <v>0.0</v>
      </c>
    </row>
    <row r="1110">
      <c r="A1110" s="51" t="n"/>
      <c r="B1110" s="52" t="n"/>
      <c r="C1110" s="52" t="n"/>
      <c r="D1110" s="53" t="n"/>
      <c r="E1110" s="60" t="n"/>
      <c r="F1110" s="53" t="n"/>
      <c r="G1110" s="61" t="str">
        <f>IF(OR(COUNTA(A1110:E1110)=0,D1110=""),"",IFERROR(INDEX(ca_fam,MATCH(D1110,ca_name,0))&amp;"",""))</f>
        <v/>
      </c>
      <c r="H1110" s="58" t="str">
        <f>IF(OR(COUNTA(A1110:E1110)=0,D1110=""),"",IFERROR(INDEX(ca_type,MATCH(D1110,ca_name,0))&amp;"",""))</f>
        <v/>
      </c>
      <c r="I1110" s="58" t="str">
        <f>IF(COUNTA(A1110:E1110)=0,"",IF(N(A1110)&lt;=0,"Date manquante ou invalide",IF(B1110="","Équipe manquante",IF(ISNA(MATCH(B1110,eq_code,0)),"Équipe inconnue",IF(C1110="","Poste manquant",IF(ISNA(MATCH(C1110,po_code,0)),"Poste inconnu",IF(D1110="","Cause manquante",IF(ISNA(MATCH(D1110,ca_name,0)),"Cause inconnue",IF(H1110="","Cause à compléter dans Paramètres",IF(OR(NOT(ISNUMBER(E1110)),N(E1110)&lt;=0,N(E1110)&gt;1440),"Durée invalide",IF(COUNTIFS(sj_date,A1110,sj_eq,B1110,sj_po,C1110)=0,"Pas de saisie journalière ce jour-là","OK")))))))))))</f>
        <v/>
      </c>
      <c r="J1110">
        <f>IF(OR(I1110="OK",I1110="Pas de saisie journalière ce jour-là"),E1110,0)</f>
        <v>0.0</v>
      </c>
      <c r="K1110">
        <f>IF(AND(J1110&gt;0,A1110&gt;=p_from,A1110&lt;=p_to),1,0)</f>
        <v>0.0</v>
      </c>
      <c r="L1110">
        <f>IF(AND(K1110=1,OR(pa_po="",C1110=pa_po),OR(pa_eq="",B1110=pa_eq)),1,0)</f>
        <v>0.0</v>
      </c>
    </row>
    <row r="1111">
      <c r="A1111" s="51" t="n"/>
      <c r="B1111" s="52" t="n"/>
      <c r="C1111" s="52" t="n"/>
      <c r="D1111" s="53" t="n"/>
      <c r="E1111" s="60" t="n"/>
      <c r="F1111" s="53" t="n"/>
      <c r="G1111" s="61" t="str">
        <f>IF(OR(COUNTA(A1111:E1111)=0,D1111=""),"",IFERROR(INDEX(ca_fam,MATCH(D1111,ca_name,0))&amp;"",""))</f>
        <v/>
      </c>
      <c r="H1111" s="58" t="str">
        <f>IF(OR(COUNTA(A1111:E1111)=0,D1111=""),"",IFERROR(INDEX(ca_type,MATCH(D1111,ca_name,0))&amp;"",""))</f>
        <v/>
      </c>
      <c r="I1111" s="58" t="str">
        <f>IF(COUNTA(A1111:E1111)=0,"",IF(N(A1111)&lt;=0,"Date manquante ou invalide",IF(B1111="","Équipe manquante",IF(ISNA(MATCH(B1111,eq_code,0)),"Équipe inconnue",IF(C1111="","Poste manquant",IF(ISNA(MATCH(C1111,po_code,0)),"Poste inconnu",IF(D1111="","Cause manquante",IF(ISNA(MATCH(D1111,ca_name,0)),"Cause inconnue",IF(H1111="","Cause à compléter dans Paramètres",IF(OR(NOT(ISNUMBER(E1111)),N(E1111)&lt;=0,N(E1111)&gt;1440),"Durée invalide",IF(COUNTIFS(sj_date,A1111,sj_eq,B1111,sj_po,C1111)=0,"Pas de saisie journalière ce jour-là","OK")))))))))))</f>
        <v/>
      </c>
      <c r="J1111">
        <f>IF(OR(I1111="OK",I1111="Pas de saisie journalière ce jour-là"),E1111,0)</f>
        <v>0.0</v>
      </c>
      <c r="K1111">
        <f>IF(AND(J1111&gt;0,A1111&gt;=p_from,A1111&lt;=p_to),1,0)</f>
        <v>0.0</v>
      </c>
      <c r="L1111">
        <f>IF(AND(K1111=1,OR(pa_po="",C1111=pa_po),OR(pa_eq="",B1111=pa_eq)),1,0)</f>
        <v>0.0</v>
      </c>
    </row>
    <row r="1112">
      <c r="A1112" s="51" t="n"/>
      <c r="B1112" s="52" t="n"/>
      <c r="C1112" s="52" t="n"/>
      <c r="D1112" s="53" t="n"/>
      <c r="E1112" s="60" t="n"/>
      <c r="F1112" s="53" t="n"/>
      <c r="G1112" s="61" t="str">
        <f>IF(OR(COUNTA(A1112:E1112)=0,D1112=""),"",IFERROR(INDEX(ca_fam,MATCH(D1112,ca_name,0))&amp;"",""))</f>
        <v/>
      </c>
      <c r="H1112" s="58" t="str">
        <f>IF(OR(COUNTA(A1112:E1112)=0,D1112=""),"",IFERROR(INDEX(ca_type,MATCH(D1112,ca_name,0))&amp;"",""))</f>
        <v/>
      </c>
      <c r="I1112" s="58" t="str">
        <f>IF(COUNTA(A1112:E1112)=0,"",IF(N(A1112)&lt;=0,"Date manquante ou invalide",IF(B1112="","Équipe manquante",IF(ISNA(MATCH(B1112,eq_code,0)),"Équipe inconnue",IF(C1112="","Poste manquant",IF(ISNA(MATCH(C1112,po_code,0)),"Poste inconnu",IF(D1112="","Cause manquante",IF(ISNA(MATCH(D1112,ca_name,0)),"Cause inconnue",IF(H1112="","Cause à compléter dans Paramètres",IF(OR(NOT(ISNUMBER(E1112)),N(E1112)&lt;=0,N(E1112)&gt;1440),"Durée invalide",IF(COUNTIFS(sj_date,A1112,sj_eq,B1112,sj_po,C1112)=0,"Pas de saisie journalière ce jour-là","OK")))))))))))</f>
        <v/>
      </c>
      <c r="J1112">
        <f>IF(OR(I1112="OK",I1112="Pas de saisie journalière ce jour-là"),E1112,0)</f>
        <v>0.0</v>
      </c>
      <c r="K1112">
        <f>IF(AND(J1112&gt;0,A1112&gt;=p_from,A1112&lt;=p_to),1,0)</f>
        <v>0.0</v>
      </c>
      <c r="L1112">
        <f>IF(AND(K1112=1,OR(pa_po="",C1112=pa_po),OR(pa_eq="",B1112=pa_eq)),1,0)</f>
        <v>0.0</v>
      </c>
    </row>
    <row r="1113">
      <c r="A1113" s="51" t="n"/>
      <c r="B1113" s="52" t="n"/>
      <c r="C1113" s="52" t="n"/>
      <c r="D1113" s="53" t="n"/>
      <c r="E1113" s="60" t="n"/>
      <c r="F1113" s="53" t="n"/>
      <c r="G1113" s="61" t="str">
        <f>IF(OR(COUNTA(A1113:E1113)=0,D1113=""),"",IFERROR(INDEX(ca_fam,MATCH(D1113,ca_name,0))&amp;"",""))</f>
        <v/>
      </c>
      <c r="H1113" s="58" t="str">
        <f>IF(OR(COUNTA(A1113:E1113)=0,D1113=""),"",IFERROR(INDEX(ca_type,MATCH(D1113,ca_name,0))&amp;"",""))</f>
        <v/>
      </c>
      <c r="I1113" s="58" t="str">
        <f>IF(COUNTA(A1113:E1113)=0,"",IF(N(A1113)&lt;=0,"Date manquante ou invalide",IF(B1113="","Équipe manquante",IF(ISNA(MATCH(B1113,eq_code,0)),"Équipe inconnue",IF(C1113="","Poste manquant",IF(ISNA(MATCH(C1113,po_code,0)),"Poste inconnu",IF(D1113="","Cause manquante",IF(ISNA(MATCH(D1113,ca_name,0)),"Cause inconnue",IF(H1113="","Cause à compléter dans Paramètres",IF(OR(NOT(ISNUMBER(E1113)),N(E1113)&lt;=0,N(E1113)&gt;1440),"Durée invalide",IF(COUNTIFS(sj_date,A1113,sj_eq,B1113,sj_po,C1113)=0,"Pas de saisie journalière ce jour-là","OK")))))))))))</f>
        <v/>
      </c>
      <c r="J1113">
        <f>IF(OR(I1113="OK",I1113="Pas de saisie journalière ce jour-là"),E1113,0)</f>
        <v>0.0</v>
      </c>
      <c r="K1113">
        <f>IF(AND(J1113&gt;0,A1113&gt;=p_from,A1113&lt;=p_to),1,0)</f>
        <v>0.0</v>
      </c>
      <c r="L1113">
        <f>IF(AND(K1113=1,OR(pa_po="",C1113=pa_po),OR(pa_eq="",B1113=pa_eq)),1,0)</f>
        <v>0.0</v>
      </c>
    </row>
    <row r="1114">
      <c r="A1114" s="51" t="n"/>
      <c r="B1114" s="52" t="n"/>
      <c r="C1114" s="52" t="n"/>
      <c r="D1114" s="53" t="n"/>
      <c r="E1114" s="60" t="n"/>
      <c r="F1114" s="53" t="n"/>
      <c r="G1114" s="61" t="str">
        <f>IF(OR(COUNTA(A1114:E1114)=0,D1114=""),"",IFERROR(INDEX(ca_fam,MATCH(D1114,ca_name,0))&amp;"",""))</f>
        <v/>
      </c>
      <c r="H1114" s="58" t="str">
        <f>IF(OR(COUNTA(A1114:E1114)=0,D1114=""),"",IFERROR(INDEX(ca_type,MATCH(D1114,ca_name,0))&amp;"",""))</f>
        <v/>
      </c>
      <c r="I1114" s="58" t="str">
        <f>IF(COUNTA(A1114:E1114)=0,"",IF(N(A1114)&lt;=0,"Date manquante ou invalide",IF(B1114="","Équipe manquante",IF(ISNA(MATCH(B1114,eq_code,0)),"Équipe inconnue",IF(C1114="","Poste manquant",IF(ISNA(MATCH(C1114,po_code,0)),"Poste inconnu",IF(D1114="","Cause manquante",IF(ISNA(MATCH(D1114,ca_name,0)),"Cause inconnue",IF(H1114="","Cause à compléter dans Paramètres",IF(OR(NOT(ISNUMBER(E1114)),N(E1114)&lt;=0,N(E1114)&gt;1440),"Durée invalide",IF(COUNTIFS(sj_date,A1114,sj_eq,B1114,sj_po,C1114)=0,"Pas de saisie journalière ce jour-là","OK")))))))))))</f>
        <v/>
      </c>
      <c r="J1114">
        <f>IF(OR(I1114="OK",I1114="Pas de saisie journalière ce jour-là"),E1114,0)</f>
        <v>0.0</v>
      </c>
      <c r="K1114">
        <f>IF(AND(J1114&gt;0,A1114&gt;=p_from,A1114&lt;=p_to),1,0)</f>
        <v>0.0</v>
      </c>
      <c r="L1114">
        <f>IF(AND(K1114=1,OR(pa_po="",C1114=pa_po),OR(pa_eq="",B1114=pa_eq)),1,0)</f>
        <v>0.0</v>
      </c>
    </row>
    <row r="1115">
      <c r="A1115" s="51" t="n"/>
      <c r="B1115" s="52" t="n"/>
      <c r="C1115" s="52" t="n"/>
      <c r="D1115" s="53" t="n"/>
      <c r="E1115" s="60" t="n"/>
      <c r="F1115" s="53" t="n"/>
      <c r="G1115" s="61" t="str">
        <f>IF(OR(COUNTA(A1115:E1115)=0,D1115=""),"",IFERROR(INDEX(ca_fam,MATCH(D1115,ca_name,0))&amp;"",""))</f>
        <v/>
      </c>
      <c r="H1115" s="58" t="str">
        <f>IF(OR(COUNTA(A1115:E1115)=0,D1115=""),"",IFERROR(INDEX(ca_type,MATCH(D1115,ca_name,0))&amp;"",""))</f>
        <v/>
      </c>
      <c r="I1115" s="58" t="str">
        <f>IF(COUNTA(A1115:E1115)=0,"",IF(N(A1115)&lt;=0,"Date manquante ou invalide",IF(B1115="","Équipe manquante",IF(ISNA(MATCH(B1115,eq_code,0)),"Équipe inconnue",IF(C1115="","Poste manquant",IF(ISNA(MATCH(C1115,po_code,0)),"Poste inconnu",IF(D1115="","Cause manquante",IF(ISNA(MATCH(D1115,ca_name,0)),"Cause inconnue",IF(H1115="","Cause à compléter dans Paramètres",IF(OR(NOT(ISNUMBER(E1115)),N(E1115)&lt;=0,N(E1115)&gt;1440),"Durée invalide",IF(COUNTIFS(sj_date,A1115,sj_eq,B1115,sj_po,C1115)=0,"Pas de saisie journalière ce jour-là","OK")))))))))))</f>
        <v/>
      </c>
      <c r="J1115">
        <f>IF(OR(I1115="OK",I1115="Pas de saisie journalière ce jour-là"),E1115,0)</f>
        <v>0.0</v>
      </c>
      <c r="K1115">
        <f>IF(AND(J1115&gt;0,A1115&gt;=p_from,A1115&lt;=p_to),1,0)</f>
        <v>0.0</v>
      </c>
      <c r="L1115">
        <f>IF(AND(K1115=1,OR(pa_po="",C1115=pa_po),OR(pa_eq="",B1115=pa_eq)),1,0)</f>
        <v>0.0</v>
      </c>
    </row>
    <row r="1116">
      <c r="A1116" s="51" t="n"/>
      <c r="B1116" s="52" t="n"/>
      <c r="C1116" s="52" t="n"/>
      <c r="D1116" s="53" t="n"/>
      <c r="E1116" s="60" t="n"/>
      <c r="F1116" s="53" t="n"/>
      <c r="G1116" s="61" t="str">
        <f>IF(OR(COUNTA(A1116:E1116)=0,D1116=""),"",IFERROR(INDEX(ca_fam,MATCH(D1116,ca_name,0))&amp;"",""))</f>
        <v/>
      </c>
      <c r="H1116" s="58" t="str">
        <f>IF(OR(COUNTA(A1116:E1116)=0,D1116=""),"",IFERROR(INDEX(ca_type,MATCH(D1116,ca_name,0))&amp;"",""))</f>
        <v/>
      </c>
      <c r="I1116" s="58" t="str">
        <f>IF(COUNTA(A1116:E1116)=0,"",IF(N(A1116)&lt;=0,"Date manquante ou invalide",IF(B1116="","Équipe manquante",IF(ISNA(MATCH(B1116,eq_code,0)),"Équipe inconnue",IF(C1116="","Poste manquant",IF(ISNA(MATCH(C1116,po_code,0)),"Poste inconnu",IF(D1116="","Cause manquante",IF(ISNA(MATCH(D1116,ca_name,0)),"Cause inconnue",IF(H1116="","Cause à compléter dans Paramètres",IF(OR(NOT(ISNUMBER(E1116)),N(E1116)&lt;=0,N(E1116)&gt;1440),"Durée invalide",IF(COUNTIFS(sj_date,A1116,sj_eq,B1116,sj_po,C1116)=0,"Pas de saisie journalière ce jour-là","OK")))))))))))</f>
        <v/>
      </c>
      <c r="J1116">
        <f>IF(OR(I1116="OK",I1116="Pas de saisie journalière ce jour-là"),E1116,0)</f>
        <v>0.0</v>
      </c>
      <c r="K1116">
        <f>IF(AND(J1116&gt;0,A1116&gt;=p_from,A1116&lt;=p_to),1,0)</f>
        <v>0.0</v>
      </c>
      <c r="L1116">
        <f>IF(AND(K1116=1,OR(pa_po="",C1116=pa_po),OR(pa_eq="",B1116=pa_eq)),1,0)</f>
        <v>0.0</v>
      </c>
    </row>
    <row r="1117">
      <c r="A1117" s="51" t="n"/>
      <c r="B1117" s="52" t="n"/>
      <c r="C1117" s="52" t="n"/>
      <c r="D1117" s="53" t="n"/>
      <c r="E1117" s="60" t="n"/>
      <c r="F1117" s="53" t="n"/>
      <c r="G1117" s="61" t="str">
        <f>IF(OR(COUNTA(A1117:E1117)=0,D1117=""),"",IFERROR(INDEX(ca_fam,MATCH(D1117,ca_name,0))&amp;"",""))</f>
        <v/>
      </c>
      <c r="H1117" s="58" t="str">
        <f>IF(OR(COUNTA(A1117:E1117)=0,D1117=""),"",IFERROR(INDEX(ca_type,MATCH(D1117,ca_name,0))&amp;"",""))</f>
        <v/>
      </c>
      <c r="I1117" s="58" t="str">
        <f>IF(COUNTA(A1117:E1117)=0,"",IF(N(A1117)&lt;=0,"Date manquante ou invalide",IF(B1117="","Équipe manquante",IF(ISNA(MATCH(B1117,eq_code,0)),"Équipe inconnue",IF(C1117="","Poste manquant",IF(ISNA(MATCH(C1117,po_code,0)),"Poste inconnu",IF(D1117="","Cause manquante",IF(ISNA(MATCH(D1117,ca_name,0)),"Cause inconnue",IF(H1117="","Cause à compléter dans Paramètres",IF(OR(NOT(ISNUMBER(E1117)),N(E1117)&lt;=0,N(E1117)&gt;1440),"Durée invalide",IF(COUNTIFS(sj_date,A1117,sj_eq,B1117,sj_po,C1117)=0,"Pas de saisie journalière ce jour-là","OK")))))))))))</f>
        <v/>
      </c>
      <c r="J1117">
        <f>IF(OR(I1117="OK",I1117="Pas de saisie journalière ce jour-là"),E1117,0)</f>
        <v>0.0</v>
      </c>
      <c r="K1117">
        <f>IF(AND(J1117&gt;0,A1117&gt;=p_from,A1117&lt;=p_to),1,0)</f>
        <v>0.0</v>
      </c>
      <c r="L1117">
        <f>IF(AND(K1117=1,OR(pa_po="",C1117=pa_po),OR(pa_eq="",B1117=pa_eq)),1,0)</f>
        <v>0.0</v>
      </c>
    </row>
    <row r="1118">
      <c r="A1118" s="51" t="n"/>
      <c r="B1118" s="52" t="n"/>
      <c r="C1118" s="52" t="n"/>
      <c r="D1118" s="53" t="n"/>
      <c r="E1118" s="60" t="n"/>
      <c r="F1118" s="53" t="n"/>
      <c r="G1118" s="61" t="str">
        <f>IF(OR(COUNTA(A1118:E1118)=0,D1118=""),"",IFERROR(INDEX(ca_fam,MATCH(D1118,ca_name,0))&amp;"",""))</f>
        <v/>
      </c>
      <c r="H1118" s="58" t="str">
        <f>IF(OR(COUNTA(A1118:E1118)=0,D1118=""),"",IFERROR(INDEX(ca_type,MATCH(D1118,ca_name,0))&amp;"",""))</f>
        <v/>
      </c>
      <c r="I1118" s="58" t="str">
        <f>IF(COUNTA(A1118:E1118)=0,"",IF(N(A1118)&lt;=0,"Date manquante ou invalide",IF(B1118="","Équipe manquante",IF(ISNA(MATCH(B1118,eq_code,0)),"Équipe inconnue",IF(C1118="","Poste manquant",IF(ISNA(MATCH(C1118,po_code,0)),"Poste inconnu",IF(D1118="","Cause manquante",IF(ISNA(MATCH(D1118,ca_name,0)),"Cause inconnue",IF(H1118="","Cause à compléter dans Paramètres",IF(OR(NOT(ISNUMBER(E1118)),N(E1118)&lt;=0,N(E1118)&gt;1440),"Durée invalide",IF(COUNTIFS(sj_date,A1118,sj_eq,B1118,sj_po,C1118)=0,"Pas de saisie journalière ce jour-là","OK")))))))))))</f>
        <v/>
      </c>
      <c r="J1118">
        <f>IF(OR(I1118="OK",I1118="Pas de saisie journalière ce jour-là"),E1118,0)</f>
        <v>0.0</v>
      </c>
      <c r="K1118">
        <f>IF(AND(J1118&gt;0,A1118&gt;=p_from,A1118&lt;=p_to),1,0)</f>
        <v>0.0</v>
      </c>
      <c r="L1118">
        <f>IF(AND(K1118=1,OR(pa_po="",C1118=pa_po),OR(pa_eq="",B1118=pa_eq)),1,0)</f>
        <v>0.0</v>
      </c>
    </row>
    <row r="1119">
      <c r="A1119" s="51" t="n"/>
      <c r="B1119" s="52" t="n"/>
      <c r="C1119" s="52" t="n"/>
      <c r="D1119" s="53" t="n"/>
      <c r="E1119" s="60" t="n"/>
      <c r="F1119" s="53" t="n"/>
      <c r="G1119" s="61" t="str">
        <f>IF(OR(COUNTA(A1119:E1119)=0,D1119=""),"",IFERROR(INDEX(ca_fam,MATCH(D1119,ca_name,0))&amp;"",""))</f>
        <v/>
      </c>
      <c r="H1119" s="58" t="str">
        <f>IF(OR(COUNTA(A1119:E1119)=0,D1119=""),"",IFERROR(INDEX(ca_type,MATCH(D1119,ca_name,0))&amp;"",""))</f>
        <v/>
      </c>
      <c r="I1119" s="58" t="str">
        <f>IF(COUNTA(A1119:E1119)=0,"",IF(N(A1119)&lt;=0,"Date manquante ou invalide",IF(B1119="","Équipe manquante",IF(ISNA(MATCH(B1119,eq_code,0)),"Équipe inconnue",IF(C1119="","Poste manquant",IF(ISNA(MATCH(C1119,po_code,0)),"Poste inconnu",IF(D1119="","Cause manquante",IF(ISNA(MATCH(D1119,ca_name,0)),"Cause inconnue",IF(H1119="","Cause à compléter dans Paramètres",IF(OR(NOT(ISNUMBER(E1119)),N(E1119)&lt;=0,N(E1119)&gt;1440),"Durée invalide",IF(COUNTIFS(sj_date,A1119,sj_eq,B1119,sj_po,C1119)=0,"Pas de saisie journalière ce jour-là","OK")))))))))))</f>
        <v/>
      </c>
      <c r="J1119">
        <f>IF(OR(I1119="OK",I1119="Pas de saisie journalière ce jour-là"),E1119,0)</f>
        <v>0.0</v>
      </c>
      <c r="K1119">
        <f>IF(AND(J1119&gt;0,A1119&gt;=p_from,A1119&lt;=p_to),1,0)</f>
        <v>0.0</v>
      </c>
      <c r="L1119">
        <f>IF(AND(K1119=1,OR(pa_po="",C1119=pa_po),OR(pa_eq="",B1119=pa_eq)),1,0)</f>
        <v>0.0</v>
      </c>
    </row>
    <row r="1120">
      <c r="A1120" s="51" t="n"/>
      <c r="B1120" s="52" t="n"/>
      <c r="C1120" s="52" t="n"/>
      <c r="D1120" s="53" t="n"/>
      <c r="E1120" s="60" t="n"/>
      <c r="F1120" s="53" t="n"/>
      <c r="G1120" s="61" t="str">
        <f>IF(OR(COUNTA(A1120:E1120)=0,D1120=""),"",IFERROR(INDEX(ca_fam,MATCH(D1120,ca_name,0))&amp;"",""))</f>
        <v/>
      </c>
      <c r="H1120" s="58" t="str">
        <f>IF(OR(COUNTA(A1120:E1120)=0,D1120=""),"",IFERROR(INDEX(ca_type,MATCH(D1120,ca_name,0))&amp;"",""))</f>
        <v/>
      </c>
      <c r="I1120" s="58" t="str">
        <f>IF(COUNTA(A1120:E1120)=0,"",IF(N(A1120)&lt;=0,"Date manquante ou invalide",IF(B1120="","Équipe manquante",IF(ISNA(MATCH(B1120,eq_code,0)),"Équipe inconnue",IF(C1120="","Poste manquant",IF(ISNA(MATCH(C1120,po_code,0)),"Poste inconnu",IF(D1120="","Cause manquante",IF(ISNA(MATCH(D1120,ca_name,0)),"Cause inconnue",IF(H1120="","Cause à compléter dans Paramètres",IF(OR(NOT(ISNUMBER(E1120)),N(E1120)&lt;=0,N(E1120)&gt;1440),"Durée invalide",IF(COUNTIFS(sj_date,A1120,sj_eq,B1120,sj_po,C1120)=0,"Pas de saisie journalière ce jour-là","OK")))))))))))</f>
        <v/>
      </c>
      <c r="J1120">
        <f>IF(OR(I1120="OK",I1120="Pas de saisie journalière ce jour-là"),E1120,0)</f>
        <v>0.0</v>
      </c>
      <c r="K1120">
        <f>IF(AND(J1120&gt;0,A1120&gt;=p_from,A1120&lt;=p_to),1,0)</f>
        <v>0.0</v>
      </c>
      <c r="L1120">
        <f>IF(AND(K1120=1,OR(pa_po="",C1120=pa_po),OR(pa_eq="",B1120=pa_eq)),1,0)</f>
        <v>0.0</v>
      </c>
    </row>
    <row r="1121">
      <c r="A1121" s="51" t="n"/>
      <c r="B1121" s="52" t="n"/>
      <c r="C1121" s="52" t="n"/>
      <c r="D1121" s="53" t="n"/>
      <c r="E1121" s="60" t="n"/>
      <c r="F1121" s="53" t="n"/>
      <c r="G1121" s="61" t="str">
        <f>IF(OR(COUNTA(A1121:E1121)=0,D1121=""),"",IFERROR(INDEX(ca_fam,MATCH(D1121,ca_name,0))&amp;"",""))</f>
        <v/>
      </c>
      <c r="H1121" s="58" t="str">
        <f>IF(OR(COUNTA(A1121:E1121)=0,D1121=""),"",IFERROR(INDEX(ca_type,MATCH(D1121,ca_name,0))&amp;"",""))</f>
        <v/>
      </c>
      <c r="I1121" s="58" t="str">
        <f>IF(COUNTA(A1121:E1121)=0,"",IF(N(A1121)&lt;=0,"Date manquante ou invalide",IF(B1121="","Équipe manquante",IF(ISNA(MATCH(B1121,eq_code,0)),"Équipe inconnue",IF(C1121="","Poste manquant",IF(ISNA(MATCH(C1121,po_code,0)),"Poste inconnu",IF(D1121="","Cause manquante",IF(ISNA(MATCH(D1121,ca_name,0)),"Cause inconnue",IF(H1121="","Cause à compléter dans Paramètres",IF(OR(NOT(ISNUMBER(E1121)),N(E1121)&lt;=0,N(E1121)&gt;1440),"Durée invalide",IF(COUNTIFS(sj_date,A1121,sj_eq,B1121,sj_po,C1121)=0,"Pas de saisie journalière ce jour-là","OK")))))))))))</f>
        <v/>
      </c>
      <c r="J1121">
        <f>IF(OR(I1121="OK",I1121="Pas de saisie journalière ce jour-là"),E1121,0)</f>
        <v>0.0</v>
      </c>
      <c r="K1121">
        <f>IF(AND(J1121&gt;0,A1121&gt;=p_from,A1121&lt;=p_to),1,0)</f>
        <v>0.0</v>
      </c>
      <c r="L1121">
        <f>IF(AND(K1121=1,OR(pa_po="",C1121=pa_po),OR(pa_eq="",B1121=pa_eq)),1,0)</f>
        <v>0.0</v>
      </c>
    </row>
    <row r="1122">
      <c r="A1122" s="51" t="n"/>
      <c r="B1122" s="52" t="n"/>
      <c r="C1122" s="52" t="n"/>
      <c r="D1122" s="53" t="n"/>
      <c r="E1122" s="60" t="n"/>
      <c r="F1122" s="53" t="n"/>
      <c r="G1122" s="61" t="str">
        <f>IF(OR(COUNTA(A1122:E1122)=0,D1122=""),"",IFERROR(INDEX(ca_fam,MATCH(D1122,ca_name,0))&amp;"",""))</f>
        <v/>
      </c>
      <c r="H1122" s="58" t="str">
        <f>IF(OR(COUNTA(A1122:E1122)=0,D1122=""),"",IFERROR(INDEX(ca_type,MATCH(D1122,ca_name,0))&amp;"",""))</f>
        <v/>
      </c>
      <c r="I1122" s="58" t="str">
        <f>IF(COUNTA(A1122:E1122)=0,"",IF(N(A1122)&lt;=0,"Date manquante ou invalide",IF(B1122="","Équipe manquante",IF(ISNA(MATCH(B1122,eq_code,0)),"Équipe inconnue",IF(C1122="","Poste manquant",IF(ISNA(MATCH(C1122,po_code,0)),"Poste inconnu",IF(D1122="","Cause manquante",IF(ISNA(MATCH(D1122,ca_name,0)),"Cause inconnue",IF(H1122="","Cause à compléter dans Paramètres",IF(OR(NOT(ISNUMBER(E1122)),N(E1122)&lt;=0,N(E1122)&gt;1440),"Durée invalide",IF(COUNTIFS(sj_date,A1122,sj_eq,B1122,sj_po,C1122)=0,"Pas de saisie journalière ce jour-là","OK")))))))))))</f>
        <v/>
      </c>
      <c r="J1122">
        <f>IF(OR(I1122="OK",I1122="Pas de saisie journalière ce jour-là"),E1122,0)</f>
        <v>0.0</v>
      </c>
      <c r="K1122">
        <f>IF(AND(J1122&gt;0,A1122&gt;=p_from,A1122&lt;=p_to),1,0)</f>
        <v>0.0</v>
      </c>
      <c r="L1122">
        <f>IF(AND(K1122=1,OR(pa_po="",C1122=pa_po),OR(pa_eq="",B1122=pa_eq)),1,0)</f>
        <v>0.0</v>
      </c>
    </row>
    <row r="1123">
      <c r="A1123" s="51" t="n"/>
      <c r="B1123" s="52" t="n"/>
      <c r="C1123" s="52" t="n"/>
      <c r="D1123" s="53" t="n"/>
      <c r="E1123" s="60" t="n"/>
      <c r="F1123" s="53" t="n"/>
      <c r="G1123" s="61" t="str">
        <f>IF(OR(COUNTA(A1123:E1123)=0,D1123=""),"",IFERROR(INDEX(ca_fam,MATCH(D1123,ca_name,0))&amp;"",""))</f>
        <v/>
      </c>
      <c r="H1123" s="58" t="str">
        <f>IF(OR(COUNTA(A1123:E1123)=0,D1123=""),"",IFERROR(INDEX(ca_type,MATCH(D1123,ca_name,0))&amp;"",""))</f>
        <v/>
      </c>
      <c r="I1123" s="58" t="str">
        <f>IF(COUNTA(A1123:E1123)=0,"",IF(N(A1123)&lt;=0,"Date manquante ou invalide",IF(B1123="","Équipe manquante",IF(ISNA(MATCH(B1123,eq_code,0)),"Équipe inconnue",IF(C1123="","Poste manquant",IF(ISNA(MATCH(C1123,po_code,0)),"Poste inconnu",IF(D1123="","Cause manquante",IF(ISNA(MATCH(D1123,ca_name,0)),"Cause inconnue",IF(H1123="","Cause à compléter dans Paramètres",IF(OR(NOT(ISNUMBER(E1123)),N(E1123)&lt;=0,N(E1123)&gt;1440),"Durée invalide",IF(COUNTIFS(sj_date,A1123,sj_eq,B1123,sj_po,C1123)=0,"Pas de saisie journalière ce jour-là","OK")))))))))))</f>
        <v/>
      </c>
      <c r="J1123">
        <f>IF(OR(I1123="OK",I1123="Pas de saisie journalière ce jour-là"),E1123,0)</f>
        <v>0.0</v>
      </c>
      <c r="K1123">
        <f>IF(AND(J1123&gt;0,A1123&gt;=p_from,A1123&lt;=p_to),1,0)</f>
        <v>0.0</v>
      </c>
      <c r="L1123">
        <f>IF(AND(K1123=1,OR(pa_po="",C1123=pa_po),OR(pa_eq="",B1123=pa_eq)),1,0)</f>
        <v>0.0</v>
      </c>
    </row>
    <row r="1124">
      <c r="A1124" s="51" t="n"/>
      <c r="B1124" s="52" t="n"/>
      <c r="C1124" s="52" t="n"/>
      <c r="D1124" s="53" t="n"/>
      <c r="E1124" s="60" t="n"/>
      <c r="F1124" s="53" t="n"/>
      <c r="G1124" s="61" t="str">
        <f>IF(OR(COUNTA(A1124:E1124)=0,D1124=""),"",IFERROR(INDEX(ca_fam,MATCH(D1124,ca_name,0))&amp;"",""))</f>
        <v/>
      </c>
      <c r="H1124" s="58" t="str">
        <f>IF(OR(COUNTA(A1124:E1124)=0,D1124=""),"",IFERROR(INDEX(ca_type,MATCH(D1124,ca_name,0))&amp;"",""))</f>
        <v/>
      </c>
      <c r="I1124" s="58" t="str">
        <f>IF(COUNTA(A1124:E1124)=0,"",IF(N(A1124)&lt;=0,"Date manquante ou invalide",IF(B1124="","Équipe manquante",IF(ISNA(MATCH(B1124,eq_code,0)),"Équipe inconnue",IF(C1124="","Poste manquant",IF(ISNA(MATCH(C1124,po_code,0)),"Poste inconnu",IF(D1124="","Cause manquante",IF(ISNA(MATCH(D1124,ca_name,0)),"Cause inconnue",IF(H1124="","Cause à compléter dans Paramètres",IF(OR(NOT(ISNUMBER(E1124)),N(E1124)&lt;=0,N(E1124)&gt;1440),"Durée invalide",IF(COUNTIFS(sj_date,A1124,sj_eq,B1124,sj_po,C1124)=0,"Pas de saisie journalière ce jour-là","OK")))))))))))</f>
        <v/>
      </c>
      <c r="J1124">
        <f>IF(OR(I1124="OK",I1124="Pas de saisie journalière ce jour-là"),E1124,0)</f>
        <v>0.0</v>
      </c>
      <c r="K1124">
        <f>IF(AND(J1124&gt;0,A1124&gt;=p_from,A1124&lt;=p_to),1,0)</f>
        <v>0.0</v>
      </c>
      <c r="L1124">
        <f>IF(AND(K1124=1,OR(pa_po="",C1124=pa_po),OR(pa_eq="",B1124=pa_eq)),1,0)</f>
        <v>0.0</v>
      </c>
    </row>
    <row r="1125">
      <c r="A1125" s="51" t="n"/>
      <c r="B1125" s="52" t="n"/>
      <c r="C1125" s="52" t="n"/>
      <c r="D1125" s="53" t="n"/>
      <c r="E1125" s="60" t="n"/>
      <c r="F1125" s="53" t="n"/>
      <c r="G1125" s="61" t="str">
        <f>IF(OR(COUNTA(A1125:E1125)=0,D1125=""),"",IFERROR(INDEX(ca_fam,MATCH(D1125,ca_name,0))&amp;"",""))</f>
        <v/>
      </c>
      <c r="H1125" s="58" t="str">
        <f>IF(OR(COUNTA(A1125:E1125)=0,D1125=""),"",IFERROR(INDEX(ca_type,MATCH(D1125,ca_name,0))&amp;"",""))</f>
        <v/>
      </c>
      <c r="I1125" s="58" t="str">
        <f>IF(COUNTA(A1125:E1125)=0,"",IF(N(A1125)&lt;=0,"Date manquante ou invalide",IF(B1125="","Équipe manquante",IF(ISNA(MATCH(B1125,eq_code,0)),"Équipe inconnue",IF(C1125="","Poste manquant",IF(ISNA(MATCH(C1125,po_code,0)),"Poste inconnu",IF(D1125="","Cause manquante",IF(ISNA(MATCH(D1125,ca_name,0)),"Cause inconnue",IF(H1125="","Cause à compléter dans Paramètres",IF(OR(NOT(ISNUMBER(E1125)),N(E1125)&lt;=0,N(E1125)&gt;1440),"Durée invalide",IF(COUNTIFS(sj_date,A1125,sj_eq,B1125,sj_po,C1125)=0,"Pas de saisie journalière ce jour-là","OK")))))))))))</f>
        <v/>
      </c>
      <c r="J1125">
        <f>IF(OR(I1125="OK",I1125="Pas de saisie journalière ce jour-là"),E1125,0)</f>
        <v>0.0</v>
      </c>
      <c r="K1125">
        <f>IF(AND(J1125&gt;0,A1125&gt;=p_from,A1125&lt;=p_to),1,0)</f>
        <v>0.0</v>
      </c>
      <c r="L1125">
        <f>IF(AND(K1125=1,OR(pa_po="",C1125=pa_po),OR(pa_eq="",B1125=pa_eq)),1,0)</f>
        <v>0.0</v>
      </c>
    </row>
    <row r="1126">
      <c r="A1126" s="51" t="n"/>
      <c r="B1126" s="52" t="n"/>
      <c r="C1126" s="52" t="n"/>
      <c r="D1126" s="53" t="n"/>
      <c r="E1126" s="60" t="n"/>
      <c r="F1126" s="53" t="n"/>
      <c r="G1126" s="61" t="str">
        <f>IF(OR(COUNTA(A1126:E1126)=0,D1126=""),"",IFERROR(INDEX(ca_fam,MATCH(D1126,ca_name,0))&amp;"",""))</f>
        <v/>
      </c>
      <c r="H1126" s="58" t="str">
        <f>IF(OR(COUNTA(A1126:E1126)=0,D1126=""),"",IFERROR(INDEX(ca_type,MATCH(D1126,ca_name,0))&amp;"",""))</f>
        <v/>
      </c>
      <c r="I1126" s="58" t="str">
        <f>IF(COUNTA(A1126:E1126)=0,"",IF(N(A1126)&lt;=0,"Date manquante ou invalide",IF(B1126="","Équipe manquante",IF(ISNA(MATCH(B1126,eq_code,0)),"Équipe inconnue",IF(C1126="","Poste manquant",IF(ISNA(MATCH(C1126,po_code,0)),"Poste inconnu",IF(D1126="","Cause manquante",IF(ISNA(MATCH(D1126,ca_name,0)),"Cause inconnue",IF(H1126="","Cause à compléter dans Paramètres",IF(OR(NOT(ISNUMBER(E1126)),N(E1126)&lt;=0,N(E1126)&gt;1440),"Durée invalide",IF(COUNTIFS(sj_date,A1126,sj_eq,B1126,sj_po,C1126)=0,"Pas de saisie journalière ce jour-là","OK")))))))))))</f>
        <v/>
      </c>
      <c r="J1126">
        <f>IF(OR(I1126="OK",I1126="Pas de saisie journalière ce jour-là"),E1126,0)</f>
        <v>0.0</v>
      </c>
      <c r="K1126">
        <f>IF(AND(J1126&gt;0,A1126&gt;=p_from,A1126&lt;=p_to),1,0)</f>
        <v>0.0</v>
      </c>
      <c r="L1126">
        <f>IF(AND(K1126=1,OR(pa_po="",C1126=pa_po),OR(pa_eq="",B1126=pa_eq)),1,0)</f>
        <v>0.0</v>
      </c>
    </row>
    <row r="1127">
      <c r="A1127" s="51" t="n"/>
      <c r="B1127" s="52" t="n"/>
      <c r="C1127" s="52" t="n"/>
      <c r="D1127" s="53" t="n"/>
      <c r="E1127" s="60" t="n"/>
      <c r="F1127" s="53" t="n"/>
      <c r="G1127" s="61" t="str">
        <f>IF(OR(COUNTA(A1127:E1127)=0,D1127=""),"",IFERROR(INDEX(ca_fam,MATCH(D1127,ca_name,0))&amp;"",""))</f>
        <v/>
      </c>
      <c r="H1127" s="58" t="str">
        <f>IF(OR(COUNTA(A1127:E1127)=0,D1127=""),"",IFERROR(INDEX(ca_type,MATCH(D1127,ca_name,0))&amp;"",""))</f>
        <v/>
      </c>
      <c r="I1127" s="58" t="str">
        <f>IF(COUNTA(A1127:E1127)=0,"",IF(N(A1127)&lt;=0,"Date manquante ou invalide",IF(B1127="","Équipe manquante",IF(ISNA(MATCH(B1127,eq_code,0)),"Équipe inconnue",IF(C1127="","Poste manquant",IF(ISNA(MATCH(C1127,po_code,0)),"Poste inconnu",IF(D1127="","Cause manquante",IF(ISNA(MATCH(D1127,ca_name,0)),"Cause inconnue",IF(H1127="","Cause à compléter dans Paramètres",IF(OR(NOT(ISNUMBER(E1127)),N(E1127)&lt;=0,N(E1127)&gt;1440),"Durée invalide",IF(COUNTIFS(sj_date,A1127,sj_eq,B1127,sj_po,C1127)=0,"Pas de saisie journalière ce jour-là","OK")))))))))))</f>
        <v/>
      </c>
      <c r="J1127">
        <f>IF(OR(I1127="OK",I1127="Pas de saisie journalière ce jour-là"),E1127,0)</f>
        <v>0.0</v>
      </c>
      <c r="K1127">
        <f>IF(AND(J1127&gt;0,A1127&gt;=p_from,A1127&lt;=p_to),1,0)</f>
        <v>0.0</v>
      </c>
      <c r="L1127">
        <f>IF(AND(K1127=1,OR(pa_po="",C1127=pa_po),OR(pa_eq="",B1127=pa_eq)),1,0)</f>
        <v>0.0</v>
      </c>
    </row>
    <row r="1128">
      <c r="A1128" s="51" t="n"/>
      <c r="B1128" s="52" t="n"/>
      <c r="C1128" s="52" t="n"/>
      <c r="D1128" s="53" t="n"/>
      <c r="E1128" s="60" t="n"/>
      <c r="F1128" s="53" t="n"/>
      <c r="G1128" s="61" t="str">
        <f>IF(OR(COUNTA(A1128:E1128)=0,D1128=""),"",IFERROR(INDEX(ca_fam,MATCH(D1128,ca_name,0))&amp;"",""))</f>
        <v/>
      </c>
      <c r="H1128" s="58" t="str">
        <f>IF(OR(COUNTA(A1128:E1128)=0,D1128=""),"",IFERROR(INDEX(ca_type,MATCH(D1128,ca_name,0))&amp;"",""))</f>
        <v/>
      </c>
      <c r="I1128" s="58" t="str">
        <f>IF(COUNTA(A1128:E1128)=0,"",IF(N(A1128)&lt;=0,"Date manquante ou invalide",IF(B1128="","Équipe manquante",IF(ISNA(MATCH(B1128,eq_code,0)),"Équipe inconnue",IF(C1128="","Poste manquant",IF(ISNA(MATCH(C1128,po_code,0)),"Poste inconnu",IF(D1128="","Cause manquante",IF(ISNA(MATCH(D1128,ca_name,0)),"Cause inconnue",IF(H1128="","Cause à compléter dans Paramètres",IF(OR(NOT(ISNUMBER(E1128)),N(E1128)&lt;=0,N(E1128)&gt;1440),"Durée invalide",IF(COUNTIFS(sj_date,A1128,sj_eq,B1128,sj_po,C1128)=0,"Pas de saisie journalière ce jour-là","OK")))))))))))</f>
        <v/>
      </c>
      <c r="J1128">
        <f>IF(OR(I1128="OK",I1128="Pas de saisie journalière ce jour-là"),E1128,0)</f>
        <v>0.0</v>
      </c>
      <c r="K1128">
        <f>IF(AND(J1128&gt;0,A1128&gt;=p_from,A1128&lt;=p_to),1,0)</f>
        <v>0.0</v>
      </c>
      <c r="L1128">
        <f>IF(AND(K1128=1,OR(pa_po="",C1128=pa_po),OR(pa_eq="",B1128=pa_eq)),1,0)</f>
        <v>0.0</v>
      </c>
    </row>
    <row r="1129">
      <c r="A1129" s="51" t="n"/>
      <c r="B1129" s="52" t="n"/>
      <c r="C1129" s="52" t="n"/>
      <c r="D1129" s="53" t="n"/>
      <c r="E1129" s="60" t="n"/>
      <c r="F1129" s="53" t="n"/>
      <c r="G1129" s="61" t="str">
        <f>IF(OR(COUNTA(A1129:E1129)=0,D1129=""),"",IFERROR(INDEX(ca_fam,MATCH(D1129,ca_name,0))&amp;"",""))</f>
        <v/>
      </c>
      <c r="H1129" s="58" t="str">
        <f>IF(OR(COUNTA(A1129:E1129)=0,D1129=""),"",IFERROR(INDEX(ca_type,MATCH(D1129,ca_name,0))&amp;"",""))</f>
        <v/>
      </c>
      <c r="I1129" s="58" t="str">
        <f>IF(COUNTA(A1129:E1129)=0,"",IF(N(A1129)&lt;=0,"Date manquante ou invalide",IF(B1129="","Équipe manquante",IF(ISNA(MATCH(B1129,eq_code,0)),"Équipe inconnue",IF(C1129="","Poste manquant",IF(ISNA(MATCH(C1129,po_code,0)),"Poste inconnu",IF(D1129="","Cause manquante",IF(ISNA(MATCH(D1129,ca_name,0)),"Cause inconnue",IF(H1129="","Cause à compléter dans Paramètres",IF(OR(NOT(ISNUMBER(E1129)),N(E1129)&lt;=0,N(E1129)&gt;1440),"Durée invalide",IF(COUNTIFS(sj_date,A1129,sj_eq,B1129,sj_po,C1129)=0,"Pas de saisie journalière ce jour-là","OK")))))))))))</f>
        <v/>
      </c>
      <c r="J1129">
        <f>IF(OR(I1129="OK",I1129="Pas de saisie journalière ce jour-là"),E1129,0)</f>
        <v>0.0</v>
      </c>
      <c r="K1129">
        <f>IF(AND(J1129&gt;0,A1129&gt;=p_from,A1129&lt;=p_to),1,0)</f>
        <v>0.0</v>
      </c>
      <c r="L1129">
        <f>IF(AND(K1129=1,OR(pa_po="",C1129=pa_po),OR(pa_eq="",B1129=pa_eq)),1,0)</f>
        <v>0.0</v>
      </c>
    </row>
    <row r="1130">
      <c r="A1130" s="51" t="n"/>
      <c r="B1130" s="52" t="n"/>
      <c r="C1130" s="52" t="n"/>
      <c r="D1130" s="53" t="n"/>
      <c r="E1130" s="60" t="n"/>
      <c r="F1130" s="53" t="n"/>
      <c r="G1130" s="61" t="str">
        <f>IF(OR(COUNTA(A1130:E1130)=0,D1130=""),"",IFERROR(INDEX(ca_fam,MATCH(D1130,ca_name,0))&amp;"",""))</f>
        <v/>
      </c>
      <c r="H1130" s="58" t="str">
        <f>IF(OR(COUNTA(A1130:E1130)=0,D1130=""),"",IFERROR(INDEX(ca_type,MATCH(D1130,ca_name,0))&amp;"",""))</f>
        <v/>
      </c>
      <c r="I1130" s="58" t="str">
        <f>IF(COUNTA(A1130:E1130)=0,"",IF(N(A1130)&lt;=0,"Date manquante ou invalide",IF(B1130="","Équipe manquante",IF(ISNA(MATCH(B1130,eq_code,0)),"Équipe inconnue",IF(C1130="","Poste manquant",IF(ISNA(MATCH(C1130,po_code,0)),"Poste inconnu",IF(D1130="","Cause manquante",IF(ISNA(MATCH(D1130,ca_name,0)),"Cause inconnue",IF(H1130="","Cause à compléter dans Paramètres",IF(OR(NOT(ISNUMBER(E1130)),N(E1130)&lt;=0,N(E1130)&gt;1440),"Durée invalide",IF(COUNTIFS(sj_date,A1130,sj_eq,B1130,sj_po,C1130)=0,"Pas de saisie journalière ce jour-là","OK")))))))))))</f>
        <v/>
      </c>
      <c r="J1130">
        <f>IF(OR(I1130="OK",I1130="Pas de saisie journalière ce jour-là"),E1130,0)</f>
        <v>0.0</v>
      </c>
      <c r="K1130">
        <f>IF(AND(J1130&gt;0,A1130&gt;=p_from,A1130&lt;=p_to),1,0)</f>
        <v>0.0</v>
      </c>
      <c r="L1130">
        <f>IF(AND(K1130=1,OR(pa_po="",C1130=pa_po),OR(pa_eq="",B1130=pa_eq)),1,0)</f>
        <v>0.0</v>
      </c>
    </row>
    <row r="1131">
      <c r="A1131" s="51" t="n"/>
      <c r="B1131" s="52" t="n"/>
      <c r="C1131" s="52" t="n"/>
      <c r="D1131" s="53" t="n"/>
      <c r="E1131" s="60" t="n"/>
      <c r="F1131" s="53" t="n"/>
      <c r="G1131" s="61" t="str">
        <f>IF(OR(COUNTA(A1131:E1131)=0,D1131=""),"",IFERROR(INDEX(ca_fam,MATCH(D1131,ca_name,0))&amp;"",""))</f>
        <v/>
      </c>
      <c r="H1131" s="58" t="str">
        <f>IF(OR(COUNTA(A1131:E1131)=0,D1131=""),"",IFERROR(INDEX(ca_type,MATCH(D1131,ca_name,0))&amp;"",""))</f>
        <v/>
      </c>
      <c r="I1131" s="58" t="str">
        <f>IF(COUNTA(A1131:E1131)=0,"",IF(N(A1131)&lt;=0,"Date manquante ou invalide",IF(B1131="","Équipe manquante",IF(ISNA(MATCH(B1131,eq_code,0)),"Équipe inconnue",IF(C1131="","Poste manquant",IF(ISNA(MATCH(C1131,po_code,0)),"Poste inconnu",IF(D1131="","Cause manquante",IF(ISNA(MATCH(D1131,ca_name,0)),"Cause inconnue",IF(H1131="","Cause à compléter dans Paramètres",IF(OR(NOT(ISNUMBER(E1131)),N(E1131)&lt;=0,N(E1131)&gt;1440),"Durée invalide",IF(COUNTIFS(sj_date,A1131,sj_eq,B1131,sj_po,C1131)=0,"Pas de saisie journalière ce jour-là","OK")))))))))))</f>
        <v/>
      </c>
      <c r="J1131">
        <f>IF(OR(I1131="OK",I1131="Pas de saisie journalière ce jour-là"),E1131,0)</f>
        <v>0.0</v>
      </c>
      <c r="K1131">
        <f>IF(AND(J1131&gt;0,A1131&gt;=p_from,A1131&lt;=p_to),1,0)</f>
        <v>0.0</v>
      </c>
      <c r="L1131">
        <f>IF(AND(K1131=1,OR(pa_po="",C1131=pa_po),OR(pa_eq="",B1131=pa_eq)),1,0)</f>
        <v>0.0</v>
      </c>
    </row>
    <row r="1132">
      <c r="A1132" s="51" t="n"/>
      <c r="B1132" s="52" t="n"/>
      <c r="C1132" s="52" t="n"/>
      <c r="D1132" s="53" t="n"/>
      <c r="E1132" s="60" t="n"/>
      <c r="F1132" s="53" t="n"/>
      <c r="G1132" s="61" t="str">
        <f>IF(OR(COUNTA(A1132:E1132)=0,D1132=""),"",IFERROR(INDEX(ca_fam,MATCH(D1132,ca_name,0))&amp;"",""))</f>
        <v/>
      </c>
      <c r="H1132" s="58" t="str">
        <f>IF(OR(COUNTA(A1132:E1132)=0,D1132=""),"",IFERROR(INDEX(ca_type,MATCH(D1132,ca_name,0))&amp;"",""))</f>
        <v/>
      </c>
      <c r="I1132" s="58" t="str">
        <f>IF(COUNTA(A1132:E1132)=0,"",IF(N(A1132)&lt;=0,"Date manquante ou invalide",IF(B1132="","Équipe manquante",IF(ISNA(MATCH(B1132,eq_code,0)),"Équipe inconnue",IF(C1132="","Poste manquant",IF(ISNA(MATCH(C1132,po_code,0)),"Poste inconnu",IF(D1132="","Cause manquante",IF(ISNA(MATCH(D1132,ca_name,0)),"Cause inconnue",IF(H1132="","Cause à compléter dans Paramètres",IF(OR(NOT(ISNUMBER(E1132)),N(E1132)&lt;=0,N(E1132)&gt;1440),"Durée invalide",IF(COUNTIFS(sj_date,A1132,sj_eq,B1132,sj_po,C1132)=0,"Pas de saisie journalière ce jour-là","OK")))))))))))</f>
        <v/>
      </c>
      <c r="J1132">
        <f>IF(OR(I1132="OK",I1132="Pas de saisie journalière ce jour-là"),E1132,0)</f>
        <v>0.0</v>
      </c>
      <c r="K1132">
        <f>IF(AND(J1132&gt;0,A1132&gt;=p_from,A1132&lt;=p_to),1,0)</f>
        <v>0.0</v>
      </c>
      <c r="L1132">
        <f>IF(AND(K1132=1,OR(pa_po="",C1132=pa_po),OR(pa_eq="",B1132=pa_eq)),1,0)</f>
        <v>0.0</v>
      </c>
    </row>
    <row r="1133">
      <c r="A1133" s="51" t="n"/>
      <c r="B1133" s="52" t="n"/>
      <c r="C1133" s="52" t="n"/>
      <c r="D1133" s="53" t="n"/>
      <c r="E1133" s="60" t="n"/>
      <c r="F1133" s="53" t="n"/>
      <c r="G1133" s="61" t="str">
        <f>IF(OR(COUNTA(A1133:E1133)=0,D1133=""),"",IFERROR(INDEX(ca_fam,MATCH(D1133,ca_name,0))&amp;"",""))</f>
        <v/>
      </c>
      <c r="H1133" s="58" t="str">
        <f>IF(OR(COUNTA(A1133:E1133)=0,D1133=""),"",IFERROR(INDEX(ca_type,MATCH(D1133,ca_name,0))&amp;"",""))</f>
        <v/>
      </c>
      <c r="I1133" s="58" t="str">
        <f>IF(COUNTA(A1133:E1133)=0,"",IF(N(A1133)&lt;=0,"Date manquante ou invalide",IF(B1133="","Équipe manquante",IF(ISNA(MATCH(B1133,eq_code,0)),"Équipe inconnue",IF(C1133="","Poste manquant",IF(ISNA(MATCH(C1133,po_code,0)),"Poste inconnu",IF(D1133="","Cause manquante",IF(ISNA(MATCH(D1133,ca_name,0)),"Cause inconnue",IF(H1133="","Cause à compléter dans Paramètres",IF(OR(NOT(ISNUMBER(E1133)),N(E1133)&lt;=0,N(E1133)&gt;1440),"Durée invalide",IF(COUNTIFS(sj_date,A1133,sj_eq,B1133,sj_po,C1133)=0,"Pas de saisie journalière ce jour-là","OK")))))))))))</f>
        <v/>
      </c>
      <c r="J1133">
        <f>IF(OR(I1133="OK",I1133="Pas de saisie journalière ce jour-là"),E1133,0)</f>
        <v>0.0</v>
      </c>
      <c r="K1133">
        <f>IF(AND(J1133&gt;0,A1133&gt;=p_from,A1133&lt;=p_to),1,0)</f>
        <v>0.0</v>
      </c>
      <c r="L1133">
        <f>IF(AND(K1133=1,OR(pa_po="",C1133=pa_po),OR(pa_eq="",B1133=pa_eq)),1,0)</f>
        <v>0.0</v>
      </c>
    </row>
    <row r="1134">
      <c r="A1134" s="51" t="n"/>
      <c r="B1134" s="52" t="n"/>
      <c r="C1134" s="52" t="n"/>
      <c r="D1134" s="53" t="n"/>
      <c r="E1134" s="60" t="n"/>
      <c r="F1134" s="53" t="n"/>
      <c r="G1134" s="61" t="str">
        <f>IF(OR(COUNTA(A1134:E1134)=0,D1134=""),"",IFERROR(INDEX(ca_fam,MATCH(D1134,ca_name,0))&amp;"",""))</f>
        <v/>
      </c>
      <c r="H1134" s="58" t="str">
        <f>IF(OR(COUNTA(A1134:E1134)=0,D1134=""),"",IFERROR(INDEX(ca_type,MATCH(D1134,ca_name,0))&amp;"",""))</f>
        <v/>
      </c>
      <c r="I1134" s="58" t="str">
        <f>IF(COUNTA(A1134:E1134)=0,"",IF(N(A1134)&lt;=0,"Date manquante ou invalide",IF(B1134="","Équipe manquante",IF(ISNA(MATCH(B1134,eq_code,0)),"Équipe inconnue",IF(C1134="","Poste manquant",IF(ISNA(MATCH(C1134,po_code,0)),"Poste inconnu",IF(D1134="","Cause manquante",IF(ISNA(MATCH(D1134,ca_name,0)),"Cause inconnue",IF(H1134="","Cause à compléter dans Paramètres",IF(OR(NOT(ISNUMBER(E1134)),N(E1134)&lt;=0,N(E1134)&gt;1440),"Durée invalide",IF(COUNTIFS(sj_date,A1134,sj_eq,B1134,sj_po,C1134)=0,"Pas de saisie journalière ce jour-là","OK")))))))))))</f>
        <v/>
      </c>
      <c r="J1134">
        <f>IF(OR(I1134="OK",I1134="Pas de saisie journalière ce jour-là"),E1134,0)</f>
        <v>0.0</v>
      </c>
      <c r="K1134">
        <f>IF(AND(J1134&gt;0,A1134&gt;=p_from,A1134&lt;=p_to),1,0)</f>
        <v>0.0</v>
      </c>
      <c r="L1134">
        <f>IF(AND(K1134=1,OR(pa_po="",C1134=pa_po),OR(pa_eq="",B1134=pa_eq)),1,0)</f>
        <v>0.0</v>
      </c>
    </row>
    <row r="1135">
      <c r="A1135" s="51" t="n"/>
      <c r="B1135" s="52" t="n"/>
      <c r="C1135" s="52" t="n"/>
      <c r="D1135" s="53" t="n"/>
      <c r="E1135" s="60" t="n"/>
      <c r="F1135" s="53" t="n"/>
      <c r="G1135" s="61" t="str">
        <f>IF(OR(COUNTA(A1135:E1135)=0,D1135=""),"",IFERROR(INDEX(ca_fam,MATCH(D1135,ca_name,0))&amp;"",""))</f>
        <v/>
      </c>
      <c r="H1135" s="58" t="str">
        <f>IF(OR(COUNTA(A1135:E1135)=0,D1135=""),"",IFERROR(INDEX(ca_type,MATCH(D1135,ca_name,0))&amp;"",""))</f>
        <v/>
      </c>
      <c r="I1135" s="58" t="str">
        <f>IF(COUNTA(A1135:E1135)=0,"",IF(N(A1135)&lt;=0,"Date manquante ou invalide",IF(B1135="","Équipe manquante",IF(ISNA(MATCH(B1135,eq_code,0)),"Équipe inconnue",IF(C1135="","Poste manquant",IF(ISNA(MATCH(C1135,po_code,0)),"Poste inconnu",IF(D1135="","Cause manquante",IF(ISNA(MATCH(D1135,ca_name,0)),"Cause inconnue",IF(H1135="","Cause à compléter dans Paramètres",IF(OR(NOT(ISNUMBER(E1135)),N(E1135)&lt;=0,N(E1135)&gt;1440),"Durée invalide",IF(COUNTIFS(sj_date,A1135,sj_eq,B1135,sj_po,C1135)=0,"Pas de saisie journalière ce jour-là","OK")))))))))))</f>
        <v/>
      </c>
      <c r="J1135">
        <f>IF(OR(I1135="OK",I1135="Pas de saisie journalière ce jour-là"),E1135,0)</f>
        <v>0.0</v>
      </c>
      <c r="K1135">
        <f>IF(AND(J1135&gt;0,A1135&gt;=p_from,A1135&lt;=p_to),1,0)</f>
        <v>0.0</v>
      </c>
      <c r="L1135">
        <f>IF(AND(K1135=1,OR(pa_po="",C1135=pa_po),OR(pa_eq="",B1135=pa_eq)),1,0)</f>
        <v>0.0</v>
      </c>
    </row>
    <row r="1136">
      <c r="A1136" s="51" t="n"/>
      <c r="B1136" s="52" t="n"/>
      <c r="C1136" s="52" t="n"/>
      <c r="D1136" s="53" t="n"/>
      <c r="E1136" s="60" t="n"/>
      <c r="F1136" s="53" t="n"/>
      <c r="G1136" s="61" t="str">
        <f>IF(OR(COUNTA(A1136:E1136)=0,D1136=""),"",IFERROR(INDEX(ca_fam,MATCH(D1136,ca_name,0))&amp;"",""))</f>
        <v/>
      </c>
      <c r="H1136" s="58" t="str">
        <f>IF(OR(COUNTA(A1136:E1136)=0,D1136=""),"",IFERROR(INDEX(ca_type,MATCH(D1136,ca_name,0))&amp;"",""))</f>
        <v/>
      </c>
      <c r="I1136" s="58" t="str">
        <f>IF(COUNTA(A1136:E1136)=0,"",IF(N(A1136)&lt;=0,"Date manquante ou invalide",IF(B1136="","Équipe manquante",IF(ISNA(MATCH(B1136,eq_code,0)),"Équipe inconnue",IF(C1136="","Poste manquant",IF(ISNA(MATCH(C1136,po_code,0)),"Poste inconnu",IF(D1136="","Cause manquante",IF(ISNA(MATCH(D1136,ca_name,0)),"Cause inconnue",IF(H1136="","Cause à compléter dans Paramètres",IF(OR(NOT(ISNUMBER(E1136)),N(E1136)&lt;=0,N(E1136)&gt;1440),"Durée invalide",IF(COUNTIFS(sj_date,A1136,sj_eq,B1136,sj_po,C1136)=0,"Pas de saisie journalière ce jour-là","OK")))))))))))</f>
        <v/>
      </c>
      <c r="J1136">
        <f>IF(OR(I1136="OK",I1136="Pas de saisie journalière ce jour-là"),E1136,0)</f>
        <v>0.0</v>
      </c>
      <c r="K1136">
        <f>IF(AND(J1136&gt;0,A1136&gt;=p_from,A1136&lt;=p_to),1,0)</f>
        <v>0.0</v>
      </c>
      <c r="L1136">
        <f>IF(AND(K1136=1,OR(pa_po="",C1136=pa_po),OR(pa_eq="",B1136=pa_eq)),1,0)</f>
        <v>0.0</v>
      </c>
    </row>
    <row r="1137">
      <c r="A1137" s="51" t="n"/>
      <c r="B1137" s="52" t="n"/>
      <c r="C1137" s="52" t="n"/>
      <c r="D1137" s="53" t="n"/>
      <c r="E1137" s="60" t="n"/>
      <c r="F1137" s="53" t="n"/>
      <c r="G1137" s="61" t="str">
        <f>IF(OR(COUNTA(A1137:E1137)=0,D1137=""),"",IFERROR(INDEX(ca_fam,MATCH(D1137,ca_name,0))&amp;"",""))</f>
        <v/>
      </c>
      <c r="H1137" s="58" t="str">
        <f>IF(OR(COUNTA(A1137:E1137)=0,D1137=""),"",IFERROR(INDEX(ca_type,MATCH(D1137,ca_name,0))&amp;"",""))</f>
        <v/>
      </c>
      <c r="I1137" s="58" t="str">
        <f>IF(COUNTA(A1137:E1137)=0,"",IF(N(A1137)&lt;=0,"Date manquante ou invalide",IF(B1137="","Équipe manquante",IF(ISNA(MATCH(B1137,eq_code,0)),"Équipe inconnue",IF(C1137="","Poste manquant",IF(ISNA(MATCH(C1137,po_code,0)),"Poste inconnu",IF(D1137="","Cause manquante",IF(ISNA(MATCH(D1137,ca_name,0)),"Cause inconnue",IF(H1137="","Cause à compléter dans Paramètres",IF(OR(NOT(ISNUMBER(E1137)),N(E1137)&lt;=0,N(E1137)&gt;1440),"Durée invalide",IF(COUNTIFS(sj_date,A1137,sj_eq,B1137,sj_po,C1137)=0,"Pas de saisie journalière ce jour-là","OK")))))))))))</f>
        <v/>
      </c>
      <c r="J1137">
        <f>IF(OR(I1137="OK",I1137="Pas de saisie journalière ce jour-là"),E1137,0)</f>
        <v>0.0</v>
      </c>
      <c r="K1137">
        <f>IF(AND(J1137&gt;0,A1137&gt;=p_from,A1137&lt;=p_to),1,0)</f>
        <v>0.0</v>
      </c>
      <c r="L1137">
        <f>IF(AND(K1137=1,OR(pa_po="",C1137=pa_po),OR(pa_eq="",B1137=pa_eq)),1,0)</f>
        <v>0.0</v>
      </c>
    </row>
    <row r="1138">
      <c r="A1138" s="51" t="n"/>
      <c r="B1138" s="52" t="n"/>
      <c r="C1138" s="52" t="n"/>
      <c r="D1138" s="53" t="n"/>
      <c r="E1138" s="60" t="n"/>
      <c r="F1138" s="53" t="n"/>
      <c r="G1138" s="61" t="str">
        <f>IF(OR(COUNTA(A1138:E1138)=0,D1138=""),"",IFERROR(INDEX(ca_fam,MATCH(D1138,ca_name,0))&amp;"",""))</f>
        <v/>
      </c>
      <c r="H1138" s="58" t="str">
        <f>IF(OR(COUNTA(A1138:E1138)=0,D1138=""),"",IFERROR(INDEX(ca_type,MATCH(D1138,ca_name,0))&amp;"",""))</f>
        <v/>
      </c>
      <c r="I1138" s="58" t="str">
        <f>IF(COUNTA(A1138:E1138)=0,"",IF(N(A1138)&lt;=0,"Date manquante ou invalide",IF(B1138="","Équipe manquante",IF(ISNA(MATCH(B1138,eq_code,0)),"Équipe inconnue",IF(C1138="","Poste manquant",IF(ISNA(MATCH(C1138,po_code,0)),"Poste inconnu",IF(D1138="","Cause manquante",IF(ISNA(MATCH(D1138,ca_name,0)),"Cause inconnue",IF(H1138="","Cause à compléter dans Paramètres",IF(OR(NOT(ISNUMBER(E1138)),N(E1138)&lt;=0,N(E1138)&gt;1440),"Durée invalide",IF(COUNTIFS(sj_date,A1138,sj_eq,B1138,sj_po,C1138)=0,"Pas de saisie journalière ce jour-là","OK")))))))))))</f>
        <v/>
      </c>
      <c r="J1138">
        <f>IF(OR(I1138="OK",I1138="Pas de saisie journalière ce jour-là"),E1138,0)</f>
        <v>0.0</v>
      </c>
      <c r="K1138">
        <f>IF(AND(J1138&gt;0,A1138&gt;=p_from,A1138&lt;=p_to),1,0)</f>
        <v>0.0</v>
      </c>
      <c r="L1138">
        <f>IF(AND(K1138=1,OR(pa_po="",C1138=pa_po),OR(pa_eq="",B1138=pa_eq)),1,0)</f>
        <v>0.0</v>
      </c>
    </row>
    <row r="1139">
      <c r="A1139" s="51" t="n"/>
      <c r="B1139" s="52" t="n"/>
      <c r="C1139" s="52" t="n"/>
      <c r="D1139" s="53" t="n"/>
      <c r="E1139" s="60" t="n"/>
      <c r="F1139" s="53" t="n"/>
      <c r="G1139" s="61" t="str">
        <f>IF(OR(COUNTA(A1139:E1139)=0,D1139=""),"",IFERROR(INDEX(ca_fam,MATCH(D1139,ca_name,0))&amp;"",""))</f>
        <v/>
      </c>
      <c r="H1139" s="58" t="str">
        <f>IF(OR(COUNTA(A1139:E1139)=0,D1139=""),"",IFERROR(INDEX(ca_type,MATCH(D1139,ca_name,0))&amp;"",""))</f>
        <v/>
      </c>
      <c r="I1139" s="58" t="str">
        <f>IF(COUNTA(A1139:E1139)=0,"",IF(N(A1139)&lt;=0,"Date manquante ou invalide",IF(B1139="","Équipe manquante",IF(ISNA(MATCH(B1139,eq_code,0)),"Équipe inconnue",IF(C1139="","Poste manquant",IF(ISNA(MATCH(C1139,po_code,0)),"Poste inconnu",IF(D1139="","Cause manquante",IF(ISNA(MATCH(D1139,ca_name,0)),"Cause inconnue",IF(H1139="","Cause à compléter dans Paramètres",IF(OR(NOT(ISNUMBER(E1139)),N(E1139)&lt;=0,N(E1139)&gt;1440),"Durée invalide",IF(COUNTIFS(sj_date,A1139,sj_eq,B1139,sj_po,C1139)=0,"Pas de saisie journalière ce jour-là","OK")))))))))))</f>
        <v/>
      </c>
      <c r="J1139">
        <f>IF(OR(I1139="OK",I1139="Pas de saisie journalière ce jour-là"),E1139,0)</f>
        <v>0.0</v>
      </c>
      <c r="K1139">
        <f>IF(AND(J1139&gt;0,A1139&gt;=p_from,A1139&lt;=p_to),1,0)</f>
        <v>0.0</v>
      </c>
      <c r="L1139">
        <f>IF(AND(K1139=1,OR(pa_po="",C1139=pa_po),OR(pa_eq="",B1139=pa_eq)),1,0)</f>
        <v>0.0</v>
      </c>
    </row>
    <row r="1140">
      <c r="A1140" s="51" t="n"/>
      <c r="B1140" s="52" t="n"/>
      <c r="C1140" s="52" t="n"/>
      <c r="D1140" s="53" t="n"/>
      <c r="E1140" s="60" t="n"/>
      <c r="F1140" s="53" t="n"/>
      <c r="G1140" s="61" t="str">
        <f>IF(OR(COUNTA(A1140:E1140)=0,D1140=""),"",IFERROR(INDEX(ca_fam,MATCH(D1140,ca_name,0))&amp;"",""))</f>
        <v/>
      </c>
      <c r="H1140" s="58" t="str">
        <f>IF(OR(COUNTA(A1140:E1140)=0,D1140=""),"",IFERROR(INDEX(ca_type,MATCH(D1140,ca_name,0))&amp;"",""))</f>
        <v/>
      </c>
      <c r="I1140" s="58" t="str">
        <f>IF(COUNTA(A1140:E1140)=0,"",IF(N(A1140)&lt;=0,"Date manquante ou invalide",IF(B1140="","Équipe manquante",IF(ISNA(MATCH(B1140,eq_code,0)),"Équipe inconnue",IF(C1140="","Poste manquant",IF(ISNA(MATCH(C1140,po_code,0)),"Poste inconnu",IF(D1140="","Cause manquante",IF(ISNA(MATCH(D1140,ca_name,0)),"Cause inconnue",IF(H1140="","Cause à compléter dans Paramètres",IF(OR(NOT(ISNUMBER(E1140)),N(E1140)&lt;=0,N(E1140)&gt;1440),"Durée invalide",IF(COUNTIFS(sj_date,A1140,sj_eq,B1140,sj_po,C1140)=0,"Pas de saisie journalière ce jour-là","OK")))))))))))</f>
        <v/>
      </c>
      <c r="J1140">
        <f>IF(OR(I1140="OK",I1140="Pas de saisie journalière ce jour-là"),E1140,0)</f>
        <v>0.0</v>
      </c>
      <c r="K1140">
        <f>IF(AND(J1140&gt;0,A1140&gt;=p_from,A1140&lt;=p_to),1,0)</f>
        <v>0.0</v>
      </c>
      <c r="L1140">
        <f>IF(AND(K1140=1,OR(pa_po="",C1140=pa_po),OR(pa_eq="",B1140=pa_eq)),1,0)</f>
        <v>0.0</v>
      </c>
    </row>
    <row r="1141">
      <c r="A1141" s="51" t="n"/>
      <c r="B1141" s="52" t="n"/>
      <c r="C1141" s="52" t="n"/>
      <c r="D1141" s="53" t="n"/>
      <c r="E1141" s="60" t="n"/>
      <c r="F1141" s="53" t="n"/>
      <c r="G1141" s="61" t="str">
        <f>IF(OR(COUNTA(A1141:E1141)=0,D1141=""),"",IFERROR(INDEX(ca_fam,MATCH(D1141,ca_name,0))&amp;"",""))</f>
        <v/>
      </c>
      <c r="H1141" s="58" t="str">
        <f>IF(OR(COUNTA(A1141:E1141)=0,D1141=""),"",IFERROR(INDEX(ca_type,MATCH(D1141,ca_name,0))&amp;"",""))</f>
        <v/>
      </c>
      <c r="I1141" s="58" t="str">
        <f>IF(COUNTA(A1141:E1141)=0,"",IF(N(A1141)&lt;=0,"Date manquante ou invalide",IF(B1141="","Équipe manquante",IF(ISNA(MATCH(B1141,eq_code,0)),"Équipe inconnue",IF(C1141="","Poste manquant",IF(ISNA(MATCH(C1141,po_code,0)),"Poste inconnu",IF(D1141="","Cause manquante",IF(ISNA(MATCH(D1141,ca_name,0)),"Cause inconnue",IF(H1141="","Cause à compléter dans Paramètres",IF(OR(NOT(ISNUMBER(E1141)),N(E1141)&lt;=0,N(E1141)&gt;1440),"Durée invalide",IF(COUNTIFS(sj_date,A1141,sj_eq,B1141,sj_po,C1141)=0,"Pas de saisie journalière ce jour-là","OK")))))))))))</f>
        <v/>
      </c>
      <c r="J1141">
        <f>IF(OR(I1141="OK",I1141="Pas de saisie journalière ce jour-là"),E1141,0)</f>
        <v>0.0</v>
      </c>
      <c r="K1141">
        <f>IF(AND(J1141&gt;0,A1141&gt;=p_from,A1141&lt;=p_to),1,0)</f>
        <v>0.0</v>
      </c>
      <c r="L1141">
        <f>IF(AND(K1141=1,OR(pa_po="",C1141=pa_po),OR(pa_eq="",B1141=pa_eq)),1,0)</f>
        <v>0.0</v>
      </c>
    </row>
    <row r="1142">
      <c r="A1142" s="51" t="n"/>
      <c r="B1142" s="52" t="n"/>
      <c r="C1142" s="52" t="n"/>
      <c r="D1142" s="53" t="n"/>
      <c r="E1142" s="60" t="n"/>
      <c r="F1142" s="53" t="n"/>
      <c r="G1142" s="61" t="str">
        <f>IF(OR(COUNTA(A1142:E1142)=0,D1142=""),"",IFERROR(INDEX(ca_fam,MATCH(D1142,ca_name,0))&amp;"",""))</f>
        <v/>
      </c>
      <c r="H1142" s="58" t="str">
        <f>IF(OR(COUNTA(A1142:E1142)=0,D1142=""),"",IFERROR(INDEX(ca_type,MATCH(D1142,ca_name,0))&amp;"",""))</f>
        <v/>
      </c>
      <c r="I1142" s="58" t="str">
        <f>IF(COUNTA(A1142:E1142)=0,"",IF(N(A1142)&lt;=0,"Date manquante ou invalide",IF(B1142="","Équipe manquante",IF(ISNA(MATCH(B1142,eq_code,0)),"Équipe inconnue",IF(C1142="","Poste manquant",IF(ISNA(MATCH(C1142,po_code,0)),"Poste inconnu",IF(D1142="","Cause manquante",IF(ISNA(MATCH(D1142,ca_name,0)),"Cause inconnue",IF(H1142="","Cause à compléter dans Paramètres",IF(OR(NOT(ISNUMBER(E1142)),N(E1142)&lt;=0,N(E1142)&gt;1440),"Durée invalide",IF(COUNTIFS(sj_date,A1142,sj_eq,B1142,sj_po,C1142)=0,"Pas de saisie journalière ce jour-là","OK")))))))))))</f>
        <v/>
      </c>
      <c r="J1142">
        <f>IF(OR(I1142="OK",I1142="Pas de saisie journalière ce jour-là"),E1142,0)</f>
        <v>0.0</v>
      </c>
      <c r="K1142">
        <f>IF(AND(J1142&gt;0,A1142&gt;=p_from,A1142&lt;=p_to),1,0)</f>
        <v>0.0</v>
      </c>
      <c r="L1142">
        <f>IF(AND(K1142=1,OR(pa_po="",C1142=pa_po),OR(pa_eq="",B1142=pa_eq)),1,0)</f>
        <v>0.0</v>
      </c>
    </row>
    <row r="1143">
      <c r="A1143" s="51" t="n"/>
      <c r="B1143" s="52" t="n"/>
      <c r="C1143" s="52" t="n"/>
      <c r="D1143" s="53" t="n"/>
      <c r="E1143" s="60" t="n"/>
      <c r="F1143" s="53" t="n"/>
      <c r="G1143" s="61" t="str">
        <f>IF(OR(COUNTA(A1143:E1143)=0,D1143=""),"",IFERROR(INDEX(ca_fam,MATCH(D1143,ca_name,0))&amp;"",""))</f>
        <v/>
      </c>
      <c r="H1143" s="58" t="str">
        <f>IF(OR(COUNTA(A1143:E1143)=0,D1143=""),"",IFERROR(INDEX(ca_type,MATCH(D1143,ca_name,0))&amp;"",""))</f>
        <v/>
      </c>
      <c r="I1143" s="58" t="str">
        <f>IF(COUNTA(A1143:E1143)=0,"",IF(N(A1143)&lt;=0,"Date manquante ou invalide",IF(B1143="","Équipe manquante",IF(ISNA(MATCH(B1143,eq_code,0)),"Équipe inconnue",IF(C1143="","Poste manquant",IF(ISNA(MATCH(C1143,po_code,0)),"Poste inconnu",IF(D1143="","Cause manquante",IF(ISNA(MATCH(D1143,ca_name,0)),"Cause inconnue",IF(H1143="","Cause à compléter dans Paramètres",IF(OR(NOT(ISNUMBER(E1143)),N(E1143)&lt;=0,N(E1143)&gt;1440),"Durée invalide",IF(COUNTIFS(sj_date,A1143,sj_eq,B1143,sj_po,C1143)=0,"Pas de saisie journalière ce jour-là","OK")))))))))))</f>
        <v/>
      </c>
      <c r="J1143">
        <f>IF(OR(I1143="OK",I1143="Pas de saisie journalière ce jour-là"),E1143,0)</f>
        <v>0.0</v>
      </c>
      <c r="K1143">
        <f>IF(AND(J1143&gt;0,A1143&gt;=p_from,A1143&lt;=p_to),1,0)</f>
        <v>0.0</v>
      </c>
      <c r="L1143">
        <f>IF(AND(K1143=1,OR(pa_po="",C1143=pa_po),OR(pa_eq="",B1143=pa_eq)),1,0)</f>
        <v>0.0</v>
      </c>
    </row>
    <row r="1144">
      <c r="A1144" s="51" t="n"/>
      <c r="B1144" s="52" t="n"/>
      <c r="C1144" s="52" t="n"/>
      <c r="D1144" s="53" t="n"/>
      <c r="E1144" s="60" t="n"/>
      <c r="F1144" s="53" t="n"/>
      <c r="G1144" s="61" t="str">
        <f>IF(OR(COUNTA(A1144:E1144)=0,D1144=""),"",IFERROR(INDEX(ca_fam,MATCH(D1144,ca_name,0))&amp;"",""))</f>
        <v/>
      </c>
      <c r="H1144" s="58" t="str">
        <f>IF(OR(COUNTA(A1144:E1144)=0,D1144=""),"",IFERROR(INDEX(ca_type,MATCH(D1144,ca_name,0))&amp;"",""))</f>
        <v/>
      </c>
      <c r="I1144" s="58" t="str">
        <f>IF(COUNTA(A1144:E1144)=0,"",IF(N(A1144)&lt;=0,"Date manquante ou invalide",IF(B1144="","Équipe manquante",IF(ISNA(MATCH(B1144,eq_code,0)),"Équipe inconnue",IF(C1144="","Poste manquant",IF(ISNA(MATCH(C1144,po_code,0)),"Poste inconnu",IF(D1144="","Cause manquante",IF(ISNA(MATCH(D1144,ca_name,0)),"Cause inconnue",IF(H1144="","Cause à compléter dans Paramètres",IF(OR(NOT(ISNUMBER(E1144)),N(E1144)&lt;=0,N(E1144)&gt;1440),"Durée invalide",IF(COUNTIFS(sj_date,A1144,sj_eq,B1144,sj_po,C1144)=0,"Pas de saisie journalière ce jour-là","OK")))))))))))</f>
        <v/>
      </c>
      <c r="J1144">
        <f>IF(OR(I1144="OK",I1144="Pas de saisie journalière ce jour-là"),E1144,0)</f>
        <v>0.0</v>
      </c>
      <c r="K1144">
        <f>IF(AND(J1144&gt;0,A1144&gt;=p_from,A1144&lt;=p_to),1,0)</f>
        <v>0.0</v>
      </c>
      <c r="L1144">
        <f>IF(AND(K1144=1,OR(pa_po="",C1144=pa_po),OR(pa_eq="",B1144=pa_eq)),1,0)</f>
        <v>0.0</v>
      </c>
    </row>
    <row r="1145">
      <c r="A1145" s="51" t="n"/>
      <c r="B1145" s="52" t="n"/>
      <c r="C1145" s="52" t="n"/>
      <c r="D1145" s="53" t="n"/>
      <c r="E1145" s="60" t="n"/>
      <c r="F1145" s="53" t="n"/>
      <c r="G1145" s="61" t="str">
        <f>IF(OR(COUNTA(A1145:E1145)=0,D1145=""),"",IFERROR(INDEX(ca_fam,MATCH(D1145,ca_name,0))&amp;"",""))</f>
        <v/>
      </c>
      <c r="H1145" s="58" t="str">
        <f>IF(OR(COUNTA(A1145:E1145)=0,D1145=""),"",IFERROR(INDEX(ca_type,MATCH(D1145,ca_name,0))&amp;"",""))</f>
        <v/>
      </c>
      <c r="I1145" s="58" t="str">
        <f>IF(COUNTA(A1145:E1145)=0,"",IF(N(A1145)&lt;=0,"Date manquante ou invalide",IF(B1145="","Équipe manquante",IF(ISNA(MATCH(B1145,eq_code,0)),"Équipe inconnue",IF(C1145="","Poste manquant",IF(ISNA(MATCH(C1145,po_code,0)),"Poste inconnu",IF(D1145="","Cause manquante",IF(ISNA(MATCH(D1145,ca_name,0)),"Cause inconnue",IF(H1145="","Cause à compléter dans Paramètres",IF(OR(NOT(ISNUMBER(E1145)),N(E1145)&lt;=0,N(E1145)&gt;1440),"Durée invalide",IF(COUNTIFS(sj_date,A1145,sj_eq,B1145,sj_po,C1145)=0,"Pas de saisie journalière ce jour-là","OK")))))))))))</f>
        <v/>
      </c>
      <c r="J1145">
        <f>IF(OR(I1145="OK",I1145="Pas de saisie journalière ce jour-là"),E1145,0)</f>
        <v>0.0</v>
      </c>
      <c r="K1145">
        <f>IF(AND(J1145&gt;0,A1145&gt;=p_from,A1145&lt;=p_to),1,0)</f>
        <v>0.0</v>
      </c>
      <c r="L1145">
        <f>IF(AND(K1145=1,OR(pa_po="",C1145=pa_po),OR(pa_eq="",B1145=pa_eq)),1,0)</f>
        <v>0.0</v>
      </c>
    </row>
    <row r="1146">
      <c r="A1146" s="51" t="n"/>
      <c r="B1146" s="52" t="n"/>
      <c r="C1146" s="52" t="n"/>
      <c r="D1146" s="53" t="n"/>
      <c r="E1146" s="60" t="n"/>
      <c r="F1146" s="53" t="n"/>
      <c r="G1146" s="61" t="str">
        <f>IF(OR(COUNTA(A1146:E1146)=0,D1146=""),"",IFERROR(INDEX(ca_fam,MATCH(D1146,ca_name,0))&amp;"",""))</f>
        <v/>
      </c>
      <c r="H1146" s="58" t="str">
        <f>IF(OR(COUNTA(A1146:E1146)=0,D1146=""),"",IFERROR(INDEX(ca_type,MATCH(D1146,ca_name,0))&amp;"",""))</f>
        <v/>
      </c>
      <c r="I1146" s="58" t="str">
        <f>IF(COUNTA(A1146:E1146)=0,"",IF(N(A1146)&lt;=0,"Date manquante ou invalide",IF(B1146="","Équipe manquante",IF(ISNA(MATCH(B1146,eq_code,0)),"Équipe inconnue",IF(C1146="","Poste manquant",IF(ISNA(MATCH(C1146,po_code,0)),"Poste inconnu",IF(D1146="","Cause manquante",IF(ISNA(MATCH(D1146,ca_name,0)),"Cause inconnue",IF(H1146="","Cause à compléter dans Paramètres",IF(OR(NOT(ISNUMBER(E1146)),N(E1146)&lt;=0,N(E1146)&gt;1440),"Durée invalide",IF(COUNTIFS(sj_date,A1146,sj_eq,B1146,sj_po,C1146)=0,"Pas de saisie journalière ce jour-là","OK")))))))))))</f>
        <v/>
      </c>
      <c r="J1146">
        <f>IF(OR(I1146="OK",I1146="Pas de saisie journalière ce jour-là"),E1146,0)</f>
        <v>0.0</v>
      </c>
      <c r="K1146">
        <f>IF(AND(J1146&gt;0,A1146&gt;=p_from,A1146&lt;=p_to),1,0)</f>
        <v>0.0</v>
      </c>
      <c r="L1146">
        <f>IF(AND(K1146=1,OR(pa_po="",C1146=pa_po),OR(pa_eq="",B1146=pa_eq)),1,0)</f>
        <v>0.0</v>
      </c>
    </row>
    <row r="1147">
      <c r="A1147" s="51" t="n"/>
      <c r="B1147" s="52" t="n"/>
      <c r="C1147" s="52" t="n"/>
      <c r="D1147" s="53" t="n"/>
      <c r="E1147" s="60" t="n"/>
      <c r="F1147" s="53" t="n"/>
      <c r="G1147" s="61" t="str">
        <f>IF(OR(COUNTA(A1147:E1147)=0,D1147=""),"",IFERROR(INDEX(ca_fam,MATCH(D1147,ca_name,0))&amp;"",""))</f>
        <v/>
      </c>
      <c r="H1147" s="58" t="str">
        <f>IF(OR(COUNTA(A1147:E1147)=0,D1147=""),"",IFERROR(INDEX(ca_type,MATCH(D1147,ca_name,0))&amp;"",""))</f>
        <v/>
      </c>
      <c r="I1147" s="58" t="str">
        <f>IF(COUNTA(A1147:E1147)=0,"",IF(N(A1147)&lt;=0,"Date manquante ou invalide",IF(B1147="","Équipe manquante",IF(ISNA(MATCH(B1147,eq_code,0)),"Équipe inconnue",IF(C1147="","Poste manquant",IF(ISNA(MATCH(C1147,po_code,0)),"Poste inconnu",IF(D1147="","Cause manquante",IF(ISNA(MATCH(D1147,ca_name,0)),"Cause inconnue",IF(H1147="","Cause à compléter dans Paramètres",IF(OR(NOT(ISNUMBER(E1147)),N(E1147)&lt;=0,N(E1147)&gt;1440),"Durée invalide",IF(COUNTIFS(sj_date,A1147,sj_eq,B1147,sj_po,C1147)=0,"Pas de saisie journalière ce jour-là","OK")))))))))))</f>
        <v/>
      </c>
      <c r="J1147">
        <f>IF(OR(I1147="OK",I1147="Pas de saisie journalière ce jour-là"),E1147,0)</f>
        <v>0.0</v>
      </c>
      <c r="K1147">
        <f>IF(AND(J1147&gt;0,A1147&gt;=p_from,A1147&lt;=p_to),1,0)</f>
        <v>0.0</v>
      </c>
      <c r="L1147">
        <f>IF(AND(K1147=1,OR(pa_po="",C1147=pa_po),OR(pa_eq="",B1147=pa_eq)),1,0)</f>
        <v>0.0</v>
      </c>
    </row>
    <row r="1148">
      <c r="A1148" s="51" t="n"/>
      <c r="B1148" s="52" t="n"/>
      <c r="C1148" s="52" t="n"/>
      <c r="D1148" s="53" t="n"/>
      <c r="E1148" s="60" t="n"/>
      <c r="F1148" s="53" t="n"/>
      <c r="G1148" s="61" t="str">
        <f>IF(OR(COUNTA(A1148:E1148)=0,D1148=""),"",IFERROR(INDEX(ca_fam,MATCH(D1148,ca_name,0))&amp;"",""))</f>
        <v/>
      </c>
      <c r="H1148" s="58" t="str">
        <f>IF(OR(COUNTA(A1148:E1148)=0,D1148=""),"",IFERROR(INDEX(ca_type,MATCH(D1148,ca_name,0))&amp;"",""))</f>
        <v/>
      </c>
      <c r="I1148" s="58" t="str">
        <f>IF(COUNTA(A1148:E1148)=0,"",IF(N(A1148)&lt;=0,"Date manquante ou invalide",IF(B1148="","Équipe manquante",IF(ISNA(MATCH(B1148,eq_code,0)),"Équipe inconnue",IF(C1148="","Poste manquant",IF(ISNA(MATCH(C1148,po_code,0)),"Poste inconnu",IF(D1148="","Cause manquante",IF(ISNA(MATCH(D1148,ca_name,0)),"Cause inconnue",IF(H1148="","Cause à compléter dans Paramètres",IF(OR(NOT(ISNUMBER(E1148)),N(E1148)&lt;=0,N(E1148)&gt;1440),"Durée invalide",IF(COUNTIFS(sj_date,A1148,sj_eq,B1148,sj_po,C1148)=0,"Pas de saisie journalière ce jour-là","OK")))))))))))</f>
        <v/>
      </c>
      <c r="J1148">
        <f>IF(OR(I1148="OK",I1148="Pas de saisie journalière ce jour-là"),E1148,0)</f>
        <v>0.0</v>
      </c>
      <c r="K1148">
        <f>IF(AND(J1148&gt;0,A1148&gt;=p_from,A1148&lt;=p_to),1,0)</f>
        <v>0.0</v>
      </c>
      <c r="L1148">
        <f>IF(AND(K1148=1,OR(pa_po="",C1148=pa_po),OR(pa_eq="",B1148=pa_eq)),1,0)</f>
        <v>0.0</v>
      </c>
    </row>
    <row r="1149">
      <c r="A1149" s="51" t="n"/>
      <c r="B1149" s="52" t="n"/>
      <c r="C1149" s="52" t="n"/>
      <c r="D1149" s="53" t="n"/>
      <c r="E1149" s="60" t="n"/>
      <c r="F1149" s="53" t="n"/>
      <c r="G1149" s="61" t="str">
        <f>IF(OR(COUNTA(A1149:E1149)=0,D1149=""),"",IFERROR(INDEX(ca_fam,MATCH(D1149,ca_name,0))&amp;"",""))</f>
        <v/>
      </c>
      <c r="H1149" s="58" t="str">
        <f>IF(OR(COUNTA(A1149:E1149)=0,D1149=""),"",IFERROR(INDEX(ca_type,MATCH(D1149,ca_name,0))&amp;"",""))</f>
        <v/>
      </c>
      <c r="I1149" s="58" t="str">
        <f>IF(COUNTA(A1149:E1149)=0,"",IF(N(A1149)&lt;=0,"Date manquante ou invalide",IF(B1149="","Équipe manquante",IF(ISNA(MATCH(B1149,eq_code,0)),"Équipe inconnue",IF(C1149="","Poste manquant",IF(ISNA(MATCH(C1149,po_code,0)),"Poste inconnu",IF(D1149="","Cause manquante",IF(ISNA(MATCH(D1149,ca_name,0)),"Cause inconnue",IF(H1149="","Cause à compléter dans Paramètres",IF(OR(NOT(ISNUMBER(E1149)),N(E1149)&lt;=0,N(E1149)&gt;1440),"Durée invalide",IF(COUNTIFS(sj_date,A1149,sj_eq,B1149,sj_po,C1149)=0,"Pas de saisie journalière ce jour-là","OK")))))))))))</f>
        <v/>
      </c>
      <c r="J1149">
        <f>IF(OR(I1149="OK",I1149="Pas de saisie journalière ce jour-là"),E1149,0)</f>
        <v>0.0</v>
      </c>
      <c r="K1149">
        <f>IF(AND(J1149&gt;0,A1149&gt;=p_from,A1149&lt;=p_to),1,0)</f>
        <v>0.0</v>
      </c>
      <c r="L1149">
        <f>IF(AND(K1149=1,OR(pa_po="",C1149=pa_po),OR(pa_eq="",B1149=pa_eq)),1,0)</f>
        <v>0.0</v>
      </c>
    </row>
    <row r="1150">
      <c r="A1150" s="51" t="n"/>
      <c r="B1150" s="52" t="n"/>
      <c r="C1150" s="52" t="n"/>
      <c r="D1150" s="53" t="n"/>
      <c r="E1150" s="60" t="n"/>
      <c r="F1150" s="53" t="n"/>
      <c r="G1150" s="61" t="str">
        <f>IF(OR(COUNTA(A1150:E1150)=0,D1150=""),"",IFERROR(INDEX(ca_fam,MATCH(D1150,ca_name,0))&amp;"",""))</f>
        <v/>
      </c>
      <c r="H1150" s="58" t="str">
        <f>IF(OR(COUNTA(A1150:E1150)=0,D1150=""),"",IFERROR(INDEX(ca_type,MATCH(D1150,ca_name,0))&amp;"",""))</f>
        <v/>
      </c>
      <c r="I1150" s="58" t="str">
        <f>IF(COUNTA(A1150:E1150)=0,"",IF(N(A1150)&lt;=0,"Date manquante ou invalide",IF(B1150="","Équipe manquante",IF(ISNA(MATCH(B1150,eq_code,0)),"Équipe inconnue",IF(C1150="","Poste manquant",IF(ISNA(MATCH(C1150,po_code,0)),"Poste inconnu",IF(D1150="","Cause manquante",IF(ISNA(MATCH(D1150,ca_name,0)),"Cause inconnue",IF(H1150="","Cause à compléter dans Paramètres",IF(OR(NOT(ISNUMBER(E1150)),N(E1150)&lt;=0,N(E1150)&gt;1440),"Durée invalide",IF(COUNTIFS(sj_date,A1150,sj_eq,B1150,sj_po,C1150)=0,"Pas de saisie journalière ce jour-là","OK")))))))))))</f>
        <v/>
      </c>
      <c r="J1150">
        <f>IF(OR(I1150="OK",I1150="Pas de saisie journalière ce jour-là"),E1150,0)</f>
        <v>0.0</v>
      </c>
      <c r="K1150">
        <f>IF(AND(J1150&gt;0,A1150&gt;=p_from,A1150&lt;=p_to),1,0)</f>
        <v>0.0</v>
      </c>
      <c r="L1150">
        <f>IF(AND(K1150=1,OR(pa_po="",C1150=pa_po),OR(pa_eq="",B1150=pa_eq)),1,0)</f>
        <v>0.0</v>
      </c>
    </row>
    <row r="1151">
      <c r="A1151" s="51" t="n"/>
      <c r="B1151" s="52" t="n"/>
      <c r="C1151" s="52" t="n"/>
      <c r="D1151" s="53" t="n"/>
      <c r="E1151" s="60" t="n"/>
      <c r="F1151" s="53" t="n"/>
      <c r="G1151" s="61" t="str">
        <f>IF(OR(COUNTA(A1151:E1151)=0,D1151=""),"",IFERROR(INDEX(ca_fam,MATCH(D1151,ca_name,0))&amp;"",""))</f>
        <v/>
      </c>
      <c r="H1151" s="58" t="str">
        <f>IF(OR(COUNTA(A1151:E1151)=0,D1151=""),"",IFERROR(INDEX(ca_type,MATCH(D1151,ca_name,0))&amp;"",""))</f>
        <v/>
      </c>
      <c r="I1151" s="58" t="str">
        <f>IF(COUNTA(A1151:E1151)=0,"",IF(N(A1151)&lt;=0,"Date manquante ou invalide",IF(B1151="","Équipe manquante",IF(ISNA(MATCH(B1151,eq_code,0)),"Équipe inconnue",IF(C1151="","Poste manquant",IF(ISNA(MATCH(C1151,po_code,0)),"Poste inconnu",IF(D1151="","Cause manquante",IF(ISNA(MATCH(D1151,ca_name,0)),"Cause inconnue",IF(H1151="","Cause à compléter dans Paramètres",IF(OR(NOT(ISNUMBER(E1151)),N(E1151)&lt;=0,N(E1151)&gt;1440),"Durée invalide",IF(COUNTIFS(sj_date,A1151,sj_eq,B1151,sj_po,C1151)=0,"Pas de saisie journalière ce jour-là","OK")))))))))))</f>
        <v/>
      </c>
      <c r="J1151">
        <f>IF(OR(I1151="OK",I1151="Pas de saisie journalière ce jour-là"),E1151,0)</f>
        <v>0.0</v>
      </c>
      <c r="K1151">
        <f>IF(AND(J1151&gt;0,A1151&gt;=p_from,A1151&lt;=p_to),1,0)</f>
        <v>0.0</v>
      </c>
      <c r="L1151">
        <f>IF(AND(K1151=1,OR(pa_po="",C1151=pa_po),OR(pa_eq="",B1151=pa_eq)),1,0)</f>
        <v>0.0</v>
      </c>
    </row>
    <row r="1152">
      <c r="A1152" s="51" t="n"/>
      <c r="B1152" s="52" t="n"/>
      <c r="C1152" s="52" t="n"/>
      <c r="D1152" s="53" t="n"/>
      <c r="E1152" s="60" t="n"/>
      <c r="F1152" s="53" t="n"/>
      <c r="G1152" s="61" t="str">
        <f>IF(OR(COUNTA(A1152:E1152)=0,D1152=""),"",IFERROR(INDEX(ca_fam,MATCH(D1152,ca_name,0))&amp;"",""))</f>
        <v/>
      </c>
      <c r="H1152" s="58" t="str">
        <f>IF(OR(COUNTA(A1152:E1152)=0,D1152=""),"",IFERROR(INDEX(ca_type,MATCH(D1152,ca_name,0))&amp;"",""))</f>
        <v/>
      </c>
      <c r="I1152" s="58" t="str">
        <f>IF(COUNTA(A1152:E1152)=0,"",IF(N(A1152)&lt;=0,"Date manquante ou invalide",IF(B1152="","Équipe manquante",IF(ISNA(MATCH(B1152,eq_code,0)),"Équipe inconnue",IF(C1152="","Poste manquant",IF(ISNA(MATCH(C1152,po_code,0)),"Poste inconnu",IF(D1152="","Cause manquante",IF(ISNA(MATCH(D1152,ca_name,0)),"Cause inconnue",IF(H1152="","Cause à compléter dans Paramètres",IF(OR(NOT(ISNUMBER(E1152)),N(E1152)&lt;=0,N(E1152)&gt;1440),"Durée invalide",IF(COUNTIFS(sj_date,A1152,sj_eq,B1152,sj_po,C1152)=0,"Pas de saisie journalière ce jour-là","OK")))))))))))</f>
        <v/>
      </c>
      <c r="J1152">
        <f>IF(OR(I1152="OK",I1152="Pas de saisie journalière ce jour-là"),E1152,0)</f>
        <v>0.0</v>
      </c>
      <c r="K1152">
        <f>IF(AND(J1152&gt;0,A1152&gt;=p_from,A1152&lt;=p_to),1,0)</f>
        <v>0.0</v>
      </c>
      <c r="L1152">
        <f>IF(AND(K1152=1,OR(pa_po="",C1152=pa_po),OR(pa_eq="",B1152=pa_eq)),1,0)</f>
        <v>0.0</v>
      </c>
    </row>
    <row r="1153">
      <c r="A1153" s="51" t="n"/>
      <c r="B1153" s="52" t="n"/>
      <c r="C1153" s="52" t="n"/>
      <c r="D1153" s="53" t="n"/>
      <c r="E1153" s="60" t="n"/>
      <c r="F1153" s="53" t="n"/>
      <c r="G1153" s="61" t="str">
        <f>IF(OR(COUNTA(A1153:E1153)=0,D1153=""),"",IFERROR(INDEX(ca_fam,MATCH(D1153,ca_name,0))&amp;"",""))</f>
        <v/>
      </c>
      <c r="H1153" s="58" t="str">
        <f>IF(OR(COUNTA(A1153:E1153)=0,D1153=""),"",IFERROR(INDEX(ca_type,MATCH(D1153,ca_name,0))&amp;"",""))</f>
        <v/>
      </c>
      <c r="I1153" s="58" t="str">
        <f>IF(COUNTA(A1153:E1153)=0,"",IF(N(A1153)&lt;=0,"Date manquante ou invalide",IF(B1153="","Équipe manquante",IF(ISNA(MATCH(B1153,eq_code,0)),"Équipe inconnue",IF(C1153="","Poste manquant",IF(ISNA(MATCH(C1153,po_code,0)),"Poste inconnu",IF(D1153="","Cause manquante",IF(ISNA(MATCH(D1153,ca_name,0)),"Cause inconnue",IF(H1153="","Cause à compléter dans Paramètres",IF(OR(NOT(ISNUMBER(E1153)),N(E1153)&lt;=0,N(E1153)&gt;1440),"Durée invalide",IF(COUNTIFS(sj_date,A1153,sj_eq,B1153,sj_po,C1153)=0,"Pas de saisie journalière ce jour-là","OK")))))))))))</f>
        <v/>
      </c>
      <c r="J1153">
        <f>IF(OR(I1153="OK",I1153="Pas de saisie journalière ce jour-là"),E1153,0)</f>
        <v>0.0</v>
      </c>
      <c r="K1153">
        <f>IF(AND(J1153&gt;0,A1153&gt;=p_from,A1153&lt;=p_to),1,0)</f>
        <v>0.0</v>
      </c>
      <c r="L1153">
        <f>IF(AND(K1153=1,OR(pa_po="",C1153=pa_po),OR(pa_eq="",B1153=pa_eq)),1,0)</f>
        <v>0.0</v>
      </c>
    </row>
    <row r="1154">
      <c r="A1154" s="51" t="n"/>
      <c r="B1154" s="52" t="n"/>
      <c r="C1154" s="52" t="n"/>
      <c r="D1154" s="53" t="n"/>
      <c r="E1154" s="60" t="n"/>
      <c r="F1154" s="53" t="n"/>
      <c r="G1154" s="61" t="str">
        <f>IF(OR(COUNTA(A1154:E1154)=0,D1154=""),"",IFERROR(INDEX(ca_fam,MATCH(D1154,ca_name,0))&amp;"",""))</f>
        <v/>
      </c>
      <c r="H1154" s="58" t="str">
        <f>IF(OR(COUNTA(A1154:E1154)=0,D1154=""),"",IFERROR(INDEX(ca_type,MATCH(D1154,ca_name,0))&amp;"",""))</f>
        <v/>
      </c>
      <c r="I1154" s="58" t="str">
        <f>IF(COUNTA(A1154:E1154)=0,"",IF(N(A1154)&lt;=0,"Date manquante ou invalide",IF(B1154="","Équipe manquante",IF(ISNA(MATCH(B1154,eq_code,0)),"Équipe inconnue",IF(C1154="","Poste manquant",IF(ISNA(MATCH(C1154,po_code,0)),"Poste inconnu",IF(D1154="","Cause manquante",IF(ISNA(MATCH(D1154,ca_name,0)),"Cause inconnue",IF(H1154="","Cause à compléter dans Paramètres",IF(OR(NOT(ISNUMBER(E1154)),N(E1154)&lt;=0,N(E1154)&gt;1440),"Durée invalide",IF(COUNTIFS(sj_date,A1154,sj_eq,B1154,sj_po,C1154)=0,"Pas de saisie journalière ce jour-là","OK")))))))))))</f>
        <v/>
      </c>
      <c r="J1154">
        <f>IF(OR(I1154="OK",I1154="Pas de saisie journalière ce jour-là"),E1154,0)</f>
        <v>0.0</v>
      </c>
      <c r="K1154">
        <f>IF(AND(J1154&gt;0,A1154&gt;=p_from,A1154&lt;=p_to),1,0)</f>
        <v>0.0</v>
      </c>
      <c r="L1154">
        <f>IF(AND(K1154=1,OR(pa_po="",C1154=pa_po),OR(pa_eq="",B1154=pa_eq)),1,0)</f>
        <v>0.0</v>
      </c>
    </row>
    <row r="1155">
      <c r="A1155" s="51" t="n"/>
      <c r="B1155" s="52" t="n"/>
      <c r="C1155" s="52" t="n"/>
      <c r="D1155" s="53" t="n"/>
      <c r="E1155" s="60" t="n"/>
      <c r="F1155" s="53" t="n"/>
      <c r="G1155" s="61" t="str">
        <f>IF(OR(COUNTA(A1155:E1155)=0,D1155=""),"",IFERROR(INDEX(ca_fam,MATCH(D1155,ca_name,0))&amp;"",""))</f>
        <v/>
      </c>
      <c r="H1155" s="58" t="str">
        <f>IF(OR(COUNTA(A1155:E1155)=0,D1155=""),"",IFERROR(INDEX(ca_type,MATCH(D1155,ca_name,0))&amp;"",""))</f>
        <v/>
      </c>
      <c r="I1155" s="58" t="str">
        <f>IF(COUNTA(A1155:E1155)=0,"",IF(N(A1155)&lt;=0,"Date manquante ou invalide",IF(B1155="","Équipe manquante",IF(ISNA(MATCH(B1155,eq_code,0)),"Équipe inconnue",IF(C1155="","Poste manquant",IF(ISNA(MATCH(C1155,po_code,0)),"Poste inconnu",IF(D1155="","Cause manquante",IF(ISNA(MATCH(D1155,ca_name,0)),"Cause inconnue",IF(H1155="","Cause à compléter dans Paramètres",IF(OR(NOT(ISNUMBER(E1155)),N(E1155)&lt;=0,N(E1155)&gt;1440),"Durée invalide",IF(COUNTIFS(sj_date,A1155,sj_eq,B1155,sj_po,C1155)=0,"Pas de saisie journalière ce jour-là","OK")))))))))))</f>
        <v/>
      </c>
      <c r="J1155">
        <f>IF(OR(I1155="OK",I1155="Pas de saisie journalière ce jour-là"),E1155,0)</f>
        <v>0.0</v>
      </c>
      <c r="K1155">
        <f>IF(AND(J1155&gt;0,A1155&gt;=p_from,A1155&lt;=p_to),1,0)</f>
        <v>0.0</v>
      </c>
      <c r="L1155">
        <f>IF(AND(K1155=1,OR(pa_po="",C1155=pa_po),OR(pa_eq="",B1155=pa_eq)),1,0)</f>
        <v>0.0</v>
      </c>
    </row>
    <row r="1156">
      <c r="A1156" s="51" t="n"/>
      <c r="B1156" s="52" t="n"/>
      <c r="C1156" s="52" t="n"/>
      <c r="D1156" s="53" t="n"/>
      <c r="E1156" s="60" t="n"/>
      <c r="F1156" s="53" t="n"/>
      <c r="G1156" s="61" t="str">
        <f>IF(OR(COUNTA(A1156:E1156)=0,D1156=""),"",IFERROR(INDEX(ca_fam,MATCH(D1156,ca_name,0))&amp;"",""))</f>
        <v/>
      </c>
      <c r="H1156" s="58" t="str">
        <f>IF(OR(COUNTA(A1156:E1156)=0,D1156=""),"",IFERROR(INDEX(ca_type,MATCH(D1156,ca_name,0))&amp;"",""))</f>
        <v/>
      </c>
      <c r="I1156" s="58" t="str">
        <f>IF(COUNTA(A1156:E1156)=0,"",IF(N(A1156)&lt;=0,"Date manquante ou invalide",IF(B1156="","Équipe manquante",IF(ISNA(MATCH(B1156,eq_code,0)),"Équipe inconnue",IF(C1156="","Poste manquant",IF(ISNA(MATCH(C1156,po_code,0)),"Poste inconnu",IF(D1156="","Cause manquante",IF(ISNA(MATCH(D1156,ca_name,0)),"Cause inconnue",IF(H1156="","Cause à compléter dans Paramètres",IF(OR(NOT(ISNUMBER(E1156)),N(E1156)&lt;=0,N(E1156)&gt;1440),"Durée invalide",IF(COUNTIFS(sj_date,A1156,sj_eq,B1156,sj_po,C1156)=0,"Pas de saisie journalière ce jour-là","OK")))))))))))</f>
        <v/>
      </c>
      <c r="J1156">
        <f>IF(OR(I1156="OK",I1156="Pas de saisie journalière ce jour-là"),E1156,0)</f>
        <v>0.0</v>
      </c>
      <c r="K1156">
        <f>IF(AND(J1156&gt;0,A1156&gt;=p_from,A1156&lt;=p_to),1,0)</f>
        <v>0.0</v>
      </c>
      <c r="L1156">
        <f>IF(AND(K1156=1,OR(pa_po="",C1156=pa_po),OR(pa_eq="",B1156=pa_eq)),1,0)</f>
        <v>0.0</v>
      </c>
    </row>
    <row r="1157">
      <c r="A1157" s="51" t="n"/>
      <c r="B1157" s="52" t="n"/>
      <c r="C1157" s="52" t="n"/>
      <c r="D1157" s="53" t="n"/>
      <c r="E1157" s="60" t="n"/>
      <c r="F1157" s="53" t="n"/>
      <c r="G1157" s="61" t="str">
        <f>IF(OR(COUNTA(A1157:E1157)=0,D1157=""),"",IFERROR(INDEX(ca_fam,MATCH(D1157,ca_name,0))&amp;"",""))</f>
        <v/>
      </c>
      <c r="H1157" s="58" t="str">
        <f>IF(OR(COUNTA(A1157:E1157)=0,D1157=""),"",IFERROR(INDEX(ca_type,MATCH(D1157,ca_name,0))&amp;"",""))</f>
        <v/>
      </c>
      <c r="I1157" s="58" t="str">
        <f>IF(COUNTA(A1157:E1157)=0,"",IF(N(A1157)&lt;=0,"Date manquante ou invalide",IF(B1157="","Équipe manquante",IF(ISNA(MATCH(B1157,eq_code,0)),"Équipe inconnue",IF(C1157="","Poste manquant",IF(ISNA(MATCH(C1157,po_code,0)),"Poste inconnu",IF(D1157="","Cause manquante",IF(ISNA(MATCH(D1157,ca_name,0)),"Cause inconnue",IF(H1157="","Cause à compléter dans Paramètres",IF(OR(NOT(ISNUMBER(E1157)),N(E1157)&lt;=0,N(E1157)&gt;1440),"Durée invalide",IF(COUNTIFS(sj_date,A1157,sj_eq,B1157,sj_po,C1157)=0,"Pas de saisie journalière ce jour-là","OK")))))))))))</f>
        <v/>
      </c>
      <c r="J1157">
        <f>IF(OR(I1157="OK",I1157="Pas de saisie journalière ce jour-là"),E1157,0)</f>
        <v>0.0</v>
      </c>
      <c r="K1157">
        <f>IF(AND(J1157&gt;0,A1157&gt;=p_from,A1157&lt;=p_to),1,0)</f>
        <v>0.0</v>
      </c>
      <c r="L1157">
        <f>IF(AND(K1157=1,OR(pa_po="",C1157=pa_po),OR(pa_eq="",B1157=pa_eq)),1,0)</f>
        <v>0.0</v>
      </c>
    </row>
    <row r="1158">
      <c r="A1158" s="51" t="n"/>
      <c r="B1158" s="52" t="n"/>
      <c r="C1158" s="52" t="n"/>
      <c r="D1158" s="53" t="n"/>
      <c r="E1158" s="60" t="n"/>
      <c r="F1158" s="53" t="n"/>
      <c r="G1158" s="61" t="str">
        <f>IF(OR(COUNTA(A1158:E1158)=0,D1158=""),"",IFERROR(INDEX(ca_fam,MATCH(D1158,ca_name,0))&amp;"",""))</f>
        <v/>
      </c>
      <c r="H1158" s="58" t="str">
        <f>IF(OR(COUNTA(A1158:E1158)=0,D1158=""),"",IFERROR(INDEX(ca_type,MATCH(D1158,ca_name,0))&amp;"",""))</f>
        <v/>
      </c>
      <c r="I1158" s="58" t="str">
        <f>IF(COUNTA(A1158:E1158)=0,"",IF(N(A1158)&lt;=0,"Date manquante ou invalide",IF(B1158="","Équipe manquante",IF(ISNA(MATCH(B1158,eq_code,0)),"Équipe inconnue",IF(C1158="","Poste manquant",IF(ISNA(MATCH(C1158,po_code,0)),"Poste inconnu",IF(D1158="","Cause manquante",IF(ISNA(MATCH(D1158,ca_name,0)),"Cause inconnue",IF(H1158="","Cause à compléter dans Paramètres",IF(OR(NOT(ISNUMBER(E1158)),N(E1158)&lt;=0,N(E1158)&gt;1440),"Durée invalide",IF(COUNTIFS(sj_date,A1158,sj_eq,B1158,sj_po,C1158)=0,"Pas de saisie journalière ce jour-là","OK")))))))))))</f>
        <v/>
      </c>
      <c r="J1158">
        <f>IF(OR(I1158="OK",I1158="Pas de saisie journalière ce jour-là"),E1158,0)</f>
        <v>0.0</v>
      </c>
      <c r="K1158">
        <f>IF(AND(J1158&gt;0,A1158&gt;=p_from,A1158&lt;=p_to),1,0)</f>
        <v>0.0</v>
      </c>
      <c r="L1158">
        <f>IF(AND(K1158=1,OR(pa_po="",C1158=pa_po),OR(pa_eq="",B1158=pa_eq)),1,0)</f>
        <v>0.0</v>
      </c>
    </row>
    <row r="1159">
      <c r="A1159" s="51" t="n"/>
      <c r="B1159" s="52" t="n"/>
      <c r="C1159" s="52" t="n"/>
      <c r="D1159" s="53" t="n"/>
      <c r="E1159" s="60" t="n"/>
      <c r="F1159" s="53" t="n"/>
      <c r="G1159" s="61" t="str">
        <f>IF(OR(COUNTA(A1159:E1159)=0,D1159=""),"",IFERROR(INDEX(ca_fam,MATCH(D1159,ca_name,0))&amp;"",""))</f>
        <v/>
      </c>
      <c r="H1159" s="58" t="str">
        <f>IF(OR(COUNTA(A1159:E1159)=0,D1159=""),"",IFERROR(INDEX(ca_type,MATCH(D1159,ca_name,0))&amp;"",""))</f>
        <v/>
      </c>
      <c r="I1159" s="58" t="str">
        <f>IF(COUNTA(A1159:E1159)=0,"",IF(N(A1159)&lt;=0,"Date manquante ou invalide",IF(B1159="","Équipe manquante",IF(ISNA(MATCH(B1159,eq_code,0)),"Équipe inconnue",IF(C1159="","Poste manquant",IF(ISNA(MATCH(C1159,po_code,0)),"Poste inconnu",IF(D1159="","Cause manquante",IF(ISNA(MATCH(D1159,ca_name,0)),"Cause inconnue",IF(H1159="","Cause à compléter dans Paramètres",IF(OR(NOT(ISNUMBER(E1159)),N(E1159)&lt;=0,N(E1159)&gt;1440),"Durée invalide",IF(COUNTIFS(sj_date,A1159,sj_eq,B1159,sj_po,C1159)=0,"Pas de saisie journalière ce jour-là","OK")))))))))))</f>
        <v/>
      </c>
      <c r="J1159">
        <f>IF(OR(I1159="OK",I1159="Pas de saisie journalière ce jour-là"),E1159,0)</f>
        <v>0.0</v>
      </c>
      <c r="K1159">
        <f>IF(AND(J1159&gt;0,A1159&gt;=p_from,A1159&lt;=p_to),1,0)</f>
        <v>0.0</v>
      </c>
      <c r="L1159">
        <f>IF(AND(K1159=1,OR(pa_po="",C1159=pa_po),OR(pa_eq="",B1159=pa_eq)),1,0)</f>
        <v>0.0</v>
      </c>
    </row>
    <row r="1160">
      <c r="A1160" s="51" t="n"/>
      <c r="B1160" s="52" t="n"/>
      <c r="C1160" s="52" t="n"/>
      <c r="D1160" s="53" t="n"/>
      <c r="E1160" s="60" t="n"/>
      <c r="F1160" s="53" t="n"/>
      <c r="G1160" s="61" t="str">
        <f>IF(OR(COUNTA(A1160:E1160)=0,D1160=""),"",IFERROR(INDEX(ca_fam,MATCH(D1160,ca_name,0))&amp;"",""))</f>
        <v/>
      </c>
      <c r="H1160" s="58" t="str">
        <f>IF(OR(COUNTA(A1160:E1160)=0,D1160=""),"",IFERROR(INDEX(ca_type,MATCH(D1160,ca_name,0))&amp;"",""))</f>
        <v/>
      </c>
      <c r="I1160" s="58" t="str">
        <f>IF(COUNTA(A1160:E1160)=0,"",IF(N(A1160)&lt;=0,"Date manquante ou invalide",IF(B1160="","Équipe manquante",IF(ISNA(MATCH(B1160,eq_code,0)),"Équipe inconnue",IF(C1160="","Poste manquant",IF(ISNA(MATCH(C1160,po_code,0)),"Poste inconnu",IF(D1160="","Cause manquante",IF(ISNA(MATCH(D1160,ca_name,0)),"Cause inconnue",IF(H1160="","Cause à compléter dans Paramètres",IF(OR(NOT(ISNUMBER(E1160)),N(E1160)&lt;=0,N(E1160)&gt;1440),"Durée invalide",IF(COUNTIFS(sj_date,A1160,sj_eq,B1160,sj_po,C1160)=0,"Pas de saisie journalière ce jour-là","OK")))))))))))</f>
        <v/>
      </c>
      <c r="J1160">
        <f>IF(OR(I1160="OK",I1160="Pas de saisie journalière ce jour-là"),E1160,0)</f>
        <v>0.0</v>
      </c>
      <c r="K1160">
        <f>IF(AND(J1160&gt;0,A1160&gt;=p_from,A1160&lt;=p_to),1,0)</f>
        <v>0.0</v>
      </c>
      <c r="L1160">
        <f>IF(AND(K1160=1,OR(pa_po="",C1160=pa_po),OR(pa_eq="",B1160=pa_eq)),1,0)</f>
        <v>0.0</v>
      </c>
    </row>
    <row r="1161">
      <c r="A1161" s="51" t="n"/>
      <c r="B1161" s="52" t="n"/>
      <c r="C1161" s="52" t="n"/>
      <c r="D1161" s="53" t="n"/>
      <c r="E1161" s="60" t="n"/>
      <c r="F1161" s="53" t="n"/>
      <c r="G1161" s="61" t="str">
        <f>IF(OR(COUNTA(A1161:E1161)=0,D1161=""),"",IFERROR(INDEX(ca_fam,MATCH(D1161,ca_name,0))&amp;"",""))</f>
        <v/>
      </c>
      <c r="H1161" s="58" t="str">
        <f>IF(OR(COUNTA(A1161:E1161)=0,D1161=""),"",IFERROR(INDEX(ca_type,MATCH(D1161,ca_name,0))&amp;"",""))</f>
        <v/>
      </c>
      <c r="I1161" s="58" t="str">
        <f>IF(COUNTA(A1161:E1161)=0,"",IF(N(A1161)&lt;=0,"Date manquante ou invalide",IF(B1161="","Équipe manquante",IF(ISNA(MATCH(B1161,eq_code,0)),"Équipe inconnue",IF(C1161="","Poste manquant",IF(ISNA(MATCH(C1161,po_code,0)),"Poste inconnu",IF(D1161="","Cause manquante",IF(ISNA(MATCH(D1161,ca_name,0)),"Cause inconnue",IF(H1161="","Cause à compléter dans Paramètres",IF(OR(NOT(ISNUMBER(E1161)),N(E1161)&lt;=0,N(E1161)&gt;1440),"Durée invalide",IF(COUNTIFS(sj_date,A1161,sj_eq,B1161,sj_po,C1161)=0,"Pas de saisie journalière ce jour-là","OK")))))))))))</f>
        <v/>
      </c>
      <c r="J1161">
        <f>IF(OR(I1161="OK",I1161="Pas de saisie journalière ce jour-là"),E1161,0)</f>
        <v>0.0</v>
      </c>
      <c r="K1161">
        <f>IF(AND(J1161&gt;0,A1161&gt;=p_from,A1161&lt;=p_to),1,0)</f>
        <v>0.0</v>
      </c>
      <c r="L1161">
        <f>IF(AND(K1161=1,OR(pa_po="",C1161=pa_po),OR(pa_eq="",B1161=pa_eq)),1,0)</f>
        <v>0.0</v>
      </c>
    </row>
    <row r="1162">
      <c r="A1162" s="51" t="n"/>
      <c r="B1162" s="52" t="n"/>
      <c r="C1162" s="52" t="n"/>
      <c r="D1162" s="53" t="n"/>
      <c r="E1162" s="60" t="n"/>
      <c r="F1162" s="53" t="n"/>
      <c r="G1162" s="61" t="str">
        <f>IF(OR(COUNTA(A1162:E1162)=0,D1162=""),"",IFERROR(INDEX(ca_fam,MATCH(D1162,ca_name,0))&amp;"",""))</f>
        <v/>
      </c>
      <c r="H1162" s="58" t="str">
        <f>IF(OR(COUNTA(A1162:E1162)=0,D1162=""),"",IFERROR(INDEX(ca_type,MATCH(D1162,ca_name,0))&amp;"",""))</f>
        <v/>
      </c>
      <c r="I1162" s="58" t="str">
        <f>IF(COUNTA(A1162:E1162)=0,"",IF(N(A1162)&lt;=0,"Date manquante ou invalide",IF(B1162="","Équipe manquante",IF(ISNA(MATCH(B1162,eq_code,0)),"Équipe inconnue",IF(C1162="","Poste manquant",IF(ISNA(MATCH(C1162,po_code,0)),"Poste inconnu",IF(D1162="","Cause manquante",IF(ISNA(MATCH(D1162,ca_name,0)),"Cause inconnue",IF(H1162="","Cause à compléter dans Paramètres",IF(OR(NOT(ISNUMBER(E1162)),N(E1162)&lt;=0,N(E1162)&gt;1440),"Durée invalide",IF(COUNTIFS(sj_date,A1162,sj_eq,B1162,sj_po,C1162)=0,"Pas de saisie journalière ce jour-là","OK")))))))))))</f>
        <v/>
      </c>
      <c r="J1162">
        <f>IF(OR(I1162="OK",I1162="Pas de saisie journalière ce jour-là"),E1162,0)</f>
        <v>0.0</v>
      </c>
      <c r="K1162">
        <f>IF(AND(J1162&gt;0,A1162&gt;=p_from,A1162&lt;=p_to),1,0)</f>
        <v>0.0</v>
      </c>
      <c r="L1162">
        <f>IF(AND(K1162=1,OR(pa_po="",C1162=pa_po),OR(pa_eq="",B1162=pa_eq)),1,0)</f>
        <v>0.0</v>
      </c>
    </row>
    <row r="1163">
      <c r="A1163" s="51" t="n"/>
      <c r="B1163" s="52" t="n"/>
      <c r="C1163" s="52" t="n"/>
      <c r="D1163" s="53" t="n"/>
      <c r="E1163" s="60" t="n"/>
      <c r="F1163" s="53" t="n"/>
      <c r="G1163" s="61" t="str">
        <f>IF(OR(COUNTA(A1163:E1163)=0,D1163=""),"",IFERROR(INDEX(ca_fam,MATCH(D1163,ca_name,0))&amp;"",""))</f>
        <v/>
      </c>
      <c r="H1163" s="58" t="str">
        <f>IF(OR(COUNTA(A1163:E1163)=0,D1163=""),"",IFERROR(INDEX(ca_type,MATCH(D1163,ca_name,0))&amp;"",""))</f>
        <v/>
      </c>
      <c r="I1163" s="58" t="str">
        <f>IF(COUNTA(A1163:E1163)=0,"",IF(N(A1163)&lt;=0,"Date manquante ou invalide",IF(B1163="","Équipe manquante",IF(ISNA(MATCH(B1163,eq_code,0)),"Équipe inconnue",IF(C1163="","Poste manquant",IF(ISNA(MATCH(C1163,po_code,0)),"Poste inconnu",IF(D1163="","Cause manquante",IF(ISNA(MATCH(D1163,ca_name,0)),"Cause inconnue",IF(H1163="","Cause à compléter dans Paramètres",IF(OR(NOT(ISNUMBER(E1163)),N(E1163)&lt;=0,N(E1163)&gt;1440),"Durée invalide",IF(COUNTIFS(sj_date,A1163,sj_eq,B1163,sj_po,C1163)=0,"Pas de saisie journalière ce jour-là","OK")))))))))))</f>
        <v/>
      </c>
      <c r="J1163">
        <f>IF(OR(I1163="OK",I1163="Pas de saisie journalière ce jour-là"),E1163,0)</f>
        <v>0.0</v>
      </c>
      <c r="K1163">
        <f>IF(AND(J1163&gt;0,A1163&gt;=p_from,A1163&lt;=p_to),1,0)</f>
        <v>0.0</v>
      </c>
      <c r="L1163">
        <f>IF(AND(K1163=1,OR(pa_po="",C1163=pa_po),OR(pa_eq="",B1163=pa_eq)),1,0)</f>
        <v>0.0</v>
      </c>
    </row>
    <row r="1164">
      <c r="A1164" s="51" t="n"/>
      <c r="B1164" s="52" t="n"/>
      <c r="C1164" s="52" t="n"/>
      <c r="D1164" s="53" t="n"/>
      <c r="E1164" s="60" t="n"/>
      <c r="F1164" s="53" t="n"/>
      <c r="G1164" s="61" t="str">
        <f>IF(OR(COUNTA(A1164:E1164)=0,D1164=""),"",IFERROR(INDEX(ca_fam,MATCH(D1164,ca_name,0))&amp;"",""))</f>
        <v/>
      </c>
      <c r="H1164" s="58" t="str">
        <f>IF(OR(COUNTA(A1164:E1164)=0,D1164=""),"",IFERROR(INDEX(ca_type,MATCH(D1164,ca_name,0))&amp;"",""))</f>
        <v/>
      </c>
      <c r="I1164" s="58" t="str">
        <f>IF(COUNTA(A1164:E1164)=0,"",IF(N(A1164)&lt;=0,"Date manquante ou invalide",IF(B1164="","Équipe manquante",IF(ISNA(MATCH(B1164,eq_code,0)),"Équipe inconnue",IF(C1164="","Poste manquant",IF(ISNA(MATCH(C1164,po_code,0)),"Poste inconnu",IF(D1164="","Cause manquante",IF(ISNA(MATCH(D1164,ca_name,0)),"Cause inconnue",IF(H1164="","Cause à compléter dans Paramètres",IF(OR(NOT(ISNUMBER(E1164)),N(E1164)&lt;=0,N(E1164)&gt;1440),"Durée invalide",IF(COUNTIFS(sj_date,A1164,sj_eq,B1164,sj_po,C1164)=0,"Pas de saisie journalière ce jour-là","OK")))))))))))</f>
        <v/>
      </c>
      <c r="J1164">
        <f>IF(OR(I1164="OK",I1164="Pas de saisie journalière ce jour-là"),E1164,0)</f>
        <v>0.0</v>
      </c>
      <c r="K1164">
        <f>IF(AND(J1164&gt;0,A1164&gt;=p_from,A1164&lt;=p_to),1,0)</f>
        <v>0.0</v>
      </c>
      <c r="L1164">
        <f>IF(AND(K1164=1,OR(pa_po="",C1164=pa_po),OR(pa_eq="",B1164=pa_eq)),1,0)</f>
        <v>0.0</v>
      </c>
    </row>
    <row r="1165">
      <c r="A1165" s="51" t="n"/>
      <c r="B1165" s="52" t="n"/>
      <c r="C1165" s="52" t="n"/>
      <c r="D1165" s="53" t="n"/>
      <c r="E1165" s="60" t="n"/>
      <c r="F1165" s="53" t="n"/>
      <c r="G1165" s="61" t="str">
        <f>IF(OR(COUNTA(A1165:E1165)=0,D1165=""),"",IFERROR(INDEX(ca_fam,MATCH(D1165,ca_name,0))&amp;"",""))</f>
        <v/>
      </c>
      <c r="H1165" s="58" t="str">
        <f>IF(OR(COUNTA(A1165:E1165)=0,D1165=""),"",IFERROR(INDEX(ca_type,MATCH(D1165,ca_name,0))&amp;"",""))</f>
        <v/>
      </c>
      <c r="I1165" s="58" t="str">
        <f>IF(COUNTA(A1165:E1165)=0,"",IF(N(A1165)&lt;=0,"Date manquante ou invalide",IF(B1165="","Équipe manquante",IF(ISNA(MATCH(B1165,eq_code,0)),"Équipe inconnue",IF(C1165="","Poste manquant",IF(ISNA(MATCH(C1165,po_code,0)),"Poste inconnu",IF(D1165="","Cause manquante",IF(ISNA(MATCH(D1165,ca_name,0)),"Cause inconnue",IF(H1165="","Cause à compléter dans Paramètres",IF(OR(NOT(ISNUMBER(E1165)),N(E1165)&lt;=0,N(E1165)&gt;1440),"Durée invalide",IF(COUNTIFS(sj_date,A1165,sj_eq,B1165,sj_po,C1165)=0,"Pas de saisie journalière ce jour-là","OK")))))))))))</f>
        <v/>
      </c>
      <c r="J1165">
        <f>IF(OR(I1165="OK",I1165="Pas de saisie journalière ce jour-là"),E1165,0)</f>
        <v>0.0</v>
      </c>
      <c r="K1165">
        <f>IF(AND(J1165&gt;0,A1165&gt;=p_from,A1165&lt;=p_to),1,0)</f>
        <v>0.0</v>
      </c>
      <c r="L1165">
        <f>IF(AND(K1165=1,OR(pa_po="",C1165=pa_po),OR(pa_eq="",B1165=pa_eq)),1,0)</f>
        <v>0.0</v>
      </c>
    </row>
    <row r="1166">
      <c r="A1166" s="51" t="n"/>
      <c r="B1166" s="52" t="n"/>
      <c r="C1166" s="52" t="n"/>
      <c r="D1166" s="53" t="n"/>
      <c r="E1166" s="60" t="n"/>
      <c r="F1166" s="53" t="n"/>
      <c r="G1166" s="61" t="str">
        <f>IF(OR(COUNTA(A1166:E1166)=0,D1166=""),"",IFERROR(INDEX(ca_fam,MATCH(D1166,ca_name,0))&amp;"",""))</f>
        <v/>
      </c>
      <c r="H1166" s="58" t="str">
        <f>IF(OR(COUNTA(A1166:E1166)=0,D1166=""),"",IFERROR(INDEX(ca_type,MATCH(D1166,ca_name,0))&amp;"",""))</f>
        <v/>
      </c>
      <c r="I1166" s="58" t="str">
        <f>IF(COUNTA(A1166:E1166)=0,"",IF(N(A1166)&lt;=0,"Date manquante ou invalide",IF(B1166="","Équipe manquante",IF(ISNA(MATCH(B1166,eq_code,0)),"Équipe inconnue",IF(C1166="","Poste manquant",IF(ISNA(MATCH(C1166,po_code,0)),"Poste inconnu",IF(D1166="","Cause manquante",IF(ISNA(MATCH(D1166,ca_name,0)),"Cause inconnue",IF(H1166="","Cause à compléter dans Paramètres",IF(OR(NOT(ISNUMBER(E1166)),N(E1166)&lt;=0,N(E1166)&gt;1440),"Durée invalide",IF(COUNTIFS(sj_date,A1166,sj_eq,B1166,sj_po,C1166)=0,"Pas de saisie journalière ce jour-là","OK")))))))))))</f>
        <v/>
      </c>
      <c r="J1166">
        <f>IF(OR(I1166="OK",I1166="Pas de saisie journalière ce jour-là"),E1166,0)</f>
        <v>0.0</v>
      </c>
      <c r="K1166">
        <f>IF(AND(J1166&gt;0,A1166&gt;=p_from,A1166&lt;=p_to),1,0)</f>
        <v>0.0</v>
      </c>
      <c r="L1166">
        <f>IF(AND(K1166=1,OR(pa_po="",C1166=pa_po),OR(pa_eq="",B1166=pa_eq)),1,0)</f>
        <v>0.0</v>
      </c>
    </row>
    <row r="1167">
      <c r="A1167" s="51" t="n"/>
      <c r="B1167" s="52" t="n"/>
      <c r="C1167" s="52" t="n"/>
      <c r="D1167" s="53" t="n"/>
      <c r="E1167" s="60" t="n"/>
      <c r="F1167" s="53" t="n"/>
      <c r="G1167" s="61" t="str">
        <f>IF(OR(COUNTA(A1167:E1167)=0,D1167=""),"",IFERROR(INDEX(ca_fam,MATCH(D1167,ca_name,0))&amp;"",""))</f>
        <v/>
      </c>
      <c r="H1167" s="58" t="str">
        <f>IF(OR(COUNTA(A1167:E1167)=0,D1167=""),"",IFERROR(INDEX(ca_type,MATCH(D1167,ca_name,0))&amp;"",""))</f>
        <v/>
      </c>
      <c r="I1167" s="58" t="str">
        <f>IF(COUNTA(A1167:E1167)=0,"",IF(N(A1167)&lt;=0,"Date manquante ou invalide",IF(B1167="","Équipe manquante",IF(ISNA(MATCH(B1167,eq_code,0)),"Équipe inconnue",IF(C1167="","Poste manquant",IF(ISNA(MATCH(C1167,po_code,0)),"Poste inconnu",IF(D1167="","Cause manquante",IF(ISNA(MATCH(D1167,ca_name,0)),"Cause inconnue",IF(H1167="","Cause à compléter dans Paramètres",IF(OR(NOT(ISNUMBER(E1167)),N(E1167)&lt;=0,N(E1167)&gt;1440),"Durée invalide",IF(COUNTIFS(sj_date,A1167,sj_eq,B1167,sj_po,C1167)=0,"Pas de saisie journalière ce jour-là","OK")))))))))))</f>
        <v/>
      </c>
      <c r="J1167">
        <f>IF(OR(I1167="OK",I1167="Pas de saisie journalière ce jour-là"),E1167,0)</f>
        <v>0.0</v>
      </c>
      <c r="K1167">
        <f>IF(AND(J1167&gt;0,A1167&gt;=p_from,A1167&lt;=p_to),1,0)</f>
        <v>0.0</v>
      </c>
      <c r="L1167">
        <f>IF(AND(K1167=1,OR(pa_po="",C1167=pa_po),OR(pa_eq="",B1167=pa_eq)),1,0)</f>
        <v>0.0</v>
      </c>
    </row>
    <row r="1168">
      <c r="A1168" s="51" t="n"/>
      <c r="B1168" s="52" t="n"/>
      <c r="C1168" s="52" t="n"/>
      <c r="D1168" s="53" t="n"/>
      <c r="E1168" s="60" t="n"/>
      <c r="F1168" s="53" t="n"/>
      <c r="G1168" s="61" t="str">
        <f>IF(OR(COUNTA(A1168:E1168)=0,D1168=""),"",IFERROR(INDEX(ca_fam,MATCH(D1168,ca_name,0))&amp;"",""))</f>
        <v/>
      </c>
      <c r="H1168" s="58" t="str">
        <f>IF(OR(COUNTA(A1168:E1168)=0,D1168=""),"",IFERROR(INDEX(ca_type,MATCH(D1168,ca_name,0))&amp;"",""))</f>
        <v/>
      </c>
      <c r="I1168" s="58" t="str">
        <f>IF(COUNTA(A1168:E1168)=0,"",IF(N(A1168)&lt;=0,"Date manquante ou invalide",IF(B1168="","Équipe manquante",IF(ISNA(MATCH(B1168,eq_code,0)),"Équipe inconnue",IF(C1168="","Poste manquant",IF(ISNA(MATCH(C1168,po_code,0)),"Poste inconnu",IF(D1168="","Cause manquante",IF(ISNA(MATCH(D1168,ca_name,0)),"Cause inconnue",IF(H1168="","Cause à compléter dans Paramètres",IF(OR(NOT(ISNUMBER(E1168)),N(E1168)&lt;=0,N(E1168)&gt;1440),"Durée invalide",IF(COUNTIFS(sj_date,A1168,sj_eq,B1168,sj_po,C1168)=0,"Pas de saisie journalière ce jour-là","OK")))))))))))</f>
        <v/>
      </c>
      <c r="J1168">
        <f>IF(OR(I1168="OK",I1168="Pas de saisie journalière ce jour-là"),E1168,0)</f>
        <v>0.0</v>
      </c>
      <c r="K1168">
        <f>IF(AND(J1168&gt;0,A1168&gt;=p_from,A1168&lt;=p_to),1,0)</f>
        <v>0.0</v>
      </c>
      <c r="L1168">
        <f>IF(AND(K1168=1,OR(pa_po="",C1168=pa_po),OR(pa_eq="",B1168=pa_eq)),1,0)</f>
        <v>0.0</v>
      </c>
    </row>
    <row r="1169">
      <c r="A1169" s="51" t="n"/>
      <c r="B1169" s="52" t="n"/>
      <c r="C1169" s="52" t="n"/>
      <c r="D1169" s="53" t="n"/>
      <c r="E1169" s="60" t="n"/>
      <c r="F1169" s="53" t="n"/>
      <c r="G1169" s="61" t="str">
        <f>IF(OR(COUNTA(A1169:E1169)=0,D1169=""),"",IFERROR(INDEX(ca_fam,MATCH(D1169,ca_name,0))&amp;"",""))</f>
        <v/>
      </c>
      <c r="H1169" s="58" t="str">
        <f>IF(OR(COUNTA(A1169:E1169)=0,D1169=""),"",IFERROR(INDEX(ca_type,MATCH(D1169,ca_name,0))&amp;"",""))</f>
        <v/>
      </c>
      <c r="I1169" s="58" t="str">
        <f>IF(COUNTA(A1169:E1169)=0,"",IF(N(A1169)&lt;=0,"Date manquante ou invalide",IF(B1169="","Équipe manquante",IF(ISNA(MATCH(B1169,eq_code,0)),"Équipe inconnue",IF(C1169="","Poste manquant",IF(ISNA(MATCH(C1169,po_code,0)),"Poste inconnu",IF(D1169="","Cause manquante",IF(ISNA(MATCH(D1169,ca_name,0)),"Cause inconnue",IF(H1169="","Cause à compléter dans Paramètres",IF(OR(NOT(ISNUMBER(E1169)),N(E1169)&lt;=0,N(E1169)&gt;1440),"Durée invalide",IF(COUNTIFS(sj_date,A1169,sj_eq,B1169,sj_po,C1169)=0,"Pas de saisie journalière ce jour-là","OK")))))))))))</f>
        <v/>
      </c>
      <c r="J1169">
        <f>IF(OR(I1169="OK",I1169="Pas de saisie journalière ce jour-là"),E1169,0)</f>
        <v>0.0</v>
      </c>
      <c r="K1169">
        <f>IF(AND(J1169&gt;0,A1169&gt;=p_from,A1169&lt;=p_to),1,0)</f>
        <v>0.0</v>
      </c>
      <c r="L1169">
        <f>IF(AND(K1169=1,OR(pa_po="",C1169=pa_po),OR(pa_eq="",B1169=pa_eq)),1,0)</f>
        <v>0.0</v>
      </c>
    </row>
    <row r="1170">
      <c r="A1170" s="51" t="n"/>
      <c r="B1170" s="52" t="n"/>
      <c r="C1170" s="52" t="n"/>
      <c r="D1170" s="53" t="n"/>
      <c r="E1170" s="60" t="n"/>
      <c r="F1170" s="53" t="n"/>
      <c r="G1170" s="61" t="str">
        <f>IF(OR(COUNTA(A1170:E1170)=0,D1170=""),"",IFERROR(INDEX(ca_fam,MATCH(D1170,ca_name,0))&amp;"",""))</f>
        <v/>
      </c>
      <c r="H1170" s="58" t="str">
        <f>IF(OR(COUNTA(A1170:E1170)=0,D1170=""),"",IFERROR(INDEX(ca_type,MATCH(D1170,ca_name,0))&amp;"",""))</f>
        <v/>
      </c>
      <c r="I1170" s="58" t="str">
        <f>IF(COUNTA(A1170:E1170)=0,"",IF(N(A1170)&lt;=0,"Date manquante ou invalide",IF(B1170="","Équipe manquante",IF(ISNA(MATCH(B1170,eq_code,0)),"Équipe inconnue",IF(C1170="","Poste manquant",IF(ISNA(MATCH(C1170,po_code,0)),"Poste inconnu",IF(D1170="","Cause manquante",IF(ISNA(MATCH(D1170,ca_name,0)),"Cause inconnue",IF(H1170="","Cause à compléter dans Paramètres",IF(OR(NOT(ISNUMBER(E1170)),N(E1170)&lt;=0,N(E1170)&gt;1440),"Durée invalide",IF(COUNTIFS(sj_date,A1170,sj_eq,B1170,sj_po,C1170)=0,"Pas de saisie journalière ce jour-là","OK")))))))))))</f>
        <v/>
      </c>
      <c r="J1170">
        <f>IF(OR(I1170="OK",I1170="Pas de saisie journalière ce jour-là"),E1170,0)</f>
        <v>0.0</v>
      </c>
      <c r="K1170">
        <f>IF(AND(J1170&gt;0,A1170&gt;=p_from,A1170&lt;=p_to),1,0)</f>
        <v>0.0</v>
      </c>
      <c r="L1170">
        <f>IF(AND(K1170=1,OR(pa_po="",C1170=pa_po),OR(pa_eq="",B1170=pa_eq)),1,0)</f>
        <v>0.0</v>
      </c>
    </row>
    <row r="1171">
      <c r="A1171" s="51" t="n"/>
      <c r="B1171" s="52" t="n"/>
      <c r="C1171" s="52" t="n"/>
      <c r="D1171" s="53" t="n"/>
      <c r="E1171" s="60" t="n"/>
      <c r="F1171" s="53" t="n"/>
      <c r="G1171" s="61" t="str">
        <f>IF(OR(COUNTA(A1171:E1171)=0,D1171=""),"",IFERROR(INDEX(ca_fam,MATCH(D1171,ca_name,0))&amp;"",""))</f>
        <v/>
      </c>
      <c r="H1171" s="58" t="str">
        <f>IF(OR(COUNTA(A1171:E1171)=0,D1171=""),"",IFERROR(INDEX(ca_type,MATCH(D1171,ca_name,0))&amp;"",""))</f>
        <v/>
      </c>
      <c r="I1171" s="58" t="str">
        <f>IF(COUNTA(A1171:E1171)=0,"",IF(N(A1171)&lt;=0,"Date manquante ou invalide",IF(B1171="","Équipe manquante",IF(ISNA(MATCH(B1171,eq_code,0)),"Équipe inconnue",IF(C1171="","Poste manquant",IF(ISNA(MATCH(C1171,po_code,0)),"Poste inconnu",IF(D1171="","Cause manquante",IF(ISNA(MATCH(D1171,ca_name,0)),"Cause inconnue",IF(H1171="","Cause à compléter dans Paramètres",IF(OR(NOT(ISNUMBER(E1171)),N(E1171)&lt;=0,N(E1171)&gt;1440),"Durée invalide",IF(COUNTIFS(sj_date,A1171,sj_eq,B1171,sj_po,C1171)=0,"Pas de saisie journalière ce jour-là","OK")))))))))))</f>
        <v/>
      </c>
      <c r="J1171">
        <f>IF(OR(I1171="OK",I1171="Pas de saisie journalière ce jour-là"),E1171,0)</f>
        <v>0.0</v>
      </c>
      <c r="K1171">
        <f>IF(AND(J1171&gt;0,A1171&gt;=p_from,A1171&lt;=p_to),1,0)</f>
        <v>0.0</v>
      </c>
      <c r="L1171">
        <f>IF(AND(K1171=1,OR(pa_po="",C1171=pa_po),OR(pa_eq="",B1171=pa_eq)),1,0)</f>
        <v>0.0</v>
      </c>
    </row>
    <row r="1172">
      <c r="A1172" s="51" t="n"/>
      <c r="B1172" s="52" t="n"/>
      <c r="C1172" s="52" t="n"/>
      <c r="D1172" s="53" t="n"/>
      <c r="E1172" s="60" t="n"/>
      <c r="F1172" s="53" t="n"/>
      <c r="G1172" s="61" t="str">
        <f>IF(OR(COUNTA(A1172:E1172)=0,D1172=""),"",IFERROR(INDEX(ca_fam,MATCH(D1172,ca_name,0))&amp;"",""))</f>
        <v/>
      </c>
      <c r="H1172" s="58" t="str">
        <f>IF(OR(COUNTA(A1172:E1172)=0,D1172=""),"",IFERROR(INDEX(ca_type,MATCH(D1172,ca_name,0))&amp;"",""))</f>
        <v/>
      </c>
      <c r="I1172" s="58" t="str">
        <f>IF(COUNTA(A1172:E1172)=0,"",IF(N(A1172)&lt;=0,"Date manquante ou invalide",IF(B1172="","Équipe manquante",IF(ISNA(MATCH(B1172,eq_code,0)),"Équipe inconnue",IF(C1172="","Poste manquant",IF(ISNA(MATCH(C1172,po_code,0)),"Poste inconnu",IF(D1172="","Cause manquante",IF(ISNA(MATCH(D1172,ca_name,0)),"Cause inconnue",IF(H1172="","Cause à compléter dans Paramètres",IF(OR(NOT(ISNUMBER(E1172)),N(E1172)&lt;=0,N(E1172)&gt;1440),"Durée invalide",IF(COUNTIFS(sj_date,A1172,sj_eq,B1172,sj_po,C1172)=0,"Pas de saisie journalière ce jour-là","OK")))))))))))</f>
        <v/>
      </c>
      <c r="J1172">
        <f>IF(OR(I1172="OK",I1172="Pas de saisie journalière ce jour-là"),E1172,0)</f>
        <v>0.0</v>
      </c>
      <c r="K1172">
        <f>IF(AND(J1172&gt;0,A1172&gt;=p_from,A1172&lt;=p_to),1,0)</f>
        <v>0.0</v>
      </c>
      <c r="L1172">
        <f>IF(AND(K1172=1,OR(pa_po="",C1172=pa_po),OR(pa_eq="",B1172=pa_eq)),1,0)</f>
        <v>0.0</v>
      </c>
    </row>
    <row r="1173">
      <c r="A1173" s="51" t="n"/>
      <c r="B1173" s="52" t="n"/>
      <c r="C1173" s="52" t="n"/>
      <c r="D1173" s="53" t="n"/>
      <c r="E1173" s="60" t="n"/>
      <c r="F1173" s="53" t="n"/>
      <c r="G1173" s="61" t="str">
        <f>IF(OR(COUNTA(A1173:E1173)=0,D1173=""),"",IFERROR(INDEX(ca_fam,MATCH(D1173,ca_name,0))&amp;"",""))</f>
        <v/>
      </c>
      <c r="H1173" s="58" t="str">
        <f>IF(OR(COUNTA(A1173:E1173)=0,D1173=""),"",IFERROR(INDEX(ca_type,MATCH(D1173,ca_name,0))&amp;"",""))</f>
        <v/>
      </c>
      <c r="I1173" s="58" t="str">
        <f>IF(COUNTA(A1173:E1173)=0,"",IF(N(A1173)&lt;=0,"Date manquante ou invalide",IF(B1173="","Équipe manquante",IF(ISNA(MATCH(B1173,eq_code,0)),"Équipe inconnue",IF(C1173="","Poste manquant",IF(ISNA(MATCH(C1173,po_code,0)),"Poste inconnu",IF(D1173="","Cause manquante",IF(ISNA(MATCH(D1173,ca_name,0)),"Cause inconnue",IF(H1173="","Cause à compléter dans Paramètres",IF(OR(NOT(ISNUMBER(E1173)),N(E1173)&lt;=0,N(E1173)&gt;1440),"Durée invalide",IF(COUNTIFS(sj_date,A1173,sj_eq,B1173,sj_po,C1173)=0,"Pas de saisie journalière ce jour-là","OK")))))))))))</f>
        <v/>
      </c>
      <c r="J1173">
        <f>IF(OR(I1173="OK",I1173="Pas de saisie journalière ce jour-là"),E1173,0)</f>
        <v>0.0</v>
      </c>
      <c r="K1173">
        <f>IF(AND(J1173&gt;0,A1173&gt;=p_from,A1173&lt;=p_to),1,0)</f>
        <v>0.0</v>
      </c>
      <c r="L1173">
        <f>IF(AND(K1173=1,OR(pa_po="",C1173=pa_po),OR(pa_eq="",B1173=pa_eq)),1,0)</f>
        <v>0.0</v>
      </c>
    </row>
    <row r="1174">
      <c r="A1174" s="51" t="n"/>
      <c r="B1174" s="52" t="n"/>
      <c r="C1174" s="52" t="n"/>
      <c r="D1174" s="53" t="n"/>
      <c r="E1174" s="60" t="n"/>
      <c r="F1174" s="53" t="n"/>
      <c r="G1174" s="61" t="str">
        <f>IF(OR(COUNTA(A1174:E1174)=0,D1174=""),"",IFERROR(INDEX(ca_fam,MATCH(D1174,ca_name,0))&amp;"",""))</f>
        <v/>
      </c>
      <c r="H1174" s="58" t="str">
        <f>IF(OR(COUNTA(A1174:E1174)=0,D1174=""),"",IFERROR(INDEX(ca_type,MATCH(D1174,ca_name,0))&amp;"",""))</f>
        <v/>
      </c>
      <c r="I1174" s="58" t="str">
        <f>IF(COUNTA(A1174:E1174)=0,"",IF(N(A1174)&lt;=0,"Date manquante ou invalide",IF(B1174="","Équipe manquante",IF(ISNA(MATCH(B1174,eq_code,0)),"Équipe inconnue",IF(C1174="","Poste manquant",IF(ISNA(MATCH(C1174,po_code,0)),"Poste inconnu",IF(D1174="","Cause manquante",IF(ISNA(MATCH(D1174,ca_name,0)),"Cause inconnue",IF(H1174="","Cause à compléter dans Paramètres",IF(OR(NOT(ISNUMBER(E1174)),N(E1174)&lt;=0,N(E1174)&gt;1440),"Durée invalide",IF(COUNTIFS(sj_date,A1174,sj_eq,B1174,sj_po,C1174)=0,"Pas de saisie journalière ce jour-là","OK")))))))))))</f>
        <v/>
      </c>
      <c r="J1174">
        <f>IF(OR(I1174="OK",I1174="Pas de saisie journalière ce jour-là"),E1174,0)</f>
        <v>0.0</v>
      </c>
      <c r="K1174">
        <f>IF(AND(J1174&gt;0,A1174&gt;=p_from,A1174&lt;=p_to),1,0)</f>
        <v>0.0</v>
      </c>
      <c r="L1174">
        <f>IF(AND(K1174=1,OR(pa_po="",C1174=pa_po),OR(pa_eq="",B1174=pa_eq)),1,0)</f>
        <v>0.0</v>
      </c>
    </row>
    <row r="1175">
      <c r="A1175" s="51" t="n"/>
      <c r="B1175" s="52" t="n"/>
      <c r="C1175" s="52" t="n"/>
      <c r="D1175" s="53" t="n"/>
      <c r="E1175" s="60" t="n"/>
      <c r="F1175" s="53" t="n"/>
      <c r="G1175" s="61" t="str">
        <f>IF(OR(COUNTA(A1175:E1175)=0,D1175=""),"",IFERROR(INDEX(ca_fam,MATCH(D1175,ca_name,0))&amp;"",""))</f>
        <v/>
      </c>
      <c r="H1175" s="58" t="str">
        <f>IF(OR(COUNTA(A1175:E1175)=0,D1175=""),"",IFERROR(INDEX(ca_type,MATCH(D1175,ca_name,0))&amp;"",""))</f>
        <v/>
      </c>
      <c r="I1175" s="58" t="str">
        <f>IF(COUNTA(A1175:E1175)=0,"",IF(N(A1175)&lt;=0,"Date manquante ou invalide",IF(B1175="","Équipe manquante",IF(ISNA(MATCH(B1175,eq_code,0)),"Équipe inconnue",IF(C1175="","Poste manquant",IF(ISNA(MATCH(C1175,po_code,0)),"Poste inconnu",IF(D1175="","Cause manquante",IF(ISNA(MATCH(D1175,ca_name,0)),"Cause inconnue",IF(H1175="","Cause à compléter dans Paramètres",IF(OR(NOT(ISNUMBER(E1175)),N(E1175)&lt;=0,N(E1175)&gt;1440),"Durée invalide",IF(COUNTIFS(sj_date,A1175,sj_eq,B1175,sj_po,C1175)=0,"Pas de saisie journalière ce jour-là","OK")))))))))))</f>
        <v/>
      </c>
      <c r="J1175">
        <f>IF(OR(I1175="OK",I1175="Pas de saisie journalière ce jour-là"),E1175,0)</f>
        <v>0.0</v>
      </c>
      <c r="K1175">
        <f>IF(AND(J1175&gt;0,A1175&gt;=p_from,A1175&lt;=p_to),1,0)</f>
        <v>0.0</v>
      </c>
      <c r="L1175">
        <f>IF(AND(K1175=1,OR(pa_po="",C1175=pa_po),OR(pa_eq="",B1175=pa_eq)),1,0)</f>
        <v>0.0</v>
      </c>
    </row>
    <row r="1176">
      <c r="A1176" s="51" t="n"/>
      <c r="B1176" s="52" t="n"/>
      <c r="C1176" s="52" t="n"/>
      <c r="D1176" s="53" t="n"/>
      <c r="E1176" s="60" t="n"/>
      <c r="F1176" s="53" t="n"/>
      <c r="G1176" s="61" t="str">
        <f>IF(OR(COUNTA(A1176:E1176)=0,D1176=""),"",IFERROR(INDEX(ca_fam,MATCH(D1176,ca_name,0))&amp;"",""))</f>
        <v/>
      </c>
      <c r="H1176" s="58" t="str">
        <f>IF(OR(COUNTA(A1176:E1176)=0,D1176=""),"",IFERROR(INDEX(ca_type,MATCH(D1176,ca_name,0))&amp;"",""))</f>
        <v/>
      </c>
      <c r="I1176" s="58" t="str">
        <f>IF(COUNTA(A1176:E1176)=0,"",IF(N(A1176)&lt;=0,"Date manquante ou invalide",IF(B1176="","Équipe manquante",IF(ISNA(MATCH(B1176,eq_code,0)),"Équipe inconnue",IF(C1176="","Poste manquant",IF(ISNA(MATCH(C1176,po_code,0)),"Poste inconnu",IF(D1176="","Cause manquante",IF(ISNA(MATCH(D1176,ca_name,0)),"Cause inconnue",IF(H1176="","Cause à compléter dans Paramètres",IF(OR(NOT(ISNUMBER(E1176)),N(E1176)&lt;=0,N(E1176)&gt;1440),"Durée invalide",IF(COUNTIFS(sj_date,A1176,sj_eq,B1176,sj_po,C1176)=0,"Pas de saisie journalière ce jour-là","OK")))))))))))</f>
        <v/>
      </c>
      <c r="J1176">
        <f>IF(OR(I1176="OK",I1176="Pas de saisie journalière ce jour-là"),E1176,0)</f>
        <v>0.0</v>
      </c>
      <c r="K1176">
        <f>IF(AND(J1176&gt;0,A1176&gt;=p_from,A1176&lt;=p_to),1,0)</f>
        <v>0.0</v>
      </c>
      <c r="L1176">
        <f>IF(AND(K1176=1,OR(pa_po="",C1176=pa_po),OR(pa_eq="",B1176=pa_eq)),1,0)</f>
        <v>0.0</v>
      </c>
    </row>
    <row r="1177">
      <c r="A1177" s="51" t="n"/>
      <c r="B1177" s="52" t="n"/>
      <c r="C1177" s="52" t="n"/>
      <c r="D1177" s="53" t="n"/>
      <c r="E1177" s="60" t="n"/>
      <c r="F1177" s="53" t="n"/>
      <c r="G1177" s="61" t="str">
        <f>IF(OR(COUNTA(A1177:E1177)=0,D1177=""),"",IFERROR(INDEX(ca_fam,MATCH(D1177,ca_name,0))&amp;"",""))</f>
        <v/>
      </c>
      <c r="H1177" s="58" t="str">
        <f>IF(OR(COUNTA(A1177:E1177)=0,D1177=""),"",IFERROR(INDEX(ca_type,MATCH(D1177,ca_name,0))&amp;"",""))</f>
        <v/>
      </c>
      <c r="I1177" s="58" t="str">
        <f>IF(COUNTA(A1177:E1177)=0,"",IF(N(A1177)&lt;=0,"Date manquante ou invalide",IF(B1177="","Équipe manquante",IF(ISNA(MATCH(B1177,eq_code,0)),"Équipe inconnue",IF(C1177="","Poste manquant",IF(ISNA(MATCH(C1177,po_code,0)),"Poste inconnu",IF(D1177="","Cause manquante",IF(ISNA(MATCH(D1177,ca_name,0)),"Cause inconnue",IF(H1177="","Cause à compléter dans Paramètres",IF(OR(NOT(ISNUMBER(E1177)),N(E1177)&lt;=0,N(E1177)&gt;1440),"Durée invalide",IF(COUNTIFS(sj_date,A1177,sj_eq,B1177,sj_po,C1177)=0,"Pas de saisie journalière ce jour-là","OK")))))))))))</f>
        <v/>
      </c>
      <c r="J1177">
        <f>IF(OR(I1177="OK",I1177="Pas de saisie journalière ce jour-là"),E1177,0)</f>
        <v>0.0</v>
      </c>
      <c r="K1177">
        <f>IF(AND(J1177&gt;0,A1177&gt;=p_from,A1177&lt;=p_to),1,0)</f>
        <v>0.0</v>
      </c>
      <c r="L1177">
        <f>IF(AND(K1177=1,OR(pa_po="",C1177=pa_po),OR(pa_eq="",B1177=pa_eq)),1,0)</f>
        <v>0.0</v>
      </c>
    </row>
    <row r="1178">
      <c r="A1178" s="51" t="n"/>
      <c r="B1178" s="52" t="n"/>
      <c r="C1178" s="52" t="n"/>
      <c r="D1178" s="53" t="n"/>
      <c r="E1178" s="60" t="n"/>
      <c r="F1178" s="53" t="n"/>
      <c r="G1178" s="61" t="str">
        <f>IF(OR(COUNTA(A1178:E1178)=0,D1178=""),"",IFERROR(INDEX(ca_fam,MATCH(D1178,ca_name,0))&amp;"",""))</f>
        <v/>
      </c>
      <c r="H1178" s="58" t="str">
        <f>IF(OR(COUNTA(A1178:E1178)=0,D1178=""),"",IFERROR(INDEX(ca_type,MATCH(D1178,ca_name,0))&amp;"",""))</f>
        <v/>
      </c>
      <c r="I1178" s="58" t="str">
        <f>IF(COUNTA(A1178:E1178)=0,"",IF(N(A1178)&lt;=0,"Date manquante ou invalide",IF(B1178="","Équipe manquante",IF(ISNA(MATCH(B1178,eq_code,0)),"Équipe inconnue",IF(C1178="","Poste manquant",IF(ISNA(MATCH(C1178,po_code,0)),"Poste inconnu",IF(D1178="","Cause manquante",IF(ISNA(MATCH(D1178,ca_name,0)),"Cause inconnue",IF(H1178="","Cause à compléter dans Paramètres",IF(OR(NOT(ISNUMBER(E1178)),N(E1178)&lt;=0,N(E1178)&gt;1440),"Durée invalide",IF(COUNTIFS(sj_date,A1178,sj_eq,B1178,sj_po,C1178)=0,"Pas de saisie journalière ce jour-là","OK")))))))))))</f>
        <v/>
      </c>
      <c r="J1178">
        <f>IF(OR(I1178="OK",I1178="Pas de saisie journalière ce jour-là"),E1178,0)</f>
        <v>0.0</v>
      </c>
      <c r="K1178">
        <f>IF(AND(J1178&gt;0,A1178&gt;=p_from,A1178&lt;=p_to),1,0)</f>
        <v>0.0</v>
      </c>
      <c r="L1178">
        <f>IF(AND(K1178=1,OR(pa_po="",C1178=pa_po),OR(pa_eq="",B1178=pa_eq)),1,0)</f>
        <v>0.0</v>
      </c>
    </row>
    <row r="1179">
      <c r="A1179" s="51" t="n"/>
      <c r="B1179" s="52" t="n"/>
      <c r="C1179" s="52" t="n"/>
      <c r="D1179" s="53" t="n"/>
      <c r="E1179" s="60" t="n"/>
      <c r="F1179" s="53" t="n"/>
      <c r="G1179" s="61" t="str">
        <f>IF(OR(COUNTA(A1179:E1179)=0,D1179=""),"",IFERROR(INDEX(ca_fam,MATCH(D1179,ca_name,0))&amp;"",""))</f>
        <v/>
      </c>
      <c r="H1179" s="58" t="str">
        <f>IF(OR(COUNTA(A1179:E1179)=0,D1179=""),"",IFERROR(INDEX(ca_type,MATCH(D1179,ca_name,0))&amp;"",""))</f>
        <v/>
      </c>
      <c r="I1179" s="58" t="str">
        <f>IF(COUNTA(A1179:E1179)=0,"",IF(N(A1179)&lt;=0,"Date manquante ou invalide",IF(B1179="","Équipe manquante",IF(ISNA(MATCH(B1179,eq_code,0)),"Équipe inconnue",IF(C1179="","Poste manquant",IF(ISNA(MATCH(C1179,po_code,0)),"Poste inconnu",IF(D1179="","Cause manquante",IF(ISNA(MATCH(D1179,ca_name,0)),"Cause inconnue",IF(H1179="","Cause à compléter dans Paramètres",IF(OR(NOT(ISNUMBER(E1179)),N(E1179)&lt;=0,N(E1179)&gt;1440),"Durée invalide",IF(COUNTIFS(sj_date,A1179,sj_eq,B1179,sj_po,C1179)=0,"Pas de saisie journalière ce jour-là","OK")))))))))))</f>
        <v/>
      </c>
      <c r="J1179">
        <f>IF(OR(I1179="OK",I1179="Pas de saisie journalière ce jour-là"),E1179,0)</f>
        <v>0.0</v>
      </c>
      <c r="K1179">
        <f>IF(AND(J1179&gt;0,A1179&gt;=p_from,A1179&lt;=p_to),1,0)</f>
        <v>0.0</v>
      </c>
      <c r="L1179">
        <f>IF(AND(K1179=1,OR(pa_po="",C1179=pa_po),OR(pa_eq="",B1179=pa_eq)),1,0)</f>
        <v>0.0</v>
      </c>
    </row>
    <row r="1180">
      <c r="A1180" s="51" t="n"/>
      <c r="B1180" s="52" t="n"/>
      <c r="C1180" s="52" t="n"/>
      <c r="D1180" s="53" t="n"/>
      <c r="E1180" s="60" t="n"/>
      <c r="F1180" s="53" t="n"/>
      <c r="G1180" s="61" t="str">
        <f>IF(OR(COUNTA(A1180:E1180)=0,D1180=""),"",IFERROR(INDEX(ca_fam,MATCH(D1180,ca_name,0))&amp;"",""))</f>
        <v/>
      </c>
      <c r="H1180" s="58" t="str">
        <f>IF(OR(COUNTA(A1180:E1180)=0,D1180=""),"",IFERROR(INDEX(ca_type,MATCH(D1180,ca_name,0))&amp;"",""))</f>
        <v/>
      </c>
      <c r="I1180" s="58" t="str">
        <f>IF(COUNTA(A1180:E1180)=0,"",IF(N(A1180)&lt;=0,"Date manquante ou invalide",IF(B1180="","Équipe manquante",IF(ISNA(MATCH(B1180,eq_code,0)),"Équipe inconnue",IF(C1180="","Poste manquant",IF(ISNA(MATCH(C1180,po_code,0)),"Poste inconnu",IF(D1180="","Cause manquante",IF(ISNA(MATCH(D1180,ca_name,0)),"Cause inconnue",IF(H1180="","Cause à compléter dans Paramètres",IF(OR(NOT(ISNUMBER(E1180)),N(E1180)&lt;=0,N(E1180)&gt;1440),"Durée invalide",IF(COUNTIFS(sj_date,A1180,sj_eq,B1180,sj_po,C1180)=0,"Pas de saisie journalière ce jour-là","OK")))))))))))</f>
        <v/>
      </c>
      <c r="J1180">
        <f>IF(OR(I1180="OK",I1180="Pas de saisie journalière ce jour-là"),E1180,0)</f>
        <v>0.0</v>
      </c>
      <c r="K1180">
        <f>IF(AND(J1180&gt;0,A1180&gt;=p_from,A1180&lt;=p_to),1,0)</f>
        <v>0.0</v>
      </c>
      <c r="L1180">
        <f>IF(AND(K1180=1,OR(pa_po="",C1180=pa_po),OR(pa_eq="",B1180=pa_eq)),1,0)</f>
        <v>0.0</v>
      </c>
    </row>
    <row r="1181">
      <c r="A1181" s="51" t="n"/>
      <c r="B1181" s="52" t="n"/>
      <c r="C1181" s="52" t="n"/>
      <c r="D1181" s="53" t="n"/>
      <c r="E1181" s="60" t="n"/>
      <c r="F1181" s="53" t="n"/>
      <c r="G1181" s="61" t="str">
        <f>IF(OR(COUNTA(A1181:E1181)=0,D1181=""),"",IFERROR(INDEX(ca_fam,MATCH(D1181,ca_name,0))&amp;"",""))</f>
        <v/>
      </c>
      <c r="H1181" s="58" t="str">
        <f>IF(OR(COUNTA(A1181:E1181)=0,D1181=""),"",IFERROR(INDEX(ca_type,MATCH(D1181,ca_name,0))&amp;"",""))</f>
        <v/>
      </c>
      <c r="I1181" s="58" t="str">
        <f>IF(COUNTA(A1181:E1181)=0,"",IF(N(A1181)&lt;=0,"Date manquante ou invalide",IF(B1181="","Équipe manquante",IF(ISNA(MATCH(B1181,eq_code,0)),"Équipe inconnue",IF(C1181="","Poste manquant",IF(ISNA(MATCH(C1181,po_code,0)),"Poste inconnu",IF(D1181="","Cause manquante",IF(ISNA(MATCH(D1181,ca_name,0)),"Cause inconnue",IF(H1181="","Cause à compléter dans Paramètres",IF(OR(NOT(ISNUMBER(E1181)),N(E1181)&lt;=0,N(E1181)&gt;1440),"Durée invalide",IF(COUNTIFS(sj_date,A1181,sj_eq,B1181,sj_po,C1181)=0,"Pas de saisie journalière ce jour-là","OK")))))))))))</f>
        <v/>
      </c>
      <c r="J1181">
        <f>IF(OR(I1181="OK",I1181="Pas de saisie journalière ce jour-là"),E1181,0)</f>
        <v>0.0</v>
      </c>
      <c r="K1181">
        <f>IF(AND(J1181&gt;0,A1181&gt;=p_from,A1181&lt;=p_to),1,0)</f>
        <v>0.0</v>
      </c>
      <c r="L1181">
        <f>IF(AND(K1181=1,OR(pa_po="",C1181=pa_po),OR(pa_eq="",B1181=pa_eq)),1,0)</f>
        <v>0.0</v>
      </c>
    </row>
    <row r="1182">
      <c r="A1182" s="51" t="n"/>
      <c r="B1182" s="52" t="n"/>
      <c r="C1182" s="52" t="n"/>
      <c r="D1182" s="53" t="n"/>
      <c r="E1182" s="60" t="n"/>
      <c r="F1182" s="53" t="n"/>
      <c r="G1182" s="61" t="str">
        <f>IF(OR(COUNTA(A1182:E1182)=0,D1182=""),"",IFERROR(INDEX(ca_fam,MATCH(D1182,ca_name,0))&amp;"",""))</f>
        <v/>
      </c>
      <c r="H1182" s="58" t="str">
        <f>IF(OR(COUNTA(A1182:E1182)=0,D1182=""),"",IFERROR(INDEX(ca_type,MATCH(D1182,ca_name,0))&amp;"",""))</f>
        <v/>
      </c>
      <c r="I1182" s="58" t="str">
        <f>IF(COUNTA(A1182:E1182)=0,"",IF(N(A1182)&lt;=0,"Date manquante ou invalide",IF(B1182="","Équipe manquante",IF(ISNA(MATCH(B1182,eq_code,0)),"Équipe inconnue",IF(C1182="","Poste manquant",IF(ISNA(MATCH(C1182,po_code,0)),"Poste inconnu",IF(D1182="","Cause manquante",IF(ISNA(MATCH(D1182,ca_name,0)),"Cause inconnue",IF(H1182="","Cause à compléter dans Paramètres",IF(OR(NOT(ISNUMBER(E1182)),N(E1182)&lt;=0,N(E1182)&gt;1440),"Durée invalide",IF(COUNTIFS(sj_date,A1182,sj_eq,B1182,sj_po,C1182)=0,"Pas de saisie journalière ce jour-là","OK")))))))))))</f>
        <v/>
      </c>
      <c r="J1182">
        <f>IF(OR(I1182="OK",I1182="Pas de saisie journalière ce jour-là"),E1182,0)</f>
        <v>0.0</v>
      </c>
      <c r="K1182">
        <f>IF(AND(J1182&gt;0,A1182&gt;=p_from,A1182&lt;=p_to),1,0)</f>
        <v>0.0</v>
      </c>
      <c r="L1182">
        <f>IF(AND(K1182=1,OR(pa_po="",C1182=pa_po),OR(pa_eq="",B1182=pa_eq)),1,0)</f>
        <v>0.0</v>
      </c>
    </row>
    <row r="1183">
      <c r="A1183" s="51" t="n"/>
      <c r="B1183" s="52" t="n"/>
      <c r="C1183" s="52" t="n"/>
      <c r="D1183" s="53" t="n"/>
      <c r="E1183" s="60" t="n"/>
      <c r="F1183" s="53" t="n"/>
      <c r="G1183" s="61" t="str">
        <f>IF(OR(COUNTA(A1183:E1183)=0,D1183=""),"",IFERROR(INDEX(ca_fam,MATCH(D1183,ca_name,0))&amp;"",""))</f>
        <v/>
      </c>
      <c r="H1183" s="58" t="str">
        <f>IF(OR(COUNTA(A1183:E1183)=0,D1183=""),"",IFERROR(INDEX(ca_type,MATCH(D1183,ca_name,0))&amp;"",""))</f>
        <v/>
      </c>
      <c r="I1183" s="58" t="str">
        <f>IF(COUNTA(A1183:E1183)=0,"",IF(N(A1183)&lt;=0,"Date manquante ou invalide",IF(B1183="","Équipe manquante",IF(ISNA(MATCH(B1183,eq_code,0)),"Équipe inconnue",IF(C1183="","Poste manquant",IF(ISNA(MATCH(C1183,po_code,0)),"Poste inconnu",IF(D1183="","Cause manquante",IF(ISNA(MATCH(D1183,ca_name,0)),"Cause inconnue",IF(H1183="","Cause à compléter dans Paramètres",IF(OR(NOT(ISNUMBER(E1183)),N(E1183)&lt;=0,N(E1183)&gt;1440),"Durée invalide",IF(COUNTIFS(sj_date,A1183,sj_eq,B1183,sj_po,C1183)=0,"Pas de saisie journalière ce jour-là","OK")))))))))))</f>
        <v/>
      </c>
      <c r="J1183">
        <f>IF(OR(I1183="OK",I1183="Pas de saisie journalière ce jour-là"),E1183,0)</f>
        <v>0.0</v>
      </c>
      <c r="K1183">
        <f>IF(AND(J1183&gt;0,A1183&gt;=p_from,A1183&lt;=p_to),1,0)</f>
        <v>0.0</v>
      </c>
      <c r="L1183">
        <f>IF(AND(K1183=1,OR(pa_po="",C1183=pa_po),OR(pa_eq="",B1183=pa_eq)),1,0)</f>
        <v>0.0</v>
      </c>
    </row>
    <row r="1184">
      <c r="A1184" s="51" t="n"/>
      <c r="B1184" s="52" t="n"/>
      <c r="C1184" s="52" t="n"/>
      <c r="D1184" s="53" t="n"/>
      <c r="E1184" s="60" t="n"/>
      <c r="F1184" s="53" t="n"/>
      <c r="G1184" s="61" t="str">
        <f>IF(OR(COUNTA(A1184:E1184)=0,D1184=""),"",IFERROR(INDEX(ca_fam,MATCH(D1184,ca_name,0))&amp;"",""))</f>
        <v/>
      </c>
      <c r="H1184" s="58" t="str">
        <f>IF(OR(COUNTA(A1184:E1184)=0,D1184=""),"",IFERROR(INDEX(ca_type,MATCH(D1184,ca_name,0))&amp;"",""))</f>
        <v/>
      </c>
      <c r="I1184" s="58" t="str">
        <f>IF(COUNTA(A1184:E1184)=0,"",IF(N(A1184)&lt;=0,"Date manquante ou invalide",IF(B1184="","Équipe manquante",IF(ISNA(MATCH(B1184,eq_code,0)),"Équipe inconnue",IF(C1184="","Poste manquant",IF(ISNA(MATCH(C1184,po_code,0)),"Poste inconnu",IF(D1184="","Cause manquante",IF(ISNA(MATCH(D1184,ca_name,0)),"Cause inconnue",IF(H1184="","Cause à compléter dans Paramètres",IF(OR(NOT(ISNUMBER(E1184)),N(E1184)&lt;=0,N(E1184)&gt;1440),"Durée invalide",IF(COUNTIFS(sj_date,A1184,sj_eq,B1184,sj_po,C1184)=0,"Pas de saisie journalière ce jour-là","OK")))))))))))</f>
        <v/>
      </c>
      <c r="J1184">
        <f>IF(OR(I1184="OK",I1184="Pas de saisie journalière ce jour-là"),E1184,0)</f>
        <v>0.0</v>
      </c>
      <c r="K1184">
        <f>IF(AND(J1184&gt;0,A1184&gt;=p_from,A1184&lt;=p_to),1,0)</f>
        <v>0.0</v>
      </c>
      <c r="L1184">
        <f>IF(AND(K1184=1,OR(pa_po="",C1184=pa_po),OR(pa_eq="",B1184=pa_eq)),1,0)</f>
        <v>0.0</v>
      </c>
    </row>
    <row r="1185">
      <c r="A1185" s="51" t="n"/>
      <c r="B1185" s="52" t="n"/>
      <c r="C1185" s="52" t="n"/>
      <c r="D1185" s="53" t="n"/>
      <c r="E1185" s="60" t="n"/>
      <c r="F1185" s="53" t="n"/>
      <c r="G1185" s="61" t="str">
        <f>IF(OR(COUNTA(A1185:E1185)=0,D1185=""),"",IFERROR(INDEX(ca_fam,MATCH(D1185,ca_name,0))&amp;"",""))</f>
        <v/>
      </c>
      <c r="H1185" s="58" t="str">
        <f>IF(OR(COUNTA(A1185:E1185)=0,D1185=""),"",IFERROR(INDEX(ca_type,MATCH(D1185,ca_name,0))&amp;"",""))</f>
        <v/>
      </c>
      <c r="I1185" s="58" t="str">
        <f>IF(COUNTA(A1185:E1185)=0,"",IF(N(A1185)&lt;=0,"Date manquante ou invalide",IF(B1185="","Équipe manquante",IF(ISNA(MATCH(B1185,eq_code,0)),"Équipe inconnue",IF(C1185="","Poste manquant",IF(ISNA(MATCH(C1185,po_code,0)),"Poste inconnu",IF(D1185="","Cause manquante",IF(ISNA(MATCH(D1185,ca_name,0)),"Cause inconnue",IF(H1185="","Cause à compléter dans Paramètres",IF(OR(NOT(ISNUMBER(E1185)),N(E1185)&lt;=0,N(E1185)&gt;1440),"Durée invalide",IF(COUNTIFS(sj_date,A1185,sj_eq,B1185,sj_po,C1185)=0,"Pas de saisie journalière ce jour-là","OK")))))))))))</f>
        <v/>
      </c>
      <c r="J1185">
        <f>IF(OR(I1185="OK",I1185="Pas de saisie journalière ce jour-là"),E1185,0)</f>
        <v>0.0</v>
      </c>
      <c r="K1185">
        <f>IF(AND(J1185&gt;0,A1185&gt;=p_from,A1185&lt;=p_to),1,0)</f>
        <v>0.0</v>
      </c>
      <c r="L1185">
        <f>IF(AND(K1185=1,OR(pa_po="",C1185=pa_po),OR(pa_eq="",B1185=pa_eq)),1,0)</f>
        <v>0.0</v>
      </c>
    </row>
    <row r="1186">
      <c r="A1186" s="51" t="n"/>
      <c r="B1186" s="52" t="n"/>
      <c r="C1186" s="52" t="n"/>
      <c r="D1186" s="53" t="n"/>
      <c r="E1186" s="60" t="n"/>
      <c r="F1186" s="53" t="n"/>
      <c r="G1186" s="61" t="str">
        <f>IF(OR(COUNTA(A1186:E1186)=0,D1186=""),"",IFERROR(INDEX(ca_fam,MATCH(D1186,ca_name,0))&amp;"",""))</f>
        <v/>
      </c>
      <c r="H1186" s="58" t="str">
        <f>IF(OR(COUNTA(A1186:E1186)=0,D1186=""),"",IFERROR(INDEX(ca_type,MATCH(D1186,ca_name,0))&amp;"",""))</f>
        <v/>
      </c>
      <c r="I1186" s="58" t="str">
        <f>IF(COUNTA(A1186:E1186)=0,"",IF(N(A1186)&lt;=0,"Date manquante ou invalide",IF(B1186="","Équipe manquante",IF(ISNA(MATCH(B1186,eq_code,0)),"Équipe inconnue",IF(C1186="","Poste manquant",IF(ISNA(MATCH(C1186,po_code,0)),"Poste inconnu",IF(D1186="","Cause manquante",IF(ISNA(MATCH(D1186,ca_name,0)),"Cause inconnue",IF(H1186="","Cause à compléter dans Paramètres",IF(OR(NOT(ISNUMBER(E1186)),N(E1186)&lt;=0,N(E1186)&gt;1440),"Durée invalide",IF(COUNTIFS(sj_date,A1186,sj_eq,B1186,sj_po,C1186)=0,"Pas de saisie journalière ce jour-là","OK")))))))))))</f>
        <v/>
      </c>
      <c r="J1186">
        <f>IF(OR(I1186="OK",I1186="Pas de saisie journalière ce jour-là"),E1186,0)</f>
        <v>0.0</v>
      </c>
      <c r="K1186">
        <f>IF(AND(J1186&gt;0,A1186&gt;=p_from,A1186&lt;=p_to),1,0)</f>
        <v>0.0</v>
      </c>
      <c r="L1186">
        <f>IF(AND(K1186=1,OR(pa_po="",C1186=pa_po),OR(pa_eq="",B1186=pa_eq)),1,0)</f>
        <v>0.0</v>
      </c>
    </row>
    <row r="1187">
      <c r="A1187" s="51" t="n"/>
      <c r="B1187" s="52" t="n"/>
      <c r="C1187" s="52" t="n"/>
      <c r="D1187" s="53" t="n"/>
      <c r="E1187" s="60" t="n"/>
      <c r="F1187" s="53" t="n"/>
      <c r="G1187" s="61" t="str">
        <f>IF(OR(COUNTA(A1187:E1187)=0,D1187=""),"",IFERROR(INDEX(ca_fam,MATCH(D1187,ca_name,0))&amp;"",""))</f>
        <v/>
      </c>
      <c r="H1187" s="58" t="str">
        <f>IF(OR(COUNTA(A1187:E1187)=0,D1187=""),"",IFERROR(INDEX(ca_type,MATCH(D1187,ca_name,0))&amp;"",""))</f>
        <v/>
      </c>
      <c r="I1187" s="58" t="str">
        <f>IF(COUNTA(A1187:E1187)=0,"",IF(N(A1187)&lt;=0,"Date manquante ou invalide",IF(B1187="","Équipe manquante",IF(ISNA(MATCH(B1187,eq_code,0)),"Équipe inconnue",IF(C1187="","Poste manquant",IF(ISNA(MATCH(C1187,po_code,0)),"Poste inconnu",IF(D1187="","Cause manquante",IF(ISNA(MATCH(D1187,ca_name,0)),"Cause inconnue",IF(H1187="","Cause à compléter dans Paramètres",IF(OR(NOT(ISNUMBER(E1187)),N(E1187)&lt;=0,N(E1187)&gt;1440),"Durée invalide",IF(COUNTIFS(sj_date,A1187,sj_eq,B1187,sj_po,C1187)=0,"Pas de saisie journalière ce jour-là","OK")))))))))))</f>
        <v/>
      </c>
      <c r="J1187">
        <f>IF(OR(I1187="OK",I1187="Pas de saisie journalière ce jour-là"),E1187,0)</f>
        <v>0.0</v>
      </c>
      <c r="K1187">
        <f>IF(AND(J1187&gt;0,A1187&gt;=p_from,A1187&lt;=p_to),1,0)</f>
        <v>0.0</v>
      </c>
      <c r="L1187">
        <f>IF(AND(K1187=1,OR(pa_po="",C1187=pa_po),OR(pa_eq="",B1187=pa_eq)),1,0)</f>
        <v>0.0</v>
      </c>
    </row>
    <row r="1188">
      <c r="A1188" s="51" t="n"/>
      <c r="B1188" s="52" t="n"/>
      <c r="C1188" s="52" t="n"/>
      <c r="D1188" s="53" t="n"/>
      <c r="E1188" s="60" t="n"/>
      <c r="F1188" s="53" t="n"/>
      <c r="G1188" s="61" t="str">
        <f>IF(OR(COUNTA(A1188:E1188)=0,D1188=""),"",IFERROR(INDEX(ca_fam,MATCH(D1188,ca_name,0))&amp;"",""))</f>
        <v/>
      </c>
      <c r="H1188" s="58" t="str">
        <f>IF(OR(COUNTA(A1188:E1188)=0,D1188=""),"",IFERROR(INDEX(ca_type,MATCH(D1188,ca_name,0))&amp;"",""))</f>
        <v/>
      </c>
      <c r="I1188" s="58" t="str">
        <f>IF(COUNTA(A1188:E1188)=0,"",IF(N(A1188)&lt;=0,"Date manquante ou invalide",IF(B1188="","Équipe manquante",IF(ISNA(MATCH(B1188,eq_code,0)),"Équipe inconnue",IF(C1188="","Poste manquant",IF(ISNA(MATCH(C1188,po_code,0)),"Poste inconnu",IF(D1188="","Cause manquante",IF(ISNA(MATCH(D1188,ca_name,0)),"Cause inconnue",IF(H1188="","Cause à compléter dans Paramètres",IF(OR(NOT(ISNUMBER(E1188)),N(E1188)&lt;=0,N(E1188)&gt;1440),"Durée invalide",IF(COUNTIFS(sj_date,A1188,sj_eq,B1188,sj_po,C1188)=0,"Pas de saisie journalière ce jour-là","OK")))))))))))</f>
        <v/>
      </c>
      <c r="J1188">
        <f>IF(OR(I1188="OK",I1188="Pas de saisie journalière ce jour-là"),E1188,0)</f>
        <v>0.0</v>
      </c>
      <c r="K1188">
        <f>IF(AND(J1188&gt;0,A1188&gt;=p_from,A1188&lt;=p_to),1,0)</f>
        <v>0.0</v>
      </c>
      <c r="L1188">
        <f>IF(AND(K1188=1,OR(pa_po="",C1188=pa_po),OR(pa_eq="",B1188=pa_eq)),1,0)</f>
        <v>0.0</v>
      </c>
    </row>
    <row r="1189">
      <c r="A1189" s="51" t="n"/>
      <c r="B1189" s="52" t="n"/>
      <c r="C1189" s="52" t="n"/>
      <c r="D1189" s="53" t="n"/>
      <c r="E1189" s="60" t="n"/>
      <c r="F1189" s="53" t="n"/>
      <c r="G1189" s="61" t="str">
        <f>IF(OR(COUNTA(A1189:E1189)=0,D1189=""),"",IFERROR(INDEX(ca_fam,MATCH(D1189,ca_name,0))&amp;"",""))</f>
        <v/>
      </c>
      <c r="H1189" s="58" t="str">
        <f>IF(OR(COUNTA(A1189:E1189)=0,D1189=""),"",IFERROR(INDEX(ca_type,MATCH(D1189,ca_name,0))&amp;"",""))</f>
        <v/>
      </c>
      <c r="I1189" s="58" t="str">
        <f>IF(COUNTA(A1189:E1189)=0,"",IF(N(A1189)&lt;=0,"Date manquante ou invalide",IF(B1189="","Équipe manquante",IF(ISNA(MATCH(B1189,eq_code,0)),"Équipe inconnue",IF(C1189="","Poste manquant",IF(ISNA(MATCH(C1189,po_code,0)),"Poste inconnu",IF(D1189="","Cause manquante",IF(ISNA(MATCH(D1189,ca_name,0)),"Cause inconnue",IF(H1189="","Cause à compléter dans Paramètres",IF(OR(NOT(ISNUMBER(E1189)),N(E1189)&lt;=0,N(E1189)&gt;1440),"Durée invalide",IF(COUNTIFS(sj_date,A1189,sj_eq,B1189,sj_po,C1189)=0,"Pas de saisie journalière ce jour-là","OK")))))))))))</f>
        <v/>
      </c>
      <c r="J1189">
        <f>IF(OR(I1189="OK",I1189="Pas de saisie journalière ce jour-là"),E1189,0)</f>
        <v>0.0</v>
      </c>
      <c r="K1189">
        <f>IF(AND(J1189&gt;0,A1189&gt;=p_from,A1189&lt;=p_to),1,0)</f>
        <v>0.0</v>
      </c>
      <c r="L1189">
        <f>IF(AND(K1189=1,OR(pa_po="",C1189=pa_po),OR(pa_eq="",B1189=pa_eq)),1,0)</f>
        <v>0.0</v>
      </c>
    </row>
    <row r="1190">
      <c r="A1190" s="51" t="n"/>
      <c r="B1190" s="52" t="n"/>
      <c r="C1190" s="52" t="n"/>
      <c r="D1190" s="53" t="n"/>
      <c r="E1190" s="60" t="n"/>
      <c r="F1190" s="53" t="n"/>
      <c r="G1190" s="61" t="str">
        <f>IF(OR(COUNTA(A1190:E1190)=0,D1190=""),"",IFERROR(INDEX(ca_fam,MATCH(D1190,ca_name,0))&amp;"",""))</f>
        <v/>
      </c>
      <c r="H1190" s="58" t="str">
        <f>IF(OR(COUNTA(A1190:E1190)=0,D1190=""),"",IFERROR(INDEX(ca_type,MATCH(D1190,ca_name,0))&amp;"",""))</f>
        <v/>
      </c>
      <c r="I1190" s="58" t="str">
        <f>IF(COUNTA(A1190:E1190)=0,"",IF(N(A1190)&lt;=0,"Date manquante ou invalide",IF(B1190="","Équipe manquante",IF(ISNA(MATCH(B1190,eq_code,0)),"Équipe inconnue",IF(C1190="","Poste manquant",IF(ISNA(MATCH(C1190,po_code,0)),"Poste inconnu",IF(D1190="","Cause manquante",IF(ISNA(MATCH(D1190,ca_name,0)),"Cause inconnue",IF(H1190="","Cause à compléter dans Paramètres",IF(OR(NOT(ISNUMBER(E1190)),N(E1190)&lt;=0,N(E1190)&gt;1440),"Durée invalide",IF(COUNTIFS(sj_date,A1190,sj_eq,B1190,sj_po,C1190)=0,"Pas de saisie journalière ce jour-là","OK")))))))))))</f>
        <v/>
      </c>
      <c r="J1190">
        <f>IF(OR(I1190="OK",I1190="Pas de saisie journalière ce jour-là"),E1190,0)</f>
        <v>0.0</v>
      </c>
      <c r="K1190">
        <f>IF(AND(J1190&gt;0,A1190&gt;=p_from,A1190&lt;=p_to),1,0)</f>
        <v>0.0</v>
      </c>
      <c r="L1190">
        <f>IF(AND(K1190=1,OR(pa_po="",C1190=pa_po),OR(pa_eq="",B1190=pa_eq)),1,0)</f>
        <v>0.0</v>
      </c>
    </row>
    <row r="1191">
      <c r="A1191" s="51" t="n"/>
      <c r="B1191" s="52" t="n"/>
      <c r="C1191" s="52" t="n"/>
      <c r="D1191" s="53" t="n"/>
      <c r="E1191" s="60" t="n"/>
      <c r="F1191" s="53" t="n"/>
      <c r="G1191" s="61" t="str">
        <f>IF(OR(COUNTA(A1191:E1191)=0,D1191=""),"",IFERROR(INDEX(ca_fam,MATCH(D1191,ca_name,0))&amp;"",""))</f>
        <v/>
      </c>
      <c r="H1191" s="58" t="str">
        <f>IF(OR(COUNTA(A1191:E1191)=0,D1191=""),"",IFERROR(INDEX(ca_type,MATCH(D1191,ca_name,0))&amp;"",""))</f>
        <v/>
      </c>
      <c r="I1191" s="58" t="str">
        <f>IF(COUNTA(A1191:E1191)=0,"",IF(N(A1191)&lt;=0,"Date manquante ou invalide",IF(B1191="","Équipe manquante",IF(ISNA(MATCH(B1191,eq_code,0)),"Équipe inconnue",IF(C1191="","Poste manquant",IF(ISNA(MATCH(C1191,po_code,0)),"Poste inconnu",IF(D1191="","Cause manquante",IF(ISNA(MATCH(D1191,ca_name,0)),"Cause inconnue",IF(H1191="","Cause à compléter dans Paramètres",IF(OR(NOT(ISNUMBER(E1191)),N(E1191)&lt;=0,N(E1191)&gt;1440),"Durée invalide",IF(COUNTIFS(sj_date,A1191,sj_eq,B1191,sj_po,C1191)=0,"Pas de saisie journalière ce jour-là","OK")))))))))))</f>
        <v/>
      </c>
      <c r="J1191">
        <f>IF(OR(I1191="OK",I1191="Pas de saisie journalière ce jour-là"),E1191,0)</f>
        <v>0.0</v>
      </c>
      <c r="K1191">
        <f>IF(AND(J1191&gt;0,A1191&gt;=p_from,A1191&lt;=p_to),1,0)</f>
        <v>0.0</v>
      </c>
      <c r="L1191">
        <f>IF(AND(K1191=1,OR(pa_po="",C1191=pa_po),OR(pa_eq="",B1191=pa_eq)),1,0)</f>
        <v>0.0</v>
      </c>
    </row>
    <row r="1192">
      <c r="A1192" s="51" t="n"/>
      <c r="B1192" s="52" t="n"/>
      <c r="C1192" s="52" t="n"/>
      <c r="D1192" s="53" t="n"/>
      <c r="E1192" s="60" t="n"/>
      <c r="F1192" s="53" t="n"/>
      <c r="G1192" s="61" t="str">
        <f>IF(OR(COUNTA(A1192:E1192)=0,D1192=""),"",IFERROR(INDEX(ca_fam,MATCH(D1192,ca_name,0))&amp;"",""))</f>
        <v/>
      </c>
      <c r="H1192" s="58" t="str">
        <f>IF(OR(COUNTA(A1192:E1192)=0,D1192=""),"",IFERROR(INDEX(ca_type,MATCH(D1192,ca_name,0))&amp;"",""))</f>
        <v/>
      </c>
      <c r="I1192" s="58" t="str">
        <f>IF(COUNTA(A1192:E1192)=0,"",IF(N(A1192)&lt;=0,"Date manquante ou invalide",IF(B1192="","Équipe manquante",IF(ISNA(MATCH(B1192,eq_code,0)),"Équipe inconnue",IF(C1192="","Poste manquant",IF(ISNA(MATCH(C1192,po_code,0)),"Poste inconnu",IF(D1192="","Cause manquante",IF(ISNA(MATCH(D1192,ca_name,0)),"Cause inconnue",IF(H1192="","Cause à compléter dans Paramètres",IF(OR(NOT(ISNUMBER(E1192)),N(E1192)&lt;=0,N(E1192)&gt;1440),"Durée invalide",IF(COUNTIFS(sj_date,A1192,sj_eq,B1192,sj_po,C1192)=0,"Pas de saisie journalière ce jour-là","OK")))))))))))</f>
        <v/>
      </c>
      <c r="J1192">
        <f>IF(OR(I1192="OK",I1192="Pas de saisie journalière ce jour-là"),E1192,0)</f>
        <v>0.0</v>
      </c>
      <c r="K1192">
        <f>IF(AND(J1192&gt;0,A1192&gt;=p_from,A1192&lt;=p_to),1,0)</f>
        <v>0.0</v>
      </c>
      <c r="L1192">
        <f>IF(AND(K1192=1,OR(pa_po="",C1192=pa_po),OR(pa_eq="",B1192=pa_eq)),1,0)</f>
        <v>0.0</v>
      </c>
    </row>
    <row r="1193">
      <c r="A1193" s="51" t="n"/>
      <c r="B1193" s="52" t="n"/>
      <c r="C1193" s="52" t="n"/>
      <c r="D1193" s="53" t="n"/>
      <c r="E1193" s="60" t="n"/>
      <c r="F1193" s="53" t="n"/>
      <c r="G1193" s="61" t="str">
        <f>IF(OR(COUNTA(A1193:E1193)=0,D1193=""),"",IFERROR(INDEX(ca_fam,MATCH(D1193,ca_name,0))&amp;"",""))</f>
        <v/>
      </c>
      <c r="H1193" s="58" t="str">
        <f>IF(OR(COUNTA(A1193:E1193)=0,D1193=""),"",IFERROR(INDEX(ca_type,MATCH(D1193,ca_name,0))&amp;"",""))</f>
        <v/>
      </c>
      <c r="I1193" s="58" t="str">
        <f>IF(COUNTA(A1193:E1193)=0,"",IF(N(A1193)&lt;=0,"Date manquante ou invalide",IF(B1193="","Équipe manquante",IF(ISNA(MATCH(B1193,eq_code,0)),"Équipe inconnue",IF(C1193="","Poste manquant",IF(ISNA(MATCH(C1193,po_code,0)),"Poste inconnu",IF(D1193="","Cause manquante",IF(ISNA(MATCH(D1193,ca_name,0)),"Cause inconnue",IF(H1193="","Cause à compléter dans Paramètres",IF(OR(NOT(ISNUMBER(E1193)),N(E1193)&lt;=0,N(E1193)&gt;1440),"Durée invalide",IF(COUNTIFS(sj_date,A1193,sj_eq,B1193,sj_po,C1193)=0,"Pas de saisie journalière ce jour-là","OK")))))))))))</f>
        <v/>
      </c>
      <c r="J1193">
        <f>IF(OR(I1193="OK",I1193="Pas de saisie journalière ce jour-là"),E1193,0)</f>
        <v>0.0</v>
      </c>
      <c r="K1193">
        <f>IF(AND(J1193&gt;0,A1193&gt;=p_from,A1193&lt;=p_to),1,0)</f>
        <v>0.0</v>
      </c>
      <c r="L1193">
        <f>IF(AND(K1193=1,OR(pa_po="",C1193=pa_po),OR(pa_eq="",B1193=pa_eq)),1,0)</f>
        <v>0.0</v>
      </c>
    </row>
    <row r="1194">
      <c r="A1194" s="51" t="n"/>
      <c r="B1194" s="52" t="n"/>
      <c r="C1194" s="52" t="n"/>
      <c r="D1194" s="53" t="n"/>
      <c r="E1194" s="60" t="n"/>
      <c r="F1194" s="53" t="n"/>
      <c r="G1194" s="61" t="str">
        <f>IF(OR(COUNTA(A1194:E1194)=0,D1194=""),"",IFERROR(INDEX(ca_fam,MATCH(D1194,ca_name,0))&amp;"",""))</f>
        <v/>
      </c>
      <c r="H1194" s="58" t="str">
        <f>IF(OR(COUNTA(A1194:E1194)=0,D1194=""),"",IFERROR(INDEX(ca_type,MATCH(D1194,ca_name,0))&amp;"",""))</f>
        <v/>
      </c>
      <c r="I1194" s="58" t="str">
        <f>IF(COUNTA(A1194:E1194)=0,"",IF(N(A1194)&lt;=0,"Date manquante ou invalide",IF(B1194="","Équipe manquante",IF(ISNA(MATCH(B1194,eq_code,0)),"Équipe inconnue",IF(C1194="","Poste manquant",IF(ISNA(MATCH(C1194,po_code,0)),"Poste inconnu",IF(D1194="","Cause manquante",IF(ISNA(MATCH(D1194,ca_name,0)),"Cause inconnue",IF(H1194="","Cause à compléter dans Paramètres",IF(OR(NOT(ISNUMBER(E1194)),N(E1194)&lt;=0,N(E1194)&gt;1440),"Durée invalide",IF(COUNTIFS(sj_date,A1194,sj_eq,B1194,sj_po,C1194)=0,"Pas de saisie journalière ce jour-là","OK")))))))))))</f>
        <v/>
      </c>
      <c r="J1194">
        <f>IF(OR(I1194="OK",I1194="Pas de saisie journalière ce jour-là"),E1194,0)</f>
        <v>0.0</v>
      </c>
      <c r="K1194">
        <f>IF(AND(J1194&gt;0,A1194&gt;=p_from,A1194&lt;=p_to),1,0)</f>
        <v>0.0</v>
      </c>
      <c r="L1194">
        <f>IF(AND(K1194=1,OR(pa_po="",C1194=pa_po),OR(pa_eq="",B1194=pa_eq)),1,0)</f>
        <v>0.0</v>
      </c>
    </row>
    <row r="1195">
      <c r="A1195" s="51" t="n"/>
      <c r="B1195" s="52" t="n"/>
      <c r="C1195" s="52" t="n"/>
      <c r="D1195" s="53" t="n"/>
      <c r="E1195" s="60" t="n"/>
      <c r="F1195" s="53" t="n"/>
      <c r="G1195" s="61" t="str">
        <f>IF(OR(COUNTA(A1195:E1195)=0,D1195=""),"",IFERROR(INDEX(ca_fam,MATCH(D1195,ca_name,0))&amp;"",""))</f>
        <v/>
      </c>
      <c r="H1195" s="58" t="str">
        <f>IF(OR(COUNTA(A1195:E1195)=0,D1195=""),"",IFERROR(INDEX(ca_type,MATCH(D1195,ca_name,0))&amp;"",""))</f>
        <v/>
      </c>
      <c r="I1195" s="58" t="str">
        <f>IF(COUNTA(A1195:E1195)=0,"",IF(N(A1195)&lt;=0,"Date manquante ou invalide",IF(B1195="","Équipe manquante",IF(ISNA(MATCH(B1195,eq_code,0)),"Équipe inconnue",IF(C1195="","Poste manquant",IF(ISNA(MATCH(C1195,po_code,0)),"Poste inconnu",IF(D1195="","Cause manquante",IF(ISNA(MATCH(D1195,ca_name,0)),"Cause inconnue",IF(H1195="","Cause à compléter dans Paramètres",IF(OR(NOT(ISNUMBER(E1195)),N(E1195)&lt;=0,N(E1195)&gt;1440),"Durée invalide",IF(COUNTIFS(sj_date,A1195,sj_eq,B1195,sj_po,C1195)=0,"Pas de saisie journalière ce jour-là","OK")))))))))))</f>
        <v/>
      </c>
      <c r="J1195">
        <f>IF(OR(I1195="OK",I1195="Pas de saisie journalière ce jour-là"),E1195,0)</f>
        <v>0.0</v>
      </c>
      <c r="K1195">
        <f>IF(AND(J1195&gt;0,A1195&gt;=p_from,A1195&lt;=p_to),1,0)</f>
        <v>0.0</v>
      </c>
      <c r="L1195">
        <f>IF(AND(K1195=1,OR(pa_po="",C1195=pa_po),OR(pa_eq="",B1195=pa_eq)),1,0)</f>
        <v>0.0</v>
      </c>
    </row>
    <row r="1196">
      <c r="A1196" s="51" t="n"/>
      <c r="B1196" s="52" t="n"/>
      <c r="C1196" s="52" t="n"/>
      <c r="D1196" s="53" t="n"/>
      <c r="E1196" s="60" t="n"/>
      <c r="F1196" s="53" t="n"/>
      <c r="G1196" s="61" t="str">
        <f>IF(OR(COUNTA(A1196:E1196)=0,D1196=""),"",IFERROR(INDEX(ca_fam,MATCH(D1196,ca_name,0))&amp;"",""))</f>
        <v/>
      </c>
      <c r="H1196" s="58" t="str">
        <f>IF(OR(COUNTA(A1196:E1196)=0,D1196=""),"",IFERROR(INDEX(ca_type,MATCH(D1196,ca_name,0))&amp;"",""))</f>
        <v/>
      </c>
      <c r="I1196" s="58" t="str">
        <f>IF(COUNTA(A1196:E1196)=0,"",IF(N(A1196)&lt;=0,"Date manquante ou invalide",IF(B1196="","Équipe manquante",IF(ISNA(MATCH(B1196,eq_code,0)),"Équipe inconnue",IF(C1196="","Poste manquant",IF(ISNA(MATCH(C1196,po_code,0)),"Poste inconnu",IF(D1196="","Cause manquante",IF(ISNA(MATCH(D1196,ca_name,0)),"Cause inconnue",IF(H1196="","Cause à compléter dans Paramètres",IF(OR(NOT(ISNUMBER(E1196)),N(E1196)&lt;=0,N(E1196)&gt;1440),"Durée invalide",IF(COUNTIFS(sj_date,A1196,sj_eq,B1196,sj_po,C1196)=0,"Pas de saisie journalière ce jour-là","OK")))))))))))</f>
        <v/>
      </c>
      <c r="J1196">
        <f>IF(OR(I1196="OK",I1196="Pas de saisie journalière ce jour-là"),E1196,0)</f>
        <v>0.0</v>
      </c>
      <c r="K1196">
        <f>IF(AND(J1196&gt;0,A1196&gt;=p_from,A1196&lt;=p_to),1,0)</f>
        <v>0.0</v>
      </c>
      <c r="L1196">
        <f>IF(AND(K1196=1,OR(pa_po="",C1196=pa_po),OR(pa_eq="",B1196=pa_eq)),1,0)</f>
        <v>0.0</v>
      </c>
    </row>
    <row r="1197">
      <c r="A1197" s="51" t="n"/>
      <c r="B1197" s="52" t="n"/>
      <c r="C1197" s="52" t="n"/>
      <c r="D1197" s="53" t="n"/>
      <c r="E1197" s="60" t="n"/>
      <c r="F1197" s="53" t="n"/>
      <c r="G1197" s="61" t="str">
        <f>IF(OR(COUNTA(A1197:E1197)=0,D1197=""),"",IFERROR(INDEX(ca_fam,MATCH(D1197,ca_name,0))&amp;"",""))</f>
        <v/>
      </c>
      <c r="H1197" s="58" t="str">
        <f>IF(OR(COUNTA(A1197:E1197)=0,D1197=""),"",IFERROR(INDEX(ca_type,MATCH(D1197,ca_name,0))&amp;"",""))</f>
        <v/>
      </c>
      <c r="I1197" s="58" t="str">
        <f>IF(COUNTA(A1197:E1197)=0,"",IF(N(A1197)&lt;=0,"Date manquante ou invalide",IF(B1197="","Équipe manquante",IF(ISNA(MATCH(B1197,eq_code,0)),"Équipe inconnue",IF(C1197="","Poste manquant",IF(ISNA(MATCH(C1197,po_code,0)),"Poste inconnu",IF(D1197="","Cause manquante",IF(ISNA(MATCH(D1197,ca_name,0)),"Cause inconnue",IF(H1197="","Cause à compléter dans Paramètres",IF(OR(NOT(ISNUMBER(E1197)),N(E1197)&lt;=0,N(E1197)&gt;1440),"Durée invalide",IF(COUNTIFS(sj_date,A1197,sj_eq,B1197,sj_po,C1197)=0,"Pas de saisie journalière ce jour-là","OK")))))))))))</f>
        <v/>
      </c>
      <c r="J1197">
        <f>IF(OR(I1197="OK",I1197="Pas de saisie journalière ce jour-là"),E1197,0)</f>
        <v>0.0</v>
      </c>
      <c r="K1197">
        <f>IF(AND(J1197&gt;0,A1197&gt;=p_from,A1197&lt;=p_to),1,0)</f>
        <v>0.0</v>
      </c>
      <c r="L1197">
        <f>IF(AND(K1197=1,OR(pa_po="",C1197=pa_po),OR(pa_eq="",B1197=pa_eq)),1,0)</f>
        <v>0.0</v>
      </c>
    </row>
    <row r="1198">
      <c r="A1198" s="51" t="n"/>
      <c r="B1198" s="52" t="n"/>
      <c r="C1198" s="52" t="n"/>
      <c r="D1198" s="53" t="n"/>
      <c r="E1198" s="60" t="n"/>
      <c r="F1198" s="53" t="n"/>
      <c r="G1198" s="61" t="str">
        <f>IF(OR(COUNTA(A1198:E1198)=0,D1198=""),"",IFERROR(INDEX(ca_fam,MATCH(D1198,ca_name,0))&amp;"",""))</f>
        <v/>
      </c>
      <c r="H1198" s="58" t="str">
        <f>IF(OR(COUNTA(A1198:E1198)=0,D1198=""),"",IFERROR(INDEX(ca_type,MATCH(D1198,ca_name,0))&amp;"",""))</f>
        <v/>
      </c>
      <c r="I1198" s="58" t="str">
        <f>IF(COUNTA(A1198:E1198)=0,"",IF(N(A1198)&lt;=0,"Date manquante ou invalide",IF(B1198="","Équipe manquante",IF(ISNA(MATCH(B1198,eq_code,0)),"Équipe inconnue",IF(C1198="","Poste manquant",IF(ISNA(MATCH(C1198,po_code,0)),"Poste inconnu",IF(D1198="","Cause manquante",IF(ISNA(MATCH(D1198,ca_name,0)),"Cause inconnue",IF(H1198="","Cause à compléter dans Paramètres",IF(OR(NOT(ISNUMBER(E1198)),N(E1198)&lt;=0,N(E1198)&gt;1440),"Durée invalide",IF(COUNTIFS(sj_date,A1198,sj_eq,B1198,sj_po,C1198)=0,"Pas de saisie journalière ce jour-là","OK")))))))))))</f>
        <v/>
      </c>
      <c r="J1198">
        <f>IF(OR(I1198="OK",I1198="Pas de saisie journalière ce jour-là"),E1198,0)</f>
        <v>0.0</v>
      </c>
      <c r="K1198">
        <f>IF(AND(J1198&gt;0,A1198&gt;=p_from,A1198&lt;=p_to),1,0)</f>
        <v>0.0</v>
      </c>
      <c r="L1198">
        <f>IF(AND(K1198=1,OR(pa_po="",C1198=pa_po),OR(pa_eq="",B1198=pa_eq)),1,0)</f>
        <v>0.0</v>
      </c>
    </row>
    <row r="1199">
      <c r="A1199" s="51" t="n"/>
      <c r="B1199" s="52" t="n"/>
      <c r="C1199" s="52" t="n"/>
      <c r="D1199" s="53" t="n"/>
      <c r="E1199" s="60" t="n"/>
      <c r="F1199" s="53" t="n"/>
      <c r="G1199" s="61" t="str">
        <f>IF(OR(COUNTA(A1199:E1199)=0,D1199=""),"",IFERROR(INDEX(ca_fam,MATCH(D1199,ca_name,0))&amp;"",""))</f>
        <v/>
      </c>
      <c r="H1199" s="58" t="str">
        <f>IF(OR(COUNTA(A1199:E1199)=0,D1199=""),"",IFERROR(INDEX(ca_type,MATCH(D1199,ca_name,0))&amp;"",""))</f>
        <v/>
      </c>
      <c r="I1199" s="58" t="str">
        <f>IF(COUNTA(A1199:E1199)=0,"",IF(N(A1199)&lt;=0,"Date manquante ou invalide",IF(B1199="","Équipe manquante",IF(ISNA(MATCH(B1199,eq_code,0)),"Équipe inconnue",IF(C1199="","Poste manquant",IF(ISNA(MATCH(C1199,po_code,0)),"Poste inconnu",IF(D1199="","Cause manquante",IF(ISNA(MATCH(D1199,ca_name,0)),"Cause inconnue",IF(H1199="","Cause à compléter dans Paramètres",IF(OR(NOT(ISNUMBER(E1199)),N(E1199)&lt;=0,N(E1199)&gt;1440),"Durée invalide",IF(COUNTIFS(sj_date,A1199,sj_eq,B1199,sj_po,C1199)=0,"Pas de saisie journalière ce jour-là","OK")))))))))))</f>
        <v/>
      </c>
      <c r="J1199">
        <f>IF(OR(I1199="OK",I1199="Pas de saisie journalière ce jour-là"),E1199,0)</f>
        <v>0.0</v>
      </c>
      <c r="K1199">
        <f>IF(AND(J1199&gt;0,A1199&gt;=p_from,A1199&lt;=p_to),1,0)</f>
        <v>0.0</v>
      </c>
      <c r="L1199">
        <f>IF(AND(K1199=1,OR(pa_po="",C1199=pa_po),OR(pa_eq="",B1199=pa_eq)),1,0)</f>
        <v>0.0</v>
      </c>
    </row>
    <row r="1200">
      <c r="A1200" s="51" t="n"/>
      <c r="B1200" s="52" t="n"/>
      <c r="C1200" s="52" t="n"/>
      <c r="D1200" s="53" t="n"/>
      <c r="E1200" s="60" t="n"/>
      <c r="F1200" s="53" t="n"/>
      <c r="G1200" s="61" t="str">
        <f>IF(OR(COUNTA(A1200:E1200)=0,D1200=""),"",IFERROR(INDEX(ca_fam,MATCH(D1200,ca_name,0))&amp;"",""))</f>
        <v/>
      </c>
      <c r="H1200" s="58" t="str">
        <f>IF(OR(COUNTA(A1200:E1200)=0,D1200=""),"",IFERROR(INDEX(ca_type,MATCH(D1200,ca_name,0))&amp;"",""))</f>
        <v/>
      </c>
      <c r="I1200" s="58" t="str">
        <f>IF(COUNTA(A1200:E1200)=0,"",IF(N(A1200)&lt;=0,"Date manquante ou invalide",IF(B1200="","Équipe manquante",IF(ISNA(MATCH(B1200,eq_code,0)),"Équipe inconnue",IF(C1200="","Poste manquant",IF(ISNA(MATCH(C1200,po_code,0)),"Poste inconnu",IF(D1200="","Cause manquante",IF(ISNA(MATCH(D1200,ca_name,0)),"Cause inconnue",IF(H1200="","Cause à compléter dans Paramètres",IF(OR(NOT(ISNUMBER(E1200)),N(E1200)&lt;=0,N(E1200)&gt;1440),"Durée invalide",IF(COUNTIFS(sj_date,A1200,sj_eq,B1200,sj_po,C1200)=0,"Pas de saisie journalière ce jour-là","OK")))))))))))</f>
        <v/>
      </c>
      <c r="J1200">
        <f>IF(OR(I1200="OK",I1200="Pas de saisie journalière ce jour-là"),E1200,0)</f>
        <v>0.0</v>
      </c>
      <c r="K1200">
        <f>IF(AND(J1200&gt;0,A1200&gt;=p_from,A1200&lt;=p_to),1,0)</f>
        <v>0.0</v>
      </c>
      <c r="L1200">
        <f>IF(AND(K1200=1,OR(pa_po="",C1200=pa_po),OR(pa_eq="",B1200=pa_eq)),1,0)</f>
        <v>0.0</v>
      </c>
    </row>
    <row r="1201">
      <c r="A1201" s="51" t="n"/>
      <c r="B1201" s="52" t="n"/>
      <c r="C1201" s="52" t="n"/>
      <c r="D1201" s="53" t="n"/>
      <c r="E1201" s="60" t="n"/>
      <c r="F1201" s="53" t="n"/>
      <c r="G1201" s="61" t="str">
        <f>IF(OR(COUNTA(A1201:E1201)=0,D1201=""),"",IFERROR(INDEX(ca_fam,MATCH(D1201,ca_name,0))&amp;"",""))</f>
        <v/>
      </c>
      <c r="H1201" s="58" t="str">
        <f>IF(OR(COUNTA(A1201:E1201)=0,D1201=""),"",IFERROR(INDEX(ca_type,MATCH(D1201,ca_name,0))&amp;"",""))</f>
        <v/>
      </c>
      <c r="I1201" s="58" t="str">
        <f>IF(COUNTA(A1201:E1201)=0,"",IF(N(A1201)&lt;=0,"Date manquante ou invalide",IF(B1201="","Équipe manquante",IF(ISNA(MATCH(B1201,eq_code,0)),"Équipe inconnue",IF(C1201="","Poste manquant",IF(ISNA(MATCH(C1201,po_code,0)),"Poste inconnu",IF(D1201="","Cause manquante",IF(ISNA(MATCH(D1201,ca_name,0)),"Cause inconnue",IF(H1201="","Cause à compléter dans Paramètres",IF(OR(NOT(ISNUMBER(E1201)),N(E1201)&lt;=0,N(E1201)&gt;1440),"Durée invalide",IF(COUNTIFS(sj_date,A1201,sj_eq,B1201,sj_po,C1201)=0,"Pas de saisie journalière ce jour-là","OK")))))))))))</f>
        <v/>
      </c>
      <c r="J1201">
        <f>IF(OR(I1201="OK",I1201="Pas de saisie journalière ce jour-là"),E1201,0)</f>
        <v>0.0</v>
      </c>
      <c r="K1201">
        <f>IF(AND(J1201&gt;0,A1201&gt;=p_from,A1201&lt;=p_to),1,0)</f>
        <v>0.0</v>
      </c>
      <c r="L1201">
        <f>IF(AND(K1201=1,OR(pa_po="",C1201=pa_po),OR(pa_eq="",B1201=pa_eq)),1,0)</f>
        <v>0.0</v>
      </c>
    </row>
    <row r="1202">
      <c r="A1202" s="51" t="n"/>
      <c r="B1202" s="52" t="n"/>
      <c r="C1202" s="52" t="n"/>
      <c r="D1202" s="53" t="n"/>
      <c r="E1202" s="60" t="n"/>
      <c r="F1202" s="53" t="n"/>
      <c r="G1202" s="61" t="str">
        <f>IF(OR(COUNTA(A1202:E1202)=0,D1202=""),"",IFERROR(INDEX(ca_fam,MATCH(D1202,ca_name,0))&amp;"",""))</f>
        <v/>
      </c>
      <c r="H1202" s="58" t="str">
        <f>IF(OR(COUNTA(A1202:E1202)=0,D1202=""),"",IFERROR(INDEX(ca_type,MATCH(D1202,ca_name,0))&amp;"",""))</f>
        <v/>
      </c>
      <c r="I1202" s="58" t="str">
        <f>IF(COUNTA(A1202:E1202)=0,"",IF(N(A1202)&lt;=0,"Date manquante ou invalide",IF(B1202="","Équipe manquante",IF(ISNA(MATCH(B1202,eq_code,0)),"Équipe inconnue",IF(C1202="","Poste manquant",IF(ISNA(MATCH(C1202,po_code,0)),"Poste inconnu",IF(D1202="","Cause manquante",IF(ISNA(MATCH(D1202,ca_name,0)),"Cause inconnue",IF(H1202="","Cause à compléter dans Paramètres",IF(OR(NOT(ISNUMBER(E1202)),N(E1202)&lt;=0,N(E1202)&gt;1440),"Durée invalide",IF(COUNTIFS(sj_date,A1202,sj_eq,B1202,sj_po,C1202)=0,"Pas de saisie journalière ce jour-là","OK")))))))))))</f>
        <v/>
      </c>
      <c r="J1202">
        <f>IF(OR(I1202="OK",I1202="Pas de saisie journalière ce jour-là"),E1202,0)</f>
        <v>0.0</v>
      </c>
      <c r="K1202">
        <f>IF(AND(J1202&gt;0,A1202&gt;=p_from,A1202&lt;=p_to),1,0)</f>
        <v>0.0</v>
      </c>
      <c r="L1202">
        <f>IF(AND(K1202=1,OR(pa_po="",C1202=pa_po),OR(pa_eq="",B1202=pa_eq)),1,0)</f>
        <v>0.0</v>
      </c>
    </row>
    <row r="1203">
      <c r="A1203" s="51" t="n"/>
      <c r="B1203" s="52" t="n"/>
      <c r="C1203" s="52" t="n"/>
      <c r="D1203" s="53" t="n"/>
      <c r="E1203" s="60" t="n"/>
      <c r="F1203" s="53" t="n"/>
      <c r="G1203" s="61" t="str">
        <f>IF(OR(COUNTA(A1203:E1203)=0,D1203=""),"",IFERROR(INDEX(ca_fam,MATCH(D1203,ca_name,0))&amp;"",""))</f>
        <v/>
      </c>
      <c r="H1203" s="58" t="str">
        <f>IF(OR(COUNTA(A1203:E1203)=0,D1203=""),"",IFERROR(INDEX(ca_type,MATCH(D1203,ca_name,0))&amp;"",""))</f>
        <v/>
      </c>
      <c r="I1203" s="58" t="str">
        <f>IF(COUNTA(A1203:E1203)=0,"",IF(N(A1203)&lt;=0,"Date manquante ou invalide",IF(B1203="","Équipe manquante",IF(ISNA(MATCH(B1203,eq_code,0)),"Équipe inconnue",IF(C1203="","Poste manquant",IF(ISNA(MATCH(C1203,po_code,0)),"Poste inconnu",IF(D1203="","Cause manquante",IF(ISNA(MATCH(D1203,ca_name,0)),"Cause inconnue",IF(H1203="","Cause à compléter dans Paramètres",IF(OR(NOT(ISNUMBER(E1203)),N(E1203)&lt;=0,N(E1203)&gt;1440),"Durée invalide",IF(COUNTIFS(sj_date,A1203,sj_eq,B1203,sj_po,C1203)=0,"Pas de saisie journalière ce jour-là","OK")))))))))))</f>
        <v/>
      </c>
      <c r="J1203">
        <f>IF(OR(I1203="OK",I1203="Pas de saisie journalière ce jour-là"),E1203,0)</f>
        <v>0.0</v>
      </c>
      <c r="K1203">
        <f>IF(AND(J1203&gt;0,A1203&gt;=p_from,A1203&lt;=p_to),1,0)</f>
        <v>0.0</v>
      </c>
      <c r="L1203">
        <f>IF(AND(K1203=1,OR(pa_po="",C1203=pa_po),OR(pa_eq="",B1203=pa_eq)),1,0)</f>
        <v>0.0</v>
      </c>
    </row>
    <row r="1204">
      <c r="A1204" s="51" t="n"/>
      <c r="B1204" s="52" t="n"/>
      <c r="C1204" s="52" t="n"/>
      <c r="D1204" s="53" t="n"/>
      <c r="E1204" s="60" t="n"/>
      <c r="F1204" s="53" t="n"/>
      <c r="G1204" s="61" t="str">
        <f>IF(OR(COUNTA(A1204:E1204)=0,D1204=""),"",IFERROR(INDEX(ca_fam,MATCH(D1204,ca_name,0))&amp;"",""))</f>
        <v/>
      </c>
      <c r="H1204" s="58" t="str">
        <f>IF(OR(COUNTA(A1204:E1204)=0,D1204=""),"",IFERROR(INDEX(ca_type,MATCH(D1204,ca_name,0))&amp;"",""))</f>
        <v/>
      </c>
      <c r="I1204" s="58" t="str">
        <f>IF(COUNTA(A1204:E1204)=0,"",IF(N(A1204)&lt;=0,"Date manquante ou invalide",IF(B1204="","Équipe manquante",IF(ISNA(MATCH(B1204,eq_code,0)),"Équipe inconnue",IF(C1204="","Poste manquant",IF(ISNA(MATCH(C1204,po_code,0)),"Poste inconnu",IF(D1204="","Cause manquante",IF(ISNA(MATCH(D1204,ca_name,0)),"Cause inconnue",IF(H1204="","Cause à compléter dans Paramètres",IF(OR(NOT(ISNUMBER(E1204)),N(E1204)&lt;=0,N(E1204)&gt;1440),"Durée invalide",IF(COUNTIFS(sj_date,A1204,sj_eq,B1204,sj_po,C1204)=0,"Pas de saisie journalière ce jour-là","OK")))))))))))</f>
        <v/>
      </c>
      <c r="J1204">
        <f>IF(OR(I1204="OK",I1204="Pas de saisie journalière ce jour-là"),E1204,0)</f>
        <v>0.0</v>
      </c>
      <c r="K1204">
        <f>IF(AND(J1204&gt;0,A1204&gt;=p_from,A1204&lt;=p_to),1,0)</f>
        <v>0.0</v>
      </c>
      <c r="L1204">
        <f>IF(AND(K1204=1,OR(pa_po="",C1204=pa_po),OR(pa_eq="",B1204=pa_eq)),1,0)</f>
        <v>0.0</v>
      </c>
    </row>
    <row r="1205">
      <c r="A1205" s="51" t="n"/>
      <c r="B1205" s="52" t="n"/>
      <c r="C1205" s="52" t="n"/>
      <c r="D1205" s="53" t="n"/>
      <c r="E1205" s="60" t="n"/>
      <c r="F1205" s="53" t="n"/>
      <c r="G1205" s="61" t="str">
        <f>IF(OR(COUNTA(A1205:E1205)=0,D1205=""),"",IFERROR(INDEX(ca_fam,MATCH(D1205,ca_name,0))&amp;"",""))</f>
        <v/>
      </c>
      <c r="H1205" s="58" t="str">
        <f>IF(OR(COUNTA(A1205:E1205)=0,D1205=""),"",IFERROR(INDEX(ca_type,MATCH(D1205,ca_name,0))&amp;"",""))</f>
        <v/>
      </c>
      <c r="I1205" s="58" t="str">
        <f>IF(COUNTA(A1205:E1205)=0,"",IF(N(A1205)&lt;=0,"Date manquante ou invalide",IF(B1205="","Équipe manquante",IF(ISNA(MATCH(B1205,eq_code,0)),"Équipe inconnue",IF(C1205="","Poste manquant",IF(ISNA(MATCH(C1205,po_code,0)),"Poste inconnu",IF(D1205="","Cause manquante",IF(ISNA(MATCH(D1205,ca_name,0)),"Cause inconnue",IF(H1205="","Cause à compléter dans Paramètres",IF(OR(NOT(ISNUMBER(E1205)),N(E1205)&lt;=0,N(E1205)&gt;1440),"Durée invalide",IF(COUNTIFS(sj_date,A1205,sj_eq,B1205,sj_po,C1205)=0,"Pas de saisie journalière ce jour-là","OK")))))))))))</f>
        <v/>
      </c>
      <c r="J1205">
        <f>IF(OR(I1205="OK",I1205="Pas de saisie journalière ce jour-là"),E1205,0)</f>
        <v>0.0</v>
      </c>
      <c r="K1205">
        <f>IF(AND(J1205&gt;0,A1205&gt;=p_from,A1205&lt;=p_to),1,0)</f>
        <v>0.0</v>
      </c>
      <c r="L1205">
        <f>IF(AND(K1205=1,OR(pa_po="",C1205=pa_po),OR(pa_eq="",B1205=pa_eq)),1,0)</f>
        <v>0.0</v>
      </c>
    </row>
    <row r="1206">
      <c r="A1206" s="51" t="n"/>
      <c r="B1206" s="52" t="n"/>
      <c r="C1206" s="52" t="n"/>
      <c r="D1206" s="53" t="n"/>
      <c r="E1206" s="60" t="n"/>
      <c r="F1206" s="53" t="n"/>
      <c r="G1206" s="61" t="str">
        <f>IF(OR(COUNTA(A1206:E1206)=0,D1206=""),"",IFERROR(INDEX(ca_fam,MATCH(D1206,ca_name,0))&amp;"",""))</f>
        <v/>
      </c>
      <c r="H1206" s="58" t="str">
        <f>IF(OR(COUNTA(A1206:E1206)=0,D1206=""),"",IFERROR(INDEX(ca_type,MATCH(D1206,ca_name,0))&amp;"",""))</f>
        <v/>
      </c>
      <c r="I1206" s="58" t="str">
        <f>IF(COUNTA(A1206:E1206)=0,"",IF(N(A1206)&lt;=0,"Date manquante ou invalide",IF(B1206="","Équipe manquante",IF(ISNA(MATCH(B1206,eq_code,0)),"Équipe inconnue",IF(C1206="","Poste manquant",IF(ISNA(MATCH(C1206,po_code,0)),"Poste inconnu",IF(D1206="","Cause manquante",IF(ISNA(MATCH(D1206,ca_name,0)),"Cause inconnue",IF(H1206="","Cause à compléter dans Paramètres",IF(OR(NOT(ISNUMBER(E1206)),N(E1206)&lt;=0,N(E1206)&gt;1440),"Durée invalide",IF(COUNTIFS(sj_date,A1206,sj_eq,B1206,sj_po,C1206)=0,"Pas de saisie journalière ce jour-là","OK")))))))))))</f>
        <v/>
      </c>
      <c r="J1206">
        <f>IF(OR(I1206="OK",I1206="Pas de saisie journalière ce jour-là"),E1206,0)</f>
        <v>0.0</v>
      </c>
      <c r="K1206">
        <f>IF(AND(J1206&gt;0,A1206&gt;=p_from,A1206&lt;=p_to),1,0)</f>
        <v>0.0</v>
      </c>
      <c r="L1206">
        <f>IF(AND(K1206=1,OR(pa_po="",C1206=pa_po),OR(pa_eq="",B1206=pa_eq)),1,0)</f>
        <v>0.0</v>
      </c>
    </row>
    <row r="1207">
      <c r="A1207" s="51" t="n"/>
      <c r="B1207" s="52" t="n"/>
      <c r="C1207" s="52" t="n"/>
      <c r="D1207" s="53" t="n"/>
      <c r="E1207" s="60" t="n"/>
      <c r="F1207" s="53" t="n"/>
      <c r="G1207" s="61" t="str">
        <f>IF(OR(COUNTA(A1207:E1207)=0,D1207=""),"",IFERROR(INDEX(ca_fam,MATCH(D1207,ca_name,0))&amp;"",""))</f>
        <v/>
      </c>
      <c r="H1207" s="58" t="str">
        <f>IF(OR(COUNTA(A1207:E1207)=0,D1207=""),"",IFERROR(INDEX(ca_type,MATCH(D1207,ca_name,0))&amp;"",""))</f>
        <v/>
      </c>
      <c r="I1207" s="58" t="str">
        <f>IF(COUNTA(A1207:E1207)=0,"",IF(N(A1207)&lt;=0,"Date manquante ou invalide",IF(B1207="","Équipe manquante",IF(ISNA(MATCH(B1207,eq_code,0)),"Équipe inconnue",IF(C1207="","Poste manquant",IF(ISNA(MATCH(C1207,po_code,0)),"Poste inconnu",IF(D1207="","Cause manquante",IF(ISNA(MATCH(D1207,ca_name,0)),"Cause inconnue",IF(H1207="","Cause à compléter dans Paramètres",IF(OR(NOT(ISNUMBER(E1207)),N(E1207)&lt;=0,N(E1207)&gt;1440),"Durée invalide",IF(COUNTIFS(sj_date,A1207,sj_eq,B1207,sj_po,C1207)=0,"Pas de saisie journalière ce jour-là","OK")))))))))))</f>
        <v/>
      </c>
      <c r="J1207">
        <f>IF(OR(I1207="OK",I1207="Pas de saisie journalière ce jour-là"),E1207,0)</f>
        <v>0.0</v>
      </c>
      <c r="K1207">
        <f>IF(AND(J1207&gt;0,A1207&gt;=p_from,A1207&lt;=p_to),1,0)</f>
        <v>0.0</v>
      </c>
      <c r="L1207">
        <f>IF(AND(K1207=1,OR(pa_po="",C1207=pa_po),OR(pa_eq="",B1207=pa_eq)),1,0)</f>
        <v>0.0</v>
      </c>
    </row>
    <row r="1208">
      <c r="A1208" s="51" t="n"/>
      <c r="B1208" s="52" t="n"/>
      <c r="C1208" s="52" t="n"/>
      <c r="D1208" s="53" t="n"/>
      <c r="E1208" s="60" t="n"/>
      <c r="F1208" s="53" t="n"/>
      <c r="G1208" s="61" t="str">
        <f>IF(OR(COUNTA(A1208:E1208)=0,D1208=""),"",IFERROR(INDEX(ca_fam,MATCH(D1208,ca_name,0))&amp;"",""))</f>
        <v/>
      </c>
      <c r="H1208" s="58" t="str">
        <f>IF(OR(COUNTA(A1208:E1208)=0,D1208=""),"",IFERROR(INDEX(ca_type,MATCH(D1208,ca_name,0))&amp;"",""))</f>
        <v/>
      </c>
      <c r="I1208" s="58" t="str">
        <f>IF(COUNTA(A1208:E1208)=0,"",IF(N(A1208)&lt;=0,"Date manquante ou invalide",IF(B1208="","Équipe manquante",IF(ISNA(MATCH(B1208,eq_code,0)),"Équipe inconnue",IF(C1208="","Poste manquant",IF(ISNA(MATCH(C1208,po_code,0)),"Poste inconnu",IF(D1208="","Cause manquante",IF(ISNA(MATCH(D1208,ca_name,0)),"Cause inconnue",IF(H1208="","Cause à compléter dans Paramètres",IF(OR(NOT(ISNUMBER(E1208)),N(E1208)&lt;=0,N(E1208)&gt;1440),"Durée invalide",IF(COUNTIFS(sj_date,A1208,sj_eq,B1208,sj_po,C1208)=0,"Pas de saisie journalière ce jour-là","OK")))))))))))</f>
        <v/>
      </c>
      <c r="J1208">
        <f>IF(OR(I1208="OK",I1208="Pas de saisie journalière ce jour-là"),E1208,0)</f>
        <v>0.0</v>
      </c>
      <c r="K1208">
        <f>IF(AND(J1208&gt;0,A1208&gt;=p_from,A1208&lt;=p_to),1,0)</f>
        <v>0.0</v>
      </c>
      <c r="L1208">
        <f>IF(AND(K1208=1,OR(pa_po="",C1208=pa_po),OR(pa_eq="",B1208=pa_eq)),1,0)</f>
        <v>0.0</v>
      </c>
    </row>
    <row r="1209">
      <c r="A1209" s="51" t="n"/>
      <c r="B1209" s="52" t="n"/>
      <c r="C1209" s="52" t="n"/>
      <c r="D1209" s="53" t="n"/>
      <c r="E1209" s="60" t="n"/>
      <c r="F1209" s="53" t="n"/>
      <c r="G1209" s="61" t="str">
        <f>IF(OR(COUNTA(A1209:E1209)=0,D1209=""),"",IFERROR(INDEX(ca_fam,MATCH(D1209,ca_name,0))&amp;"",""))</f>
        <v/>
      </c>
      <c r="H1209" s="58" t="str">
        <f>IF(OR(COUNTA(A1209:E1209)=0,D1209=""),"",IFERROR(INDEX(ca_type,MATCH(D1209,ca_name,0))&amp;"",""))</f>
        <v/>
      </c>
      <c r="I1209" s="58" t="str">
        <f>IF(COUNTA(A1209:E1209)=0,"",IF(N(A1209)&lt;=0,"Date manquante ou invalide",IF(B1209="","Équipe manquante",IF(ISNA(MATCH(B1209,eq_code,0)),"Équipe inconnue",IF(C1209="","Poste manquant",IF(ISNA(MATCH(C1209,po_code,0)),"Poste inconnu",IF(D1209="","Cause manquante",IF(ISNA(MATCH(D1209,ca_name,0)),"Cause inconnue",IF(H1209="","Cause à compléter dans Paramètres",IF(OR(NOT(ISNUMBER(E1209)),N(E1209)&lt;=0,N(E1209)&gt;1440),"Durée invalide",IF(COUNTIFS(sj_date,A1209,sj_eq,B1209,sj_po,C1209)=0,"Pas de saisie journalière ce jour-là","OK")))))))))))</f>
        <v/>
      </c>
      <c r="J1209">
        <f>IF(OR(I1209="OK",I1209="Pas de saisie journalière ce jour-là"),E1209,0)</f>
        <v>0.0</v>
      </c>
      <c r="K1209">
        <f>IF(AND(J1209&gt;0,A1209&gt;=p_from,A1209&lt;=p_to),1,0)</f>
        <v>0.0</v>
      </c>
      <c r="L1209">
        <f>IF(AND(K1209=1,OR(pa_po="",C1209=pa_po),OR(pa_eq="",B1209=pa_eq)),1,0)</f>
        <v>0.0</v>
      </c>
    </row>
    <row r="1210">
      <c r="A1210" s="51" t="n"/>
      <c r="B1210" s="52" t="n"/>
      <c r="C1210" s="52" t="n"/>
      <c r="D1210" s="53" t="n"/>
      <c r="E1210" s="60" t="n"/>
      <c r="F1210" s="53" t="n"/>
      <c r="G1210" s="61" t="str">
        <f>IF(OR(COUNTA(A1210:E1210)=0,D1210=""),"",IFERROR(INDEX(ca_fam,MATCH(D1210,ca_name,0))&amp;"",""))</f>
        <v/>
      </c>
      <c r="H1210" s="58" t="str">
        <f>IF(OR(COUNTA(A1210:E1210)=0,D1210=""),"",IFERROR(INDEX(ca_type,MATCH(D1210,ca_name,0))&amp;"",""))</f>
        <v/>
      </c>
      <c r="I1210" s="58" t="str">
        <f>IF(COUNTA(A1210:E1210)=0,"",IF(N(A1210)&lt;=0,"Date manquante ou invalide",IF(B1210="","Équipe manquante",IF(ISNA(MATCH(B1210,eq_code,0)),"Équipe inconnue",IF(C1210="","Poste manquant",IF(ISNA(MATCH(C1210,po_code,0)),"Poste inconnu",IF(D1210="","Cause manquante",IF(ISNA(MATCH(D1210,ca_name,0)),"Cause inconnue",IF(H1210="","Cause à compléter dans Paramètres",IF(OR(NOT(ISNUMBER(E1210)),N(E1210)&lt;=0,N(E1210)&gt;1440),"Durée invalide",IF(COUNTIFS(sj_date,A1210,sj_eq,B1210,sj_po,C1210)=0,"Pas de saisie journalière ce jour-là","OK")))))))))))</f>
        <v/>
      </c>
      <c r="J1210">
        <f>IF(OR(I1210="OK",I1210="Pas de saisie journalière ce jour-là"),E1210,0)</f>
        <v>0.0</v>
      </c>
      <c r="K1210">
        <f>IF(AND(J1210&gt;0,A1210&gt;=p_from,A1210&lt;=p_to),1,0)</f>
        <v>0.0</v>
      </c>
      <c r="L1210">
        <f>IF(AND(K1210=1,OR(pa_po="",C1210=pa_po),OR(pa_eq="",B1210=pa_eq)),1,0)</f>
        <v>0.0</v>
      </c>
    </row>
    <row r="1211">
      <c r="A1211" s="51" t="n"/>
      <c r="B1211" s="52" t="n"/>
      <c r="C1211" s="52" t="n"/>
      <c r="D1211" s="53" t="n"/>
      <c r="E1211" s="60" t="n"/>
      <c r="F1211" s="53" t="n"/>
      <c r="G1211" s="61" t="str">
        <f>IF(OR(COUNTA(A1211:E1211)=0,D1211=""),"",IFERROR(INDEX(ca_fam,MATCH(D1211,ca_name,0))&amp;"",""))</f>
        <v/>
      </c>
      <c r="H1211" s="58" t="str">
        <f>IF(OR(COUNTA(A1211:E1211)=0,D1211=""),"",IFERROR(INDEX(ca_type,MATCH(D1211,ca_name,0))&amp;"",""))</f>
        <v/>
      </c>
      <c r="I1211" s="58" t="str">
        <f>IF(COUNTA(A1211:E1211)=0,"",IF(N(A1211)&lt;=0,"Date manquante ou invalide",IF(B1211="","Équipe manquante",IF(ISNA(MATCH(B1211,eq_code,0)),"Équipe inconnue",IF(C1211="","Poste manquant",IF(ISNA(MATCH(C1211,po_code,0)),"Poste inconnu",IF(D1211="","Cause manquante",IF(ISNA(MATCH(D1211,ca_name,0)),"Cause inconnue",IF(H1211="","Cause à compléter dans Paramètres",IF(OR(NOT(ISNUMBER(E1211)),N(E1211)&lt;=0,N(E1211)&gt;1440),"Durée invalide",IF(COUNTIFS(sj_date,A1211,sj_eq,B1211,sj_po,C1211)=0,"Pas de saisie journalière ce jour-là","OK")))))))))))</f>
        <v/>
      </c>
      <c r="J1211">
        <f>IF(OR(I1211="OK",I1211="Pas de saisie journalière ce jour-là"),E1211,0)</f>
        <v>0.0</v>
      </c>
      <c r="K1211">
        <f>IF(AND(J1211&gt;0,A1211&gt;=p_from,A1211&lt;=p_to),1,0)</f>
        <v>0.0</v>
      </c>
      <c r="L1211">
        <f>IF(AND(K1211=1,OR(pa_po="",C1211=pa_po),OR(pa_eq="",B1211=pa_eq)),1,0)</f>
        <v>0.0</v>
      </c>
    </row>
    <row r="1212">
      <c r="A1212" s="51" t="n"/>
      <c r="B1212" s="52" t="n"/>
      <c r="C1212" s="52" t="n"/>
      <c r="D1212" s="53" t="n"/>
      <c r="E1212" s="60" t="n"/>
      <c r="F1212" s="53" t="n"/>
      <c r="G1212" s="61" t="str">
        <f>IF(OR(COUNTA(A1212:E1212)=0,D1212=""),"",IFERROR(INDEX(ca_fam,MATCH(D1212,ca_name,0))&amp;"",""))</f>
        <v/>
      </c>
      <c r="H1212" s="58" t="str">
        <f>IF(OR(COUNTA(A1212:E1212)=0,D1212=""),"",IFERROR(INDEX(ca_type,MATCH(D1212,ca_name,0))&amp;"",""))</f>
        <v/>
      </c>
      <c r="I1212" s="58" t="str">
        <f>IF(COUNTA(A1212:E1212)=0,"",IF(N(A1212)&lt;=0,"Date manquante ou invalide",IF(B1212="","Équipe manquante",IF(ISNA(MATCH(B1212,eq_code,0)),"Équipe inconnue",IF(C1212="","Poste manquant",IF(ISNA(MATCH(C1212,po_code,0)),"Poste inconnu",IF(D1212="","Cause manquante",IF(ISNA(MATCH(D1212,ca_name,0)),"Cause inconnue",IF(H1212="","Cause à compléter dans Paramètres",IF(OR(NOT(ISNUMBER(E1212)),N(E1212)&lt;=0,N(E1212)&gt;1440),"Durée invalide",IF(COUNTIFS(sj_date,A1212,sj_eq,B1212,sj_po,C1212)=0,"Pas de saisie journalière ce jour-là","OK")))))))))))</f>
        <v/>
      </c>
      <c r="J1212">
        <f>IF(OR(I1212="OK",I1212="Pas de saisie journalière ce jour-là"),E1212,0)</f>
        <v>0.0</v>
      </c>
      <c r="K1212">
        <f>IF(AND(J1212&gt;0,A1212&gt;=p_from,A1212&lt;=p_to),1,0)</f>
        <v>0.0</v>
      </c>
      <c r="L1212">
        <f>IF(AND(K1212=1,OR(pa_po="",C1212=pa_po),OR(pa_eq="",B1212=pa_eq)),1,0)</f>
        <v>0.0</v>
      </c>
    </row>
    <row r="1213">
      <c r="A1213" s="51" t="n"/>
      <c r="B1213" s="52" t="n"/>
      <c r="C1213" s="52" t="n"/>
      <c r="D1213" s="53" t="n"/>
      <c r="E1213" s="60" t="n"/>
      <c r="F1213" s="53" t="n"/>
      <c r="G1213" s="61" t="str">
        <f>IF(OR(COUNTA(A1213:E1213)=0,D1213=""),"",IFERROR(INDEX(ca_fam,MATCH(D1213,ca_name,0))&amp;"",""))</f>
        <v/>
      </c>
      <c r="H1213" s="58" t="str">
        <f>IF(OR(COUNTA(A1213:E1213)=0,D1213=""),"",IFERROR(INDEX(ca_type,MATCH(D1213,ca_name,0))&amp;"",""))</f>
        <v/>
      </c>
      <c r="I1213" s="58" t="str">
        <f>IF(COUNTA(A1213:E1213)=0,"",IF(N(A1213)&lt;=0,"Date manquante ou invalide",IF(B1213="","Équipe manquante",IF(ISNA(MATCH(B1213,eq_code,0)),"Équipe inconnue",IF(C1213="","Poste manquant",IF(ISNA(MATCH(C1213,po_code,0)),"Poste inconnu",IF(D1213="","Cause manquante",IF(ISNA(MATCH(D1213,ca_name,0)),"Cause inconnue",IF(H1213="","Cause à compléter dans Paramètres",IF(OR(NOT(ISNUMBER(E1213)),N(E1213)&lt;=0,N(E1213)&gt;1440),"Durée invalide",IF(COUNTIFS(sj_date,A1213,sj_eq,B1213,sj_po,C1213)=0,"Pas de saisie journalière ce jour-là","OK")))))))))))</f>
        <v/>
      </c>
      <c r="J1213">
        <f>IF(OR(I1213="OK",I1213="Pas de saisie journalière ce jour-là"),E1213,0)</f>
        <v>0.0</v>
      </c>
      <c r="K1213">
        <f>IF(AND(J1213&gt;0,A1213&gt;=p_from,A1213&lt;=p_to),1,0)</f>
        <v>0.0</v>
      </c>
      <c r="L1213">
        <f>IF(AND(K1213=1,OR(pa_po="",C1213=pa_po),OR(pa_eq="",B1213=pa_eq)),1,0)</f>
        <v>0.0</v>
      </c>
    </row>
    <row r="1214">
      <c r="A1214" s="51" t="n"/>
      <c r="B1214" s="52" t="n"/>
      <c r="C1214" s="52" t="n"/>
      <c r="D1214" s="53" t="n"/>
      <c r="E1214" s="60" t="n"/>
      <c r="F1214" s="53" t="n"/>
      <c r="G1214" s="61" t="str">
        <f>IF(OR(COUNTA(A1214:E1214)=0,D1214=""),"",IFERROR(INDEX(ca_fam,MATCH(D1214,ca_name,0))&amp;"",""))</f>
        <v/>
      </c>
      <c r="H1214" s="58" t="str">
        <f>IF(OR(COUNTA(A1214:E1214)=0,D1214=""),"",IFERROR(INDEX(ca_type,MATCH(D1214,ca_name,0))&amp;"",""))</f>
        <v/>
      </c>
      <c r="I1214" s="58" t="str">
        <f>IF(COUNTA(A1214:E1214)=0,"",IF(N(A1214)&lt;=0,"Date manquante ou invalide",IF(B1214="","Équipe manquante",IF(ISNA(MATCH(B1214,eq_code,0)),"Équipe inconnue",IF(C1214="","Poste manquant",IF(ISNA(MATCH(C1214,po_code,0)),"Poste inconnu",IF(D1214="","Cause manquante",IF(ISNA(MATCH(D1214,ca_name,0)),"Cause inconnue",IF(H1214="","Cause à compléter dans Paramètres",IF(OR(NOT(ISNUMBER(E1214)),N(E1214)&lt;=0,N(E1214)&gt;1440),"Durée invalide",IF(COUNTIFS(sj_date,A1214,sj_eq,B1214,sj_po,C1214)=0,"Pas de saisie journalière ce jour-là","OK")))))))))))</f>
        <v/>
      </c>
      <c r="J1214">
        <f>IF(OR(I1214="OK",I1214="Pas de saisie journalière ce jour-là"),E1214,0)</f>
        <v>0.0</v>
      </c>
      <c r="K1214">
        <f>IF(AND(J1214&gt;0,A1214&gt;=p_from,A1214&lt;=p_to),1,0)</f>
        <v>0.0</v>
      </c>
      <c r="L1214">
        <f>IF(AND(K1214=1,OR(pa_po="",C1214=pa_po),OR(pa_eq="",B1214=pa_eq)),1,0)</f>
        <v>0.0</v>
      </c>
    </row>
    <row r="1215">
      <c r="A1215" s="51" t="n"/>
      <c r="B1215" s="52" t="n"/>
      <c r="C1215" s="52" t="n"/>
      <c r="D1215" s="53" t="n"/>
      <c r="E1215" s="60" t="n"/>
      <c r="F1215" s="53" t="n"/>
      <c r="G1215" s="61" t="str">
        <f>IF(OR(COUNTA(A1215:E1215)=0,D1215=""),"",IFERROR(INDEX(ca_fam,MATCH(D1215,ca_name,0))&amp;"",""))</f>
        <v/>
      </c>
      <c r="H1215" s="58" t="str">
        <f>IF(OR(COUNTA(A1215:E1215)=0,D1215=""),"",IFERROR(INDEX(ca_type,MATCH(D1215,ca_name,0))&amp;"",""))</f>
        <v/>
      </c>
      <c r="I1215" s="58" t="str">
        <f>IF(COUNTA(A1215:E1215)=0,"",IF(N(A1215)&lt;=0,"Date manquante ou invalide",IF(B1215="","Équipe manquante",IF(ISNA(MATCH(B1215,eq_code,0)),"Équipe inconnue",IF(C1215="","Poste manquant",IF(ISNA(MATCH(C1215,po_code,0)),"Poste inconnu",IF(D1215="","Cause manquante",IF(ISNA(MATCH(D1215,ca_name,0)),"Cause inconnue",IF(H1215="","Cause à compléter dans Paramètres",IF(OR(NOT(ISNUMBER(E1215)),N(E1215)&lt;=0,N(E1215)&gt;1440),"Durée invalide",IF(COUNTIFS(sj_date,A1215,sj_eq,B1215,sj_po,C1215)=0,"Pas de saisie journalière ce jour-là","OK")))))))))))</f>
        <v/>
      </c>
      <c r="J1215">
        <f>IF(OR(I1215="OK",I1215="Pas de saisie journalière ce jour-là"),E1215,0)</f>
        <v>0.0</v>
      </c>
      <c r="K1215">
        <f>IF(AND(J1215&gt;0,A1215&gt;=p_from,A1215&lt;=p_to),1,0)</f>
        <v>0.0</v>
      </c>
      <c r="L1215">
        <f>IF(AND(K1215=1,OR(pa_po="",C1215=pa_po),OR(pa_eq="",B1215=pa_eq)),1,0)</f>
        <v>0.0</v>
      </c>
    </row>
    <row r="1216">
      <c r="A1216" s="51" t="n"/>
      <c r="B1216" s="52" t="n"/>
      <c r="C1216" s="52" t="n"/>
      <c r="D1216" s="53" t="n"/>
      <c r="E1216" s="60" t="n"/>
      <c r="F1216" s="53" t="n"/>
      <c r="G1216" s="61" t="str">
        <f>IF(OR(COUNTA(A1216:E1216)=0,D1216=""),"",IFERROR(INDEX(ca_fam,MATCH(D1216,ca_name,0))&amp;"",""))</f>
        <v/>
      </c>
      <c r="H1216" s="58" t="str">
        <f>IF(OR(COUNTA(A1216:E1216)=0,D1216=""),"",IFERROR(INDEX(ca_type,MATCH(D1216,ca_name,0))&amp;"",""))</f>
        <v/>
      </c>
      <c r="I1216" s="58" t="str">
        <f>IF(COUNTA(A1216:E1216)=0,"",IF(N(A1216)&lt;=0,"Date manquante ou invalide",IF(B1216="","Équipe manquante",IF(ISNA(MATCH(B1216,eq_code,0)),"Équipe inconnue",IF(C1216="","Poste manquant",IF(ISNA(MATCH(C1216,po_code,0)),"Poste inconnu",IF(D1216="","Cause manquante",IF(ISNA(MATCH(D1216,ca_name,0)),"Cause inconnue",IF(H1216="","Cause à compléter dans Paramètres",IF(OR(NOT(ISNUMBER(E1216)),N(E1216)&lt;=0,N(E1216)&gt;1440),"Durée invalide",IF(COUNTIFS(sj_date,A1216,sj_eq,B1216,sj_po,C1216)=0,"Pas de saisie journalière ce jour-là","OK")))))))))))</f>
        <v/>
      </c>
      <c r="J1216">
        <f>IF(OR(I1216="OK",I1216="Pas de saisie journalière ce jour-là"),E1216,0)</f>
        <v>0.0</v>
      </c>
      <c r="K1216">
        <f>IF(AND(J1216&gt;0,A1216&gt;=p_from,A1216&lt;=p_to),1,0)</f>
        <v>0.0</v>
      </c>
      <c r="L1216">
        <f>IF(AND(K1216=1,OR(pa_po="",C1216=pa_po),OR(pa_eq="",B1216=pa_eq)),1,0)</f>
        <v>0.0</v>
      </c>
    </row>
    <row r="1217">
      <c r="A1217" s="51" t="n"/>
      <c r="B1217" s="52" t="n"/>
      <c r="C1217" s="52" t="n"/>
      <c r="D1217" s="53" t="n"/>
      <c r="E1217" s="60" t="n"/>
      <c r="F1217" s="53" t="n"/>
      <c r="G1217" s="61" t="str">
        <f>IF(OR(COUNTA(A1217:E1217)=0,D1217=""),"",IFERROR(INDEX(ca_fam,MATCH(D1217,ca_name,0))&amp;"",""))</f>
        <v/>
      </c>
      <c r="H1217" s="58" t="str">
        <f>IF(OR(COUNTA(A1217:E1217)=0,D1217=""),"",IFERROR(INDEX(ca_type,MATCH(D1217,ca_name,0))&amp;"",""))</f>
        <v/>
      </c>
      <c r="I1217" s="58" t="str">
        <f>IF(COUNTA(A1217:E1217)=0,"",IF(N(A1217)&lt;=0,"Date manquante ou invalide",IF(B1217="","Équipe manquante",IF(ISNA(MATCH(B1217,eq_code,0)),"Équipe inconnue",IF(C1217="","Poste manquant",IF(ISNA(MATCH(C1217,po_code,0)),"Poste inconnu",IF(D1217="","Cause manquante",IF(ISNA(MATCH(D1217,ca_name,0)),"Cause inconnue",IF(H1217="","Cause à compléter dans Paramètres",IF(OR(NOT(ISNUMBER(E1217)),N(E1217)&lt;=0,N(E1217)&gt;1440),"Durée invalide",IF(COUNTIFS(sj_date,A1217,sj_eq,B1217,sj_po,C1217)=0,"Pas de saisie journalière ce jour-là","OK")))))))))))</f>
        <v/>
      </c>
      <c r="J1217">
        <f>IF(OR(I1217="OK",I1217="Pas de saisie journalière ce jour-là"),E1217,0)</f>
        <v>0.0</v>
      </c>
      <c r="K1217">
        <f>IF(AND(J1217&gt;0,A1217&gt;=p_from,A1217&lt;=p_to),1,0)</f>
        <v>0.0</v>
      </c>
      <c r="L1217">
        <f>IF(AND(K1217=1,OR(pa_po="",C1217=pa_po),OR(pa_eq="",B1217=pa_eq)),1,0)</f>
        <v>0.0</v>
      </c>
    </row>
    <row r="1218">
      <c r="A1218" s="51" t="n"/>
      <c r="B1218" s="52" t="n"/>
      <c r="C1218" s="52" t="n"/>
      <c r="D1218" s="53" t="n"/>
      <c r="E1218" s="60" t="n"/>
      <c r="F1218" s="53" t="n"/>
      <c r="G1218" s="61" t="str">
        <f>IF(OR(COUNTA(A1218:E1218)=0,D1218=""),"",IFERROR(INDEX(ca_fam,MATCH(D1218,ca_name,0))&amp;"",""))</f>
        <v/>
      </c>
      <c r="H1218" s="58" t="str">
        <f>IF(OR(COUNTA(A1218:E1218)=0,D1218=""),"",IFERROR(INDEX(ca_type,MATCH(D1218,ca_name,0))&amp;"",""))</f>
        <v/>
      </c>
      <c r="I1218" s="58" t="str">
        <f>IF(COUNTA(A1218:E1218)=0,"",IF(N(A1218)&lt;=0,"Date manquante ou invalide",IF(B1218="","Équipe manquante",IF(ISNA(MATCH(B1218,eq_code,0)),"Équipe inconnue",IF(C1218="","Poste manquant",IF(ISNA(MATCH(C1218,po_code,0)),"Poste inconnu",IF(D1218="","Cause manquante",IF(ISNA(MATCH(D1218,ca_name,0)),"Cause inconnue",IF(H1218="","Cause à compléter dans Paramètres",IF(OR(NOT(ISNUMBER(E1218)),N(E1218)&lt;=0,N(E1218)&gt;1440),"Durée invalide",IF(COUNTIFS(sj_date,A1218,sj_eq,B1218,sj_po,C1218)=0,"Pas de saisie journalière ce jour-là","OK")))))))))))</f>
        <v/>
      </c>
      <c r="J1218">
        <f>IF(OR(I1218="OK",I1218="Pas de saisie journalière ce jour-là"),E1218,0)</f>
        <v>0.0</v>
      </c>
      <c r="K1218">
        <f>IF(AND(J1218&gt;0,A1218&gt;=p_from,A1218&lt;=p_to),1,0)</f>
        <v>0.0</v>
      </c>
      <c r="L1218">
        <f>IF(AND(K1218=1,OR(pa_po="",C1218=pa_po),OR(pa_eq="",B1218=pa_eq)),1,0)</f>
        <v>0.0</v>
      </c>
    </row>
    <row r="1219">
      <c r="A1219" s="51" t="n"/>
      <c r="B1219" s="52" t="n"/>
      <c r="C1219" s="52" t="n"/>
      <c r="D1219" s="53" t="n"/>
      <c r="E1219" s="60" t="n"/>
      <c r="F1219" s="53" t="n"/>
      <c r="G1219" s="61" t="str">
        <f>IF(OR(COUNTA(A1219:E1219)=0,D1219=""),"",IFERROR(INDEX(ca_fam,MATCH(D1219,ca_name,0))&amp;"",""))</f>
        <v/>
      </c>
      <c r="H1219" s="58" t="str">
        <f>IF(OR(COUNTA(A1219:E1219)=0,D1219=""),"",IFERROR(INDEX(ca_type,MATCH(D1219,ca_name,0))&amp;"",""))</f>
        <v/>
      </c>
      <c r="I1219" s="58" t="str">
        <f>IF(COUNTA(A1219:E1219)=0,"",IF(N(A1219)&lt;=0,"Date manquante ou invalide",IF(B1219="","Équipe manquante",IF(ISNA(MATCH(B1219,eq_code,0)),"Équipe inconnue",IF(C1219="","Poste manquant",IF(ISNA(MATCH(C1219,po_code,0)),"Poste inconnu",IF(D1219="","Cause manquante",IF(ISNA(MATCH(D1219,ca_name,0)),"Cause inconnue",IF(H1219="","Cause à compléter dans Paramètres",IF(OR(NOT(ISNUMBER(E1219)),N(E1219)&lt;=0,N(E1219)&gt;1440),"Durée invalide",IF(COUNTIFS(sj_date,A1219,sj_eq,B1219,sj_po,C1219)=0,"Pas de saisie journalière ce jour-là","OK")))))))))))</f>
        <v/>
      </c>
      <c r="J1219">
        <f>IF(OR(I1219="OK",I1219="Pas de saisie journalière ce jour-là"),E1219,0)</f>
        <v>0.0</v>
      </c>
      <c r="K1219">
        <f>IF(AND(J1219&gt;0,A1219&gt;=p_from,A1219&lt;=p_to),1,0)</f>
        <v>0.0</v>
      </c>
      <c r="L1219">
        <f>IF(AND(K1219=1,OR(pa_po="",C1219=pa_po),OR(pa_eq="",B1219=pa_eq)),1,0)</f>
        <v>0.0</v>
      </c>
    </row>
    <row r="1220">
      <c r="A1220" s="51" t="n"/>
      <c r="B1220" s="52" t="n"/>
      <c r="C1220" s="52" t="n"/>
      <c r="D1220" s="53" t="n"/>
      <c r="E1220" s="60" t="n"/>
      <c r="F1220" s="53" t="n"/>
      <c r="G1220" s="61" t="str">
        <f>IF(OR(COUNTA(A1220:E1220)=0,D1220=""),"",IFERROR(INDEX(ca_fam,MATCH(D1220,ca_name,0))&amp;"",""))</f>
        <v/>
      </c>
      <c r="H1220" s="58" t="str">
        <f>IF(OR(COUNTA(A1220:E1220)=0,D1220=""),"",IFERROR(INDEX(ca_type,MATCH(D1220,ca_name,0))&amp;"",""))</f>
        <v/>
      </c>
      <c r="I1220" s="58" t="str">
        <f>IF(COUNTA(A1220:E1220)=0,"",IF(N(A1220)&lt;=0,"Date manquante ou invalide",IF(B1220="","Équipe manquante",IF(ISNA(MATCH(B1220,eq_code,0)),"Équipe inconnue",IF(C1220="","Poste manquant",IF(ISNA(MATCH(C1220,po_code,0)),"Poste inconnu",IF(D1220="","Cause manquante",IF(ISNA(MATCH(D1220,ca_name,0)),"Cause inconnue",IF(H1220="","Cause à compléter dans Paramètres",IF(OR(NOT(ISNUMBER(E1220)),N(E1220)&lt;=0,N(E1220)&gt;1440),"Durée invalide",IF(COUNTIFS(sj_date,A1220,sj_eq,B1220,sj_po,C1220)=0,"Pas de saisie journalière ce jour-là","OK")))))))))))</f>
        <v/>
      </c>
      <c r="J1220">
        <f>IF(OR(I1220="OK",I1220="Pas de saisie journalière ce jour-là"),E1220,0)</f>
        <v>0.0</v>
      </c>
      <c r="K1220">
        <f>IF(AND(J1220&gt;0,A1220&gt;=p_from,A1220&lt;=p_to),1,0)</f>
        <v>0.0</v>
      </c>
      <c r="L1220">
        <f>IF(AND(K1220=1,OR(pa_po="",C1220=pa_po),OR(pa_eq="",B1220=pa_eq)),1,0)</f>
        <v>0.0</v>
      </c>
    </row>
    <row r="1221">
      <c r="A1221" s="51" t="n"/>
      <c r="B1221" s="52" t="n"/>
      <c r="C1221" s="52" t="n"/>
      <c r="D1221" s="53" t="n"/>
      <c r="E1221" s="60" t="n"/>
      <c r="F1221" s="53" t="n"/>
      <c r="G1221" s="61" t="str">
        <f>IF(OR(COUNTA(A1221:E1221)=0,D1221=""),"",IFERROR(INDEX(ca_fam,MATCH(D1221,ca_name,0))&amp;"",""))</f>
        <v/>
      </c>
      <c r="H1221" s="58" t="str">
        <f>IF(OR(COUNTA(A1221:E1221)=0,D1221=""),"",IFERROR(INDEX(ca_type,MATCH(D1221,ca_name,0))&amp;"",""))</f>
        <v/>
      </c>
      <c r="I1221" s="58" t="str">
        <f>IF(COUNTA(A1221:E1221)=0,"",IF(N(A1221)&lt;=0,"Date manquante ou invalide",IF(B1221="","Équipe manquante",IF(ISNA(MATCH(B1221,eq_code,0)),"Équipe inconnue",IF(C1221="","Poste manquant",IF(ISNA(MATCH(C1221,po_code,0)),"Poste inconnu",IF(D1221="","Cause manquante",IF(ISNA(MATCH(D1221,ca_name,0)),"Cause inconnue",IF(H1221="","Cause à compléter dans Paramètres",IF(OR(NOT(ISNUMBER(E1221)),N(E1221)&lt;=0,N(E1221)&gt;1440),"Durée invalide",IF(COUNTIFS(sj_date,A1221,sj_eq,B1221,sj_po,C1221)=0,"Pas de saisie journalière ce jour-là","OK")))))))))))</f>
        <v/>
      </c>
      <c r="J1221">
        <f>IF(OR(I1221="OK",I1221="Pas de saisie journalière ce jour-là"),E1221,0)</f>
        <v>0.0</v>
      </c>
      <c r="K1221">
        <f>IF(AND(J1221&gt;0,A1221&gt;=p_from,A1221&lt;=p_to),1,0)</f>
        <v>0.0</v>
      </c>
      <c r="L1221">
        <f>IF(AND(K1221=1,OR(pa_po="",C1221=pa_po),OR(pa_eq="",B1221=pa_eq)),1,0)</f>
        <v>0.0</v>
      </c>
    </row>
    <row r="1222">
      <c r="A1222" s="51" t="n"/>
      <c r="B1222" s="52" t="n"/>
      <c r="C1222" s="52" t="n"/>
      <c r="D1222" s="53" t="n"/>
      <c r="E1222" s="60" t="n"/>
      <c r="F1222" s="53" t="n"/>
      <c r="G1222" s="61" t="str">
        <f>IF(OR(COUNTA(A1222:E1222)=0,D1222=""),"",IFERROR(INDEX(ca_fam,MATCH(D1222,ca_name,0))&amp;"",""))</f>
        <v/>
      </c>
      <c r="H1222" s="58" t="str">
        <f>IF(OR(COUNTA(A1222:E1222)=0,D1222=""),"",IFERROR(INDEX(ca_type,MATCH(D1222,ca_name,0))&amp;"",""))</f>
        <v/>
      </c>
      <c r="I1222" s="58" t="str">
        <f>IF(COUNTA(A1222:E1222)=0,"",IF(N(A1222)&lt;=0,"Date manquante ou invalide",IF(B1222="","Équipe manquante",IF(ISNA(MATCH(B1222,eq_code,0)),"Équipe inconnue",IF(C1222="","Poste manquant",IF(ISNA(MATCH(C1222,po_code,0)),"Poste inconnu",IF(D1222="","Cause manquante",IF(ISNA(MATCH(D1222,ca_name,0)),"Cause inconnue",IF(H1222="","Cause à compléter dans Paramètres",IF(OR(NOT(ISNUMBER(E1222)),N(E1222)&lt;=0,N(E1222)&gt;1440),"Durée invalide",IF(COUNTIFS(sj_date,A1222,sj_eq,B1222,sj_po,C1222)=0,"Pas de saisie journalière ce jour-là","OK")))))))))))</f>
        <v/>
      </c>
      <c r="J1222">
        <f>IF(OR(I1222="OK",I1222="Pas de saisie journalière ce jour-là"),E1222,0)</f>
        <v>0.0</v>
      </c>
      <c r="K1222">
        <f>IF(AND(J1222&gt;0,A1222&gt;=p_from,A1222&lt;=p_to),1,0)</f>
        <v>0.0</v>
      </c>
      <c r="L1222">
        <f>IF(AND(K1222=1,OR(pa_po="",C1222=pa_po),OR(pa_eq="",B1222=pa_eq)),1,0)</f>
        <v>0.0</v>
      </c>
    </row>
    <row r="1223">
      <c r="A1223" s="51" t="n"/>
      <c r="B1223" s="52" t="n"/>
      <c r="C1223" s="52" t="n"/>
      <c r="D1223" s="53" t="n"/>
      <c r="E1223" s="60" t="n"/>
      <c r="F1223" s="53" t="n"/>
      <c r="G1223" s="61" t="str">
        <f>IF(OR(COUNTA(A1223:E1223)=0,D1223=""),"",IFERROR(INDEX(ca_fam,MATCH(D1223,ca_name,0))&amp;"",""))</f>
        <v/>
      </c>
      <c r="H1223" s="58" t="str">
        <f>IF(OR(COUNTA(A1223:E1223)=0,D1223=""),"",IFERROR(INDEX(ca_type,MATCH(D1223,ca_name,0))&amp;"",""))</f>
        <v/>
      </c>
      <c r="I1223" s="58" t="str">
        <f>IF(COUNTA(A1223:E1223)=0,"",IF(N(A1223)&lt;=0,"Date manquante ou invalide",IF(B1223="","Équipe manquante",IF(ISNA(MATCH(B1223,eq_code,0)),"Équipe inconnue",IF(C1223="","Poste manquant",IF(ISNA(MATCH(C1223,po_code,0)),"Poste inconnu",IF(D1223="","Cause manquante",IF(ISNA(MATCH(D1223,ca_name,0)),"Cause inconnue",IF(H1223="","Cause à compléter dans Paramètres",IF(OR(NOT(ISNUMBER(E1223)),N(E1223)&lt;=0,N(E1223)&gt;1440),"Durée invalide",IF(COUNTIFS(sj_date,A1223,sj_eq,B1223,sj_po,C1223)=0,"Pas de saisie journalière ce jour-là","OK")))))))))))</f>
        <v/>
      </c>
      <c r="J1223">
        <f>IF(OR(I1223="OK",I1223="Pas de saisie journalière ce jour-là"),E1223,0)</f>
        <v>0.0</v>
      </c>
      <c r="K1223">
        <f>IF(AND(J1223&gt;0,A1223&gt;=p_from,A1223&lt;=p_to),1,0)</f>
        <v>0.0</v>
      </c>
      <c r="L1223">
        <f>IF(AND(K1223=1,OR(pa_po="",C1223=pa_po),OR(pa_eq="",B1223=pa_eq)),1,0)</f>
        <v>0.0</v>
      </c>
    </row>
    <row r="1224">
      <c r="A1224" s="51" t="n"/>
      <c r="B1224" s="52" t="n"/>
      <c r="C1224" s="52" t="n"/>
      <c r="D1224" s="53" t="n"/>
      <c r="E1224" s="60" t="n"/>
      <c r="F1224" s="53" t="n"/>
      <c r="G1224" s="61" t="str">
        <f>IF(OR(COUNTA(A1224:E1224)=0,D1224=""),"",IFERROR(INDEX(ca_fam,MATCH(D1224,ca_name,0))&amp;"",""))</f>
        <v/>
      </c>
      <c r="H1224" s="58" t="str">
        <f>IF(OR(COUNTA(A1224:E1224)=0,D1224=""),"",IFERROR(INDEX(ca_type,MATCH(D1224,ca_name,0))&amp;"",""))</f>
        <v/>
      </c>
      <c r="I1224" s="58" t="str">
        <f>IF(COUNTA(A1224:E1224)=0,"",IF(N(A1224)&lt;=0,"Date manquante ou invalide",IF(B1224="","Équipe manquante",IF(ISNA(MATCH(B1224,eq_code,0)),"Équipe inconnue",IF(C1224="","Poste manquant",IF(ISNA(MATCH(C1224,po_code,0)),"Poste inconnu",IF(D1224="","Cause manquante",IF(ISNA(MATCH(D1224,ca_name,0)),"Cause inconnue",IF(H1224="","Cause à compléter dans Paramètres",IF(OR(NOT(ISNUMBER(E1224)),N(E1224)&lt;=0,N(E1224)&gt;1440),"Durée invalide",IF(COUNTIFS(sj_date,A1224,sj_eq,B1224,sj_po,C1224)=0,"Pas de saisie journalière ce jour-là","OK")))))))))))</f>
        <v/>
      </c>
      <c r="J1224">
        <f>IF(OR(I1224="OK",I1224="Pas de saisie journalière ce jour-là"),E1224,0)</f>
        <v>0.0</v>
      </c>
      <c r="K1224">
        <f>IF(AND(J1224&gt;0,A1224&gt;=p_from,A1224&lt;=p_to),1,0)</f>
        <v>0.0</v>
      </c>
      <c r="L1224">
        <f>IF(AND(K1224=1,OR(pa_po="",C1224=pa_po),OR(pa_eq="",B1224=pa_eq)),1,0)</f>
        <v>0.0</v>
      </c>
    </row>
    <row r="1225">
      <c r="A1225" s="51" t="n"/>
      <c r="B1225" s="52" t="n"/>
      <c r="C1225" s="52" t="n"/>
      <c r="D1225" s="53" t="n"/>
      <c r="E1225" s="60" t="n"/>
      <c r="F1225" s="53" t="n"/>
      <c r="G1225" s="61" t="str">
        <f>IF(OR(COUNTA(A1225:E1225)=0,D1225=""),"",IFERROR(INDEX(ca_fam,MATCH(D1225,ca_name,0))&amp;"",""))</f>
        <v/>
      </c>
      <c r="H1225" s="58" t="str">
        <f>IF(OR(COUNTA(A1225:E1225)=0,D1225=""),"",IFERROR(INDEX(ca_type,MATCH(D1225,ca_name,0))&amp;"",""))</f>
        <v/>
      </c>
      <c r="I1225" s="58" t="str">
        <f>IF(COUNTA(A1225:E1225)=0,"",IF(N(A1225)&lt;=0,"Date manquante ou invalide",IF(B1225="","Équipe manquante",IF(ISNA(MATCH(B1225,eq_code,0)),"Équipe inconnue",IF(C1225="","Poste manquant",IF(ISNA(MATCH(C1225,po_code,0)),"Poste inconnu",IF(D1225="","Cause manquante",IF(ISNA(MATCH(D1225,ca_name,0)),"Cause inconnue",IF(H1225="","Cause à compléter dans Paramètres",IF(OR(NOT(ISNUMBER(E1225)),N(E1225)&lt;=0,N(E1225)&gt;1440),"Durée invalide",IF(COUNTIFS(sj_date,A1225,sj_eq,B1225,sj_po,C1225)=0,"Pas de saisie journalière ce jour-là","OK")))))))))))</f>
        <v/>
      </c>
      <c r="J1225">
        <f>IF(OR(I1225="OK",I1225="Pas de saisie journalière ce jour-là"),E1225,0)</f>
        <v>0.0</v>
      </c>
      <c r="K1225">
        <f>IF(AND(J1225&gt;0,A1225&gt;=p_from,A1225&lt;=p_to),1,0)</f>
        <v>0.0</v>
      </c>
      <c r="L1225">
        <f>IF(AND(K1225=1,OR(pa_po="",C1225=pa_po),OR(pa_eq="",B1225=pa_eq)),1,0)</f>
        <v>0.0</v>
      </c>
    </row>
    <row r="1226">
      <c r="A1226" s="51" t="n"/>
      <c r="B1226" s="52" t="n"/>
      <c r="C1226" s="52" t="n"/>
      <c r="D1226" s="53" t="n"/>
      <c r="E1226" s="60" t="n"/>
      <c r="F1226" s="53" t="n"/>
      <c r="G1226" s="61" t="str">
        <f>IF(OR(COUNTA(A1226:E1226)=0,D1226=""),"",IFERROR(INDEX(ca_fam,MATCH(D1226,ca_name,0))&amp;"",""))</f>
        <v/>
      </c>
      <c r="H1226" s="58" t="str">
        <f>IF(OR(COUNTA(A1226:E1226)=0,D1226=""),"",IFERROR(INDEX(ca_type,MATCH(D1226,ca_name,0))&amp;"",""))</f>
        <v/>
      </c>
      <c r="I1226" s="58" t="str">
        <f>IF(COUNTA(A1226:E1226)=0,"",IF(N(A1226)&lt;=0,"Date manquante ou invalide",IF(B1226="","Équipe manquante",IF(ISNA(MATCH(B1226,eq_code,0)),"Équipe inconnue",IF(C1226="","Poste manquant",IF(ISNA(MATCH(C1226,po_code,0)),"Poste inconnu",IF(D1226="","Cause manquante",IF(ISNA(MATCH(D1226,ca_name,0)),"Cause inconnue",IF(H1226="","Cause à compléter dans Paramètres",IF(OR(NOT(ISNUMBER(E1226)),N(E1226)&lt;=0,N(E1226)&gt;1440),"Durée invalide",IF(COUNTIFS(sj_date,A1226,sj_eq,B1226,sj_po,C1226)=0,"Pas de saisie journalière ce jour-là","OK")))))))))))</f>
        <v/>
      </c>
      <c r="J1226">
        <f>IF(OR(I1226="OK",I1226="Pas de saisie journalière ce jour-là"),E1226,0)</f>
        <v>0.0</v>
      </c>
      <c r="K1226">
        <f>IF(AND(J1226&gt;0,A1226&gt;=p_from,A1226&lt;=p_to),1,0)</f>
        <v>0.0</v>
      </c>
      <c r="L1226">
        <f>IF(AND(K1226=1,OR(pa_po="",C1226=pa_po),OR(pa_eq="",B1226=pa_eq)),1,0)</f>
        <v>0.0</v>
      </c>
    </row>
    <row r="1227">
      <c r="A1227" s="51" t="n"/>
      <c r="B1227" s="52" t="n"/>
      <c r="C1227" s="52" t="n"/>
      <c r="D1227" s="53" t="n"/>
      <c r="E1227" s="60" t="n"/>
      <c r="F1227" s="53" t="n"/>
      <c r="G1227" s="61" t="str">
        <f>IF(OR(COUNTA(A1227:E1227)=0,D1227=""),"",IFERROR(INDEX(ca_fam,MATCH(D1227,ca_name,0))&amp;"",""))</f>
        <v/>
      </c>
      <c r="H1227" s="58" t="str">
        <f>IF(OR(COUNTA(A1227:E1227)=0,D1227=""),"",IFERROR(INDEX(ca_type,MATCH(D1227,ca_name,0))&amp;"",""))</f>
        <v/>
      </c>
      <c r="I1227" s="58" t="str">
        <f>IF(COUNTA(A1227:E1227)=0,"",IF(N(A1227)&lt;=0,"Date manquante ou invalide",IF(B1227="","Équipe manquante",IF(ISNA(MATCH(B1227,eq_code,0)),"Équipe inconnue",IF(C1227="","Poste manquant",IF(ISNA(MATCH(C1227,po_code,0)),"Poste inconnu",IF(D1227="","Cause manquante",IF(ISNA(MATCH(D1227,ca_name,0)),"Cause inconnue",IF(H1227="","Cause à compléter dans Paramètres",IF(OR(NOT(ISNUMBER(E1227)),N(E1227)&lt;=0,N(E1227)&gt;1440),"Durée invalide",IF(COUNTIFS(sj_date,A1227,sj_eq,B1227,sj_po,C1227)=0,"Pas de saisie journalière ce jour-là","OK")))))))))))</f>
        <v/>
      </c>
      <c r="J1227">
        <f>IF(OR(I1227="OK",I1227="Pas de saisie journalière ce jour-là"),E1227,0)</f>
        <v>0.0</v>
      </c>
      <c r="K1227">
        <f>IF(AND(J1227&gt;0,A1227&gt;=p_from,A1227&lt;=p_to),1,0)</f>
        <v>0.0</v>
      </c>
      <c r="L1227">
        <f>IF(AND(K1227=1,OR(pa_po="",C1227=pa_po),OR(pa_eq="",B1227=pa_eq)),1,0)</f>
        <v>0.0</v>
      </c>
    </row>
    <row r="1228">
      <c r="A1228" s="51" t="n"/>
      <c r="B1228" s="52" t="n"/>
      <c r="C1228" s="52" t="n"/>
      <c r="D1228" s="53" t="n"/>
      <c r="E1228" s="60" t="n"/>
      <c r="F1228" s="53" t="n"/>
      <c r="G1228" s="61" t="str">
        <f>IF(OR(COUNTA(A1228:E1228)=0,D1228=""),"",IFERROR(INDEX(ca_fam,MATCH(D1228,ca_name,0))&amp;"",""))</f>
        <v/>
      </c>
      <c r="H1228" s="58" t="str">
        <f>IF(OR(COUNTA(A1228:E1228)=0,D1228=""),"",IFERROR(INDEX(ca_type,MATCH(D1228,ca_name,0))&amp;"",""))</f>
        <v/>
      </c>
      <c r="I1228" s="58" t="str">
        <f>IF(COUNTA(A1228:E1228)=0,"",IF(N(A1228)&lt;=0,"Date manquante ou invalide",IF(B1228="","Équipe manquante",IF(ISNA(MATCH(B1228,eq_code,0)),"Équipe inconnue",IF(C1228="","Poste manquant",IF(ISNA(MATCH(C1228,po_code,0)),"Poste inconnu",IF(D1228="","Cause manquante",IF(ISNA(MATCH(D1228,ca_name,0)),"Cause inconnue",IF(H1228="","Cause à compléter dans Paramètres",IF(OR(NOT(ISNUMBER(E1228)),N(E1228)&lt;=0,N(E1228)&gt;1440),"Durée invalide",IF(COUNTIFS(sj_date,A1228,sj_eq,B1228,sj_po,C1228)=0,"Pas de saisie journalière ce jour-là","OK")))))))))))</f>
        <v/>
      </c>
      <c r="J1228">
        <f>IF(OR(I1228="OK",I1228="Pas de saisie journalière ce jour-là"),E1228,0)</f>
        <v>0.0</v>
      </c>
      <c r="K1228">
        <f>IF(AND(J1228&gt;0,A1228&gt;=p_from,A1228&lt;=p_to),1,0)</f>
        <v>0.0</v>
      </c>
      <c r="L1228">
        <f>IF(AND(K1228=1,OR(pa_po="",C1228=pa_po),OR(pa_eq="",B1228=pa_eq)),1,0)</f>
        <v>0.0</v>
      </c>
    </row>
    <row r="1229">
      <c r="A1229" s="51" t="n"/>
      <c r="B1229" s="52" t="n"/>
      <c r="C1229" s="52" t="n"/>
      <c r="D1229" s="53" t="n"/>
      <c r="E1229" s="60" t="n"/>
      <c r="F1229" s="53" t="n"/>
      <c r="G1229" s="61" t="str">
        <f>IF(OR(COUNTA(A1229:E1229)=0,D1229=""),"",IFERROR(INDEX(ca_fam,MATCH(D1229,ca_name,0))&amp;"",""))</f>
        <v/>
      </c>
      <c r="H1229" s="58" t="str">
        <f>IF(OR(COUNTA(A1229:E1229)=0,D1229=""),"",IFERROR(INDEX(ca_type,MATCH(D1229,ca_name,0))&amp;"",""))</f>
        <v/>
      </c>
      <c r="I1229" s="58" t="str">
        <f>IF(COUNTA(A1229:E1229)=0,"",IF(N(A1229)&lt;=0,"Date manquante ou invalide",IF(B1229="","Équipe manquante",IF(ISNA(MATCH(B1229,eq_code,0)),"Équipe inconnue",IF(C1229="","Poste manquant",IF(ISNA(MATCH(C1229,po_code,0)),"Poste inconnu",IF(D1229="","Cause manquante",IF(ISNA(MATCH(D1229,ca_name,0)),"Cause inconnue",IF(H1229="","Cause à compléter dans Paramètres",IF(OR(NOT(ISNUMBER(E1229)),N(E1229)&lt;=0,N(E1229)&gt;1440),"Durée invalide",IF(COUNTIFS(sj_date,A1229,sj_eq,B1229,sj_po,C1229)=0,"Pas de saisie journalière ce jour-là","OK")))))))))))</f>
        <v/>
      </c>
      <c r="J1229">
        <f>IF(OR(I1229="OK",I1229="Pas de saisie journalière ce jour-là"),E1229,0)</f>
        <v>0.0</v>
      </c>
      <c r="K1229">
        <f>IF(AND(J1229&gt;0,A1229&gt;=p_from,A1229&lt;=p_to),1,0)</f>
        <v>0.0</v>
      </c>
      <c r="L1229">
        <f>IF(AND(K1229=1,OR(pa_po="",C1229=pa_po),OR(pa_eq="",B1229=pa_eq)),1,0)</f>
        <v>0.0</v>
      </c>
    </row>
    <row r="1230">
      <c r="A1230" s="51" t="n"/>
      <c r="B1230" s="52" t="n"/>
      <c r="C1230" s="52" t="n"/>
      <c r="D1230" s="53" t="n"/>
      <c r="E1230" s="60" t="n"/>
      <c r="F1230" s="53" t="n"/>
      <c r="G1230" s="61" t="str">
        <f>IF(OR(COUNTA(A1230:E1230)=0,D1230=""),"",IFERROR(INDEX(ca_fam,MATCH(D1230,ca_name,0))&amp;"",""))</f>
        <v/>
      </c>
      <c r="H1230" s="58" t="str">
        <f>IF(OR(COUNTA(A1230:E1230)=0,D1230=""),"",IFERROR(INDEX(ca_type,MATCH(D1230,ca_name,0))&amp;"",""))</f>
        <v/>
      </c>
      <c r="I1230" s="58" t="str">
        <f>IF(COUNTA(A1230:E1230)=0,"",IF(N(A1230)&lt;=0,"Date manquante ou invalide",IF(B1230="","Équipe manquante",IF(ISNA(MATCH(B1230,eq_code,0)),"Équipe inconnue",IF(C1230="","Poste manquant",IF(ISNA(MATCH(C1230,po_code,0)),"Poste inconnu",IF(D1230="","Cause manquante",IF(ISNA(MATCH(D1230,ca_name,0)),"Cause inconnue",IF(H1230="","Cause à compléter dans Paramètres",IF(OR(NOT(ISNUMBER(E1230)),N(E1230)&lt;=0,N(E1230)&gt;1440),"Durée invalide",IF(COUNTIFS(sj_date,A1230,sj_eq,B1230,sj_po,C1230)=0,"Pas de saisie journalière ce jour-là","OK")))))))))))</f>
        <v/>
      </c>
      <c r="J1230">
        <f>IF(OR(I1230="OK",I1230="Pas de saisie journalière ce jour-là"),E1230,0)</f>
        <v>0.0</v>
      </c>
      <c r="K1230">
        <f>IF(AND(J1230&gt;0,A1230&gt;=p_from,A1230&lt;=p_to),1,0)</f>
        <v>0.0</v>
      </c>
      <c r="L1230">
        <f>IF(AND(K1230=1,OR(pa_po="",C1230=pa_po),OR(pa_eq="",B1230=pa_eq)),1,0)</f>
        <v>0.0</v>
      </c>
    </row>
    <row r="1231">
      <c r="A1231" s="51" t="n"/>
      <c r="B1231" s="52" t="n"/>
      <c r="C1231" s="52" t="n"/>
      <c r="D1231" s="53" t="n"/>
      <c r="E1231" s="60" t="n"/>
      <c r="F1231" s="53" t="n"/>
      <c r="G1231" s="61" t="str">
        <f>IF(OR(COUNTA(A1231:E1231)=0,D1231=""),"",IFERROR(INDEX(ca_fam,MATCH(D1231,ca_name,0))&amp;"",""))</f>
        <v/>
      </c>
      <c r="H1231" s="58" t="str">
        <f>IF(OR(COUNTA(A1231:E1231)=0,D1231=""),"",IFERROR(INDEX(ca_type,MATCH(D1231,ca_name,0))&amp;"",""))</f>
        <v/>
      </c>
      <c r="I1231" s="58" t="str">
        <f>IF(COUNTA(A1231:E1231)=0,"",IF(N(A1231)&lt;=0,"Date manquante ou invalide",IF(B1231="","Équipe manquante",IF(ISNA(MATCH(B1231,eq_code,0)),"Équipe inconnue",IF(C1231="","Poste manquant",IF(ISNA(MATCH(C1231,po_code,0)),"Poste inconnu",IF(D1231="","Cause manquante",IF(ISNA(MATCH(D1231,ca_name,0)),"Cause inconnue",IF(H1231="","Cause à compléter dans Paramètres",IF(OR(NOT(ISNUMBER(E1231)),N(E1231)&lt;=0,N(E1231)&gt;1440),"Durée invalide",IF(COUNTIFS(sj_date,A1231,sj_eq,B1231,sj_po,C1231)=0,"Pas de saisie journalière ce jour-là","OK")))))))))))</f>
        <v/>
      </c>
      <c r="J1231">
        <f>IF(OR(I1231="OK",I1231="Pas de saisie journalière ce jour-là"),E1231,0)</f>
        <v>0.0</v>
      </c>
      <c r="K1231">
        <f>IF(AND(J1231&gt;0,A1231&gt;=p_from,A1231&lt;=p_to),1,0)</f>
        <v>0.0</v>
      </c>
      <c r="L1231">
        <f>IF(AND(K1231=1,OR(pa_po="",C1231=pa_po),OR(pa_eq="",B1231=pa_eq)),1,0)</f>
        <v>0.0</v>
      </c>
    </row>
    <row r="1232">
      <c r="A1232" s="51" t="n"/>
      <c r="B1232" s="52" t="n"/>
      <c r="C1232" s="52" t="n"/>
      <c r="D1232" s="53" t="n"/>
      <c r="E1232" s="60" t="n"/>
      <c r="F1232" s="53" t="n"/>
      <c r="G1232" s="61" t="str">
        <f>IF(OR(COUNTA(A1232:E1232)=0,D1232=""),"",IFERROR(INDEX(ca_fam,MATCH(D1232,ca_name,0))&amp;"",""))</f>
        <v/>
      </c>
      <c r="H1232" s="58" t="str">
        <f>IF(OR(COUNTA(A1232:E1232)=0,D1232=""),"",IFERROR(INDEX(ca_type,MATCH(D1232,ca_name,0))&amp;"",""))</f>
        <v/>
      </c>
      <c r="I1232" s="58" t="str">
        <f>IF(COUNTA(A1232:E1232)=0,"",IF(N(A1232)&lt;=0,"Date manquante ou invalide",IF(B1232="","Équipe manquante",IF(ISNA(MATCH(B1232,eq_code,0)),"Équipe inconnue",IF(C1232="","Poste manquant",IF(ISNA(MATCH(C1232,po_code,0)),"Poste inconnu",IF(D1232="","Cause manquante",IF(ISNA(MATCH(D1232,ca_name,0)),"Cause inconnue",IF(H1232="","Cause à compléter dans Paramètres",IF(OR(NOT(ISNUMBER(E1232)),N(E1232)&lt;=0,N(E1232)&gt;1440),"Durée invalide",IF(COUNTIFS(sj_date,A1232,sj_eq,B1232,sj_po,C1232)=0,"Pas de saisie journalière ce jour-là","OK")))))))))))</f>
        <v/>
      </c>
      <c r="J1232">
        <f>IF(OR(I1232="OK",I1232="Pas de saisie journalière ce jour-là"),E1232,0)</f>
        <v>0.0</v>
      </c>
      <c r="K1232">
        <f>IF(AND(J1232&gt;0,A1232&gt;=p_from,A1232&lt;=p_to),1,0)</f>
        <v>0.0</v>
      </c>
      <c r="L1232">
        <f>IF(AND(K1232=1,OR(pa_po="",C1232=pa_po),OR(pa_eq="",B1232=pa_eq)),1,0)</f>
        <v>0.0</v>
      </c>
    </row>
    <row r="1233">
      <c r="A1233" s="51" t="n"/>
      <c r="B1233" s="52" t="n"/>
      <c r="C1233" s="52" t="n"/>
      <c r="D1233" s="53" t="n"/>
      <c r="E1233" s="60" t="n"/>
      <c r="F1233" s="53" t="n"/>
      <c r="G1233" s="61" t="str">
        <f>IF(OR(COUNTA(A1233:E1233)=0,D1233=""),"",IFERROR(INDEX(ca_fam,MATCH(D1233,ca_name,0))&amp;"",""))</f>
        <v/>
      </c>
      <c r="H1233" s="58" t="str">
        <f>IF(OR(COUNTA(A1233:E1233)=0,D1233=""),"",IFERROR(INDEX(ca_type,MATCH(D1233,ca_name,0))&amp;"",""))</f>
        <v/>
      </c>
      <c r="I1233" s="58" t="str">
        <f>IF(COUNTA(A1233:E1233)=0,"",IF(N(A1233)&lt;=0,"Date manquante ou invalide",IF(B1233="","Équipe manquante",IF(ISNA(MATCH(B1233,eq_code,0)),"Équipe inconnue",IF(C1233="","Poste manquant",IF(ISNA(MATCH(C1233,po_code,0)),"Poste inconnu",IF(D1233="","Cause manquante",IF(ISNA(MATCH(D1233,ca_name,0)),"Cause inconnue",IF(H1233="","Cause à compléter dans Paramètres",IF(OR(NOT(ISNUMBER(E1233)),N(E1233)&lt;=0,N(E1233)&gt;1440),"Durée invalide",IF(COUNTIFS(sj_date,A1233,sj_eq,B1233,sj_po,C1233)=0,"Pas de saisie journalière ce jour-là","OK")))))))))))</f>
        <v/>
      </c>
      <c r="J1233">
        <f>IF(OR(I1233="OK",I1233="Pas de saisie journalière ce jour-là"),E1233,0)</f>
        <v>0.0</v>
      </c>
      <c r="K1233">
        <f>IF(AND(J1233&gt;0,A1233&gt;=p_from,A1233&lt;=p_to),1,0)</f>
        <v>0.0</v>
      </c>
      <c r="L1233">
        <f>IF(AND(K1233=1,OR(pa_po="",C1233=pa_po),OR(pa_eq="",B1233=pa_eq)),1,0)</f>
        <v>0.0</v>
      </c>
    </row>
    <row r="1234">
      <c r="A1234" s="51" t="n"/>
      <c r="B1234" s="52" t="n"/>
      <c r="C1234" s="52" t="n"/>
      <c r="D1234" s="53" t="n"/>
      <c r="E1234" s="60" t="n"/>
      <c r="F1234" s="53" t="n"/>
      <c r="G1234" s="61" t="str">
        <f>IF(OR(COUNTA(A1234:E1234)=0,D1234=""),"",IFERROR(INDEX(ca_fam,MATCH(D1234,ca_name,0))&amp;"",""))</f>
        <v/>
      </c>
      <c r="H1234" s="58" t="str">
        <f>IF(OR(COUNTA(A1234:E1234)=0,D1234=""),"",IFERROR(INDEX(ca_type,MATCH(D1234,ca_name,0))&amp;"",""))</f>
        <v/>
      </c>
      <c r="I1234" s="58" t="str">
        <f>IF(COUNTA(A1234:E1234)=0,"",IF(N(A1234)&lt;=0,"Date manquante ou invalide",IF(B1234="","Équipe manquante",IF(ISNA(MATCH(B1234,eq_code,0)),"Équipe inconnue",IF(C1234="","Poste manquant",IF(ISNA(MATCH(C1234,po_code,0)),"Poste inconnu",IF(D1234="","Cause manquante",IF(ISNA(MATCH(D1234,ca_name,0)),"Cause inconnue",IF(H1234="","Cause à compléter dans Paramètres",IF(OR(NOT(ISNUMBER(E1234)),N(E1234)&lt;=0,N(E1234)&gt;1440),"Durée invalide",IF(COUNTIFS(sj_date,A1234,sj_eq,B1234,sj_po,C1234)=0,"Pas de saisie journalière ce jour-là","OK")))))))))))</f>
        <v/>
      </c>
      <c r="J1234">
        <f>IF(OR(I1234="OK",I1234="Pas de saisie journalière ce jour-là"),E1234,0)</f>
        <v>0.0</v>
      </c>
      <c r="K1234">
        <f>IF(AND(J1234&gt;0,A1234&gt;=p_from,A1234&lt;=p_to),1,0)</f>
        <v>0.0</v>
      </c>
      <c r="L1234">
        <f>IF(AND(K1234=1,OR(pa_po="",C1234=pa_po),OR(pa_eq="",B1234=pa_eq)),1,0)</f>
        <v>0.0</v>
      </c>
    </row>
    <row r="1235">
      <c r="A1235" s="51" t="n"/>
      <c r="B1235" s="52" t="n"/>
      <c r="C1235" s="52" t="n"/>
      <c r="D1235" s="53" t="n"/>
      <c r="E1235" s="60" t="n"/>
      <c r="F1235" s="53" t="n"/>
      <c r="G1235" s="61" t="str">
        <f>IF(OR(COUNTA(A1235:E1235)=0,D1235=""),"",IFERROR(INDEX(ca_fam,MATCH(D1235,ca_name,0))&amp;"",""))</f>
        <v/>
      </c>
      <c r="H1235" s="58" t="str">
        <f>IF(OR(COUNTA(A1235:E1235)=0,D1235=""),"",IFERROR(INDEX(ca_type,MATCH(D1235,ca_name,0))&amp;"",""))</f>
        <v/>
      </c>
      <c r="I1235" s="58" t="str">
        <f>IF(COUNTA(A1235:E1235)=0,"",IF(N(A1235)&lt;=0,"Date manquante ou invalide",IF(B1235="","Équipe manquante",IF(ISNA(MATCH(B1235,eq_code,0)),"Équipe inconnue",IF(C1235="","Poste manquant",IF(ISNA(MATCH(C1235,po_code,0)),"Poste inconnu",IF(D1235="","Cause manquante",IF(ISNA(MATCH(D1235,ca_name,0)),"Cause inconnue",IF(H1235="","Cause à compléter dans Paramètres",IF(OR(NOT(ISNUMBER(E1235)),N(E1235)&lt;=0,N(E1235)&gt;1440),"Durée invalide",IF(COUNTIFS(sj_date,A1235,sj_eq,B1235,sj_po,C1235)=0,"Pas de saisie journalière ce jour-là","OK")))))))))))</f>
        <v/>
      </c>
      <c r="J1235">
        <f>IF(OR(I1235="OK",I1235="Pas de saisie journalière ce jour-là"),E1235,0)</f>
        <v>0.0</v>
      </c>
      <c r="K1235">
        <f>IF(AND(J1235&gt;0,A1235&gt;=p_from,A1235&lt;=p_to),1,0)</f>
        <v>0.0</v>
      </c>
      <c r="L1235">
        <f>IF(AND(K1235=1,OR(pa_po="",C1235=pa_po),OR(pa_eq="",B1235=pa_eq)),1,0)</f>
        <v>0.0</v>
      </c>
    </row>
    <row r="1236">
      <c r="A1236" s="51" t="n"/>
      <c r="B1236" s="52" t="n"/>
      <c r="C1236" s="52" t="n"/>
      <c r="D1236" s="53" t="n"/>
      <c r="E1236" s="60" t="n"/>
      <c r="F1236" s="53" t="n"/>
      <c r="G1236" s="61" t="str">
        <f>IF(OR(COUNTA(A1236:E1236)=0,D1236=""),"",IFERROR(INDEX(ca_fam,MATCH(D1236,ca_name,0))&amp;"",""))</f>
        <v/>
      </c>
      <c r="H1236" s="58" t="str">
        <f>IF(OR(COUNTA(A1236:E1236)=0,D1236=""),"",IFERROR(INDEX(ca_type,MATCH(D1236,ca_name,0))&amp;"",""))</f>
        <v/>
      </c>
      <c r="I1236" s="58" t="str">
        <f>IF(COUNTA(A1236:E1236)=0,"",IF(N(A1236)&lt;=0,"Date manquante ou invalide",IF(B1236="","Équipe manquante",IF(ISNA(MATCH(B1236,eq_code,0)),"Équipe inconnue",IF(C1236="","Poste manquant",IF(ISNA(MATCH(C1236,po_code,0)),"Poste inconnu",IF(D1236="","Cause manquante",IF(ISNA(MATCH(D1236,ca_name,0)),"Cause inconnue",IF(H1236="","Cause à compléter dans Paramètres",IF(OR(NOT(ISNUMBER(E1236)),N(E1236)&lt;=0,N(E1236)&gt;1440),"Durée invalide",IF(COUNTIFS(sj_date,A1236,sj_eq,B1236,sj_po,C1236)=0,"Pas de saisie journalière ce jour-là","OK")))))))))))</f>
        <v/>
      </c>
      <c r="J1236">
        <f>IF(OR(I1236="OK",I1236="Pas de saisie journalière ce jour-là"),E1236,0)</f>
        <v>0.0</v>
      </c>
      <c r="K1236">
        <f>IF(AND(J1236&gt;0,A1236&gt;=p_from,A1236&lt;=p_to),1,0)</f>
        <v>0.0</v>
      </c>
      <c r="L1236">
        <f>IF(AND(K1236=1,OR(pa_po="",C1236=pa_po),OR(pa_eq="",B1236=pa_eq)),1,0)</f>
        <v>0.0</v>
      </c>
    </row>
    <row r="1237">
      <c r="A1237" s="51" t="n"/>
      <c r="B1237" s="52" t="n"/>
      <c r="C1237" s="52" t="n"/>
      <c r="D1237" s="53" t="n"/>
      <c r="E1237" s="60" t="n"/>
      <c r="F1237" s="53" t="n"/>
      <c r="G1237" s="61" t="str">
        <f>IF(OR(COUNTA(A1237:E1237)=0,D1237=""),"",IFERROR(INDEX(ca_fam,MATCH(D1237,ca_name,0))&amp;"",""))</f>
        <v/>
      </c>
      <c r="H1237" s="58" t="str">
        <f>IF(OR(COUNTA(A1237:E1237)=0,D1237=""),"",IFERROR(INDEX(ca_type,MATCH(D1237,ca_name,0))&amp;"",""))</f>
        <v/>
      </c>
      <c r="I1237" s="58" t="str">
        <f>IF(COUNTA(A1237:E1237)=0,"",IF(N(A1237)&lt;=0,"Date manquante ou invalide",IF(B1237="","Équipe manquante",IF(ISNA(MATCH(B1237,eq_code,0)),"Équipe inconnue",IF(C1237="","Poste manquant",IF(ISNA(MATCH(C1237,po_code,0)),"Poste inconnu",IF(D1237="","Cause manquante",IF(ISNA(MATCH(D1237,ca_name,0)),"Cause inconnue",IF(H1237="","Cause à compléter dans Paramètres",IF(OR(NOT(ISNUMBER(E1237)),N(E1237)&lt;=0,N(E1237)&gt;1440),"Durée invalide",IF(COUNTIFS(sj_date,A1237,sj_eq,B1237,sj_po,C1237)=0,"Pas de saisie journalière ce jour-là","OK")))))))))))</f>
        <v/>
      </c>
      <c r="J1237">
        <f>IF(OR(I1237="OK",I1237="Pas de saisie journalière ce jour-là"),E1237,0)</f>
        <v>0.0</v>
      </c>
      <c r="K1237">
        <f>IF(AND(J1237&gt;0,A1237&gt;=p_from,A1237&lt;=p_to),1,0)</f>
        <v>0.0</v>
      </c>
      <c r="L1237">
        <f>IF(AND(K1237=1,OR(pa_po="",C1237=pa_po),OR(pa_eq="",B1237=pa_eq)),1,0)</f>
        <v>0.0</v>
      </c>
    </row>
    <row r="1238">
      <c r="A1238" s="51" t="n"/>
      <c r="B1238" s="52" t="n"/>
      <c r="C1238" s="52" t="n"/>
      <c r="D1238" s="53" t="n"/>
      <c r="E1238" s="60" t="n"/>
      <c r="F1238" s="53" t="n"/>
      <c r="G1238" s="61" t="str">
        <f>IF(OR(COUNTA(A1238:E1238)=0,D1238=""),"",IFERROR(INDEX(ca_fam,MATCH(D1238,ca_name,0))&amp;"",""))</f>
        <v/>
      </c>
      <c r="H1238" s="58" t="str">
        <f>IF(OR(COUNTA(A1238:E1238)=0,D1238=""),"",IFERROR(INDEX(ca_type,MATCH(D1238,ca_name,0))&amp;"",""))</f>
        <v/>
      </c>
      <c r="I1238" s="58" t="str">
        <f>IF(COUNTA(A1238:E1238)=0,"",IF(N(A1238)&lt;=0,"Date manquante ou invalide",IF(B1238="","Équipe manquante",IF(ISNA(MATCH(B1238,eq_code,0)),"Équipe inconnue",IF(C1238="","Poste manquant",IF(ISNA(MATCH(C1238,po_code,0)),"Poste inconnu",IF(D1238="","Cause manquante",IF(ISNA(MATCH(D1238,ca_name,0)),"Cause inconnue",IF(H1238="","Cause à compléter dans Paramètres",IF(OR(NOT(ISNUMBER(E1238)),N(E1238)&lt;=0,N(E1238)&gt;1440),"Durée invalide",IF(COUNTIFS(sj_date,A1238,sj_eq,B1238,sj_po,C1238)=0,"Pas de saisie journalière ce jour-là","OK")))))))))))</f>
        <v/>
      </c>
      <c r="J1238">
        <f>IF(OR(I1238="OK",I1238="Pas de saisie journalière ce jour-là"),E1238,0)</f>
        <v>0.0</v>
      </c>
      <c r="K1238">
        <f>IF(AND(J1238&gt;0,A1238&gt;=p_from,A1238&lt;=p_to),1,0)</f>
        <v>0.0</v>
      </c>
      <c r="L1238">
        <f>IF(AND(K1238=1,OR(pa_po="",C1238=pa_po),OR(pa_eq="",B1238=pa_eq)),1,0)</f>
        <v>0.0</v>
      </c>
    </row>
    <row r="1239">
      <c r="A1239" s="51" t="n"/>
      <c r="B1239" s="52" t="n"/>
      <c r="C1239" s="52" t="n"/>
      <c r="D1239" s="53" t="n"/>
      <c r="E1239" s="60" t="n"/>
      <c r="F1239" s="53" t="n"/>
      <c r="G1239" s="61" t="str">
        <f>IF(OR(COUNTA(A1239:E1239)=0,D1239=""),"",IFERROR(INDEX(ca_fam,MATCH(D1239,ca_name,0))&amp;"",""))</f>
        <v/>
      </c>
      <c r="H1239" s="58" t="str">
        <f>IF(OR(COUNTA(A1239:E1239)=0,D1239=""),"",IFERROR(INDEX(ca_type,MATCH(D1239,ca_name,0))&amp;"",""))</f>
        <v/>
      </c>
      <c r="I1239" s="58" t="str">
        <f>IF(COUNTA(A1239:E1239)=0,"",IF(N(A1239)&lt;=0,"Date manquante ou invalide",IF(B1239="","Équipe manquante",IF(ISNA(MATCH(B1239,eq_code,0)),"Équipe inconnue",IF(C1239="","Poste manquant",IF(ISNA(MATCH(C1239,po_code,0)),"Poste inconnu",IF(D1239="","Cause manquante",IF(ISNA(MATCH(D1239,ca_name,0)),"Cause inconnue",IF(H1239="","Cause à compléter dans Paramètres",IF(OR(NOT(ISNUMBER(E1239)),N(E1239)&lt;=0,N(E1239)&gt;1440),"Durée invalide",IF(COUNTIFS(sj_date,A1239,sj_eq,B1239,sj_po,C1239)=0,"Pas de saisie journalière ce jour-là","OK")))))))))))</f>
        <v/>
      </c>
      <c r="J1239">
        <f>IF(OR(I1239="OK",I1239="Pas de saisie journalière ce jour-là"),E1239,0)</f>
        <v>0.0</v>
      </c>
      <c r="K1239">
        <f>IF(AND(J1239&gt;0,A1239&gt;=p_from,A1239&lt;=p_to),1,0)</f>
        <v>0.0</v>
      </c>
      <c r="L1239">
        <f>IF(AND(K1239=1,OR(pa_po="",C1239=pa_po),OR(pa_eq="",B1239=pa_eq)),1,0)</f>
        <v>0.0</v>
      </c>
    </row>
    <row r="1240">
      <c r="A1240" s="51" t="n"/>
      <c r="B1240" s="52" t="n"/>
      <c r="C1240" s="52" t="n"/>
      <c r="D1240" s="53" t="n"/>
      <c r="E1240" s="60" t="n"/>
      <c r="F1240" s="53" t="n"/>
      <c r="G1240" s="61" t="str">
        <f>IF(OR(COUNTA(A1240:E1240)=0,D1240=""),"",IFERROR(INDEX(ca_fam,MATCH(D1240,ca_name,0))&amp;"",""))</f>
        <v/>
      </c>
      <c r="H1240" s="58" t="str">
        <f>IF(OR(COUNTA(A1240:E1240)=0,D1240=""),"",IFERROR(INDEX(ca_type,MATCH(D1240,ca_name,0))&amp;"",""))</f>
        <v/>
      </c>
      <c r="I1240" s="58" t="str">
        <f>IF(COUNTA(A1240:E1240)=0,"",IF(N(A1240)&lt;=0,"Date manquante ou invalide",IF(B1240="","Équipe manquante",IF(ISNA(MATCH(B1240,eq_code,0)),"Équipe inconnue",IF(C1240="","Poste manquant",IF(ISNA(MATCH(C1240,po_code,0)),"Poste inconnu",IF(D1240="","Cause manquante",IF(ISNA(MATCH(D1240,ca_name,0)),"Cause inconnue",IF(H1240="","Cause à compléter dans Paramètres",IF(OR(NOT(ISNUMBER(E1240)),N(E1240)&lt;=0,N(E1240)&gt;1440),"Durée invalide",IF(COUNTIFS(sj_date,A1240,sj_eq,B1240,sj_po,C1240)=0,"Pas de saisie journalière ce jour-là","OK")))))))))))</f>
        <v/>
      </c>
      <c r="J1240">
        <f>IF(OR(I1240="OK",I1240="Pas de saisie journalière ce jour-là"),E1240,0)</f>
        <v>0.0</v>
      </c>
      <c r="K1240">
        <f>IF(AND(J1240&gt;0,A1240&gt;=p_from,A1240&lt;=p_to),1,0)</f>
        <v>0.0</v>
      </c>
      <c r="L1240">
        <f>IF(AND(K1240=1,OR(pa_po="",C1240=pa_po),OR(pa_eq="",B1240=pa_eq)),1,0)</f>
        <v>0.0</v>
      </c>
    </row>
    <row r="1241">
      <c r="A1241" s="51" t="n"/>
      <c r="B1241" s="52" t="n"/>
      <c r="C1241" s="52" t="n"/>
      <c r="D1241" s="53" t="n"/>
      <c r="E1241" s="60" t="n"/>
      <c r="F1241" s="53" t="n"/>
      <c r="G1241" s="61" t="str">
        <f>IF(OR(COUNTA(A1241:E1241)=0,D1241=""),"",IFERROR(INDEX(ca_fam,MATCH(D1241,ca_name,0))&amp;"",""))</f>
        <v/>
      </c>
      <c r="H1241" s="58" t="str">
        <f>IF(OR(COUNTA(A1241:E1241)=0,D1241=""),"",IFERROR(INDEX(ca_type,MATCH(D1241,ca_name,0))&amp;"",""))</f>
        <v/>
      </c>
      <c r="I1241" s="58" t="str">
        <f>IF(COUNTA(A1241:E1241)=0,"",IF(N(A1241)&lt;=0,"Date manquante ou invalide",IF(B1241="","Équipe manquante",IF(ISNA(MATCH(B1241,eq_code,0)),"Équipe inconnue",IF(C1241="","Poste manquant",IF(ISNA(MATCH(C1241,po_code,0)),"Poste inconnu",IF(D1241="","Cause manquante",IF(ISNA(MATCH(D1241,ca_name,0)),"Cause inconnue",IF(H1241="","Cause à compléter dans Paramètres",IF(OR(NOT(ISNUMBER(E1241)),N(E1241)&lt;=0,N(E1241)&gt;1440),"Durée invalide",IF(COUNTIFS(sj_date,A1241,sj_eq,B1241,sj_po,C1241)=0,"Pas de saisie journalière ce jour-là","OK")))))))))))</f>
        <v/>
      </c>
      <c r="J1241">
        <f>IF(OR(I1241="OK",I1241="Pas de saisie journalière ce jour-là"),E1241,0)</f>
        <v>0.0</v>
      </c>
      <c r="K1241">
        <f>IF(AND(J1241&gt;0,A1241&gt;=p_from,A1241&lt;=p_to),1,0)</f>
        <v>0.0</v>
      </c>
      <c r="L1241">
        <f>IF(AND(K1241=1,OR(pa_po="",C1241=pa_po),OR(pa_eq="",B1241=pa_eq)),1,0)</f>
        <v>0.0</v>
      </c>
    </row>
    <row r="1242">
      <c r="A1242" s="51" t="n"/>
      <c r="B1242" s="52" t="n"/>
      <c r="C1242" s="52" t="n"/>
      <c r="D1242" s="53" t="n"/>
      <c r="E1242" s="60" t="n"/>
      <c r="F1242" s="53" t="n"/>
      <c r="G1242" s="61" t="str">
        <f>IF(OR(COUNTA(A1242:E1242)=0,D1242=""),"",IFERROR(INDEX(ca_fam,MATCH(D1242,ca_name,0))&amp;"",""))</f>
        <v/>
      </c>
      <c r="H1242" s="58" t="str">
        <f>IF(OR(COUNTA(A1242:E1242)=0,D1242=""),"",IFERROR(INDEX(ca_type,MATCH(D1242,ca_name,0))&amp;"",""))</f>
        <v/>
      </c>
      <c r="I1242" s="58" t="str">
        <f>IF(COUNTA(A1242:E1242)=0,"",IF(N(A1242)&lt;=0,"Date manquante ou invalide",IF(B1242="","Équipe manquante",IF(ISNA(MATCH(B1242,eq_code,0)),"Équipe inconnue",IF(C1242="","Poste manquant",IF(ISNA(MATCH(C1242,po_code,0)),"Poste inconnu",IF(D1242="","Cause manquante",IF(ISNA(MATCH(D1242,ca_name,0)),"Cause inconnue",IF(H1242="","Cause à compléter dans Paramètres",IF(OR(NOT(ISNUMBER(E1242)),N(E1242)&lt;=0,N(E1242)&gt;1440),"Durée invalide",IF(COUNTIFS(sj_date,A1242,sj_eq,B1242,sj_po,C1242)=0,"Pas de saisie journalière ce jour-là","OK")))))))))))</f>
        <v/>
      </c>
      <c r="J1242">
        <f>IF(OR(I1242="OK",I1242="Pas de saisie journalière ce jour-là"),E1242,0)</f>
        <v>0.0</v>
      </c>
      <c r="K1242">
        <f>IF(AND(J1242&gt;0,A1242&gt;=p_from,A1242&lt;=p_to),1,0)</f>
        <v>0.0</v>
      </c>
      <c r="L1242">
        <f>IF(AND(K1242=1,OR(pa_po="",C1242=pa_po),OR(pa_eq="",B1242=pa_eq)),1,0)</f>
        <v>0.0</v>
      </c>
    </row>
    <row r="1243">
      <c r="A1243" s="51" t="n"/>
      <c r="B1243" s="52" t="n"/>
      <c r="C1243" s="52" t="n"/>
      <c r="D1243" s="53" t="n"/>
      <c r="E1243" s="60" t="n"/>
      <c r="F1243" s="53" t="n"/>
      <c r="G1243" s="61" t="str">
        <f>IF(OR(COUNTA(A1243:E1243)=0,D1243=""),"",IFERROR(INDEX(ca_fam,MATCH(D1243,ca_name,0))&amp;"",""))</f>
        <v/>
      </c>
      <c r="H1243" s="58" t="str">
        <f>IF(OR(COUNTA(A1243:E1243)=0,D1243=""),"",IFERROR(INDEX(ca_type,MATCH(D1243,ca_name,0))&amp;"",""))</f>
        <v/>
      </c>
      <c r="I1243" s="58" t="str">
        <f>IF(COUNTA(A1243:E1243)=0,"",IF(N(A1243)&lt;=0,"Date manquante ou invalide",IF(B1243="","Équipe manquante",IF(ISNA(MATCH(B1243,eq_code,0)),"Équipe inconnue",IF(C1243="","Poste manquant",IF(ISNA(MATCH(C1243,po_code,0)),"Poste inconnu",IF(D1243="","Cause manquante",IF(ISNA(MATCH(D1243,ca_name,0)),"Cause inconnue",IF(H1243="","Cause à compléter dans Paramètres",IF(OR(NOT(ISNUMBER(E1243)),N(E1243)&lt;=0,N(E1243)&gt;1440),"Durée invalide",IF(COUNTIFS(sj_date,A1243,sj_eq,B1243,sj_po,C1243)=0,"Pas de saisie journalière ce jour-là","OK")))))))))))</f>
        <v/>
      </c>
      <c r="J1243">
        <f>IF(OR(I1243="OK",I1243="Pas de saisie journalière ce jour-là"),E1243,0)</f>
        <v>0.0</v>
      </c>
      <c r="K1243">
        <f>IF(AND(J1243&gt;0,A1243&gt;=p_from,A1243&lt;=p_to),1,0)</f>
        <v>0.0</v>
      </c>
      <c r="L1243">
        <f>IF(AND(K1243=1,OR(pa_po="",C1243=pa_po),OR(pa_eq="",B1243=pa_eq)),1,0)</f>
        <v>0.0</v>
      </c>
    </row>
    <row r="1244">
      <c r="A1244" s="51" t="n"/>
      <c r="B1244" s="52" t="n"/>
      <c r="C1244" s="52" t="n"/>
      <c r="D1244" s="53" t="n"/>
      <c r="E1244" s="60" t="n"/>
      <c r="F1244" s="53" t="n"/>
      <c r="G1244" s="61" t="str">
        <f>IF(OR(COUNTA(A1244:E1244)=0,D1244=""),"",IFERROR(INDEX(ca_fam,MATCH(D1244,ca_name,0))&amp;"",""))</f>
        <v/>
      </c>
      <c r="H1244" s="58" t="str">
        <f>IF(OR(COUNTA(A1244:E1244)=0,D1244=""),"",IFERROR(INDEX(ca_type,MATCH(D1244,ca_name,0))&amp;"",""))</f>
        <v/>
      </c>
      <c r="I1244" s="58" t="str">
        <f>IF(COUNTA(A1244:E1244)=0,"",IF(N(A1244)&lt;=0,"Date manquante ou invalide",IF(B1244="","Équipe manquante",IF(ISNA(MATCH(B1244,eq_code,0)),"Équipe inconnue",IF(C1244="","Poste manquant",IF(ISNA(MATCH(C1244,po_code,0)),"Poste inconnu",IF(D1244="","Cause manquante",IF(ISNA(MATCH(D1244,ca_name,0)),"Cause inconnue",IF(H1244="","Cause à compléter dans Paramètres",IF(OR(NOT(ISNUMBER(E1244)),N(E1244)&lt;=0,N(E1244)&gt;1440),"Durée invalide",IF(COUNTIFS(sj_date,A1244,sj_eq,B1244,sj_po,C1244)=0,"Pas de saisie journalière ce jour-là","OK")))))))))))</f>
        <v/>
      </c>
      <c r="J1244">
        <f>IF(OR(I1244="OK",I1244="Pas de saisie journalière ce jour-là"),E1244,0)</f>
        <v>0.0</v>
      </c>
      <c r="K1244">
        <f>IF(AND(J1244&gt;0,A1244&gt;=p_from,A1244&lt;=p_to),1,0)</f>
        <v>0.0</v>
      </c>
      <c r="L1244">
        <f>IF(AND(K1244=1,OR(pa_po="",C1244=pa_po),OR(pa_eq="",B1244=pa_eq)),1,0)</f>
        <v>0.0</v>
      </c>
    </row>
    <row r="1245">
      <c r="A1245" s="51" t="n"/>
      <c r="B1245" s="52" t="n"/>
      <c r="C1245" s="52" t="n"/>
      <c r="D1245" s="53" t="n"/>
      <c r="E1245" s="60" t="n"/>
      <c r="F1245" s="53" t="n"/>
      <c r="G1245" s="61" t="str">
        <f>IF(OR(COUNTA(A1245:E1245)=0,D1245=""),"",IFERROR(INDEX(ca_fam,MATCH(D1245,ca_name,0))&amp;"",""))</f>
        <v/>
      </c>
      <c r="H1245" s="58" t="str">
        <f>IF(OR(COUNTA(A1245:E1245)=0,D1245=""),"",IFERROR(INDEX(ca_type,MATCH(D1245,ca_name,0))&amp;"",""))</f>
        <v/>
      </c>
      <c r="I1245" s="58" t="str">
        <f>IF(COUNTA(A1245:E1245)=0,"",IF(N(A1245)&lt;=0,"Date manquante ou invalide",IF(B1245="","Équipe manquante",IF(ISNA(MATCH(B1245,eq_code,0)),"Équipe inconnue",IF(C1245="","Poste manquant",IF(ISNA(MATCH(C1245,po_code,0)),"Poste inconnu",IF(D1245="","Cause manquante",IF(ISNA(MATCH(D1245,ca_name,0)),"Cause inconnue",IF(H1245="","Cause à compléter dans Paramètres",IF(OR(NOT(ISNUMBER(E1245)),N(E1245)&lt;=0,N(E1245)&gt;1440),"Durée invalide",IF(COUNTIFS(sj_date,A1245,sj_eq,B1245,sj_po,C1245)=0,"Pas de saisie journalière ce jour-là","OK")))))))))))</f>
        <v/>
      </c>
      <c r="J1245">
        <f>IF(OR(I1245="OK",I1245="Pas de saisie journalière ce jour-là"),E1245,0)</f>
        <v>0.0</v>
      </c>
      <c r="K1245">
        <f>IF(AND(J1245&gt;0,A1245&gt;=p_from,A1245&lt;=p_to),1,0)</f>
        <v>0.0</v>
      </c>
      <c r="L1245">
        <f>IF(AND(K1245=1,OR(pa_po="",C1245=pa_po),OR(pa_eq="",B1245=pa_eq)),1,0)</f>
        <v>0.0</v>
      </c>
    </row>
    <row r="1246">
      <c r="A1246" s="51" t="n"/>
      <c r="B1246" s="52" t="n"/>
      <c r="C1246" s="52" t="n"/>
      <c r="D1246" s="53" t="n"/>
      <c r="E1246" s="60" t="n"/>
      <c r="F1246" s="53" t="n"/>
      <c r="G1246" s="61" t="str">
        <f>IF(OR(COUNTA(A1246:E1246)=0,D1246=""),"",IFERROR(INDEX(ca_fam,MATCH(D1246,ca_name,0))&amp;"",""))</f>
        <v/>
      </c>
      <c r="H1246" s="58" t="str">
        <f>IF(OR(COUNTA(A1246:E1246)=0,D1246=""),"",IFERROR(INDEX(ca_type,MATCH(D1246,ca_name,0))&amp;"",""))</f>
        <v/>
      </c>
      <c r="I1246" s="58" t="str">
        <f>IF(COUNTA(A1246:E1246)=0,"",IF(N(A1246)&lt;=0,"Date manquante ou invalide",IF(B1246="","Équipe manquante",IF(ISNA(MATCH(B1246,eq_code,0)),"Équipe inconnue",IF(C1246="","Poste manquant",IF(ISNA(MATCH(C1246,po_code,0)),"Poste inconnu",IF(D1246="","Cause manquante",IF(ISNA(MATCH(D1246,ca_name,0)),"Cause inconnue",IF(H1246="","Cause à compléter dans Paramètres",IF(OR(NOT(ISNUMBER(E1246)),N(E1246)&lt;=0,N(E1246)&gt;1440),"Durée invalide",IF(COUNTIFS(sj_date,A1246,sj_eq,B1246,sj_po,C1246)=0,"Pas de saisie journalière ce jour-là","OK")))))))))))</f>
        <v/>
      </c>
      <c r="J1246">
        <f>IF(OR(I1246="OK",I1246="Pas de saisie journalière ce jour-là"),E1246,0)</f>
        <v>0.0</v>
      </c>
      <c r="K1246">
        <f>IF(AND(J1246&gt;0,A1246&gt;=p_from,A1246&lt;=p_to),1,0)</f>
        <v>0.0</v>
      </c>
      <c r="L1246">
        <f>IF(AND(K1246=1,OR(pa_po="",C1246=pa_po),OR(pa_eq="",B1246=pa_eq)),1,0)</f>
        <v>0.0</v>
      </c>
    </row>
    <row r="1247">
      <c r="A1247" s="51" t="n"/>
      <c r="B1247" s="52" t="n"/>
      <c r="C1247" s="52" t="n"/>
      <c r="D1247" s="53" t="n"/>
      <c r="E1247" s="60" t="n"/>
      <c r="F1247" s="53" t="n"/>
      <c r="G1247" s="61" t="str">
        <f>IF(OR(COUNTA(A1247:E1247)=0,D1247=""),"",IFERROR(INDEX(ca_fam,MATCH(D1247,ca_name,0))&amp;"",""))</f>
        <v/>
      </c>
      <c r="H1247" s="58" t="str">
        <f>IF(OR(COUNTA(A1247:E1247)=0,D1247=""),"",IFERROR(INDEX(ca_type,MATCH(D1247,ca_name,0))&amp;"",""))</f>
        <v/>
      </c>
      <c r="I1247" s="58" t="str">
        <f>IF(COUNTA(A1247:E1247)=0,"",IF(N(A1247)&lt;=0,"Date manquante ou invalide",IF(B1247="","Équipe manquante",IF(ISNA(MATCH(B1247,eq_code,0)),"Équipe inconnue",IF(C1247="","Poste manquant",IF(ISNA(MATCH(C1247,po_code,0)),"Poste inconnu",IF(D1247="","Cause manquante",IF(ISNA(MATCH(D1247,ca_name,0)),"Cause inconnue",IF(H1247="","Cause à compléter dans Paramètres",IF(OR(NOT(ISNUMBER(E1247)),N(E1247)&lt;=0,N(E1247)&gt;1440),"Durée invalide",IF(COUNTIFS(sj_date,A1247,sj_eq,B1247,sj_po,C1247)=0,"Pas de saisie journalière ce jour-là","OK")))))))))))</f>
        <v/>
      </c>
      <c r="J1247">
        <f>IF(OR(I1247="OK",I1247="Pas de saisie journalière ce jour-là"),E1247,0)</f>
        <v>0.0</v>
      </c>
      <c r="K1247">
        <f>IF(AND(J1247&gt;0,A1247&gt;=p_from,A1247&lt;=p_to),1,0)</f>
        <v>0.0</v>
      </c>
      <c r="L1247">
        <f>IF(AND(K1247=1,OR(pa_po="",C1247=pa_po),OR(pa_eq="",B1247=pa_eq)),1,0)</f>
        <v>0.0</v>
      </c>
    </row>
    <row r="1248">
      <c r="A1248" s="51" t="n"/>
      <c r="B1248" s="52" t="n"/>
      <c r="C1248" s="52" t="n"/>
      <c r="D1248" s="53" t="n"/>
      <c r="E1248" s="60" t="n"/>
      <c r="F1248" s="53" t="n"/>
      <c r="G1248" s="61" t="str">
        <f>IF(OR(COUNTA(A1248:E1248)=0,D1248=""),"",IFERROR(INDEX(ca_fam,MATCH(D1248,ca_name,0))&amp;"",""))</f>
        <v/>
      </c>
      <c r="H1248" s="58" t="str">
        <f>IF(OR(COUNTA(A1248:E1248)=0,D1248=""),"",IFERROR(INDEX(ca_type,MATCH(D1248,ca_name,0))&amp;"",""))</f>
        <v/>
      </c>
      <c r="I1248" s="58" t="str">
        <f>IF(COUNTA(A1248:E1248)=0,"",IF(N(A1248)&lt;=0,"Date manquante ou invalide",IF(B1248="","Équipe manquante",IF(ISNA(MATCH(B1248,eq_code,0)),"Équipe inconnue",IF(C1248="","Poste manquant",IF(ISNA(MATCH(C1248,po_code,0)),"Poste inconnu",IF(D1248="","Cause manquante",IF(ISNA(MATCH(D1248,ca_name,0)),"Cause inconnue",IF(H1248="","Cause à compléter dans Paramètres",IF(OR(NOT(ISNUMBER(E1248)),N(E1248)&lt;=0,N(E1248)&gt;1440),"Durée invalide",IF(COUNTIFS(sj_date,A1248,sj_eq,B1248,sj_po,C1248)=0,"Pas de saisie journalière ce jour-là","OK")))))))))))</f>
        <v/>
      </c>
      <c r="J1248">
        <f>IF(OR(I1248="OK",I1248="Pas de saisie journalière ce jour-là"),E1248,0)</f>
        <v>0.0</v>
      </c>
      <c r="K1248">
        <f>IF(AND(J1248&gt;0,A1248&gt;=p_from,A1248&lt;=p_to),1,0)</f>
        <v>0.0</v>
      </c>
      <c r="L1248">
        <f>IF(AND(K1248=1,OR(pa_po="",C1248=pa_po),OR(pa_eq="",B1248=pa_eq)),1,0)</f>
        <v>0.0</v>
      </c>
    </row>
    <row r="1249">
      <c r="A1249" s="51" t="n"/>
      <c r="B1249" s="52" t="n"/>
      <c r="C1249" s="52" t="n"/>
      <c r="D1249" s="53" t="n"/>
      <c r="E1249" s="60" t="n"/>
      <c r="F1249" s="53" t="n"/>
      <c r="G1249" s="61" t="str">
        <f>IF(OR(COUNTA(A1249:E1249)=0,D1249=""),"",IFERROR(INDEX(ca_fam,MATCH(D1249,ca_name,0))&amp;"",""))</f>
        <v/>
      </c>
      <c r="H1249" s="58" t="str">
        <f>IF(OR(COUNTA(A1249:E1249)=0,D1249=""),"",IFERROR(INDEX(ca_type,MATCH(D1249,ca_name,0))&amp;"",""))</f>
        <v/>
      </c>
      <c r="I1249" s="58" t="str">
        <f>IF(COUNTA(A1249:E1249)=0,"",IF(N(A1249)&lt;=0,"Date manquante ou invalide",IF(B1249="","Équipe manquante",IF(ISNA(MATCH(B1249,eq_code,0)),"Équipe inconnue",IF(C1249="","Poste manquant",IF(ISNA(MATCH(C1249,po_code,0)),"Poste inconnu",IF(D1249="","Cause manquante",IF(ISNA(MATCH(D1249,ca_name,0)),"Cause inconnue",IF(H1249="","Cause à compléter dans Paramètres",IF(OR(NOT(ISNUMBER(E1249)),N(E1249)&lt;=0,N(E1249)&gt;1440),"Durée invalide",IF(COUNTIFS(sj_date,A1249,sj_eq,B1249,sj_po,C1249)=0,"Pas de saisie journalière ce jour-là","OK")))))))))))</f>
        <v/>
      </c>
      <c r="J1249">
        <f>IF(OR(I1249="OK",I1249="Pas de saisie journalière ce jour-là"),E1249,0)</f>
        <v>0.0</v>
      </c>
      <c r="K1249">
        <f>IF(AND(J1249&gt;0,A1249&gt;=p_from,A1249&lt;=p_to),1,0)</f>
        <v>0.0</v>
      </c>
      <c r="L1249">
        <f>IF(AND(K1249=1,OR(pa_po="",C1249=pa_po),OR(pa_eq="",B1249=pa_eq)),1,0)</f>
        <v>0.0</v>
      </c>
    </row>
    <row r="1250">
      <c r="A1250" s="51" t="n"/>
      <c r="B1250" s="52" t="n"/>
      <c r="C1250" s="52" t="n"/>
      <c r="D1250" s="53" t="n"/>
      <c r="E1250" s="60" t="n"/>
      <c r="F1250" s="53" t="n"/>
      <c r="G1250" s="61" t="str">
        <f>IF(OR(COUNTA(A1250:E1250)=0,D1250=""),"",IFERROR(INDEX(ca_fam,MATCH(D1250,ca_name,0))&amp;"",""))</f>
        <v/>
      </c>
      <c r="H1250" s="58" t="str">
        <f>IF(OR(COUNTA(A1250:E1250)=0,D1250=""),"",IFERROR(INDEX(ca_type,MATCH(D1250,ca_name,0))&amp;"",""))</f>
        <v/>
      </c>
      <c r="I1250" s="58" t="str">
        <f>IF(COUNTA(A1250:E1250)=0,"",IF(N(A1250)&lt;=0,"Date manquante ou invalide",IF(B1250="","Équipe manquante",IF(ISNA(MATCH(B1250,eq_code,0)),"Équipe inconnue",IF(C1250="","Poste manquant",IF(ISNA(MATCH(C1250,po_code,0)),"Poste inconnu",IF(D1250="","Cause manquante",IF(ISNA(MATCH(D1250,ca_name,0)),"Cause inconnue",IF(H1250="","Cause à compléter dans Paramètres",IF(OR(NOT(ISNUMBER(E1250)),N(E1250)&lt;=0,N(E1250)&gt;1440),"Durée invalide",IF(COUNTIFS(sj_date,A1250,sj_eq,B1250,sj_po,C1250)=0,"Pas de saisie journalière ce jour-là","OK")))))))))))</f>
        <v/>
      </c>
      <c r="J1250">
        <f>IF(OR(I1250="OK",I1250="Pas de saisie journalière ce jour-là"),E1250,0)</f>
        <v>0.0</v>
      </c>
      <c r="K1250">
        <f>IF(AND(J1250&gt;0,A1250&gt;=p_from,A1250&lt;=p_to),1,0)</f>
        <v>0.0</v>
      </c>
      <c r="L1250">
        <f>IF(AND(K1250=1,OR(pa_po="",C1250=pa_po),OR(pa_eq="",B1250=pa_eq)),1,0)</f>
        <v>0.0</v>
      </c>
    </row>
    <row r="1251">
      <c r="A1251" s="51" t="n"/>
      <c r="B1251" s="52" t="n"/>
      <c r="C1251" s="52" t="n"/>
      <c r="D1251" s="53" t="n"/>
      <c r="E1251" s="60" t="n"/>
      <c r="F1251" s="53" t="n"/>
      <c r="G1251" s="61" t="str">
        <f>IF(OR(COUNTA(A1251:E1251)=0,D1251=""),"",IFERROR(INDEX(ca_fam,MATCH(D1251,ca_name,0))&amp;"",""))</f>
        <v/>
      </c>
      <c r="H1251" s="58" t="str">
        <f>IF(OR(COUNTA(A1251:E1251)=0,D1251=""),"",IFERROR(INDEX(ca_type,MATCH(D1251,ca_name,0))&amp;"",""))</f>
        <v/>
      </c>
      <c r="I1251" s="58" t="str">
        <f>IF(COUNTA(A1251:E1251)=0,"",IF(N(A1251)&lt;=0,"Date manquante ou invalide",IF(B1251="","Équipe manquante",IF(ISNA(MATCH(B1251,eq_code,0)),"Équipe inconnue",IF(C1251="","Poste manquant",IF(ISNA(MATCH(C1251,po_code,0)),"Poste inconnu",IF(D1251="","Cause manquante",IF(ISNA(MATCH(D1251,ca_name,0)),"Cause inconnue",IF(H1251="","Cause à compléter dans Paramètres",IF(OR(NOT(ISNUMBER(E1251)),N(E1251)&lt;=0,N(E1251)&gt;1440),"Durée invalide",IF(COUNTIFS(sj_date,A1251,sj_eq,B1251,sj_po,C1251)=0,"Pas de saisie journalière ce jour-là","OK")))))))))))</f>
        <v/>
      </c>
      <c r="J1251">
        <f>IF(OR(I1251="OK",I1251="Pas de saisie journalière ce jour-là"),E1251,0)</f>
        <v>0.0</v>
      </c>
      <c r="K1251">
        <f>IF(AND(J1251&gt;0,A1251&gt;=p_from,A1251&lt;=p_to),1,0)</f>
        <v>0.0</v>
      </c>
      <c r="L1251">
        <f>IF(AND(K1251=1,OR(pa_po="",C1251=pa_po),OR(pa_eq="",B1251=pa_eq)),1,0)</f>
        <v>0.0</v>
      </c>
    </row>
    <row r="1252">
      <c r="A1252" s="51" t="n"/>
      <c r="B1252" s="52" t="n"/>
      <c r="C1252" s="52" t="n"/>
      <c r="D1252" s="53" t="n"/>
      <c r="E1252" s="60" t="n"/>
      <c r="F1252" s="53" t="n"/>
      <c r="G1252" s="61" t="str">
        <f>IF(OR(COUNTA(A1252:E1252)=0,D1252=""),"",IFERROR(INDEX(ca_fam,MATCH(D1252,ca_name,0))&amp;"",""))</f>
        <v/>
      </c>
      <c r="H1252" s="58" t="str">
        <f>IF(OR(COUNTA(A1252:E1252)=0,D1252=""),"",IFERROR(INDEX(ca_type,MATCH(D1252,ca_name,0))&amp;"",""))</f>
        <v/>
      </c>
      <c r="I1252" s="58" t="str">
        <f>IF(COUNTA(A1252:E1252)=0,"",IF(N(A1252)&lt;=0,"Date manquante ou invalide",IF(B1252="","Équipe manquante",IF(ISNA(MATCH(B1252,eq_code,0)),"Équipe inconnue",IF(C1252="","Poste manquant",IF(ISNA(MATCH(C1252,po_code,0)),"Poste inconnu",IF(D1252="","Cause manquante",IF(ISNA(MATCH(D1252,ca_name,0)),"Cause inconnue",IF(H1252="","Cause à compléter dans Paramètres",IF(OR(NOT(ISNUMBER(E1252)),N(E1252)&lt;=0,N(E1252)&gt;1440),"Durée invalide",IF(COUNTIFS(sj_date,A1252,sj_eq,B1252,sj_po,C1252)=0,"Pas de saisie journalière ce jour-là","OK")))))))))))</f>
        <v/>
      </c>
      <c r="J1252">
        <f>IF(OR(I1252="OK",I1252="Pas de saisie journalière ce jour-là"),E1252,0)</f>
        <v>0.0</v>
      </c>
      <c r="K1252">
        <f>IF(AND(J1252&gt;0,A1252&gt;=p_from,A1252&lt;=p_to),1,0)</f>
        <v>0.0</v>
      </c>
      <c r="L1252">
        <f>IF(AND(K1252=1,OR(pa_po="",C1252=pa_po),OR(pa_eq="",B1252=pa_eq)),1,0)</f>
        <v>0.0</v>
      </c>
    </row>
    <row r="1253">
      <c r="A1253" s="51" t="n"/>
      <c r="B1253" s="52" t="n"/>
      <c r="C1253" s="52" t="n"/>
      <c r="D1253" s="53" t="n"/>
      <c r="E1253" s="60" t="n"/>
      <c r="F1253" s="53" t="n"/>
      <c r="G1253" s="61" t="str">
        <f>IF(OR(COUNTA(A1253:E1253)=0,D1253=""),"",IFERROR(INDEX(ca_fam,MATCH(D1253,ca_name,0))&amp;"",""))</f>
        <v/>
      </c>
      <c r="H1253" s="58" t="str">
        <f>IF(OR(COUNTA(A1253:E1253)=0,D1253=""),"",IFERROR(INDEX(ca_type,MATCH(D1253,ca_name,0))&amp;"",""))</f>
        <v/>
      </c>
      <c r="I1253" s="58" t="str">
        <f>IF(COUNTA(A1253:E1253)=0,"",IF(N(A1253)&lt;=0,"Date manquante ou invalide",IF(B1253="","Équipe manquante",IF(ISNA(MATCH(B1253,eq_code,0)),"Équipe inconnue",IF(C1253="","Poste manquant",IF(ISNA(MATCH(C1253,po_code,0)),"Poste inconnu",IF(D1253="","Cause manquante",IF(ISNA(MATCH(D1253,ca_name,0)),"Cause inconnue",IF(H1253="","Cause à compléter dans Paramètres",IF(OR(NOT(ISNUMBER(E1253)),N(E1253)&lt;=0,N(E1253)&gt;1440),"Durée invalide",IF(COUNTIFS(sj_date,A1253,sj_eq,B1253,sj_po,C1253)=0,"Pas de saisie journalière ce jour-là","OK")))))))))))</f>
        <v/>
      </c>
      <c r="J1253">
        <f>IF(OR(I1253="OK",I1253="Pas de saisie journalière ce jour-là"),E1253,0)</f>
        <v>0.0</v>
      </c>
      <c r="K1253">
        <f>IF(AND(J1253&gt;0,A1253&gt;=p_from,A1253&lt;=p_to),1,0)</f>
        <v>0.0</v>
      </c>
      <c r="L1253">
        <f>IF(AND(K1253=1,OR(pa_po="",C1253=pa_po),OR(pa_eq="",B1253=pa_eq)),1,0)</f>
        <v>0.0</v>
      </c>
    </row>
    <row r="1254">
      <c r="A1254" s="51" t="n"/>
      <c r="B1254" s="52" t="n"/>
      <c r="C1254" s="52" t="n"/>
      <c r="D1254" s="53" t="n"/>
      <c r="E1254" s="60" t="n"/>
      <c r="F1254" s="53" t="n"/>
      <c r="G1254" s="61" t="str">
        <f>IF(OR(COUNTA(A1254:E1254)=0,D1254=""),"",IFERROR(INDEX(ca_fam,MATCH(D1254,ca_name,0))&amp;"",""))</f>
        <v/>
      </c>
      <c r="H1254" s="58" t="str">
        <f>IF(OR(COUNTA(A1254:E1254)=0,D1254=""),"",IFERROR(INDEX(ca_type,MATCH(D1254,ca_name,0))&amp;"",""))</f>
        <v/>
      </c>
      <c r="I1254" s="58" t="str">
        <f>IF(COUNTA(A1254:E1254)=0,"",IF(N(A1254)&lt;=0,"Date manquante ou invalide",IF(B1254="","Équipe manquante",IF(ISNA(MATCH(B1254,eq_code,0)),"Équipe inconnue",IF(C1254="","Poste manquant",IF(ISNA(MATCH(C1254,po_code,0)),"Poste inconnu",IF(D1254="","Cause manquante",IF(ISNA(MATCH(D1254,ca_name,0)),"Cause inconnue",IF(H1254="","Cause à compléter dans Paramètres",IF(OR(NOT(ISNUMBER(E1254)),N(E1254)&lt;=0,N(E1254)&gt;1440),"Durée invalide",IF(COUNTIFS(sj_date,A1254,sj_eq,B1254,sj_po,C1254)=0,"Pas de saisie journalière ce jour-là","OK")))))))))))</f>
        <v/>
      </c>
      <c r="J1254">
        <f>IF(OR(I1254="OK",I1254="Pas de saisie journalière ce jour-là"),E1254,0)</f>
        <v>0.0</v>
      </c>
      <c r="K1254">
        <f>IF(AND(J1254&gt;0,A1254&gt;=p_from,A1254&lt;=p_to),1,0)</f>
        <v>0.0</v>
      </c>
      <c r="L1254">
        <f>IF(AND(K1254=1,OR(pa_po="",C1254=pa_po),OR(pa_eq="",B1254=pa_eq)),1,0)</f>
        <v>0.0</v>
      </c>
    </row>
    <row r="1255">
      <c r="A1255" s="51" t="n"/>
      <c r="B1255" s="52" t="n"/>
      <c r="C1255" s="52" t="n"/>
      <c r="D1255" s="53" t="n"/>
      <c r="E1255" s="60" t="n"/>
      <c r="F1255" s="53" t="n"/>
      <c r="G1255" s="61" t="str">
        <f>IF(OR(COUNTA(A1255:E1255)=0,D1255=""),"",IFERROR(INDEX(ca_fam,MATCH(D1255,ca_name,0))&amp;"",""))</f>
        <v/>
      </c>
      <c r="H1255" s="58" t="str">
        <f>IF(OR(COUNTA(A1255:E1255)=0,D1255=""),"",IFERROR(INDEX(ca_type,MATCH(D1255,ca_name,0))&amp;"",""))</f>
        <v/>
      </c>
      <c r="I1255" s="58" t="str">
        <f>IF(COUNTA(A1255:E1255)=0,"",IF(N(A1255)&lt;=0,"Date manquante ou invalide",IF(B1255="","Équipe manquante",IF(ISNA(MATCH(B1255,eq_code,0)),"Équipe inconnue",IF(C1255="","Poste manquant",IF(ISNA(MATCH(C1255,po_code,0)),"Poste inconnu",IF(D1255="","Cause manquante",IF(ISNA(MATCH(D1255,ca_name,0)),"Cause inconnue",IF(H1255="","Cause à compléter dans Paramètres",IF(OR(NOT(ISNUMBER(E1255)),N(E1255)&lt;=0,N(E1255)&gt;1440),"Durée invalide",IF(COUNTIFS(sj_date,A1255,sj_eq,B1255,sj_po,C1255)=0,"Pas de saisie journalière ce jour-là","OK")))))))))))</f>
        <v/>
      </c>
      <c r="J1255">
        <f>IF(OR(I1255="OK",I1255="Pas de saisie journalière ce jour-là"),E1255,0)</f>
        <v>0.0</v>
      </c>
      <c r="K1255">
        <f>IF(AND(J1255&gt;0,A1255&gt;=p_from,A1255&lt;=p_to),1,0)</f>
        <v>0.0</v>
      </c>
      <c r="L1255">
        <f>IF(AND(K1255=1,OR(pa_po="",C1255=pa_po),OR(pa_eq="",B1255=pa_eq)),1,0)</f>
        <v>0.0</v>
      </c>
    </row>
    <row r="1256">
      <c r="A1256" s="51" t="n"/>
      <c r="B1256" s="52" t="n"/>
      <c r="C1256" s="52" t="n"/>
      <c r="D1256" s="53" t="n"/>
      <c r="E1256" s="60" t="n"/>
      <c r="F1256" s="53" t="n"/>
      <c r="G1256" s="61" t="str">
        <f>IF(OR(COUNTA(A1256:E1256)=0,D1256=""),"",IFERROR(INDEX(ca_fam,MATCH(D1256,ca_name,0))&amp;"",""))</f>
        <v/>
      </c>
      <c r="H1256" s="58" t="str">
        <f>IF(OR(COUNTA(A1256:E1256)=0,D1256=""),"",IFERROR(INDEX(ca_type,MATCH(D1256,ca_name,0))&amp;"",""))</f>
        <v/>
      </c>
      <c r="I1256" s="58" t="str">
        <f>IF(COUNTA(A1256:E1256)=0,"",IF(N(A1256)&lt;=0,"Date manquante ou invalide",IF(B1256="","Équipe manquante",IF(ISNA(MATCH(B1256,eq_code,0)),"Équipe inconnue",IF(C1256="","Poste manquant",IF(ISNA(MATCH(C1256,po_code,0)),"Poste inconnu",IF(D1256="","Cause manquante",IF(ISNA(MATCH(D1256,ca_name,0)),"Cause inconnue",IF(H1256="","Cause à compléter dans Paramètres",IF(OR(NOT(ISNUMBER(E1256)),N(E1256)&lt;=0,N(E1256)&gt;1440),"Durée invalide",IF(COUNTIFS(sj_date,A1256,sj_eq,B1256,sj_po,C1256)=0,"Pas de saisie journalière ce jour-là","OK")))))))))))</f>
        <v/>
      </c>
      <c r="J1256">
        <f>IF(OR(I1256="OK",I1256="Pas de saisie journalière ce jour-là"),E1256,0)</f>
        <v>0.0</v>
      </c>
      <c r="K1256">
        <f>IF(AND(J1256&gt;0,A1256&gt;=p_from,A1256&lt;=p_to),1,0)</f>
        <v>0.0</v>
      </c>
      <c r="L1256">
        <f>IF(AND(K1256=1,OR(pa_po="",C1256=pa_po),OR(pa_eq="",B1256=pa_eq)),1,0)</f>
        <v>0.0</v>
      </c>
    </row>
    <row r="1257">
      <c r="A1257" s="51" t="n"/>
      <c r="B1257" s="52" t="n"/>
      <c r="C1257" s="52" t="n"/>
      <c r="D1257" s="53" t="n"/>
      <c r="E1257" s="60" t="n"/>
      <c r="F1257" s="53" t="n"/>
      <c r="G1257" s="61" t="str">
        <f>IF(OR(COUNTA(A1257:E1257)=0,D1257=""),"",IFERROR(INDEX(ca_fam,MATCH(D1257,ca_name,0))&amp;"",""))</f>
        <v/>
      </c>
      <c r="H1257" s="58" t="str">
        <f>IF(OR(COUNTA(A1257:E1257)=0,D1257=""),"",IFERROR(INDEX(ca_type,MATCH(D1257,ca_name,0))&amp;"",""))</f>
        <v/>
      </c>
      <c r="I1257" s="58" t="str">
        <f>IF(COUNTA(A1257:E1257)=0,"",IF(N(A1257)&lt;=0,"Date manquante ou invalide",IF(B1257="","Équipe manquante",IF(ISNA(MATCH(B1257,eq_code,0)),"Équipe inconnue",IF(C1257="","Poste manquant",IF(ISNA(MATCH(C1257,po_code,0)),"Poste inconnu",IF(D1257="","Cause manquante",IF(ISNA(MATCH(D1257,ca_name,0)),"Cause inconnue",IF(H1257="","Cause à compléter dans Paramètres",IF(OR(NOT(ISNUMBER(E1257)),N(E1257)&lt;=0,N(E1257)&gt;1440),"Durée invalide",IF(COUNTIFS(sj_date,A1257,sj_eq,B1257,sj_po,C1257)=0,"Pas de saisie journalière ce jour-là","OK")))))))))))</f>
        <v/>
      </c>
      <c r="J1257">
        <f>IF(OR(I1257="OK",I1257="Pas de saisie journalière ce jour-là"),E1257,0)</f>
        <v>0.0</v>
      </c>
      <c r="K1257">
        <f>IF(AND(J1257&gt;0,A1257&gt;=p_from,A1257&lt;=p_to),1,0)</f>
        <v>0.0</v>
      </c>
      <c r="L1257">
        <f>IF(AND(K1257=1,OR(pa_po="",C1257=pa_po),OR(pa_eq="",B1257=pa_eq)),1,0)</f>
        <v>0.0</v>
      </c>
    </row>
    <row r="1258">
      <c r="A1258" s="51" t="n"/>
      <c r="B1258" s="52" t="n"/>
      <c r="C1258" s="52" t="n"/>
      <c r="D1258" s="53" t="n"/>
      <c r="E1258" s="60" t="n"/>
      <c r="F1258" s="53" t="n"/>
      <c r="G1258" s="61" t="str">
        <f>IF(OR(COUNTA(A1258:E1258)=0,D1258=""),"",IFERROR(INDEX(ca_fam,MATCH(D1258,ca_name,0))&amp;"",""))</f>
        <v/>
      </c>
      <c r="H1258" s="58" t="str">
        <f>IF(OR(COUNTA(A1258:E1258)=0,D1258=""),"",IFERROR(INDEX(ca_type,MATCH(D1258,ca_name,0))&amp;"",""))</f>
        <v/>
      </c>
      <c r="I1258" s="58" t="str">
        <f>IF(COUNTA(A1258:E1258)=0,"",IF(N(A1258)&lt;=0,"Date manquante ou invalide",IF(B1258="","Équipe manquante",IF(ISNA(MATCH(B1258,eq_code,0)),"Équipe inconnue",IF(C1258="","Poste manquant",IF(ISNA(MATCH(C1258,po_code,0)),"Poste inconnu",IF(D1258="","Cause manquante",IF(ISNA(MATCH(D1258,ca_name,0)),"Cause inconnue",IF(H1258="","Cause à compléter dans Paramètres",IF(OR(NOT(ISNUMBER(E1258)),N(E1258)&lt;=0,N(E1258)&gt;1440),"Durée invalide",IF(COUNTIFS(sj_date,A1258,sj_eq,B1258,sj_po,C1258)=0,"Pas de saisie journalière ce jour-là","OK")))))))))))</f>
        <v/>
      </c>
      <c r="J1258">
        <f>IF(OR(I1258="OK",I1258="Pas de saisie journalière ce jour-là"),E1258,0)</f>
        <v>0.0</v>
      </c>
      <c r="K1258">
        <f>IF(AND(J1258&gt;0,A1258&gt;=p_from,A1258&lt;=p_to),1,0)</f>
        <v>0.0</v>
      </c>
      <c r="L1258">
        <f>IF(AND(K1258=1,OR(pa_po="",C1258=pa_po),OR(pa_eq="",B1258=pa_eq)),1,0)</f>
        <v>0.0</v>
      </c>
    </row>
    <row r="1259">
      <c r="A1259" s="51" t="n"/>
      <c r="B1259" s="52" t="n"/>
      <c r="C1259" s="52" t="n"/>
      <c r="D1259" s="53" t="n"/>
      <c r="E1259" s="60" t="n"/>
      <c r="F1259" s="53" t="n"/>
      <c r="G1259" s="61" t="str">
        <f>IF(OR(COUNTA(A1259:E1259)=0,D1259=""),"",IFERROR(INDEX(ca_fam,MATCH(D1259,ca_name,0))&amp;"",""))</f>
        <v/>
      </c>
      <c r="H1259" s="58" t="str">
        <f>IF(OR(COUNTA(A1259:E1259)=0,D1259=""),"",IFERROR(INDEX(ca_type,MATCH(D1259,ca_name,0))&amp;"",""))</f>
        <v/>
      </c>
      <c r="I1259" s="58" t="str">
        <f>IF(COUNTA(A1259:E1259)=0,"",IF(N(A1259)&lt;=0,"Date manquante ou invalide",IF(B1259="","Équipe manquante",IF(ISNA(MATCH(B1259,eq_code,0)),"Équipe inconnue",IF(C1259="","Poste manquant",IF(ISNA(MATCH(C1259,po_code,0)),"Poste inconnu",IF(D1259="","Cause manquante",IF(ISNA(MATCH(D1259,ca_name,0)),"Cause inconnue",IF(H1259="","Cause à compléter dans Paramètres",IF(OR(NOT(ISNUMBER(E1259)),N(E1259)&lt;=0,N(E1259)&gt;1440),"Durée invalide",IF(COUNTIFS(sj_date,A1259,sj_eq,B1259,sj_po,C1259)=0,"Pas de saisie journalière ce jour-là","OK")))))))))))</f>
        <v/>
      </c>
      <c r="J1259">
        <f>IF(OR(I1259="OK",I1259="Pas de saisie journalière ce jour-là"),E1259,0)</f>
        <v>0.0</v>
      </c>
      <c r="K1259">
        <f>IF(AND(J1259&gt;0,A1259&gt;=p_from,A1259&lt;=p_to),1,0)</f>
        <v>0.0</v>
      </c>
      <c r="L1259">
        <f>IF(AND(K1259=1,OR(pa_po="",C1259=pa_po),OR(pa_eq="",B1259=pa_eq)),1,0)</f>
        <v>0.0</v>
      </c>
    </row>
    <row r="1260">
      <c r="A1260" s="51" t="n"/>
      <c r="B1260" s="52" t="n"/>
      <c r="C1260" s="52" t="n"/>
      <c r="D1260" s="53" t="n"/>
      <c r="E1260" s="60" t="n"/>
      <c r="F1260" s="53" t="n"/>
      <c r="G1260" s="61" t="str">
        <f>IF(OR(COUNTA(A1260:E1260)=0,D1260=""),"",IFERROR(INDEX(ca_fam,MATCH(D1260,ca_name,0))&amp;"",""))</f>
        <v/>
      </c>
      <c r="H1260" s="58" t="str">
        <f>IF(OR(COUNTA(A1260:E1260)=0,D1260=""),"",IFERROR(INDEX(ca_type,MATCH(D1260,ca_name,0))&amp;"",""))</f>
        <v/>
      </c>
      <c r="I1260" s="58" t="str">
        <f>IF(COUNTA(A1260:E1260)=0,"",IF(N(A1260)&lt;=0,"Date manquante ou invalide",IF(B1260="","Équipe manquante",IF(ISNA(MATCH(B1260,eq_code,0)),"Équipe inconnue",IF(C1260="","Poste manquant",IF(ISNA(MATCH(C1260,po_code,0)),"Poste inconnu",IF(D1260="","Cause manquante",IF(ISNA(MATCH(D1260,ca_name,0)),"Cause inconnue",IF(H1260="","Cause à compléter dans Paramètres",IF(OR(NOT(ISNUMBER(E1260)),N(E1260)&lt;=0,N(E1260)&gt;1440),"Durée invalide",IF(COUNTIFS(sj_date,A1260,sj_eq,B1260,sj_po,C1260)=0,"Pas de saisie journalière ce jour-là","OK")))))))))))</f>
        <v/>
      </c>
      <c r="J1260">
        <f>IF(OR(I1260="OK",I1260="Pas de saisie journalière ce jour-là"),E1260,0)</f>
        <v>0.0</v>
      </c>
      <c r="K1260">
        <f>IF(AND(J1260&gt;0,A1260&gt;=p_from,A1260&lt;=p_to),1,0)</f>
        <v>0.0</v>
      </c>
      <c r="L1260">
        <f>IF(AND(K1260=1,OR(pa_po="",C1260=pa_po),OR(pa_eq="",B1260=pa_eq)),1,0)</f>
        <v>0.0</v>
      </c>
    </row>
    <row r="1261">
      <c r="A1261" s="51" t="n"/>
      <c r="B1261" s="52" t="n"/>
      <c r="C1261" s="52" t="n"/>
      <c r="D1261" s="53" t="n"/>
      <c r="E1261" s="60" t="n"/>
      <c r="F1261" s="53" t="n"/>
      <c r="G1261" s="61" t="str">
        <f>IF(OR(COUNTA(A1261:E1261)=0,D1261=""),"",IFERROR(INDEX(ca_fam,MATCH(D1261,ca_name,0))&amp;"",""))</f>
        <v/>
      </c>
      <c r="H1261" s="58" t="str">
        <f>IF(OR(COUNTA(A1261:E1261)=0,D1261=""),"",IFERROR(INDEX(ca_type,MATCH(D1261,ca_name,0))&amp;"",""))</f>
        <v/>
      </c>
      <c r="I1261" s="58" t="str">
        <f>IF(COUNTA(A1261:E1261)=0,"",IF(N(A1261)&lt;=0,"Date manquante ou invalide",IF(B1261="","Équipe manquante",IF(ISNA(MATCH(B1261,eq_code,0)),"Équipe inconnue",IF(C1261="","Poste manquant",IF(ISNA(MATCH(C1261,po_code,0)),"Poste inconnu",IF(D1261="","Cause manquante",IF(ISNA(MATCH(D1261,ca_name,0)),"Cause inconnue",IF(H1261="","Cause à compléter dans Paramètres",IF(OR(NOT(ISNUMBER(E1261)),N(E1261)&lt;=0,N(E1261)&gt;1440),"Durée invalide",IF(COUNTIFS(sj_date,A1261,sj_eq,B1261,sj_po,C1261)=0,"Pas de saisie journalière ce jour-là","OK")))))))))))</f>
        <v/>
      </c>
      <c r="J1261">
        <f>IF(OR(I1261="OK",I1261="Pas de saisie journalière ce jour-là"),E1261,0)</f>
        <v>0.0</v>
      </c>
      <c r="K1261">
        <f>IF(AND(J1261&gt;0,A1261&gt;=p_from,A1261&lt;=p_to),1,0)</f>
        <v>0.0</v>
      </c>
      <c r="L1261">
        <f>IF(AND(K1261=1,OR(pa_po="",C1261=pa_po),OR(pa_eq="",B1261=pa_eq)),1,0)</f>
        <v>0.0</v>
      </c>
    </row>
    <row r="1262">
      <c r="A1262" s="51" t="n"/>
      <c r="B1262" s="52" t="n"/>
      <c r="C1262" s="52" t="n"/>
      <c r="D1262" s="53" t="n"/>
      <c r="E1262" s="60" t="n"/>
      <c r="F1262" s="53" t="n"/>
      <c r="G1262" s="61" t="str">
        <f>IF(OR(COUNTA(A1262:E1262)=0,D1262=""),"",IFERROR(INDEX(ca_fam,MATCH(D1262,ca_name,0))&amp;"",""))</f>
        <v/>
      </c>
      <c r="H1262" s="58" t="str">
        <f>IF(OR(COUNTA(A1262:E1262)=0,D1262=""),"",IFERROR(INDEX(ca_type,MATCH(D1262,ca_name,0))&amp;"",""))</f>
        <v/>
      </c>
      <c r="I1262" s="58" t="str">
        <f>IF(COUNTA(A1262:E1262)=0,"",IF(N(A1262)&lt;=0,"Date manquante ou invalide",IF(B1262="","Équipe manquante",IF(ISNA(MATCH(B1262,eq_code,0)),"Équipe inconnue",IF(C1262="","Poste manquant",IF(ISNA(MATCH(C1262,po_code,0)),"Poste inconnu",IF(D1262="","Cause manquante",IF(ISNA(MATCH(D1262,ca_name,0)),"Cause inconnue",IF(H1262="","Cause à compléter dans Paramètres",IF(OR(NOT(ISNUMBER(E1262)),N(E1262)&lt;=0,N(E1262)&gt;1440),"Durée invalide",IF(COUNTIFS(sj_date,A1262,sj_eq,B1262,sj_po,C1262)=0,"Pas de saisie journalière ce jour-là","OK")))))))))))</f>
        <v/>
      </c>
      <c r="J1262">
        <f>IF(OR(I1262="OK",I1262="Pas de saisie journalière ce jour-là"),E1262,0)</f>
        <v>0.0</v>
      </c>
      <c r="K1262">
        <f>IF(AND(J1262&gt;0,A1262&gt;=p_from,A1262&lt;=p_to),1,0)</f>
        <v>0.0</v>
      </c>
      <c r="L1262">
        <f>IF(AND(K1262=1,OR(pa_po="",C1262=pa_po),OR(pa_eq="",B1262=pa_eq)),1,0)</f>
        <v>0.0</v>
      </c>
    </row>
    <row r="1263">
      <c r="A1263" s="51" t="n"/>
      <c r="B1263" s="52" t="n"/>
      <c r="C1263" s="52" t="n"/>
      <c r="D1263" s="53" t="n"/>
      <c r="E1263" s="60" t="n"/>
      <c r="F1263" s="53" t="n"/>
      <c r="G1263" s="61" t="str">
        <f>IF(OR(COUNTA(A1263:E1263)=0,D1263=""),"",IFERROR(INDEX(ca_fam,MATCH(D1263,ca_name,0))&amp;"",""))</f>
        <v/>
      </c>
      <c r="H1263" s="58" t="str">
        <f>IF(OR(COUNTA(A1263:E1263)=0,D1263=""),"",IFERROR(INDEX(ca_type,MATCH(D1263,ca_name,0))&amp;"",""))</f>
        <v/>
      </c>
      <c r="I1263" s="58" t="str">
        <f>IF(COUNTA(A1263:E1263)=0,"",IF(N(A1263)&lt;=0,"Date manquante ou invalide",IF(B1263="","Équipe manquante",IF(ISNA(MATCH(B1263,eq_code,0)),"Équipe inconnue",IF(C1263="","Poste manquant",IF(ISNA(MATCH(C1263,po_code,0)),"Poste inconnu",IF(D1263="","Cause manquante",IF(ISNA(MATCH(D1263,ca_name,0)),"Cause inconnue",IF(H1263="","Cause à compléter dans Paramètres",IF(OR(NOT(ISNUMBER(E1263)),N(E1263)&lt;=0,N(E1263)&gt;1440),"Durée invalide",IF(COUNTIFS(sj_date,A1263,sj_eq,B1263,sj_po,C1263)=0,"Pas de saisie journalière ce jour-là","OK")))))))))))</f>
        <v/>
      </c>
      <c r="J1263">
        <f>IF(OR(I1263="OK",I1263="Pas de saisie journalière ce jour-là"),E1263,0)</f>
        <v>0.0</v>
      </c>
      <c r="K1263">
        <f>IF(AND(J1263&gt;0,A1263&gt;=p_from,A1263&lt;=p_to),1,0)</f>
        <v>0.0</v>
      </c>
      <c r="L1263">
        <f>IF(AND(K1263=1,OR(pa_po="",C1263=pa_po),OR(pa_eq="",B1263=pa_eq)),1,0)</f>
        <v>0.0</v>
      </c>
    </row>
    <row r="1264">
      <c r="A1264" s="51" t="n"/>
      <c r="B1264" s="52" t="n"/>
      <c r="C1264" s="52" t="n"/>
      <c r="D1264" s="53" t="n"/>
      <c r="E1264" s="60" t="n"/>
      <c r="F1264" s="53" t="n"/>
      <c r="G1264" s="61" t="str">
        <f>IF(OR(COUNTA(A1264:E1264)=0,D1264=""),"",IFERROR(INDEX(ca_fam,MATCH(D1264,ca_name,0))&amp;"",""))</f>
        <v/>
      </c>
      <c r="H1264" s="58" t="str">
        <f>IF(OR(COUNTA(A1264:E1264)=0,D1264=""),"",IFERROR(INDEX(ca_type,MATCH(D1264,ca_name,0))&amp;"",""))</f>
        <v/>
      </c>
      <c r="I1264" s="58" t="str">
        <f>IF(COUNTA(A1264:E1264)=0,"",IF(N(A1264)&lt;=0,"Date manquante ou invalide",IF(B1264="","Équipe manquante",IF(ISNA(MATCH(B1264,eq_code,0)),"Équipe inconnue",IF(C1264="","Poste manquant",IF(ISNA(MATCH(C1264,po_code,0)),"Poste inconnu",IF(D1264="","Cause manquante",IF(ISNA(MATCH(D1264,ca_name,0)),"Cause inconnue",IF(H1264="","Cause à compléter dans Paramètres",IF(OR(NOT(ISNUMBER(E1264)),N(E1264)&lt;=0,N(E1264)&gt;1440),"Durée invalide",IF(COUNTIFS(sj_date,A1264,sj_eq,B1264,sj_po,C1264)=0,"Pas de saisie journalière ce jour-là","OK")))))))))))</f>
        <v/>
      </c>
      <c r="J1264">
        <f>IF(OR(I1264="OK",I1264="Pas de saisie journalière ce jour-là"),E1264,0)</f>
        <v>0.0</v>
      </c>
      <c r="K1264">
        <f>IF(AND(J1264&gt;0,A1264&gt;=p_from,A1264&lt;=p_to),1,0)</f>
        <v>0.0</v>
      </c>
      <c r="L1264">
        <f>IF(AND(K1264=1,OR(pa_po="",C1264=pa_po),OR(pa_eq="",B1264=pa_eq)),1,0)</f>
        <v>0.0</v>
      </c>
    </row>
    <row r="1265">
      <c r="A1265" s="51" t="n"/>
      <c r="B1265" s="52" t="n"/>
      <c r="C1265" s="52" t="n"/>
      <c r="D1265" s="53" t="n"/>
      <c r="E1265" s="60" t="n"/>
      <c r="F1265" s="53" t="n"/>
      <c r="G1265" s="61" t="str">
        <f>IF(OR(COUNTA(A1265:E1265)=0,D1265=""),"",IFERROR(INDEX(ca_fam,MATCH(D1265,ca_name,0))&amp;"",""))</f>
        <v/>
      </c>
      <c r="H1265" s="58" t="str">
        <f>IF(OR(COUNTA(A1265:E1265)=0,D1265=""),"",IFERROR(INDEX(ca_type,MATCH(D1265,ca_name,0))&amp;"",""))</f>
        <v/>
      </c>
      <c r="I1265" s="58" t="str">
        <f>IF(COUNTA(A1265:E1265)=0,"",IF(N(A1265)&lt;=0,"Date manquante ou invalide",IF(B1265="","Équipe manquante",IF(ISNA(MATCH(B1265,eq_code,0)),"Équipe inconnue",IF(C1265="","Poste manquant",IF(ISNA(MATCH(C1265,po_code,0)),"Poste inconnu",IF(D1265="","Cause manquante",IF(ISNA(MATCH(D1265,ca_name,0)),"Cause inconnue",IF(H1265="","Cause à compléter dans Paramètres",IF(OR(NOT(ISNUMBER(E1265)),N(E1265)&lt;=0,N(E1265)&gt;1440),"Durée invalide",IF(COUNTIFS(sj_date,A1265,sj_eq,B1265,sj_po,C1265)=0,"Pas de saisie journalière ce jour-là","OK")))))))))))</f>
        <v/>
      </c>
      <c r="J1265">
        <f>IF(OR(I1265="OK",I1265="Pas de saisie journalière ce jour-là"),E1265,0)</f>
        <v>0.0</v>
      </c>
      <c r="K1265">
        <f>IF(AND(J1265&gt;0,A1265&gt;=p_from,A1265&lt;=p_to),1,0)</f>
        <v>0.0</v>
      </c>
      <c r="L1265">
        <f>IF(AND(K1265=1,OR(pa_po="",C1265=pa_po),OR(pa_eq="",B1265=pa_eq)),1,0)</f>
        <v>0.0</v>
      </c>
    </row>
    <row r="1266">
      <c r="A1266" s="51" t="n"/>
      <c r="B1266" s="52" t="n"/>
      <c r="C1266" s="52" t="n"/>
      <c r="D1266" s="53" t="n"/>
      <c r="E1266" s="60" t="n"/>
      <c r="F1266" s="53" t="n"/>
      <c r="G1266" s="61" t="str">
        <f>IF(OR(COUNTA(A1266:E1266)=0,D1266=""),"",IFERROR(INDEX(ca_fam,MATCH(D1266,ca_name,0))&amp;"",""))</f>
        <v/>
      </c>
      <c r="H1266" s="58" t="str">
        <f>IF(OR(COUNTA(A1266:E1266)=0,D1266=""),"",IFERROR(INDEX(ca_type,MATCH(D1266,ca_name,0))&amp;"",""))</f>
        <v/>
      </c>
      <c r="I1266" s="58" t="str">
        <f>IF(COUNTA(A1266:E1266)=0,"",IF(N(A1266)&lt;=0,"Date manquante ou invalide",IF(B1266="","Équipe manquante",IF(ISNA(MATCH(B1266,eq_code,0)),"Équipe inconnue",IF(C1266="","Poste manquant",IF(ISNA(MATCH(C1266,po_code,0)),"Poste inconnu",IF(D1266="","Cause manquante",IF(ISNA(MATCH(D1266,ca_name,0)),"Cause inconnue",IF(H1266="","Cause à compléter dans Paramètres",IF(OR(NOT(ISNUMBER(E1266)),N(E1266)&lt;=0,N(E1266)&gt;1440),"Durée invalide",IF(COUNTIFS(sj_date,A1266,sj_eq,B1266,sj_po,C1266)=0,"Pas de saisie journalière ce jour-là","OK")))))))))))</f>
        <v/>
      </c>
      <c r="J1266">
        <f>IF(OR(I1266="OK",I1266="Pas de saisie journalière ce jour-là"),E1266,0)</f>
        <v>0.0</v>
      </c>
      <c r="K1266">
        <f>IF(AND(J1266&gt;0,A1266&gt;=p_from,A1266&lt;=p_to),1,0)</f>
        <v>0.0</v>
      </c>
      <c r="L1266">
        <f>IF(AND(K1266=1,OR(pa_po="",C1266=pa_po),OR(pa_eq="",B1266=pa_eq)),1,0)</f>
        <v>0.0</v>
      </c>
    </row>
    <row r="1267">
      <c r="A1267" s="51" t="n"/>
      <c r="B1267" s="52" t="n"/>
      <c r="C1267" s="52" t="n"/>
      <c r="D1267" s="53" t="n"/>
      <c r="E1267" s="60" t="n"/>
      <c r="F1267" s="53" t="n"/>
      <c r="G1267" s="61" t="str">
        <f>IF(OR(COUNTA(A1267:E1267)=0,D1267=""),"",IFERROR(INDEX(ca_fam,MATCH(D1267,ca_name,0))&amp;"",""))</f>
        <v/>
      </c>
      <c r="H1267" s="58" t="str">
        <f>IF(OR(COUNTA(A1267:E1267)=0,D1267=""),"",IFERROR(INDEX(ca_type,MATCH(D1267,ca_name,0))&amp;"",""))</f>
        <v/>
      </c>
      <c r="I1267" s="58" t="str">
        <f>IF(COUNTA(A1267:E1267)=0,"",IF(N(A1267)&lt;=0,"Date manquante ou invalide",IF(B1267="","Équipe manquante",IF(ISNA(MATCH(B1267,eq_code,0)),"Équipe inconnue",IF(C1267="","Poste manquant",IF(ISNA(MATCH(C1267,po_code,0)),"Poste inconnu",IF(D1267="","Cause manquante",IF(ISNA(MATCH(D1267,ca_name,0)),"Cause inconnue",IF(H1267="","Cause à compléter dans Paramètres",IF(OR(NOT(ISNUMBER(E1267)),N(E1267)&lt;=0,N(E1267)&gt;1440),"Durée invalide",IF(COUNTIFS(sj_date,A1267,sj_eq,B1267,sj_po,C1267)=0,"Pas de saisie journalière ce jour-là","OK")))))))))))</f>
        <v/>
      </c>
      <c r="J1267">
        <f>IF(OR(I1267="OK",I1267="Pas de saisie journalière ce jour-là"),E1267,0)</f>
        <v>0.0</v>
      </c>
      <c r="K1267">
        <f>IF(AND(J1267&gt;0,A1267&gt;=p_from,A1267&lt;=p_to),1,0)</f>
        <v>0.0</v>
      </c>
      <c r="L1267">
        <f>IF(AND(K1267=1,OR(pa_po="",C1267=pa_po),OR(pa_eq="",B1267=pa_eq)),1,0)</f>
        <v>0.0</v>
      </c>
    </row>
    <row r="1268">
      <c r="A1268" s="51" t="n"/>
      <c r="B1268" s="52" t="n"/>
      <c r="C1268" s="52" t="n"/>
      <c r="D1268" s="53" t="n"/>
      <c r="E1268" s="60" t="n"/>
      <c r="F1268" s="53" t="n"/>
      <c r="G1268" s="61" t="str">
        <f>IF(OR(COUNTA(A1268:E1268)=0,D1268=""),"",IFERROR(INDEX(ca_fam,MATCH(D1268,ca_name,0))&amp;"",""))</f>
        <v/>
      </c>
      <c r="H1268" s="58" t="str">
        <f>IF(OR(COUNTA(A1268:E1268)=0,D1268=""),"",IFERROR(INDEX(ca_type,MATCH(D1268,ca_name,0))&amp;"",""))</f>
        <v/>
      </c>
      <c r="I1268" s="58" t="str">
        <f>IF(COUNTA(A1268:E1268)=0,"",IF(N(A1268)&lt;=0,"Date manquante ou invalide",IF(B1268="","Équipe manquante",IF(ISNA(MATCH(B1268,eq_code,0)),"Équipe inconnue",IF(C1268="","Poste manquant",IF(ISNA(MATCH(C1268,po_code,0)),"Poste inconnu",IF(D1268="","Cause manquante",IF(ISNA(MATCH(D1268,ca_name,0)),"Cause inconnue",IF(H1268="","Cause à compléter dans Paramètres",IF(OR(NOT(ISNUMBER(E1268)),N(E1268)&lt;=0,N(E1268)&gt;1440),"Durée invalide",IF(COUNTIFS(sj_date,A1268,sj_eq,B1268,sj_po,C1268)=0,"Pas de saisie journalière ce jour-là","OK")))))))))))</f>
        <v/>
      </c>
      <c r="J1268">
        <f>IF(OR(I1268="OK",I1268="Pas de saisie journalière ce jour-là"),E1268,0)</f>
        <v>0.0</v>
      </c>
      <c r="K1268">
        <f>IF(AND(J1268&gt;0,A1268&gt;=p_from,A1268&lt;=p_to),1,0)</f>
        <v>0.0</v>
      </c>
      <c r="L1268">
        <f>IF(AND(K1268=1,OR(pa_po="",C1268=pa_po),OR(pa_eq="",B1268=pa_eq)),1,0)</f>
        <v>0.0</v>
      </c>
    </row>
    <row r="1269">
      <c r="A1269" s="51" t="n"/>
      <c r="B1269" s="52" t="n"/>
      <c r="C1269" s="52" t="n"/>
      <c r="D1269" s="53" t="n"/>
      <c r="E1269" s="60" t="n"/>
      <c r="F1269" s="53" t="n"/>
      <c r="G1269" s="61" t="str">
        <f>IF(OR(COUNTA(A1269:E1269)=0,D1269=""),"",IFERROR(INDEX(ca_fam,MATCH(D1269,ca_name,0))&amp;"",""))</f>
        <v/>
      </c>
      <c r="H1269" s="58" t="str">
        <f>IF(OR(COUNTA(A1269:E1269)=0,D1269=""),"",IFERROR(INDEX(ca_type,MATCH(D1269,ca_name,0))&amp;"",""))</f>
        <v/>
      </c>
      <c r="I1269" s="58" t="str">
        <f>IF(COUNTA(A1269:E1269)=0,"",IF(N(A1269)&lt;=0,"Date manquante ou invalide",IF(B1269="","Équipe manquante",IF(ISNA(MATCH(B1269,eq_code,0)),"Équipe inconnue",IF(C1269="","Poste manquant",IF(ISNA(MATCH(C1269,po_code,0)),"Poste inconnu",IF(D1269="","Cause manquante",IF(ISNA(MATCH(D1269,ca_name,0)),"Cause inconnue",IF(H1269="","Cause à compléter dans Paramètres",IF(OR(NOT(ISNUMBER(E1269)),N(E1269)&lt;=0,N(E1269)&gt;1440),"Durée invalide",IF(COUNTIFS(sj_date,A1269,sj_eq,B1269,sj_po,C1269)=0,"Pas de saisie journalière ce jour-là","OK")))))))))))</f>
        <v/>
      </c>
      <c r="J1269">
        <f>IF(OR(I1269="OK",I1269="Pas de saisie journalière ce jour-là"),E1269,0)</f>
        <v>0.0</v>
      </c>
      <c r="K1269">
        <f>IF(AND(J1269&gt;0,A1269&gt;=p_from,A1269&lt;=p_to),1,0)</f>
        <v>0.0</v>
      </c>
      <c r="L1269">
        <f>IF(AND(K1269=1,OR(pa_po="",C1269=pa_po),OR(pa_eq="",B1269=pa_eq)),1,0)</f>
        <v>0.0</v>
      </c>
    </row>
    <row r="1270">
      <c r="A1270" s="51" t="n"/>
      <c r="B1270" s="52" t="n"/>
      <c r="C1270" s="52" t="n"/>
      <c r="D1270" s="53" t="n"/>
      <c r="E1270" s="60" t="n"/>
      <c r="F1270" s="53" t="n"/>
      <c r="G1270" s="61" t="str">
        <f>IF(OR(COUNTA(A1270:E1270)=0,D1270=""),"",IFERROR(INDEX(ca_fam,MATCH(D1270,ca_name,0))&amp;"",""))</f>
        <v/>
      </c>
      <c r="H1270" s="58" t="str">
        <f>IF(OR(COUNTA(A1270:E1270)=0,D1270=""),"",IFERROR(INDEX(ca_type,MATCH(D1270,ca_name,0))&amp;"",""))</f>
        <v/>
      </c>
      <c r="I1270" s="58" t="str">
        <f>IF(COUNTA(A1270:E1270)=0,"",IF(N(A1270)&lt;=0,"Date manquante ou invalide",IF(B1270="","Équipe manquante",IF(ISNA(MATCH(B1270,eq_code,0)),"Équipe inconnue",IF(C1270="","Poste manquant",IF(ISNA(MATCH(C1270,po_code,0)),"Poste inconnu",IF(D1270="","Cause manquante",IF(ISNA(MATCH(D1270,ca_name,0)),"Cause inconnue",IF(H1270="","Cause à compléter dans Paramètres",IF(OR(NOT(ISNUMBER(E1270)),N(E1270)&lt;=0,N(E1270)&gt;1440),"Durée invalide",IF(COUNTIFS(sj_date,A1270,sj_eq,B1270,sj_po,C1270)=0,"Pas de saisie journalière ce jour-là","OK")))))))))))</f>
        <v/>
      </c>
      <c r="J1270">
        <f>IF(OR(I1270="OK",I1270="Pas de saisie journalière ce jour-là"),E1270,0)</f>
        <v>0.0</v>
      </c>
      <c r="K1270">
        <f>IF(AND(J1270&gt;0,A1270&gt;=p_from,A1270&lt;=p_to),1,0)</f>
        <v>0.0</v>
      </c>
      <c r="L1270">
        <f>IF(AND(K1270=1,OR(pa_po="",C1270=pa_po),OR(pa_eq="",B1270=pa_eq)),1,0)</f>
        <v>0.0</v>
      </c>
    </row>
    <row r="1271">
      <c r="A1271" s="51" t="n"/>
      <c r="B1271" s="52" t="n"/>
      <c r="C1271" s="52" t="n"/>
      <c r="D1271" s="53" t="n"/>
      <c r="E1271" s="60" t="n"/>
      <c r="F1271" s="53" t="n"/>
      <c r="G1271" s="61" t="str">
        <f>IF(OR(COUNTA(A1271:E1271)=0,D1271=""),"",IFERROR(INDEX(ca_fam,MATCH(D1271,ca_name,0))&amp;"",""))</f>
        <v/>
      </c>
      <c r="H1271" s="58" t="str">
        <f>IF(OR(COUNTA(A1271:E1271)=0,D1271=""),"",IFERROR(INDEX(ca_type,MATCH(D1271,ca_name,0))&amp;"",""))</f>
        <v/>
      </c>
      <c r="I1271" s="58" t="str">
        <f>IF(COUNTA(A1271:E1271)=0,"",IF(N(A1271)&lt;=0,"Date manquante ou invalide",IF(B1271="","Équipe manquante",IF(ISNA(MATCH(B1271,eq_code,0)),"Équipe inconnue",IF(C1271="","Poste manquant",IF(ISNA(MATCH(C1271,po_code,0)),"Poste inconnu",IF(D1271="","Cause manquante",IF(ISNA(MATCH(D1271,ca_name,0)),"Cause inconnue",IF(H1271="","Cause à compléter dans Paramètres",IF(OR(NOT(ISNUMBER(E1271)),N(E1271)&lt;=0,N(E1271)&gt;1440),"Durée invalide",IF(COUNTIFS(sj_date,A1271,sj_eq,B1271,sj_po,C1271)=0,"Pas de saisie journalière ce jour-là","OK")))))))))))</f>
        <v/>
      </c>
      <c r="J1271">
        <f>IF(OR(I1271="OK",I1271="Pas de saisie journalière ce jour-là"),E1271,0)</f>
        <v>0.0</v>
      </c>
      <c r="K1271">
        <f>IF(AND(J1271&gt;0,A1271&gt;=p_from,A1271&lt;=p_to),1,0)</f>
        <v>0.0</v>
      </c>
      <c r="L1271">
        <f>IF(AND(K1271=1,OR(pa_po="",C1271=pa_po),OR(pa_eq="",B1271=pa_eq)),1,0)</f>
        <v>0.0</v>
      </c>
    </row>
    <row r="1272">
      <c r="A1272" s="51" t="n"/>
      <c r="B1272" s="52" t="n"/>
      <c r="C1272" s="52" t="n"/>
      <c r="D1272" s="53" t="n"/>
      <c r="E1272" s="60" t="n"/>
      <c r="F1272" s="53" t="n"/>
      <c r="G1272" s="61" t="str">
        <f>IF(OR(COUNTA(A1272:E1272)=0,D1272=""),"",IFERROR(INDEX(ca_fam,MATCH(D1272,ca_name,0))&amp;"",""))</f>
        <v/>
      </c>
      <c r="H1272" s="58" t="str">
        <f>IF(OR(COUNTA(A1272:E1272)=0,D1272=""),"",IFERROR(INDEX(ca_type,MATCH(D1272,ca_name,0))&amp;"",""))</f>
        <v/>
      </c>
      <c r="I1272" s="58" t="str">
        <f>IF(COUNTA(A1272:E1272)=0,"",IF(N(A1272)&lt;=0,"Date manquante ou invalide",IF(B1272="","Équipe manquante",IF(ISNA(MATCH(B1272,eq_code,0)),"Équipe inconnue",IF(C1272="","Poste manquant",IF(ISNA(MATCH(C1272,po_code,0)),"Poste inconnu",IF(D1272="","Cause manquante",IF(ISNA(MATCH(D1272,ca_name,0)),"Cause inconnue",IF(H1272="","Cause à compléter dans Paramètres",IF(OR(NOT(ISNUMBER(E1272)),N(E1272)&lt;=0,N(E1272)&gt;1440),"Durée invalide",IF(COUNTIFS(sj_date,A1272,sj_eq,B1272,sj_po,C1272)=0,"Pas de saisie journalière ce jour-là","OK")))))))))))</f>
        <v/>
      </c>
      <c r="J1272">
        <f>IF(OR(I1272="OK",I1272="Pas de saisie journalière ce jour-là"),E1272,0)</f>
        <v>0.0</v>
      </c>
      <c r="K1272">
        <f>IF(AND(J1272&gt;0,A1272&gt;=p_from,A1272&lt;=p_to),1,0)</f>
        <v>0.0</v>
      </c>
      <c r="L1272">
        <f>IF(AND(K1272=1,OR(pa_po="",C1272=pa_po),OR(pa_eq="",B1272=pa_eq)),1,0)</f>
        <v>0.0</v>
      </c>
    </row>
    <row r="1273">
      <c r="A1273" s="51" t="n"/>
      <c r="B1273" s="52" t="n"/>
      <c r="C1273" s="52" t="n"/>
      <c r="D1273" s="53" t="n"/>
      <c r="E1273" s="60" t="n"/>
      <c r="F1273" s="53" t="n"/>
      <c r="G1273" s="61" t="str">
        <f>IF(OR(COUNTA(A1273:E1273)=0,D1273=""),"",IFERROR(INDEX(ca_fam,MATCH(D1273,ca_name,0))&amp;"",""))</f>
        <v/>
      </c>
      <c r="H1273" s="58" t="str">
        <f>IF(OR(COUNTA(A1273:E1273)=0,D1273=""),"",IFERROR(INDEX(ca_type,MATCH(D1273,ca_name,0))&amp;"",""))</f>
        <v/>
      </c>
      <c r="I1273" s="58" t="str">
        <f>IF(COUNTA(A1273:E1273)=0,"",IF(N(A1273)&lt;=0,"Date manquante ou invalide",IF(B1273="","Équipe manquante",IF(ISNA(MATCH(B1273,eq_code,0)),"Équipe inconnue",IF(C1273="","Poste manquant",IF(ISNA(MATCH(C1273,po_code,0)),"Poste inconnu",IF(D1273="","Cause manquante",IF(ISNA(MATCH(D1273,ca_name,0)),"Cause inconnue",IF(H1273="","Cause à compléter dans Paramètres",IF(OR(NOT(ISNUMBER(E1273)),N(E1273)&lt;=0,N(E1273)&gt;1440),"Durée invalide",IF(COUNTIFS(sj_date,A1273,sj_eq,B1273,sj_po,C1273)=0,"Pas de saisie journalière ce jour-là","OK")))))))))))</f>
        <v/>
      </c>
      <c r="J1273">
        <f>IF(OR(I1273="OK",I1273="Pas de saisie journalière ce jour-là"),E1273,0)</f>
        <v>0.0</v>
      </c>
      <c r="K1273">
        <f>IF(AND(J1273&gt;0,A1273&gt;=p_from,A1273&lt;=p_to),1,0)</f>
        <v>0.0</v>
      </c>
      <c r="L1273">
        <f>IF(AND(K1273=1,OR(pa_po="",C1273=pa_po),OR(pa_eq="",B1273=pa_eq)),1,0)</f>
        <v>0.0</v>
      </c>
    </row>
    <row r="1274">
      <c r="A1274" s="51" t="n"/>
      <c r="B1274" s="52" t="n"/>
      <c r="C1274" s="52" t="n"/>
      <c r="D1274" s="53" t="n"/>
      <c r="E1274" s="60" t="n"/>
      <c r="F1274" s="53" t="n"/>
      <c r="G1274" s="61" t="str">
        <f>IF(OR(COUNTA(A1274:E1274)=0,D1274=""),"",IFERROR(INDEX(ca_fam,MATCH(D1274,ca_name,0))&amp;"",""))</f>
        <v/>
      </c>
      <c r="H1274" s="58" t="str">
        <f>IF(OR(COUNTA(A1274:E1274)=0,D1274=""),"",IFERROR(INDEX(ca_type,MATCH(D1274,ca_name,0))&amp;"",""))</f>
        <v/>
      </c>
      <c r="I1274" s="58" t="str">
        <f>IF(COUNTA(A1274:E1274)=0,"",IF(N(A1274)&lt;=0,"Date manquante ou invalide",IF(B1274="","Équipe manquante",IF(ISNA(MATCH(B1274,eq_code,0)),"Équipe inconnue",IF(C1274="","Poste manquant",IF(ISNA(MATCH(C1274,po_code,0)),"Poste inconnu",IF(D1274="","Cause manquante",IF(ISNA(MATCH(D1274,ca_name,0)),"Cause inconnue",IF(H1274="","Cause à compléter dans Paramètres",IF(OR(NOT(ISNUMBER(E1274)),N(E1274)&lt;=0,N(E1274)&gt;1440),"Durée invalide",IF(COUNTIFS(sj_date,A1274,sj_eq,B1274,sj_po,C1274)=0,"Pas de saisie journalière ce jour-là","OK")))))))))))</f>
        <v/>
      </c>
      <c r="J1274">
        <f>IF(OR(I1274="OK",I1274="Pas de saisie journalière ce jour-là"),E1274,0)</f>
        <v>0.0</v>
      </c>
      <c r="K1274">
        <f>IF(AND(J1274&gt;0,A1274&gt;=p_from,A1274&lt;=p_to),1,0)</f>
        <v>0.0</v>
      </c>
      <c r="L1274">
        <f>IF(AND(K1274=1,OR(pa_po="",C1274=pa_po),OR(pa_eq="",B1274=pa_eq)),1,0)</f>
        <v>0.0</v>
      </c>
    </row>
    <row r="1275">
      <c r="A1275" s="51" t="n"/>
      <c r="B1275" s="52" t="n"/>
      <c r="C1275" s="52" t="n"/>
      <c r="D1275" s="53" t="n"/>
      <c r="E1275" s="60" t="n"/>
      <c r="F1275" s="53" t="n"/>
      <c r="G1275" s="61" t="str">
        <f>IF(OR(COUNTA(A1275:E1275)=0,D1275=""),"",IFERROR(INDEX(ca_fam,MATCH(D1275,ca_name,0))&amp;"",""))</f>
        <v/>
      </c>
      <c r="H1275" s="58" t="str">
        <f>IF(OR(COUNTA(A1275:E1275)=0,D1275=""),"",IFERROR(INDEX(ca_type,MATCH(D1275,ca_name,0))&amp;"",""))</f>
        <v/>
      </c>
      <c r="I1275" s="58" t="str">
        <f>IF(COUNTA(A1275:E1275)=0,"",IF(N(A1275)&lt;=0,"Date manquante ou invalide",IF(B1275="","Équipe manquante",IF(ISNA(MATCH(B1275,eq_code,0)),"Équipe inconnue",IF(C1275="","Poste manquant",IF(ISNA(MATCH(C1275,po_code,0)),"Poste inconnu",IF(D1275="","Cause manquante",IF(ISNA(MATCH(D1275,ca_name,0)),"Cause inconnue",IF(H1275="","Cause à compléter dans Paramètres",IF(OR(NOT(ISNUMBER(E1275)),N(E1275)&lt;=0,N(E1275)&gt;1440),"Durée invalide",IF(COUNTIFS(sj_date,A1275,sj_eq,B1275,sj_po,C1275)=0,"Pas de saisie journalière ce jour-là","OK")))))))))))</f>
        <v/>
      </c>
      <c r="J1275">
        <f>IF(OR(I1275="OK",I1275="Pas de saisie journalière ce jour-là"),E1275,0)</f>
        <v>0.0</v>
      </c>
      <c r="K1275">
        <f>IF(AND(J1275&gt;0,A1275&gt;=p_from,A1275&lt;=p_to),1,0)</f>
        <v>0.0</v>
      </c>
      <c r="L1275">
        <f>IF(AND(K1275=1,OR(pa_po="",C1275=pa_po),OR(pa_eq="",B1275=pa_eq)),1,0)</f>
        <v>0.0</v>
      </c>
    </row>
    <row r="1276">
      <c r="A1276" s="51" t="n"/>
      <c r="B1276" s="52" t="n"/>
      <c r="C1276" s="52" t="n"/>
      <c r="D1276" s="53" t="n"/>
      <c r="E1276" s="60" t="n"/>
      <c r="F1276" s="53" t="n"/>
      <c r="G1276" s="61" t="str">
        <f>IF(OR(COUNTA(A1276:E1276)=0,D1276=""),"",IFERROR(INDEX(ca_fam,MATCH(D1276,ca_name,0))&amp;"",""))</f>
        <v/>
      </c>
      <c r="H1276" s="58" t="str">
        <f>IF(OR(COUNTA(A1276:E1276)=0,D1276=""),"",IFERROR(INDEX(ca_type,MATCH(D1276,ca_name,0))&amp;"",""))</f>
        <v/>
      </c>
      <c r="I1276" s="58" t="str">
        <f>IF(COUNTA(A1276:E1276)=0,"",IF(N(A1276)&lt;=0,"Date manquante ou invalide",IF(B1276="","Équipe manquante",IF(ISNA(MATCH(B1276,eq_code,0)),"Équipe inconnue",IF(C1276="","Poste manquant",IF(ISNA(MATCH(C1276,po_code,0)),"Poste inconnu",IF(D1276="","Cause manquante",IF(ISNA(MATCH(D1276,ca_name,0)),"Cause inconnue",IF(H1276="","Cause à compléter dans Paramètres",IF(OR(NOT(ISNUMBER(E1276)),N(E1276)&lt;=0,N(E1276)&gt;1440),"Durée invalide",IF(COUNTIFS(sj_date,A1276,sj_eq,B1276,sj_po,C1276)=0,"Pas de saisie journalière ce jour-là","OK")))))))))))</f>
        <v/>
      </c>
      <c r="J1276">
        <f>IF(OR(I1276="OK",I1276="Pas de saisie journalière ce jour-là"),E1276,0)</f>
        <v>0.0</v>
      </c>
      <c r="K1276">
        <f>IF(AND(J1276&gt;0,A1276&gt;=p_from,A1276&lt;=p_to),1,0)</f>
        <v>0.0</v>
      </c>
      <c r="L1276">
        <f>IF(AND(K1276=1,OR(pa_po="",C1276=pa_po),OR(pa_eq="",B1276=pa_eq)),1,0)</f>
        <v>0.0</v>
      </c>
    </row>
    <row r="1277">
      <c r="A1277" s="51" t="n"/>
      <c r="B1277" s="52" t="n"/>
      <c r="C1277" s="52" t="n"/>
      <c r="D1277" s="53" t="n"/>
      <c r="E1277" s="60" t="n"/>
      <c r="F1277" s="53" t="n"/>
      <c r="G1277" s="61" t="str">
        <f>IF(OR(COUNTA(A1277:E1277)=0,D1277=""),"",IFERROR(INDEX(ca_fam,MATCH(D1277,ca_name,0))&amp;"",""))</f>
        <v/>
      </c>
      <c r="H1277" s="58" t="str">
        <f>IF(OR(COUNTA(A1277:E1277)=0,D1277=""),"",IFERROR(INDEX(ca_type,MATCH(D1277,ca_name,0))&amp;"",""))</f>
        <v/>
      </c>
      <c r="I1277" s="58" t="str">
        <f>IF(COUNTA(A1277:E1277)=0,"",IF(N(A1277)&lt;=0,"Date manquante ou invalide",IF(B1277="","Équipe manquante",IF(ISNA(MATCH(B1277,eq_code,0)),"Équipe inconnue",IF(C1277="","Poste manquant",IF(ISNA(MATCH(C1277,po_code,0)),"Poste inconnu",IF(D1277="","Cause manquante",IF(ISNA(MATCH(D1277,ca_name,0)),"Cause inconnue",IF(H1277="","Cause à compléter dans Paramètres",IF(OR(NOT(ISNUMBER(E1277)),N(E1277)&lt;=0,N(E1277)&gt;1440),"Durée invalide",IF(COUNTIFS(sj_date,A1277,sj_eq,B1277,sj_po,C1277)=0,"Pas de saisie journalière ce jour-là","OK")))))))))))</f>
        <v/>
      </c>
      <c r="J1277">
        <f>IF(OR(I1277="OK",I1277="Pas de saisie journalière ce jour-là"),E1277,0)</f>
        <v>0.0</v>
      </c>
      <c r="K1277">
        <f>IF(AND(J1277&gt;0,A1277&gt;=p_from,A1277&lt;=p_to),1,0)</f>
        <v>0.0</v>
      </c>
      <c r="L1277">
        <f>IF(AND(K1277=1,OR(pa_po="",C1277=pa_po),OR(pa_eq="",B1277=pa_eq)),1,0)</f>
        <v>0.0</v>
      </c>
    </row>
    <row r="1278">
      <c r="A1278" s="51" t="n"/>
      <c r="B1278" s="52" t="n"/>
      <c r="C1278" s="52" t="n"/>
      <c r="D1278" s="53" t="n"/>
      <c r="E1278" s="60" t="n"/>
      <c r="F1278" s="53" t="n"/>
      <c r="G1278" s="61" t="str">
        <f>IF(OR(COUNTA(A1278:E1278)=0,D1278=""),"",IFERROR(INDEX(ca_fam,MATCH(D1278,ca_name,0))&amp;"",""))</f>
        <v/>
      </c>
      <c r="H1278" s="58" t="str">
        <f>IF(OR(COUNTA(A1278:E1278)=0,D1278=""),"",IFERROR(INDEX(ca_type,MATCH(D1278,ca_name,0))&amp;"",""))</f>
        <v/>
      </c>
      <c r="I1278" s="58" t="str">
        <f>IF(COUNTA(A1278:E1278)=0,"",IF(N(A1278)&lt;=0,"Date manquante ou invalide",IF(B1278="","Équipe manquante",IF(ISNA(MATCH(B1278,eq_code,0)),"Équipe inconnue",IF(C1278="","Poste manquant",IF(ISNA(MATCH(C1278,po_code,0)),"Poste inconnu",IF(D1278="","Cause manquante",IF(ISNA(MATCH(D1278,ca_name,0)),"Cause inconnue",IF(H1278="","Cause à compléter dans Paramètres",IF(OR(NOT(ISNUMBER(E1278)),N(E1278)&lt;=0,N(E1278)&gt;1440),"Durée invalide",IF(COUNTIFS(sj_date,A1278,sj_eq,B1278,sj_po,C1278)=0,"Pas de saisie journalière ce jour-là","OK")))))))))))</f>
        <v/>
      </c>
      <c r="J1278">
        <f>IF(OR(I1278="OK",I1278="Pas de saisie journalière ce jour-là"),E1278,0)</f>
        <v>0.0</v>
      </c>
      <c r="K1278">
        <f>IF(AND(J1278&gt;0,A1278&gt;=p_from,A1278&lt;=p_to),1,0)</f>
        <v>0.0</v>
      </c>
      <c r="L1278">
        <f>IF(AND(K1278=1,OR(pa_po="",C1278=pa_po),OR(pa_eq="",B1278=pa_eq)),1,0)</f>
        <v>0.0</v>
      </c>
    </row>
    <row r="1279">
      <c r="A1279" s="51" t="n"/>
      <c r="B1279" s="52" t="n"/>
      <c r="C1279" s="52" t="n"/>
      <c r="D1279" s="53" t="n"/>
      <c r="E1279" s="60" t="n"/>
      <c r="F1279" s="53" t="n"/>
      <c r="G1279" s="61" t="str">
        <f>IF(OR(COUNTA(A1279:E1279)=0,D1279=""),"",IFERROR(INDEX(ca_fam,MATCH(D1279,ca_name,0))&amp;"",""))</f>
        <v/>
      </c>
      <c r="H1279" s="58" t="str">
        <f>IF(OR(COUNTA(A1279:E1279)=0,D1279=""),"",IFERROR(INDEX(ca_type,MATCH(D1279,ca_name,0))&amp;"",""))</f>
        <v/>
      </c>
      <c r="I1279" s="58" t="str">
        <f>IF(COUNTA(A1279:E1279)=0,"",IF(N(A1279)&lt;=0,"Date manquante ou invalide",IF(B1279="","Équipe manquante",IF(ISNA(MATCH(B1279,eq_code,0)),"Équipe inconnue",IF(C1279="","Poste manquant",IF(ISNA(MATCH(C1279,po_code,0)),"Poste inconnu",IF(D1279="","Cause manquante",IF(ISNA(MATCH(D1279,ca_name,0)),"Cause inconnue",IF(H1279="","Cause à compléter dans Paramètres",IF(OR(NOT(ISNUMBER(E1279)),N(E1279)&lt;=0,N(E1279)&gt;1440),"Durée invalide",IF(COUNTIFS(sj_date,A1279,sj_eq,B1279,sj_po,C1279)=0,"Pas de saisie journalière ce jour-là","OK")))))))))))</f>
        <v/>
      </c>
      <c r="J1279">
        <f>IF(OR(I1279="OK",I1279="Pas de saisie journalière ce jour-là"),E1279,0)</f>
        <v>0.0</v>
      </c>
      <c r="K1279">
        <f>IF(AND(J1279&gt;0,A1279&gt;=p_from,A1279&lt;=p_to),1,0)</f>
        <v>0.0</v>
      </c>
      <c r="L1279">
        <f>IF(AND(K1279=1,OR(pa_po="",C1279=pa_po),OR(pa_eq="",B1279=pa_eq)),1,0)</f>
        <v>0.0</v>
      </c>
    </row>
    <row r="1280">
      <c r="A1280" s="51" t="n"/>
      <c r="B1280" s="52" t="n"/>
      <c r="C1280" s="52" t="n"/>
      <c r="D1280" s="53" t="n"/>
      <c r="E1280" s="60" t="n"/>
      <c r="F1280" s="53" t="n"/>
      <c r="G1280" s="61" t="str">
        <f>IF(OR(COUNTA(A1280:E1280)=0,D1280=""),"",IFERROR(INDEX(ca_fam,MATCH(D1280,ca_name,0))&amp;"",""))</f>
        <v/>
      </c>
      <c r="H1280" s="58" t="str">
        <f>IF(OR(COUNTA(A1280:E1280)=0,D1280=""),"",IFERROR(INDEX(ca_type,MATCH(D1280,ca_name,0))&amp;"",""))</f>
        <v/>
      </c>
      <c r="I1280" s="58" t="str">
        <f>IF(COUNTA(A1280:E1280)=0,"",IF(N(A1280)&lt;=0,"Date manquante ou invalide",IF(B1280="","Équipe manquante",IF(ISNA(MATCH(B1280,eq_code,0)),"Équipe inconnue",IF(C1280="","Poste manquant",IF(ISNA(MATCH(C1280,po_code,0)),"Poste inconnu",IF(D1280="","Cause manquante",IF(ISNA(MATCH(D1280,ca_name,0)),"Cause inconnue",IF(H1280="","Cause à compléter dans Paramètres",IF(OR(NOT(ISNUMBER(E1280)),N(E1280)&lt;=0,N(E1280)&gt;1440),"Durée invalide",IF(COUNTIFS(sj_date,A1280,sj_eq,B1280,sj_po,C1280)=0,"Pas de saisie journalière ce jour-là","OK")))))))))))</f>
        <v/>
      </c>
      <c r="J1280">
        <f>IF(OR(I1280="OK",I1280="Pas de saisie journalière ce jour-là"),E1280,0)</f>
        <v>0.0</v>
      </c>
      <c r="K1280">
        <f>IF(AND(J1280&gt;0,A1280&gt;=p_from,A1280&lt;=p_to),1,0)</f>
        <v>0.0</v>
      </c>
      <c r="L1280">
        <f>IF(AND(K1280=1,OR(pa_po="",C1280=pa_po),OR(pa_eq="",B1280=pa_eq)),1,0)</f>
        <v>0.0</v>
      </c>
    </row>
    <row r="1281">
      <c r="A1281" s="51" t="n"/>
      <c r="B1281" s="52" t="n"/>
      <c r="C1281" s="52" t="n"/>
      <c r="D1281" s="53" t="n"/>
      <c r="E1281" s="60" t="n"/>
      <c r="F1281" s="53" t="n"/>
      <c r="G1281" s="61" t="str">
        <f>IF(OR(COUNTA(A1281:E1281)=0,D1281=""),"",IFERROR(INDEX(ca_fam,MATCH(D1281,ca_name,0))&amp;"",""))</f>
        <v/>
      </c>
      <c r="H1281" s="58" t="str">
        <f>IF(OR(COUNTA(A1281:E1281)=0,D1281=""),"",IFERROR(INDEX(ca_type,MATCH(D1281,ca_name,0))&amp;"",""))</f>
        <v/>
      </c>
      <c r="I1281" s="58" t="str">
        <f>IF(COUNTA(A1281:E1281)=0,"",IF(N(A1281)&lt;=0,"Date manquante ou invalide",IF(B1281="","Équipe manquante",IF(ISNA(MATCH(B1281,eq_code,0)),"Équipe inconnue",IF(C1281="","Poste manquant",IF(ISNA(MATCH(C1281,po_code,0)),"Poste inconnu",IF(D1281="","Cause manquante",IF(ISNA(MATCH(D1281,ca_name,0)),"Cause inconnue",IF(H1281="","Cause à compléter dans Paramètres",IF(OR(NOT(ISNUMBER(E1281)),N(E1281)&lt;=0,N(E1281)&gt;1440),"Durée invalide",IF(COUNTIFS(sj_date,A1281,sj_eq,B1281,sj_po,C1281)=0,"Pas de saisie journalière ce jour-là","OK")))))))))))</f>
        <v/>
      </c>
      <c r="J1281">
        <f>IF(OR(I1281="OK",I1281="Pas de saisie journalière ce jour-là"),E1281,0)</f>
        <v>0.0</v>
      </c>
      <c r="K1281">
        <f>IF(AND(J1281&gt;0,A1281&gt;=p_from,A1281&lt;=p_to),1,0)</f>
        <v>0.0</v>
      </c>
      <c r="L1281">
        <f>IF(AND(K1281=1,OR(pa_po="",C1281=pa_po),OR(pa_eq="",B1281=pa_eq)),1,0)</f>
        <v>0.0</v>
      </c>
    </row>
    <row r="1282">
      <c r="A1282" s="51" t="n"/>
      <c r="B1282" s="52" t="n"/>
      <c r="C1282" s="52" t="n"/>
      <c r="D1282" s="53" t="n"/>
      <c r="E1282" s="60" t="n"/>
      <c r="F1282" s="53" t="n"/>
      <c r="G1282" s="61" t="str">
        <f>IF(OR(COUNTA(A1282:E1282)=0,D1282=""),"",IFERROR(INDEX(ca_fam,MATCH(D1282,ca_name,0))&amp;"",""))</f>
        <v/>
      </c>
      <c r="H1282" s="58" t="str">
        <f>IF(OR(COUNTA(A1282:E1282)=0,D1282=""),"",IFERROR(INDEX(ca_type,MATCH(D1282,ca_name,0))&amp;"",""))</f>
        <v/>
      </c>
      <c r="I1282" s="58" t="str">
        <f>IF(COUNTA(A1282:E1282)=0,"",IF(N(A1282)&lt;=0,"Date manquante ou invalide",IF(B1282="","Équipe manquante",IF(ISNA(MATCH(B1282,eq_code,0)),"Équipe inconnue",IF(C1282="","Poste manquant",IF(ISNA(MATCH(C1282,po_code,0)),"Poste inconnu",IF(D1282="","Cause manquante",IF(ISNA(MATCH(D1282,ca_name,0)),"Cause inconnue",IF(H1282="","Cause à compléter dans Paramètres",IF(OR(NOT(ISNUMBER(E1282)),N(E1282)&lt;=0,N(E1282)&gt;1440),"Durée invalide",IF(COUNTIFS(sj_date,A1282,sj_eq,B1282,sj_po,C1282)=0,"Pas de saisie journalière ce jour-là","OK")))))))))))</f>
        <v/>
      </c>
      <c r="J1282">
        <f>IF(OR(I1282="OK",I1282="Pas de saisie journalière ce jour-là"),E1282,0)</f>
        <v>0.0</v>
      </c>
      <c r="K1282">
        <f>IF(AND(J1282&gt;0,A1282&gt;=p_from,A1282&lt;=p_to),1,0)</f>
        <v>0.0</v>
      </c>
      <c r="L1282">
        <f>IF(AND(K1282=1,OR(pa_po="",C1282=pa_po),OR(pa_eq="",B1282=pa_eq)),1,0)</f>
        <v>0.0</v>
      </c>
    </row>
    <row r="1283">
      <c r="A1283" s="51" t="n"/>
      <c r="B1283" s="52" t="n"/>
      <c r="C1283" s="52" t="n"/>
      <c r="D1283" s="53" t="n"/>
      <c r="E1283" s="60" t="n"/>
      <c r="F1283" s="53" t="n"/>
      <c r="G1283" s="61" t="str">
        <f>IF(OR(COUNTA(A1283:E1283)=0,D1283=""),"",IFERROR(INDEX(ca_fam,MATCH(D1283,ca_name,0))&amp;"",""))</f>
        <v/>
      </c>
      <c r="H1283" s="58" t="str">
        <f>IF(OR(COUNTA(A1283:E1283)=0,D1283=""),"",IFERROR(INDEX(ca_type,MATCH(D1283,ca_name,0))&amp;"",""))</f>
        <v/>
      </c>
      <c r="I1283" s="58" t="str">
        <f>IF(COUNTA(A1283:E1283)=0,"",IF(N(A1283)&lt;=0,"Date manquante ou invalide",IF(B1283="","Équipe manquante",IF(ISNA(MATCH(B1283,eq_code,0)),"Équipe inconnue",IF(C1283="","Poste manquant",IF(ISNA(MATCH(C1283,po_code,0)),"Poste inconnu",IF(D1283="","Cause manquante",IF(ISNA(MATCH(D1283,ca_name,0)),"Cause inconnue",IF(H1283="","Cause à compléter dans Paramètres",IF(OR(NOT(ISNUMBER(E1283)),N(E1283)&lt;=0,N(E1283)&gt;1440),"Durée invalide",IF(COUNTIFS(sj_date,A1283,sj_eq,B1283,sj_po,C1283)=0,"Pas de saisie journalière ce jour-là","OK")))))))))))</f>
        <v/>
      </c>
      <c r="J1283">
        <f>IF(OR(I1283="OK",I1283="Pas de saisie journalière ce jour-là"),E1283,0)</f>
        <v>0.0</v>
      </c>
      <c r="K1283">
        <f>IF(AND(J1283&gt;0,A1283&gt;=p_from,A1283&lt;=p_to),1,0)</f>
        <v>0.0</v>
      </c>
      <c r="L1283">
        <f>IF(AND(K1283=1,OR(pa_po="",C1283=pa_po),OR(pa_eq="",B1283=pa_eq)),1,0)</f>
        <v>0.0</v>
      </c>
    </row>
    <row r="1284">
      <c r="A1284" s="51" t="n"/>
      <c r="B1284" s="52" t="n"/>
      <c r="C1284" s="52" t="n"/>
      <c r="D1284" s="53" t="n"/>
      <c r="E1284" s="60" t="n"/>
      <c r="F1284" s="53" t="n"/>
      <c r="G1284" s="61" t="str">
        <f>IF(OR(COUNTA(A1284:E1284)=0,D1284=""),"",IFERROR(INDEX(ca_fam,MATCH(D1284,ca_name,0))&amp;"",""))</f>
        <v/>
      </c>
      <c r="H1284" s="58" t="str">
        <f>IF(OR(COUNTA(A1284:E1284)=0,D1284=""),"",IFERROR(INDEX(ca_type,MATCH(D1284,ca_name,0))&amp;"",""))</f>
        <v/>
      </c>
      <c r="I1284" s="58" t="str">
        <f>IF(COUNTA(A1284:E1284)=0,"",IF(N(A1284)&lt;=0,"Date manquante ou invalide",IF(B1284="","Équipe manquante",IF(ISNA(MATCH(B1284,eq_code,0)),"Équipe inconnue",IF(C1284="","Poste manquant",IF(ISNA(MATCH(C1284,po_code,0)),"Poste inconnu",IF(D1284="","Cause manquante",IF(ISNA(MATCH(D1284,ca_name,0)),"Cause inconnue",IF(H1284="","Cause à compléter dans Paramètres",IF(OR(NOT(ISNUMBER(E1284)),N(E1284)&lt;=0,N(E1284)&gt;1440),"Durée invalide",IF(COUNTIFS(sj_date,A1284,sj_eq,B1284,sj_po,C1284)=0,"Pas de saisie journalière ce jour-là","OK")))))))))))</f>
        <v/>
      </c>
      <c r="J1284">
        <f>IF(OR(I1284="OK",I1284="Pas de saisie journalière ce jour-là"),E1284,0)</f>
        <v>0.0</v>
      </c>
      <c r="K1284">
        <f>IF(AND(J1284&gt;0,A1284&gt;=p_from,A1284&lt;=p_to),1,0)</f>
        <v>0.0</v>
      </c>
      <c r="L1284">
        <f>IF(AND(K1284=1,OR(pa_po="",C1284=pa_po),OR(pa_eq="",B1284=pa_eq)),1,0)</f>
        <v>0.0</v>
      </c>
    </row>
    <row r="1285">
      <c r="A1285" s="51" t="n"/>
      <c r="B1285" s="52" t="n"/>
      <c r="C1285" s="52" t="n"/>
      <c r="D1285" s="53" t="n"/>
      <c r="E1285" s="60" t="n"/>
      <c r="F1285" s="53" t="n"/>
      <c r="G1285" s="61" t="str">
        <f>IF(OR(COUNTA(A1285:E1285)=0,D1285=""),"",IFERROR(INDEX(ca_fam,MATCH(D1285,ca_name,0))&amp;"",""))</f>
        <v/>
      </c>
      <c r="H1285" s="58" t="str">
        <f>IF(OR(COUNTA(A1285:E1285)=0,D1285=""),"",IFERROR(INDEX(ca_type,MATCH(D1285,ca_name,0))&amp;"",""))</f>
        <v/>
      </c>
      <c r="I1285" s="58" t="str">
        <f>IF(COUNTA(A1285:E1285)=0,"",IF(N(A1285)&lt;=0,"Date manquante ou invalide",IF(B1285="","Équipe manquante",IF(ISNA(MATCH(B1285,eq_code,0)),"Équipe inconnue",IF(C1285="","Poste manquant",IF(ISNA(MATCH(C1285,po_code,0)),"Poste inconnu",IF(D1285="","Cause manquante",IF(ISNA(MATCH(D1285,ca_name,0)),"Cause inconnue",IF(H1285="","Cause à compléter dans Paramètres",IF(OR(NOT(ISNUMBER(E1285)),N(E1285)&lt;=0,N(E1285)&gt;1440),"Durée invalide",IF(COUNTIFS(sj_date,A1285,sj_eq,B1285,sj_po,C1285)=0,"Pas de saisie journalière ce jour-là","OK")))))))))))</f>
        <v/>
      </c>
      <c r="J1285">
        <f>IF(OR(I1285="OK",I1285="Pas de saisie journalière ce jour-là"),E1285,0)</f>
        <v>0.0</v>
      </c>
      <c r="K1285">
        <f>IF(AND(J1285&gt;0,A1285&gt;=p_from,A1285&lt;=p_to),1,0)</f>
        <v>0.0</v>
      </c>
      <c r="L1285">
        <f>IF(AND(K1285=1,OR(pa_po="",C1285=pa_po),OR(pa_eq="",B1285=pa_eq)),1,0)</f>
        <v>0.0</v>
      </c>
    </row>
    <row r="1286">
      <c r="A1286" s="51" t="n"/>
      <c r="B1286" s="52" t="n"/>
      <c r="C1286" s="52" t="n"/>
      <c r="D1286" s="53" t="n"/>
      <c r="E1286" s="60" t="n"/>
      <c r="F1286" s="53" t="n"/>
      <c r="G1286" s="61" t="str">
        <f>IF(OR(COUNTA(A1286:E1286)=0,D1286=""),"",IFERROR(INDEX(ca_fam,MATCH(D1286,ca_name,0))&amp;"",""))</f>
        <v/>
      </c>
      <c r="H1286" s="58" t="str">
        <f>IF(OR(COUNTA(A1286:E1286)=0,D1286=""),"",IFERROR(INDEX(ca_type,MATCH(D1286,ca_name,0))&amp;"",""))</f>
        <v/>
      </c>
      <c r="I1286" s="58" t="str">
        <f>IF(COUNTA(A1286:E1286)=0,"",IF(N(A1286)&lt;=0,"Date manquante ou invalide",IF(B1286="","Équipe manquante",IF(ISNA(MATCH(B1286,eq_code,0)),"Équipe inconnue",IF(C1286="","Poste manquant",IF(ISNA(MATCH(C1286,po_code,0)),"Poste inconnu",IF(D1286="","Cause manquante",IF(ISNA(MATCH(D1286,ca_name,0)),"Cause inconnue",IF(H1286="","Cause à compléter dans Paramètres",IF(OR(NOT(ISNUMBER(E1286)),N(E1286)&lt;=0,N(E1286)&gt;1440),"Durée invalide",IF(COUNTIFS(sj_date,A1286,sj_eq,B1286,sj_po,C1286)=0,"Pas de saisie journalière ce jour-là","OK")))))))))))</f>
        <v/>
      </c>
      <c r="J1286">
        <f>IF(OR(I1286="OK",I1286="Pas de saisie journalière ce jour-là"),E1286,0)</f>
        <v>0.0</v>
      </c>
      <c r="K1286">
        <f>IF(AND(J1286&gt;0,A1286&gt;=p_from,A1286&lt;=p_to),1,0)</f>
        <v>0.0</v>
      </c>
      <c r="L1286">
        <f>IF(AND(K1286=1,OR(pa_po="",C1286=pa_po),OR(pa_eq="",B1286=pa_eq)),1,0)</f>
        <v>0.0</v>
      </c>
    </row>
    <row r="1287">
      <c r="A1287" s="51" t="n"/>
      <c r="B1287" s="52" t="n"/>
      <c r="C1287" s="52" t="n"/>
      <c r="D1287" s="53" t="n"/>
      <c r="E1287" s="60" t="n"/>
      <c r="F1287" s="53" t="n"/>
      <c r="G1287" s="61" t="str">
        <f>IF(OR(COUNTA(A1287:E1287)=0,D1287=""),"",IFERROR(INDEX(ca_fam,MATCH(D1287,ca_name,0))&amp;"",""))</f>
        <v/>
      </c>
      <c r="H1287" s="58" t="str">
        <f>IF(OR(COUNTA(A1287:E1287)=0,D1287=""),"",IFERROR(INDEX(ca_type,MATCH(D1287,ca_name,0))&amp;"",""))</f>
        <v/>
      </c>
      <c r="I1287" s="58" t="str">
        <f>IF(COUNTA(A1287:E1287)=0,"",IF(N(A1287)&lt;=0,"Date manquante ou invalide",IF(B1287="","Équipe manquante",IF(ISNA(MATCH(B1287,eq_code,0)),"Équipe inconnue",IF(C1287="","Poste manquant",IF(ISNA(MATCH(C1287,po_code,0)),"Poste inconnu",IF(D1287="","Cause manquante",IF(ISNA(MATCH(D1287,ca_name,0)),"Cause inconnue",IF(H1287="","Cause à compléter dans Paramètres",IF(OR(NOT(ISNUMBER(E1287)),N(E1287)&lt;=0,N(E1287)&gt;1440),"Durée invalide",IF(COUNTIFS(sj_date,A1287,sj_eq,B1287,sj_po,C1287)=0,"Pas de saisie journalière ce jour-là","OK")))))))))))</f>
        <v/>
      </c>
      <c r="J1287">
        <f>IF(OR(I1287="OK",I1287="Pas de saisie journalière ce jour-là"),E1287,0)</f>
        <v>0.0</v>
      </c>
      <c r="K1287">
        <f>IF(AND(J1287&gt;0,A1287&gt;=p_from,A1287&lt;=p_to),1,0)</f>
        <v>0.0</v>
      </c>
      <c r="L1287">
        <f>IF(AND(K1287=1,OR(pa_po="",C1287=pa_po),OR(pa_eq="",B1287=pa_eq)),1,0)</f>
        <v>0.0</v>
      </c>
    </row>
    <row r="1288">
      <c r="A1288" s="51" t="n"/>
      <c r="B1288" s="52" t="n"/>
      <c r="C1288" s="52" t="n"/>
      <c r="D1288" s="53" t="n"/>
      <c r="E1288" s="60" t="n"/>
      <c r="F1288" s="53" t="n"/>
      <c r="G1288" s="61" t="str">
        <f>IF(OR(COUNTA(A1288:E1288)=0,D1288=""),"",IFERROR(INDEX(ca_fam,MATCH(D1288,ca_name,0))&amp;"",""))</f>
        <v/>
      </c>
      <c r="H1288" s="58" t="str">
        <f>IF(OR(COUNTA(A1288:E1288)=0,D1288=""),"",IFERROR(INDEX(ca_type,MATCH(D1288,ca_name,0))&amp;"",""))</f>
        <v/>
      </c>
      <c r="I1288" s="58" t="str">
        <f>IF(COUNTA(A1288:E1288)=0,"",IF(N(A1288)&lt;=0,"Date manquante ou invalide",IF(B1288="","Équipe manquante",IF(ISNA(MATCH(B1288,eq_code,0)),"Équipe inconnue",IF(C1288="","Poste manquant",IF(ISNA(MATCH(C1288,po_code,0)),"Poste inconnu",IF(D1288="","Cause manquante",IF(ISNA(MATCH(D1288,ca_name,0)),"Cause inconnue",IF(H1288="","Cause à compléter dans Paramètres",IF(OR(NOT(ISNUMBER(E1288)),N(E1288)&lt;=0,N(E1288)&gt;1440),"Durée invalide",IF(COUNTIFS(sj_date,A1288,sj_eq,B1288,sj_po,C1288)=0,"Pas de saisie journalière ce jour-là","OK")))))))))))</f>
        <v/>
      </c>
      <c r="J1288">
        <f>IF(OR(I1288="OK",I1288="Pas de saisie journalière ce jour-là"),E1288,0)</f>
        <v>0.0</v>
      </c>
      <c r="K1288">
        <f>IF(AND(J1288&gt;0,A1288&gt;=p_from,A1288&lt;=p_to),1,0)</f>
        <v>0.0</v>
      </c>
      <c r="L1288">
        <f>IF(AND(K1288=1,OR(pa_po="",C1288=pa_po),OR(pa_eq="",B1288=pa_eq)),1,0)</f>
        <v>0.0</v>
      </c>
    </row>
    <row r="1289">
      <c r="A1289" s="51" t="n"/>
      <c r="B1289" s="52" t="n"/>
      <c r="C1289" s="52" t="n"/>
      <c r="D1289" s="53" t="n"/>
      <c r="E1289" s="60" t="n"/>
      <c r="F1289" s="53" t="n"/>
      <c r="G1289" s="61" t="str">
        <f>IF(OR(COUNTA(A1289:E1289)=0,D1289=""),"",IFERROR(INDEX(ca_fam,MATCH(D1289,ca_name,0))&amp;"",""))</f>
        <v/>
      </c>
      <c r="H1289" s="58" t="str">
        <f>IF(OR(COUNTA(A1289:E1289)=0,D1289=""),"",IFERROR(INDEX(ca_type,MATCH(D1289,ca_name,0))&amp;"",""))</f>
        <v/>
      </c>
      <c r="I1289" s="58" t="str">
        <f>IF(COUNTA(A1289:E1289)=0,"",IF(N(A1289)&lt;=0,"Date manquante ou invalide",IF(B1289="","Équipe manquante",IF(ISNA(MATCH(B1289,eq_code,0)),"Équipe inconnue",IF(C1289="","Poste manquant",IF(ISNA(MATCH(C1289,po_code,0)),"Poste inconnu",IF(D1289="","Cause manquante",IF(ISNA(MATCH(D1289,ca_name,0)),"Cause inconnue",IF(H1289="","Cause à compléter dans Paramètres",IF(OR(NOT(ISNUMBER(E1289)),N(E1289)&lt;=0,N(E1289)&gt;1440),"Durée invalide",IF(COUNTIFS(sj_date,A1289,sj_eq,B1289,sj_po,C1289)=0,"Pas de saisie journalière ce jour-là","OK")))))))))))</f>
        <v/>
      </c>
      <c r="J1289">
        <f>IF(OR(I1289="OK",I1289="Pas de saisie journalière ce jour-là"),E1289,0)</f>
        <v>0.0</v>
      </c>
      <c r="K1289">
        <f>IF(AND(J1289&gt;0,A1289&gt;=p_from,A1289&lt;=p_to),1,0)</f>
        <v>0.0</v>
      </c>
      <c r="L1289">
        <f>IF(AND(K1289=1,OR(pa_po="",C1289=pa_po),OR(pa_eq="",B1289=pa_eq)),1,0)</f>
        <v>0.0</v>
      </c>
    </row>
    <row r="1290">
      <c r="A1290" s="51" t="n"/>
      <c r="B1290" s="52" t="n"/>
      <c r="C1290" s="52" t="n"/>
      <c r="D1290" s="53" t="n"/>
      <c r="E1290" s="60" t="n"/>
      <c r="F1290" s="53" t="n"/>
      <c r="G1290" s="61" t="str">
        <f>IF(OR(COUNTA(A1290:E1290)=0,D1290=""),"",IFERROR(INDEX(ca_fam,MATCH(D1290,ca_name,0))&amp;"",""))</f>
        <v/>
      </c>
      <c r="H1290" s="58" t="str">
        <f>IF(OR(COUNTA(A1290:E1290)=0,D1290=""),"",IFERROR(INDEX(ca_type,MATCH(D1290,ca_name,0))&amp;"",""))</f>
        <v/>
      </c>
      <c r="I1290" s="58" t="str">
        <f>IF(COUNTA(A1290:E1290)=0,"",IF(N(A1290)&lt;=0,"Date manquante ou invalide",IF(B1290="","Équipe manquante",IF(ISNA(MATCH(B1290,eq_code,0)),"Équipe inconnue",IF(C1290="","Poste manquant",IF(ISNA(MATCH(C1290,po_code,0)),"Poste inconnu",IF(D1290="","Cause manquante",IF(ISNA(MATCH(D1290,ca_name,0)),"Cause inconnue",IF(H1290="","Cause à compléter dans Paramètres",IF(OR(NOT(ISNUMBER(E1290)),N(E1290)&lt;=0,N(E1290)&gt;1440),"Durée invalide",IF(COUNTIFS(sj_date,A1290,sj_eq,B1290,sj_po,C1290)=0,"Pas de saisie journalière ce jour-là","OK")))))))))))</f>
        <v/>
      </c>
      <c r="J1290">
        <f>IF(OR(I1290="OK",I1290="Pas de saisie journalière ce jour-là"),E1290,0)</f>
        <v>0.0</v>
      </c>
      <c r="K1290">
        <f>IF(AND(J1290&gt;0,A1290&gt;=p_from,A1290&lt;=p_to),1,0)</f>
        <v>0.0</v>
      </c>
      <c r="L1290">
        <f>IF(AND(K1290=1,OR(pa_po="",C1290=pa_po),OR(pa_eq="",B1290=pa_eq)),1,0)</f>
        <v>0.0</v>
      </c>
    </row>
    <row r="1291">
      <c r="A1291" s="51" t="n"/>
      <c r="B1291" s="52" t="n"/>
      <c r="C1291" s="52" t="n"/>
      <c r="D1291" s="53" t="n"/>
      <c r="E1291" s="60" t="n"/>
      <c r="F1291" s="53" t="n"/>
      <c r="G1291" s="61" t="str">
        <f>IF(OR(COUNTA(A1291:E1291)=0,D1291=""),"",IFERROR(INDEX(ca_fam,MATCH(D1291,ca_name,0))&amp;"",""))</f>
        <v/>
      </c>
      <c r="H1291" s="58" t="str">
        <f>IF(OR(COUNTA(A1291:E1291)=0,D1291=""),"",IFERROR(INDEX(ca_type,MATCH(D1291,ca_name,0))&amp;"",""))</f>
        <v/>
      </c>
      <c r="I1291" s="58" t="str">
        <f>IF(COUNTA(A1291:E1291)=0,"",IF(N(A1291)&lt;=0,"Date manquante ou invalide",IF(B1291="","Équipe manquante",IF(ISNA(MATCH(B1291,eq_code,0)),"Équipe inconnue",IF(C1291="","Poste manquant",IF(ISNA(MATCH(C1291,po_code,0)),"Poste inconnu",IF(D1291="","Cause manquante",IF(ISNA(MATCH(D1291,ca_name,0)),"Cause inconnue",IF(H1291="","Cause à compléter dans Paramètres",IF(OR(NOT(ISNUMBER(E1291)),N(E1291)&lt;=0,N(E1291)&gt;1440),"Durée invalide",IF(COUNTIFS(sj_date,A1291,sj_eq,B1291,sj_po,C1291)=0,"Pas de saisie journalière ce jour-là","OK")))))))))))</f>
        <v/>
      </c>
      <c r="J1291">
        <f>IF(OR(I1291="OK",I1291="Pas de saisie journalière ce jour-là"),E1291,0)</f>
        <v>0.0</v>
      </c>
      <c r="K1291">
        <f>IF(AND(J1291&gt;0,A1291&gt;=p_from,A1291&lt;=p_to),1,0)</f>
        <v>0.0</v>
      </c>
      <c r="L1291">
        <f>IF(AND(K1291=1,OR(pa_po="",C1291=pa_po),OR(pa_eq="",B1291=pa_eq)),1,0)</f>
        <v>0.0</v>
      </c>
    </row>
    <row r="1292">
      <c r="A1292" s="51" t="n"/>
      <c r="B1292" s="52" t="n"/>
      <c r="C1292" s="52" t="n"/>
      <c r="D1292" s="53" t="n"/>
      <c r="E1292" s="60" t="n"/>
      <c r="F1292" s="53" t="n"/>
      <c r="G1292" s="61" t="str">
        <f>IF(OR(COUNTA(A1292:E1292)=0,D1292=""),"",IFERROR(INDEX(ca_fam,MATCH(D1292,ca_name,0))&amp;"",""))</f>
        <v/>
      </c>
      <c r="H1292" s="58" t="str">
        <f>IF(OR(COUNTA(A1292:E1292)=0,D1292=""),"",IFERROR(INDEX(ca_type,MATCH(D1292,ca_name,0))&amp;"",""))</f>
        <v/>
      </c>
      <c r="I1292" s="58" t="str">
        <f>IF(COUNTA(A1292:E1292)=0,"",IF(N(A1292)&lt;=0,"Date manquante ou invalide",IF(B1292="","Équipe manquante",IF(ISNA(MATCH(B1292,eq_code,0)),"Équipe inconnue",IF(C1292="","Poste manquant",IF(ISNA(MATCH(C1292,po_code,0)),"Poste inconnu",IF(D1292="","Cause manquante",IF(ISNA(MATCH(D1292,ca_name,0)),"Cause inconnue",IF(H1292="","Cause à compléter dans Paramètres",IF(OR(NOT(ISNUMBER(E1292)),N(E1292)&lt;=0,N(E1292)&gt;1440),"Durée invalide",IF(COUNTIFS(sj_date,A1292,sj_eq,B1292,sj_po,C1292)=0,"Pas de saisie journalière ce jour-là","OK")))))))))))</f>
        <v/>
      </c>
      <c r="J1292">
        <f>IF(OR(I1292="OK",I1292="Pas de saisie journalière ce jour-là"),E1292,0)</f>
        <v>0.0</v>
      </c>
      <c r="K1292">
        <f>IF(AND(J1292&gt;0,A1292&gt;=p_from,A1292&lt;=p_to),1,0)</f>
        <v>0.0</v>
      </c>
      <c r="L1292">
        <f>IF(AND(K1292=1,OR(pa_po="",C1292=pa_po),OR(pa_eq="",B1292=pa_eq)),1,0)</f>
        <v>0.0</v>
      </c>
    </row>
    <row r="1293">
      <c r="A1293" s="51" t="n"/>
      <c r="B1293" s="52" t="n"/>
      <c r="C1293" s="52" t="n"/>
      <c r="D1293" s="53" t="n"/>
      <c r="E1293" s="60" t="n"/>
      <c r="F1293" s="53" t="n"/>
      <c r="G1293" s="61" t="str">
        <f>IF(OR(COUNTA(A1293:E1293)=0,D1293=""),"",IFERROR(INDEX(ca_fam,MATCH(D1293,ca_name,0))&amp;"",""))</f>
        <v/>
      </c>
      <c r="H1293" s="58" t="str">
        <f>IF(OR(COUNTA(A1293:E1293)=0,D1293=""),"",IFERROR(INDEX(ca_type,MATCH(D1293,ca_name,0))&amp;"",""))</f>
        <v/>
      </c>
      <c r="I1293" s="58" t="str">
        <f>IF(COUNTA(A1293:E1293)=0,"",IF(N(A1293)&lt;=0,"Date manquante ou invalide",IF(B1293="","Équipe manquante",IF(ISNA(MATCH(B1293,eq_code,0)),"Équipe inconnue",IF(C1293="","Poste manquant",IF(ISNA(MATCH(C1293,po_code,0)),"Poste inconnu",IF(D1293="","Cause manquante",IF(ISNA(MATCH(D1293,ca_name,0)),"Cause inconnue",IF(H1293="","Cause à compléter dans Paramètres",IF(OR(NOT(ISNUMBER(E1293)),N(E1293)&lt;=0,N(E1293)&gt;1440),"Durée invalide",IF(COUNTIFS(sj_date,A1293,sj_eq,B1293,sj_po,C1293)=0,"Pas de saisie journalière ce jour-là","OK")))))))))))</f>
        <v/>
      </c>
      <c r="J1293">
        <f>IF(OR(I1293="OK",I1293="Pas de saisie journalière ce jour-là"),E1293,0)</f>
        <v>0.0</v>
      </c>
      <c r="K1293">
        <f>IF(AND(J1293&gt;0,A1293&gt;=p_from,A1293&lt;=p_to),1,0)</f>
        <v>0.0</v>
      </c>
      <c r="L1293">
        <f>IF(AND(K1293=1,OR(pa_po="",C1293=pa_po),OR(pa_eq="",B1293=pa_eq)),1,0)</f>
        <v>0.0</v>
      </c>
    </row>
    <row r="1294">
      <c r="A1294" s="51" t="n"/>
      <c r="B1294" s="52" t="n"/>
      <c r="C1294" s="52" t="n"/>
      <c r="D1294" s="53" t="n"/>
      <c r="E1294" s="60" t="n"/>
      <c r="F1294" s="53" t="n"/>
      <c r="G1294" s="61" t="str">
        <f>IF(OR(COUNTA(A1294:E1294)=0,D1294=""),"",IFERROR(INDEX(ca_fam,MATCH(D1294,ca_name,0))&amp;"",""))</f>
        <v/>
      </c>
      <c r="H1294" s="58" t="str">
        <f>IF(OR(COUNTA(A1294:E1294)=0,D1294=""),"",IFERROR(INDEX(ca_type,MATCH(D1294,ca_name,0))&amp;"",""))</f>
        <v/>
      </c>
      <c r="I1294" s="58" t="str">
        <f>IF(COUNTA(A1294:E1294)=0,"",IF(N(A1294)&lt;=0,"Date manquante ou invalide",IF(B1294="","Équipe manquante",IF(ISNA(MATCH(B1294,eq_code,0)),"Équipe inconnue",IF(C1294="","Poste manquant",IF(ISNA(MATCH(C1294,po_code,0)),"Poste inconnu",IF(D1294="","Cause manquante",IF(ISNA(MATCH(D1294,ca_name,0)),"Cause inconnue",IF(H1294="","Cause à compléter dans Paramètres",IF(OR(NOT(ISNUMBER(E1294)),N(E1294)&lt;=0,N(E1294)&gt;1440),"Durée invalide",IF(COUNTIFS(sj_date,A1294,sj_eq,B1294,sj_po,C1294)=0,"Pas de saisie journalière ce jour-là","OK")))))))))))</f>
        <v/>
      </c>
      <c r="J1294">
        <f>IF(OR(I1294="OK",I1294="Pas de saisie journalière ce jour-là"),E1294,0)</f>
        <v>0.0</v>
      </c>
      <c r="K1294">
        <f>IF(AND(J1294&gt;0,A1294&gt;=p_from,A1294&lt;=p_to),1,0)</f>
        <v>0.0</v>
      </c>
      <c r="L1294">
        <f>IF(AND(K1294=1,OR(pa_po="",C1294=pa_po),OR(pa_eq="",B1294=pa_eq)),1,0)</f>
        <v>0.0</v>
      </c>
    </row>
    <row r="1295">
      <c r="A1295" s="51" t="n"/>
      <c r="B1295" s="52" t="n"/>
      <c r="C1295" s="52" t="n"/>
      <c r="D1295" s="53" t="n"/>
      <c r="E1295" s="60" t="n"/>
      <c r="F1295" s="53" t="n"/>
      <c r="G1295" s="61" t="str">
        <f>IF(OR(COUNTA(A1295:E1295)=0,D1295=""),"",IFERROR(INDEX(ca_fam,MATCH(D1295,ca_name,0))&amp;"",""))</f>
        <v/>
      </c>
      <c r="H1295" s="58" t="str">
        <f>IF(OR(COUNTA(A1295:E1295)=0,D1295=""),"",IFERROR(INDEX(ca_type,MATCH(D1295,ca_name,0))&amp;"",""))</f>
        <v/>
      </c>
      <c r="I1295" s="58" t="str">
        <f>IF(COUNTA(A1295:E1295)=0,"",IF(N(A1295)&lt;=0,"Date manquante ou invalide",IF(B1295="","Équipe manquante",IF(ISNA(MATCH(B1295,eq_code,0)),"Équipe inconnue",IF(C1295="","Poste manquant",IF(ISNA(MATCH(C1295,po_code,0)),"Poste inconnu",IF(D1295="","Cause manquante",IF(ISNA(MATCH(D1295,ca_name,0)),"Cause inconnue",IF(H1295="","Cause à compléter dans Paramètres",IF(OR(NOT(ISNUMBER(E1295)),N(E1295)&lt;=0,N(E1295)&gt;1440),"Durée invalide",IF(COUNTIFS(sj_date,A1295,sj_eq,B1295,sj_po,C1295)=0,"Pas de saisie journalière ce jour-là","OK")))))))))))</f>
        <v/>
      </c>
      <c r="J1295">
        <f>IF(OR(I1295="OK",I1295="Pas de saisie journalière ce jour-là"),E1295,0)</f>
        <v>0.0</v>
      </c>
      <c r="K1295">
        <f>IF(AND(J1295&gt;0,A1295&gt;=p_from,A1295&lt;=p_to),1,0)</f>
        <v>0.0</v>
      </c>
      <c r="L1295">
        <f>IF(AND(K1295=1,OR(pa_po="",C1295=pa_po),OR(pa_eq="",B1295=pa_eq)),1,0)</f>
        <v>0.0</v>
      </c>
    </row>
    <row r="1296">
      <c r="A1296" s="51" t="n"/>
      <c r="B1296" s="52" t="n"/>
      <c r="C1296" s="52" t="n"/>
      <c r="D1296" s="53" t="n"/>
      <c r="E1296" s="60" t="n"/>
      <c r="F1296" s="53" t="n"/>
      <c r="G1296" s="61" t="str">
        <f>IF(OR(COUNTA(A1296:E1296)=0,D1296=""),"",IFERROR(INDEX(ca_fam,MATCH(D1296,ca_name,0))&amp;"",""))</f>
        <v/>
      </c>
      <c r="H1296" s="58" t="str">
        <f>IF(OR(COUNTA(A1296:E1296)=0,D1296=""),"",IFERROR(INDEX(ca_type,MATCH(D1296,ca_name,0))&amp;"",""))</f>
        <v/>
      </c>
      <c r="I1296" s="58" t="str">
        <f>IF(COUNTA(A1296:E1296)=0,"",IF(N(A1296)&lt;=0,"Date manquante ou invalide",IF(B1296="","Équipe manquante",IF(ISNA(MATCH(B1296,eq_code,0)),"Équipe inconnue",IF(C1296="","Poste manquant",IF(ISNA(MATCH(C1296,po_code,0)),"Poste inconnu",IF(D1296="","Cause manquante",IF(ISNA(MATCH(D1296,ca_name,0)),"Cause inconnue",IF(H1296="","Cause à compléter dans Paramètres",IF(OR(NOT(ISNUMBER(E1296)),N(E1296)&lt;=0,N(E1296)&gt;1440),"Durée invalide",IF(COUNTIFS(sj_date,A1296,sj_eq,B1296,sj_po,C1296)=0,"Pas de saisie journalière ce jour-là","OK")))))))))))</f>
        <v/>
      </c>
      <c r="J1296">
        <f>IF(OR(I1296="OK",I1296="Pas de saisie journalière ce jour-là"),E1296,0)</f>
        <v>0.0</v>
      </c>
      <c r="K1296">
        <f>IF(AND(J1296&gt;0,A1296&gt;=p_from,A1296&lt;=p_to),1,0)</f>
        <v>0.0</v>
      </c>
      <c r="L1296">
        <f>IF(AND(K1296=1,OR(pa_po="",C1296=pa_po),OR(pa_eq="",B1296=pa_eq)),1,0)</f>
        <v>0.0</v>
      </c>
    </row>
    <row r="1297">
      <c r="A1297" s="51" t="n"/>
      <c r="B1297" s="52" t="n"/>
      <c r="C1297" s="52" t="n"/>
      <c r="D1297" s="53" t="n"/>
      <c r="E1297" s="60" t="n"/>
      <c r="F1297" s="53" t="n"/>
      <c r="G1297" s="61" t="str">
        <f>IF(OR(COUNTA(A1297:E1297)=0,D1297=""),"",IFERROR(INDEX(ca_fam,MATCH(D1297,ca_name,0))&amp;"",""))</f>
        <v/>
      </c>
      <c r="H1297" s="58" t="str">
        <f>IF(OR(COUNTA(A1297:E1297)=0,D1297=""),"",IFERROR(INDEX(ca_type,MATCH(D1297,ca_name,0))&amp;"",""))</f>
        <v/>
      </c>
      <c r="I1297" s="58" t="str">
        <f>IF(COUNTA(A1297:E1297)=0,"",IF(N(A1297)&lt;=0,"Date manquante ou invalide",IF(B1297="","Équipe manquante",IF(ISNA(MATCH(B1297,eq_code,0)),"Équipe inconnue",IF(C1297="","Poste manquant",IF(ISNA(MATCH(C1297,po_code,0)),"Poste inconnu",IF(D1297="","Cause manquante",IF(ISNA(MATCH(D1297,ca_name,0)),"Cause inconnue",IF(H1297="","Cause à compléter dans Paramètres",IF(OR(NOT(ISNUMBER(E1297)),N(E1297)&lt;=0,N(E1297)&gt;1440),"Durée invalide",IF(COUNTIFS(sj_date,A1297,sj_eq,B1297,sj_po,C1297)=0,"Pas de saisie journalière ce jour-là","OK")))))))))))</f>
        <v/>
      </c>
      <c r="J1297">
        <f>IF(OR(I1297="OK",I1297="Pas de saisie journalière ce jour-là"),E1297,0)</f>
        <v>0.0</v>
      </c>
      <c r="K1297">
        <f>IF(AND(J1297&gt;0,A1297&gt;=p_from,A1297&lt;=p_to),1,0)</f>
        <v>0.0</v>
      </c>
      <c r="L1297">
        <f>IF(AND(K1297=1,OR(pa_po="",C1297=pa_po),OR(pa_eq="",B1297=pa_eq)),1,0)</f>
        <v>0.0</v>
      </c>
    </row>
    <row r="1298">
      <c r="A1298" s="51" t="n"/>
      <c r="B1298" s="52" t="n"/>
      <c r="C1298" s="52" t="n"/>
      <c r="D1298" s="53" t="n"/>
      <c r="E1298" s="60" t="n"/>
      <c r="F1298" s="53" t="n"/>
      <c r="G1298" s="61" t="str">
        <f>IF(OR(COUNTA(A1298:E1298)=0,D1298=""),"",IFERROR(INDEX(ca_fam,MATCH(D1298,ca_name,0))&amp;"",""))</f>
        <v/>
      </c>
      <c r="H1298" s="58" t="str">
        <f>IF(OR(COUNTA(A1298:E1298)=0,D1298=""),"",IFERROR(INDEX(ca_type,MATCH(D1298,ca_name,0))&amp;"",""))</f>
        <v/>
      </c>
      <c r="I1298" s="58" t="str">
        <f>IF(COUNTA(A1298:E1298)=0,"",IF(N(A1298)&lt;=0,"Date manquante ou invalide",IF(B1298="","Équipe manquante",IF(ISNA(MATCH(B1298,eq_code,0)),"Équipe inconnue",IF(C1298="","Poste manquant",IF(ISNA(MATCH(C1298,po_code,0)),"Poste inconnu",IF(D1298="","Cause manquante",IF(ISNA(MATCH(D1298,ca_name,0)),"Cause inconnue",IF(H1298="","Cause à compléter dans Paramètres",IF(OR(NOT(ISNUMBER(E1298)),N(E1298)&lt;=0,N(E1298)&gt;1440),"Durée invalide",IF(COUNTIFS(sj_date,A1298,sj_eq,B1298,sj_po,C1298)=0,"Pas de saisie journalière ce jour-là","OK")))))))))))</f>
        <v/>
      </c>
      <c r="J1298">
        <f>IF(OR(I1298="OK",I1298="Pas de saisie journalière ce jour-là"),E1298,0)</f>
        <v>0.0</v>
      </c>
      <c r="K1298">
        <f>IF(AND(J1298&gt;0,A1298&gt;=p_from,A1298&lt;=p_to),1,0)</f>
        <v>0.0</v>
      </c>
      <c r="L1298">
        <f>IF(AND(K1298=1,OR(pa_po="",C1298=pa_po),OR(pa_eq="",B1298=pa_eq)),1,0)</f>
        <v>0.0</v>
      </c>
    </row>
    <row r="1299">
      <c r="A1299" s="51" t="n"/>
      <c r="B1299" s="52" t="n"/>
      <c r="C1299" s="52" t="n"/>
      <c r="D1299" s="53" t="n"/>
      <c r="E1299" s="60" t="n"/>
      <c r="F1299" s="53" t="n"/>
      <c r="G1299" s="61" t="str">
        <f>IF(OR(COUNTA(A1299:E1299)=0,D1299=""),"",IFERROR(INDEX(ca_fam,MATCH(D1299,ca_name,0))&amp;"",""))</f>
        <v/>
      </c>
      <c r="H1299" s="58" t="str">
        <f>IF(OR(COUNTA(A1299:E1299)=0,D1299=""),"",IFERROR(INDEX(ca_type,MATCH(D1299,ca_name,0))&amp;"",""))</f>
        <v/>
      </c>
      <c r="I1299" s="58" t="str">
        <f>IF(COUNTA(A1299:E1299)=0,"",IF(N(A1299)&lt;=0,"Date manquante ou invalide",IF(B1299="","Équipe manquante",IF(ISNA(MATCH(B1299,eq_code,0)),"Équipe inconnue",IF(C1299="","Poste manquant",IF(ISNA(MATCH(C1299,po_code,0)),"Poste inconnu",IF(D1299="","Cause manquante",IF(ISNA(MATCH(D1299,ca_name,0)),"Cause inconnue",IF(H1299="","Cause à compléter dans Paramètres",IF(OR(NOT(ISNUMBER(E1299)),N(E1299)&lt;=0,N(E1299)&gt;1440),"Durée invalide",IF(COUNTIFS(sj_date,A1299,sj_eq,B1299,sj_po,C1299)=0,"Pas de saisie journalière ce jour-là","OK")))))))))))</f>
        <v/>
      </c>
      <c r="J1299">
        <f>IF(OR(I1299="OK",I1299="Pas de saisie journalière ce jour-là"),E1299,0)</f>
        <v>0.0</v>
      </c>
      <c r="K1299">
        <f>IF(AND(J1299&gt;0,A1299&gt;=p_from,A1299&lt;=p_to),1,0)</f>
        <v>0.0</v>
      </c>
      <c r="L1299">
        <f>IF(AND(K1299=1,OR(pa_po="",C1299=pa_po),OR(pa_eq="",B1299=pa_eq)),1,0)</f>
        <v>0.0</v>
      </c>
    </row>
    <row r="1300">
      <c r="A1300" s="51" t="n"/>
      <c r="B1300" s="52" t="n"/>
      <c r="C1300" s="52" t="n"/>
      <c r="D1300" s="53" t="n"/>
      <c r="E1300" s="60" t="n"/>
      <c r="F1300" s="53" t="n"/>
      <c r="G1300" s="61" t="str">
        <f>IF(OR(COUNTA(A1300:E1300)=0,D1300=""),"",IFERROR(INDEX(ca_fam,MATCH(D1300,ca_name,0))&amp;"",""))</f>
        <v/>
      </c>
      <c r="H1300" s="58" t="str">
        <f>IF(OR(COUNTA(A1300:E1300)=0,D1300=""),"",IFERROR(INDEX(ca_type,MATCH(D1300,ca_name,0))&amp;"",""))</f>
        <v/>
      </c>
      <c r="I1300" s="58" t="str">
        <f>IF(COUNTA(A1300:E1300)=0,"",IF(N(A1300)&lt;=0,"Date manquante ou invalide",IF(B1300="","Équipe manquante",IF(ISNA(MATCH(B1300,eq_code,0)),"Équipe inconnue",IF(C1300="","Poste manquant",IF(ISNA(MATCH(C1300,po_code,0)),"Poste inconnu",IF(D1300="","Cause manquante",IF(ISNA(MATCH(D1300,ca_name,0)),"Cause inconnue",IF(H1300="","Cause à compléter dans Paramètres",IF(OR(NOT(ISNUMBER(E1300)),N(E1300)&lt;=0,N(E1300)&gt;1440),"Durée invalide",IF(COUNTIFS(sj_date,A1300,sj_eq,B1300,sj_po,C1300)=0,"Pas de saisie journalière ce jour-là","OK")))))))))))</f>
        <v/>
      </c>
      <c r="J1300">
        <f>IF(OR(I1300="OK",I1300="Pas de saisie journalière ce jour-là"),E1300,0)</f>
        <v>0.0</v>
      </c>
      <c r="K1300">
        <f>IF(AND(J1300&gt;0,A1300&gt;=p_from,A1300&lt;=p_to),1,0)</f>
        <v>0.0</v>
      </c>
      <c r="L1300">
        <f>IF(AND(K1300=1,OR(pa_po="",C1300=pa_po),OR(pa_eq="",B1300=pa_eq)),1,0)</f>
        <v>0.0</v>
      </c>
    </row>
    <row r="1301">
      <c r="A1301" s="51" t="n"/>
      <c r="B1301" s="52" t="n"/>
      <c r="C1301" s="52" t="n"/>
      <c r="D1301" s="53" t="n"/>
      <c r="E1301" s="60" t="n"/>
      <c r="F1301" s="53" t="n"/>
      <c r="G1301" s="61" t="str">
        <f>IF(OR(COUNTA(A1301:E1301)=0,D1301=""),"",IFERROR(INDEX(ca_fam,MATCH(D1301,ca_name,0))&amp;"",""))</f>
        <v/>
      </c>
      <c r="H1301" s="58" t="str">
        <f>IF(OR(COUNTA(A1301:E1301)=0,D1301=""),"",IFERROR(INDEX(ca_type,MATCH(D1301,ca_name,0))&amp;"",""))</f>
        <v/>
      </c>
      <c r="I1301" s="58" t="str">
        <f>IF(COUNTA(A1301:E1301)=0,"",IF(N(A1301)&lt;=0,"Date manquante ou invalide",IF(B1301="","Équipe manquante",IF(ISNA(MATCH(B1301,eq_code,0)),"Équipe inconnue",IF(C1301="","Poste manquant",IF(ISNA(MATCH(C1301,po_code,0)),"Poste inconnu",IF(D1301="","Cause manquante",IF(ISNA(MATCH(D1301,ca_name,0)),"Cause inconnue",IF(H1301="","Cause à compléter dans Paramètres",IF(OR(NOT(ISNUMBER(E1301)),N(E1301)&lt;=0,N(E1301)&gt;1440),"Durée invalide",IF(COUNTIFS(sj_date,A1301,sj_eq,B1301,sj_po,C1301)=0,"Pas de saisie journalière ce jour-là","OK")))))))))))</f>
        <v/>
      </c>
      <c r="J1301">
        <f>IF(OR(I1301="OK",I1301="Pas de saisie journalière ce jour-là"),E1301,0)</f>
        <v>0.0</v>
      </c>
      <c r="K1301">
        <f>IF(AND(J1301&gt;0,A1301&gt;=p_from,A1301&lt;=p_to),1,0)</f>
        <v>0.0</v>
      </c>
      <c r="L1301">
        <f>IF(AND(K1301=1,OR(pa_po="",C1301=pa_po),OR(pa_eq="",B1301=pa_eq)),1,0)</f>
        <v>0.0</v>
      </c>
    </row>
    <row r="1302">
      <c r="A1302" s="51" t="n"/>
      <c r="B1302" s="52" t="n"/>
      <c r="C1302" s="52" t="n"/>
      <c r="D1302" s="53" t="n"/>
      <c r="E1302" s="60" t="n"/>
      <c r="F1302" s="53" t="n"/>
      <c r="G1302" s="61" t="str">
        <f>IF(OR(COUNTA(A1302:E1302)=0,D1302=""),"",IFERROR(INDEX(ca_fam,MATCH(D1302,ca_name,0))&amp;"",""))</f>
        <v/>
      </c>
      <c r="H1302" s="58" t="str">
        <f>IF(OR(COUNTA(A1302:E1302)=0,D1302=""),"",IFERROR(INDEX(ca_type,MATCH(D1302,ca_name,0))&amp;"",""))</f>
        <v/>
      </c>
      <c r="I1302" s="58" t="str">
        <f>IF(COUNTA(A1302:E1302)=0,"",IF(N(A1302)&lt;=0,"Date manquante ou invalide",IF(B1302="","Équipe manquante",IF(ISNA(MATCH(B1302,eq_code,0)),"Équipe inconnue",IF(C1302="","Poste manquant",IF(ISNA(MATCH(C1302,po_code,0)),"Poste inconnu",IF(D1302="","Cause manquante",IF(ISNA(MATCH(D1302,ca_name,0)),"Cause inconnue",IF(H1302="","Cause à compléter dans Paramètres",IF(OR(NOT(ISNUMBER(E1302)),N(E1302)&lt;=0,N(E1302)&gt;1440),"Durée invalide",IF(COUNTIFS(sj_date,A1302,sj_eq,B1302,sj_po,C1302)=0,"Pas de saisie journalière ce jour-là","OK")))))))))))</f>
        <v/>
      </c>
      <c r="J1302">
        <f>IF(OR(I1302="OK",I1302="Pas de saisie journalière ce jour-là"),E1302,0)</f>
        <v>0.0</v>
      </c>
      <c r="K1302">
        <f>IF(AND(J1302&gt;0,A1302&gt;=p_from,A1302&lt;=p_to),1,0)</f>
        <v>0.0</v>
      </c>
      <c r="L1302">
        <f>IF(AND(K1302=1,OR(pa_po="",C1302=pa_po),OR(pa_eq="",B1302=pa_eq)),1,0)</f>
        <v>0.0</v>
      </c>
    </row>
    <row r="1303">
      <c r="A1303" s="51" t="n"/>
      <c r="B1303" s="52" t="n"/>
      <c r="C1303" s="52" t="n"/>
      <c r="D1303" s="53" t="n"/>
      <c r="E1303" s="60" t="n"/>
      <c r="F1303" s="53" t="n"/>
      <c r="G1303" s="61" t="str">
        <f>IF(OR(COUNTA(A1303:E1303)=0,D1303=""),"",IFERROR(INDEX(ca_fam,MATCH(D1303,ca_name,0))&amp;"",""))</f>
        <v/>
      </c>
      <c r="H1303" s="58" t="str">
        <f>IF(OR(COUNTA(A1303:E1303)=0,D1303=""),"",IFERROR(INDEX(ca_type,MATCH(D1303,ca_name,0))&amp;"",""))</f>
        <v/>
      </c>
      <c r="I1303" s="58" t="str">
        <f>IF(COUNTA(A1303:E1303)=0,"",IF(N(A1303)&lt;=0,"Date manquante ou invalide",IF(B1303="","Équipe manquante",IF(ISNA(MATCH(B1303,eq_code,0)),"Équipe inconnue",IF(C1303="","Poste manquant",IF(ISNA(MATCH(C1303,po_code,0)),"Poste inconnu",IF(D1303="","Cause manquante",IF(ISNA(MATCH(D1303,ca_name,0)),"Cause inconnue",IF(H1303="","Cause à compléter dans Paramètres",IF(OR(NOT(ISNUMBER(E1303)),N(E1303)&lt;=0,N(E1303)&gt;1440),"Durée invalide",IF(COUNTIFS(sj_date,A1303,sj_eq,B1303,sj_po,C1303)=0,"Pas de saisie journalière ce jour-là","OK")))))))))))</f>
        <v/>
      </c>
      <c r="J1303">
        <f>IF(OR(I1303="OK",I1303="Pas de saisie journalière ce jour-là"),E1303,0)</f>
        <v>0.0</v>
      </c>
      <c r="K1303">
        <f>IF(AND(J1303&gt;0,A1303&gt;=p_from,A1303&lt;=p_to),1,0)</f>
        <v>0.0</v>
      </c>
      <c r="L1303">
        <f>IF(AND(K1303=1,OR(pa_po="",C1303=pa_po),OR(pa_eq="",B1303=pa_eq)),1,0)</f>
        <v>0.0</v>
      </c>
    </row>
    <row r="1304">
      <c r="A1304" s="51" t="n"/>
      <c r="B1304" s="52" t="n"/>
      <c r="C1304" s="52" t="n"/>
      <c r="D1304" s="53" t="n"/>
      <c r="E1304" s="60" t="n"/>
      <c r="F1304" s="53" t="n"/>
      <c r="G1304" s="61" t="str">
        <f>IF(OR(COUNTA(A1304:E1304)=0,D1304=""),"",IFERROR(INDEX(ca_fam,MATCH(D1304,ca_name,0))&amp;"",""))</f>
        <v/>
      </c>
      <c r="H1304" s="58" t="str">
        <f>IF(OR(COUNTA(A1304:E1304)=0,D1304=""),"",IFERROR(INDEX(ca_type,MATCH(D1304,ca_name,0))&amp;"",""))</f>
        <v/>
      </c>
      <c r="I1304" s="58" t="str">
        <f>IF(COUNTA(A1304:E1304)=0,"",IF(N(A1304)&lt;=0,"Date manquante ou invalide",IF(B1304="","Équipe manquante",IF(ISNA(MATCH(B1304,eq_code,0)),"Équipe inconnue",IF(C1304="","Poste manquant",IF(ISNA(MATCH(C1304,po_code,0)),"Poste inconnu",IF(D1304="","Cause manquante",IF(ISNA(MATCH(D1304,ca_name,0)),"Cause inconnue",IF(H1304="","Cause à compléter dans Paramètres",IF(OR(NOT(ISNUMBER(E1304)),N(E1304)&lt;=0,N(E1304)&gt;1440),"Durée invalide",IF(COUNTIFS(sj_date,A1304,sj_eq,B1304,sj_po,C1304)=0,"Pas de saisie journalière ce jour-là","OK")))))))))))</f>
        <v/>
      </c>
      <c r="J1304">
        <f>IF(OR(I1304="OK",I1304="Pas de saisie journalière ce jour-là"),E1304,0)</f>
        <v>0.0</v>
      </c>
      <c r="K1304">
        <f>IF(AND(J1304&gt;0,A1304&gt;=p_from,A1304&lt;=p_to),1,0)</f>
        <v>0.0</v>
      </c>
      <c r="L1304">
        <f>IF(AND(K1304=1,OR(pa_po="",C1304=pa_po),OR(pa_eq="",B1304=pa_eq)),1,0)</f>
        <v>0.0</v>
      </c>
    </row>
    <row r="1305">
      <c r="A1305" s="51" t="n"/>
      <c r="B1305" s="52" t="n"/>
      <c r="C1305" s="52" t="n"/>
      <c r="D1305" s="53" t="n"/>
      <c r="E1305" s="60" t="n"/>
      <c r="F1305" s="53" t="n"/>
      <c r="G1305" s="61" t="str">
        <f>IF(OR(COUNTA(A1305:E1305)=0,D1305=""),"",IFERROR(INDEX(ca_fam,MATCH(D1305,ca_name,0))&amp;"",""))</f>
        <v/>
      </c>
      <c r="H1305" s="58" t="str">
        <f>IF(OR(COUNTA(A1305:E1305)=0,D1305=""),"",IFERROR(INDEX(ca_type,MATCH(D1305,ca_name,0))&amp;"",""))</f>
        <v/>
      </c>
      <c r="I1305" s="58" t="str">
        <f>IF(COUNTA(A1305:E1305)=0,"",IF(N(A1305)&lt;=0,"Date manquante ou invalide",IF(B1305="","Équipe manquante",IF(ISNA(MATCH(B1305,eq_code,0)),"Équipe inconnue",IF(C1305="","Poste manquant",IF(ISNA(MATCH(C1305,po_code,0)),"Poste inconnu",IF(D1305="","Cause manquante",IF(ISNA(MATCH(D1305,ca_name,0)),"Cause inconnue",IF(H1305="","Cause à compléter dans Paramètres",IF(OR(NOT(ISNUMBER(E1305)),N(E1305)&lt;=0,N(E1305)&gt;1440),"Durée invalide",IF(COUNTIFS(sj_date,A1305,sj_eq,B1305,sj_po,C1305)=0,"Pas de saisie journalière ce jour-là","OK")))))))))))</f>
        <v/>
      </c>
      <c r="J1305">
        <f>IF(OR(I1305="OK",I1305="Pas de saisie journalière ce jour-là"),E1305,0)</f>
        <v>0.0</v>
      </c>
      <c r="K1305">
        <f>IF(AND(J1305&gt;0,A1305&gt;=p_from,A1305&lt;=p_to),1,0)</f>
        <v>0.0</v>
      </c>
      <c r="L1305">
        <f>IF(AND(K1305=1,OR(pa_po="",C1305=pa_po),OR(pa_eq="",B1305=pa_eq)),1,0)</f>
        <v>0.0</v>
      </c>
    </row>
    <row r="1306">
      <c r="A1306" s="51" t="n"/>
      <c r="B1306" s="52" t="n"/>
      <c r="C1306" s="52" t="n"/>
      <c r="D1306" s="53" t="n"/>
      <c r="E1306" s="60" t="n"/>
      <c r="F1306" s="53" t="n"/>
      <c r="G1306" s="61" t="str">
        <f>IF(OR(COUNTA(A1306:E1306)=0,D1306=""),"",IFERROR(INDEX(ca_fam,MATCH(D1306,ca_name,0))&amp;"",""))</f>
        <v/>
      </c>
      <c r="H1306" s="58" t="str">
        <f>IF(OR(COUNTA(A1306:E1306)=0,D1306=""),"",IFERROR(INDEX(ca_type,MATCH(D1306,ca_name,0))&amp;"",""))</f>
        <v/>
      </c>
      <c r="I1306" s="58" t="str">
        <f>IF(COUNTA(A1306:E1306)=0,"",IF(N(A1306)&lt;=0,"Date manquante ou invalide",IF(B1306="","Équipe manquante",IF(ISNA(MATCH(B1306,eq_code,0)),"Équipe inconnue",IF(C1306="","Poste manquant",IF(ISNA(MATCH(C1306,po_code,0)),"Poste inconnu",IF(D1306="","Cause manquante",IF(ISNA(MATCH(D1306,ca_name,0)),"Cause inconnue",IF(H1306="","Cause à compléter dans Paramètres",IF(OR(NOT(ISNUMBER(E1306)),N(E1306)&lt;=0,N(E1306)&gt;1440),"Durée invalide",IF(COUNTIFS(sj_date,A1306,sj_eq,B1306,sj_po,C1306)=0,"Pas de saisie journalière ce jour-là","OK")))))))))))</f>
        <v/>
      </c>
      <c r="J1306">
        <f>IF(OR(I1306="OK",I1306="Pas de saisie journalière ce jour-là"),E1306,0)</f>
        <v>0.0</v>
      </c>
      <c r="K1306">
        <f>IF(AND(J1306&gt;0,A1306&gt;=p_from,A1306&lt;=p_to),1,0)</f>
        <v>0.0</v>
      </c>
      <c r="L1306">
        <f>IF(AND(K1306=1,OR(pa_po="",C1306=pa_po),OR(pa_eq="",B1306=pa_eq)),1,0)</f>
        <v>0.0</v>
      </c>
    </row>
    <row r="1307">
      <c r="A1307" s="51" t="n"/>
      <c r="B1307" s="52" t="n"/>
      <c r="C1307" s="52" t="n"/>
      <c r="D1307" s="53" t="n"/>
      <c r="E1307" s="60" t="n"/>
      <c r="F1307" s="53" t="n"/>
      <c r="G1307" s="61" t="str">
        <f>IF(OR(COUNTA(A1307:E1307)=0,D1307=""),"",IFERROR(INDEX(ca_fam,MATCH(D1307,ca_name,0))&amp;"",""))</f>
        <v/>
      </c>
      <c r="H1307" s="58" t="str">
        <f>IF(OR(COUNTA(A1307:E1307)=0,D1307=""),"",IFERROR(INDEX(ca_type,MATCH(D1307,ca_name,0))&amp;"",""))</f>
        <v/>
      </c>
      <c r="I1307" s="58" t="str">
        <f>IF(COUNTA(A1307:E1307)=0,"",IF(N(A1307)&lt;=0,"Date manquante ou invalide",IF(B1307="","Équipe manquante",IF(ISNA(MATCH(B1307,eq_code,0)),"Équipe inconnue",IF(C1307="","Poste manquant",IF(ISNA(MATCH(C1307,po_code,0)),"Poste inconnu",IF(D1307="","Cause manquante",IF(ISNA(MATCH(D1307,ca_name,0)),"Cause inconnue",IF(H1307="","Cause à compléter dans Paramètres",IF(OR(NOT(ISNUMBER(E1307)),N(E1307)&lt;=0,N(E1307)&gt;1440),"Durée invalide",IF(COUNTIFS(sj_date,A1307,sj_eq,B1307,sj_po,C1307)=0,"Pas de saisie journalière ce jour-là","OK")))))))))))</f>
        <v/>
      </c>
      <c r="J1307">
        <f>IF(OR(I1307="OK",I1307="Pas de saisie journalière ce jour-là"),E1307,0)</f>
        <v>0.0</v>
      </c>
      <c r="K1307">
        <f>IF(AND(J1307&gt;0,A1307&gt;=p_from,A1307&lt;=p_to),1,0)</f>
        <v>0.0</v>
      </c>
      <c r="L1307">
        <f>IF(AND(K1307=1,OR(pa_po="",C1307=pa_po),OR(pa_eq="",B1307=pa_eq)),1,0)</f>
        <v>0.0</v>
      </c>
    </row>
    <row r="1308">
      <c r="A1308" s="51" t="n"/>
      <c r="B1308" s="52" t="n"/>
      <c r="C1308" s="52" t="n"/>
      <c r="D1308" s="53" t="n"/>
      <c r="E1308" s="60" t="n"/>
      <c r="F1308" s="53" t="n"/>
      <c r="G1308" s="61" t="str">
        <f>IF(OR(COUNTA(A1308:E1308)=0,D1308=""),"",IFERROR(INDEX(ca_fam,MATCH(D1308,ca_name,0))&amp;"",""))</f>
        <v/>
      </c>
      <c r="H1308" s="58" t="str">
        <f>IF(OR(COUNTA(A1308:E1308)=0,D1308=""),"",IFERROR(INDEX(ca_type,MATCH(D1308,ca_name,0))&amp;"",""))</f>
        <v/>
      </c>
      <c r="I1308" s="58" t="str">
        <f>IF(COUNTA(A1308:E1308)=0,"",IF(N(A1308)&lt;=0,"Date manquante ou invalide",IF(B1308="","Équipe manquante",IF(ISNA(MATCH(B1308,eq_code,0)),"Équipe inconnue",IF(C1308="","Poste manquant",IF(ISNA(MATCH(C1308,po_code,0)),"Poste inconnu",IF(D1308="","Cause manquante",IF(ISNA(MATCH(D1308,ca_name,0)),"Cause inconnue",IF(H1308="","Cause à compléter dans Paramètres",IF(OR(NOT(ISNUMBER(E1308)),N(E1308)&lt;=0,N(E1308)&gt;1440),"Durée invalide",IF(COUNTIFS(sj_date,A1308,sj_eq,B1308,sj_po,C1308)=0,"Pas de saisie journalière ce jour-là","OK")))))))))))</f>
        <v/>
      </c>
      <c r="J1308">
        <f>IF(OR(I1308="OK",I1308="Pas de saisie journalière ce jour-là"),E1308,0)</f>
        <v>0.0</v>
      </c>
      <c r="K1308">
        <f>IF(AND(J1308&gt;0,A1308&gt;=p_from,A1308&lt;=p_to),1,0)</f>
        <v>0.0</v>
      </c>
      <c r="L1308">
        <f>IF(AND(K1308=1,OR(pa_po="",C1308=pa_po),OR(pa_eq="",B1308=pa_eq)),1,0)</f>
        <v>0.0</v>
      </c>
    </row>
    <row r="1309">
      <c r="A1309" s="51" t="n"/>
      <c r="B1309" s="52" t="n"/>
      <c r="C1309" s="52" t="n"/>
      <c r="D1309" s="53" t="n"/>
      <c r="E1309" s="60" t="n"/>
      <c r="F1309" s="53" t="n"/>
      <c r="G1309" s="61" t="str">
        <f>IF(OR(COUNTA(A1309:E1309)=0,D1309=""),"",IFERROR(INDEX(ca_fam,MATCH(D1309,ca_name,0))&amp;"",""))</f>
        <v/>
      </c>
      <c r="H1309" s="58" t="str">
        <f>IF(OR(COUNTA(A1309:E1309)=0,D1309=""),"",IFERROR(INDEX(ca_type,MATCH(D1309,ca_name,0))&amp;"",""))</f>
        <v/>
      </c>
      <c r="I1309" s="58" t="str">
        <f>IF(COUNTA(A1309:E1309)=0,"",IF(N(A1309)&lt;=0,"Date manquante ou invalide",IF(B1309="","Équipe manquante",IF(ISNA(MATCH(B1309,eq_code,0)),"Équipe inconnue",IF(C1309="","Poste manquant",IF(ISNA(MATCH(C1309,po_code,0)),"Poste inconnu",IF(D1309="","Cause manquante",IF(ISNA(MATCH(D1309,ca_name,0)),"Cause inconnue",IF(H1309="","Cause à compléter dans Paramètres",IF(OR(NOT(ISNUMBER(E1309)),N(E1309)&lt;=0,N(E1309)&gt;1440),"Durée invalide",IF(COUNTIFS(sj_date,A1309,sj_eq,B1309,sj_po,C1309)=0,"Pas de saisie journalière ce jour-là","OK")))))))))))</f>
        <v/>
      </c>
      <c r="J1309">
        <f>IF(OR(I1309="OK",I1309="Pas de saisie journalière ce jour-là"),E1309,0)</f>
        <v>0.0</v>
      </c>
      <c r="K1309">
        <f>IF(AND(J1309&gt;0,A1309&gt;=p_from,A1309&lt;=p_to),1,0)</f>
        <v>0.0</v>
      </c>
      <c r="L1309">
        <f>IF(AND(K1309=1,OR(pa_po="",C1309=pa_po),OR(pa_eq="",B1309=pa_eq)),1,0)</f>
        <v>0.0</v>
      </c>
    </row>
    <row r="1310">
      <c r="A1310" s="51" t="n"/>
      <c r="B1310" s="52" t="n"/>
      <c r="C1310" s="52" t="n"/>
      <c r="D1310" s="53" t="n"/>
      <c r="E1310" s="60" t="n"/>
      <c r="F1310" s="53" t="n"/>
      <c r="G1310" s="61" t="str">
        <f>IF(OR(COUNTA(A1310:E1310)=0,D1310=""),"",IFERROR(INDEX(ca_fam,MATCH(D1310,ca_name,0))&amp;"",""))</f>
        <v/>
      </c>
      <c r="H1310" s="58" t="str">
        <f>IF(OR(COUNTA(A1310:E1310)=0,D1310=""),"",IFERROR(INDEX(ca_type,MATCH(D1310,ca_name,0))&amp;"",""))</f>
        <v/>
      </c>
      <c r="I1310" s="58" t="str">
        <f>IF(COUNTA(A1310:E1310)=0,"",IF(N(A1310)&lt;=0,"Date manquante ou invalide",IF(B1310="","Équipe manquante",IF(ISNA(MATCH(B1310,eq_code,0)),"Équipe inconnue",IF(C1310="","Poste manquant",IF(ISNA(MATCH(C1310,po_code,0)),"Poste inconnu",IF(D1310="","Cause manquante",IF(ISNA(MATCH(D1310,ca_name,0)),"Cause inconnue",IF(H1310="","Cause à compléter dans Paramètres",IF(OR(NOT(ISNUMBER(E1310)),N(E1310)&lt;=0,N(E1310)&gt;1440),"Durée invalide",IF(COUNTIFS(sj_date,A1310,sj_eq,B1310,sj_po,C1310)=0,"Pas de saisie journalière ce jour-là","OK")))))))))))</f>
        <v/>
      </c>
      <c r="J1310">
        <f>IF(OR(I1310="OK",I1310="Pas de saisie journalière ce jour-là"),E1310,0)</f>
        <v>0.0</v>
      </c>
      <c r="K1310">
        <f>IF(AND(J1310&gt;0,A1310&gt;=p_from,A1310&lt;=p_to),1,0)</f>
        <v>0.0</v>
      </c>
      <c r="L1310">
        <f>IF(AND(K1310=1,OR(pa_po="",C1310=pa_po),OR(pa_eq="",B1310=pa_eq)),1,0)</f>
        <v>0.0</v>
      </c>
    </row>
    <row r="1311">
      <c r="A1311" s="51" t="n"/>
      <c r="B1311" s="52" t="n"/>
      <c r="C1311" s="52" t="n"/>
      <c r="D1311" s="53" t="n"/>
      <c r="E1311" s="60" t="n"/>
      <c r="F1311" s="53" t="n"/>
      <c r="G1311" s="61" t="str">
        <f>IF(OR(COUNTA(A1311:E1311)=0,D1311=""),"",IFERROR(INDEX(ca_fam,MATCH(D1311,ca_name,0))&amp;"",""))</f>
        <v/>
      </c>
      <c r="H1311" s="58" t="str">
        <f>IF(OR(COUNTA(A1311:E1311)=0,D1311=""),"",IFERROR(INDEX(ca_type,MATCH(D1311,ca_name,0))&amp;"",""))</f>
        <v/>
      </c>
      <c r="I1311" s="58" t="str">
        <f>IF(COUNTA(A1311:E1311)=0,"",IF(N(A1311)&lt;=0,"Date manquante ou invalide",IF(B1311="","Équipe manquante",IF(ISNA(MATCH(B1311,eq_code,0)),"Équipe inconnue",IF(C1311="","Poste manquant",IF(ISNA(MATCH(C1311,po_code,0)),"Poste inconnu",IF(D1311="","Cause manquante",IF(ISNA(MATCH(D1311,ca_name,0)),"Cause inconnue",IF(H1311="","Cause à compléter dans Paramètres",IF(OR(NOT(ISNUMBER(E1311)),N(E1311)&lt;=0,N(E1311)&gt;1440),"Durée invalide",IF(COUNTIFS(sj_date,A1311,sj_eq,B1311,sj_po,C1311)=0,"Pas de saisie journalière ce jour-là","OK")))))))))))</f>
        <v/>
      </c>
      <c r="J1311">
        <f>IF(OR(I1311="OK",I1311="Pas de saisie journalière ce jour-là"),E1311,0)</f>
        <v>0.0</v>
      </c>
      <c r="K1311">
        <f>IF(AND(J1311&gt;0,A1311&gt;=p_from,A1311&lt;=p_to),1,0)</f>
        <v>0.0</v>
      </c>
      <c r="L1311">
        <f>IF(AND(K1311=1,OR(pa_po="",C1311=pa_po),OR(pa_eq="",B1311=pa_eq)),1,0)</f>
        <v>0.0</v>
      </c>
    </row>
    <row r="1312">
      <c r="A1312" s="51" t="n"/>
      <c r="B1312" s="52" t="n"/>
      <c r="C1312" s="52" t="n"/>
      <c r="D1312" s="53" t="n"/>
      <c r="E1312" s="60" t="n"/>
      <c r="F1312" s="53" t="n"/>
      <c r="G1312" s="61" t="str">
        <f>IF(OR(COUNTA(A1312:E1312)=0,D1312=""),"",IFERROR(INDEX(ca_fam,MATCH(D1312,ca_name,0))&amp;"",""))</f>
        <v/>
      </c>
      <c r="H1312" s="58" t="str">
        <f>IF(OR(COUNTA(A1312:E1312)=0,D1312=""),"",IFERROR(INDEX(ca_type,MATCH(D1312,ca_name,0))&amp;"",""))</f>
        <v/>
      </c>
      <c r="I1312" s="58" t="str">
        <f>IF(COUNTA(A1312:E1312)=0,"",IF(N(A1312)&lt;=0,"Date manquante ou invalide",IF(B1312="","Équipe manquante",IF(ISNA(MATCH(B1312,eq_code,0)),"Équipe inconnue",IF(C1312="","Poste manquant",IF(ISNA(MATCH(C1312,po_code,0)),"Poste inconnu",IF(D1312="","Cause manquante",IF(ISNA(MATCH(D1312,ca_name,0)),"Cause inconnue",IF(H1312="","Cause à compléter dans Paramètres",IF(OR(NOT(ISNUMBER(E1312)),N(E1312)&lt;=0,N(E1312)&gt;1440),"Durée invalide",IF(COUNTIFS(sj_date,A1312,sj_eq,B1312,sj_po,C1312)=0,"Pas de saisie journalière ce jour-là","OK")))))))))))</f>
        <v/>
      </c>
      <c r="J1312">
        <f>IF(OR(I1312="OK",I1312="Pas de saisie journalière ce jour-là"),E1312,0)</f>
        <v>0.0</v>
      </c>
      <c r="K1312">
        <f>IF(AND(J1312&gt;0,A1312&gt;=p_from,A1312&lt;=p_to),1,0)</f>
        <v>0.0</v>
      </c>
      <c r="L1312">
        <f>IF(AND(K1312=1,OR(pa_po="",C1312=pa_po),OR(pa_eq="",B1312=pa_eq)),1,0)</f>
        <v>0.0</v>
      </c>
    </row>
    <row r="1313">
      <c r="A1313" s="51" t="n"/>
      <c r="B1313" s="52" t="n"/>
      <c r="C1313" s="52" t="n"/>
      <c r="D1313" s="53" t="n"/>
      <c r="E1313" s="60" t="n"/>
      <c r="F1313" s="53" t="n"/>
      <c r="G1313" s="61" t="str">
        <f>IF(OR(COUNTA(A1313:E1313)=0,D1313=""),"",IFERROR(INDEX(ca_fam,MATCH(D1313,ca_name,0))&amp;"",""))</f>
        <v/>
      </c>
      <c r="H1313" s="58" t="str">
        <f>IF(OR(COUNTA(A1313:E1313)=0,D1313=""),"",IFERROR(INDEX(ca_type,MATCH(D1313,ca_name,0))&amp;"",""))</f>
        <v/>
      </c>
      <c r="I1313" s="58" t="str">
        <f>IF(COUNTA(A1313:E1313)=0,"",IF(N(A1313)&lt;=0,"Date manquante ou invalide",IF(B1313="","Équipe manquante",IF(ISNA(MATCH(B1313,eq_code,0)),"Équipe inconnue",IF(C1313="","Poste manquant",IF(ISNA(MATCH(C1313,po_code,0)),"Poste inconnu",IF(D1313="","Cause manquante",IF(ISNA(MATCH(D1313,ca_name,0)),"Cause inconnue",IF(H1313="","Cause à compléter dans Paramètres",IF(OR(NOT(ISNUMBER(E1313)),N(E1313)&lt;=0,N(E1313)&gt;1440),"Durée invalide",IF(COUNTIFS(sj_date,A1313,sj_eq,B1313,sj_po,C1313)=0,"Pas de saisie journalière ce jour-là","OK")))))))))))</f>
        <v/>
      </c>
      <c r="J1313">
        <f>IF(OR(I1313="OK",I1313="Pas de saisie journalière ce jour-là"),E1313,0)</f>
        <v>0.0</v>
      </c>
      <c r="K1313">
        <f>IF(AND(J1313&gt;0,A1313&gt;=p_from,A1313&lt;=p_to),1,0)</f>
        <v>0.0</v>
      </c>
      <c r="L1313">
        <f>IF(AND(K1313=1,OR(pa_po="",C1313=pa_po),OR(pa_eq="",B1313=pa_eq)),1,0)</f>
        <v>0.0</v>
      </c>
    </row>
    <row r="1314">
      <c r="A1314" s="51" t="n"/>
      <c r="B1314" s="52" t="n"/>
      <c r="C1314" s="52" t="n"/>
      <c r="D1314" s="53" t="n"/>
      <c r="E1314" s="60" t="n"/>
      <c r="F1314" s="53" t="n"/>
      <c r="G1314" s="61" t="str">
        <f>IF(OR(COUNTA(A1314:E1314)=0,D1314=""),"",IFERROR(INDEX(ca_fam,MATCH(D1314,ca_name,0))&amp;"",""))</f>
        <v/>
      </c>
      <c r="H1314" s="58" t="str">
        <f>IF(OR(COUNTA(A1314:E1314)=0,D1314=""),"",IFERROR(INDEX(ca_type,MATCH(D1314,ca_name,0))&amp;"",""))</f>
        <v/>
      </c>
      <c r="I1314" s="58" t="str">
        <f>IF(COUNTA(A1314:E1314)=0,"",IF(N(A1314)&lt;=0,"Date manquante ou invalide",IF(B1314="","Équipe manquante",IF(ISNA(MATCH(B1314,eq_code,0)),"Équipe inconnue",IF(C1314="","Poste manquant",IF(ISNA(MATCH(C1314,po_code,0)),"Poste inconnu",IF(D1314="","Cause manquante",IF(ISNA(MATCH(D1314,ca_name,0)),"Cause inconnue",IF(H1314="","Cause à compléter dans Paramètres",IF(OR(NOT(ISNUMBER(E1314)),N(E1314)&lt;=0,N(E1314)&gt;1440),"Durée invalide",IF(COUNTIFS(sj_date,A1314,sj_eq,B1314,sj_po,C1314)=0,"Pas de saisie journalière ce jour-là","OK")))))))))))</f>
        <v/>
      </c>
      <c r="J1314">
        <f>IF(OR(I1314="OK",I1314="Pas de saisie journalière ce jour-là"),E1314,0)</f>
        <v>0.0</v>
      </c>
      <c r="K1314">
        <f>IF(AND(J1314&gt;0,A1314&gt;=p_from,A1314&lt;=p_to),1,0)</f>
        <v>0.0</v>
      </c>
      <c r="L1314">
        <f>IF(AND(K1314=1,OR(pa_po="",C1314=pa_po),OR(pa_eq="",B1314=pa_eq)),1,0)</f>
        <v>0.0</v>
      </c>
    </row>
    <row r="1315">
      <c r="A1315" s="51" t="n"/>
      <c r="B1315" s="52" t="n"/>
      <c r="C1315" s="52" t="n"/>
      <c r="D1315" s="53" t="n"/>
      <c r="E1315" s="60" t="n"/>
      <c r="F1315" s="53" t="n"/>
      <c r="G1315" s="61" t="str">
        <f>IF(OR(COUNTA(A1315:E1315)=0,D1315=""),"",IFERROR(INDEX(ca_fam,MATCH(D1315,ca_name,0))&amp;"",""))</f>
        <v/>
      </c>
      <c r="H1315" s="58" t="str">
        <f>IF(OR(COUNTA(A1315:E1315)=0,D1315=""),"",IFERROR(INDEX(ca_type,MATCH(D1315,ca_name,0))&amp;"",""))</f>
        <v/>
      </c>
      <c r="I1315" s="58" t="str">
        <f>IF(COUNTA(A1315:E1315)=0,"",IF(N(A1315)&lt;=0,"Date manquante ou invalide",IF(B1315="","Équipe manquante",IF(ISNA(MATCH(B1315,eq_code,0)),"Équipe inconnue",IF(C1315="","Poste manquant",IF(ISNA(MATCH(C1315,po_code,0)),"Poste inconnu",IF(D1315="","Cause manquante",IF(ISNA(MATCH(D1315,ca_name,0)),"Cause inconnue",IF(H1315="","Cause à compléter dans Paramètres",IF(OR(NOT(ISNUMBER(E1315)),N(E1315)&lt;=0,N(E1315)&gt;1440),"Durée invalide",IF(COUNTIFS(sj_date,A1315,sj_eq,B1315,sj_po,C1315)=0,"Pas de saisie journalière ce jour-là","OK")))))))))))</f>
        <v/>
      </c>
      <c r="J1315">
        <f>IF(OR(I1315="OK",I1315="Pas de saisie journalière ce jour-là"),E1315,0)</f>
        <v>0.0</v>
      </c>
      <c r="K1315">
        <f>IF(AND(J1315&gt;0,A1315&gt;=p_from,A1315&lt;=p_to),1,0)</f>
        <v>0.0</v>
      </c>
      <c r="L1315">
        <f>IF(AND(K1315=1,OR(pa_po="",C1315=pa_po),OR(pa_eq="",B1315=pa_eq)),1,0)</f>
        <v>0.0</v>
      </c>
    </row>
    <row r="1316">
      <c r="A1316" s="51" t="n"/>
      <c r="B1316" s="52" t="n"/>
      <c r="C1316" s="52" t="n"/>
      <c r="D1316" s="53" t="n"/>
      <c r="E1316" s="60" t="n"/>
      <c r="F1316" s="53" t="n"/>
      <c r="G1316" s="61" t="str">
        <f>IF(OR(COUNTA(A1316:E1316)=0,D1316=""),"",IFERROR(INDEX(ca_fam,MATCH(D1316,ca_name,0))&amp;"",""))</f>
        <v/>
      </c>
      <c r="H1316" s="58" t="str">
        <f>IF(OR(COUNTA(A1316:E1316)=0,D1316=""),"",IFERROR(INDEX(ca_type,MATCH(D1316,ca_name,0))&amp;"",""))</f>
        <v/>
      </c>
      <c r="I1316" s="58" t="str">
        <f>IF(COUNTA(A1316:E1316)=0,"",IF(N(A1316)&lt;=0,"Date manquante ou invalide",IF(B1316="","Équipe manquante",IF(ISNA(MATCH(B1316,eq_code,0)),"Équipe inconnue",IF(C1316="","Poste manquant",IF(ISNA(MATCH(C1316,po_code,0)),"Poste inconnu",IF(D1316="","Cause manquante",IF(ISNA(MATCH(D1316,ca_name,0)),"Cause inconnue",IF(H1316="","Cause à compléter dans Paramètres",IF(OR(NOT(ISNUMBER(E1316)),N(E1316)&lt;=0,N(E1316)&gt;1440),"Durée invalide",IF(COUNTIFS(sj_date,A1316,sj_eq,B1316,sj_po,C1316)=0,"Pas de saisie journalière ce jour-là","OK")))))))))))</f>
        <v/>
      </c>
      <c r="J1316">
        <f>IF(OR(I1316="OK",I1316="Pas de saisie journalière ce jour-là"),E1316,0)</f>
        <v>0.0</v>
      </c>
      <c r="K1316">
        <f>IF(AND(J1316&gt;0,A1316&gt;=p_from,A1316&lt;=p_to),1,0)</f>
        <v>0.0</v>
      </c>
      <c r="L1316">
        <f>IF(AND(K1316=1,OR(pa_po="",C1316=pa_po),OR(pa_eq="",B1316=pa_eq)),1,0)</f>
        <v>0.0</v>
      </c>
    </row>
    <row r="1317">
      <c r="A1317" s="51" t="n"/>
      <c r="B1317" s="52" t="n"/>
      <c r="C1317" s="52" t="n"/>
      <c r="D1317" s="53" t="n"/>
      <c r="E1317" s="60" t="n"/>
      <c r="F1317" s="53" t="n"/>
      <c r="G1317" s="61" t="str">
        <f>IF(OR(COUNTA(A1317:E1317)=0,D1317=""),"",IFERROR(INDEX(ca_fam,MATCH(D1317,ca_name,0))&amp;"",""))</f>
        <v/>
      </c>
      <c r="H1317" s="58" t="str">
        <f>IF(OR(COUNTA(A1317:E1317)=0,D1317=""),"",IFERROR(INDEX(ca_type,MATCH(D1317,ca_name,0))&amp;"",""))</f>
        <v/>
      </c>
      <c r="I1317" s="58" t="str">
        <f>IF(COUNTA(A1317:E1317)=0,"",IF(N(A1317)&lt;=0,"Date manquante ou invalide",IF(B1317="","Équipe manquante",IF(ISNA(MATCH(B1317,eq_code,0)),"Équipe inconnue",IF(C1317="","Poste manquant",IF(ISNA(MATCH(C1317,po_code,0)),"Poste inconnu",IF(D1317="","Cause manquante",IF(ISNA(MATCH(D1317,ca_name,0)),"Cause inconnue",IF(H1317="","Cause à compléter dans Paramètres",IF(OR(NOT(ISNUMBER(E1317)),N(E1317)&lt;=0,N(E1317)&gt;1440),"Durée invalide",IF(COUNTIFS(sj_date,A1317,sj_eq,B1317,sj_po,C1317)=0,"Pas de saisie journalière ce jour-là","OK")))))))))))</f>
        <v/>
      </c>
      <c r="J1317">
        <f>IF(OR(I1317="OK",I1317="Pas de saisie journalière ce jour-là"),E1317,0)</f>
        <v>0.0</v>
      </c>
      <c r="K1317">
        <f>IF(AND(J1317&gt;0,A1317&gt;=p_from,A1317&lt;=p_to),1,0)</f>
        <v>0.0</v>
      </c>
      <c r="L1317">
        <f>IF(AND(K1317=1,OR(pa_po="",C1317=pa_po),OR(pa_eq="",B1317=pa_eq)),1,0)</f>
        <v>0.0</v>
      </c>
    </row>
    <row r="1318">
      <c r="A1318" s="51" t="n"/>
      <c r="B1318" s="52" t="n"/>
      <c r="C1318" s="52" t="n"/>
      <c r="D1318" s="53" t="n"/>
      <c r="E1318" s="60" t="n"/>
      <c r="F1318" s="53" t="n"/>
      <c r="G1318" s="61" t="str">
        <f>IF(OR(COUNTA(A1318:E1318)=0,D1318=""),"",IFERROR(INDEX(ca_fam,MATCH(D1318,ca_name,0))&amp;"",""))</f>
        <v/>
      </c>
      <c r="H1318" s="58" t="str">
        <f>IF(OR(COUNTA(A1318:E1318)=0,D1318=""),"",IFERROR(INDEX(ca_type,MATCH(D1318,ca_name,0))&amp;"",""))</f>
        <v/>
      </c>
      <c r="I1318" s="58" t="str">
        <f>IF(COUNTA(A1318:E1318)=0,"",IF(N(A1318)&lt;=0,"Date manquante ou invalide",IF(B1318="","Équipe manquante",IF(ISNA(MATCH(B1318,eq_code,0)),"Équipe inconnue",IF(C1318="","Poste manquant",IF(ISNA(MATCH(C1318,po_code,0)),"Poste inconnu",IF(D1318="","Cause manquante",IF(ISNA(MATCH(D1318,ca_name,0)),"Cause inconnue",IF(H1318="","Cause à compléter dans Paramètres",IF(OR(NOT(ISNUMBER(E1318)),N(E1318)&lt;=0,N(E1318)&gt;1440),"Durée invalide",IF(COUNTIFS(sj_date,A1318,sj_eq,B1318,sj_po,C1318)=0,"Pas de saisie journalière ce jour-là","OK")))))))))))</f>
        <v/>
      </c>
      <c r="J1318">
        <f>IF(OR(I1318="OK",I1318="Pas de saisie journalière ce jour-là"),E1318,0)</f>
        <v>0.0</v>
      </c>
      <c r="K1318">
        <f>IF(AND(J1318&gt;0,A1318&gt;=p_from,A1318&lt;=p_to),1,0)</f>
        <v>0.0</v>
      </c>
      <c r="L1318">
        <f>IF(AND(K1318=1,OR(pa_po="",C1318=pa_po),OR(pa_eq="",B1318=pa_eq)),1,0)</f>
        <v>0.0</v>
      </c>
    </row>
    <row r="1319">
      <c r="A1319" s="51" t="n"/>
      <c r="B1319" s="52" t="n"/>
      <c r="C1319" s="52" t="n"/>
      <c r="D1319" s="53" t="n"/>
      <c r="E1319" s="60" t="n"/>
      <c r="F1319" s="53" t="n"/>
      <c r="G1319" s="61" t="str">
        <f>IF(OR(COUNTA(A1319:E1319)=0,D1319=""),"",IFERROR(INDEX(ca_fam,MATCH(D1319,ca_name,0))&amp;"",""))</f>
        <v/>
      </c>
      <c r="H1319" s="58" t="str">
        <f>IF(OR(COUNTA(A1319:E1319)=0,D1319=""),"",IFERROR(INDEX(ca_type,MATCH(D1319,ca_name,0))&amp;"",""))</f>
        <v/>
      </c>
      <c r="I1319" s="58" t="str">
        <f>IF(COUNTA(A1319:E1319)=0,"",IF(N(A1319)&lt;=0,"Date manquante ou invalide",IF(B1319="","Équipe manquante",IF(ISNA(MATCH(B1319,eq_code,0)),"Équipe inconnue",IF(C1319="","Poste manquant",IF(ISNA(MATCH(C1319,po_code,0)),"Poste inconnu",IF(D1319="","Cause manquante",IF(ISNA(MATCH(D1319,ca_name,0)),"Cause inconnue",IF(H1319="","Cause à compléter dans Paramètres",IF(OR(NOT(ISNUMBER(E1319)),N(E1319)&lt;=0,N(E1319)&gt;1440),"Durée invalide",IF(COUNTIFS(sj_date,A1319,sj_eq,B1319,sj_po,C1319)=0,"Pas de saisie journalière ce jour-là","OK")))))))))))</f>
        <v/>
      </c>
      <c r="J1319">
        <f>IF(OR(I1319="OK",I1319="Pas de saisie journalière ce jour-là"),E1319,0)</f>
        <v>0.0</v>
      </c>
      <c r="K1319">
        <f>IF(AND(J1319&gt;0,A1319&gt;=p_from,A1319&lt;=p_to),1,0)</f>
        <v>0.0</v>
      </c>
      <c r="L1319">
        <f>IF(AND(K1319=1,OR(pa_po="",C1319=pa_po),OR(pa_eq="",B1319=pa_eq)),1,0)</f>
        <v>0.0</v>
      </c>
    </row>
    <row r="1320">
      <c r="A1320" s="51" t="n"/>
      <c r="B1320" s="52" t="n"/>
      <c r="C1320" s="52" t="n"/>
      <c r="D1320" s="53" t="n"/>
      <c r="E1320" s="60" t="n"/>
      <c r="F1320" s="53" t="n"/>
      <c r="G1320" s="61" t="str">
        <f>IF(OR(COUNTA(A1320:E1320)=0,D1320=""),"",IFERROR(INDEX(ca_fam,MATCH(D1320,ca_name,0))&amp;"",""))</f>
        <v/>
      </c>
      <c r="H1320" s="58" t="str">
        <f>IF(OR(COUNTA(A1320:E1320)=0,D1320=""),"",IFERROR(INDEX(ca_type,MATCH(D1320,ca_name,0))&amp;"",""))</f>
        <v/>
      </c>
      <c r="I1320" s="58" t="str">
        <f>IF(COUNTA(A1320:E1320)=0,"",IF(N(A1320)&lt;=0,"Date manquante ou invalide",IF(B1320="","Équipe manquante",IF(ISNA(MATCH(B1320,eq_code,0)),"Équipe inconnue",IF(C1320="","Poste manquant",IF(ISNA(MATCH(C1320,po_code,0)),"Poste inconnu",IF(D1320="","Cause manquante",IF(ISNA(MATCH(D1320,ca_name,0)),"Cause inconnue",IF(H1320="","Cause à compléter dans Paramètres",IF(OR(NOT(ISNUMBER(E1320)),N(E1320)&lt;=0,N(E1320)&gt;1440),"Durée invalide",IF(COUNTIFS(sj_date,A1320,sj_eq,B1320,sj_po,C1320)=0,"Pas de saisie journalière ce jour-là","OK")))))))))))</f>
        <v/>
      </c>
      <c r="J1320">
        <f>IF(OR(I1320="OK",I1320="Pas de saisie journalière ce jour-là"),E1320,0)</f>
        <v>0.0</v>
      </c>
      <c r="K1320">
        <f>IF(AND(J1320&gt;0,A1320&gt;=p_from,A1320&lt;=p_to),1,0)</f>
        <v>0.0</v>
      </c>
      <c r="L1320">
        <f>IF(AND(K1320=1,OR(pa_po="",C1320=pa_po),OR(pa_eq="",B1320=pa_eq)),1,0)</f>
        <v>0.0</v>
      </c>
    </row>
    <row r="1321">
      <c r="A1321" s="51" t="n"/>
      <c r="B1321" s="52" t="n"/>
      <c r="C1321" s="52" t="n"/>
      <c r="D1321" s="53" t="n"/>
      <c r="E1321" s="60" t="n"/>
      <c r="F1321" s="53" t="n"/>
      <c r="G1321" s="61" t="str">
        <f>IF(OR(COUNTA(A1321:E1321)=0,D1321=""),"",IFERROR(INDEX(ca_fam,MATCH(D1321,ca_name,0))&amp;"",""))</f>
        <v/>
      </c>
      <c r="H1321" s="58" t="str">
        <f>IF(OR(COUNTA(A1321:E1321)=0,D1321=""),"",IFERROR(INDEX(ca_type,MATCH(D1321,ca_name,0))&amp;"",""))</f>
        <v/>
      </c>
      <c r="I1321" s="58" t="str">
        <f>IF(COUNTA(A1321:E1321)=0,"",IF(N(A1321)&lt;=0,"Date manquante ou invalide",IF(B1321="","Équipe manquante",IF(ISNA(MATCH(B1321,eq_code,0)),"Équipe inconnue",IF(C1321="","Poste manquant",IF(ISNA(MATCH(C1321,po_code,0)),"Poste inconnu",IF(D1321="","Cause manquante",IF(ISNA(MATCH(D1321,ca_name,0)),"Cause inconnue",IF(H1321="","Cause à compléter dans Paramètres",IF(OR(NOT(ISNUMBER(E1321)),N(E1321)&lt;=0,N(E1321)&gt;1440),"Durée invalide",IF(COUNTIFS(sj_date,A1321,sj_eq,B1321,sj_po,C1321)=0,"Pas de saisie journalière ce jour-là","OK")))))))))))</f>
        <v/>
      </c>
      <c r="J1321">
        <f>IF(OR(I1321="OK",I1321="Pas de saisie journalière ce jour-là"),E1321,0)</f>
        <v>0.0</v>
      </c>
      <c r="K1321">
        <f>IF(AND(J1321&gt;0,A1321&gt;=p_from,A1321&lt;=p_to),1,0)</f>
        <v>0.0</v>
      </c>
      <c r="L1321">
        <f>IF(AND(K1321=1,OR(pa_po="",C1321=pa_po),OR(pa_eq="",B1321=pa_eq)),1,0)</f>
        <v>0.0</v>
      </c>
    </row>
    <row r="1322">
      <c r="A1322" s="51" t="n"/>
      <c r="B1322" s="52" t="n"/>
      <c r="C1322" s="52" t="n"/>
      <c r="D1322" s="53" t="n"/>
      <c r="E1322" s="60" t="n"/>
      <c r="F1322" s="53" t="n"/>
      <c r="G1322" s="61" t="str">
        <f>IF(OR(COUNTA(A1322:E1322)=0,D1322=""),"",IFERROR(INDEX(ca_fam,MATCH(D1322,ca_name,0))&amp;"",""))</f>
        <v/>
      </c>
      <c r="H1322" s="58" t="str">
        <f>IF(OR(COUNTA(A1322:E1322)=0,D1322=""),"",IFERROR(INDEX(ca_type,MATCH(D1322,ca_name,0))&amp;"",""))</f>
        <v/>
      </c>
      <c r="I1322" s="58" t="str">
        <f>IF(COUNTA(A1322:E1322)=0,"",IF(N(A1322)&lt;=0,"Date manquante ou invalide",IF(B1322="","Équipe manquante",IF(ISNA(MATCH(B1322,eq_code,0)),"Équipe inconnue",IF(C1322="","Poste manquant",IF(ISNA(MATCH(C1322,po_code,0)),"Poste inconnu",IF(D1322="","Cause manquante",IF(ISNA(MATCH(D1322,ca_name,0)),"Cause inconnue",IF(H1322="","Cause à compléter dans Paramètres",IF(OR(NOT(ISNUMBER(E1322)),N(E1322)&lt;=0,N(E1322)&gt;1440),"Durée invalide",IF(COUNTIFS(sj_date,A1322,sj_eq,B1322,sj_po,C1322)=0,"Pas de saisie journalière ce jour-là","OK")))))))))))</f>
        <v/>
      </c>
      <c r="J1322">
        <f>IF(OR(I1322="OK",I1322="Pas de saisie journalière ce jour-là"),E1322,0)</f>
        <v>0.0</v>
      </c>
      <c r="K1322">
        <f>IF(AND(J1322&gt;0,A1322&gt;=p_from,A1322&lt;=p_to),1,0)</f>
        <v>0.0</v>
      </c>
      <c r="L1322">
        <f>IF(AND(K1322=1,OR(pa_po="",C1322=pa_po),OR(pa_eq="",B1322=pa_eq)),1,0)</f>
        <v>0.0</v>
      </c>
    </row>
    <row r="1323">
      <c r="A1323" s="51" t="n"/>
      <c r="B1323" s="52" t="n"/>
      <c r="C1323" s="52" t="n"/>
      <c r="D1323" s="53" t="n"/>
      <c r="E1323" s="60" t="n"/>
      <c r="F1323" s="53" t="n"/>
      <c r="G1323" s="61" t="str">
        <f>IF(OR(COUNTA(A1323:E1323)=0,D1323=""),"",IFERROR(INDEX(ca_fam,MATCH(D1323,ca_name,0))&amp;"",""))</f>
        <v/>
      </c>
      <c r="H1323" s="58" t="str">
        <f>IF(OR(COUNTA(A1323:E1323)=0,D1323=""),"",IFERROR(INDEX(ca_type,MATCH(D1323,ca_name,0))&amp;"",""))</f>
        <v/>
      </c>
      <c r="I1323" s="58" t="str">
        <f>IF(COUNTA(A1323:E1323)=0,"",IF(N(A1323)&lt;=0,"Date manquante ou invalide",IF(B1323="","Équipe manquante",IF(ISNA(MATCH(B1323,eq_code,0)),"Équipe inconnue",IF(C1323="","Poste manquant",IF(ISNA(MATCH(C1323,po_code,0)),"Poste inconnu",IF(D1323="","Cause manquante",IF(ISNA(MATCH(D1323,ca_name,0)),"Cause inconnue",IF(H1323="","Cause à compléter dans Paramètres",IF(OR(NOT(ISNUMBER(E1323)),N(E1323)&lt;=0,N(E1323)&gt;1440),"Durée invalide",IF(COUNTIFS(sj_date,A1323,sj_eq,B1323,sj_po,C1323)=0,"Pas de saisie journalière ce jour-là","OK")))))))))))</f>
        <v/>
      </c>
      <c r="J1323">
        <f>IF(OR(I1323="OK",I1323="Pas de saisie journalière ce jour-là"),E1323,0)</f>
        <v>0.0</v>
      </c>
      <c r="K1323">
        <f>IF(AND(J1323&gt;0,A1323&gt;=p_from,A1323&lt;=p_to),1,0)</f>
        <v>0.0</v>
      </c>
      <c r="L1323">
        <f>IF(AND(K1323=1,OR(pa_po="",C1323=pa_po),OR(pa_eq="",B1323=pa_eq)),1,0)</f>
        <v>0.0</v>
      </c>
    </row>
    <row r="1324">
      <c r="A1324" s="51" t="n"/>
      <c r="B1324" s="52" t="n"/>
      <c r="C1324" s="52" t="n"/>
      <c r="D1324" s="53" t="n"/>
      <c r="E1324" s="60" t="n"/>
      <c r="F1324" s="53" t="n"/>
      <c r="G1324" s="61" t="str">
        <f>IF(OR(COUNTA(A1324:E1324)=0,D1324=""),"",IFERROR(INDEX(ca_fam,MATCH(D1324,ca_name,0))&amp;"",""))</f>
        <v/>
      </c>
      <c r="H1324" s="58" t="str">
        <f>IF(OR(COUNTA(A1324:E1324)=0,D1324=""),"",IFERROR(INDEX(ca_type,MATCH(D1324,ca_name,0))&amp;"",""))</f>
        <v/>
      </c>
      <c r="I1324" s="58" t="str">
        <f>IF(COUNTA(A1324:E1324)=0,"",IF(N(A1324)&lt;=0,"Date manquante ou invalide",IF(B1324="","Équipe manquante",IF(ISNA(MATCH(B1324,eq_code,0)),"Équipe inconnue",IF(C1324="","Poste manquant",IF(ISNA(MATCH(C1324,po_code,0)),"Poste inconnu",IF(D1324="","Cause manquante",IF(ISNA(MATCH(D1324,ca_name,0)),"Cause inconnue",IF(H1324="","Cause à compléter dans Paramètres",IF(OR(NOT(ISNUMBER(E1324)),N(E1324)&lt;=0,N(E1324)&gt;1440),"Durée invalide",IF(COUNTIFS(sj_date,A1324,sj_eq,B1324,sj_po,C1324)=0,"Pas de saisie journalière ce jour-là","OK")))))))))))</f>
        <v/>
      </c>
      <c r="J1324">
        <f>IF(OR(I1324="OK",I1324="Pas de saisie journalière ce jour-là"),E1324,0)</f>
        <v>0.0</v>
      </c>
      <c r="K1324">
        <f>IF(AND(J1324&gt;0,A1324&gt;=p_from,A1324&lt;=p_to),1,0)</f>
        <v>0.0</v>
      </c>
      <c r="L1324">
        <f>IF(AND(K1324=1,OR(pa_po="",C1324=pa_po),OR(pa_eq="",B1324=pa_eq)),1,0)</f>
        <v>0.0</v>
      </c>
    </row>
    <row r="1325">
      <c r="A1325" s="51" t="n"/>
      <c r="B1325" s="52" t="n"/>
      <c r="C1325" s="52" t="n"/>
      <c r="D1325" s="53" t="n"/>
      <c r="E1325" s="60" t="n"/>
      <c r="F1325" s="53" t="n"/>
      <c r="G1325" s="61" t="str">
        <f>IF(OR(COUNTA(A1325:E1325)=0,D1325=""),"",IFERROR(INDEX(ca_fam,MATCH(D1325,ca_name,0))&amp;"",""))</f>
        <v/>
      </c>
      <c r="H1325" s="58" t="str">
        <f>IF(OR(COUNTA(A1325:E1325)=0,D1325=""),"",IFERROR(INDEX(ca_type,MATCH(D1325,ca_name,0))&amp;"",""))</f>
        <v/>
      </c>
      <c r="I1325" s="58" t="str">
        <f>IF(COUNTA(A1325:E1325)=0,"",IF(N(A1325)&lt;=0,"Date manquante ou invalide",IF(B1325="","Équipe manquante",IF(ISNA(MATCH(B1325,eq_code,0)),"Équipe inconnue",IF(C1325="","Poste manquant",IF(ISNA(MATCH(C1325,po_code,0)),"Poste inconnu",IF(D1325="","Cause manquante",IF(ISNA(MATCH(D1325,ca_name,0)),"Cause inconnue",IF(H1325="","Cause à compléter dans Paramètres",IF(OR(NOT(ISNUMBER(E1325)),N(E1325)&lt;=0,N(E1325)&gt;1440),"Durée invalide",IF(COUNTIFS(sj_date,A1325,sj_eq,B1325,sj_po,C1325)=0,"Pas de saisie journalière ce jour-là","OK")))))))))))</f>
        <v/>
      </c>
      <c r="J1325">
        <f>IF(OR(I1325="OK",I1325="Pas de saisie journalière ce jour-là"),E1325,0)</f>
        <v>0.0</v>
      </c>
      <c r="K1325">
        <f>IF(AND(J1325&gt;0,A1325&gt;=p_from,A1325&lt;=p_to),1,0)</f>
        <v>0.0</v>
      </c>
      <c r="L1325">
        <f>IF(AND(K1325=1,OR(pa_po="",C1325=pa_po),OR(pa_eq="",B1325=pa_eq)),1,0)</f>
        <v>0.0</v>
      </c>
    </row>
    <row r="1326">
      <c r="A1326" s="51" t="n"/>
      <c r="B1326" s="52" t="n"/>
      <c r="C1326" s="52" t="n"/>
      <c r="D1326" s="53" t="n"/>
      <c r="E1326" s="60" t="n"/>
      <c r="F1326" s="53" t="n"/>
      <c r="G1326" s="61" t="str">
        <f>IF(OR(COUNTA(A1326:E1326)=0,D1326=""),"",IFERROR(INDEX(ca_fam,MATCH(D1326,ca_name,0))&amp;"",""))</f>
        <v/>
      </c>
      <c r="H1326" s="58" t="str">
        <f>IF(OR(COUNTA(A1326:E1326)=0,D1326=""),"",IFERROR(INDEX(ca_type,MATCH(D1326,ca_name,0))&amp;"",""))</f>
        <v/>
      </c>
      <c r="I1326" s="58" t="str">
        <f>IF(COUNTA(A1326:E1326)=0,"",IF(N(A1326)&lt;=0,"Date manquante ou invalide",IF(B1326="","Équipe manquante",IF(ISNA(MATCH(B1326,eq_code,0)),"Équipe inconnue",IF(C1326="","Poste manquant",IF(ISNA(MATCH(C1326,po_code,0)),"Poste inconnu",IF(D1326="","Cause manquante",IF(ISNA(MATCH(D1326,ca_name,0)),"Cause inconnue",IF(H1326="","Cause à compléter dans Paramètres",IF(OR(NOT(ISNUMBER(E1326)),N(E1326)&lt;=0,N(E1326)&gt;1440),"Durée invalide",IF(COUNTIFS(sj_date,A1326,sj_eq,B1326,sj_po,C1326)=0,"Pas de saisie journalière ce jour-là","OK")))))))))))</f>
        <v/>
      </c>
      <c r="J1326">
        <f>IF(OR(I1326="OK",I1326="Pas de saisie journalière ce jour-là"),E1326,0)</f>
        <v>0.0</v>
      </c>
      <c r="K1326">
        <f>IF(AND(J1326&gt;0,A1326&gt;=p_from,A1326&lt;=p_to),1,0)</f>
        <v>0.0</v>
      </c>
      <c r="L1326">
        <f>IF(AND(K1326=1,OR(pa_po="",C1326=pa_po),OR(pa_eq="",B1326=pa_eq)),1,0)</f>
        <v>0.0</v>
      </c>
    </row>
    <row r="1327">
      <c r="A1327" s="51" t="n"/>
      <c r="B1327" s="52" t="n"/>
      <c r="C1327" s="52" t="n"/>
      <c r="D1327" s="53" t="n"/>
      <c r="E1327" s="60" t="n"/>
      <c r="F1327" s="53" t="n"/>
      <c r="G1327" s="61" t="str">
        <f>IF(OR(COUNTA(A1327:E1327)=0,D1327=""),"",IFERROR(INDEX(ca_fam,MATCH(D1327,ca_name,0))&amp;"",""))</f>
        <v/>
      </c>
      <c r="H1327" s="58" t="str">
        <f>IF(OR(COUNTA(A1327:E1327)=0,D1327=""),"",IFERROR(INDEX(ca_type,MATCH(D1327,ca_name,0))&amp;"",""))</f>
        <v/>
      </c>
      <c r="I1327" s="58" t="str">
        <f>IF(COUNTA(A1327:E1327)=0,"",IF(N(A1327)&lt;=0,"Date manquante ou invalide",IF(B1327="","Équipe manquante",IF(ISNA(MATCH(B1327,eq_code,0)),"Équipe inconnue",IF(C1327="","Poste manquant",IF(ISNA(MATCH(C1327,po_code,0)),"Poste inconnu",IF(D1327="","Cause manquante",IF(ISNA(MATCH(D1327,ca_name,0)),"Cause inconnue",IF(H1327="","Cause à compléter dans Paramètres",IF(OR(NOT(ISNUMBER(E1327)),N(E1327)&lt;=0,N(E1327)&gt;1440),"Durée invalide",IF(COUNTIFS(sj_date,A1327,sj_eq,B1327,sj_po,C1327)=0,"Pas de saisie journalière ce jour-là","OK")))))))))))</f>
        <v/>
      </c>
      <c r="J1327">
        <f>IF(OR(I1327="OK",I1327="Pas de saisie journalière ce jour-là"),E1327,0)</f>
        <v>0.0</v>
      </c>
      <c r="K1327">
        <f>IF(AND(J1327&gt;0,A1327&gt;=p_from,A1327&lt;=p_to),1,0)</f>
        <v>0.0</v>
      </c>
      <c r="L1327">
        <f>IF(AND(K1327=1,OR(pa_po="",C1327=pa_po),OR(pa_eq="",B1327=pa_eq)),1,0)</f>
        <v>0.0</v>
      </c>
    </row>
    <row r="1328">
      <c r="A1328" s="51" t="n"/>
      <c r="B1328" s="52" t="n"/>
      <c r="C1328" s="52" t="n"/>
      <c r="D1328" s="53" t="n"/>
      <c r="E1328" s="60" t="n"/>
      <c r="F1328" s="53" t="n"/>
      <c r="G1328" s="61" t="str">
        <f>IF(OR(COUNTA(A1328:E1328)=0,D1328=""),"",IFERROR(INDEX(ca_fam,MATCH(D1328,ca_name,0))&amp;"",""))</f>
        <v/>
      </c>
      <c r="H1328" s="58" t="str">
        <f>IF(OR(COUNTA(A1328:E1328)=0,D1328=""),"",IFERROR(INDEX(ca_type,MATCH(D1328,ca_name,0))&amp;"",""))</f>
        <v/>
      </c>
      <c r="I1328" s="58" t="str">
        <f>IF(COUNTA(A1328:E1328)=0,"",IF(N(A1328)&lt;=0,"Date manquante ou invalide",IF(B1328="","Équipe manquante",IF(ISNA(MATCH(B1328,eq_code,0)),"Équipe inconnue",IF(C1328="","Poste manquant",IF(ISNA(MATCH(C1328,po_code,0)),"Poste inconnu",IF(D1328="","Cause manquante",IF(ISNA(MATCH(D1328,ca_name,0)),"Cause inconnue",IF(H1328="","Cause à compléter dans Paramètres",IF(OR(NOT(ISNUMBER(E1328)),N(E1328)&lt;=0,N(E1328)&gt;1440),"Durée invalide",IF(COUNTIFS(sj_date,A1328,sj_eq,B1328,sj_po,C1328)=0,"Pas de saisie journalière ce jour-là","OK")))))))))))</f>
        <v/>
      </c>
      <c r="J1328">
        <f>IF(OR(I1328="OK",I1328="Pas de saisie journalière ce jour-là"),E1328,0)</f>
        <v>0.0</v>
      </c>
      <c r="K1328">
        <f>IF(AND(J1328&gt;0,A1328&gt;=p_from,A1328&lt;=p_to),1,0)</f>
        <v>0.0</v>
      </c>
      <c r="L1328">
        <f>IF(AND(K1328=1,OR(pa_po="",C1328=pa_po),OR(pa_eq="",B1328=pa_eq)),1,0)</f>
        <v>0.0</v>
      </c>
    </row>
    <row r="1329">
      <c r="A1329" s="51" t="n"/>
      <c r="B1329" s="52" t="n"/>
      <c r="C1329" s="52" t="n"/>
      <c r="D1329" s="53" t="n"/>
      <c r="E1329" s="60" t="n"/>
      <c r="F1329" s="53" t="n"/>
      <c r="G1329" s="61" t="str">
        <f>IF(OR(COUNTA(A1329:E1329)=0,D1329=""),"",IFERROR(INDEX(ca_fam,MATCH(D1329,ca_name,0))&amp;"",""))</f>
        <v/>
      </c>
      <c r="H1329" s="58" t="str">
        <f>IF(OR(COUNTA(A1329:E1329)=0,D1329=""),"",IFERROR(INDEX(ca_type,MATCH(D1329,ca_name,0))&amp;"",""))</f>
        <v/>
      </c>
      <c r="I1329" s="58" t="str">
        <f>IF(COUNTA(A1329:E1329)=0,"",IF(N(A1329)&lt;=0,"Date manquante ou invalide",IF(B1329="","Équipe manquante",IF(ISNA(MATCH(B1329,eq_code,0)),"Équipe inconnue",IF(C1329="","Poste manquant",IF(ISNA(MATCH(C1329,po_code,0)),"Poste inconnu",IF(D1329="","Cause manquante",IF(ISNA(MATCH(D1329,ca_name,0)),"Cause inconnue",IF(H1329="","Cause à compléter dans Paramètres",IF(OR(NOT(ISNUMBER(E1329)),N(E1329)&lt;=0,N(E1329)&gt;1440),"Durée invalide",IF(COUNTIFS(sj_date,A1329,sj_eq,B1329,sj_po,C1329)=0,"Pas de saisie journalière ce jour-là","OK")))))))))))</f>
        <v/>
      </c>
      <c r="J1329">
        <f>IF(OR(I1329="OK",I1329="Pas de saisie journalière ce jour-là"),E1329,0)</f>
        <v>0.0</v>
      </c>
      <c r="K1329">
        <f>IF(AND(J1329&gt;0,A1329&gt;=p_from,A1329&lt;=p_to),1,0)</f>
        <v>0.0</v>
      </c>
      <c r="L1329">
        <f>IF(AND(K1329=1,OR(pa_po="",C1329=pa_po),OR(pa_eq="",B1329=pa_eq)),1,0)</f>
        <v>0.0</v>
      </c>
    </row>
    <row r="1330">
      <c r="A1330" s="51" t="n"/>
      <c r="B1330" s="52" t="n"/>
      <c r="C1330" s="52" t="n"/>
      <c r="D1330" s="53" t="n"/>
      <c r="E1330" s="60" t="n"/>
      <c r="F1330" s="53" t="n"/>
      <c r="G1330" s="61" t="str">
        <f>IF(OR(COUNTA(A1330:E1330)=0,D1330=""),"",IFERROR(INDEX(ca_fam,MATCH(D1330,ca_name,0))&amp;"",""))</f>
        <v/>
      </c>
      <c r="H1330" s="58" t="str">
        <f>IF(OR(COUNTA(A1330:E1330)=0,D1330=""),"",IFERROR(INDEX(ca_type,MATCH(D1330,ca_name,0))&amp;"",""))</f>
        <v/>
      </c>
      <c r="I1330" s="58" t="str">
        <f>IF(COUNTA(A1330:E1330)=0,"",IF(N(A1330)&lt;=0,"Date manquante ou invalide",IF(B1330="","Équipe manquante",IF(ISNA(MATCH(B1330,eq_code,0)),"Équipe inconnue",IF(C1330="","Poste manquant",IF(ISNA(MATCH(C1330,po_code,0)),"Poste inconnu",IF(D1330="","Cause manquante",IF(ISNA(MATCH(D1330,ca_name,0)),"Cause inconnue",IF(H1330="","Cause à compléter dans Paramètres",IF(OR(NOT(ISNUMBER(E1330)),N(E1330)&lt;=0,N(E1330)&gt;1440),"Durée invalide",IF(COUNTIFS(sj_date,A1330,sj_eq,B1330,sj_po,C1330)=0,"Pas de saisie journalière ce jour-là","OK")))))))))))</f>
        <v/>
      </c>
      <c r="J1330">
        <f>IF(OR(I1330="OK",I1330="Pas de saisie journalière ce jour-là"),E1330,0)</f>
        <v>0.0</v>
      </c>
      <c r="K1330">
        <f>IF(AND(J1330&gt;0,A1330&gt;=p_from,A1330&lt;=p_to),1,0)</f>
        <v>0.0</v>
      </c>
      <c r="L1330">
        <f>IF(AND(K1330=1,OR(pa_po="",C1330=pa_po),OR(pa_eq="",B1330=pa_eq)),1,0)</f>
        <v>0.0</v>
      </c>
    </row>
    <row r="1331">
      <c r="A1331" s="51" t="n"/>
      <c r="B1331" s="52" t="n"/>
      <c r="C1331" s="52" t="n"/>
      <c r="D1331" s="53" t="n"/>
      <c r="E1331" s="60" t="n"/>
      <c r="F1331" s="53" t="n"/>
      <c r="G1331" s="61" t="str">
        <f>IF(OR(COUNTA(A1331:E1331)=0,D1331=""),"",IFERROR(INDEX(ca_fam,MATCH(D1331,ca_name,0))&amp;"",""))</f>
        <v/>
      </c>
      <c r="H1331" s="58" t="str">
        <f>IF(OR(COUNTA(A1331:E1331)=0,D1331=""),"",IFERROR(INDEX(ca_type,MATCH(D1331,ca_name,0))&amp;"",""))</f>
        <v/>
      </c>
      <c r="I1331" s="58" t="str">
        <f>IF(COUNTA(A1331:E1331)=0,"",IF(N(A1331)&lt;=0,"Date manquante ou invalide",IF(B1331="","Équipe manquante",IF(ISNA(MATCH(B1331,eq_code,0)),"Équipe inconnue",IF(C1331="","Poste manquant",IF(ISNA(MATCH(C1331,po_code,0)),"Poste inconnu",IF(D1331="","Cause manquante",IF(ISNA(MATCH(D1331,ca_name,0)),"Cause inconnue",IF(H1331="","Cause à compléter dans Paramètres",IF(OR(NOT(ISNUMBER(E1331)),N(E1331)&lt;=0,N(E1331)&gt;1440),"Durée invalide",IF(COUNTIFS(sj_date,A1331,sj_eq,B1331,sj_po,C1331)=0,"Pas de saisie journalière ce jour-là","OK")))))))))))</f>
        <v/>
      </c>
      <c r="J1331">
        <f>IF(OR(I1331="OK",I1331="Pas de saisie journalière ce jour-là"),E1331,0)</f>
        <v>0.0</v>
      </c>
      <c r="K1331">
        <f>IF(AND(J1331&gt;0,A1331&gt;=p_from,A1331&lt;=p_to),1,0)</f>
        <v>0.0</v>
      </c>
      <c r="L1331">
        <f>IF(AND(K1331=1,OR(pa_po="",C1331=pa_po),OR(pa_eq="",B1331=pa_eq)),1,0)</f>
        <v>0.0</v>
      </c>
    </row>
    <row r="1332">
      <c r="A1332" s="51" t="n"/>
      <c r="B1332" s="52" t="n"/>
      <c r="C1332" s="52" t="n"/>
      <c r="D1332" s="53" t="n"/>
      <c r="E1332" s="60" t="n"/>
      <c r="F1332" s="53" t="n"/>
      <c r="G1332" s="61" t="str">
        <f>IF(OR(COUNTA(A1332:E1332)=0,D1332=""),"",IFERROR(INDEX(ca_fam,MATCH(D1332,ca_name,0))&amp;"",""))</f>
        <v/>
      </c>
      <c r="H1332" s="58" t="str">
        <f>IF(OR(COUNTA(A1332:E1332)=0,D1332=""),"",IFERROR(INDEX(ca_type,MATCH(D1332,ca_name,0))&amp;"",""))</f>
        <v/>
      </c>
      <c r="I1332" s="58" t="str">
        <f>IF(COUNTA(A1332:E1332)=0,"",IF(N(A1332)&lt;=0,"Date manquante ou invalide",IF(B1332="","Équipe manquante",IF(ISNA(MATCH(B1332,eq_code,0)),"Équipe inconnue",IF(C1332="","Poste manquant",IF(ISNA(MATCH(C1332,po_code,0)),"Poste inconnu",IF(D1332="","Cause manquante",IF(ISNA(MATCH(D1332,ca_name,0)),"Cause inconnue",IF(H1332="","Cause à compléter dans Paramètres",IF(OR(NOT(ISNUMBER(E1332)),N(E1332)&lt;=0,N(E1332)&gt;1440),"Durée invalide",IF(COUNTIFS(sj_date,A1332,sj_eq,B1332,sj_po,C1332)=0,"Pas de saisie journalière ce jour-là","OK")))))))))))</f>
        <v/>
      </c>
      <c r="J1332">
        <f>IF(OR(I1332="OK",I1332="Pas de saisie journalière ce jour-là"),E1332,0)</f>
        <v>0.0</v>
      </c>
      <c r="K1332">
        <f>IF(AND(J1332&gt;0,A1332&gt;=p_from,A1332&lt;=p_to),1,0)</f>
        <v>0.0</v>
      </c>
      <c r="L1332">
        <f>IF(AND(K1332=1,OR(pa_po="",C1332=pa_po),OR(pa_eq="",B1332=pa_eq)),1,0)</f>
        <v>0.0</v>
      </c>
    </row>
    <row r="1333">
      <c r="A1333" s="51" t="n"/>
      <c r="B1333" s="52" t="n"/>
      <c r="C1333" s="52" t="n"/>
      <c r="D1333" s="53" t="n"/>
      <c r="E1333" s="60" t="n"/>
      <c r="F1333" s="53" t="n"/>
      <c r="G1333" s="61" t="str">
        <f>IF(OR(COUNTA(A1333:E1333)=0,D1333=""),"",IFERROR(INDEX(ca_fam,MATCH(D1333,ca_name,0))&amp;"",""))</f>
        <v/>
      </c>
      <c r="H1333" s="58" t="str">
        <f>IF(OR(COUNTA(A1333:E1333)=0,D1333=""),"",IFERROR(INDEX(ca_type,MATCH(D1333,ca_name,0))&amp;"",""))</f>
        <v/>
      </c>
      <c r="I1333" s="58" t="str">
        <f>IF(COUNTA(A1333:E1333)=0,"",IF(N(A1333)&lt;=0,"Date manquante ou invalide",IF(B1333="","Équipe manquante",IF(ISNA(MATCH(B1333,eq_code,0)),"Équipe inconnue",IF(C1333="","Poste manquant",IF(ISNA(MATCH(C1333,po_code,0)),"Poste inconnu",IF(D1333="","Cause manquante",IF(ISNA(MATCH(D1333,ca_name,0)),"Cause inconnue",IF(H1333="","Cause à compléter dans Paramètres",IF(OR(NOT(ISNUMBER(E1333)),N(E1333)&lt;=0,N(E1333)&gt;1440),"Durée invalide",IF(COUNTIFS(sj_date,A1333,sj_eq,B1333,sj_po,C1333)=0,"Pas de saisie journalière ce jour-là","OK")))))))))))</f>
        <v/>
      </c>
      <c r="J1333">
        <f>IF(OR(I1333="OK",I1333="Pas de saisie journalière ce jour-là"),E1333,0)</f>
        <v>0.0</v>
      </c>
      <c r="K1333">
        <f>IF(AND(J1333&gt;0,A1333&gt;=p_from,A1333&lt;=p_to),1,0)</f>
        <v>0.0</v>
      </c>
      <c r="L1333">
        <f>IF(AND(K1333=1,OR(pa_po="",C1333=pa_po),OR(pa_eq="",B1333=pa_eq)),1,0)</f>
        <v>0.0</v>
      </c>
    </row>
    <row r="1334">
      <c r="A1334" s="51" t="n"/>
      <c r="B1334" s="52" t="n"/>
      <c r="C1334" s="52" t="n"/>
      <c r="D1334" s="53" t="n"/>
      <c r="E1334" s="60" t="n"/>
      <c r="F1334" s="53" t="n"/>
      <c r="G1334" s="61" t="str">
        <f>IF(OR(COUNTA(A1334:E1334)=0,D1334=""),"",IFERROR(INDEX(ca_fam,MATCH(D1334,ca_name,0))&amp;"",""))</f>
        <v/>
      </c>
      <c r="H1334" s="58" t="str">
        <f>IF(OR(COUNTA(A1334:E1334)=0,D1334=""),"",IFERROR(INDEX(ca_type,MATCH(D1334,ca_name,0))&amp;"",""))</f>
        <v/>
      </c>
      <c r="I1334" s="58" t="str">
        <f>IF(COUNTA(A1334:E1334)=0,"",IF(N(A1334)&lt;=0,"Date manquante ou invalide",IF(B1334="","Équipe manquante",IF(ISNA(MATCH(B1334,eq_code,0)),"Équipe inconnue",IF(C1334="","Poste manquant",IF(ISNA(MATCH(C1334,po_code,0)),"Poste inconnu",IF(D1334="","Cause manquante",IF(ISNA(MATCH(D1334,ca_name,0)),"Cause inconnue",IF(H1334="","Cause à compléter dans Paramètres",IF(OR(NOT(ISNUMBER(E1334)),N(E1334)&lt;=0,N(E1334)&gt;1440),"Durée invalide",IF(COUNTIFS(sj_date,A1334,sj_eq,B1334,sj_po,C1334)=0,"Pas de saisie journalière ce jour-là","OK")))))))))))</f>
        <v/>
      </c>
      <c r="J1334">
        <f>IF(OR(I1334="OK",I1334="Pas de saisie journalière ce jour-là"),E1334,0)</f>
        <v>0.0</v>
      </c>
      <c r="K1334">
        <f>IF(AND(J1334&gt;0,A1334&gt;=p_from,A1334&lt;=p_to),1,0)</f>
        <v>0.0</v>
      </c>
      <c r="L1334">
        <f>IF(AND(K1334=1,OR(pa_po="",C1334=pa_po),OR(pa_eq="",B1334=pa_eq)),1,0)</f>
        <v>0.0</v>
      </c>
    </row>
    <row r="1335">
      <c r="A1335" s="51" t="n"/>
      <c r="B1335" s="52" t="n"/>
      <c r="C1335" s="52" t="n"/>
      <c r="D1335" s="53" t="n"/>
      <c r="E1335" s="60" t="n"/>
      <c r="F1335" s="53" t="n"/>
      <c r="G1335" s="61" t="str">
        <f>IF(OR(COUNTA(A1335:E1335)=0,D1335=""),"",IFERROR(INDEX(ca_fam,MATCH(D1335,ca_name,0))&amp;"",""))</f>
        <v/>
      </c>
      <c r="H1335" s="58" t="str">
        <f>IF(OR(COUNTA(A1335:E1335)=0,D1335=""),"",IFERROR(INDEX(ca_type,MATCH(D1335,ca_name,0))&amp;"",""))</f>
        <v/>
      </c>
      <c r="I1335" s="58" t="str">
        <f>IF(COUNTA(A1335:E1335)=0,"",IF(N(A1335)&lt;=0,"Date manquante ou invalide",IF(B1335="","Équipe manquante",IF(ISNA(MATCH(B1335,eq_code,0)),"Équipe inconnue",IF(C1335="","Poste manquant",IF(ISNA(MATCH(C1335,po_code,0)),"Poste inconnu",IF(D1335="","Cause manquante",IF(ISNA(MATCH(D1335,ca_name,0)),"Cause inconnue",IF(H1335="","Cause à compléter dans Paramètres",IF(OR(NOT(ISNUMBER(E1335)),N(E1335)&lt;=0,N(E1335)&gt;1440),"Durée invalide",IF(COUNTIFS(sj_date,A1335,sj_eq,B1335,sj_po,C1335)=0,"Pas de saisie journalière ce jour-là","OK")))))))))))</f>
        <v/>
      </c>
      <c r="J1335">
        <f>IF(OR(I1335="OK",I1335="Pas de saisie journalière ce jour-là"),E1335,0)</f>
        <v>0.0</v>
      </c>
      <c r="K1335">
        <f>IF(AND(J1335&gt;0,A1335&gt;=p_from,A1335&lt;=p_to),1,0)</f>
        <v>0.0</v>
      </c>
      <c r="L1335">
        <f>IF(AND(K1335=1,OR(pa_po="",C1335=pa_po),OR(pa_eq="",B1335=pa_eq)),1,0)</f>
        <v>0.0</v>
      </c>
    </row>
    <row r="1336">
      <c r="A1336" s="51" t="n"/>
      <c r="B1336" s="52" t="n"/>
      <c r="C1336" s="52" t="n"/>
      <c r="D1336" s="53" t="n"/>
      <c r="E1336" s="60" t="n"/>
      <c r="F1336" s="53" t="n"/>
      <c r="G1336" s="61" t="str">
        <f>IF(OR(COUNTA(A1336:E1336)=0,D1336=""),"",IFERROR(INDEX(ca_fam,MATCH(D1336,ca_name,0))&amp;"",""))</f>
        <v/>
      </c>
      <c r="H1336" s="58" t="str">
        <f>IF(OR(COUNTA(A1336:E1336)=0,D1336=""),"",IFERROR(INDEX(ca_type,MATCH(D1336,ca_name,0))&amp;"",""))</f>
        <v/>
      </c>
      <c r="I1336" s="58" t="str">
        <f>IF(COUNTA(A1336:E1336)=0,"",IF(N(A1336)&lt;=0,"Date manquante ou invalide",IF(B1336="","Équipe manquante",IF(ISNA(MATCH(B1336,eq_code,0)),"Équipe inconnue",IF(C1336="","Poste manquant",IF(ISNA(MATCH(C1336,po_code,0)),"Poste inconnu",IF(D1336="","Cause manquante",IF(ISNA(MATCH(D1336,ca_name,0)),"Cause inconnue",IF(H1336="","Cause à compléter dans Paramètres",IF(OR(NOT(ISNUMBER(E1336)),N(E1336)&lt;=0,N(E1336)&gt;1440),"Durée invalide",IF(COUNTIFS(sj_date,A1336,sj_eq,B1336,sj_po,C1336)=0,"Pas de saisie journalière ce jour-là","OK")))))))))))</f>
        <v/>
      </c>
      <c r="J1336">
        <f>IF(OR(I1336="OK",I1336="Pas de saisie journalière ce jour-là"),E1336,0)</f>
        <v>0.0</v>
      </c>
      <c r="K1336">
        <f>IF(AND(J1336&gt;0,A1336&gt;=p_from,A1336&lt;=p_to),1,0)</f>
        <v>0.0</v>
      </c>
      <c r="L1336">
        <f>IF(AND(K1336=1,OR(pa_po="",C1336=pa_po),OR(pa_eq="",B1336=pa_eq)),1,0)</f>
        <v>0.0</v>
      </c>
    </row>
    <row r="1337">
      <c r="A1337" s="51" t="n"/>
      <c r="B1337" s="52" t="n"/>
      <c r="C1337" s="52" t="n"/>
      <c r="D1337" s="53" t="n"/>
      <c r="E1337" s="60" t="n"/>
      <c r="F1337" s="53" t="n"/>
      <c r="G1337" s="61" t="str">
        <f>IF(OR(COUNTA(A1337:E1337)=0,D1337=""),"",IFERROR(INDEX(ca_fam,MATCH(D1337,ca_name,0))&amp;"",""))</f>
        <v/>
      </c>
      <c r="H1337" s="58" t="str">
        <f>IF(OR(COUNTA(A1337:E1337)=0,D1337=""),"",IFERROR(INDEX(ca_type,MATCH(D1337,ca_name,0))&amp;"",""))</f>
        <v/>
      </c>
      <c r="I1337" s="58" t="str">
        <f>IF(COUNTA(A1337:E1337)=0,"",IF(N(A1337)&lt;=0,"Date manquante ou invalide",IF(B1337="","Équipe manquante",IF(ISNA(MATCH(B1337,eq_code,0)),"Équipe inconnue",IF(C1337="","Poste manquant",IF(ISNA(MATCH(C1337,po_code,0)),"Poste inconnu",IF(D1337="","Cause manquante",IF(ISNA(MATCH(D1337,ca_name,0)),"Cause inconnue",IF(H1337="","Cause à compléter dans Paramètres",IF(OR(NOT(ISNUMBER(E1337)),N(E1337)&lt;=0,N(E1337)&gt;1440),"Durée invalide",IF(COUNTIFS(sj_date,A1337,sj_eq,B1337,sj_po,C1337)=0,"Pas de saisie journalière ce jour-là","OK")))))))))))</f>
        <v/>
      </c>
      <c r="J1337">
        <f>IF(OR(I1337="OK",I1337="Pas de saisie journalière ce jour-là"),E1337,0)</f>
        <v>0.0</v>
      </c>
      <c r="K1337">
        <f>IF(AND(J1337&gt;0,A1337&gt;=p_from,A1337&lt;=p_to),1,0)</f>
        <v>0.0</v>
      </c>
      <c r="L1337">
        <f>IF(AND(K1337=1,OR(pa_po="",C1337=pa_po),OR(pa_eq="",B1337=pa_eq)),1,0)</f>
        <v>0.0</v>
      </c>
    </row>
    <row r="1338">
      <c r="A1338" s="51" t="n"/>
      <c r="B1338" s="52" t="n"/>
      <c r="C1338" s="52" t="n"/>
      <c r="D1338" s="53" t="n"/>
      <c r="E1338" s="60" t="n"/>
      <c r="F1338" s="53" t="n"/>
      <c r="G1338" s="61" t="str">
        <f>IF(OR(COUNTA(A1338:E1338)=0,D1338=""),"",IFERROR(INDEX(ca_fam,MATCH(D1338,ca_name,0))&amp;"",""))</f>
        <v/>
      </c>
      <c r="H1338" s="58" t="str">
        <f>IF(OR(COUNTA(A1338:E1338)=0,D1338=""),"",IFERROR(INDEX(ca_type,MATCH(D1338,ca_name,0))&amp;"",""))</f>
        <v/>
      </c>
      <c r="I1338" s="58" t="str">
        <f>IF(COUNTA(A1338:E1338)=0,"",IF(N(A1338)&lt;=0,"Date manquante ou invalide",IF(B1338="","Équipe manquante",IF(ISNA(MATCH(B1338,eq_code,0)),"Équipe inconnue",IF(C1338="","Poste manquant",IF(ISNA(MATCH(C1338,po_code,0)),"Poste inconnu",IF(D1338="","Cause manquante",IF(ISNA(MATCH(D1338,ca_name,0)),"Cause inconnue",IF(H1338="","Cause à compléter dans Paramètres",IF(OR(NOT(ISNUMBER(E1338)),N(E1338)&lt;=0,N(E1338)&gt;1440),"Durée invalide",IF(COUNTIFS(sj_date,A1338,sj_eq,B1338,sj_po,C1338)=0,"Pas de saisie journalière ce jour-là","OK")))))))))))</f>
        <v/>
      </c>
      <c r="J1338">
        <f>IF(OR(I1338="OK",I1338="Pas de saisie journalière ce jour-là"),E1338,0)</f>
        <v>0.0</v>
      </c>
      <c r="K1338">
        <f>IF(AND(J1338&gt;0,A1338&gt;=p_from,A1338&lt;=p_to),1,0)</f>
        <v>0.0</v>
      </c>
      <c r="L1338">
        <f>IF(AND(K1338=1,OR(pa_po="",C1338=pa_po),OR(pa_eq="",B1338=pa_eq)),1,0)</f>
        <v>0.0</v>
      </c>
    </row>
    <row r="1339">
      <c r="A1339" s="51" t="n"/>
      <c r="B1339" s="52" t="n"/>
      <c r="C1339" s="52" t="n"/>
      <c r="D1339" s="53" t="n"/>
      <c r="E1339" s="60" t="n"/>
      <c r="F1339" s="53" t="n"/>
      <c r="G1339" s="61" t="str">
        <f>IF(OR(COUNTA(A1339:E1339)=0,D1339=""),"",IFERROR(INDEX(ca_fam,MATCH(D1339,ca_name,0))&amp;"",""))</f>
        <v/>
      </c>
      <c r="H1339" s="58" t="str">
        <f>IF(OR(COUNTA(A1339:E1339)=0,D1339=""),"",IFERROR(INDEX(ca_type,MATCH(D1339,ca_name,0))&amp;"",""))</f>
        <v/>
      </c>
      <c r="I1339" s="58" t="str">
        <f>IF(COUNTA(A1339:E1339)=0,"",IF(N(A1339)&lt;=0,"Date manquante ou invalide",IF(B1339="","Équipe manquante",IF(ISNA(MATCH(B1339,eq_code,0)),"Équipe inconnue",IF(C1339="","Poste manquant",IF(ISNA(MATCH(C1339,po_code,0)),"Poste inconnu",IF(D1339="","Cause manquante",IF(ISNA(MATCH(D1339,ca_name,0)),"Cause inconnue",IF(H1339="","Cause à compléter dans Paramètres",IF(OR(NOT(ISNUMBER(E1339)),N(E1339)&lt;=0,N(E1339)&gt;1440),"Durée invalide",IF(COUNTIFS(sj_date,A1339,sj_eq,B1339,sj_po,C1339)=0,"Pas de saisie journalière ce jour-là","OK")))))))))))</f>
        <v/>
      </c>
      <c r="J1339">
        <f>IF(OR(I1339="OK",I1339="Pas de saisie journalière ce jour-là"),E1339,0)</f>
        <v>0.0</v>
      </c>
      <c r="K1339">
        <f>IF(AND(J1339&gt;0,A1339&gt;=p_from,A1339&lt;=p_to),1,0)</f>
        <v>0.0</v>
      </c>
      <c r="L1339">
        <f>IF(AND(K1339=1,OR(pa_po="",C1339=pa_po),OR(pa_eq="",B1339=pa_eq)),1,0)</f>
        <v>0.0</v>
      </c>
    </row>
    <row r="1340">
      <c r="A1340" s="51" t="n"/>
      <c r="B1340" s="52" t="n"/>
      <c r="C1340" s="52" t="n"/>
      <c r="D1340" s="53" t="n"/>
      <c r="E1340" s="60" t="n"/>
      <c r="F1340" s="53" t="n"/>
      <c r="G1340" s="61" t="str">
        <f>IF(OR(COUNTA(A1340:E1340)=0,D1340=""),"",IFERROR(INDEX(ca_fam,MATCH(D1340,ca_name,0))&amp;"",""))</f>
        <v/>
      </c>
      <c r="H1340" s="58" t="str">
        <f>IF(OR(COUNTA(A1340:E1340)=0,D1340=""),"",IFERROR(INDEX(ca_type,MATCH(D1340,ca_name,0))&amp;"",""))</f>
        <v/>
      </c>
      <c r="I1340" s="58" t="str">
        <f>IF(COUNTA(A1340:E1340)=0,"",IF(N(A1340)&lt;=0,"Date manquante ou invalide",IF(B1340="","Équipe manquante",IF(ISNA(MATCH(B1340,eq_code,0)),"Équipe inconnue",IF(C1340="","Poste manquant",IF(ISNA(MATCH(C1340,po_code,0)),"Poste inconnu",IF(D1340="","Cause manquante",IF(ISNA(MATCH(D1340,ca_name,0)),"Cause inconnue",IF(H1340="","Cause à compléter dans Paramètres",IF(OR(NOT(ISNUMBER(E1340)),N(E1340)&lt;=0,N(E1340)&gt;1440),"Durée invalide",IF(COUNTIFS(sj_date,A1340,sj_eq,B1340,sj_po,C1340)=0,"Pas de saisie journalière ce jour-là","OK")))))))))))</f>
        <v/>
      </c>
      <c r="J1340">
        <f>IF(OR(I1340="OK",I1340="Pas de saisie journalière ce jour-là"),E1340,0)</f>
        <v>0.0</v>
      </c>
      <c r="K1340">
        <f>IF(AND(J1340&gt;0,A1340&gt;=p_from,A1340&lt;=p_to),1,0)</f>
        <v>0.0</v>
      </c>
      <c r="L1340">
        <f>IF(AND(K1340=1,OR(pa_po="",C1340=pa_po),OR(pa_eq="",B1340=pa_eq)),1,0)</f>
        <v>0.0</v>
      </c>
    </row>
    <row r="1341">
      <c r="A1341" s="51" t="n"/>
      <c r="B1341" s="52" t="n"/>
      <c r="C1341" s="52" t="n"/>
      <c r="D1341" s="53" t="n"/>
      <c r="E1341" s="60" t="n"/>
      <c r="F1341" s="53" t="n"/>
      <c r="G1341" s="61" t="str">
        <f>IF(OR(COUNTA(A1341:E1341)=0,D1341=""),"",IFERROR(INDEX(ca_fam,MATCH(D1341,ca_name,0))&amp;"",""))</f>
        <v/>
      </c>
      <c r="H1341" s="58" t="str">
        <f>IF(OR(COUNTA(A1341:E1341)=0,D1341=""),"",IFERROR(INDEX(ca_type,MATCH(D1341,ca_name,0))&amp;"",""))</f>
        <v/>
      </c>
      <c r="I1341" s="58" t="str">
        <f>IF(COUNTA(A1341:E1341)=0,"",IF(N(A1341)&lt;=0,"Date manquante ou invalide",IF(B1341="","Équipe manquante",IF(ISNA(MATCH(B1341,eq_code,0)),"Équipe inconnue",IF(C1341="","Poste manquant",IF(ISNA(MATCH(C1341,po_code,0)),"Poste inconnu",IF(D1341="","Cause manquante",IF(ISNA(MATCH(D1341,ca_name,0)),"Cause inconnue",IF(H1341="","Cause à compléter dans Paramètres",IF(OR(NOT(ISNUMBER(E1341)),N(E1341)&lt;=0,N(E1341)&gt;1440),"Durée invalide",IF(COUNTIFS(sj_date,A1341,sj_eq,B1341,sj_po,C1341)=0,"Pas de saisie journalière ce jour-là","OK")))))))))))</f>
        <v/>
      </c>
      <c r="J1341">
        <f>IF(OR(I1341="OK",I1341="Pas de saisie journalière ce jour-là"),E1341,0)</f>
        <v>0.0</v>
      </c>
      <c r="K1341">
        <f>IF(AND(J1341&gt;0,A1341&gt;=p_from,A1341&lt;=p_to),1,0)</f>
        <v>0.0</v>
      </c>
      <c r="L1341">
        <f>IF(AND(K1341=1,OR(pa_po="",C1341=pa_po),OR(pa_eq="",B1341=pa_eq)),1,0)</f>
        <v>0.0</v>
      </c>
    </row>
    <row r="1342">
      <c r="A1342" s="51" t="n"/>
      <c r="B1342" s="52" t="n"/>
      <c r="C1342" s="52" t="n"/>
      <c r="D1342" s="53" t="n"/>
      <c r="E1342" s="60" t="n"/>
      <c r="F1342" s="53" t="n"/>
      <c r="G1342" s="61" t="str">
        <f>IF(OR(COUNTA(A1342:E1342)=0,D1342=""),"",IFERROR(INDEX(ca_fam,MATCH(D1342,ca_name,0))&amp;"",""))</f>
        <v/>
      </c>
      <c r="H1342" s="58" t="str">
        <f>IF(OR(COUNTA(A1342:E1342)=0,D1342=""),"",IFERROR(INDEX(ca_type,MATCH(D1342,ca_name,0))&amp;"",""))</f>
        <v/>
      </c>
      <c r="I1342" s="58" t="str">
        <f>IF(COUNTA(A1342:E1342)=0,"",IF(N(A1342)&lt;=0,"Date manquante ou invalide",IF(B1342="","Équipe manquante",IF(ISNA(MATCH(B1342,eq_code,0)),"Équipe inconnue",IF(C1342="","Poste manquant",IF(ISNA(MATCH(C1342,po_code,0)),"Poste inconnu",IF(D1342="","Cause manquante",IF(ISNA(MATCH(D1342,ca_name,0)),"Cause inconnue",IF(H1342="","Cause à compléter dans Paramètres",IF(OR(NOT(ISNUMBER(E1342)),N(E1342)&lt;=0,N(E1342)&gt;1440),"Durée invalide",IF(COUNTIFS(sj_date,A1342,sj_eq,B1342,sj_po,C1342)=0,"Pas de saisie journalière ce jour-là","OK")))))))))))</f>
        <v/>
      </c>
      <c r="J1342">
        <f>IF(OR(I1342="OK",I1342="Pas de saisie journalière ce jour-là"),E1342,0)</f>
        <v>0.0</v>
      </c>
      <c r="K1342">
        <f>IF(AND(J1342&gt;0,A1342&gt;=p_from,A1342&lt;=p_to),1,0)</f>
        <v>0.0</v>
      </c>
      <c r="L1342">
        <f>IF(AND(K1342=1,OR(pa_po="",C1342=pa_po),OR(pa_eq="",B1342=pa_eq)),1,0)</f>
        <v>0.0</v>
      </c>
    </row>
    <row r="1343">
      <c r="A1343" s="51" t="n"/>
      <c r="B1343" s="52" t="n"/>
      <c r="C1343" s="52" t="n"/>
      <c r="D1343" s="53" t="n"/>
      <c r="E1343" s="60" t="n"/>
      <c r="F1343" s="53" t="n"/>
      <c r="G1343" s="61" t="str">
        <f>IF(OR(COUNTA(A1343:E1343)=0,D1343=""),"",IFERROR(INDEX(ca_fam,MATCH(D1343,ca_name,0))&amp;"",""))</f>
        <v/>
      </c>
      <c r="H1343" s="58" t="str">
        <f>IF(OR(COUNTA(A1343:E1343)=0,D1343=""),"",IFERROR(INDEX(ca_type,MATCH(D1343,ca_name,0))&amp;"",""))</f>
        <v/>
      </c>
      <c r="I1343" s="58" t="str">
        <f>IF(COUNTA(A1343:E1343)=0,"",IF(N(A1343)&lt;=0,"Date manquante ou invalide",IF(B1343="","Équipe manquante",IF(ISNA(MATCH(B1343,eq_code,0)),"Équipe inconnue",IF(C1343="","Poste manquant",IF(ISNA(MATCH(C1343,po_code,0)),"Poste inconnu",IF(D1343="","Cause manquante",IF(ISNA(MATCH(D1343,ca_name,0)),"Cause inconnue",IF(H1343="","Cause à compléter dans Paramètres",IF(OR(NOT(ISNUMBER(E1343)),N(E1343)&lt;=0,N(E1343)&gt;1440),"Durée invalide",IF(COUNTIFS(sj_date,A1343,sj_eq,B1343,sj_po,C1343)=0,"Pas de saisie journalière ce jour-là","OK")))))))))))</f>
        <v/>
      </c>
      <c r="J1343">
        <f>IF(OR(I1343="OK",I1343="Pas de saisie journalière ce jour-là"),E1343,0)</f>
        <v>0.0</v>
      </c>
      <c r="K1343">
        <f>IF(AND(J1343&gt;0,A1343&gt;=p_from,A1343&lt;=p_to),1,0)</f>
        <v>0.0</v>
      </c>
      <c r="L1343">
        <f>IF(AND(K1343=1,OR(pa_po="",C1343=pa_po),OR(pa_eq="",B1343=pa_eq)),1,0)</f>
        <v>0.0</v>
      </c>
    </row>
    <row r="1344">
      <c r="A1344" s="51" t="n"/>
      <c r="B1344" s="52" t="n"/>
      <c r="C1344" s="52" t="n"/>
      <c r="D1344" s="53" t="n"/>
      <c r="E1344" s="60" t="n"/>
      <c r="F1344" s="53" t="n"/>
      <c r="G1344" s="61" t="str">
        <f>IF(OR(COUNTA(A1344:E1344)=0,D1344=""),"",IFERROR(INDEX(ca_fam,MATCH(D1344,ca_name,0))&amp;"",""))</f>
        <v/>
      </c>
      <c r="H1344" s="58" t="str">
        <f>IF(OR(COUNTA(A1344:E1344)=0,D1344=""),"",IFERROR(INDEX(ca_type,MATCH(D1344,ca_name,0))&amp;"",""))</f>
        <v/>
      </c>
      <c r="I1344" s="58" t="str">
        <f>IF(COUNTA(A1344:E1344)=0,"",IF(N(A1344)&lt;=0,"Date manquante ou invalide",IF(B1344="","Équipe manquante",IF(ISNA(MATCH(B1344,eq_code,0)),"Équipe inconnue",IF(C1344="","Poste manquant",IF(ISNA(MATCH(C1344,po_code,0)),"Poste inconnu",IF(D1344="","Cause manquante",IF(ISNA(MATCH(D1344,ca_name,0)),"Cause inconnue",IF(H1344="","Cause à compléter dans Paramètres",IF(OR(NOT(ISNUMBER(E1344)),N(E1344)&lt;=0,N(E1344)&gt;1440),"Durée invalide",IF(COUNTIFS(sj_date,A1344,sj_eq,B1344,sj_po,C1344)=0,"Pas de saisie journalière ce jour-là","OK")))))))))))</f>
        <v/>
      </c>
      <c r="J1344">
        <f>IF(OR(I1344="OK",I1344="Pas de saisie journalière ce jour-là"),E1344,0)</f>
        <v>0.0</v>
      </c>
      <c r="K1344">
        <f>IF(AND(J1344&gt;0,A1344&gt;=p_from,A1344&lt;=p_to),1,0)</f>
        <v>0.0</v>
      </c>
      <c r="L1344">
        <f>IF(AND(K1344=1,OR(pa_po="",C1344=pa_po),OR(pa_eq="",B1344=pa_eq)),1,0)</f>
        <v>0.0</v>
      </c>
    </row>
    <row r="1345">
      <c r="A1345" s="51" t="n"/>
      <c r="B1345" s="52" t="n"/>
      <c r="C1345" s="52" t="n"/>
      <c r="D1345" s="53" t="n"/>
      <c r="E1345" s="60" t="n"/>
      <c r="F1345" s="53" t="n"/>
      <c r="G1345" s="61" t="str">
        <f>IF(OR(COUNTA(A1345:E1345)=0,D1345=""),"",IFERROR(INDEX(ca_fam,MATCH(D1345,ca_name,0))&amp;"",""))</f>
        <v/>
      </c>
      <c r="H1345" s="58" t="str">
        <f>IF(OR(COUNTA(A1345:E1345)=0,D1345=""),"",IFERROR(INDEX(ca_type,MATCH(D1345,ca_name,0))&amp;"",""))</f>
        <v/>
      </c>
      <c r="I1345" s="58" t="str">
        <f>IF(COUNTA(A1345:E1345)=0,"",IF(N(A1345)&lt;=0,"Date manquante ou invalide",IF(B1345="","Équipe manquante",IF(ISNA(MATCH(B1345,eq_code,0)),"Équipe inconnue",IF(C1345="","Poste manquant",IF(ISNA(MATCH(C1345,po_code,0)),"Poste inconnu",IF(D1345="","Cause manquante",IF(ISNA(MATCH(D1345,ca_name,0)),"Cause inconnue",IF(H1345="","Cause à compléter dans Paramètres",IF(OR(NOT(ISNUMBER(E1345)),N(E1345)&lt;=0,N(E1345)&gt;1440),"Durée invalide",IF(COUNTIFS(sj_date,A1345,sj_eq,B1345,sj_po,C1345)=0,"Pas de saisie journalière ce jour-là","OK")))))))))))</f>
        <v/>
      </c>
      <c r="J1345">
        <f>IF(OR(I1345="OK",I1345="Pas de saisie journalière ce jour-là"),E1345,0)</f>
        <v>0.0</v>
      </c>
      <c r="K1345">
        <f>IF(AND(J1345&gt;0,A1345&gt;=p_from,A1345&lt;=p_to),1,0)</f>
        <v>0.0</v>
      </c>
      <c r="L1345">
        <f>IF(AND(K1345=1,OR(pa_po="",C1345=pa_po),OR(pa_eq="",B1345=pa_eq)),1,0)</f>
        <v>0.0</v>
      </c>
    </row>
    <row r="1346">
      <c r="A1346" s="51" t="n"/>
      <c r="B1346" s="52" t="n"/>
      <c r="C1346" s="52" t="n"/>
      <c r="D1346" s="53" t="n"/>
      <c r="E1346" s="60" t="n"/>
      <c r="F1346" s="53" t="n"/>
      <c r="G1346" s="61" t="str">
        <f>IF(OR(COUNTA(A1346:E1346)=0,D1346=""),"",IFERROR(INDEX(ca_fam,MATCH(D1346,ca_name,0))&amp;"",""))</f>
        <v/>
      </c>
      <c r="H1346" s="58" t="str">
        <f>IF(OR(COUNTA(A1346:E1346)=0,D1346=""),"",IFERROR(INDEX(ca_type,MATCH(D1346,ca_name,0))&amp;"",""))</f>
        <v/>
      </c>
      <c r="I1346" s="58" t="str">
        <f>IF(COUNTA(A1346:E1346)=0,"",IF(N(A1346)&lt;=0,"Date manquante ou invalide",IF(B1346="","Équipe manquante",IF(ISNA(MATCH(B1346,eq_code,0)),"Équipe inconnue",IF(C1346="","Poste manquant",IF(ISNA(MATCH(C1346,po_code,0)),"Poste inconnu",IF(D1346="","Cause manquante",IF(ISNA(MATCH(D1346,ca_name,0)),"Cause inconnue",IF(H1346="","Cause à compléter dans Paramètres",IF(OR(NOT(ISNUMBER(E1346)),N(E1346)&lt;=0,N(E1346)&gt;1440),"Durée invalide",IF(COUNTIFS(sj_date,A1346,sj_eq,B1346,sj_po,C1346)=0,"Pas de saisie journalière ce jour-là","OK")))))))))))</f>
        <v/>
      </c>
      <c r="J1346">
        <f>IF(OR(I1346="OK",I1346="Pas de saisie journalière ce jour-là"),E1346,0)</f>
        <v>0.0</v>
      </c>
      <c r="K1346">
        <f>IF(AND(J1346&gt;0,A1346&gt;=p_from,A1346&lt;=p_to),1,0)</f>
        <v>0.0</v>
      </c>
      <c r="L1346">
        <f>IF(AND(K1346=1,OR(pa_po="",C1346=pa_po),OR(pa_eq="",B1346=pa_eq)),1,0)</f>
        <v>0.0</v>
      </c>
    </row>
    <row r="1347">
      <c r="A1347" s="51" t="n"/>
      <c r="B1347" s="52" t="n"/>
      <c r="C1347" s="52" t="n"/>
      <c r="D1347" s="53" t="n"/>
      <c r="E1347" s="60" t="n"/>
      <c r="F1347" s="53" t="n"/>
      <c r="G1347" s="61" t="str">
        <f>IF(OR(COUNTA(A1347:E1347)=0,D1347=""),"",IFERROR(INDEX(ca_fam,MATCH(D1347,ca_name,0))&amp;"",""))</f>
        <v/>
      </c>
      <c r="H1347" s="58" t="str">
        <f>IF(OR(COUNTA(A1347:E1347)=0,D1347=""),"",IFERROR(INDEX(ca_type,MATCH(D1347,ca_name,0))&amp;"",""))</f>
        <v/>
      </c>
      <c r="I1347" s="58" t="str">
        <f>IF(COUNTA(A1347:E1347)=0,"",IF(N(A1347)&lt;=0,"Date manquante ou invalide",IF(B1347="","Équipe manquante",IF(ISNA(MATCH(B1347,eq_code,0)),"Équipe inconnue",IF(C1347="","Poste manquant",IF(ISNA(MATCH(C1347,po_code,0)),"Poste inconnu",IF(D1347="","Cause manquante",IF(ISNA(MATCH(D1347,ca_name,0)),"Cause inconnue",IF(H1347="","Cause à compléter dans Paramètres",IF(OR(NOT(ISNUMBER(E1347)),N(E1347)&lt;=0,N(E1347)&gt;1440),"Durée invalide",IF(COUNTIFS(sj_date,A1347,sj_eq,B1347,sj_po,C1347)=0,"Pas de saisie journalière ce jour-là","OK")))))))))))</f>
        <v/>
      </c>
      <c r="J1347">
        <f>IF(OR(I1347="OK",I1347="Pas de saisie journalière ce jour-là"),E1347,0)</f>
        <v>0.0</v>
      </c>
      <c r="K1347">
        <f>IF(AND(J1347&gt;0,A1347&gt;=p_from,A1347&lt;=p_to),1,0)</f>
        <v>0.0</v>
      </c>
      <c r="L1347">
        <f>IF(AND(K1347=1,OR(pa_po="",C1347=pa_po),OR(pa_eq="",B1347=pa_eq)),1,0)</f>
        <v>0.0</v>
      </c>
    </row>
    <row r="1348">
      <c r="A1348" s="51" t="n"/>
      <c r="B1348" s="52" t="n"/>
      <c r="C1348" s="52" t="n"/>
      <c r="D1348" s="53" t="n"/>
      <c r="E1348" s="60" t="n"/>
      <c r="F1348" s="53" t="n"/>
      <c r="G1348" s="61" t="str">
        <f>IF(OR(COUNTA(A1348:E1348)=0,D1348=""),"",IFERROR(INDEX(ca_fam,MATCH(D1348,ca_name,0))&amp;"",""))</f>
        <v/>
      </c>
      <c r="H1348" s="58" t="str">
        <f>IF(OR(COUNTA(A1348:E1348)=0,D1348=""),"",IFERROR(INDEX(ca_type,MATCH(D1348,ca_name,0))&amp;"",""))</f>
        <v/>
      </c>
      <c r="I1348" s="58" t="str">
        <f>IF(COUNTA(A1348:E1348)=0,"",IF(N(A1348)&lt;=0,"Date manquante ou invalide",IF(B1348="","Équipe manquante",IF(ISNA(MATCH(B1348,eq_code,0)),"Équipe inconnue",IF(C1348="","Poste manquant",IF(ISNA(MATCH(C1348,po_code,0)),"Poste inconnu",IF(D1348="","Cause manquante",IF(ISNA(MATCH(D1348,ca_name,0)),"Cause inconnue",IF(H1348="","Cause à compléter dans Paramètres",IF(OR(NOT(ISNUMBER(E1348)),N(E1348)&lt;=0,N(E1348)&gt;1440),"Durée invalide",IF(COUNTIFS(sj_date,A1348,sj_eq,B1348,sj_po,C1348)=0,"Pas de saisie journalière ce jour-là","OK")))))))))))</f>
        <v/>
      </c>
      <c r="J1348">
        <f>IF(OR(I1348="OK",I1348="Pas de saisie journalière ce jour-là"),E1348,0)</f>
        <v>0.0</v>
      </c>
      <c r="K1348">
        <f>IF(AND(J1348&gt;0,A1348&gt;=p_from,A1348&lt;=p_to),1,0)</f>
        <v>0.0</v>
      </c>
      <c r="L1348">
        <f>IF(AND(K1348=1,OR(pa_po="",C1348=pa_po),OR(pa_eq="",B1348=pa_eq)),1,0)</f>
        <v>0.0</v>
      </c>
    </row>
    <row r="1349">
      <c r="A1349" s="51" t="n"/>
      <c r="B1349" s="52" t="n"/>
      <c r="C1349" s="52" t="n"/>
      <c r="D1349" s="53" t="n"/>
      <c r="E1349" s="60" t="n"/>
      <c r="F1349" s="53" t="n"/>
      <c r="G1349" s="61" t="str">
        <f>IF(OR(COUNTA(A1349:E1349)=0,D1349=""),"",IFERROR(INDEX(ca_fam,MATCH(D1349,ca_name,0))&amp;"",""))</f>
        <v/>
      </c>
      <c r="H1349" s="58" t="str">
        <f>IF(OR(COUNTA(A1349:E1349)=0,D1349=""),"",IFERROR(INDEX(ca_type,MATCH(D1349,ca_name,0))&amp;"",""))</f>
        <v/>
      </c>
      <c r="I1349" s="58" t="str">
        <f>IF(COUNTA(A1349:E1349)=0,"",IF(N(A1349)&lt;=0,"Date manquante ou invalide",IF(B1349="","Équipe manquante",IF(ISNA(MATCH(B1349,eq_code,0)),"Équipe inconnue",IF(C1349="","Poste manquant",IF(ISNA(MATCH(C1349,po_code,0)),"Poste inconnu",IF(D1349="","Cause manquante",IF(ISNA(MATCH(D1349,ca_name,0)),"Cause inconnue",IF(H1349="","Cause à compléter dans Paramètres",IF(OR(NOT(ISNUMBER(E1349)),N(E1349)&lt;=0,N(E1349)&gt;1440),"Durée invalide",IF(COUNTIFS(sj_date,A1349,sj_eq,B1349,sj_po,C1349)=0,"Pas de saisie journalière ce jour-là","OK")))))))))))</f>
        <v/>
      </c>
      <c r="J1349">
        <f>IF(OR(I1349="OK",I1349="Pas de saisie journalière ce jour-là"),E1349,0)</f>
        <v>0.0</v>
      </c>
      <c r="K1349">
        <f>IF(AND(J1349&gt;0,A1349&gt;=p_from,A1349&lt;=p_to),1,0)</f>
        <v>0.0</v>
      </c>
      <c r="L1349">
        <f>IF(AND(K1349=1,OR(pa_po="",C1349=pa_po),OR(pa_eq="",B1349=pa_eq)),1,0)</f>
        <v>0.0</v>
      </c>
    </row>
    <row r="1350">
      <c r="A1350" s="51" t="n"/>
      <c r="B1350" s="52" t="n"/>
      <c r="C1350" s="52" t="n"/>
      <c r="D1350" s="53" t="n"/>
      <c r="E1350" s="60" t="n"/>
      <c r="F1350" s="53" t="n"/>
      <c r="G1350" s="61" t="str">
        <f>IF(OR(COUNTA(A1350:E1350)=0,D1350=""),"",IFERROR(INDEX(ca_fam,MATCH(D1350,ca_name,0))&amp;"",""))</f>
        <v/>
      </c>
      <c r="H1350" s="58" t="str">
        <f>IF(OR(COUNTA(A1350:E1350)=0,D1350=""),"",IFERROR(INDEX(ca_type,MATCH(D1350,ca_name,0))&amp;"",""))</f>
        <v/>
      </c>
      <c r="I1350" s="58" t="str">
        <f>IF(COUNTA(A1350:E1350)=0,"",IF(N(A1350)&lt;=0,"Date manquante ou invalide",IF(B1350="","Équipe manquante",IF(ISNA(MATCH(B1350,eq_code,0)),"Équipe inconnue",IF(C1350="","Poste manquant",IF(ISNA(MATCH(C1350,po_code,0)),"Poste inconnu",IF(D1350="","Cause manquante",IF(ISNA(MATCH(D1350,ca_name,0)),"Cause inconnue",IF(H1350="","Cause à compléter dans Paramètres",IF(OR(NOT(ISNUMBER(E1350)),N(E1350)&lt;=0,N(E1350)&gt;1440),"Durée invalide",IF(COUNTIFS(sj_date,A1350,sj_eq,B1350,sj_po,C1350)=0,"Pas de saisie journalière ce jour-là","OK")))))))))))</f>
        <v/>
      </c>
      <c r="J1350">
        <f>IF(OR(I1350="OK",I1350="Pas de saisie journalière ce jour-là"),E1350,0)</f>
        <v>0.0</v>
      </c>
      <c r="K1350">
        <f>IF(AND(J1350&gt;0,A1350&gt;=p_from,A1350&lt;=p_to),1,0)</f>
        <v>0.0</v>
      </c>
      <c r="L1350">
        <f>IF(AND(K1350=1,OR(pa_po="",C1350=pa_po),OR(pa_eq="",B1350=pa_eq)),1,0)</f>
        <v>0.0</v>
      </c>
    </row>
    <row r="1351">
      <c r="A1351" s="51" t="n"/>
      <c r="B1351" s="52" t="n"/>
      <c r="C1351" s="52" t="n"/>
      <c r="D1351" s="53" t="n"/>
      <c r="E1351" s="60" t="n"/>
      <c r="F1351" s="53" t="n"/>
      <c r="G1351" s="61" t="str">
        <f>IF(OR(COUNTA(A1351:E1351)=0,D1351=""),"",IFERROR(INDEX(ca_fam,MATCH(D1351,ca_name,0))&amp;"",""))</f>
        <v/>
      </c>
      <c r="H1351" s="58" t="str">
        <f>IF(OR(COUNTA(A1351:E1351)=0,D1351=""),"",IFERROR(INDEX(ca_type,MATCH(D1351,ca_name,0))&amp;"",""))</f>
        <v/>
      </c>
      <c r="I1351" s="58" t="str">
        <f>IF(COUNTA(A1351:E1351)=0,"",IF(N(A1351)&lt;=0,"Date manquante ou invalide",IF(B1351="","Équipe manquante",IF(ISNA(MATCH(B1351,eq_code,0)),"Équipe inconnue",IF(C1351="","Poste manquant",IF(ISNA(MATCH(C1351,po_code,0)),"Poste inconnu",IF(D1351="","Cause manquante",IF(ISNA(MATCH(D1351,ca_name,0)),"Cause inconnue",IF(H1351="","Cause à compléter dans Paramètres",IF(OR(NOT(ISNUMBER(E1351)),N(E1351)&lt;=0,N(E1351)&gt;1440),"Durée invalide",IF(COUNTIFS(sj_date,A1351,sj_eq,B1351,sj_po,C1351)=0,"Pas de saisie journalière ce jour-là","OK")))))))))))</f>
        <v/>
      </c>
      <c r="J1351">
        <f>IF(OR(I1351="OK",I1351="Pas de saisie journalière ce jour-là"),E1351,0)</f>
        <v>0.0</v>
      </c>
      <c r="K1351">
        <f>IF(AND(J1351&gt;0,A1351&gt;=p_from,A1351&lt;=p_to),1,0)</f>
        <v>0.0</v>
      </c>
      <c r="L1351">
        <f>IF(AND(K1351=1,OR(pa_po="",C1351=pa_po),OR(pa_eq="",B1351=pa_eq)),1,0)</f>
        <v>0.0</v>
      </c>
    </row>
    <row r="1352">
      <c r="A1352" s="51" t="n"/>
      <c r="B1352" s="52" t="n"/>
      <c r="C1352" s="52" t="n"/>
      <c r="D1352" s="53" t="n"/>
      <c r="E1352" s="60" t="n"/>
      <c r="F1352" s="53" t="n"/>
      <c r="G1352" s="61" t="str">
        <f>IF(OR(COUNTA(A1352:E1352)=0,D1352=""),"",IFERROR(INDEX(ca_fam,MATCH(D1352,ca_name,0))&amp;"",""))</f>
        <v/>
      </c>
      <c r="H1352" s="58" t="str">
        <f>IF(OR(COUNTA(A1352:E1352)=0,D1352=""),"",IFERROR(INDEX(ca_type,MATCH(D1352,ca_name,0))&amp;"",""))</f>
        <v/>
      </c>
      <c r="I1352" s="58" t="str">
        <f>IF(COUNTA(A1352:E1352)=0,"",IF(N(A1352)&lt;=0,"Date manquante ou invalide",IF(B1352="","Équipe manquante",IF(ISNA(MATCH(B1352,eq_code,0)),"Équipe inconnue",IF(C1352="","Poste manquant",IF(ISNA(MATCH(C1352,po_code,0)),"Poste inconnu",IF(D1352="","Cause manquante",IF(ISNA(MATCH(D1352,ca_name,0)),"Cause inconnue",IF(H1352="","Cause à compléter dans Paramètres",IF(OR(NOT(ISNUMBER(E1352)),N(E1352)&lt;=0,N(E1352)&gt;1440),"Durée invalide",IF(COUNTIFS(sj_date,A1352,sj_eq,B1352,sj_po,C1352)=0,"Pas de saisie journalière ce jour-là","OK")))))))))))</f>
        <v/>
      </c>
      <c r="J1352">
        <f>IF(OR(I1352="OK",I1352="Pas de saisie journalière ce jour-là"),E1352,0)</f>
        <v>0.0</v>
      </c>
      <c r="K1352">
        <f>IF(AND(J1352&gt;0,A1352&gt;=p_from,A1352&lt;=p_to),1,0)</f>
        <v>0.0</v>
      </c>
      <c r="L1352">
        <f>IF(AND(K1352=1,OR(pa_po="",C1352=pa_po),OR(pa_eq="",B1352=pa_eq)),1,0)</f>
        <v>0.0</v>
      </c>
    </row>
    <row r="1353">
      <c r="A1353" s="51" t="n"/>
      <c r="B1353" s="52" t="n"/>
      <c r="C1353" s="52" t="n"/>
      <c r="D1353" s="53" t="n"/>
      <c r="E1353" s="60" t="n"/>
      <c r="F1353" s="53" t="n"/>
      <c r="G1353" s="61" t="str">
        <f>IF(OR(COUNTA(A1353:E1353)=0,D1353=""),"",IFERROR(INDEX(ca_fam,MATCH(D1353,ca_name,0))&amp;"",""))</f>
        <v/>
      </c>
      <c r="H1353" s="58" t="str">
        <f>IF(OR(COUNTA(A1353:E1353)=0,D1353=""),"",IFERROR(INDEX(ca_type,MATCH(D1353,ca_name,0))&amp;"",""))</f>
        <v/>
      </c>
      <c r="I1353" s="58" t="str">
        <f>IF(COUNTA(A1353:E1353)=0,"",IF(N(A1353)&lt;=0,"Date manquante ou invalide",IF(B1353="","Équipe manquante",IF(ISNA(MATCH(B1353,eq_code,0)),"Équipe inconnue",IF(C1353="","Poste manquant",IF(ISNA(MATCH(C1353,po_code,0)),"Poste inconnu",IF(D1353="","Cause manquante",IF(ISNA(MATCH(D1353,ca_name,0)),"Cause inconnue",IF(H1353="","Cause à compléter dans Paramètres",IF(OR(NOT(ISNUMBER(E1353)),N(E1353)&lt;=0,N(E1353)&gt;1440),"Durée invalide",IF(COUNTIFS(sj_date,A1353,sj_eq,B1353,sj_po,C1353)=0,"Pas de saisie journalière ce jour-là","OK")))))))))))</f>
        <v/>
      </c>
      <c r="J1353">
        <f>IF(OR(I1353="OK",I1353="Pas de saisie journalière ce jour-là"),E1353,0)</f>
        <v>0.0</v>
      </c>
      <c r="K1353">
        <f>IF(AND(J1353&gt;0,A1353&gt;=p_from,A1353&lt;=p_to),1,0)</f>
        <v>0.0</v>
      </c>
      <c r="L1353">
        <f>IF(AND(K1353=1,OR(pa_po="",C1353=pa_po),OR(pa_eq="",B1353=pa_eq)),1,0)</f>
        <v>0.0</v>
      </c>
    </row>
    <row r="1354">
      <c r="A1354" s="51" t="n"/>
      <c r="B1354" s="52" t="n"/>
      <c r="C1354" s="52" t="n"/>
      <c r="D1354" s="53" t="n"/>
      <c r="E1354" s="60" t="n"/>
      <c r="F1354" s="53" t="n"/>
      <c r="G1354" s="61" t="str">
        <f>IF(OR(COUNTA(A1354:E1354)=0,D1354=""),"",IFERROR(INDEX(ca_fam,MATCH(D1354,ca_name,0))&amp;"",""))</f>
        <v/>
      </c>
      <c r="H1354" s="58" t="str">
        <f>IF(OR(COUNTA(A1354:E1354)=0,D1354=""),"",IFERROR(INDEX(ca_type,MATCH(D1354,ca_name,0))&amp;"",""))</f>
        <v/>
      </c>
      <c r="I1354" s="58" t="str">
        <f>IF(COUNTA(A1354:E1354)=0,"",IF(N(A1354)&lt;=0,"Date manquante ou invalide",IF(B1354="","Équipe manquante",IF(ISNA(MATCH(B1354,eq_code,0)),"Équipe inconnue",IF(C1354="","Poste manquant",IF(ISNA(MATCH(C1354,po_code,0)),"Poste inconnu",IF(D1354="","Cause manquante",IF(ISNA(MATCH(D1354,ca_name,0)),"Cause inconnue",IF(H1354="","Cause à compléter dans Paramètres",IF(OR(NOT(ISNUMBER(E1354)),N(E1354)&lt;=0,N(E1354)&gt;1440),"Durée invalide",IF(COUNTIFS(sj_date,A1354,sj_eq,B1354,sj_po,C1354)=0,"Pas de saisie journalière ce jour-là","OK")))))))))))</f>
        <v/>
      </c>
      <c r="J1354">
        <f>IF(OR(I1354="OK",I1354="Pas de saisie journalière ce jour-là"),E1354,0)</f>
        <v>0.0</v>
      </c>
      <c r="K1354">
        <f>IF(AND(J1354&gt;0,A1354&gt;=p_from,A1354&lt;=p_to),1,0)</f>
        <v>0.0</v>
      </c>
      <c r="L1354">
        <f>IF(AND(K1354=1,OR(pa_po="",C1354=pa_po),OR(pa_eq="",B1354=pa_eq)),1,0)</f>
        <v>0.0</v>
      </c>
    </row>
    <row r="1355">
      <c r="A1355" s="51" t="n"/>
      <c r="B1355" s="52" t="n"/>
      <c r="C1355" s="52" t="n"/>
      <c r="D1355" s="53" t="n"/>
      <c r="E1355" s="60" t="n"/>
      <c r="F1355" s="53" t="n"/>
      <c r="G1355" s="61" t="str">
        <f>IF(OR(COUNTA(A1355:E1355)=0,D1355=""),"",IFERROR(INDEX(ca_fam,MATCH(D1355,ca_name,0))&amp;"",""))</f>
        <v/>
      </c>
      <c r="H1355" s="58" t="str">
        <f>IF(OR(COUNTA(A1355:E1355)=0,D1355=""),"",IFERROR(INDEX(ca_type,MATCH(D1355,ca_name,0))&amp;"",""))</f>
        <v/>
      </c>
      <c r="I1355" s="58" t="str">
        <f>IF(COUNTA(A1355:E1355)=0,"",IF(N(A1355)&lt;=0,"Date manquante ou invalide",IF(B1355="","Équipe manquante",IF(ISNA(MATCH(B1355,eq_code,0)),"Équipe inconnue",IF(C1355="","Poste manquant",IF(ISNA(MATCH(C1355,po_code,0)),"Poste inconnu",IF(D1355="","Cause manquante",IF(ISNA(MATCH(D1355,ca_name,0)),"Cause inconnue",IF(H1355="","Cause à compléter dans Paramètres",IF(OR(NOT(ISNUMBER(E1355)),N(E1355)&lt;=0,N(E1355)&gt;1440),"Durée invalide",IF(COUNTIFS(sj_date,A1355,sj_eq,B1355,sj_po,C1355)=0,"Pas de saisie journalière ce jour-là","OK")))))))))))</f>
        <v/>
      </c>
      <c r="J1355">
        <f>IF(OR(I1355="OK",I1355="Pas de saisie journalière ce jour-là"),E1355,0)</f>
        <v>0.0</v>
      </c>
      <c r="K1355">
        <f>IF(AND(J1355&gt;0,A1355&gt;=p_from,A1355&lt;=p_to),1,0)</f>
        <v>0.0</v>
      </c>
      <c r="L1355">
        <f>IF(AND(K1355=1,OR(pa_po="",C1355=pa_po),OR(pa_eq="",B1355=pa_eq)),1,0)</f>
        <v>0.0</v>
      </c>
    </row>
    <row r="1356">
      <c r="A1356" s="51" t="n"/>
      <c r="B1356" s="52" t="n"/>
      <c r="C1356" s="52" t="n"/>
      <c r="D1356" s="53" t="n"/>
      <c r="E1356" s="60" t="n"/>
      <c r="F1356" s="53" t="n"/>
      <c r="G1356" s="61" t="str">
        <f>IF(OR(COUNTA(A1356:E1356)=0,D1356=""),"",IFERROR(INDEX(ca_fam,MATCH(D1356,ca_name,0))&amp;"",""))</f>
        <v/>
      </c>
      <c r="H1356" s="58" t="str">
        <f>IF(OR(COUNTA(A1356:E1356)=0,D1356=""),"",IFERROR(INDEX(ca_type,MATCH(D1356,ca_name,0))&amp;"",""))</f>
        <v/>
      </c>
      <c r="I1356" s="58" t="str">
        <f>IF(COUNTA(A1356:E1356)=0,"",IF(N(A1356)&lt;=0,"Date manquante ou invalide",IF(B1356="","Équipe manquante",IF(ISNA(MATCH(B1356,eq_code,0)),"Équipe inconnue",IF(C1356="","Poste manquant",IF(ISNA(MATCH(C1356,po_code,0)),"Poste inconnu",IF(D1356="","Cause manquante",IF(ISNA(MATCH(D1356,ca_name,0)),"Cause inconnue",IF(H1356="","Cause à compléter dans Paramètres",IF(OR(NOT(ISNUMBER(E1356)),N(E1356)&lt;=0,N(E1356)&gt;1440),"Durée invalide",IF(COUNTIFS(sj_date,A1356,sj_eq,B1356,sj_po,C1356)=0,"Pas de saisie journalière ce jour-là","OK")))))))))))</f>
        <v/>
      </c>
      <c r="J1356">
        <f>IF(OR(I1356="OK",I1356="Pas de saisie journalière ce jour-là"),E1356,0)</f>
        <v>0.0</v>
      </c>
      <c r="K1356">
        <f>IF(AND(J1356&gt;0,A1356&gt;=p_from,A1356&lt;=p_to),1,0)</f>
        <v>0.0</v>
      </c>
      <c r="L1356">
        <f>IF(AND(K1356=1,OR(pa_po="",C1356=pa_po),OR(pa_eq="",B1356=pa_eq)),1,0)</f>
        <v>0.0</v>
      </c>
    </row>
    <row r="1357">
      <c r="A1357" s="51" t="n"/>
      <c r="B1357" s="52" t="n"/>
      <c r="C1357" s="52" t="n"/>
      <c r="D1357" s="53" t="n"/>
      <c r="E1357" s="60" t="n"/>
      <c r="F1357" s="53" t="n"/>
      <c r="G1357" s="61" t="str">
        <f>IF(OR(COUNTA(A1357:E1357)=0,D1357=""),"",IFERROR(INDEX(ca_fam,MATCH(D1357,ca_name,0))&amp;"",""))</f>
        <v/>
      </c>
      <c r="H1357" s="58" t="str">
        <f>IF(OR(COUNTA(A1357:E1357)=0,D1357=""),"",IFERROR(INDEX(ca_type,MATCH(D1357,ca_name,0))&amp;"",""))</f>
        <v/>
      </c>
      <c r="I1357" s="58" t="str">
        <f>IF(COUNTA(A1357:E1357)=0,"",IF(N(A1357)&lt;=0,"Date manquante ou invalide",IF(B1357="","Équipe manquante",IF(ISNA(MATCH(B1357,eq_code,0)),"Équipe inconnue",IF(C1357="","Poste manquant",IF(ISNA(MATCH(C1357,po_code,0)),"Poste inconnu",IF(D1357="","Cause manquante",IF(ISNA(MATCH(D1357,ca_name,0)),"Cause inconnue",IF(H1357="","Cause à compléter dans Paramètres",IF(OR(NOT(ISNUMBER(E1357)),N(E1357)&lt;=0,N(E1357)&gt;1440),"Durée invalide",IF(COUNTIFS(sj_date,A1357,sj_eq,B1357,sj_po,C1357)=0,"Pas de saisie journalière ce jour-là","OK")))))))))))</f>
        <v/>
      </c>
      <c r="J1357">
        <f>IF(OR(I1357="OK",I1357="Pas de saisie journalière ce jour-là"),E1357,0)</f>
        <v>0.0</v>
      </c>
      <c r="K1357">
        <f>IF(AND(J1357&gt;0,A1357&gt;=p_from,A1357&lt;=p_to),1,0)</f>
        <v>0.0</v>
      </c>
      <c r="L1357">
        <f>IF(AND(K1357=1,OR(pa_po="",C1357=pa_po),OR(pa_eq="",B1357=pa_eq)),1,0)</f>
        <v>0.0</v>
      </c>
    </row>
    <row r="1358">
      <c r="A1358" s="51" t="n"/>
      <c r="B1358" s="52" t="n"/>
      <c r="C1358" s="52" t="n"/>
      <c r="D1358" s="53" t="n"/>
      <c r="E1358" s="60" t="n"/>
      <c r="F1358" s="53" t="n"/>
      <c r="G1358" s="61" t="str">
        <f>IF(OR(COUNTA(A1358:E1358)=0,D1358=""),"",IFERROR(INDEX(ca_fam,MATCH(D1358,ca_name,0))&amp;"",""))</f>
        <v/>
      </c>
      <c r="H1358" s="58" t="str">
        <f>IF(OR(COUNTA(A1358:E1358)=0,D1358=""),"",IFERROR(INDEX(ca_type,MATCH(D1358,ca_name,0))&amp;"",""))</f>
        <v/>
      </c>
      <c r="I1358" s="58" t="str">
        <f>IF(COUNTA(A1358:E1358)=0,"",IF(N(A1358)&lt;=0,"Date manquante ou invalide",IF(B1358="","Équipe manquante",IF(ISNA(MATCH(B1358,eq_code,0)),"Équipe inconnue",IF(C1358="","Poste manquant",IF(ISNA(MATCH(C1358,po_code,0)),"Poste inconnu",IF(D1358="","Cause manquante",IF(ISNA(MATCH(D1358,ca_name,0)),"Cause inconnue",IF(H1358="","Cause à compléter dans Paramètres",IF(OR(NOT(ISNUMBER(E1358)),N(E1358)&lt;=0,N(E1358)&gt;1440),"Durée invalide",IF(COUNTIFS(sj_date,A1358,sj_eq,B1358,sj_po,C1358)=0,"Pas de saisie journalière ce jour-là","OK")))))))))))</f>
        <v/>
      </c>
      <c r="J1358">
        <f>IF(OR(I1358="OK",I1358="Pas de saisie journalière ce jour-là"),E1358,0)</f>
        <v>0.0</v>
      </c>
      <c r="K1358">
        <f>IF(AND(J1358&gt;0,A1358&gt;=p_from,A1358&lt;=p_to),1,0)</f>
        <v>0.0</v>
      </c>
      <c r="L1358">
        <f>IF(AND(K1358=1,OR(pa_po="",C1358=pa_po),OR(pa_eq="",B1358=pa_eq)),1,0)</f>
        <v>0.0</v>
      </c>
    </row>
    <row r="1359">
      <c r="A1359" s="51" t="n"/>
      <c r="B1359" s="52" t="n"/>
      <c r="C1359" s="52" t="n"/>
      <c r="D1359" s="53" t="n"/>
      <c r="E1359" s="60" t="n"/>
      <c r="F1359" s="53" t="n"/>
      <c r="G1359" s="61" t="str">
        <f>IF(OR(COUNTA(A1359:E1359)=0,D1359=""),"",IFERROR(INDEX(ca_fam,MATCH(D1359,ca_name,0))&amp;"",""))</f>
        <v/>
      </c>
      <c r="H1359" s="58" t="str">
        <f>IF(OR(COUNTA(A1359:E1359)=0,D1359=""),"",IFERROR(INDEX(ca_type,MATCH(D1359,ca_name,0))&amp;"",""))</f>
        <v/>
      </c>
      <c r="I1359" s="58" t="str">
        <f>IF(COUNTA(A1359:E1359)=0,"",IF(N(A1359)&lt;=0,"Date manquante ou invalide",IF(B1359="","Équipe manquante",IF(ISNA(MATCH(B1359,eq_code,0)),"Équipe inconnue",IF(C1359="","Poste manquant",IF(ISNA(MATCH(C1359,po_code,0)),"Poste inconnu",IF(D1359="","Cause manquante",IF(ISNA(MATCH(D1359,ca_name,0)),"Cause inconnue",IF(H1359="","Cause à compléter dans Paramètres",IF(OR(NOT(ISNUMBER(E1359)),N(E1359)&lt;=0,N(E1359)&gt;1440),"Durée invalide",IF(COUNTIFS(sj_date,A1359,sj_eq,B1359,sj_po,C1359)=0,"Pas de saisie journalière ce jour-là","OK")))))))))))</f>
        <v/>
      </c>
      <c r="J1359">
        <f>IF(OR(I1359="OK",I1359="Pas de saisie journalière ce jour-là"),E1359,0)</f>
        <v>0.0</v>
      </c>
      <c r="K1359">
        <f>IF(AND(J1359&gt;0,A1359&gt;=p_from,A1359&lt;=p_to),1,0)</f>
        <v>0.0</v>
      </c>
      <c r="L1359">
        <f>IF(AND(K1359=1,OR(pa_po="",C1359=pa_po),OR(pa_eq="",B1359=pa_eq)),1,0)</f>
        <v>0.0</v>
      </c>
    </row>
    <row r="1360">
      <c r="A1360" s="51" t="n"/>
      <c r="B1360" s="52" t="n"/>
      <c r="C1360" s="52" t="n"/>
      <c r="D1360" s="53" t="n"/>
      <c r="E1360" s="60" t="n"/>
      <c r="F1360" s="53" t="n"/>
      <c r="G1360" s="61" t="str">
        <f>IF(OR(COUNTA(A1360:E1360)=0,D1360=""),"",IFERROR(INDEX(ca_fam,MATCH(D1360,ca_name,0))&amp;"",""))</f>
        <v/>
      </c>
      <c r="H1360" s="58" t="str">
        <f>IF(OR(COUNTA(A1360:E1360)=0,D1360=""),"",IFERROR(INDEX(ca_type,MATCH(D1360,ca_name,0))&amp;"",""))</f>
        <v/>
      </c>
      <c r="I1360" s="58" t="str">
        <f>IF(COUNTA(A1360:E1360)=0,"",IF(N(A1360)&lt;=0,"Date manquante ou invalide",IF(B1360="","Équipe manquante",IF(ISNA(MATCH(B1360,eq_code,0)),"Équipe inconnue",IF(C1360="","Poste manquant",IF(ISNA(MATCH(C1360,po_code,0)),"Poste inconnu",IF(D1360="","Cause manquante",IF(ISNA(MATCH(D1360,ca_name,0)),"Cause inconnue",IF(H1360="","Cause à compléter dans Paramètres",IF(OR(NOT(ISNUMBER(E1360)),N(E1360)&lt;=0,N(E1360)&gt;1440),"Durée invalide",IF(COUNTIFS(sj_date,A1360,sj_eq,B1360,sj_po,C1360)=0,"Pas de saisie journalière ce jour-là","OK")))))))))))</f>
        <v/>
      </c>
      <c r="J1360">
        <f>IF(OR(I1360="OK",I1360="Pas de saisie journalière ce jour-là"),E1360,0)</f>
        <v>0.0</v>
      </c>
      <c r="K1360">
        <f>IF(AND(J1360&gt;0,A1360&gt;=p_from,A1360&lt;=p_to),1,0)</f>
        <v>0.0</v>
      </c>
      <c r="L1360">
        <f>IF(AND(K1360=1,OR(pa_po="",C1360=pa_po),OR(pa_eq="",B1360=pa_eq)),1,0)</f>
        <v>0.0</v>
      </c>
    </row>
    <row r="1361">
      <c r="A1361" s="51" t="n"/>
      <c r="B1361" s="52" t="n"/>
      <c r="C1361" s="52" t="n"/>
      <c r="D1361" s="53" t="n"/>
      <c r="E1361" s="60" t="n"/>
      <c r="F1361" s="53" t="n"/>
      <c r="G1361" s="61" t="str">
        <f>IF(OR(COUNTA(A1361:E1361)=0,D1361=""),"",IFERROR(INDEX(ca_fam,MATCH(D1361,ca_name,0))&amp;"",""))</f>
        <v/>
      </c>
      <c r="H1361" s="58" t="str">
        <f>IF(OR(COUNTA(A1361:E1361)=0,D1361=""),"",IFERROR(INDEX(ca_type,MATCH(D1361,ca_name,0))&amp;"",""))</f>
        <v/>
      </c>
      <c r="I1361" s="58" t="str">
        <f>IF(COUNTA(A1361:E1361)=0,"",IF(N(A1361)&lt;=0,"Date manquante ou invalide",IF(B1361="","Équipe manquante",IF(ISNA(MATCH(B1361,eq_code,0)),"Équipe inconnue",IF(C1361="","Poste manquant",IF(ISNA(MATCH(C1361,po_code,0)),"Poste inconnu",IF(D1361="","Cause manquante",IF(ISNA(MATCH(D1361,ca_name,0)),"Cause inconnue",IF(H1361="","Cause à compléter dans Paramètres",IF(OR(NOT(ISNUMBER(E1361)),N(E1361)&lt;=0,N(E1361)&gt;1440),"Durée invalide",IF(COUNTIFS(sj_date,A1361,sj_eq,B1361,sj_po,C1361)=0,"Pas de saisie journalière ce jour-là","OK")))))))))))</f>
        <v/>
      </c>
      <c r="J1361">
        <f>IF(OR(I1361="OK",I1361="Pas de saisie journalière ce jour-là"),E1361,0)</f>
        <v>0.0</v>
      </c>
      <c r="K1361">
        <f>IF(AND(J1361&gt;0,A1361&gt;=p_from,A1361&lt;=p_to),1,0)</f>
        <v>0.0</v>
      </c>
      <c r="L1361">
        <f>IF(AND(K1361=1,OR(pa_po="",C1361=pa_po),OR(pa_eq="",B1361=pa_eq)),1,0)</f>
        <v>0.0</v>
      </c>
    </row>
    <row r="1362">
      <c r="A1362" s="51" t="n"/>
      <c r="B1362" s="52" t="n"/>
      <c r="C1362" s="52" t="n"/>
      <c r="D1362" s="53" t="n"/>
      <c r="E1362" s="60" t="n"/>
      <c r="F1362" s="53" t="n"/>
      <c r="G1362" s="61" t="str">
        <f>IF(OR(COUNTA(A1362:E1362)=0,D1362=""),"",IFERROR(INDEX(ca_fam,MATCH(D1362,ca_name,0))&amp;"",""))</f>
        <v/>
      </c>
      <c r="H1362" s="58" t="str">
        <f>IF(OR(COUNTA(A1362:E1362)=0,D1362=""),"",IFERROR(INDEX(ca_type,MATCH(D1362,ca_name,0))&amp;"",""))</f>
        <v/>
      </c>
      <c r="I1362" s="58" t="str">
        <f>IF(COUNTA(A1362:E1362)=0,"",IF(N(A1362)&lt;=0,"Date manquante ou invalide",IF(B1362="","Équipe manquante",IF(ISNA(MATCH(B1362,eq_code,0)),"Équipe inconnue",IF(C1362="","Poste manquant",IF(ISNA(MATCH(C1362,po_code,0)),"Poste inconnu",IF(D1362="","Cause manquante",IF(ISNA(MATCH(D1362,ca_name,0)),"Cause inconnue",IF(H1362="","Cause à compléter dans Paramètres",IF(OR(NOT(ISNUMBER(E1362)),N(E1362)&lt;=0,N(E1362)&gt;1440),"Durée invalide",IF(COUNTIFS(sj_date,A1362,sj_eq,B1362,sj_po,C1362)=0,"Pas de saisie journalière ce jour-là","OK")))))))))))</f>
        <v/>
      </c>
      <c r="J1362">
        <f>IF(OR(I1362="OK",I1362="Pas de saisie journalière ce jour-là"),E1362,0)</f>
        <v>0.0</v>
      </c>
      <c r="K1362">
        <f>IF(AND(J1362&gt;0,A1362&gt;=p_from,A1362&lt;=p_to),1,0)</f>
        <v>0.0</v>
      </c>
      <c r="L1362">
        <f>IF(AND(K1362=1,OR(pa_po="",C1362=pa_po),OR(pa_eq="",B1362=pa_eq)),1,0)</f>
        <v>0.0</v>
      </c>
    </row>
    <row r="1363">
      <c r="A1363" s="51" t="n"/>
      <c r="B1363" s="52" t="n"/>
      <c r="C1363" s="52" t="n"/>
      <c r="D1363" s="53" t="n"/>
      <c r="E1363" s="60" t="n"/>
      <c r="F1363" s="53" t="n"/>
      <c r="G1363" s="61" t="str">
        <f>IF(OR(COUNTA(A1363:E1363)=0,D1363=""),"",IFERROR(INDEX(ca_fam,MATCH(D1363,ca_name,0))&amp;"",""))</f>
        <v/>
      </c>
      <c r="H1363" s="58" t="str">
        <f>IF(OR(COUNTA(A1363:E1363)=0,D1363=""),"",IFERROR(INDEX(ca_type,MATCH(D1363,ca_name,0))&amp;"",""))</f>
        <v/>
      </c>
      <c r="I1363" s="58" t="str">
        <f>IF(COUNTA(A1363:E1363)=0,"",IF(N(A1363)&lt;=0,"Date manquante ou invalide",IF(B1363="","Équipe manquante",IF(ISNA(MATCH(B1363,eq_code,0)),"Équipe inconnue",IF(C1363="","Poste manquant",IF(ISNA(MATCH(C1363,po_code,0)),"Poste inconnu",IF(D1363="","Cause manquante",IF(ISNA(MATCH(D1363,ca_name,0)),"Cause inconnue",IF(H1363="","Cause à compléter dans Paramètres",IF(OR(NOT(ISNUMBER(E1363)),N(E1363)&lt;=0,N(E1363)&gt;1440),"Durée invalide",IF(COUNTIFS(sj_date,A1363,sj_eq,B1363,sj_po,C1363)=0,"Pas de saisie journalière ce jour-là","OK")))))))))))</f>
        <v/>
      </c>
      <c r="J1363">
        <f>IF(OR(I1363="OK",I1363="Pas de saisie journalière ce jour-là"),E1363,0)</f>
        <v>0.0</v>
      </c>
      <c r="K1363">
        <f>IF(AND(J1363&gt;0,A1363&gt;=p_from,A1363&lt;=p_to),1,0)</f>
        <v>0.0</v>
      </c>
      <c r="L1363">
        <f>IF(AND(K1363=1,OR(pa_po="",C1363=pa_po),OR(pa_eq="",B1363=pa_eq)),1,0)</f>
        <v>0.0</v>
      </c>
    </row>
    <row r="1364">
      <c r="A1364" s="51" t="n"/>
      <c r="B1364" s="52" t="n"/>
      <c r="C1364" s="52" t="n"/>
      <c r="D1364" s="53" t="n"/>
      <c r="E1364" s="60" t="n"/>
      <c r="F1364" s="53" t="n"/>
      <c r="G1364" s="61" t="str">
        <f>IF(OR(COUNTA(A1364:E1364)=0,D1364=""),"",IFERROR(INDEX(ca_fam,MATCH(D1364,ca_name,0))&amp;"",""))</f>
        <v/>
      </c>
      <c r="H1364" s="58" t="str">
        <f>IF(OR(COUNTA(A1364:E1364)=0,D1364=""),"",IFERROR(INDEX(ca_type,MATCH(D1364,ca_name,0))&amp;"",""))</f>
        <v/>
      </c>
      <c r="I1364" s="58" t="str">
        <f>IF(COUNTA(A1364:E1364)=0,"",IF(N(A1364)&lt;=0,"Date manquante ou invalide",IF(B1364="","Équipe manquante",IF(ISNA(MATCH(B1364,eq_code,0)),"Équipe inconnue",IF(C1364="","Poste manquant",IF(ISNA(MATCH(C1364,po_code,0)),"Poste inconnu",IF(D1364="","Cause manquante",IF(ISNA(MATCH(D1364,ca_name,0)),"Cause inconnue",IF(H1364="","Cause à compléter dans Paramètres",IF(OR(NOT(ISNUMBER(E1364)),N(E1364)&lt;=0,N(E1364)&gt;1440),"Durée invalide",IF(COUNTIFS(sj_date,A1364,sj_eq,B1364,sj_po,C1364)=0,"Pas de saisie journalière ce jour-là","OK")))))))))))</f>
        <v/>
      </c>
      <c r="J1364">
        <f>IF(OR(I1364="OK",I1364="Pas de saisie journalière ce jour-là"),E1364,0)</f>
        <v>0.0</v>
      </c>
      <c r="K1364">
        <f>IF(AND(J1364&gt;0,A1364&gt;=p_from,A1364&lt;=p_to),1,0)</f>
        <v>0.0</v>
      </c>
      <c r="L1364">
        <f>IF(AND(K1364=1,OR(pa_po="",C1364=pa_po),OR(pa_eq="",B1364=pa_eq)),1,0)</f>
        <v>0.0</v>
      </c>
    </row>
    <row r="1365">
      <c r="A1365" s="51" t="n"/>
      <c r="B1365" s="52" t="n"/>
      <c r="C1365" s="52" t="n"/>
      <c r="D1365" s="53" t="n"/>
      <c r="E1365" s="60" t="n"/>
      <c r="F1365" s="53" t="n"/>
      <c r="G1365" s="61" t="str">
        <f>IF(OR(COUNTA(A1365:E1365)=0,D1365=""),"",IFERROR(INDEX(ca_fam,MATCH(D1365,ca_name,0))&amp;"",""))</f>
        <v/>
      </c>
      <c r="H1365" s="58" t="str">
        <f>IF(OR(COUNTA(A1365:E1365)=0,D1365=""),"",IFERROR(INDEX(ca_type,MATCH(D1365,ca_name,0))&amp;"",""))</f>
        <v/>
      </c>
      <c r="I1365" s="58" t="str">
        <f>IF(COUNTA(A1365:E1365)=0,"",IF(N(A1365)&lt;=0,"Date manquante ou invalide",IF(B1365="","Équipe manquante",IF(ISNA(MATCH(B1365,eq_code,0)),"Équipe inconnue",IF(C1365="","Poste manquant",IF(ISNA(MATCH(C1365,po_code,0)),"Poste inconnu",IF(D1365="","Cause manquante",IF(ISNA(MATCH(D1365,ca_name,0)),"Cause inconnue",IF(H1365="","Cause à compléter dans Paramètres",IF(OR(NOT(ISNUMBER(E1365)),N(E1365)&lt;=0,N(E1365)&gt;1440),"Durée invalide",IF(COUNTIFS(sj_date,A1365,sj_eq,B1365,sj_po,C1365)=0,"Pas de saisie journalière ce jour-là","OK")))))))))))</f>
        <v/>
      </c>
      <c r="J1365">
        <f>IF(OR(I1365="OK",I1365="Pas de saisie journalière ce jour-là"),E1365,0)</f>
        <v>0.0</v>
      </c>
      <c r="K1365">
        <f>IF(AND(J1365&gt;0,A1365&gt;=p_from,A1365&lt;=p_to),1,0)</f>
        <v>0.0</v>
      </c>
      <c r="L1365">
        <f>IF(AND(K1365=1,OR(pa_po="",C1365=pa_po),OR(pa_eq="",B1365=pa_eq)),1,0)</f>
        <v>0.0</v>
      </c>
    </row>
    <row r="1366">
      <c r="A1366" s="51" t="n"/>
      <c r="B1366" s="52" t="n"/>
      <c r="C1366" s="52" t="n"/>
      <c r="D1366" s="53" t="n"/>
      <c r="E1366" s="60" t="n"/>
      <c r="F1366" s="53" t="n"/>
      <c r="G1366" s="61" t="str">
        <f>IF(OR(COUNTA(A1366:E1366)=0,D1366=""),"",IFERROR(INDEX(ca_fam,MATCH(D1366,ca_name,0))&amp;"",""))</f>
        <v/>
      </c>
      <c r="H1366" s="58" t="str">
        <f>IF(OR(COUNTA(A1366:E1366)=0,D1366=""),"",IFERROR(INDEX(ca_type,MATCH(D1366,ca_name,0))&amp;"",""))</f>
        <v/>
      </c>
      <c r="I1366" s="58" t="str">
        <f>IF(COUNTA(A1366:E1366)=0,"",IF(N(A1366)&lt;=0,"Date manquante ou invalide",IF(B1366="","Équipe manquante",IF(ISNA(MATCH(B1366,eq_code,0)),"Équipe inconnue",IF(C1366="","Poste manquant",IF(ISNA(MATCH(C1366,po_code,0)),"Poste inconnu",IF(D1366="","Cause manquante",IF(ISNA(MATCH(D1366,ca_name,0)),"Cause inconnue",IF(H1366="","Cause à compléter dans Paramètres",IF(OR(NOT(ISNUMBER(E1366)),N(E1366)&lt;=0,N(E1366)&gt;1440),"Durée invalide",IF(COUNTIFS(sj_date,A1366,sj_eq,B1366,sj_po,C1366)=0,"Pas de saisie journalière ce jour-là","OK")))))))))))</f>
        <v/>
      </c>
      <c r="J1366">
        <f>IF(OR(I1366="OK",I1366="Pas de saisie journalière ce jour-là"),E1366,0)</f>
        <v>0.0</v>
      </c>
      <c r="K1366">
        <f>IF(AND(J1366&gt;0,A1366&gt;=p_from,A1366&lt;=p_to),1,0)</f>
        <v>0.0</v>
      </c>
      <c r="L1366">
        <f>IF(AND(K1366=1,OR(pa_po="",C1366=pa_po),OR(pa_eq="",B1366=pa_eq)),1,0)</f>
        <v>0.0</v>
      </c>
    </row>
    <row r="1367">
      <c r="A1367" s="51" t="n"/>
      <c r="B1367" s="52" t="n"/>
      <c r="C1367" s="52" t="n"/>
      <c r="D1367" s="53" t="n"/>
      <c r="E1367" s="60" t="n"/>
      <c r="F1367" s="53" t="n"/>
      <c r="G1367" s="61" t="str">
        <f>IF(OR(COUNTA(A1367:E1367)=0,D1367=""),"",IFERROR(INDEX(ca_fam,MATCH(D1367,ca_name,0))&amp;"",""))</f>
        <v/>
      </c>
      <c r="H1367" s="58" t="str">
        <f>IF(OR(COUNTA(A1367:E1367)=0,D1367=""),"",IFERROR(INDEX(ca_type,MATCH(D1367,ca_name,0))&amp;"",""))</f>
        <v/>
      </c>
      <c r="I1367" s="58" t="str">
        <f>IF(COUNTA(A1367:E1367)=0,"",IF(N(A1367)&lt;=0,"Date manquante ou invalide",IF(B1367="","Équipe manquante",IF(ISNA(MATCH(B1367,eq_code,0)),"Équipe inconnue",IF(C1367="","Poste manquant",IF(ISNA(MATCH(C1367,po_code,0)),"Poste inconnu",IF(D1367="","Cause manquante",IF(ISNA(MATCH(D1367,ca_name,0)),"Cause inconnue",IF(H1367="","Cause à compléter dans Paramètres",IF(OR(NOT(ISNUMBER(E1367)),N(E1367)&lt;=0,N(E1367)&gt;1440),"Durée invalide",IF(COUNTIFS(sj_date,A1367,sj_eq,B1367,sj_po,C1367)=0,"Pas de saisie journalière ce jour-là","OK")))))))))))</f>
        <v/>
      </c>
      <c r="J1367">
        <f>IF(OR(I1367="OK",I1367="Pas de saisie journalière ce jour-là"),E1367,0)</f>
        <v>0.0</v>
      </c>
      <c r="K1367">
        <f>IF(AND(J1367&gt;0,A1367&gt;=p_from,A1367&lt;=p_to),1,0)</f>
        <v>0.0</v>
      </c>
      <c r="L1367">
        <f>IF(AND(K1367=1,OR(pa_po="",C1367=pa_po),OR(pa_eq="",B1367=pa_eq)),1,0)</f>
        <v>0.0</v>
      </c>
    </row>
    <row r="1368">
      <c r="A1368" s="51" t="n"/>
      <c r="B1368" s="52" t="n"/>
      <c r="C1368" s="52" t="n"/>
      <c r="D1368" s="53" t="n"/>
      <c r="E1368" s="60" t="n"/>
      <c r="F1368" s="53" t="n"/>
      <c r="G1368" s="61" t="str">
        <f>IF(OR(COUNTA(A1368:E1368)=0,D1368=""),"",IFERROR(INDEX(ca_fam,MATCH(D1368,ca_name,0))&amp;"",""))</f>
        <v/>
      </c>
      <c r="H1368" s="58" t="str">
        <f>IF(OR(COUNTA(A1368:E1368)=0,D1368=""),"",IFERROR(INDEX(ca_type,MATCH(D1368,ca_name,0))&amp;"",""))</f>
        <v/>
      </c>
      <c r="I1368" s="58" t="str">
        <f>IF(COUNTA(A1368:E1368)=0,"",IF(N(A1368)&lt;=0,"Date manquante ou invalide",IF(B1368="","Équipe manquante",IF(ISNA(MATCH(B1368,eq_code,0)),"Équipe inconnue",IF(C1368="","Poste manquant",IF(ISNA(MATCH(C1368,po_code,0)),"Poste inconnu",IF(D1368="","Cause manquante",IF(ISNA(MATCH(D1368,ca_name,0)),"Cause inconnue",IF(H1368="","Cause à compléter dans Paramètres",IF(OR(NOT(ISNUMBER(E1368)),N(E1368)&lt;=0,N(E1368)&gt;1440),"Durée invalide",IF(COUNTIFS(sj_date,A1368,sj_eq,B1368,sj_po,C1368)=0,"Pas de saisie journalière ce jour-là","OK")))))))))))</f>
        <v/>
      </c>
      <c r="J1368">
        <f>IF(OR(I1368="OK",I1368="Pas de saisie journalière ce jour-là"),E1368,0)</f>
        <v>0.0</v>
      </c>
      <c r="K1368">
        <f>IF(AND(J1368&gt;0,A1368&gt;=p_from,A1368&lt;=p_to),1,0)</f>
        <v>0.0</v>
      </c>
      <c r="L1368">
        <f>IF(AND(K1368=1,OR(pa_po="",C1368=pa_po),OR(pa_eq="",B1368=pa_eq)),1,0)</f>
        <v>0.0</v>
      </c>
    </row>
    <row r="1369">
      <c r="A1369" s="51" t="n"/>
      <c r="B1369" s="52" t="n"/>
      <c r="C1369" s="52" t="n"/>
      <c r="D1369" s="53" t="n"/>
      <c r="E1369" s="60" t="n"/>
      <c r="F1369" s="53" t="n"/>
      <c r="G1369" s="61" t="str">
        <f>IF(OR(COUNTA(A1369:E1369)=0,D1369=""),"",IFERROR(INDEX(ca_fam,MATCH(D1369,ca_name,0))&amp;"",""))</f>
        <v/>
      </c>
      <c r="H1369" s="58" t="str">
        <f>IF(OR(COUNTA(A1369:E1369)=0,D1369=""),"",IFERROR(INDEX(ca_type,MATCH(D1369,ca_name,0))&amp;"",""))</f>
        <v/>
      </c>
      <c r="I1369" s="58" t="str">
        <f>IF(COUNTA(A1369:E1369)=0,"",IF(N(A1369)&lt;=0,"Date manquante ou invalide",IF(B1369="","Équipe manquante",IF(ISNA(MATCH(B1369,eq_code,0)),"Équipe inconnue",IF(C1369="","Poste manquant",IF(ISNA(MATCH(C1369,po_code,0)),"Poste inconnu",IF(D1369="","Cause manquante",IF(ISNA(MATCH(D1369,ca_name,0)),"Cause inconnue",IF(H1369="","Cause à compléter dans Paramètres",IF(OR(NOT(ISNUMBER(E1369)),N(E1369)&lt;=0,N(E1369)&gt;1440),"Durée invalide",IF(COUNTIFS(sj_date,A1369,sj_eq,B1369,sj_po,C1369)=0,"Pas de saisie journalière ce jour-là","OK")))))))))))</f>
        <v/>
      </c>
      <c r="J1369">
        <f>IF(OR(I1369="OK",I1369="Pas de saisie journalière ce jour-là"),E1369,0)</f>
        <v>0.0</v>
      </c>
      <c r="K1369">
        <f>IF(AND(J1369&gt;0,A1369&gt;=p_from,A1369&lt;=p_to),1,0)</f>
        <v>0.0</v>
      </c>
      <c r="L1369">
        <f>IF(AND(K1369=1,OR(pa_po="",C1369=pa_po),OR(pa_eq="",B1369=pa_eq)),1,0)</f>
        <v>0.0</v>
      </c>
    </row>
    <row r="1370">
      <c r="A1370" s="51" t="n"/>
      <c r="B1370" s="52" t="n"/>
      <c r="C1370" s="52" t="n"/>
      <c r="D1370" s="53" t="n"/>
      <c r="E1370" s="60" t="n"/>
      <c r="F1370" s="53" t="n"/>
      <c r="G1370" s="61" t="str">
        <f>IF(OR(COUNTA(A1370:E1370)=0,D1370=""),"",IFERROR(INDEX(ca_fam,MATCH(D1370,ca_name,0))&amp;"",""))</f>
        <v/>
      </c>
      <c r="H1370" s="58" t="str">
        <f>IF(OR(COUNTA(A1370:E1370)=0,D1370=""),"",IFERROR(INDEX(ca_type,MATCH(D1370,ca_name,0))&amp;"",""))</f>
        <v/>
      </c>
      <c r="I1370" s="58" t="str">
        <f>IF(COUNTA(A1370:E1370)=0,"",IF(N(A1370)&lt;=0,"Date manquante ou invalide",IF(B1370="","Équipe manquante",IF(ISNA(MATCH(B1370,eq_code,0)),"Équipe inconnue",IF(C1370="","Poste manquant",IF(ISNA(MATCH(C1370,po_code,0)),"Poste inconnu",IF(D1370="","Cause manquante",IF(ISNA(MATCH(D1370,ca_name,0)),"Cause inconnue",IF(H1370="","Cause à compléter dans Paramètres",IF(OR(NOT(ISNUMBER(E1370)),N(E1370)&lt;=0,N(E1370)&gt;1440),"Durée invalide",IF(COUNTIFS(sj_date,A1370,sj_eq,B1370,sj_po,C1370)=0,"Pas de saisie journalière ce jour-là","OK")))))))))))</f>
        <v/>
      </c>
      <c r="J1370">
        <f>IF(OR(I1370="OK",I1370="Pas de saisie journalière ce jour-là"),E1370,0)</f>
        <v>0.0</v>
      </c>
      <c r="K1370">
        <f>IF(AND(J1370&gt;0,A1370&gt;=p_from,A1370&lt;=p_to),1,0)</f>
        <v>0.0</v>
      </c>
      <c r="L1370">
        <f>IF(AND(K1370=1,OR(pa_po="",C1370=pa_po),OR(pa_eq="",B1370=pa_eq)),1,0)</f>
        <v>0.0</v>
      </c>
    </row>
    <row r="1371">
      <c r="A1371" s="51" t="n"/>
      <c r="B1371" s="52" t="n"/>
      <c r="C1371" s="52" t="n"/>
      <c r="D1371" s="53" t="n"/>
      <c r="E1371" s="60" t="n"/>
      <c r="F1371" s="53" t="n"/>
      <c r="G1371" s="61" t="str">
        <f>IF(OR(COUNTA(A1371:E1371)=0,D1371=""),"",IFERROR(INDEX(ca_fam,MATCH(D1371,ca_name,0))&amp;"",""))</f>
        <v/>
      </c>
      <c r="H1371" s="58" t="str">
        <f>IF(OR(COUNTA(A1371:E1371)=0,D1371=""),"",IFERROR(INDEX(ca_type,MATCH(D1371,ca_name,0))&amp;"",""))</f>
        <v/>
      </c>
      <c r="I1371" s="58" t="str">
        <f>IF(COUNTA(A1371:E1371)=0,"",IF(N(A1371)&lt;=0,"Date manquante ou invalide",IF(B1371="","Équipe manquante",IF(ISNA(MATCH(B1371,eq_code,0)),"Équipe inconnue",IF(C1371="","Poste manquant",IF(ISNA(MATCH(C1371,po_code,0)),"Poste inconnu",IF(D1371="","Cause manquante",IF(ISNA(MATCH(D1371,ca_name,0)),"Cause inconnue",IF(H1371="","Cause à compléter dans Paramètres",IF(OR(NOT(ISNUMBER(E1371)),N(E1371)&lt;=0,N(E1371)&gt;1440),"Durée invalide",IF(COUNTIFS(sj_date,A1371,sj_eq,B1371,sj_po,C1371)=0,"Pas de saisie journalière ce jour-là","OK")))))))))))</f>
        <v/>
      </c>
      <c r="J1371">
        <f>IF(OR(I1371="OK",I1371="Pas de saisie journalière ce jour-là"),E1371,0)</f>
        <v>0.0</v>
      </c>
      <c r="K1371">
        <f>IF(AND(J1371&gt;0,A1371&gt;=p_from,A1371&lt;=p_to),1,0)</f>
        <v>0.0</v>
      </c>
      <c r="L1371">
        <f>IF(AND(K1371=1,OR(pa_po="",C1371=pa_po),OR(pa_eq="",B1371=pa_eq)),1,0)</f>
        <v>0.0</v>
      </c>
    </row>
    <row r="1372">
      <c r="A1372" s="51" t="n"/>
      <c r="B1372" s="52" t="n"/>
      <c r="C1372" s="52" t="n"/>
      <c r="D1372" s="53" t="n"/>
      <c r="E1372" s="60" t="n"/>
      <c r="F1372" s="53" t="n"/>
      <c r="G1372" s="61" t="str">
        <f>IF(OR(COUNTA(A1372:E1372)=0,D1372=""),"",IFERROR(INDEX(ca_fam,MATCH(D1372,ca_name,0))&amp;"",""))</f>
        <v/>
      </c>
      <c r="H1372" s="58" t="str">
        <f>IF(OR(COUNTA(A1372:E1372)=0,D1372=""),"",IFERROR(INDEX(ca_type,MATCH(D1372,ca_name,0))&amp;"",""))</f>
        <v/>
      </c>
      <c r="I1372" s="58" t="str">
        <f>IF(COUNTA(A1372:E1372)=0,"",IF(N(A1372)&lt;=0,"Date manquante ou invalide",IF(B1372="","Équipe manquante",IF(ISNA(MATCH(B1372,eq_code,0)),"Équipe inconnue",IF(C1372="","Poste manquant",IF(ISNA(MATCH(C1372,po_code,0)),"Poste inconnu",IF(D1372="","Cause manquante",IF(ISNA(MATCH(D1372,ca_name,0)),"Cause inconnue",IF(H1372="","Cause à compléter dans Paramètres",IF(OR(NOT(ISNUMBER(E1372)),N(E1372)&lt;=0,N(E1372)&gt;1440),"Durée invalide",IF(COUNTIFS(sj_date,A1372,sj_eq,B1372,sj_po,C1372)=0,"Pas de saisie journalière ce jour-là","OK")))))))))))</f>
        <v/>
      </c>
      <c r="J1372">
        <f>IF(OR(I1372="OK",I1372="Pas de saisie journalière ce jour-là"),E1372,0)</f>
        <v>0.0</v>
      </c>
      <c r="K1372">
        <f>IF(AND(J1372&gt;0,A1372&gt;=p_from,A1372&lt;=p_to),1,0)</f>
        <v>0.0</v>
      </c>
      <c r="L1372">
        <f>IF(AND(K1372=1,OR(pa_po="",C1372=pa_po),OR(pa_eq="",B1372=pa_eq)),1,0)</f>
        <v>0.0</v>
      </c>
    </row>
    <row r="1373">
      <c r="A1373" s="51" t="n"/>
      <c r="B1373" s="52" t="n"/>
      <c r="C1373" s="52" t="n"/>
      <c r="D1373" s="53" t="n"/>
      <c r="E1373" s="60" t="n"/>
      <c r="F1373" s="53" t="n"/>
      <c r="G1373" s="61" t="str">
        <f>IF(OR(COUNTA(A1373:E1373)=0,D1373=""),"",IFERROR(INDEX(ca_fam,MATCH(D1373,ca_name,0))&amp;"",""))</f>
        <v/>
      </c>
      <c r="H1373" s="58" t="str">
        <f>IF(OR(COUNTA(A1373:E1373)=0,D1373=""),"",IFERROR(INDEX(ca_type,MATCH(D1373,ca_name,0))&amp;"",""))</f>
        <v/>
      </c>
      <c r="I1373" s="58" t="str">
        <f>IF(COUNTA(A1373:E1373)=0,"",IF(N(A1373)&lt;=0,"Date manquante ou invalide",IF(B1373="","Équipe manquante",IF(ISNA(MATCH(B1373,eq_code,0)),"Équipe inconnue",IF(C1373="","Poste manquant",IF(ISNA(MATCH(C1373,po_code,0)),"Poste inconnu",IF(D1373="","Cause manquante",IF(ISNA(MATCH(D1373,ca_name,0)),"Cause inconnue",IF(H1373="","Cause à compléter dans Paramètres",IF(OR(NOT(ISNUMBER(E1373)),N(E1373)&lt;=0,N(E1373)&gt;1440),"Durée invalide",IF(COUNTIFS(sj_date,A1373,sj_eq,B1373,sj_po,C1373)=0,"Pas de saisie journalière ce jour-là","OK")))))))))))</f>
        <v/>
      </c>
      <c r="J1373">
        <f>IF(OR(I1373="OK",I1373="Pas de saisie journalière ce jour-là"),E1373,0)</f>
        <v>0.0</v>
      </c>
      <c r="K1373">
        <f>IF(AND(J1373&gt;0,A1373&gt;=p_from,A1373&lt;=p_to),1,0)</f>
        <v>0.0</v>
      </c>
      <c r="L1373">
        <f>IF(AND(K1373=1,OR(pa_po="",C1373=pa_po),OR(pa_eq="",B1373=pa_eq)),1,0)</f>
        <v>0.0</v>
      </c>
    </row>
    <row r="1374">
      <c r="A1374" s="51" t="n"/>
      <c r="B1374" s="52" t="n"/>
      <c r="C1374" s="52" t="n"/>
      <c r="D1374" s="53" t="n"/>
      <c r="E1374" s="60" t="n"/>
      <c r="F1374" s="53" t="n"/>
      <c r="G1374" s="61" t="str">
        <f>IF(OR(COUNTA(A1374:E1374)=0,D1374=""),"",IFERROR(INDEX(ca_fam,MATCH(D1374,ca_name,0))&amp;"",""))</f>
        <v/>
      </c>
      <c r="H1374" s="58" t="str">
        <f>IF(OR(COUNTA(A1374:E1374)=0,D1374=""),"",IFERROR(INDEX(ca_type,MATCH(D1374,ca_name,0))&amp;"",""))</f>
        <v/>
      </c>
      <c r="I1374" s="58" t="str">
        <f>IF(COUNTA(A1374:E1374)=0,"",IF(N(A1374)&lt;=0,"Date manquante ou invalide",IF(B1374="","Équipe manquante",IF(ISNA(MATCH(B1374,eq_code,0)),"Équipe inconnue",IF(C1374="","Poste manquant",IF(ISNA(MATCH(C1374,po_code,0)),"Poste inconnu",IF(D1374="","Cause manquante",IF(ISNA(MATCH(D1374,ca_name,0)),"Cause inconnue",IF(H1374="","Cause à compléter dans Paramètres",IF(OR(NOT(ISNUMBER(E1374)),N(E1374)&lt;=0,N(E1374)&gt;1440),"Durée invalide",IF(COUNTIFS(sj_date,A1374,sj_eq,B1374,sj_po,C1374)=0,"Pas de saisie journalière ce jour-là","OK")))))))))))</f>
        <v/>
      </c>
      <c r="J1374">
        <f>IF(OR(I1374="OK",I1374="Pas de saisie journalière ce jour-là"),E1374,0)</f>
        <v>0.0</v>
      </c>
      <c r="K1374">
        <f>IF(AND(J1374&gt;0,A1374&gt;=p_from,A1374&lt;=p_to),1,0)</f>
        <v>0.0</v>
      </c>
      <c r="L1374">
        <f>IF(AND(K1374=1,OR(pa_po="",C1374=pa_po),OR(pa_eq="",B1374=pa_eq)),1,0)</f>
        <v>0.0</v>
      </c>
    </row>
    <row r="1375">
      <c r="A1375" s="51" t="n"/>
      <c r="B1375" s="52" t="n"/>
      <c r="C1375" s="52" t="n"/>
      <c r="D1375" s="53" t="n"/>
      <c r="E1375" s="60" t="n"/>
      <c r="F1375" s="53" t="n"/>
      <c r="G1375" s="61" t="str">
        <f>IF(OR(COUNTA(A1375:E1375)=0,D1375=""),"",IFERROR(INDEX(ca_fam,MATCH(D1375,ca_name,0))&amp;"",""))</f>
        <v/>
      </c>
      <c r="H1375" s="58" t="str">
        <f>IF(OR(COUNTA(A1375:E1375)=0,D1375=""),"",IFERROR(INDEX(ca_type,MATCH(D1375,ca_name,0))&amp;"",""))</f>
        <v/>
      </c>
      <c r="I1375" s="58" t="str">
        <f>IF(COUNTA(A1375:E1375)=0,"",IF(N(A1375)&lt;=0,"Date manquante ou invalide",IF(B1375="","Équipe manquante",IF(ISNA(MATCH(B1375,eq_code,0)),"Équipe inconnue",IF(C1375="","Poste manquant",IF(ISNA(MATCH(C1375,po_code,0)),"Poste inconnu",IF(D1375="","Cause manquante",IF(ISNA(MATCH(D1375,ca_name,0)),"Cause inconnue",IF(H1375="","Cause à compléter dans Paramètres",IF(OR(NOT(ISNUMBER(E1375)),N(E1375)&lt;=0,N(E1375)&gt;1440),"Durée invalide",IF(COUNTIFS(sj_date,A1375,sj_eq,B1375,sj_po,C1375)=0,"Pas de saisie journalière ce jour-là","OK")))))))))))</f>
        <v/>
      </c>
      <c r="J1375">
        <f>IF(OR(I1375="OK",I1375="Pas de saisie journalière ce jour-là"),E1375,0)</f>
        <v>0.0</v>
      </c>
      <c r="K1375">
        <f>IF(AND(J1375&gt;0,A1375&gt;=p_from,A1375&lt;=p_to),1,0)</f>
        <v>0.0</v>
      </c>
      <c r="L1375">
        <f>IF(AND(K1375=1,OR(pa_po="",C1375=pa_po),OR(pa_eq="",B1375=pa_eq)),1,0)</f>
        <v>0.0</v>
      </c>
    </row>
    <row r="1376">
      <c r="A1376" s="51" t="n"/>
      <c r="B1376" s="52" t="n"/>
      <c r="C1376" s="52" t="n"/>
      <c r="D1376" s="53" t="n"/>
      <c r="E1376" s="60" t="n"/>
      <c r="F1376" s="53" t="n"/>
      <c r="G1376" s="61" t="str">
        <f>IF(OR(COUNTA(A1376:E1376)=0,D1376=""),"",IFERROR(INDEX(ca_fam,MATCH(D1376,ca_name,0))&amp;"",""))</f>
        <v/>
      </c>
      <c r="H1376" s="58" t="str">
        <f>IF(OR(COUNTA(A1376:E1376)=0,D1376=""),"",IFERROR(INDEX(ca_type,MATCH(D1376,ca_name,0))&amp;"",""))</f>
        <v/>
      </c>
      <c r="I1376" s="58" t="str">
        <f>IF(COUNTA(A1376:E1376)=0,"",IF(N(A1376)&lt;=0,"Date manquante ou invalide",IF(B1376="","Équipe manquante",IF(ISNA(MATCH(B1376,eq_code,0)),"Équipe inconnue",IF(C1376="","Poste manquant",IF(ISNA(MATCH(C1376,po_code,0)),"Poste inconnu",IF(D1376="","Cause manquante",IF(ISNA(MATCH(D1376,ca_name,0)),"Cause inconnue",IF(H1376="","Cause à compléter dans Paramètres",IF(OR(NOT(ISNUMBER(E1376)),N(E1376)&lt;=0,N(E1376)&gt;1440),"Durée invalide",IF(COUNTIFS(sj_date,A1376,sj_eq,B1376,sj_po,C1376)=0,"Pas de saisie journalière ce jour-là","OK")))))))))))</f>
        <v/>
      </c>
      <c r="J1376">
        <f>IF(OR(I1376="OK",I1376="Pas de saisie journalière ce jour-là"),E1376,0)</f>
        <v>0.0</v>
      </c>
      <c r="K1376">
        <f>IF(AND(J1376&gt;0,A1376&gt;=p_from,A1376&lt;=p_to),1,0)</f>
        <v>0.0</v>
      </c>
      <c r="L1376">
        <f>IF(AND(K1376=1,OR(pa_po="",C1376=pa_po),OR(pa_eq="",B1376=pa_eq)),1,0)</f>
        <v>0.0</v>
      </c>
    </row>
    <row r="1377">
      <c r="A1377" s="51" t="n"/>
      <c r="B1377" s="52" t="n"/>
      <c r="C1377" s="52" t="n"/>
      <c r="D1377" s="53" t="n"/>
      <c r="E1377" s="60" t="n"/>
      <c r="F1377" s="53" t="n"/>
      <c r="G1377" s="61" t="str">
        <f>IF(OR(COUNTA(A1377:E1377)=0,D1377=""),"",IFERROR(INDEX(ca_fam,MATCH(D1377,ca_name,0))&amp;"",""))</f>
        <v/>
      </c>
      <c r="H1377" s="58" t="str">
        <f>IF(OR(COUNTA(A1377:E1377)=0,D1377=""),"",IFERROR(INDEX(ca_type,MATCH(D1377,ca_name,0))&amp;"",""))</f>
        <v/>
      </c>
      <c r="I1377" s="58" t="str">
        <f>IF(COUNTA(A1377:E1377)=0,"",IF(N(A1377)&lt;=0,"Date manquante ou invalide",IF(B1377="","Équipe manquante",IF(ISNA(MATCH(B1377,eq_code,0)),"Équipe inconnue",IF(C1377="","Poste manquant",IF(ISNA(MATCH(C1377,po_code,0)),"Poste inconnu",IF(D1377="","Cause manquante",IF(ISNA(MATCH(D1377,ca_name,0)),"Cause inconnue",IF(H1377="","Cause à compléter dans Paramètres",IF(OR(NOT(ISNUMBER(E1377)),N(E1377)&lt;=0,N(E1377)&gt;1440),"Durée invalide",IF(COUNTIFS(sj_date,A1377,sj_eq,B1377,sj_po,C1377)=0,"Pas de saisie journalière ce jour-là","OK")))))))))))</f>
        <v/>
      </c>
      <c r="J1377">
        <f>IF(OR(I1377="OK",I1377="Pas de saisie journalière ce jour-là"),E1377,0)</f>
        <v>0.0</v>
      </c>
      <c r="K1377">
        <f>IF(AND(J1377&gt;0,A1377&gt;=p_from,A1377&lt;=p_to),1,0)</f>
        <v>0.0</v>
      </c>
      <c r="L1377">
        <f>IF(AND(K1377=1,OR(pa_po="",C1377=pa_po),OR(pa_eq="",B1377=pa_eq)),1,0)</f>
        <v>0.0</v>
      </c>
    </row>
    <row r="1378">
      <c r="A1378" s="51" t="n"/>
      <c r="B1378" s="52" t="n"/>
      <c r="C1378" s="52" t="n"/>
      <c r="D1378" s="53" t="n"/>
      <c r="E1378" s="60" t="n"/>
      <c r="F1378" s="53" t="n"/>
      <c r="G1378" s="61" t="str">
        <f>IF(OR(COUNTA(A1378:E1378)=0,D1378=""),"",IFERROR(INDEX(ca_fam,MATCH(D1378,ca_name,0))&amp;"",""))</f>
        <v/>
      </c>
      <c r="H1378" s="58" t="str">
        <f>IF(OR(COUNTA(A1378:E1378)=0,D1378=""),"",IFERROR(INDEX(ca_type,MATCH(D1378,ca_name,0))&amp;"",""))</f>
        <v/>
      </c>
      <c r="I1378" s="58" t="str">
        <f>IF(COUNTA(A1378:E1378)=0,"",IF(N(A1378)&lt;=0,"Date manquante ou invalide",IF(B1378="","Équipe manquante",IF(ISNA(MATCH(B1378,eq_code,0)),"Équipe inconnue",IF(C1378="","Poste manquant",IF(ISNA(MATCH(C1378,po_code,0)),"Poste inconnu",IF(D1378="","Cause manquante",IF(ISNA(MATCH(D1378,ca_name,0)),"Cause inconnue",IF(H1378="","Cause à compléter dans Paramètres",IF(OR(NOT(ISNUMBER(E1378)),N(E1378)&lt;=0,N(E1378)&gt;1440),"Durée invalide",IF(COUNTIFS(sj_date,A1378,sj_eq,B1378,sj_po,C1378)=0,"Pas de saisie journalière ce jour-là","OK")))))))))))</f>
        <v/>
      </c>
      <c r="J1378">
        <f>IF(OR(I1378="OK",I1378="Pas de saisie journalière ce jour-là"),E1378,0)</f>
        <v>0.0</v>
      </c>
      <c r="K1378">
        <f>IF(AND(J1378&gt;0,A1378&gt;=p_from,A1378&lt;=p_to),1,0)</f>
        <v>0.0</v>
      </c>
      <c r="L1378">
        <f>IF(AND(K1378=1,OR(pa_po="",C1378=pa_po),OR(pa_eq="",B1378=pa_eq)),1,0)</f>
        <v>0.0</v>
      </c>
    </row>
    <row r="1379">
      <c r="A1379" s="51" t="n"/>
      <c r="B1379" s="52" t="n"/>
      <c r="C1379" s="52" t="n"/>
      <c r="D1379" s="53" t="n"/>
      <c r="E1379" s="60" t="n"/>
      <c r="F1379" s="53" t="n"/>
      <c r="G1379" s="61" t="str">
        <f>IF(OR(COUNTA(A1379:E1379)=0,D1379=""),"",IFERROR(INDEX(ca_fam,MATCH(D1379,ca_name,0))&amp;"",""))</f>
        <v/>
      </c>
      <c r="H1379" s="58" t="str">
        <f>IF(OR(COUNTA(A1379:E1379)=0,D1379=""),"",IFERROR(INDEX(ca_type,MATCH(D1379,ca_name,0))&amp;"",""))</f>
        <v/>
      </c>
      <c r="I1379" s="58" t="str">
        <f>IF(COUNTA(A1379:E1379)=0,"",IF(N(A1379)&lt;=0,"Date manquante ou invalide",IF(B1379="","Équipe manquante",IF(ISNA(MATCH(B1379,eq_code,0)),"Équipe inconnue",IF(C1379="","Poste manquant",IF(ISNA(MATCH(C1379,po_code,0)),"Poste inconnu",IF(D1379="","Cause manquante",IF(ISNA(MATCH(D1379,ca_name,0)),"Cause inconnue",IF(H1379="","Cause à compléter dans Paramètres",IF(OR(NOT(ISNUMBER(E1379)),N(E1379)&lt;=0,N(E1379)&gt;1440),"Durée invalide",IF(COUNTIFS(sj_date,A1379,sj_eq,B1379,sj_po,C1379)=0,"Pas de saisie journalière ce jour-là","OK")))))))))))</f>
        <v/>
      </c>
      <c r="J1379">
        <f>IF(OR(I1379="OK",I1379="Pas de saisie journalière ce jour-là"),E1379,0)</f>
        <v>0.0</v>
      </c>
      <c r="K1379">
        <f>IF(AND(J1379&gt;0,A1379&gt;=p_from,A1379&lt;=p_to),1,0)</f>
        <v>0.0</v>
      </c>
      <c r="L1379">
        <f>IF(AND(K1379=1,OR(pa_po="",C1379=pa_po),OR(pa_eq="",B1379=pa_eq)),1,0)</f>
        <v>0.0</v>
      </c>
    </row>
    <row r="1380">
      <c r="A1380" s="51" t="n"/>
      <c r="B1380" s="52" t="n"/>
      <c r="C1380" s="52" t="n"/>
      <c r="D1380" s="53" t="n"/>
      <c r="E1380" s="60" t="n"/>
      <c r="F1380" s="53" t="n"/>
      <c r="G1380" s="61" t="str">
        <f>IF(OR(COUNTA(A1380:E1380)=0,D1380=""),"",IFERROR(INDEX(ca_fam,MATCH(D1380,ca_name,0))&amp;"",""))</f>
        <v/>
      </c>
      <c r="H1380" s="58" t="str">
        <f>IF(OR(COUNTA(A1380:E1380)=0,D1380=""),"",IFERROR(INDEX(ca_type,MATCH(D1380,ca_name,0))&amp;"",""))</f>
        <v/>
      </c>
      <c r="I1380" s="58" t="str">
        <f>IF(COUNTA(A1380:E1380)=0,"",IF(N(A1380)&lt;=0,"Date manquante ou invalide",IF(B1380="","Équipe manquante",IF(ISNA(MATCH(B1380,eq_code,0)),"Équipe inconnue",IF(C1380="","Poste manquant",IF(ISNA(MATCH(C1380,po_code,0)),"Poste inconnu",IF(D1380="","Cause manquante",IF(ISNA(MATCH(D1380,ca_name,0)),"Cause inconnue",IF(H1380="","Cause à compléter dans Paramètres",IF(OR(NOT(ISNUMBER(E1380)),N(E1380)&lt;=0,N(E1380)&gt;1440),"Durée invalide",IF(COUNTIFS(sj_date,A1380,sj_eq,B1380,sj_po,C1380)=0,"Pas de saisie journalière ce jour-là","OK")))))))))))</f>
        <v/>
      </c>
      <c r="J1380">
        <f>IF(OR(I1380="OK",I1380="Pas de saisie journalière ce jour-là"),E1380,0)</f>
        <v>0.0</v>
      </c>
      <c r="K1380">
        <f>IF(AND(J1380&gt;0,A1380&gt;=p_from,A1380&lt;=p_to),1,0)</f>
        <v>0.0</v>
      </c>
      <c r="L1380">
        <f>IF(AND(K1380=1,OR(pa_po="",C1380=pa_po),OR(pa_eq="",B1380=pa_eq)),1,0)</f>
        <v>0.0</v>
      </c>
    </row>
    <row r="1381">
      <c r="A1381" s="51" t="n"/>
      <c r="B1381" s="52" t="n"/>
      <c r="C1381" s="52" t="n"/>
      <c r="D1381" s="53" t="n"/>
      <c r="E1381" s="60" t="n"/>
      <c r="F1381" s="53" t="n"/>
      <c r="G1381" s="61" t="str">
        <f>IF(OR(COUNTA(A1381:E1381)=0,D1381=""),"",IFERROR(INDEX(ca_fam,MATCH(D1381,ca_name,0))&amp;"",""))</f>
        <v/>
      </c>
      <c r="H1381" s="58" t="str">
        <f>IF(OR(COUNTA(A1381:E1381)=0,D1381=""),"",IFERROR(INDEX(ca_type,MATCH(D1381,ca_name,0))&amp;"",""))</f>
        <v/>
      </c>
      <c r="I1381" s="58" t="str">
        <f>IF(COUNTA(A1381:E1381)=0,"",IF(N(A1381)&lt;=0,"Date manquante ou invalide",IF(B1381="","Équipe manquante",IF(ISNA(MATCH(B1381,eq_code,0)),"Équipe inconnue",IF(C1381="","Poste manquant",IF(ISNA(MATCH(C1381,po_code,0)),"Poste inconnu",IF(D1381="","Cause manquante",IF(ISNA(MATCH(D1381,ca_name,0)),"Cause inconnue",IF(H1381="","Cause à compléter dans Paramètres",IF(OR(NOT(ISNUMBER(E1381)),N(E1381)&lt;=0,N(E1381)&gt;1440),"Durée invalide",IF(COUNTIFS(sj_date,A1381,sj_eq,B1381,sj_po,C1381)=0,"Pas de saisie journalière ce jour-là","OK")))))))))))</f>
        <v/>
      </c>
      <c r="J1381">
        <f>IF(OR(I1381="OK",I1381="Pas de saisie journalière ce jour-là"),E1381,0)</f>
        <v>0.0</v>
      </c>
      <c r="K1381">
        <f>IF(AND(J1381&gt;0,A1381&gt;=p_from,A1381&lt;=p_to),1,0)</f>
        <v>0.0</v>
      </c>
      <c r="L1381">
        <f>IF(AND(K1381=1,OR(pa_po="",C1381=pa_po),OR(pa_eq="",B1381=pa_eq)),1,0)</f>
        <v>0.0</v>
      </c>
    </row>
    <row r="1382">
      <c r="A1382" s="51" t="n"/>
      <c r="B1382" s="52" t="n"/>
      <c r="C1382" s="52" t="n"/>
      <c r="D1382" s="53" t="n"/>
      <c r="E1382" s="60" t="n"/>
      <c r="F1382" s="53" t="n"/>
      <c r="G1382" s="61" t="str">
        <f>IF(OR(COUNTA(A1382:E1382)=0,D1382=""),"",IFERROR(INDEX(ca_fam,MATCH(D1382,ca_name,0))&amp;"",""))</f>
        <v/>
      </c>
      <c r="H1382" s="58" t="str">
        <f>IF(OR(COUNTA(A1382:E1382)=0,D1382=""),"",IFERROR(INDEX(ca_type,MATCH(D1382,ca_name,0))&amp;"",""))</f>
        <v/>
      </c>
      <c r="I1382" s="58" t="str">
        <f>IF(COUNTA(A1382:E1382)=0,"",IF(N(A1382)&lt;=0,"Date manquante ou invalide",IF(B1382="","Équipe manquante",IF(ISNA(MATCH(B1382,eq_code,0)),"Équipe inconnue",IF(C1382="","Poste manquant",IF(ISNA(MATCH(C1382,po_code,0)),"Poste inconnu",IF(D1382="","Cause manquante",IF(ISNA(MATCH(D1382,ca_name,0)),"Cause inconnue",IF(H1382="","Cause à compléter dans Paramètres",IF(OR(NOT(ISNUMBER(E1382)),N(E1382)&lt;=0,N(E1382)&gt;1440),"Durée invalide",IF(COUNTIFS(sj_date,A1382,sj_eq,B1382,sj_po,C1382)=0,"Pas de saisie journalière ce jour-là","OK")))))))))))</f>
        <v/>
      </c>
      <c r="J1382">
        <f>IF(OR(I1382="OK",I1382="Pas de saisie journalière ce jour-là"),E1382,0)</f>
        <v>0.0</v>
      </c>
      <c r="K1382">
        <f>IF(AND(J1382&gt;0,A1382&gt;=p_from,A1382&lt;=p_to),1,0)</f>
        <v>0.0</v>
      </c>
      <c r="L1382">
        <f>IF(AND(K1382=1,OR(pa_po="",C1382=pa_po),OR(pa_eq="",B1382=pa_eq)),1,0)</f>
        <v>0.0</v>
      </c>
    </row>
    <row r="1383">
      <c r="A1383" s="51" t="n"/>
      <c r="B1383" s="52" t="n"/>
      <c r="C1383" s="52" t="n"/>
      <c r="D1383" s="53" t="n"/>
      <c r="E1383" s="60" t="n"/>
      <c r="F1383" s="53" t="n"/>
      <c r="G1383" s="61" t="str">
        <f>IF(OR(COUNTA(A1383:E1383)=0,D1383=""),"",IFERROR(INDEX(ca_fam,MATCH(D1383,ca_name,0))&amp;"",""))</f>
        <v/>
      </c>
      <c r="H1383" s="58" t="str">
        <f>IF(OR(COUNTA(A1383:E1383)=0,D1383=""),"",IFERROR(INDEX(ca_type,MATCH(D1383,ca_name,0))&amp;"",""))</f>
        <v/>
      </c>
      <c r="I1383" s="58" t="str">
        <f>IF(COUNTA(A1383:E1383)=0,"",IF(N(A1383)&lt;=0,"Date manquante ou invalide",IF(B1383="","Équipe manquante",IF(ISNA(MATCH(B1383,eq_code,0)),"Équipe inconnue",IF(C1383="","Poste manquant",IF(ISNA(MATCH(C1383,po_code,0)),"Poste inconnu",IF(D1383="","Cause manquante",IF(ISNA(MATCH(D1383,ca_name,0)),"Cause inconnue",IF(H1383="","Cause à compléter dans Paramètres",IF(OR(NOT(ISNUMBER(E1383)),N(E1383)&lt;=0,N(E1383)&gt;1440),"Durée invalide",IF(COUNTIFS(sj_date,A1383,sj_eq,B1383,sj_po,C1383)=0,"Pas de saisie journalière ce jour-là","OK")))))))))))</f>
        <v/>
      </c>
      <c r="J1383">
        <f>IF(OR(I1383="OK",I1383="Pas de saisie journalière ce jour-là"),E1383,0)</f>
        <v>0.0</v>
      </c>
      <c r="K1383">
        <f>IF(AND(J1383&gt;0,A1383&gt;=p_from,A1383&lt;=p_to),1,0)</f>
        <v>0.0</v>
      </c>
      <c r="L1383">
        <f>IF(AND(K1383=1,OR(pa_po="",C1383=pa_po),OR(pa_eq="",B1383=pa_eq)),1,0)</f>
        <v>0.0</v>
      </c>
    </row>
    <row r="1384">
      <c r="A1384" s="51" t="n"/>
      <c r="B1384" s="52" t="n"/>
      <c r="C1384" s="52" t="n"/>
      <c r="D1384" s="53" t="n"/>
      <c r="E1384" s="60" t="n"/>
      <c r="F1384" s="53" t="n"/>
      <c r="G1384" s="61" t="str">
        <f>IF(OR(COUNTA(A1384:E1384)=0,D1384=""),"",IFERROR(INDEX(ca_fam,MATCH(D1384,ca_name,0))&amp;"",""))</f>
        <v/>
      </c>
      <c r="H1384" s="58" t="str">
        <f>IF(OR(COUNTA(A1384:E1384)=0,D1384=""),"",IFERROR(INDEX(ca_type,MATCH(D1384,ca_name,0))&amp;"",""))</f>
        <v/>
      </c>
      <c r="I1384" s="58" t="str">
        <f>IF(COUNTA(A1384:E1384)=0,"",IF(N(A1384)&lt;=0,"Date manquante ou invalide",IF(B1384="","Équipe manquante",IF(ISNA(MATCH(B1384,eq_code,0)),"Équipe inconnue",IF(C1384="","Poste manquant",IF(ISNA(MATCH(C1384,po_code,0)),"Poste inconnu",IF(D1384="","Cause manquante",IF(ISNA(MATCH(D1384,ca_name,0)),"Cause inconnue",IF(H1384="","Cause à compléter dans Paramètres",IF(OR(NOT(ISNUMBER(E1384)),N(E1384)&lt;=0,N(E1384)&gt;1440),"Durée invalide",IF(COUNTIFS(sj_date,A1384,sj_eq,B1384,sj_po,C1384)=0,"Pas de saisie journalière ce jour-là","OK")))))))))))</f>
        <v/>
      </c>
      <c r="J1384">
        <f>IF(OR(I1384="OK",I1384="Pas de saisie journalière ce jour-là"),E1384,0)</f>
        <v>0.0</v>
      </c>
      <c r="K1384">
        <f>IF(AND(J1384&gt;0,A1384&gt;=p_from,A1384&lt;=p_to),1,0)</f>
        <v>0.0</v>
      </c>
      <c r="L1384">
        <f>IF(AND(K1384=1,OR(pa_po="",C1384=pa_po),OR(pa_eq="",B1384=pa_eq)),1,0)</f>
        <v>0.0</v>
      </c>
    </row>
    <row r="1385">
      <c r="A1385" s="51" t="n"/>
      <c r="B1385" s="52" t="n"/>
      <c r="C1385" s="52" t="n"/>
      <c r="D1385" s="53" t="n"/>
      <c r="E1385" s="60" t="n"/>
      <c r="F1385" s="53" t="n"/>
      <c r="G1385" s="61" t="str">
        <f>IF(OR(COUNTA(A1385:E1385)=0,D1385=""),"",IFERROR(INDEX(ca_fam,MATCH(D1385,ca_name,0))&amp;"",""))</f>
        <v/>
      </c>
      <c r="H1385" s="58" t="str">
        <f>IF(OR(COUNTA(A1385:E1385)=0,D1385=""),"",IFERROR(INDEX(ca_type,MATCH(D1385,ca_name,0))&amp;"",""))</f>
        <v/>
      </c>
      <c r="I1385" s="58" t="str">
        <f>IF(COUNTA(A1385:E1385)=0,"",IF(N(A1385)&lt;=0,"Date manquante ou invalide",IF(B1385="","Équipe manquante",IF(ISNA(MATCH(B1385,eq_code,0)),"Équipe inconnue",IF(C1385="","Poste manquant",IF(ISNA(MATCH(C1385,po_code,0)),"Poste inconnu",IF(D1385="","Cause manquante",IF(ISNA(MATCH(D1385,ca_name,0)),"Cause inconnue",IF(H1385="","Cause à compléter dans Paramètres",IF(OR(NOT(ISNUMBER(E1385)),N(E1385)&lt;=0,N(E1385)&gt;1440),"Durée invalide",IF(COUNTIFS(sj_date,A1385,sj_eq,B1385,sj_po,C1385)=0,"Pas de saisie journalière ce jour-là","OK")))))))))))</f>
        <v/>
      </c>
      <c r="J1385">
        <f>IF(OR(I1385="OK",I1385="Pas de saisie journalière ce jour-là"),E1385,0)</f>
        <v>0.0</v>
      </c>
      <c r="K1385">
        <f>IF(AND(J1385&gt;0,A1385&gt;=p_from,A1385&lt;=p_to),1,0)</f>
        <v>0.0</v>
      </c>
      <c r="L1385">
        <f>IF(AND(K1385=1,OR(pa_po="",C1385=pa_po),OR(pa_eq="",B1385=pa_eq)),1,0)</f>
        <v>0.0</v>
      </c>
    </row>
    <row r="1386">
      <c r="A1386" s="51" t="n"/>
      <c r="B1386" s="52" t="n"/>
      <c r="C1386" s="52" t="n"/>
      <c r="D1386" s="53" t="n"/>
      <c r="E1386" s="60" t="n"/>
      <c r="F1386" s="53" t="n"/>
      <c r="G1386" s="61" t="str">
        <f>IF(OR(COUNTA(A1386:E1386)=0,D1386=""),"",IFERROR(INDEX(ca_fam,MATCH(D1386,ca_name,0))&amp;"",""))</f>
        <v/>
      </c>
      <c r="H1386" s="58" t="str">
        <f>IF(OR(COUNTA(A1386:E1386)=0,D1386=""),"",IFERROR(INDEX(ca_type,MATCH(D1386,ca_name,0))&amp;"",""))</f>
        <v/>
      </c>
      <c r="I1386" s="58" t="str">
        <f>IF(COUNTA(A1386:E1386)=0,"",IF(N(A1386)&lt;=0,"Date manquante ou invalide",IF(B1386="","Équipe manquante",IF(ISNA(MATCH(B1386,eq_code,0)),"Équipe inconnue",IF(C1386="","Poste manquant",IF(ISNA(MATCH(C1386,po_code,0)),"Poste inconnu",IF(D1386="","Cause manquante",IF(ISNA(MATCH(D1386,ca_name,0)),"Cause inconnue",IF(H1386="","Cause à compléter dans Paramètres",IF(OR(NOT(ISNUMBER(E1386)),N(E1386)&lt;=0,N(E1386)&gt;1440),"Durée invalide",IF(COUNTIFS(sj_date,A1386,sj_eq,B1386,sj_po,C1386)=0,"Pas de saisie journalière ce jour-là","OK")))))))))))</f>
        <v/>
      </c>
      <c r="J1386">
        <f>IF(OR(I1386="OK",I1386="Pas de saisie journalière ce jour-là"),E1386,0)</f>
        <v>0.0</v>
      </c>
      <c r="K1386">
        <f>IF(AND(J1386&gt;0,A1386&gt;=p_from,A1386&lt;=p_to),1,0)</f>
        <v>0.0</v>
      </c>
      <c r="L1386">
        <f>IF(AND(K1386=1,OR(pa_po="",C1386=pa_po),OR(pa_eq="",B1386=pa_eq)),1,0)</f>
        <v>0.0</v>
      </c>
    </row>
    <row r="1387">
      <c r="A1387" s="51" t="n"/>
      <c r="B1387" s="52" t="n"/>
      <c r="C1387" s="52" t="n"/>
      <c r="D1387" s="53" t="n"/>
      <c r="E1387" s="60" t="n"/>
      <c r="F1387" s="53" t="n"/>
      <c r="G1387" s="61" t="str">
        <f>IF(OR(COUNTA(A1387:E1387)=0,D1387=""),"",IFERROR(INDEX(ca_fam,MATCH(D1387,ca_name,0))&amp;"",""))</f>
        <v/>
      </c>
      <c r="H1387" s="58" t="str">
        <f>IF(OR(COUNTA(A1387:E1387)=0,D1387=""),"",IFERROR(INDEX(ca_type,MATCH(D1387,ca_name,0))&amp;"",""))</f>
        <v/>
      </c>
      <c r="I1387" s="58" t="str">
        <f>IF(COUNTA(A1387:E1387)=0,"",IF(N(A1387)&lt;=0,"Date manquante ou invalide",IF(B1387="","Équipe manquante",IF(ISNA(MATCH(B1387,eq_code,0)),"Équipe inconnue",IF(C1387="","Poste manquant",IF(ISNA(MATCH(C1387,po_code,0)),"Poste inconnu",IF(D1387="","Cause manquante",IF(ISNA(MATCH(D1387,ca_name,0)),"Cause inconnue",IF(H1387="","Cause à compléter dans Paramètres",IF(OR(NOT(ISNUMBER(E1387)),N(E1387)&lt;=0,N(E1387)&gt;1440),"Durée invalide",IF(COUNTIFS(sj_date,A1387,sj_eq,B1387,sj_po,C1387)=0,"Pas de saisie journalière ce jour-là","OK")))))))))))</f>
        <v/>
      </c>
      <c r="J1387">
        <f>IF(OR(I1387="OK",I1387="Pas de saisie journalière ce jour-là"),E1387,0)</f>
        <v>0.0</v>
      </c>
      <c r="K1387">
        <f>IF(AND(J1387&gt;0,A1387&gt;=p_from,A1387&lt;=p_to),1,0)</f>
        <v>0.0</v>
      </c>
      <c r="L1387">
        <f>IF(AND(K1387=1,OR(pa_po="",C1387=pa_po),OR(pa_eq="",B1387=pa_eq)),1,0)</f>
        <v>0.0</v>
      </c>
    </row>
    <row r="1388">
      <c r="A1388" s="51" t="n"/>
      <c r="B1388" s="52" t="n"/>
      <c r="C1388" s="52" t="n"/>
      <c r="D1388" s="53" t="n"/>
      <c r="E1388" s="60" t="n"/>
      <c r="F1388" s="53" t="n"/>
      <c r="G1388" s="61" t="str">
        <f>IF(OR(COUNTA(A1388:E1388)=0,D1388=""),"",IFERROR(INDEX(ca_fam,MATCH(D1388,ca_name,0))&amp;"",""))</f>
        <v/>
      </c>
      <c r="H1388" s="58" t="str">
        <f>IF(OR(COUNTA(A1388:E1388)=0,D1388=""),"",IFERROR(INDEX(ca_type,MATCH(D1388,ca_name,0))&amp;"",""))</f>
        <v/>
      </c>
      <c r="I1388" s="58" t="str">
        <f>IF(COUNTA(A1388:E1388)=0,"",IF(N(A1388)&lt;=0,"Date manquante ou invalide",IF(B1388="","Équipe manquante",IF(ISNA(MATCH(B1388,eq_code,0)),"Équipe inconnue",IF(C1388="","Poste manquant",IF(ISNA(MATCH(C1388,po_code,0)),"Poste inconnu",IF(D1388="","Cause manquante",IF(ISNA(MATCH(D1388,ca_name,0)),"Cause inconnue",IF(H1388="","Cause à compléter dans Paramètres",IF(OR(NOT(ISNUMBER(E1388)),N(E1388)&lt;=0,N(E1388)&gt;1440),"Durée invalide",IF(COUNTIFS(sj_date,A1388,sj_eq,B1388,sj_po,C1388)=0,"Pas de saisie journalière ce jour-là","OK")))))))))))</f>
        <v/>
      </c>
      <c r="J1388">
        <f>IF(OR(I1388="OK",I1388="Pas de saisie journalière ce jour-là"),E1388,0)</f>
        <v>0.0</v>
      </c>
      <c r="K1388">
        <f>IF(AND(J1388&gt;0,A1388&gt;=p_from,A1388&lt;=p_to),1,0)</f>
        <v>0.0</v>
      </c>
      <c r="L1388">
        <f>IF(AND(K1388=1,OR(pa_po="",C1388=pa_po),OR(pa_eq="",B1388=pa_eq)),1,0)</f>
        <v>0.0</v>
      </c>
    </row>
    <row r="1389">
      <c r="A1389" s="51" t="n"/>
      <c r="B1389" s="52" t="n"/>
      <c r="C1389" s="52" t="n"/>
      <c r="D1389" s="53" t="n"/>
      <c r="E1389" s="60" t="n"/>
      <c r="F1389" s="53" t="n"/>
      <c r="G1389" s="61" t="str">
        <f>IF(OR(COUNTA(A1389:E1389)=0,D1389=""),"",IFERROR(INDEX(ca_fam,MATCH(D1389,ca_name,0))&amp;"",""))</f>
        <v/>
      </c>
      <c r="H1389" s="58" t="str">
        <f>IF(OR(COUNTA(A1389:E1389)=0,D1389=""),"",IFERROR(INDEX(ca_type,MATCH(D1389,ca_name,0))&amp;"",""))</f>
        <v/>
      </c>
      <c r="I1389" s="58" t="str">
        <f>IF(COUNTA(A1389:E1389)=0,"",IF(N(A1389)&lt;=0,"Date manquante ou invalide",IF(B1389="","Équipe manquante",IF(ISNA(MATCH(B1389,eq_code,0)),"Équipe inconnue",IF(C1389="","Poste manquant",IF(ISNA(MATCH(C1389,po_code,0)),"Poste inconnu",IF(D1389="","Cause manquante",IF(ISNA(MATCH(D1389,ca_name,0)),"Cause inconnue",IF(H1389="","Cause à compléter dans Paramètres",IF(OR(NOT(ISNUMBER(E1389)),N(E1389)&lt;=0,N(E1389)&gt;1440),"Durée invalide",IF(COUNTIFS(sj_date,A1389,sj_eq,B1389,sj_po,C1389)=0,"Pas de saisie journalière ce jour-là","OK")))))))))))</f>
        <v/>
      </c>
      <c r="J1389">
        <f>IF(OR(I1389="OK",I1389="Pas de saisie journalière ce jour-là"),E1389,0)</f>
        <v>0.0</v>
      </c>
      <c r="K1389">
        <f>IF(AND(J1389&gt;0,A1389&gt;=p_from,A1389&lt;=p_to),1,0)</f>
        <v>0.0</v>
      </c>
      <c r="L1389">
        <f>IF(AND(K1389=1,OR(pa_po="",C1389=pa_po),OR(pa_eq="",B1389=pa_eq)),1,0)</f>
        <v>0.0</v>
      </c>
    </row>
    <row r="1390">
      <c r="A1390" s="51" t="n"/>
      <c r="B1390" s="52" t="n"/>
      <c r="C1390" s="52" t="n"/>
      <c r="D1390" s="53" t="n"/>
      <c r="E1390" s="60" t="n"/>
      <c r="F1390" s="53" t="n"/>
      <c r="G1390" s="61" t="str">
        <f>IF(OR(COUNTA(A1390:E1390)=0,D1390=""),"",IFERROR(INDEX(ca_fam,MATCH(D1390,ca_name,0))&amp;"",""))</f>
        <v/>
      </c>
      <c r="H1390" s="58" t="str">
        <f>IF(OR(COUNTA(A1390:E1390)=0,D1390=""),"",IFERROR(INDEX(ca_type,MATCH(D1390,ca_name,0))&amp;"",""))</f>
        <v/>
      </c>
      <c r="I1390" s="58" t="str">
        <f>IF(COUNTA(A1390:E1390)=0,"",IF(N(A1390)&lt;=0,"Date manquante ou invalide",IF(B1390="","Équipe manquante",IF(ISNA(MATCH(B1390,eq_code,0)),"Équipe inconnue",IF(C1390="","Poste manquant",IF(ISNA(MATCH(C1390,po_code,0)),"Poste inconnu",IF(D1390="","Cause manquante",IF(ISNA(MATCH(D1390,ca_name,0)),"Cause inconnue",IF(H1390="","Cause à compléter dans Paramètres",IF(OR(NOT(ISNUMBER(E1390)),N(E1390)&lt;=0,N(E1390)&gt;1440),"Durée invalide",IF(COUNTIFS(sj_date,A1390,sj_eq,B1390,sj_po,C1390)=0,"Pas de saisie journalière ce jour-là","OK")))))))))))</f>
        <v/>
      </c>
      <c r="J1390">
        <f>IF(OR(I1390="OK",I1390="Pas de saisie journalière ce jour-là"),E1390,0)</f>
        <v>0.0</v>
      </c>
      <c r="K1390">
        <f>IF(AND(J1390&gt;0,A1390&gt;=p_from,A1390&lt;=p_to),1,0)</f>
        <v>0.0</v>
      </c>
      <c r="L1390">
        <f>IF(AND(K1390=1,OR(pa_po="",C1390=pa_po),OR(pa_eq="",B1390=pa_eq)),1,0)</f>
        <v>0.0</v>
      </c>
    </row>
    <row r="1391">
      <c r="A1391" s="51" t="n"/>
      <c r="B1391" s="52" t="n"/>
      <c r="C1391" s="52" t="n"/>
      <c r="D1391" s="53" t="n"/>
      <c r="E1391" s="60" t="n"/>
      <c r="F1391" s="53" t="n"/>
      <c r="G1391" s="61" t="str">
        <f>IF(OR(COUNTA(A1391:E1391)=0,D1391=""),"",IFERROR(INDEX(ca_fam,MATCH(D1391,ca_name,0))&amp;"",""))</f>
        <v/>
      </c>
      <c r="H1391" s="58" t="str">
        <f>IF(OR(COUNTA(A1391:E1391)=0,D1391=""),"",IFERROR(INDEX(ca_type,MATCH(D1391,ca_name,0))&amp;"",""))</f>
        <v/>
      </c>
      <c r="I1391" s="58" t="str">
        <f>IF(COUNTA(A1391:E1391)=0,"",IF(N(A1391)&lt;=0,"Date manquante ou invalide",IF(B1391="","Équipe manquante",IF(ISNA(MATCH(B1391,eq_code,0)),"Équipe inconnue",IF(C1391="","Poste manquant",IF(ISNA(MATCH(C1391,po_code,0)),"Poste inconnu",IF(D1391="","Cause manquante",IF(ISNA(MATCH(D1391,ca_name,0)),"Cause inconnue",IF(H1391="","Cause à compléter dans Paramètres",IF(OR(NOT(ISNUMBER(E1391)),N(E1391)&lt;=0,N(E1391)&gt;1440),"Durée invalide",IF(COUNTIFS(sj_date,A1391,sj_eq,B1391,sj_po,C1391)=0,"Pas de saisie journalière ce jour-là","OK")))))))))))</f>
        <v/>
      </c>
      <c r="J1391">
        <f>IF(OR(I1391="OK",I1391="Pas de saisie journalière ce jour-là"),E1391,0)</f>
        <v>0.0</v>
      </c>
      <c r="K1391">
        <f>IF(AND(J1391&gt;0,A1391&gt;=p_from,A1391&lt;=p_to),1,0)</f>
        <v>0.0</v>
      </c>
      <c r="L1391">
        <f>IF(AND(K1391=1,OR(pa_po="",C1391=pa_po),OR(pa_eq="",B1391=pa_eq)),1,0)</f>
        <v>0.0</v>
      </c>
    </row>
    <row r="1392">
      <c r="A1392" s="51" t="n"/>
      <c r="B1392" s="52" t="n"/>
      <c r="C1392" s="52" t="n"/>
      <c r="D1392" s="53" t="n"/>
      <c r="E1392" s="60" t="n"/>
      <c r="F1392" s="53" t="n"/>
      <c r="G1392" s="61" t="str">
        <f>IF(OR(COUNTA(A1392:E1392)=0,D1392=""),"",IFERROR(INDEX(ca_fam,MATCH(D1392,ca_name,0))&amp;"",""))</f>
        <v/>
      </c>
      <c r="H1392" s="58" t="str">
        <f>IF(OR(COUNTA(A1392:E1392)=0,D1392=""),"",IFERROR(INDEX(ca_type,MATCH(D1392,ca_name,0))&amp;"",""))</f>
        <v/>
      </c>
      <c r="I1392" s="58" t="str">
        <f>IF(COUNTA(A1392:E1392)=0,"",IF(N(A1392)&lt;=0,"Date manquante ou invalide",IF(B1392="","Équipe manquante",IF(ISNA(MATCH(B1392,eq_code,0)),"Équipe inconnue",IF(C1392="","Poste manquant",IF(ISNA(MATCH(C1392,po_code,0)),"Poste inconnu",IF(D1392="","Cause manquante",IF(ISNA(MATCH(D1392,ca_name,0)),"Cause inconnue",IF(H1392="","Cause à compléter dans Paramètres",IF(OR(NOT(ISNUMBER(E1392)),N(E1392)&lt;=0,N(E1392)&gt;1440),"Durée invalide",IF(COUNTIFS(sj_date,A1392,sj_eq,B1392,sj_po,C1392)=0,"Pas de saisie journalière ce jour-là","OK")))))))))))</f>
        <v/>
      </c>
      <c r="J1392">
        <f>IF(OR(I1392="OK",I1392="Pas de saisie journalière ce jour-là"),E1392,0)</f>
        <v>0.0</v>
      </c>
      <c r="K1392">
        <f>IF(AND(J1392&gt;0,A1392&gt;=p_from,A1392&lt;=p_to),1,0)</f>
        <v>0.0</v>
      </c>
      <c r="L1392">
        <f>IF(AND(K1392=1,OR(pa_po="",C1392=pa_po),OR(pa_eq="",B1392=pa_eq)),1,0)</f>
        <v>0.0</v>
      </c>
    </row>
    <row r="1393">
      <c r="A1393" s="51" t="n"/>
      <c r="B1393" s="52" t="n"/>
      <c r="C1393" s="52" t="n"/>
      <c r="D1393" s="53" t="n"/>
      <c r="E1393" s="60" t="n"/>
      <c r="F1393" s="53" t="n"/>
      <c r="G1393" s="61" t="str">
        <f>IF(OR(COUNTA(A1393:E1393)=0,D1393=""),"",IFERROR(INDEX(ca_fam,MATCH(D1393,ca_name,0))&amp;"",""))</f>
        <v/>
      </c>
      <c r="H1393" s="58" t="str">
        <f>IF(OR(COUNTA(A1393:E1393)=0,D1393=""),"",IFERROR(INDEX(ca_type,MATCH(D1393,ca_name,0))&amp;"",""))</f>
        <v/>
      </c>
      <c r="I1393" s="58" t="str">
        <f>IF(COUNTA(A1393:E1393)=0,"",IF(N(A1393)&lt;=0,"Date manquante ou invalide",IF(B1393="","Équipe manquante",IF(ISNA(MATCH(B1393,eq_code,0)),"Équipe inconnue",IF(C1393="","Poste manquant",IF(ISNA(MATCH(C1393,po_code,0)),"Poste inconnu",IF(D1393="","Cause manquante",IF(ISNA(MATCH(D1393,ca_name,0)),"Cause inconnue",IF(H1393="","Cause à compléter dans Paramètres",IF(OR(NOT(ISNUMBER(E1393)),N(E1393)&lt;=0,N(E1393)&gt;1440),"Durée invalide",IF(COUNTIFS(sj_date,A1393,sj_eq,B1393,sj_po,C1393)=0,"Pas de saisie journalière ce jour-là","OK")))))))))))</f>
        <v/>
      </c>
      <c r="J1393">
        <f>IF(OR(I1393="OK",I1393="Pas de saisie journalière ce jour-là"),E1393,0)</f>
        <v>0.0</v>
      </c>
      <c r="K1393">
        <f>IF(AND(J1393&gt;0,A1393&gt;=p_from,A1393&lt;=p_to),1,0)</f>
        <v>0.0</v>
      </c>
      <c r="L1393">
        <f>IF(AND(K1393=1,OR(pa_po="",C1393=pa_po),OR(pa_eq="",B1393=pa_eq)),1,0)</f>
        <v>0.0</v>
      </c>
    </row>
    <row r="1394">
      <c r="A1394" s="51" t="n"/>
      <c r="B1394" s="52" t="n"/>
      <c r="C1394" s="52" t="n"/>
      <c r="D1394" s="53" t="n"/>
      <c r="E1394" s="60" t="n"/>
      <c r="F1394" s="53" t="n"/>
      <c r="G1394" s="61" t="str">
        <f>IF(OR(COUNTA(A1394:E1394)=0,D1394=""),"",IFERROR(INDEX(ca_fam,MATCH(D1394,ca_name,0))&amp;"",""))</f>
        <v/>
      </c>
      <c r="H1394" s="58" t="str">
        <f>IF(OR(COUNTA(A1394:E1394)=0,D1394=""),"",IFERROR(INDEX(ca_type,MATCH(D1394,ca_name,0))&amp;"",""))</f>
        <v/>
      </c>
      <c r="I1394" s="58" t="str">
        <f>IF(COUNTA(A1394:E1394)=0,"",IF(N(A1394)&lt;=0,"Date manquante ou invalide",IF(B1394="","Équipe manquante",IF(ISNA(MATCH(B1394,eq_code,0)),"Équipe inconnue",IF(C1394="","Poste manquant",IF(ISNA(MATCH(C1394,po_code,0)),"Poste inconnu",IF(D1394="","Cause manquante",IF(ISNA(MATCH(D1394,ca_name,0)),"Cause inconnue",IF(H1394="","Cause à compléter dans Paramètres",IF(OR(NOT(ISNUMBER(E1394)),N(E1394)&lt;=0,N(E1394)&gt;1440),"Durée invalide",IF(COUNTIFS(sj_date,A1394,sj_eq,B1394,sj_po,C1394)=0,"Pas de saisie journalière ce jour-là","OK")))))))))))</f>
        <v/>
      </c>
      <c r="J1394">
        <f>IF(OR(I1394="OK",I1394="Pas de saisie journalière ce jour-là"),E1394,0)</f>
        <v>0.0</v>
      </c>
      <c r="K1394">
        <f>IF(AND(J1394&gt;0,A1394&gt;=p_from,A1394&lt;=p_to),1,0)</f>
        <v>0.0</v>
      </c>
      <c r="L1394">
        <f>IF(AND(K1394=1,OR(pa_po="",C1394=pa_po),OR(pa_eq="",B1394=pa_eq)),1,0)</f>
        <v>0.0</v>
      </c>
    </row>
    <row r="1395">
      <c r="A1395" s="51" t="n"/>
      <c r="B1395" s="52" t="n"/>
      <c r="C1395" s="52" t="n"/>
      <c r="D1395" s="53" t="n"/>
      <c r="E1395" s="60" t="n"/>
      <c r="F1395" s="53" t="n"/>
      <c r="G1395" s="61" t="str">
        <f>IF(OR(COUNTA(A1395:E1395)=0,D1395=""),"",IFERROR(INDEX(ca_fam,MATCH(D1395,ca_name,0))&amp;"",""))</f>
        <v/>
      </c>
      <c r="H1395" s="58" t="str">
        <f>IF(OR(COUNTA(A1395:E1395)=0,D1395=""),"",IFERROR(INDEX(ca_type,MATCH(D1395,ca_name,0))&amp;"",""))</f>
        <v/>
      </c>
      <c r="I1395" s="58" t="str">
        <f>IF(COUNTA(A1395:E1395)=0,"",IF(N(A1395)&lt;=0,"Date manquante ou invalide",IF(B1395="","Équipe manquante",IF(ISNA(MATCH(B1395,eq_code,0)),"Équipe inconnue",IF(C1395="","Poste manquant",IF(ISNA(MATCH(C1395,po_code,0)),"Poste inconnu",IF(D1395="","Cause manquante",IF(ISNA(MATCH(D1395,ca_name,0)),"Cause inconnue",IF(H1395="","Cause à compléter dans Paramètres",IF(OR(NOT(ISNUMBER(E1395)),N(E1395)&lt;=0,N(E1395)&gt;1440),"Durée invalide",IF(COUNTIFS(sj_date,A1395,sj_eq,B1395,sj_po,C1395)=0,"Pas de saisie journalière ce jour-là","OK")))))))))))</f>
        <v/>
      </c>
      <c r="J1395">
        <f>IF(OR(I1395="OK",I1395="Pas de saisie journalière ce jour-là"),E1395,0)</f>
        <v>0.0</v>
      </c>
      <c r="K1395">
        <f>IF(AND(J1395&gt;0,A1395&gt;=p_from,A1395&lt;=p_to),1,0)</f>
        <v>0.0</v>
      </c>
      <c r="L1395">
        <f>IF(AND(K1395=1,OR(pa_po="",C1395=pa_po),OR(pa_eq="",B1395=pa_eq)),1,0)</f>
        <v>0.0</v>
      </c>
    </row>
    <row r="1396">
      <c r="A1396" s="51" t="n"/>
      <c r="B1396" s="52" t="n"/>
      <c r="C1396" s="52" t="n"/>
      <c r="D1396" s="53" t="n"/>
      <c r="E1396" s="60" t="n"/>
      <c r="F1396" s="53" t="n"/>
      <c r="G1396" s="61" t="str">
        <f>IF(OR(COUNTA(A1396:E1396)=0,D1396=""),"",IFERROR(INDEX(ca_fam,MATCH(D1396,ca_name,0))&amp;"",""))</f>
        <v/>
      </c>
      <c r="H1396" s="58" t="str">
        <f>IF(OR(COUNTA(A1396:E1396)=0,D1396=""),"",IFERROR(INDEX(ca_type,MATCH(D1396,ca_name,0))&amp;"",""))</f>
        <v/>
      </c>
      <c r="I1396" s="58" t="str">
        <f>IF(COUNTA(A1396:E1396)=0,"",IF(N(A1396)&lt;=0,"Date manquante ou invalide",IF(B1396="","Équipe manquante",IF(ISNA(MATCH(B1396,eq_code,0)),"Équipe inconnue",IF(C1396="","Poste manquant",IF(ISNA(MATCH(C1396,po_code,0)),"Poste inconnu",IF(D1396="","Cause manquante",IF(ISNA(MATCH(D1396,ca_name,0)),"Cause inconnue",IF(H1396="","Cause à compléter dans Paramètres",IF(OR(NOT(ISNUMBER(E1396)),N(E1396)&lt;=0,N(E1396)&gt;1440),"Durée invalide",IF(COUNTIFS(sj_date,A1396,sj_eq,B1396,sj_po,C1396)=0,"Pas de saisie journalière ce jour-là","OK")))))))))))</f>
        <v/>
      </c>
      <c r="J1396">
        <f>IF(OR(I1396="OK",I1396="Pas de saisie journalière ce jour-là"),E1396,0)</f>
        <v>0.0</v>
      </c>
      <c r="K1396">
        <f>IF(AND(J1396&gt;0,A1396&gt;=p_from,A1396&lt;=p_to),1,0)</f>
        <v>0.0</v>
      </c>
      <c r="L1396">
        <f>IF(AND(K1396=1,OR(pa_po="",C1396=pa_po),OR(pa_eq="",B1396=pa_eq)),1,0)</f>
        <v>0.0</v>
      </c>
    </row>
    <row r="1397">
      <c r="A1397" s="51" t="n"/>
      <c r="B1397" s="52" t="n"/>
      <c r="C1397" s="52" t="n"/>
      <c r="D1397" s="53" t="n"/>
      <c r="E1397" s="60" t="n"/>
      <c r="F1397" s="53" t="n"/>
      <c r="G1397" s="61" t="str">
        <f>IF(OR(COUNTA(A1397:E1397)=0,D1397=""),"",IFERROR(INDEX(ca_fam,MATCH(D1397,ca_name,0))&amp;"",""))</f>
        <v/>
      </c>
      <c r="H1397" s="58" t="str">
        <f>IF(OR(COUNTA(A1397:E1397)=0,D1397=""),"",IFERROR(INDEX(ca_type,MATCH(D1397,ca_name,0))&amp;"",""))</f>
        <v/>
      </c>
      <c r="I1397" s="58" t="str">
        <f>IF(COUNTA(A1397:E1397)=0,"",IF(N(A1397)&lt;=0,"Date manquante ou invalide",IF(B1397="","Équipe manquante",IF(ISNA(MATCH(B1397,eq_code,0)),"Équipe inconnue",IF(C1397="","Poste manquant",IF(ISNA(MATCH(C1397,po_code,0)),"Poste inconnu",IF(D1397="","Cause manquante",IF(ISNA(MATCH(D1397,ca_name,0)),"Cause inconnue",IF(H1397="","Cause à compléter dans Paramètres",IF(OR(NOT(ISNUMBER(E1397)),N(E1397)&lt;=0,N(E1397)&gt;1440),"Durée invalide",IF(COUNTIFS(sj_date,A1397,sj_eq,B1397,sj_po,C1397)=0,"Pas de saisie journalière ce jour-là","OK")))))))))))</f>
        <v/>
      </c>
      <c r="J1397">
        <f>IF(OR(I1397="OK",I1397="Pas de saisie journalière ce jour-là"),E1397,0)</f>
        <v>0.0</v>
      </c>
      <c r="K1397">
        <f>IF(AND(J1397&gt;0,A1397&gt;=p_from,A1397&lt;=p_to),1,0)</f>
        <v>0.0</v>
      </c>
      <c r="L1397">
        <f>IF(AND(K1397=1,OR(pa_po="",C1397=pa_po),OR(pa_eq="",B1397=pa_eq)),1,0)</f>
        <v>0.0</v>
      </c>
    </row>
    <row r="1398">
      <c r="A1398" s="51" t="n"/>
      <c r="B1398" s="52" t="n"/>
      <c r="C1398" s="52" t="n"/>
      <c r="D1398" s="53" t="n"/>
      <c r="E1398" s="60" t="n"/>
      <c r="F1398" s="53" t="n"/>
      <c r="G1398" s="61" t="str">
        <f>IF(OR(COUNTA(A1398:E1398)=0,D1398=""),"",IFERROR(INDEX(ca_fam,MATCH(D1398,ca_name,0))&amp;"",""))</f>
        <v/>
      </c>
      <c r="H1398" s="58" t="str">
        <f>IF(OR(COUNTA(A1398:E1398)=0,D1398=""),"",IFERROR(INDEX(ca_type,MATCH(D1398,ca_name,0))&amp;"",""))</f>
        <v/>
      </c>
      <c r="I1398" s="58" t="str">
        <f>IF(COUNTA(A1398:E1398)=0,"",IF(N(A1398)&lt;=0,"Date manquante ou invalide",IF(B1398="","Équipe manquante",IF(ISNA(MATCH(B1398,eq_code,0)),"Équipe inconnue",IF(C1398="","Poste manquant",IF(ISNA(MATCH(C1398,po_code,0)),"Poste inconnu",IF(D1398="","Cause manquante",IF(ISNA(MATCH(D1398,ca_name,0)),"Cause inconnue",IF(H1398="","Cause à compléter dans Paramètres",IF(OR(NOT(ISNUMBER(E1398)),N(E1398)&lt;=0,N(E1398)&gt;1440),"Durée invalide",IF(COUNTIFS(sj_date,A1398,sj_eq,B1398,sj_po,C1398)=0,"Pas de saisie journalière ce jour-là","OK")))))))))))</f>
        <v/>
      </c>
      <c r="J1398">
        <f>IF(OR(I1398="OK",I1398="Pas de saisie journalière ce jour-là"),E1398,0)</f>
        <v>0.0</v>
      </c>
      <c r="K1398">
        <f>IF(AND(J1398&gt;0,A1398&gt;=p_from,A1398&lt;=p_to),1,0)</f>
        <v>0.0</v>
      </c>
      <c r="L1398">
        <f>IF(AND(K1398=1,OR(pa_po="",C1398=pa_po),OR(pa_eq="",B1398=pa_eq)),1,0)</f>
        <v>0.0</v>
      </c>
    </row>
    <row r="1399">
      <c r="A1399" s="51" t="n"/>
      <c r="B1399" s="52" t="n"/>
      <c r="C1399" s="52" t="n"/>
      <c r="D1399" s="53" t="n"/>
      <c r="E1399" s="60" t="n"/>
      <c r="F1399" s="53" t="n"/>
      <c r="G1399" s="61" t="str">
        <f>IF(OR(COUNTA(A1399:E1399)=0,D1399=""),"",IFERROR(INDEX(ca_fam,MATCH(D1399,ca_name,0))&amp;"",""))</f>
        <v/>
      </c>
      <c r="H1399" s="58" t="str">
        <f>IF(OR(COUNTA(A1399:E1399)=0,D1399=""),"",IFERROR(INDEX(ca_type,MATCH(D1399,ca_name,0))&amp;"",""))</f>
        <v/>
      </c>
      <c r="I1399" s="58" t="str">
        <f>IF(COUNTA(A1399:E1399)=0,"",IF(N(A1399)&lt;=0,"Date manquante ou invalide",IF(B1399="","Équipe manquante",IF(ISNA(MATCH(B1399,eq_code,0)),"Équipe inconnue",IF(C1399="","Poste manquant",IF(ISNA(MATCH(C1399,po_code,0)),"Poste inconnu",IF(D1399="","Cause manquante",IF(ISNA(MATCH(D1399,ca_name,0)),"Cause inconnue",IF(H1399="","Cause à compléter dans Paramètres",IF(OR(NOT(ISNUMBER(E1399)),N(E1399)&lt;=0,N(E1399)&gt;1440),"Durée invalide",IF(COUNTIFS(sj_date,A1399,sj_eq,B1399,sj_po,C1399)=0,"Pas de saisie journalière ce jour-là","OK")))))))))))</f>
        <v/>
      </c>
      <c r="J1399">
        <f>IF(OR(I1399="OK",I1399="Pas de saisie journalière ce jour-là"),E1399,0)</f>
        <v>0.0</v>
      </c>
      <c r="K1399">
        <f>IF(AND(J1399&gt;0,A1399&gt;=p_from,A1399&lt;=p_to),1,0)</f>
        <v>0.0</v>
      </c>
      <c r="L1399">
        <f>IF(AND(K1399=1,OR(pa_po="",C1399=pa_po),OR(pa_eq="",B1399=pa_eq)),1,0)</f>
        <v>0.0</v>
      </c>
    </row>
    <row r="1400">
      <c r="A1400" s="51" t="n"/>
      <c r="B1400" s="52" t="n"/>
      <c r="C1400" s="52" t="n"/>
      <c r="D1400" s="53" t="n"/>
      <c r="E1400" s="60" t="n"/>
      <c r="F1400" s="53" t="n"/>
      <c r="G1400" s="61" t="str">
        <f>IF(OR(COUNTA(A1400:E1400)=0,D1400=""),"",IFERROR(INDEX(ca_fam,MATCH(D1400,ca_name,0))&amp;"",""))</f>
        <v/>
      </c>
      <c r="H1400" s="58" t="str">
        <f>IF(OR(COUNTA(A1400:E1400)=0,D1400=""),"",IFERROR(INDEX(ca_type,MATCH(D1400,ca_name,0))&amp;"",""))</f>
        <v/>
      </c>
      <c r="I1400" s="58" t="str">
        <f>IF(COUNTA(A1400:E1400)=0,"",IF(N(A1400)&lt;=0,"Date manquante ou invalide",IF(B1400="","Équipe manquante",IF(ISNA(MATCH(B1400,eq_code,0)),"Équipe inconnue",IF(C1400="","Poste manquant",IF(ISNA(MATCH(C1400,po_code,0)),"Poste inconnu",IF(D1400="","Cause manquante",IF(ISNA(MATCH(D1400,ca_name,0)),"Cause inconnue",IF(H1400="","Cause à compléter dans Paramètres",IF(OR(NOT(ISNUMBER(E1400)),N(E1400)&lt;=0,N(E1400)&gt;1440),"Durée invalide",IF(COUNTIFS(sj_date,A1400,sj_eq,B1400,sj_po,C1400)=0,"Pas de saisie journalière ce jour-là","OK")))))))))))</f>
        <v/>
      </c>
      <c r="J1400">
        <f>IF(OR(I1400="OK",I1400="Pas de saisie journalière ce jour-là"),E1400,0)</f>
        <v>0.0</v>
      </c>
      <c r="K1400">
        <f>IF(AND(J1400&gt;0,A1400&gt;=p_from,A1400&lt;=p_to),1,0)</f>
        <v>0.0</v>
      </c>
      <c r="L1400">
        <f>IF(AND(K1400=1,OR(pa_po="",C1400=pa_po),OR(pa_eq="",B1400=pa_eq)),1,0)</f>
        <v>0.0</v>
      </c>
    </row>
    <row r="1401">
      <c r="A1401" s="51" t="n"/>
      <c r="B1401" s="52" t="n"/>
      <c r="C1401" s="52" t="n"/>
      <c r="D1401" s="53" t="n"/>
      <c r="E1401" s="60" t="n"/>
      <c r="F1401" s="53" t="n"/>
      <c r="G1401" s="61" t="str">
        <f>IF(OR(COUNTA(A1401:E1401)=0,D1401=""),"",IFERROR(INDEX(ca_fam,MATCH(D1401,ca_name,0))&amp;"",""))</f>
        <v/>
      </c>
      <c r="H1401" s="58" t="str">
        <f>IF(OR(COUNTA(A1401:E1401)=0,D1401=""),"",IFERROR(INDEX(ca_type,MATCH(D1401,ca_name,0))&amp;"",""))</f>
        <v/>
      </c>
      <c r="I1401" s="58" t="str">
        <f>IF(COUNTA(A1401:E1401)=0,"",IF(N(A1401)&lt;=0,"Date manquante ou invalide",IF(B1401="","Équipe manquante",IF(ISNA(MATCH(B1401,eq_code,0)),"Équipe inconnue",IF(C1401="","Poste manquant",IF(ISNA(MATCH(C1401,po_code,0)),"Poste inconnu",IF(D1401="","Cause manquante",IF(ISNA(MATCH(D1401,ca_name,0)),"Cause inconnue",IF(H1401="","Cause à compléter dans Paramètres",IF(OR(NOT(ISNUMBER(E1401)),N(E1401)&lt;=0,N(E1401)&gt;1440),"Durée invalide",IF(COUNTIFS(sj_date,A1401,sj_eq,B1401,sj_po,C1401)=0,"Pas de saisie journalière ce jour-là","OK")))))))))))</f>
        <v/>
      </c>
      <c r="J1401">
        <f>IF(OR(I1401="OK",I1401="Pas de saisie journalière ce jour-là"),E1401,0)</f>
        <v>0.0</v>
      </c>
      <c r="K1401">
        <f>IF(AND(J1401&gt;0,A1401&gt;=p_from,A1401&lt;=p_to),1,0)</f>
        <v>0.0</v>
      </c>
      <c r="L1401">
        <f>IF(AND(K1401=1,OR(pa_po="",C1401=pa_po),OR(pa_eq="",B1401=pa_eq)),1,0)</f>
        <v>0.0</v>
      </c>
    </row>
    <row r="1402">
      <c r="A1402" s="51" t="n"/>
      <c r="B1402" s="52" t="n"/>
      <c r="C1402" s="52" t="n"/>
      <c r="D1402" s="53" t="n"/>
      <c r="E1402" s="60" t="n"/>
      <c r="F1402" s="53" t="n"/>
      <c r="G1402" s="61" t="str">
        <f>IF(OR(COUNTA(A1402:E1402)=0,D1402=""),"",IFERROR(INDEX(ca_fam,MATCH(D1402,ca_name,0))&amp;"",""))</f>
        <v/>
      </c>
      <c r="H1402" s="58" t="str">
        <f>IF(OR(COUNTA(A1402:E1402)=0,D1402=""),"",IFERROR(INDEX(ca_type,MATCH(D1402,ca_name,0))&amp;"",""))</f>
        <v/>
      </c>
      <c r="I1402" s="58" t="str">
        <f>IF(COUNTA(A1402:E1402)=0,"",IF(N(A1402)&lt;=0,"Date manquante ou invalide",IF(B1402="","Équipe manquante",IF(ISNA(MATCH(B1402,eq_code,0)),"Équipe inconnue",IF(C1402="","Poste manquant",IF(ISNA(MATCH(C1402,po_code,0)),"Poste inconnu",IF(D1402="","Cause manquante",IF(ISNA(MATCH(D1402,ca_name,0)),"Cause inconnue",IF(H1402="","Cause à compléter dans Paramètres",IF(OR(NOT(ISNUMBER(E1402)),N(E1402)&lt;=0,N(E1402)&gt;1440),"Durée invalide",IF(COUNTIFS(sj_date,A1402,sj_eq,B1402,sj_po,C1402)=0,"Pas de saisie journalière ce jour-là","OK")))))))))))</f>
        <v/>
      </c>
      <c r="J1402">
        <f>IF(OR(I1402="OK",I1402="Pas de saisie journalière ce jour-là"),E1402,0)</f>
        <v>0.0</v>
      </c>
      <c r="K1402">
        <f>IF(AND(J1402&gt;0,A1402&gt;=p_from,A1402&lt;=p_to),1,0)</f>
        <v>0.0</v>
      </c>
      <c r="L1402">
        <f>IF(AND(K1402=1,OR(pa_po="",C1402=pa_po),OR(pa_eq="",B1402=pa_eq)),1,0)</f>
        <v>0.0</v>
      </c>
    </row>
    <row r="1403">
      <c r="A1403" s="51" t="n"/>
      <c r="B1403" s="52" t="n"/>
      <c r="C1403" s="52" t="n"/>
      <c r="D1403" s="53" t="n"/>
      <c r="E1403" s="60" t="n"/>
      <c r="F1403" s="53" t="n"/>
      <c r="G1403" s="61" t="str">
        <f>IF(OR(COUNTA(A1403:E1403)=0,D1403=""),"",IFERROR(INDEX(ca_fam,MATCH(D1403,ca_name,0))&amp;"",""))</f>
        <v/>
      </c>
      <c r="H1403" s="58" t="str">
        <f>IF(OR(COUNTA(A1403:E1403)=0,D1403=""),"",IFERROR(INDEX(ca_type,MATCH(D1403,ca_name,0))&amp;"",""))</f>
        <v/>
      </c>
      <c r="I1403" s="58" t="str">
        <f>IF(COUNTA(A1403:E1403)=0,"",IF(N(A1403)&lt;=0,"Date manquante ou invalide",IF(B1403="","Équipe manquante",IF(ISNA(MATCH(B1403,eq_code,0)),"Équipe inconnue",IF(C1403="","Poste manquant",IF(ISNA(MATCH(C1403,po_code,0)),"Poste inconnu",IF(D1403="","Cause manquante",IF(ISNA(MATCH(D1403,ca_name,0)),"Cause inconnue",IF(H1403="","Cause à compléter dans Paramètres",IF(OR(NOT(ISNUMBER(E1403)),N(E1403)&lt;=0,N(E1403)&gt;1440),"Durée invalide",IF(COUNTIFS(sj_date,A1403,sj_eq,B1403,sj_po,C1403)=0,"Pas de saisie journalière ce jour-là","OK")))))))))))</f>
        <v/>
      </c>
      <c r="J1403">
        <f>IF(OR(I1403="OK",I1403="Pas de saisie journalière ce jour-là"),E1403,0)</f>
        <v>0.0</v>
      </c>
      <c r="K1403">
        <f>IF(AND(J1403&gt;0,A1403&gt;=p_from,A1403&lt;=p_to),1,0)</f>
        <v>0.0</v>
      </c>
      <c r="L1403">
        <f>IF(AND(K1403=1,OR(pa_po="",C1403=pa_po),OR(pa_eq="",B1403=pa_eq)),1,0)</f>
        <v>0.0</v>
      </c>
    </row>
    <row r="1404">
      <c r="A1404" s="51" t="n"/>
      <c r="B1404" s="52" t="n"/>
      <c r="C1404" s="52" t="n"/>
      <c r="D1404" s="53" t="n"/>
      <c r="E1404" s="60" t="n"/>
      <c r="F1404" s="53" t="n"/>
      <c r="G1404" s="61" t="str">
        <f>IF(OR(COUNTA(A1404:E1404)=0,D1404=""),"",IFERROR(INDEX(ca_fam,MATCH(D1404,ca_name,0))&amp;"",""))</f>
        <v/>
      </c>
      <c r="H1404" s="58" t="str">
        <f>IF(OR(COUNTA(A1404:E1404)=0,D1404=""),"",IFERROR(INDEX(ca_type,MATCH(D1404,ca_name,0))&amp;"",""))</f>
        <v/>
      </c>
      <c r="I1404" s="58" t="str">
        <f>IF(COUNTA(A1404:E1404)=0,"",IF(N(A1404)&lt;=0,"Date manquante ou invalide",IF(B1404="","Équipe manquante",IF(ISNA(MATCH(B1404,eq_code,0)),"Équipe inconnue",IF(C1404="","Poste manquant",IF(ISNA(MATCH(C1404,po_code,0)),"Poste inconnu",IF(D1404="","Cause manquante",IF(ISNA(MATCH(D1404,ca_name,0)),"Cause inconnue",IF(H1404="","Cause à compléter dans Paramètres",IF(OR(NOT(ISNUMBER(E1404)),N(E1404)&lt;=0,N(E1404)&gt;1440),"Durée invalide",IF(COUNTIFS(sj_date,A1404,sj_eq,B1404,sj_po,C1404)=0,"Pas de saisie journalière ce jour-là","OK")))))))))))</f>
        <v/>
      </c>
      <c r="J1404">
        <f>IF(OR(I1404="OK",I1404="Pas de saisie journalière ce jour-là"),E1404,0)</f>
        <v>0.0</v>
      </c>
      <c r="K1404">
        <f>IF(AND(J1404&gt;0,A1404&gt;=p_from,A1404&lt;=p_to),1,0)</f>
        <v>0.0</v>
      </c>
      <c r="L1404">
        <f>IF(AND(K1404=1,OR(pa_po="",C1404=pa_po),OR(pa_eq="",B1404=pa_eq)),1,0)</f>
        <v>0.0</v>
      </c>
    </row>
    <row r="1405">
      <c r="A1405" s="51" t="n"/>
      <c r="B1405" s="52" t="n"/>
      <c r="C1405" s="52" t="n"/>
      <c r="D1405" s="53" t="n"/>
      <c r="E1405" s="60" t="n"/>
      <c r="F1405" s="53" t="n"/>
      <c r="G1405" s="61" t="str">
        <f>IF(OR(COUNTA(A1405:E1405)=0,D1405=""),"",IFERROR(INDEX(ca_fam,MATCH(D1405,ca_name,0))&amp;"",""))</f>
        <v/>
      </c>
      <c r="H1405" s="58" t="str">
        <f>IF(OR(COUNTA(A1405:E1405)=0,D1405=""),"",IFERROR(INDEX(ca_type,MATCH(D1405,ca_name,0))&amp;"",""))</f>
        <v/>
      </c>
      <c r="I1405" s="58" t="str">
        <f>IF(COUNTA(A1405:E1405)=0,"",IF(N(A1405)&lt;=0,"Date manquante ou invalide",IF(B1405="","Équipe manquante",IF(ISNA(MATCH(B1405,eq_code,0)),"Équipe inconnue",IF(C1405="","Poste manquant",IF(ISNA(MATCH(C1405,po_code,0)),"Poste inconnu",IF(D1405="","Cause manquante",IF(ISNA(MATCH(D1405,ca_name,0)),"Cause inconnue",IF(H1405="","Cause à compléter dans Paramètres",IF(OR(NOT(ISNUMBER(E1405)),N(E1405)&lt;=0,N(E1405)&gt;1440),"Durée invalide",IF(COUNTIFS(sj_date,A1405,sj_eq,B1405,sj_po,C1405)=0,"Pas de saisie journalière ce jour-là","OK")))))))))))</f>
        <v/>
      </c>
      <c r="J1405">
        <f>IF(OR(I1405="OK",I1405="Pas de saisie journalière ce jour-là"),E1405,0)</f>
        <v>0.0</v>
      </c>
      <c r="K1405">
        <f>IF(AND(J1405&gt;0,A1405&gt;=p_from,A1405&lt;=p_to),1,0)</f>
        <v>0.0</v>
      </c>
      <c r="L1405">
        <f>IF(AND(K1405=1,OR(pa_po="",C1405=pa_po),OR(pa_eq="",B1405=pa_eq)),1,0)</f>
        <v>0.0</v>
      </c>
    </row>
    <row r="1406">
      <c r="A1406" s="51" t="n"/>
      <c r="B1406" s="52" t="n"/>
      <c r="C1406" s="52" t="n"/>
      <c r="D1406" s="53" t="n"/>
      <c r="E1406" s="60" t="n"/>
      <c r="F1406" s="53" t="n"/>
      <c r="G1406" s="61" t="str">
        <f>IF(OR(COUNTA(A1406:E1406)=0,D1406=""),"",IFERROR(INDEX(ca_fam,MATCH(D1406,ca_name,0))&amp;"",""))</f>
        <v/>
      </c>
      <c r="H1406" s="58" t="str">
        <f>IF(OR(COUNTA(A1406:E1406)=0,D1406=""),"",IFERROR(INDEX(ca_type,MATCH(D1406,ca_name,0))&amp;"",""))</f>
        <v/>
      </c>
      <c r="I1406" s="58" t="str">
        <f>IF(COUNTA(A1406:E1406)=0,"",IF(N(A1406)&lt;=0,"Date manquante ou invalide",IF(B1406="","Équipe manquante",IF(ISNA(MATCH(B1406,eq_code,0)),"Équipe inconnue",IF(C1406="","Poste manquant",IF(ISNA(MATCH(C1406,po_code,0)),"Poste inconnu",IF(D1406="","Cause manquante",IF(ISNA(MATCH(D1406,ca_name,0)),"Cause inconnue",IF(H1406="","Cause à compléter dans Paramètres",IF(OR(NOT(ISNUMBER(E1406)),N(E1406)&lt;=0,N(E1406)&gt;1440),"Durée invalide",IF(COUNTIFS(sj_date,A1406,sj_eq,B1406,sj_po,C1406)=0,"Pas de saisie journalière ce jour-là","OK")))))))))))</f>
        <v/>
      </c>
      <c r="J1406">
        <f>IF(OR(I1406="OK",I1406="Pas de saisie journalière ce jour-là"),E1406,0)</f>
        <v>0.0</v>
      </c>
      <c r="K1406">
        <f>IF(AND(J1406&gt;0,A1406&gt;=p_from,A1406&lt;=p_to),1,0)</f>
        <v>0.0</v>
      </c>
      <c r="L1406">
        <f>IF(AND(K1406=1,OR(pa_po="",C1406=pa_po),OR(pa_eq="",B1406=pa_eq)),1,0)</f>
        <v>0.0</v>
      </c>
    </row>
    <row r="1407">
      <c r="A1407" s="51" t="n"/>
      <c r="B1407" s="52" t="n"/>
      <c r="C1407" s="52" t="n"/>
      <c r="D1407" s="53" t="n"/>
      <c r="E1407" s="60" t="n"/>
      <c r="F1407" s="53" t="n"/>
      <c r="G1407" s="61" t="str">
        <f>IF(OR(COUNTA(A1407:E1407)=0,D1407=""),"",IFERROR(INDEX(ca_fam,MATCH(D1407,ca_name,0))&amp;"",""))</f>
        <v/>
      </c>
      <c r="H1407" s="58" t="str">
        <f>IF(OR(COUNTA(A1407:E1407)=0,D1407=""),"",IFERROR(INDEX(ca_type,MATCH(D1407,ca_name,0))&amp;"",""))</f>
        <v/>
      </c>
      <c r="I1407" s="58" t="str">
        <f>IF(COUNTA(A1407:E1407)=0,"",IF(N(A1407)&lt;=0,"Date manquante ou invalide",IF(B1407="","Équipe manquante",IF(ISNA(MATCH(B1407,eq_code,0)),"Équipe inconnue",IF(C1407="","Poste manquant",IF(ISNA(MATCH(C1407,po_code,0)),"Poste inconnu",IF(D1407="","Cause manquante",IF(ISNA(MATCH(D1407,ca_name,0)),"Cause inconnue",IF(H1407="","Cause à compléter dans Paramètres",IF(OR(NOT(ISNUMBER(E1407)),N(E1407)&lt;=0,N(E1407)&gt;1440),"Durée invalide",IF(COUNTIFS(sj_date,A1407,sj_eq,B1407,sj_po,C1407)=0,"Pas de saisie journalière ce jour-là","OK")))))))))))</f>
        <v/>
      </c>
      <c r="J1407">
        <f>IF(OR(I1407="OK",I1407="Pas de saisie journalière ce jour-là"),E1407,0)</f>
        <v>0.0</v>
      </c>
      <c r="K1407">
        <f>IF(AND(J1407&gt;0,A1407&gt;=p_from,A1407&lt;=p_to),1,0)</f>
        <v>0.0</v>
      </c>
      <c r="L1407">
        <f>IF(AND(K1407=1,OR(pa_po="",C1407=pa_po),OR(pa_eq="",B1407=pa_eq)),1,0)</f>
        <v>0.0</v>
      </c>
    </row>
    <row r="1408">
      <c r="A1408" s="51" t="n"/>
      <c r="B1408" s="52" t="n"/>
      <c r="C1408" s="52" t="n"/>
      <c r="D1408" s="53" t="n"/>
      <c r="E1408" s="60" t="n"/>
      <c r="F1408" s="53" t="n"/>
      <c r="G1408" s="61" t="str">
        <f>IF(OR(COUNTA(A1408:E1408)=0,D1408=""),"",IFERROR(INDEX(ca_fam,MATCH(D1408,ca_name,0))&amp;"",""))</f>
        <v/>
      </c>
      <c r="H1408" s="58" t="str">
        <f>IF(OR(COUNTA(A1408:E1408)=0,D1408=""),"",IFERROR(INDEX(ca_type,MATCH(D1408,ca_name,0))&amp;"",""))</f>
        <v/>
      </c>
      <c r="I1408" s="58" t="str">
        <f>IF(COUNTA(A1408:E1408)=0,"",IF(N(A1408)&lt;=0,"Date manquante ou invalide",IF(B1408="","Équipe manquante",IF(ISNA(MATCH(B1408,eq_code,0)),"Équipe inconnue",IF(C1408="","Poste manquant",IF(ISNA(MATCH(C1408,po_code,0)),"Poste inconnu",IF(D1408="","Cause manquante",IF(ISNA(MATCH(D1408,ca_name,0)),"Cause inconnue",IF(H1408="","Cause à compléter dans Paramètres",IF(OR(NOT(ISNUMBER(E1408)),N(E1408)&lt;=0,N(E1408)&gt;1440),"Durée invalide",IF(COUNTIFS(sj_date,A1408,sj_eq,B1408,sj_po,C1408)=0,"Pas de saisie journalière ce jour-là","OK")))))))))))</f>
        <v/>
      </c>
      <c r="J1408">
        <f>IF(OR(I1408="OK",I1408="Pas de saisie journalière ce jour-là"),E1408,0)</f>
        <v>0.0</v>
      </c>
      <c r="K1408">
        <f>IF(AND(J1408&gt;0,A1408&gt;=p_from,A1408&lt;=p_to),1,0)</f>
        <v>0.0</v>
      </c>
      <c r="L1408">
        <f>IF(AND(K1408=1,OR(pa_po="",C1408=pa_po),OR(pa_eq="",B1408=pa_eq)),1,0)</f>
        <v>0.0</v>
      </c>
    </row>
    <row r="1409">
      <c r="A1409" s="51" t="n"/>
      <c r="B1409" s="52" t="n"/>
      <c r="C1409" s="52" t="n"/>
      <c r="D1409" s="53" t="n"/>
      <c r="E1409" s="60" t="n"/>
      <c r="F1409" s="53" t="n"/>
      <c r="G1409" s="61" t="str">
        <f>IF(OR(COUNTA(A1409:E1409)=0,D1409=""),"",IFERROR(INDEX(ca_fam,MATCH(D1409,ca_name,0))&amp;"",""))</f>
        <v/>
      </c>
      <c r="H1409" s="58" t="str">
        <f>IF(OR(COUNTA(A1409:E1409)=0,D1409=""),"",IFERROR(INDEX(ca_type,MATCH(D1409,ca_name,0))&amp;"",""))</f>
        <v/>
      </c>
      <c r="I1409" s="58" t="str">
        <f>IF(COUNTA(A1409:E1409)=0,"",IF(N(A1409)&lt;=0,"Date manquante ou invalide",IF(B1409="","Équipe manquante",IF(ISNA(MATCH(B1409,eq_code,0)),"Équipe inconnue",IF(C1409="","Poste manquant",IF(ISNA(MATCH(C1409,po_code,0)),"Poste inconnu",IF(D1409="","Cause manquante",IF(ISNA(MATCH(D1409,ca_name,0)),"Cause inconnue",IF(H1409="","Cause à compléter dans Paramètres",IF(OR(NOT(ISNUMBER(E1409)),N(E1409)&lt;=0,N(E1409)&gt;1440),"Durée invalide",IF(COUNTIFS(sj_date,A1409,sj_eq,B1409,sj_po,C1409)=0,"Pas de saisie journalière ce jour-là","OK")))))))))))</f>
        <v/>
      </c>
      <c r="J1409">
        <f>IF(OR(I1409="OK",I1409="Pas de saisie journalière ce jour-là"),E1409,0)</f>
        <v>0.0</v>
      </c>
      <c r="K1409">
        <f>IF(AND(J1409&gt;0,A1409&gt;=p_from,A1409&lt;=p_to),1,0)</f>
        <v>0.0</v>
      </c>
      <c r="L1409">
        <f>IF(AND(K1409=1,OR(pa_po="",C1409=pa_po),OR(pa_eq="",B1409=pa_eq)),1,0)</f>
        <v>0.0</v>
      </c>
    </row>
    <row r="1410">
      <c r="A1410" s="51" t="n"/>
      <c r="B1410" s="52" t="n"/>
      <c r="C1410" s="52" t="n"/>
      <c r="D1410" s="53" t="n"/>
      <c r="E1410" s="60" t="n"/>
      <c r="F1410" s="53" t="n"/>
      <c r="G1410" s="61" t="str">
        <f>IF(OR(COUNTA(A1410:E1410)=0,D1410=""),"",IFERROR(INDEX(ca_fam,MATCH(D1410,ca_name,0))&amp;"",""))</f>
        <v/>
      </c>
      <c r="H1410" s="58" t="str">
        <f>IF(OR(COUNTA(A1410:E1410)=0,D1410=""),"",IFERROR(INDEX(ca_type,MATCH(D1410,ca_name,0))&amp;"",""))</f>
        <v/>
      </c>
      <c r="I1410" s="58" t="str">
        <f>IF(COUNTA(A1410:E1410)=0,"",IF(N(A1410)&lt;=0,"Date manquante ou invalide",IF(B1410="","Équipe manquante",IF(ISNA(MATCH(B1410,eq_code,0)),"Équipe inconnue",IF(C1410="","Poste manquant",IF(ISNA(MATCH(C1410,po_code,0)),"Poste inconnu",IF(D1410="","Cause manquante",IF(ISNA(MATCH(D1410,ca_name,0)),"Cause inconnue",IF(H1410="","Cause à compléter dans Paramètres",IF(OR(NOT(ISNUMBER(E1410)),N(E1410)&lt;=0,N(E1410)&gt;1440),"Durée invalide",IF(COUNTIFS(sj_date,A1410,sj_eq,B1410,sj_po,C1410)=0,"Pas de saisie journalière ce jour-là","OK")))))))))))</f>
        <v/>
      </c>
      <c r="J1410">
        <f>IF(OR(I1410="OK",I1410="Pas de saisie journalière ce jour-là"),E1410,0)</f>
        <v>0.0</v>
      </c>
      <c r="K1410">
        <f>IF(AND(J1410&gt;0,A1410&gt;=p_from,A1410&lt;=p_to),1,0)</f>
        <v>0.0</v>
      </c>
      <c r="L1410">
        <f>IF(AND(K1410=1,OR(pa_po="",C1410=pa_po),OR(pa_eq="",B1410=pa_eq)),1,0)</f>
        <v>0.0</v>
      </c>
    </row>
    <row r="1411">
      <c r="A1411" s="51" t="n"/>
      <c r="B1411" s="52" t="n"/>
      <c r="C1411" s="52" t="n"/>
      <c r="D1411" s="53" t="n"/>
      <c r="E1411" s="60" t="n"/>
      <c r="F1411" s="53" t="n"/>
      <c r="G1411" s="61" t="str">
        <f>IF(OR(COUNTA(A1411:E1411)=0,D1411=""),"",IFERROR(INDEX(ca_fam,MATCH(D1411,ca_name,0))&amp;"",""))</f>
        <v/>
      </c>
      <c r="H1411" s="58" t="str">
        <f>IF(OR(COUNTA(A1411:E1411)=0,D1411=""),"",IFERROR(INDEX(ca_type,MATCH(D1411,ca_name,0))&amp;"",""))</f>
        <v/>
      </c>
      <c r="I1411" s="58" t="str">
        <f>IF(COUNTA(A1411:E1411)=0,"",IF(N(A1411)&lt;=0,"Date manquante ou invalide",IF(B1411="","Équipe manquante",IF(ISNA(MATCH(B1411,eq_code,0)),"Équipe inconnue",IF(C1411="","Poste manquant",IF(ISNA(MATCH(C1411,po_code,0)),"Poste inconnu",IF(D1411="","Cause manquante",IF(ISNA(MATCH(D1411,ca_name,0)),"Cause inconnue",IF(H1411="","Cause à compléter dans Paramètres",IF(OR(NOT(ISNUMBER(E1411)),N(E1411)&lt;=0,N(E1411)&gt;1440),"Durée invalide",IF(COUNTIFS(sj_date,A1411,sj_eq,B1411,sj_po,C1411)=0,"Pas de saisie journalière ce jour-là","OK")))))))))))</f>
        <v/>
      </c>
      <c r="J1411">
        <f>IF(OR(I1411="OK",I1411="Pas de saisie journalière ce jour-là"),E1411,0)</f>
        <v>0.0</v>
      </c>
      <c r="K1411">
        <f>IF(AND(J1411&gt;0,A1411&gt;=p_from,A1411&lt;=p_to),1,0)</f>
        <v>0.0</v>
      </c>
      <c r="L1411">
        <f>IF(AND(K1411=1,OR(pa_po="",C1411=pa_po),OR(pa_eq="",B1411=pa_eq)),1,0)</f>
        <v>0.0</v>
      </c>
    </row>
    <row r="1412">
      <c r="A1412" s="51" t="n"/>
      <c r="B1412" s="52" t="n"/>
      <c r="C1412" s="52" t="n"/>
      <c r="D1412" s="53" t="n"/>
      <c r="E1412" s="60" t="n"/>
      <c r="F1412" s="53" t="n"/>
      <c r="G1412" s="61" t="str">
        <f>IF(OR(COUNTA(A1412:E1412)=0,D1412=""),"",IFERROR(INDEX(ca_fam,MATCH(D1412,ca_name,0))&amp;"",""))</f>
        <v/>
      </c>
      <c r="H1412" s="58" t="str">
        <f>IF(OR(COUNTA(A1412:E1412)=0,D1412=""),"",IFERROR(INDEX(ca_type,MATCH(D1412,ca_name,0))&amp;"",""))</f>
        <v/>
      </c>
      <c r="I1412" s="58" t="str">
        <f>IF(COUNTA(A1412:E1412)=0,"",IF(N(A1412)&lt;=0,"Date manquante ou invalide",IF(B1412="","Équipe manquante",IF(ISNA(MATCH(B1412,eq_code,0)),"Équipe inconnue",IF(C1412="","Poste manquant",IF(ISNA(MATCH(C1412,po_code,0)),"Poste inconnu",IF(D1412="","Cause manquante",IF(ISNA(MATCH(D1412,ca_name,0)),"Cause inconnue",IF(H1412="","Cause à compléter dans Paramètres",IF(OR(NOT(ISNUMBER(E1412)),N(E1412)&lt;=0,N(E1412)&gt;1440),"Durée invalide",IF(COUNTIFS(sj_date,A1412,sj_eq,B1412,sj_po,C1412)=0,"Pas de saisie journalière ce jour-là","OK")))))))))))</f>
        <v/>
      </c>
      <c r="J1412">
        <f>IF(OR(I1412="OK",I1412="Pas de saisie journalière ce jour-là"),E1412,0)</f>
        <v>0.0</v>
      </c>
      <c r="K1412">
        <f>IF(AND(J1412&gt;0,A1412&gt;=p_from,A1412&lt;=p_to),1,0)</f>
        <v>0.0</v>
      </c>
      <c r="L1412">
        <f>IF(AND(K1412=1,OR(pa_po="",C1412=pa_po),OR(pa_eq="",B1412=pa_eq)),1,0)</f>
        <v>0.0</v>
      </c>
    </row>
    <row r="1413">
      <c r="A1413" s="51" t="n"/>
      <c r="B1413" s="52" t="n"/>
      <c r="C1413" s="52" t="n"/>
      <c r="D1413" s="53" t="n"/>
      <c r="E1413" s="60" t="n"/>
      <c r="F1413" s="53" t="n"/>
      <c r="G1413" s="61" t="str">
        <f>IF(OR(COUNTA(A1413:E1413)=0,D1413=""),"",IFERROR(INDEX(ca_fam,MATCH(D1413,ca_name,0))&amp;"",""))</f>
        <v/>
      </c>
      <c r="H1413" s="58" t="str">
        <f>IF(OR(COUNTA(A1413:E1413)=0,D1413=""),"",IFERROR(INDEX(ca_type,MATCH(D1413,ca_name,0))&amp;"",""))</f>
        <v/>
      </c>
      <c r="I1413" s="58" t="str">
        <f>IF(COUNTA(A1413:E1413)=0,"",IF(N(A1413)&lt;=0,"Date manquante ou invalide",IF(B1413="","Équipe manquante",IF(ISNA(MATCH(B1413,eq_code,0)),"Équipe inconnue",IF(C1413="","Poste manquant",IF(ISNA(MATCH(C1413,po_code,0)),"Poste inconnu",IF(D1413="","Cause manquante",IF(ISNA(MATCH(D1413,ca_name,0)),"Cause inconnue",IF(H1413="","Cause à compléter dans Paramètres",IF(OR(NOT(ISNUMBER(E1413)),N(E1413)&lt;=0,N(E1413)&gt;1440),"Durée invalide",IF(COUNTIFS(sj_date,A1413,sj_eq,B1413,sj_po,C1413)=0,"Pas de saisie journalière ce jour-là","OK")))))))))))</f>
        <v/>
      </c>
      <c r="J1413">
        <f>IF(OR(I1413="OK",I1413="Pas de saisie journalière ce jour-là"),E1413,0)</f>
        <v>0.0</v>
      </c>
      <c r="K1413">
        <f>IF(AND(J1413&gt;0,A1413&gt;=p_from,A1413&lt;=p_to),1,0)</f>
        <v>0.0</v>
      </c>
      <c r="L1413">
        <f>IF(AND(K1413=1,OR(pa_po="",C1413=pa_po),OR(pa_eq="",B1413=pa_eq)),1,0)</f>
        <v>0.0</v>
      </c>
    </row>
    <row r="1414">
      <c r="A1414" s="51" t="n"/>
      <c r="B1414" s="52" t="n"/>
      <c r="C1414" s="52" t="n"/>
      <c r="D1414" s="53" t="n"/>
      <c r="E1414" s="60" t="n"/>
      <c r="F1414" s="53" t="n"/>
      <c r="G1414" s="61" t="str">
        <f>IF(OR(COUNTA(A1414:E1414)=0,D1414=""),"",IFERROR(INDEX(ca_fam,MATCH(D1414,ca_name,0))&amp;"",""))</f>
        <v/>
      </c>
      <c r="H1414" s="58" t="str">
        <f>IF(OR(COUNTA(A1414:E1414)=0,D1414=""),"",IFERROR(INDEX(ca_type,MATCH(D1414,ca_name,0))&amp;"",""))</f>
        <v/>
      </c>
      <c r="I1414" s="58" t="str">
        <f>IF(COUNTA(A1414:E1414)=0,"",IF(N(A1414)&lt;=0,"Date manquante ou invalide",IF(B1414="","Équipe manquante",IF(ISNA(MATCH(B1414,eq_code,0)),"Équipe inconnue",IF(C1414="","Poste manquant",IF(ISNA(MATCH(C1414,po_code,0)),"Poste inconnu",IF(D1414="","Cause manquante",IF(ISNA(MATCH(D1414,ca_name,0)),"Cause inconnue",IF(H1414="","Cause à compléter dans Paramètres",IF(OR(NOT(ISNUMBER(E1414)),N(E1414)&lt;=0,N(E1414)&gt;1440),"Durée invalide",IF(COUNTIFS(sj_date,A1414,sj_eq,B1414,sj_po,C1414)=0,"Pas de saisie journalière ce jour-là","OK")))))))))))</f>
        <v/>
      </c>
      <c r="J1414">
        <f>IF(OR(I1414="OK",I1414="Pas de saisie journalière ce jour-là"),E1414,0)</f>
        <v>0.0</v>
      </c>
      <c r="K1414">
        <f>IF(AND(J1414&gt;0,A1414&gt;=p_from,A1414&lt;=p_to),1,0)</f>
        <v>0.0</v>
      </c>
      <c r="L1414">
        <f>IF(AND(K1414=1,OR(pa_po="",C1414=pa_po),OR(pa_eq="",B1414=pa_eq)),1,0)</f>
        <v>0.0</v>
      </c>
    </row>
    <row r="1415">
      <c r="A1415" s="51" t="n"/>
      <c r="B1415" s="52" t="n"/>
      <c r="C1415" s="52" t="n"/>
      <c r="D1415" s="53" t="n"/>
      <c r="E1415" s="60" t="n"/>
      <c r="F1415" s="53" t="n"/>
      <c r="G1415" s="61" t="str">
        <f>IF(OR(COUNTA(A1415:E1415)=0,D1415=""),"",IFERROR(INDEX(ca_fam,MATCH(D1415,ca_name,0))&amp;"",""))</f>
        <v/>
      </c>
      <c r="H1415" s="58" t="str">
        <f>IF(OR(COUNTA(A1415:E1415)=0,D1415=""),"",IFERROR(INDEX(ca_type,MATCH(D1415,ca_name,0))&amp;"",""))</f>
        <v/>
      </c>
      <c r="I1415" s="58" t="str">
        <f>IF(COUNTA(A1415:E1415)=0,"",IF(N(A1415)&lt;=0,"Date manquante ou invalide",IF(B1415="","Équipe manquante",IF(ISNA(MATCH(B1415,eq_code,0)),"Équipe inconnue",IF(C1415="","Poste manquant",IF(ISNA(MATCH(C1415,po_code,0)),"Poste inconnu",IF(D1415="","Cause manquante",IF(ISNA(MATCH(D1415,ca_name,0)),"Cause inconnue",IF(H1415="","Cause à compléter dans Paramètres",IF(OR(NOT(ISNUMBER(E1415)),N(E1415)&lt;=0,N(E1415)&gt;1440),"Durée invalide",IF(COUNTIFS(sj_date,A1415,sj_eq,B1415,sj_po,C1415)=0,"Pas de saisie journalière ce jour-là","OK")))))))))))</f>
        <v/>
      </c>
      <c r="J1415">
        <f>IF(OR(I1415="OK",I1415="Pas de saisie journalière ce jour-là"),E1415,0)</f>
        <v>0.0</v>
      </c>
      <c r="K1415">
        <f>IF(AND(J1415&gt;0,A1415&gt;=p_from,A1415&lt;=p_to),1,0)</f>
        <v>0.0</v>
      </c>
      <c r="L1415">
        <f>IF(AND(K1415=1,OR(pa_po="",C1415=pa_po),OR(pa_eq="",B1415=pa_eq)),1,0)</f>
        <v>0.0</v>
      </c>
    </row>
    <row r="1416">
      <c r="A1416" s="51" t="n"/>
      <c r="B1416" s="52" t="n"/>
      <c r="C1416" s="52" t="n"/>
      <c r="D1416" s="53" t="n"/>
      <c r="E1416" s="60" t="n"/>
      <c r="F1416" s="53" t="n"/>
      <c r="G1416" s="61" t="str">
        <f>IF(OR(COUNTA(A1416:E1416)=0,D1416=""),"",IFERROR(INDEX(ca_fam,MATCH(D1416,ca_name,0))&amp;"",""))</f>
        <v/>
      </c>
      <c r="H1416" s="58" t="str">
        <f>IF(OR(COUNTA(A1416:E1416)=0,D1416=""),"",IFERROR(INDEX(ca_type,MATCH(D1416,ca_name,0))&amp;"",""))</f>
        <v/>
      </c>
      <c r="I1416" s="58" t="str">
        <f>IF(COUNTA(A1416:E1416)=0,"",IF(N(A1416)&lt;=0,"Date manquante ou invalide",IF(B1416="","Équipe manquante",IF(ISNA(MATCH(B1416,eq_code,0)),"Équipe inconnue",IF(C1416="","Poste manquant",IF(ISNA(MATCH(C1416,po_code,0)),"Poste inconnu",IF(D1416="","Cause manquante",IF(ISNA(MATCH(D1416,ca_name,0)),"Cause inconnue",IF(H1416="","Cause à compléter dans Paramètres",IF(OR(NOT(ISNUMBER(E1416)),N(E1416)&lt;=0,N(E1416)&gt;1440),"Durée invalide",IF(COUNTIFS(sj_date,A1416,sj_eq,B1416,sj_po,C1416)=0,"Pas de saisie journalière ce jour-là","OK")))))))))))</f>
        <v/>
      </c>
      <c r="J1416">
        <f>IF(OR(I1416="OK",I1416="Pas de saisie journalière ce jour-là"),E1416,0)</f>
        <v>0.0</v>
      </c>
      <c r="K1416">
        <f>IF(AND(J1416&gt;0,A1416&gt;=p_from,A1416&lt;=p_to),1,0)</f>
        <v>0.0</v>
      </c>
      <c r="L1416">
        <f>IF(AND(K1416=1,OR(pa_po="",C1416=pa_po),OR(pa_eq="",B1416=pa_eq)),1,0)</f>
        <v>0.0</v>
      </c>
    </row>
    <row r="1417">
      <c r="A1417" s="51" t="n"/>
      <c r="B1417" s="52" t="n"/>
      <c r="C1417" s="52" t="n"/>
      <c r="D1417" s="53" t="n"/>
      <c r="E1417" s="60" t="n"/>
      <c r="F1417" s="53" t="n"/>
      <c r="G1417" s="61" t="str">
        <f>IF(OR(COUNTA(A1417:E1417)=0,D1417=""),"",IFERROR(INDEX(ca_fam,MATCH(D1417,ca_name,0))&amp;"",""))</f>
        <v/>
      </c>
      <c r="H1417" s="58" t="str">
        <f>IF(OR(COUNTA(A1417:E1417)=0,D1417=""),"",IFERROR(INDEX(ca_type,MATCH(D1417,ca_name,0))&amp;"",""))</f>
        <v/>
      </c>
      <c r="I1417" s="58" t="str">
        <f>IF(COUNTA(A1417:E1417)=0,"",IF(N(A1417)&lt;=0,"Date manquante ou invalide",IF(B1417="","Équipe manquante",IF(ISNA(MATCH(B1417,eq_code,0)),"Équipe inconnue",IF(C1417="","Poste manquant",IF(ISNA(MATCH(C1417,po_code,0)),"Poste inconnu",IF(D1417="","Cause manquante",IF(ISNA(MATCH(D1417,ca_name,0)),"Cause inconnue",IF(H1417="","Cause à compléter dans Paramètres",IF(OR(NOT(ISNUMBER(E1417)),N(E1417)&lt;=0,N(E1417)&gt;1440),"Durée invalide",IF(COUNTIFS(sj_date,A1417,sj_eq,B1417,sj_po,C1417)=0,"Pas de saisie journalière ce jour-là","OK")))))))))))</f>
        <v/>
      </c>
      <c r="J1417">
        <f>IF(OR(I1417="OK",I1417="Pas de saisie journalière ce jour-là"),E1417,0)</f>
        <v>0.0</v>
      </c>
      <c r="K1417">
        <f>IF(AND(J1417&gt;0,A1417&gt;=p_from,A1417&lt;=p_to),1,0)</f>
        <v>0.0</v>
      </c>
      <c r="L1417">
        <f>IF(AND(K1417=1,OR(pa_po="",C1417=pa_po),OR(pa_eq="",B1417=pa_eq)),1,0)</f>
        <v>0.0</v>
      </c>
    </row>
    <row r="1418">
      <c r="A1418" s="51" t="n"/>
      <c r="B1418" s="52" t="n"/>
      <c r="C1418" s="52" t="n"/>
      <c r="D1418" s="53" t="n"/>
      <c r="E1418" s="60" t="n"/>
      <c r="F1418" s="53" t="n"/>
      <c r="G1418" s="61" t="str">
        <f>IF(OR(COUNTA(A1418:E1418)=0,D1418=""),"",IFERROR(INDEX(ca_fam,MATCH(D1418,ca_name,0))&amp;"",""))</f>
        <v/>
      </c>
      <c r="H1418" s="58" t="str">
        <f>IF(OR(COUNTA(A1418:E1418)=0,D1418=""),"",IFERROR(INDEX(ca_type,MATCH(D1418,ca_name,0))&amp;"",""))</f>
        <v/>
      </c>
      <c r="I1418" s="58" t="str">
        <f>IF(COUNTA(A1418:E1418)=0,"",IF(N(A1418)&lt;=0,"Date manquante ou invalide",IF(B1418="","Équipe manquante",IF(ISNA(MATCH(B1418,eq_code,0)),"Équipe inconnue",IF(C1418="","Poste manquant",IF(ISNA(MATCH(C1418,po_code,0)),"Poste inconnu",IF(D1418="","Cause manquante",IF(ISNA(MATCH(D1418,ca_name,0)),"Cause inconnue",IF(H1418="","Cause à compléter dans Paramètres",IF(OR(NOT(ISNUMBER(E1418)),N(E1418)&lt;=0,N(E1418)&gt;1440),"Durée invalide",IF(COUNTIFS(sj_date,A1418,sj_eq,B1418,sj_po,C1418)=0,"Pas de saisie journalière ce jour-là","OK")))))))))))</f>
        <v/>
      </c>
      <c r="J1418">
        <f>IF(OR(I1418="OK",I1418="Pas de saisie journalière ce jour-là"),E1418,0)</f>
        <v>0.0</v>
      </c>
      <c r="K1418">
        <f>IF(AND(J1418&gt;0,A1418&gt;=p_from,A1418&lt;=p_to),1,0)</f>
        <v>0.0</v>
      </c>
      <c r="L1418">
        <f>IF(AND(K1418=1,OR(pa_po="",C1418=pa_po),OR(pa_eq="",B1418=pa_eq)),1,0)</f>
        <v>0.0</v>
      </c>
    </row>
    <row r="1419">
      <c r="A1419" s="51" t="n"/>
      <c r="B1419" s="52" t="n"/>
      <c r="C1419" s="52" t="n"/>
      <c r="D1419" s="53" t="n"/>
      <c r="E1419" s="60" t="n"/>
      <c r="F1419" s="53" t="n"/>
      <c r="G1419" s="61" t="str">
        <f>IF(OR(COUNTA(A1419:E1419)=0,D1419=""),"",IFERROR(INDEX(ca_fam,MATCH(D1419,ca_name,0))&amp;"",""))</f>
        <v/>
      </c>
      <c r="H1419" s="58" t="str">
        <f>IF(OR(COUNTA(A1419:E1419)=0,D1419=""),"",IFERROR(INDEX(ca_type,MATCH(D1419,ca_name,0))&amp;"",""))</f>
        <v/>
      </c>
      <c r="I1419" s="58" t="str">
        <f>IF(COUNTA(A1419:E1419)=0,"",IF(N(A1419)&lt;=0,"Date manquante ou invalide",IF(B1419="","Équipe manquante",IF(ISNA(MATCH(B1419,eq_code,0)),"Équipe inconnue",IF(C1419="","Poste manquant",IF(ISNA(MATCH(C1419,po_code,0)),"Poste inconnu",IF(D1419="","Cause manquante",IF(ISNA(MATCH(D1419,ca_name,0)),"Cause inconnue",IF(H1419="","Cause à compléter dans Paramètres",IF(OR(NOT(ISNUMBER(E1419)),N(E1419)&lt;=0,N(E1419)&gt;1440),"Durée invalide",IF(COUNTIFS(sj_date,A1419,sj_eq,B1419,sj_po,C1419)=0,"Pas de saisie journalière ce jour-là","OK")))))))))))</f>
        <v/>
      </c>
      <c r="J1419">
        <f>IF(OR(I1419="OK",I1419="Pas de saisie journalière ce jour-là"),E1419,0)</f>
        <v>0.0</v>
      </c>
      <c r="K1419">
        <f>IF(AND(J1419&gt;0,A1419&gt;=p_from,A1419&lt;=p_to),1,0)</f>
        <v>0.0</v>
      </c>
      <c r="L1419">
        <f>IF(AND(K1419=1,OR(pa_po="",C1419=pa_po),OR(pa_eq="",B1419=pa_eq)),1,0)</f>
        <v>0.0</v>
      </c>
    </row>
    <row r="1420">
      <c r="A1420" s="51" t="n"/>
      <c r="B1420" s="52" t="n"/>
      <c r="C1420" s="52" t="n"/>
      <c r="D1420" s="53" t="n"/>
      <c r="E1420" s="60" t="n"/>
      <c r="F1420" s="53" t="n"/>
      <c r="G1420" s="61" t="str">
        <f>IF(OR(COUNTA(A1420:E1420)=0,D1420=""),"",IFERROR(INDEX(ca_fam,MATCH(D1420,ca_name,0))&amp;"",""))</f>
        <v/>
      </c>
      <c r="H1420" s="58" t="str">
        <f>IF(OR(COUNTA(A1420:E1420)=0,D1420=""),"",IFERROR(INDEX(ca_type,MATCH(D1420,ca_name,0))&amp;"",""))</f>
        <v/>
      </c>
      <c r="I1420" s="58" t="str">
        <f>IF(COUNTA(A1420:E1420)=0,"",IF(N(A1420)&lt;=0,"Date manquante ou invalide",IF(B1420="","Équipe manquante",IF(ISNA(MATCH(B1420,eq_code,0)),"Équipe inconnue",IF(C1420="","Poste manquant",IF(ISNA(MATCH(C1420,po_code,0)),"Poste inconnu",IF(D1420="","Cause manquante",IF(ISNA(MATCH(D1420,ca_name,0)),"Cause inconnue",IF(H1420="","Cause à compléter dans Paramètres",IF(OR(NOT(ISNUMBER(E1420)),N(E1420)&lt;=0,N(E1420)&gt;1440),"Durée invalide",IF(COUNTIFS(sj_date,A1420,sj_eq,B1420,sj_po,C1420)=0,"Pas de saisie journalière ce jour-là","OK")))))))))))</f>
        <v/>
      </c>
      <c r="J1420">
        <f>IF(OR(I1420="OK",I1420="Pas de saisie journalière ce jour-là"),E1420,0)</f>
        <v>0.0</v>
      </c>
      <c r="K1420">
        <f>IF(AND(J1420&gt;0,A1420&gt;=p_from,A1420&lt;=p_to),1,0)</f>
        <v>0.0</v>
      </c>
      <c r="L1420">
        <f>IF(AND(K1420=1,OR(pa_po="",C1420=pa_po),OR(pa_eq="",B1420=pa_eq)),1,0)</f>
        <v>0.0</v>
      </c>
    </row>
    <row r="1421">
      <c r="A1421" s="51" t="n"/>
      <c r="B1421" s="52" t="n"/>
      <c r="C1421" s="52" t="n"/>
      <c r="D1421" s="53" t="n"/>
      <c r="E1421" s="60" t="n"/>
      <c r="F1421" s="53" t="n"/>
      <c r="G1421" s="61" t="str">
        <f>IF(OR(COUNTA(A1421:E1421)=0,D1421=""),"",IFERROR(INDEX(ca_fam,MATCH(D1421,ca_name,0))&amp;"",""))</f>
        <v/>
      </c>
      <c r="H1421" s="58" t="str">
        <f>IF(OR(COUNTA(A1421:E1421)=0,D1421=""),"",IFERROR(INDEX(ca_type,MATCH(D1421,ca_name,0))&amp;"",""))</f>
        <v/>
      </c>
      <c r="I1421" s="58" t="str">
        <f>IF(COUNTA(A1421:E1421)=0,"",IF(N(A1421)&lt;=0,"Date manquante ou invalide",IF(B1421="","Équipe manquante",IF(ISNA(MATCH(B1421,eq_code,0)),"Équipe inconnue",IF(C1421="","Poste manquant",IF(ISNA(MATCH(C1421,po_code,0)),"Poste inconnu",IF(D1421="","Cause manquante",IF(ISNA(MATCH(D1421,ca_name,0)),"Cause inconnue",IF(H1421="","Cause à compléter dans Paramètres",IF(OR(NOT(ISNUMBER(E1421)),N(E1421)&lt;=0,N(E1421)&gt;1440),"Durée invalide",IF(COUNTIFS(sj_date,A1421,sj_eq,B1421,sj_po,C1421)=0,"Pas de saisie journalière ce jour-là","OK")))))))))))</f>
        <v/>
      </c>
      <c r="J1421">
        <f>IF(OR(I1421="OK",I1421="Pas de saisie journalière ce jour-là"),E1421,0)</f>
        <v>0.0</v>
      </c>
      <c r="K1421">
        <f>IF(AND(J1421&gt;0,A1421&gt;=p_from,A1421&lt;=p_to),1,0)</f>
        <v>0.0</v>
      </c>
      <c r="L1421">
        <f>IF(AND(K1421=1,OR(pa_po="",C1421=pa_po),OR(pa_eq="",B1421=pa_eq)),1,0)</f>
        <v>0.0</v>
      </c>
    </row>
    <row r="1422">
      <c r="A1422" s="51" t="n"/>
      <c r="B1422" s="52" t="n"/>
      <c r="C1422" s="52" t="n"/>
      <c r="D1422" s="53" t="n"/>
      <c r="E1422" s="60" t="n"/>
      <c r="F1422" s="53" t="n"/>
      <c r="G1422" s="61" t="str">
        <f>IF(OR(COUNTA(A1422:E1422)=0,D1422=""),"",IFERROR(INDEX(ca_fam,MATCH(D1422,ca_name,0))&amp;"",""))</f>
        <v/>
      </c>
      <c r="H1422" s="58" t="str">
        <f>IF(OR(COUNTA(A1422:E1422)=0,D1422=""),"",IFERROR(INDEX(ca_type,MATCH(D1422,ca_name,0))&amp;"",""))</f>
        <v/>
      </c>
      <c r="I1422" s="58" t="str">
        <f>IF(COUNTA(A1422:E1422)=0,"",IF(N(A1422)&lt;=0,"Date manquante ou invalide",IF(B1422="","Équipe manquante",IF(ISNA(MATCH(B1422,eq_code,0)),"Équipe inconnue",IF(C1422="","Poste manquant",IF(ISNA(MATCH(C1422,po_code,0)),"Poste inconnu",IF(D1422="","Cause manquante",IF(ISNA(MATCH(D1422,ca_name,0)),"Cause inconnue",IF(H1422="","Cause à compléter dans Paramètres",IF(OR(NOT(ISNUMBER(E1422)),N(E1422)&lt;=0,N(E1422)&gt;1440),"Durée invalide",IF(COUNTIFS(sj_date,A1422,sj_eq,B1422,sj_po,C1422)=0,"Pas de saisie journalière ce jour-là","OK")))))))))))</f>
        <v/>
      </c>
      <c r="J1422">
        <f>IF(OR(I1422="OK",I1422="Pas de saisie journalière ce jour-là"),E1422,0)</f>
        <v>0.0</v>
      </c>
      <c r="K1422">
        <f>IF(AND(J1422&gt;0,A1422&gt;=p_from,A1422&lt;=p_to),1,0)</f>
        <v>0.0</v>
      </c>
      <c r="L1422">
        <f>IF(AND(K1422=1,OR(pa_po="",C1422=pa_po),OR(pa_eq="",B1422=pa_eq)),1,0)</f>
        <v>0.0</v>
      </c>
    </row>
    <row r="1423">
      <c r="A1423" s="51" t="n"/>
      <c r="B1423" s="52" t="n"/>
      <c r="C1423" s="52" t="n"/>
      <c r="D1423" s="53" t="n"/>
      <c r="E1423" s="60" t="n"/>
      <c r="F1423" s="53" t="n"/>
      <c r="G1423" s="61" t="str">
        <f>IF(OR(COUNTA(A1423:E1423)=0,D1423=""),"",IFERROR(INDEX(ca_fam,MATCH(D1423,ca_name,0))&amp;"",""))</f>
        <v/>
      </c>
      <c r="H1423" s="58" t="str">
        <f>IF(OR(COUNTA(A1423:E1423)=0,D1423=""),"",IFERROR(INDEX(ca_type,MATCH(D1423,ca_name,0))&amp;"",""))</f>
        <v/>
      </c>
      <c r="I1423" s="58" t="str">
        <f>IF(COUNTA(A1423:E1423)=0,"",IF(N(A1423)&lt;=0,"Date manquante ou invalide",IF(B1423="","Équipe manquante",IF(ISNA(MATCH(B1423,eq_code,0)),"Équipe inconnue",IF(C1423="","Poste manquant",IF(ISNA(MATCH(C1423,po_code,0)),"Poste inconnu",IF(D1423="","Cause manquante",IF(ISNA(MATCH(D1423,ca_name,0)),"Cause inconnue",IF(H1423="","Cause à compléter dans Paramètres",IF(OR(NOT(ISNUMBER(E1423)),N(E1423)&lt;=0,N(E1423)&gt;1440),"Durée invalide",IF(COUNTIFS(sj_date,A1423,sj_eq,B1423,sj_po,C1423)=0,"Pas de saisie journalière ce jour-là","OK")))))))))))</f>
        <v/>
      </c>
      <c r="J1423">
        <f>IF(OR(I1423="OK",I1423="Pas de saisie journalière ce jour-là"),E1423,0)</f>
        <v>0.0</v>
      </c>
      <c r="K1423">
        <f>IF(AND(J1423&gt;0,A1423&gt;=p_from,A1423&lt;=p_to),1,0)</f>
        <v>0.0</v>
      </c>
      <c r="L1423">
        <f>IF(AND(K1423=1,OR(pa_po="",C1423=pa_po),OR(pa_eq="",B1423=pa_eq)),1,0)</f>
        <v>0.0</v>
      </c>
    </row>
    <row r="1424">
      <c r="A1424" s="51" t="n"/>
      <c r="B1424" s="52" t="n"/>
      <c r="C1424" s="52" t="n"/>
      <c r="D1424" s="53" t="n"/>
      <c r="E1424" s="60" t="n"/>
      <c r="F1424" s="53" t="n"/>
      <c r="G1424" s="61" t="str">
        <f>IF(OR(COUNTA(A1424:E1424)=0,D1424=""),"",IFERROR(INDEX(ca_fam,MATCH(D1424,ca_name,0))&amp;"",""))</f>
        <v/>
      </c>
      <c r="H1424" s="58" t="str">
        <f>IF(OR(COUNTA(A1424:E1424)=0,D1424=""),"",IFERROR(INDEX(ca_type,MATCH(D1424,ca_name,0))&amp;"",""))</f>
        <v/>
      </c>
      <c r="I1424" s="58" t="str">
        <f>IF(COUNTA(A1424:E1424)=0,"",IF(N(A1424)&lt;=0,"Date manquante ou invalide",IF(B1424="","Équipe manquante",IF(ISNA(MATCH(B1424,eq_code,0)),"Équipe inconnue",IF(C1424="","Poste manquant",IF(ISNA(MATCH(C1424,po_code,0)),"Poste inconnu",IF(D1424="","Cause manquante",IF(ISNA(MATCH(D1424,ca_name,0)),"Cause inconnue",IF(H1424="","Cause à compléter dans Paramètres",IF(OR(NOT(ISNUMBER(E1424)),N(E1424)&lt;=0,N(E1424)&gt;1440),"Durée invalide",IF(COUNTIFS(sj_date,A1424,sj_eq,B1424,sj_po,C1424)=0,"Pas de saisie journalière ce jour-là","OK")))))))))))</f>
        <v/>
      </c>
      <c r="J1424">
        <f>IF(OR(I1424="OK",I1424="Pas de saisie journalière ce jour-là"),E1424,0)</f>
        <v>0.0</v>
      </c>
      <c r="K1424">
        <f>IF(AND(J1424&gt;0,A1424&gt;=p_from,A1424&lt;=p_to),1,0)</f>
        <v>0.0</v>
      </c>
      <c r="L1424">
        <f>IF(AND(K1424=1,OR(pa_po="",C1424=pa_po),OR(pa_eq="",B1424=pa_eq)),1,0)</f>
        <v>0.0</v>
      </c>
    </row>
    <row r="1425">
      <c r="A1425" s="51" t="n"/>
      <c r="B1425" s="52" t="n"/>
      <c r="C1425" s="52" t="n"/>
      <c r="D1425" s="53" t="n"/>
      <c r="E1425" s="60" t="n"/>
      <c r="F1425" s="53" t="n"/>
      <c r="G1425" s="61" t="str">
        <f>IF(OR(COUNTA(A1425:E1425)=0,D1425=""),"",IFERROR(INDEX(ca_fam,MATCH(D1425,ca_name,0))&amp;"",""))</f>
        <v/>
      </c>
      <c r="H1425" s="58" t="str">
        <f>IF(OR(COUNTA(A1425:E1425)=0,D1425=""),"",IFERROR(INDEX(ca_type,MATCH(D1425,ca_name,0))&amp;"",""))</f>
        <v/>
      </c>
      <c r="I1425" s="58" t="str">
        <f>IF(COUNTA(A1425:E1425)=0,"",IF(N(A1425)&lt;=0,"Date manquante ou invalide",IF(B1425="","Équipe manquante",IF(ISNA(MATCH(B1425,eq_code,0)),"Équipe inconnue",IF(C1425="","Poste manquant",IF(ISNA(MATCH(C1425,po_code,0)),"Poste inconnu",IF(D1425="","Cause manquante",IF(ISNA(MATCH(D1425,ca_name,0)),"Cause inconnue",IF(H1425="","Cause à compléter dans Paramètres",IF(OR(NOT(ISNUMBER(E1425)),N(E1425)&lt;=0,N(E1425)&gt;1440),"Durée invalide",IF(COUNTIFS(sj_date,A1425,sj_eq,B1425,sj_po,C1425)=0,"Pas de saisie journalière ce jour-là","OK")))))))))))</f>
        <v/>
      </c>
      <c r="J1425">
        <f>IF(OR(I1425="OK",I1425="Pas de saisie journalière ce jour-là"),E1425,0)</f>
        <v>0.0</v>
      </c>
      <c r="K1425">
        <f>IF(AND(J1425&gt;0,A1425&gt;=p_from,A1425&lt;=p_to),1,0)</f>
        <v>0.0</v>
      </c>
      <c r="L1425">
        <f>IF(AND(K1425=1,OR(pa_po="",C1425=pa_po),OR(pa_eq="",B1425=pa_eq)),1,0)</f>
        <v>0.0</v>
      </c>
    </row>
    <row r="1426">
      <c r="A1426" s="51" t="n"/>
      <c r="B1426" s="52" t="n"/>
      <c r="C1426" s="52" t="n"/>
      <c r="D1426" s="53" t="n"/>
      <c r="E1426" s="60" t="n"/>
      <c r="F1426" s="53" t="n"/>
      <c r="G1426" s="61" t="str">
        <f>IF(OR(COUNTA(A1426:E1426)=0,D1426=""),"",IFERROR(INDEX(ca_fam,MATCH(D1426,ca_name,0))&amp;"",""))</f>
        <v/>
      </c>
      <c r="H1426" s="58" t="str">
        <f>IF(OR(COUNTA(A1426:E1426)=0,D1426=""),"",IFERROR(INDEX(ca_type,MATCH(D1426,ca_name,0))&amp;"",""))</f>
        <v/>
      </c>
      <c r="I1426" s="58" t="str">
        <f>IF(COUNTA(A1426:E1426)=0,"",IF(N(A1426)&lt;=0,"Date manquante ou invalide",IF(B1426="","Équipe manquante",IF(ISNA(MATCH(B1426,eq_code,0)),"Équipe inconnue",IF(C1426="","Poste manquant",IF(ISNA(MATCH(C1426,po_code,0)),"Poste inconnu",IF(D1426="","Cause manquante",IF(ISNA(MATCH(D1426,ca_name,0)),"Cause inconnue",IF(H1426="","Cause à compléter dans Paramètres",IF(OR(NOT(ISNUMBER(E1426)),N(E1426)&lt;=0,N(E1426)&gt;1440),"Durée invalide",IF(COUNTIFS(sj_date,A1426,sj_eq,B1426,sj_po,C1426)=0,"Pas de saisie journalière ce jour-là","OK")))))))))))</f>
        <v/>
      </c>
      <c r="J1426">
        <f>IF(OR(I1426="OK",I1426="Pas de saisie journalière ce jour-là"),E1426,0)</f>
        <v>0.0</v>
      </c>
      <c r="K1426">
        <f>IF(AND(J1426&gt;0,A1426&gt;=p_from,A1426&lt;=p_to),1,0)</f>
        <v>0.0</v>
      </c>
      <c r="L1426">
        <f>IF(AND(K1426=1,OR(pa_po="",C1426=pa_po),OR(pa_eq="",B1426=pa_eq)),1,0)</f>
        <v>0.0</v>
      </c>
    </row>
    <row r="1427">
      <c r="A1427" s="51" t="n"/>
      <c r="B1427" s="52" t="n"/>
      <c r="C1427" s="52" t="n"/>
      <c r="D1427" s="53" t="n"/>
      <c r="E1427" s="60" t="n"/>
      <c r="F1427" s="53" t="n"/>
      <c r="G1427" s="61" t="str">
        <f>IF(OR(COUNTA(A1427:E1427)=0,D1427=""),"",IFERROR(INDEX(ca_fam,MATCH(D1427,ca_name,0))&amp;"",""))</f>
        <v/>
      </c>
      <c r="H1427" s="58" t="str">
        <f>IF(OR(COUNTA(A1427:E1427)=0,D1427=""),"",IFERROR(INDEX(ca_type,MATCH(D1427,ca_name,0))&amp;"",""))</f>
        <v/>
      </c>
      <c r="I1427" s="58" t="str">
        <f>IF(COUNTA(A1427:E1427)=0,"",IF(N(A1427)&lt;=0,"Date manquante ou invalide",IF(B1427="","Équipe manquante",IF(ISNA(MATCH(B1427,eq_code,0)),"Équipe inconnue",IF(C1427="","Poste manquant",IF(ISNA(MATCH(C1427,po_code,0)),"Poste inconnu",IF(D1427="","Cause manquante",IF(ISNA(MATCH(D1427,ca_name,0)),"Cause inconnue",IF(H1427="","Cause à compléter dans Paramètres",IF(OR(NOT(ISNUMBER(E1427)),N(E1427)&lt;=0,N(E1427)&gt;1440),"Durée invalide",IF(COUNTIFS(sj_date,A1427,sj_eq,B1427,sj_po,C1427)=0,"Pas de saisie journalière ce jour-là","OK")))))))))))</f>
        <v/>
      </c>
      <c r="J1427">
        <f>IF(OR(I1427="OK",I1427="Pas de saisie journalière ce jour-là"),E1427,0)</f>
        <v>0.0</v>
      </c>
      <c r="K1427">
        <f>IF(AND(J1427&gt;0,A1427&gt;=p_from,A1427&lt;=p_to),1,0)</f>
        <v>0.0</v>
      </c>
      <c r="L1427">
        <f>IF(AND(K1427=1,OR(pa_po="",C1427=pa_po),OR(pa_eq="",B1427=pa_eq)),1,0)</f>
        <v>0.0</v>
      </c>
    </row>
    <row r="1428">
      <c r="A1428" s="51" t="n"/>
      <c r="B1428" s="52" t="n"/>
      <c r="C1428" s="52" t="n"/>
      <c r="D1428" s="53" t="n"/>
      <c r="E1428" s="60" t="n"/>
      <c r="F1428" s="53" t="n"/>
      <c r="G1428" s="61" t="str">
        <f>IF(OR(COUNTA(A1428:E1428)=0,D1428=""),"",IFERROR(INDEX(ca_fam,MATCH(D1428,ca_name,0))&amp;"",""))</f>
        <v/>
      </c>
      <c r="H1428" s="58" t="str">
        <f>IF(OR(COUNTA(A1428:E1428)=0,D1428=""),"",IFERROR(INDEX(ca_type,MATCH(D1428,ca_name,0))&amp;"",""))</f>
        <v/>
      </c>
      <c r="I1428" s="58" t="str">
        <f>IF(COUNTA(A1428:E1428)=0,"",IF(N(A1428)&lt;=0,"Date manquante ou invalide",IF(B1428="","Équipe manquante",IF(ISNA(MATCH(B1428,eq_code,0)),"Équipe inconnue",IF(C1428="","Poste manquant",IF(ISNA(MATCH(C1428,po_code,0)),"Poste inconnu",IF(D1428="","Cause manquante",IF(ISNA(MATCH(D1428,ca_name,0)),"Cause inconnue",IF(H1428="","Cause à compléter dans Paramètres",IF(OR(NOT(ISNUMBER(E1428)),N(E1428)&lt;=0,N(E1428)&gt;1440),"Durée invalide",IF(COUNTIFS(sj_date,A1428,sj_eq,B1428,sj_po,C1428)=0,"Pas de saisie journalière ce jour-là","OK")))))))))))</f>
        <v/>
      </c>
      <c r="J1428">
        <f>IF(OR(I1428="OK",I1428="Pas de saisie journalière ce jour-là"),E1428,0)</f>
        <v>0.0</v>
      </c>
      <c r="K1428">
        <f>IF(AND(J1428&gt;0,A1428&gt;=p_from,A1428&lt;=p_to),1,0)</f>
        <v>0.0</v>
      </c>
      <c r="L1428">
        <f>IF(AND(K1428=1,OR(pa_po="",C1428=pa_po),OR(pa_eq="",B1428=pa_eq)),1,0)</f>
        <v>0.0</v>
      </c>
    </row>
    <row r="1429">
      <c r="A1429" s="51" t="n"/>
      <c r="B1429" s="52" t="n"/>
      <c r="C1429" s="52" t="n"/>
      <c r="D1429" s="53" t="n"/>
      <c r="E1429" s="60" t="n"/>
      <c r="F1429" s="53" t="n"/>
      <c r="G1429" s="61" t="str">
        <f>IF(OR(COUNTA(A1429:E1429)=0,D1429=""),"",IFERROR(INDEX(ca_fam,MATCH(D1429,ca_name,0))&amp;"",""))</f>
        <v/>
      </c>
      <c r="H1429" s="58" t="str">
        <f>IF(OR(COUNTA(A1429:E1429)=0,D1429=""),"",IFERROR(INDEX(ca_type,MATCH(D1429,ca_name,0))&amp;"",""))</f>
        <v/>
      </c>
      <c r="I1429" s="58" t="str">
        <f>IF(COUNTA(A1429:E1429)=0,"",IF(N(A1429)&lt;=0,"Date manquante ou invalide",IF(B1429="","Équipe manquante",IF(ISNA(MATCH(B1429,eq_code,0)),"Équipe inconnue",IF(C1429="","Poste manquant",IF(ISNA(MATCH(C1429,po_code,0)),"Poste inconnu",IF(D1429="","Cause manquante",IF(ISNA(MATCH(D1429,ca_name,0)),"Cause inconnue",IF(H1429="","Cause à compléter dans Paramètres",IF(OR(NOT(ISNUMBER(E1429)),N(E1429)&lt;=0,N(E1429)&gt;1440),"Durée invalide",IF(COUNTIFS(sj_date,A1429,sj_eq,B1429,sj_po,C1429)=0,"Pas de saisie journalière ce jour-là","OK")))))))))))</f>
        <v/>
      </c>
      <c r="J1429">
        <f>IF(OR(I1429="OK",I1429="Pas de saisie journalière ce jour-là"),E1429,0)</f>
        <v>0.0</v>
      </c>
      <c r="K1429">
        <f>IF(AND(J1429&gt;0,A1429&gt;=p_from,A1429&lt;=p_to),1,0)</f>
        <v>0.0</v>
      </c>
      <c r="L1429">
        <f>IF(AND(K1429=1,OR(pa_po="",C1429=pa_po),OR(pa_eq="",B1429=pa_eq)),1,0)</f>
        <v>0.0</v>
      </c>
    </row>
    <row r="1430">
      <c r="A1430" s="51" t="n"/>
      <c r="B1430" s="52" t="n"/>
      <c r="C1430" s="52" t="n"/>
      <c r="D1430" s="53" t="n"/>
      <c r="E1430" s="60" t="n"/>
      <c r="F1430" s="53" t="n"/>
      <c r="G1430" s="61" t="str">
        <f>IF(OR(COUNTA(A1430:E1430)=0,D1430=""),"",IFERROR(INDEX(ca_fam,MATCH(D1430,ca_name,0))&amp;"",""))</f>
        <v/>
      </c>
      <c r="H1430" s="58" t="str">
        <f>IF(OR(COUNTA(A1430:E1430)=0,D1430=""),"",IFERROR(INDEX(ca_type,MATCH(D1430,ca_name,0))&amp;"",""))</f>
        <v/>
      </c>
      <c r="I1430" s="58" t="str">
        <f>IF(COUNTA(A1430:E1430)=0,"",IF(N(A1430)&lt;=0,"Date manquante ou invalide",IF(B1430="","Équipe manquante",IF(ISNA(MATCH(B1430,eq_code,0)),"Équipe inconnue",IF(C1430="","Poste manquant",IF(ISNA(MATCH(C1430,po_code,0)),"Poste inconnu",IF(D1430="","Cause manquante",IF(ISNA(MATCH(D1430,ca_name,0)),"Cause inconnue",IF(H1430="","Cause à compléter dans Paramètres",IF(OR(NOT(ISNUMBER(E1430)),N(E1430)&lt;=0,N(E1430)&gt;1440),"Durée invalide",IF(COUNTIFS(sj_date,A1430,sj_eq,B1430,sj_po,C1430)=0,"Pas de saisie journalière ce jour-là","OK")))))))))))</f>
        <v/>
      </c>
      <c r="J1430">
        <f>IF(OR(I1430="OK",I1430="Pas de saisie journalière ce jour-là"),E1430,0)</f>
        <v>0.0</v>
      </c>
      <c r="K1430">
        <f>IF(AND(J1430&gt;0,A1430&gt;=p_from,A1430&lt;=p_to),1,0)</f>
        <v>0.0</v>
      </c>
      <c r="L1430">
        <f>IF(AND(K1430=1,OR(pa_po="",C1430=pa_po),OR(pa_eq="",B1430=pa_eq)),1,0)</f>
        <v>0.0</v>
      </c>
    </row>
    <row r="1431">
      <c r="A1431" s="51" t="n"/>
      <c r="B1431" s="52" t="n"/>
      <c r="C1431" s="52" t="n"/>
      <c r="D1431" s="53" t="n"/>
      <c r="E1431" s="60" t="n"/>
      <c r="F1431" s="53" t="n"/>
      <c r="G1431" s="61" t="str">
        <f>IF(OR(COUNTA(A1431:E1431)=0,D1431=""),"",IFERROR(INDEX(ca_fam,MATCH(D1431,ca_name,0))&amp;"",""))</f>
        <v/>
      </c>
      <c r="H1431" s="58" t="str">
        <f>IF(OR(COUNTA(A1431:E1431)=0,D1431=""),"",IFERROR(INDEX(ca_type,MATCH(D1431,ca_name,0))&amp;"",""))</f>
        <v/>
      </c>
      <c r="I1431" s="58" t="str">
        <f>IF(COUNTA(A1431:E1431)=0,"",IF(N(A1431)&lt;=0,"Date manquante ou invalide",IF(B1431="","Équipe manquante",IF(ISNA(MATCH(B1431,eq_code,0)),"Équipe inconnue",IF(C1431="","Poste manquant",IF(ISNA(MATCH(C1431,po_code,0)),"Poste inconnu",IF(D1431="","Cause manquante",IF(ISNA(MATCH(D1431,ca_name,0)),"Cause inconnue",IF(H1431="","Cause à compléter dans Paramètres",IF(OR(NOT(ISNUMBER(E1431)),N(E1431)&lt;=0,N(E1431)&gt;1440),"Durée invalide",IF(COUNTIFS(sj_date,A1431,sj_eq,B1431,sj_po,C1431)=0,"Pas de saisie journalière ce jour-là","OK")))))))))))</f>
        <v/>
      </c>
      <c r="J1431">
        <f>IF(OR(I1431="OK",I1431="Pas de saisie journalière ce jour-là"),E1431,0)</f>
        <v>0.0</v>
      </c>
      <c r="K1431">
        <f>IF(AND(J1431&gt;0,A1431&gt;=p_from,A1431&lt;=p_to),1,0)</f>
        <v>0.0</v>
      </c>
      <c r="L1431">
        <f>IF(AND(K1431=1,OR(pa_po="",C1431=pa_po),OR(pa_eq="",B1431=pa_eq)),1,0)</f>
        <v>0.0</v>
      </c>
    </row>
    <row r="1432">
      <c r="A1432" s="51" t="n"/>
      <c r="B1432" s="52" t="n"/>
      <c r="C1432" s="52" t="n"/>
      <c r="D1432" s="53" t="n"/>
      <c r="E1432" s="60" t="n"/>
      <c r="F1432" s="53" t="n"/>
      <c r="G1432" s="61" t="str">
        <f>IF(OR(COUNTA(A1432:E1432)=0,D1432=""),"",IFERROR(INDEX(ca_fam,MATCH(D1432,ca_name,0))&amp;"",""))</f>
        <v/>
      </c>
      <c r="H1432" s="58" t="str">
        <f>IF(OR(COUNTA(A1432:E1432)=0,D1432=""),"",IFERROR(INDEX(ca_type,MATCH(D1432,ca_name,0))&amp;"",""))</f>
        <v/>
      </c>
      <c r="I1432" s="58" t="str">
        <f>IF(COUNTA(A1432:E1432)=0,"",IF(N(A1432)&lt;=0,"Date manquante ou invalide",IF(B1432="","Équipe manquante",IF(ISNA(MATCH(B1432,eq_code,0)),"Équipe inconnue",IF(C1432="","Poste manquant",IF(ISNA(MATCH(C1432,po_code,0)),"Poste inconnu",IF(D1432="","Cause manquante",IF(ISNA(MATCH(D1432,ca_name,0)),"Cause inconnue",IF(H1432="","Cause à compléter dans Paramètres",IF(OR(NOT(ISNUMBER(E1432)),N(E1432)&lt;=0,N(E1432)&gt;1440),"Durée invalide",IF(COUNTIFS(sj_date,A1432,sj_eq,B1432,sj_po,C1432)=0,"Pas de saisie journalière ce jour-là","OK")))))))))))</f>
        <v/>
      </c>
      <c r="J1432">
        <f>IF(OR(I1432="OK",I1432="Pas de saisie journalière ce jour-là"),E1432,0)</f>
        <v>0.0</v>
      </c>
      <c r="K1432">
        <f>IF(AND(J1432&gt;0,A1432&gt;=p_from,A1432&lt;=p_to),1,0)</f>
        <v>0.0</v>
      </c>
      <c r="L1432">
        <f>IF(AND(K1432=1,OR(pa_po="",C1432=pa_po),OR(pa_eq="",B1432=pa_eq)),1,0)</f>
        <v>0.0</v>
      </c>
    </row>
    <row r="1433">
      <c r="A1433" s="51" t="n"/>
      <c r="B1433" s="52" t="n"/>
      <c r="C1433" s="52" t="n"/>
      <c r="D1433" s="53" t="n"/>
      <c r="E1433" s="60" t="n"/>
      <c r="F1433" s="53" t="n"/>
      <c r="G1433" s="61" t="str">
        <f>IF(OR(COUNTA(A1433:E1433)=0,D1433=""),"",IFERROR(INDEX(ca_fam,MATCH(D1433,ca_name,0))&amp;"",""))</f>
        <v/>
      </c>
      <c r="H1433" s="58" t="str">
        <f>IF(OR(COUNTA(A1433:E1433)=0,D1433=""),"",IFERROR(INDEX(ca_type,MATCH(D1433,ca_name,0))&amp;"",""))</f>
        <v/>
      </c>
      <c r="I1433" s="58" t="str">
        <f>IF(COUNTA(A1433:E1433)=0,"",IF(N(A1433)&lt;=0,"Date manquante ou invalide",IF(B1433="","Équipe manquante",IF(ISNA(MATCH(B1433,eq_code,0)),"Équipe inconnue",IF(C1433="","Poste manquant",IF(ISNA(MATCH(C1433,po_code,0)),"Poste inconnu",IF(D1433="","Cause manquante",IF(ISNA(MATCH(D1433,ca_name,0)),"Cause inconnue",IF(H1433="","Cause à compléter dans Paramètres",IF(OR(NOT(ISNUMBER(E1433)),N(E1433)&lt;=0,N(E1433)&gt;1440),"Durée invalide",IF(COUNTIFS(sj_date,A1433,sj_eq,B1433,sj_po,C1433)=0,"Pas de saisie journalière ce jour-là","OK")))))))))))</f>
        <v/>
      </c>
      <c r="J1433">
        <f>IF(OR(I1433="OK",I1433="Pas de saisie journalière ce jour-là"),E1433,0)</f>
        <v>0.0</v>
      </c>
      <c r="K1433">
        <f>IF(AND(J1433&gt;0,A1433&gt;=p_from,A1433&lt;=p_to),1,0)</f>
        <v>0.0</v>
      </c>
      <c r="L1433">
        <f>IF(AND(K1433=1,OR(pa_po="",C1433=pa_po),OR(pa_eq="",B1433=pa_eq)),1,0)</f>
        <v>0.0</v>
      </c>
    </row>
    <row r="1434">
      <c r="A1434" s="51" t="n"/>
      <c r="B1434" s="52" t="n"/>
      <c r="C1434" s="52" t="n"/>
      <c r="D1434" s="53" t="n"/>
      <c r="E1434" s="60" t="n"/>
      <c r="F1434" s="53" t="n"/>
      <c r="G1434" s="61" t="str">
        <f>IF(OR(COUNTA(A1434:E1434)=0,D1434=""),"",IFERROR(INDEX(ca_fam,MATCH(D1434,ca_name,0))&amp;"",""))</f>
        <v/>
      </c>
      <c r="H1434" s="58" t="str">
        <f>IF(OR(COUNTA(A1434:E1434)=0,D1434=""),"",IFERROR(INDEX(ca_type,MATCH(D1434,ca_name,0))&amp;"",""))</f>
        <v/>
      </c>
      <c r="I1434" s="58" t="str">
        <f>IF(COUNTA(A1434:E1434)=0,"",IF(N(A1434)&lt;=0,"Date manquante ou invalide",IF(B1434="","Équipe manquante",IF(ISNA(MATCH(B1434,eq_code,0)),"Équipe inconnue",IF(C1434="","Poste manquant",IF(ISNA(MATCH(C1434,po_code,0)),"Poste inconnu",IF(D1434="","Cause manquante",IF(ISNA(MATCH(D1434,ca_name,0)),"Cause inconnue",IF(H1434="","Cause à compléter dans Paramètres",IF(OR(NOT(ISNUMBER(E1434)),N(E1434)&lt;=0,N(E1434)&gt;1440),"Durée invalide",IF(COUNTIFS(sj_date,A1434,sj_eq,B1434,sj_po,C1434)=0,"Pas de saisie journalière ce jour-là","OK")))))))))))</f>
        <v/>
      </c>
      <c r="J1434">
        <f>IF(OR(I1434="OK",I1434="Pas de saisie journalière ce jour-là"),E1434,0)</f>
        <v>0.0</v>
      </c>
      <c r="K1434">
        <f>IF(AND(J1434&gt;0,A1434&gt;=p_from,A1434&lt;=p_to),1,0)</f>
        <v>0.0</v>
      </c>
      <c r="L1434">
        <f>IF(AND(K1434=1,OR(pa_po="",C1434=pa_po),OR(pa_eq="",B1434=pa_eq)),1,0)</f>
        <v>0.0</v>
      </c>
    </row>
    <row r="1435">
      <c r="A1435" s="51" t="n"/>
      <c r="B1435" s="52" t="n"/>
      <c r="C1435" s="52" t="n"/>
      <c r="D1435" s="53" t="n"/>
      <c r="E1435" s="60" t="n"/>
      <c r="F1435" s="53" t="n"/>
      <c r="G1435" s="61" t="str">
        <f>IF(OR(COUNTA(A1435:E1435)=0,D1435=""),"",IFERROR(INDEX(ca_fam,MATCH(D1435,ca_name,0))&amp;"",""))</f>
        <v/>
      </c>
      <c r="H1435" s="58" t="str">
        <f>IF(OR(COUNTA(A1435:E1435)=0,D1435=""),"",IFERROR(INDEX(ca_type,MATCH(D1435,ca_name,0))&amp;"",""))</f>
        <v/>
      </c>
      <c r="I1435" s="58" t="str">
        <f>IF(COUNTA(A1435:E1435)=0,"",IF(N(A1435)&lt;=0,"Date manquante ou invalide",IF(B1435="","Équipe manquante",IF(ISNA(MATCH(B1435,eq_code,0)),"Équipe inconnue",IF(C1435="","Poste manquant",IF(ISNA(MATCH(C1435,po_code,0)),"Poste inconnu",IF(D1435="","Cause manquante",IF(ISNA(MATCH(D1435,ca_name,0)),"Cause inconnue",IF(H1435="","Cause à compléter dans Paramètres",IF(OR(NOT(ISNUMBER(E1435)),N(E1435)&lt;=0,N(E1435)&gt;1440),"Durée invalide",IF(COUNTIFS(sj_date,A1435,sj_eq,B1435,sj_po,C1435)=0,"Pas de saisie journalière ce jour-là","OK")))))))))))</f>
        <v/>
      </c>
      <c r="J1435">
        <f>IF(OR(I1435="OK",I1435="Pas de saisie journalière ce jour-là"),E1435,0)</f>
        <v>0.0</v>
      </c>
      <c r="K1435">
        <f>IF(AND(J1435&gt;0,A1435&gt;=p_from,A1435&lt;=p_to),1,0)</f>
        <v>0.0</v>
      </c>
      <c r="L1435">
        <f>IF(AND(K1435=1,OR(pa_po="",C1435=pa_po),OR(pa_eq="",B1435=pa_eq)),1,0)</f>
        <v>0.0</v>
      </c>
    </row>
    <row r="1436">
      <c r="A1436" s="51" t="n"/>
      <c r="B1436" s="52" t="n"/>
      <c r="C1436" s="52" t="n"/>
      <c r="D1436" s="53" t="n"/>
      <c r="E1436" s="60" t="n"/>
      <c r="F1436" s="53" t="n"/>
      <c r="G1436" s="61" t="str">
        <f>IF(OR(COUNTA(A1436:E1436)=0,D1436=""),"",IFERROR(INDEX(ca_fam,MATCH(D1436,ca_name,0))&amp;"",""))</f>
        <v/>
      </c>
      <c r="H1436" s="58" t="str">
        <f>IF(OR(COUNTA(A1436:E1436)=0,D1436=""),"",IFERROR(INDEX(ca_type,MATCH(D1436,ca_name,0))&amp;"",""))</f>
        <v/>
      </c>
      <c r="I1436" s="58" t="str">
        <f>IF(COUNTA(A1436:E1436)=0,"",IF(N(A1436)&lt;=0,"Date manquante ou invalide",IF(B1436="","Équipe manquante",IF(ISNA(MATCH(B1436,eq_code,0)),"Équipe inconnue",IF(C1436="","Poste manquant",IF(ISNA(MATCH(C1436,po_code,0)),"Poste inconnu",IF(D1436="","Cause manquante",IF(ISNA(MATCH(D1436,ca_name,0)),"Cause inconnue",IF(H1436="","Cause à compléter dans Paramètres",IF(OR(NOT(ISNUMBER(E1436)),N(E1436)&lt;=0,N(E1436)&gt;1440),"Durée invalide",IF(COUNTIFS(sj_date,A1436,sj_eq,B1436,sj_po,C1436)=0,"Pas de saisie journalière ce jour-là","OK")))))))))))</f>
        <v/>
      </c>
      <c r="J1436">
        <f>IF(OR(I1436="OK",I1436="Pas de saisie journalière ce jour-là"),E1436,0)</f>
        <v>0.0</v>
      </c>
      <c r="K1436">
        <f>IF(AND(J1436&gt;0,A1436&gt;=p_from,A1436&lt;=p_to),1,0)</f>
        <v>0.0</v>
      </c>
      <c r="L1436">
        <f>IF(AND(K1436=1,OR(pa_po="",C1436=pa_po),OR(pa_eq="",B1436=pa_eq)),1,0)</f>
        <v>0.0</v>
      </c>
    </row>
    <row r="1437">
      <c r="A1437" s="51" t="n"/>
      <c r="B1437" s="52" t="n"/>
      <c r="C1437" s="52" t="n"/>
      <c r="D1437" s="53" t="n"/>
      <c r="E1437" s="60" t="n"/>
      <c r="F1437" s="53" t="n"/>
      <c r="G1437" s="61" t="str">
        <f>IF(OR(COUNTA(A1437:E1437)=0,D1437=""),"",IFERROR(INDEX(ca_fam,MATCH(D1437,ca_name,0))&amp;"",""))</f>
        <v/>
      </c>
      <c r="H1437" s="58" t="str">
        <f>IF(OR(COUNTA(A1437:E1437)=0,D1437=""),"",IFERROR(INDEX(ca_type,MATCH(D1437,ca_name,0))&amp;"",""))</f>
        <v/>
      </c>
      <c r="I1437" s="58" t="str">
        <f>IF(COUNTA(A1437:E1437)=0,"",IF(N(A1437)&lt;=0,"Date manquante ou invalide",IF(B1437="","Équipe manquante",IF(ISNA(MATCH(B1437,eq_code,0)),"Équipe inconnue",IF(C1437="","Poste manquant",IF(ISNA(MATCH(C1437,po_code,0)),"Poste inconnu",IF(D1437="","Cause manquante",IF(ISNA(MATCH(D1437,ca_name,0)),"Cause inconnue",IF(H1437="","Cause à compléter dans Paramètres",IF(OR(NOT(ISNUMBER(E1437)),N(E1437)&lt;=0,N(E1437)&gt;1440),"Durée invalide",IF(COUNTIFS(sj_date,A1437,sj_eq,B1437,sj_po,C1437)=0,"Pas de saisie journalière ce jour-là","OK")))))))))))</f>
        <v/>
      </c>
      <c r="J1437">
        <f>IF(OR(I1437="OK",I1437="Pas de saisie journalière ce jour-là"),E1437,0)</f>
        <v>0.0</v>
      </c>
      <c r="K1437">
        <f>IF(AND(J1437&gt;0,A1437&gt;=p_from,A1437&lt;=p_to),1,0)</f>
        <v>0.0</v>
      </c>
      <c r="L1437">
        <f>IF(AND(K1437=1,OR(pa_po="",C1437=pa_po),OR(pa_eq="",B1437=pa_eq)),1,0)</f>
        <v>0.0</v>
      </c>
    </row>
    <row r="1438">
      <c r="A1438" s="51" t="n"/>
      <c r="B1438" s="52" t="n"/>
      <c r="C1438" s="52" t="n"/>
      <c r="D1438" s="53" t="n"/>
      <c r="E1438" s="60" t="n"/>
      <c r="F1438" s="53" t="n"/>
      <c r="G1438" s="61" t="str">
        <f>IF(OR(COUNTA(A1438:E1438)=0,D1438=""),"",IFERROR(INDEX(ca_fam,MATCH(D1438,ca_name,0))&amp;"",""))</f>
        <v/>
      </c>
      <c r="H1438" s="58" t="str">
        <f>IF(OR(COUNTA(A1438:E1438)=0,D1438=""),"",IFERROR(INDEX(ca_type,MATCH(D1438,ca_name,0))&amp;"",""))</f>
        <v/>
      </c>
      <c r="I1438" s="58" t="str">
        <f>IF(COUNTA(A1438:E1438)=0,"",IF(N(A1438)&lt;=0,"Date manquante ou invalide",IF(B1438="","Équipe manquante",IF(ISNA(MATCH(B1438,eq_code,0)),"Équipe inconnue",IF(C1438="","Poste manquant",IF(ISNA(MATCH(C1438,po_code,0)),"Poste inconnu",IF(D1438="","Cause manquante",IF(ISNA(MATCH(D1438,ca_name,0)),"Cause inconnue",IF(H1438="","Cause à compléter dans Paramètres",IF(OR(NOT(ISNUMBER(E1438)),N(E1438)&lt;=0,N(E1438)&gt;1440),"Durée invalide",IF(COUNTIFS(sj_date,A1438,sj_eq,B1438,sj_po,C1438)=0,"Pas de saisie journalière ce jour-là","OK")))))))))))</f>
        <v/>
      </c>
      <c r="J1438">
        <f>IF(OR(I1438="OK",I1438="Pas de saisie journalière ce jour-là"),E1438,0)</f>
        <v>0.0</v>
      </c>
      <c r="K1438">
        <f>IF(AND(J1438&gt;0,A1438&gt;=p_from,A1438&lt;=p_to),1,0)</f>
        <v>0.0</v>
      </c>
      <c r="L1438">
        <f>IF(AND(K1438=1,OR(pa_po="",C1438=pa_po),OR(pa_eq="",B1438=pa_eq)),1,0)</f>
        <v>0.0</v>
      </c>
    </row>
    <row r="1439">
      <c r="A1439" s="51" t="n"/>
      <c r="B1439" s="52" t="n"/>
      <c r="C1439" s="52" t="n"/>
      <c r="D1439" s="53" t="n"/>
      <c r="E1439" s="60" t="n"/>
      <c r="F1439" s="53" t="n"/>
      <c r="G1439" s="61" t="str">
        <f>IF(OR(COUNTA(A1439:E1439)=0,D1439=""),"",IFERROR(INDEX(ca_fam,MATCH(D1439,ca_name,0))&amp;"",""))</f>
        <v/>
      </c>
      <c r="H1439" s="58" t="str">
        <f>IF(OR(COUNTA(A1439:E1439)=0,D1439=""),"",IFERROR(INDEX(ca_type,MATCH(D1439,ca_name,0))&amp;"",""))</f>
        <v/>
      </c>
      <c r="I1439" s="58" t="str">
        <f>IF(COUNTA(A1439:E1439)=0,"",IF(N(A1439)&lt;=0,"Date manquante ou invalide",IF(B1439="","Équipe manquante",IF(ISNA(MATCH(B1439,eq_code,0)),"Équipe inconnue",IF(C1439="","Poste manquant",IF(ISNA(MATCH(C1439,po_code,0)),"Poste inconnu",IF(D1439="","Cause manquante",IF(ISNA(MATCH(D1439,ca_name,0)),"Cause inconnue",IF(H1439="","Cause à compléter dans Paramètres",IF(OR(NOT(ISNUMBER(E1439)),N(E1439)&lt;=0,N(E1439)&gt;1440),"Durée invalide",IF(COUNTIFS(sj_date,A1439,sj_eq,B1439,sj_po,C1439)=0,"Pas de saisie journalière ce jour-là","OK")))))))))))</f>
        <v/>
      </c>
      <c r="J1439">
        <f>IF(OR(I1439="OK",I1439="Pas de saisie journalière ce jour-là"),E1439,0)</f>
        <v>0.0</v>
      </c>
      <c r="K1439">
        <f>IF(AND(J1439&gt;0,A1439&gt;=p_from,A1439&lt;=p_to),1,0)</f>
        <v>0.0</v>
      </c>
      <c r="L1439">
        <f>IF(AND(K1439=1,OR(pa_po="",C1439=pa_po),OR(pa_eq="",B1439=pa_eq)),1,0)</f>
        <v>0.0</v>
      </c>
    </row>
    <row r="1440">
      <c r="A1440" s="51" t="n"/>
      <c r="B1440" s="52" t="n"/>
      <c r="C1440" s="52" t="n"/>
      <c r="D1440" s="53" t="n"/>
      <c r="E1440" s="60" t="n"/>
      <c r="F1440" s="53" t="n"/>
      <c r="G1440" s="61" t="str">
        <f>IF(OR(COUNTA(A1440:E1440)=0,D1440=""),"",IFERROR(INDEX(ca_fam,MATCH(D1440,ca_name,0))&amp;"",""))</f>
        <v/>
      </c>
      <c r="H1440" s="58" t="str">
        <f>IF(OR(COUNTA(A1440:E1440)=0,D1440=""),"",IFERROR(INDEX(ca_type,MATCH(D1440,ca_name,0))&amp;"",""))</f>
        <v/>
      </c>
      <c r="I1440" s="58" t="str">
        <f>IF(COUNTA(A1440:E1440)=0,"",IF(N(A1440)&lt;=0,"Date manquante ou invalide",IF(B1440="","Équipe manquante",IF(ISNA(MATCH(B1440,eq_code,0)),"Équipe inconnue",IF(C1440="","Poste manquant",IF(ISNA(MATCH(C1440,po_code,0)),"Poste inconnu",IF(D1440="","Cause manquante",IF(ISNA(MATCH(D1440,ca_name,0)),"Cause inconnue",IF(H1440="","Cause à compléter dans Paramètres",IF(OR(NOT(ISNUMBER(E1440)),N(E1440)&lt;=0,N(E1440)&gt;1440),"Durée invalide",IF(COUNTIFS(sj_date,A1440,sj_eq,B1440,sj_po,C1440)=0,"Pas de saisie journalière ce jour-là","OK")))))))))))</f>
        <v/>
      </c>
      <c r="J1440">
        <f>IF(OR(I1440="OK",I1440="Pas de saisie journalière ce jour-là"),E1440,0)</f>
        <v>0.0</v>
      </c>
      <c r="K1440">
        <f>IF(AND(J1440&gt;0,A1440&gt;=p_from,A1440&lt;=p_to),1,0)</f>
        <v>0.0</v>
      </c>
      <c r="L1440">
        <f>IF(AND(K1440=1,OR(pa_po="",C1440=pa_po),OR(pa_eq="",B1440=pa_eq)),1,0)</f>
        <v>0.0</v>
      </c>
    </row>
    <row r="1441">
      <c r="A1441" s="51" t="n"/>
      <c r="B1441" s="52" t="n"/>
      <c r="C1441" s="52" t="n"/>
      <c r="D1441" s="53" t="n"/>
      <c r="E1441" s="60" t="n"/>
      <c r="F1441" s="53" t="n"/>
      <c r="G1441" s="61" t="str">
        <f>IF(OR(COUNTA(A1441:E1441)=0,D1441=""),"",IFERROR(INDEX(ca_fam,MATCH(D1441,ca_name,0))&amp;"",""))</f>
        <v/>
      </c>
      <c r="H1441" s="58" t="str">
        <f>IF(OR(COUNTA(A1441:E1441)=0,D1441=""),"",IFERROR(INDEX(ca_type,MATCH(D1441,ca_name,0))&amp;"",""))</f>
        <v/>
      </c>
      <c r="I1441" s="58" t="str">
        <f>IF(COUNTA(A1441:E1441)=0,"",IF(N(A1441)&lt;=0,"Date manquante ou invalide",IF(B1441="","Équipe manquante",IF(ISNA(MATCH(B1441,eq_code,0)),"Équipe inconnue",IF(C1441="","Poste manquant",IF(ISNA(MATCH(C1441,po_code,0)),"Poste inconnu",IF(D1441="","Cause manquante",IF(ISNA(MATCH(D1441,ca_name,0)),"Cause inconnue",IF(H1441="","Cause à compléter dans Paramètres",IF(OR(NOT(ISNUMBER(E1441)),N(E1441)&lt;=0,N(E1441)&gt;1440),"Durée invalide",IF(COUNTIFS(sj_date,A1441,sj_eq,B1441,sj_po,C1441)=0,"Pas de saisie journalière ce jour-là","OK")))))))))))</f>
        <v/>
      </c>
      <c r="J1441">
        <f>IF(OR(I1441="OK",I1441="Pas de saisie journalière ce jour-là"),E1441,0)</f>
        <v>0.0</v>
      </c>
      <c r="K1441">
        <f>IF(AND(J1441&gt;0,A1441&gt;=p_from,A1441&lt;=p_to),1,0)</f>
        <v>0.0</v>
      </c>
      <c r="L1441">
        <f>IF(AND(K1441=1,OR(pa_po="",C1441=pa_po),OR(pa_eq="",B1441=pa_eq)),1,0)</f>
        <v>0.0</v>
      </c>
    </row>
    <row r="1442">
      <c r="A1442" s="51" t="n"/>
      <c r="B1442" s="52" t="n"/>
      <c r="C1442" s="52" t="n"/>
      <c r="D1442" s="53" t="n"/>
      <c r="E1442" s="60" t="n"/>
      <c r="F1442" s="53" t="n"/>
      <c r="G1442" s="61" t="str">
        <f>IF(OR(COUNTA(A1442:E1442)=0,D1442=""),"",IFERROR(INDEX(ca_fam,MATCH(D1442,ca_name,0))&amp;"",""))</f>
        <v/>
      </c>
      <c r="H1442" s="58" t="str">
        <f>IF(OR(COUNTA(A1442:E1442)=0,D1442=""),"",IFERROR(INDEX(ca_type,MATCH(D1442,ca_name,0))&amp;"",""))</f>
        <v/>
      </c>
      <c r="I1442" s="58" t="str">
        <f>IF(COUNTA(A1442:E1442)=0,"",IF(N(A1442)&lt;=0,"Date manquante ou invalide",IF(B1442="","Équipe manquante",IF(ISNA(MATCH(B1442,eq_code,0)),"Équipe inconnue",IF(C1442="","Poste manquant",IF(ISNA(MATCH(C1442,po_code,0)),"Poste inconnu",IF(D1442="","Cause manquante",IF(ISNA(MATCH(D1442,ca_name,0)),"Cause inconnue",IF(H1442="","Cause à compléter dans Paramètres",IF(OR(NOT(ISNUMBER(E1442)),N(E1442)&lt;=0,N(E1442)&gt;1440),"Durée invalide",IF(COUNTIFS(sj_date,A1442,sj_eq,B1442,sj_po,C1442)=0,"Pas de saisie journalière ce jour-là","OK")))))))))))</f>
        <v/>
      </c>
      <c r="J1442">
        <f>IF(OR(I1442="OK",I1442="Pas de saisie journalière ce jour-là"),E1442,0)</f>
        <v>0.0</v>
      </c>
      <c r="K1442">
        <f>IF(AND(J1442&gt;0,A1442&gt;=p_from,A1442&lt;=p_to),1,0)</f>
        <v>0.0</v>
      </c>
      <c r="L1442">
        <f>IF(AND(K1442=1,OR(pa_po="",C1442=pa_po),OR(pa_eq="",B1442=pa_eq)),1,0)</f>
        <v>0.0</v>
      </c>
    </row>
    <row r="1443">
      <c r="A1443" s="51" t="n"/>
      <c r="B1443" s="52" t="n"/>
      <c r="C1443" s="52" t="n"/>
      <c r="D1443" s="53" t="n"/>
      <c r="E1443" s="60" t="n"/>
      <c r="F1443" s="53" t="n"/>
      <c r="G1443" s="61" t="str">
        <f>IF(OR(COUNTA(A1443:E1443)=0,D1443=""),"",IFERROR(INDEX(ca_fam,MATCH(D1443,ca_name,0))&amp;"",""))</f>
        <v/>
      </c>
      <c r="H1443" s="58" t="str">
        <f>IF(OR(COUNTA(A1443:E1443)=0,D1443=""),"",IFERROR(INDEX(ca_type,MATCH(D1443,ca_name,0))&amp;"",""))</f>
        <v/>
      </c>
      <c r="I1443" s="58" t="str">
        <f>IF(COUNTA(A1443:E1443)=0,"",IF(N(A1443)&lt;=0,"Date manquante ou invalide",IF(B1443="","Équipe manquante",IF(ISNA(MATCH(B1443,eq_code,0)),"Équipe inconnue",IF(C1443="","Poste manquant",IF(ISNA(MATCH(C1443,po_code,0)),"Poste inconnu",IF(D1443="","Cause manquante",IF(ISNA(MATCH(D1443,ca_name,0)),"Cause inconnue",IF(H1443="","Cause à compléter dans Paramètres",IF(OR(NOT(ISNUMBER(E1443)),N(E1443)&lt;=0,N(E1443)&gt;1440),"Durée invalide",IF(COUNTIFS(sj_date,A1443,sj_eq,B1443,sj_po,C1443)=0,"Pas de saisie journalière ce jour-là","OK")))))))))))</f>
        <v/>
      </c>
      <c r="J1443">
        <f>IF(OR(I1443="OK",I1443="Pas de saisie journalière ce jour-là"),E1443,0)</f>
        <v>0.0</v>
      </c>
      <c r="K1443">
        <f>IF(AND(J1443&gt;0,A1443&gt;=p_from,A1443&lt;=p_to),1,0)</f>
        <v>0.0</v>
      </c>
      <c r="L1443">
        <f>IF(AND(K1443=1,OR(pa_po="",C1443=pa_po),OR(pa_eq="",B1443=pa_eq)),1,0)</f>
        <v>0.0</v>
      </c>
    </row>
    <row r="1444">
      <c r="A1444" s="51" t="n"/>
      <c r="B1444" s="52" t="n"/>
      <c r="C1444" s="52" t="n"/>
      <c r="D1444" s="53" t="n"/>
      <c r="E1444" s="60" t="n"/>
      <c r="F1444" s="53" t="n"/>
      <c r="G1444" s="61" t="str">
        <f>IF(OR(COUNTA(A1444:E1444)=0,D1444=""),"",IFERROR(INDEX(ca_fam,MATCH(D1444,ca_name,0))&amp;"",""))</f>
        <v/>
      </c>
      <c r="H1444" s="58" t="str">
        <f>IF(OR(COUNTA(A1444:E1444)=0,D1444=""),"",IFERROR(INDEX(ca_type,MATCH(D1444,ca_name,0))&amp;"",""))</f>
        <v/>
      </c>
      <c r="I1444" s="58" t="str">
        <f>IF(COUNTA(A1444:E1444)=0,"",IF(N(A1444)&lt;=0,"Date manquante ou invalide",IF(B1444="","Équipe manquante",IF(ISNA(MATCH(B1444,eq_code,0)),"Équipe inconnue",IF(C1444="","Poste manquant",IF(ISNA(MATCH(C1444,po_code,0)),"Poste inconnu",IF(D1444="","Cause manquante",IF(ISNA(MATCH(D1444,ca_name,0)),"Cause inconnue",IF(H1444="","Cause à compléter dans Paramètres",IF(OR(NOT(ISNUMBER(E1444)),N(E1444)&lt;=0,N(E1444)&gt;1440),"Durée invalide",IF(COUNTIFS(sj_date,A1444,sj_eq,B1444,sj_po,C1444)=0,"Pas de saisie journalière ce jour-là","OK")))))))))))</f>
        <v/>
      </c>
      <c r="J1444">
        <f>IF(OR(I1444="OK",I1444="Pas de saisie journalière ce jour-là"),E1444,0)</f>
        <v>0.0</v>
      </c>
      <c r="K1444">
        <f>IF(AND(J1444&gt;0,A1444&gt;=p_from,A1444&lt;=p_to),1,0)</f>
        <v>0.0</v>
      </c>
      <c r="L1444">
        <f>IF(AND(K1444=1,OR(pa_po="",C1444=pa_po),OR(pa_eq="",B1444=pa_eq)),1,0)</f>
        <v>0.0</v>
      </c>
    </row>
    <row r="1445">
      <c r="A1445" s="51" t="n"/>
      <c r="B1445" s="52" t="n"/>
      <c r="C1445" s="52" t="n"/>
      <c r="D1445" s="53" t="n"/>
      <c r="E1445" s="60" t="n"/>
      <c r="F1445" s="53" t="n"/>
      <c r="G1445" s="61" t="str">
        <f>IF(OR(COUNTA(A1445:E1445)=0,D1445=""),"",IFERROR(INDEX(ca_fam,MATCH(D1445,ca_name,0))&amp;"",""))</f>
        <v/>
      </c>
      <c r="H1445" s="58" t="str">
        <f>IF(OR(COUNTA(A1445:E1445)=0,D1445=""),"",IFERROR(INDEX(ca_type,MATCH(D1445,ca_name,0))&amp;"",""))</f>
        <v/>
      </c>
      <c r="I1445" s="58" t="str">
        <f>IF(COUNTA(A1445:E1445)=0,"",IF(N(A1445)&lt;=0,"Date manquante ou invalide",IF(B1445="","Équipe manquante",IF(ISNA(MATCH(B1445,eq_code,0)),"Équipe inconnue",IF(C1445="","Poste manquant",IF(ISNA(MATCH(C1445,po_code,0)),"Poste inconnu",IF(D1445="","Cause manquante",IF(ISNA(MATCH(D1445,ca_name,0)),"Cause inconnue",IF(H1445="","Cause à compléter dans Paramètres",IF(OR(NOT(ISNUMBER(E1445)),N(E1445)&lt;=0,N(E1445)&gt;1440),"Durée invalide",IF(COUNTIFS(sj_date,A1445,sj_eq,B1445,sj_po,C1445)=0,"Pas de saisie journalière ce jour-là","OK")))))))))))</f>
        <v/>
      </c>
      <c r="J1445">
        <f>IF(OR(I1445="OK",I1445="Pas de saisie journalière ce jour-là"),E1445,0)</f>
        <v>0.0</v>
      </c>
      <c r="K1445">
        <f>IF(AND(J1445&gt;0,A1445&gt;=p_from,A1445&lt;=p_to),1,0)</f>
        <v>0.0</v>
      </c>
      <c r="L1445">
        <f>IF(AND(K1445=1,OR(pa_po="",C1445=pa_po),OR(pa_eq="",B1445=pa_eq)),1,0)</f>
        <v>0.0</v>
      </c>
    </row>
    <row r="1446">
      <c r="A1446" s="51" t="n"/>
      <c r="B1446" s="52" t="n"/>
      <c r="C1446" s="52" t="n"/>
      <c r="D1446" s="53" t="n"/>
      <c r="E1446" s="60" t="n"/>
      <c r="F1446" s="53" t="n"/>
      <c r="G1446" s="61" t="str">
        <f>IF(OR(COUNTA(A1446:E1446)=0,D1446=""),"",IFERROR(INDEX(ca_fam,MATCH(D1446,ca_name,0))&amp;"",""))</f>
        <v/>
      </c>
      <c r="H1446" s="58" t="str">
        <f>IF(OR(COUNTA(A1446:E1446)=0,D1446=""),"",IFERROR(INDEX(ca_type,MATCH(D1446,ca_name,0))&amp;"",""))</f>
        <v/>
      </c>
      <c r="I1446" s="58" t="str">
        <f>IF(COUNTA(A1446:E1446)=0,"",IF(N(A1446)&lt;=0,"Date manquante ou invalide",IF(B1446="","Équipe manquante",IF(ISNA(MATCH(B1446,eq_code,0)),"Équipe inconnue",IF(C1446="","Poste manquant",IF(ISNA(MATCH(C1446,po_code,0)),"Poste inconnu",IF(D1446="","Cause manquante",IF(ISNA(MATCH(D1446,ca_name,0)),"Cause inconnue",IF(H1446="","Cause à compléter dans Paramètres",IF(OR(NOT(ISNUMBER(E1446)),N(E1446)&lt;=0,N(E1446)&gt;1440),"Durée invalide",IF(COUNTIFS(sj_date,A1446,sj_eq,B1446,sj_po,C1446)=0,"Pas de saisie journalière ce jour-là","OK")))))))))))</f>
        <v/>
      </c>
      <c r="J1446">
        <f>IF(OR(I1446="OK",I1446="Pas de saisie journalière ce jour-là"),E1446,0)</f>
        <v>0.0</v>
      </c>
      <c r="K1446">
        <f>IF(AND(J1446&gt;0,A1446&gt;=p_from,A1446&lt;=p_to),1,0)</f>
        <v>0.0</v>
      </c>
      <c r="L1446">
        <f>IF(AND(K1446=1,OR(pa_po="",C1446=pa_po),OR(pa_eq="",B1446=pa_eq)),1,0)</f>
        <v>0.0</v>
      </c>
    </row>
    <row r="1447">
      <c r="A1447" s="51" t="n"/>
      <c r="B1447" s="52" t="n"/>
      <c r="C1447" s="52" t="n"/>
      <c r="D1447" s="53" t="n"/>
      <c r="E1447" s="60" t="n"/>
      <c r="F1447" s="53" t="n"/>
      <c r="G1447" s="61" t="str">
        <f>IF(OR(COUNTA(A1447:E1447)=0,D1447=""),"",IFERROR(INDEX(ca_fam,MATCH(D1447,ca_name,0))&amp;"",""))</f>
        <v/>
      </c>
      <c r="H1447" s="58" t="str">
        <f>IF(OR(COUNTA(A1447:E1447)=0,D1447=""),"",IFERROR(INDEX(ca_type,MATCH(D1447,ca_name,0))&amp;"",""))</f>
        <v/>
      </c>
      <c r="I1447" s="58" t="str">
        <f>IF(COUNTA(A1447:E1447)=0,"",IF(N(A1447)&lt;=0,"Date manquante ou invalide",IF(B1447="","Équipe manquante",IF(ISNA(MATCH(B1447,eq_code,0)),"Équipe inconnue",IF(C1447="","Poste manquant",IF(ISNA(MATCH(C1447,po_code,0)),"Poste inconnu",IF(D1447="","Cause manquante",IF(ISNA(MATCH(D1447,ca_name,0)),"Cause inconnue",IF(H1447="","Cause à compléter dans Paramètres",IF(OR(NOT(ISNUMBER(E1447)),N(E1447)&lt;=0,N(E1447)&gt;1440),"Durée invalide",IF(COUNTIFS(sj_date,A1447,sj_eq,B1447,sj_po,C1447)=0,"Pas de saisie journalière ce jour-là","OK")))))))))))</f>
        <v/>
      </c>
      <c r="J1447">
        <f>IF(OR(I1447="OK",I1447="Pas de saisie journalière ce jour-là"),E1447,0)</f>
        <v>0.0</v>
      </c>
      <c r="K1447">
        <f>IF(AND(J1447&gt;0,A1447&gt;=p_from,A1447&lt;=p_to),1,0)</f>
        <v>0.0</v>
      </c>
      <c r="L1447">
        <f>IF(AND(K1447=1,OR(pa_po="",C1447=pa_po),OR(pa_eq="",B1447=pa_eq)),1,0)</f>
        <v>0.0</v>
      </c>
    </row>
    <row r="1448">
      <c r="A1448" s="51" t="n"/>
      <c r="B1448" s="52" t="n"/>
      <c r="C1448" s="52" t="n"/>
      <c r="D1448" s="53" t="n"/>
      <c r="E1448" s="60" t="n"/>
      <c r="F1448" s="53" t="n"/>
      <c r="G1448" s="61" t="str">
        <f>IF(OR(COUNTA(A1448:E1448)=0,D1448=""),"",IFERROR(INDEX(ca_fam,MATCH(D1448,ca_name,0))&amp;"",""))</f>
        <v/>
      </c>
      <c r="H1448" s="58" t="str">
        <f>IF(OR(COUNTA(A1448:E1448)=0,D1448=""),"",IFERROR(INDEX(ca_type,MATCH(D1448,ca_name,0))&amp;"",""))</f>
        <v/>
      </c>
      <c r="I1448" s="58" t="str">
        <f>IF(COUNTA(A1448:E1448)=0,"",IF(N(A1448)&lt;=0,"Date manquante ou invalide",IF(B1448="","Équipe manquante",IF(ISNA(MATCH(B1448,eq_code,0)),"Équipe inconnue",IF(C1448="","Poste manquant",IF(ISNA(MATCH(C1448,po_code,0)),"Poste inconnu",IF(D1448="","Cause manquante",IF(ISNA(MATCH(D1448,ca_name,0)),"Cause inconnue",IF(H1448="","Cause à compléter dans Paramètres",IF(OR(NOT(ISNUMBER(E1448)),N(E1448)&lt;=0,N(E1448)&gt;1440),"Durée invalide",IF(COUNTIFS(sj_date,A1448,sj_eq,B1448,sj_po,C1448)=0,"Pas de saisie journalière ce jour-là","OK")))))))))))</f>
        <v/>
      </c>
      <c r="J1448">
        <f>IF(OR(I1448="OK",I1448="Pas de saisie journalière ce jour-là"),E1448,0)</f>
        <v>0.0</v>
      </c>
      <c r="K1448">
        <f>IF(AND(J1448&gt;0,A1448&gt;=p_from,A1448&lt;=p_to),1,0)</f>
        <v>0.0</v>
      </c>
      <c r="L1448">
        <f>IF(AND(K1448=1,OR(pa_po="",C1448=pa_po),OR(pa_eq="",B1448=pa_eq)),1,0)</f>
        <v>0.0</v>
      </c>
    </row>
    <row r="1449">
      <c r="A1449" s="51" t="n"/>
      <c r="B1449" s="52" t="n"/>
      <c r="C1449" s="52" t="n"/>
      <c r="D1449" s="53" t="n"/>
      <c r="E1449" s="60" t="n"/>
      <c r="F1449" s="53" t="n"/>
      <c r="G1449" s="61" t="str">
        <f>IF(OR(COUNTA(A1449:E1449)=0,D1449=""),"",IFERROR(INDEX(ca_fam,MATCH(D1449,ca_name,0))&amp;"",""))</f>
        <v/>
      </c>
      <c r="H1449" s="58" t="str">
        <f>IF(OR(COUNTA(A1449:E1449)=0,D1449=""),"",IFERROR(INDEX(ca_type,MATCH(D1449,ca_name,0))&amp;"",""))</f>
        <v/>
      </c>
      <c r="I1449" s="58" t="str">
        <f>IF(COUNTA(A1449:E1449)=0,"",IF(N(A1449)&lt;=0,"Date manquante ou invalide",IF(B1449="","Équipe manquante",IF(ISNA(MATCH(B1449,eq_code,0)),"Équipe inconnue",IF(C1449="","Poste manquant",IF(ISNA(MATCH(C1449,po_code,0)),"Poste inconnu",IF(D1449="","Cause manquante",IF(ISNA(MATCH(D1449,ca_name,0)),"Cause inconnue",IF(H1449="","Cause à compléter dans Paramètres",IF(OR(NOT(ISNUMBER(E1449)),N(E1449)&lt;=0,N(E1449)&gt;1440),"Durée invalide",IF(COUNTIFS(sj_date,A1449,sj_eq,B1449,sj_po,C1449)=0,"Pas de saisie journalière ce jour-là","OK")))))))))))</f>
        <v/>
      </c>
      <c r="J1449">
        <f>IF(OR(I1449="OK",I1449="Pas de saisie journalière ce jour-là"),E1449,0)</f>
        <v>0.0</v>
      </c>
      <c r="K1449">
        <f>IF(AND(J1449&gt;0,A1449&gt;=p_from,A1449&lt;=p_to),1,0)</f>
        <v>0.0</v>
      </c>
      <c r="L1449">
        <f>IF(AND(K1449=1,OR(pa_po="",C1449=pa_po),OR(pa_eq="",B1449=pa_eq)),1,0)</f>
        <v>0.0</v>
      </c>
    </row>
    <row r="1450">
      <c r="A1450" s="51" t="n"/>
      <c r="B1450" s="52" t="n"/>
      <c r="C1450" s="52" t="n"/>
      <c r="D1450" s="53" t="n"/>
      <c r="E1450" s="60" t="n"/>
      <c r="F1450" s="53" t="n"/>
      <c r="G1450" s="61" t="str">
        <f>IF(OR(COUNTA(A1450:E1450)=0,D1450=""),"",IFERROR(INDEX(ca_fam,MATCH(D1450,ca_name,0))&amp;"",""))</f>
        <v/>
      </c>
      <c r="H1450" s="58" t="str">
        <f>IF(OR(COUNTA(A1450:E1450)=0,D1450=""),"",IFERROR(INDEX(ca_type,MATCH(D1450,ca_name,0))&amp;"",""))</f>
        <v/>
      </c>
      <c r="I1450" s="58" t="str">
        <f>IF(COUNTA(A1450:E1450)=0,"",IF(N(A1450)&lt;=0,"Date manquante ou invalide",IF(B1450="","Équipe manquante",IF(ISNA(MATCH(B1450,eq_code,0)),"Équipe inconnue",IF(C1450="","Poste manquant",IF(ISNA(MATCH(C1450,po_code,0)),"Poste inconnu",IF(D1450="","Cause manquante",IF(ISNA(MATCH(D1450,ca_name,0)),"Cause inconnue",IF(H1450="","Cause à compléter dans Paramètres",IF(OR(NOT(ISNUMBER(E1450)),N(E1450)&lt;=0,N(E1450)&gt;1440),"Durée invalide",IF(COUNTIFS(sj_date,A1450,sj_eq,B1450,sj_po,C1450)=0,"Pas de saisie journalière ce jour-là","OK")))))))))))</f>
        <v/>
      </c>
      <c r="J1450">
        <f>IF(OR(I1450="OK",I1450="Pas de saisie journalière ce jour-là"),E1450,0)</f>
        <v>0.0</v>
      </c>
      <c r="K1450">
        <f>IF(AND(J1450&gt;0,A1450&gt;=p_from,A1450&lt;=p_to),1,0)</f>
        <v>0.0</v>
      </c>
      <c r="L1450">
        <f>IF(AND(K1450=1,OR(pa_po="",C1450=pa_po),OR(pa_eq="",B1450=pa_eq)),1,0)</f>
        <v>0.0</v>
      </c>
    </row>
    <row r="1451">
      <c r="A1451" s="51" t="n"/>
      <c r="B1451" s="52" t="n"/>
      <c r="C1451" s="52" t="n"/>
      <c r="D1451" s="53" t="n"/>
      <c r="E1451" s="60" t="n"/>
      <c r="F1451" s="53" t="n"/>
      <c r="G1451" s="61" t="str">
        <f>IF(OR(COUNTA(A1451:E1451)=0,D1451=""),"",IFERROR(INDEX(ca_fam,MATCH(D1451,ca_name,0))&amp;"",""))</f>
        <v/>
      </c>
      <c r="H1451" s="58" t="str">
        <f>IF(OR(COUNTA(A1451:E1451)=0,D1451=""),"",IFERROR(INDEX(ca_type,MATCH(D1451,ca_name,0))&amp;"",""))</f>
        <v/>
      </c>
      <c r="I1451" s="58" t="str">
        <f>IF(COUNTA(A1451:E1451)=0,"",IF(N(A1451)&lt;=0,"Date manquante ou invalide",IF(B1451="","Équipe manquante",IF(ISNA(MATCH(B1451,eq_code,0)),"Équipe inconnue",IF(C1451="","Poste manquant",IF(ISNA(MATCH(C1451,po_code,0)),"Poste inconnu",IF(D1451="","Cause manquante",IF(ISNA(MATCH(D1451,ca_name,0)),"Cause inconnue",IF(H1451="","Cause à compléter dans Paramètres",IF(OR(NOT(ISNUMBER(E1451)),N(E1451)&lt;=0,N(E1451)&gt;1440),"Durée invalide",IF(COUNTIFS(sj_date,A1451,sj_eq,B1451,sj_po,C1451)=0,"Pas de saisie journalière ce jour-là","OK")))))))))))</f>
        <v/>
      </c>
      <c r="J1451">
        <f>IF(OR(I1451="OK",I1451="Pas de saisie journalière ce jour-là"),E1451,0)</f>
        <v>0.0</v>
      </c>
      <c r="K1451">
        <f>IF(AND(J1451&gt;0,A1451&gt;=p_from,A1451&lt;=p_to),1,0)</f>
        <v>0.0</v>
      </c>
      <c r="L1451">
        <f>IF(AND(K1451=1,OR(pa_po="",C1451=pa_po),OR(pa_eq="",B1451=pa_eq)),1,0)</f>
        <v>0.0</v>
      </c>
    </row>
    <row r="1452">
      <c r="A1452" s="51" t="n"/>
      <c r="B1452" s="52" t="n"/>
      <c r="C1452" s="52" t="n"/>
      <c r="D1452" s="53" t="n"/>
      <c r="E1452" s="60" t="n"/>
      <c r="F1452" s="53" t="n"/>
      <c r="G1452" s="61" t="str">
        <f>IF(OR(COUNTA(A1452:E1452)=0,D1452=""),"",IFERROR(INDEX(ca_fam,MATCH(D1452,ca_name,0))&amp;"",""))</f>
        <v/>
      </c>
      <c r="H1452" s="58" t="str">
        <f>IF(OR(COUNTA(A1452:E1452)=0,D1452=""),"",IFERROR(INDEX(ca_type,MATCH(D1452,ca_name,0))&amp;"",""))</f>
        <v/>
      </c>
      <c r="I1452" s="58" t="str">
        <f>IF(COUNTA(A1452:E1452)=0,"",IF(N(A1452)&lt;=0,"Date manquante ou invalide",IF(B1452="","Équipe manquante",IF(ISNA(MATCH(B1452,eq_code,0)),"Équipe inconnue",IF(C1452="","Poste manquant",IF(ISNA(MATCH(C1452,po_code,0)),"Poste inconnu",IF(D1452="","Cause manquante",IF(ISNA(MATCH(D1452,ca_name,0)),"Cause inconnue",IF(H1452="","Cause à compléter dans Paramètres",IF(OR(NOT(ISNUMBER(E1452)),N(E1452)&lt;=0,N(E1452)&gt;1440),"Durée invalide",IF(COUNTIFS(sj_date,A1452,sj_eq,B1452,sj_po,C1452)=0,"Pas de saisie journalière ce jour-là","OK")))))))))))</f>
        <v/>
      </c>
      <c r="J1452">
        <f>IF(OR(I1452="OK",I1452="Pas de saisie journalière ce jour-là"),E1452,0)</f>
        <v>0.0</v>
      </c>
      <c r="K1452">
        <f>IF(AND(J1452&gt;0,A1452&gt;=p_from,A1452&lt;=p_to),1,0)</f>
        <v>0.0</v>
      </c>
      <c r="L1452">
        <f>IF(AND(K1452=1,OR(pa_po="",C1452=pa_po),OR(pa_eq="",B1452=pa_eq)),1,0)</f>
        <v>0.0</v>
      </c>
    </row>
    <row r="1453">
      <c r="A1453" s="51" t="n"/>
      <c r="B1453" s="52" t="n"/>
      <c r="C1453" s="52" t="n"/>
      <c r="D1453" s="53" t="n"/>
      <c r="E1453" s="60" t="n"/>
      <c r="F1453" s="53" t="n"/>
      <c r="G1453" s="61" t="str">
        <f>IF(OR(COUNTA(A1453:E1453)=0,D1453=""),"",IFERROR(INDEX(ca_fam,MATCH(D1453,ca_name,0))&amp;"",""))</f>
        <v/>
      </c>
      <c r="H1453" s="58" t="str">
        <f>IF(OR(COUNTA(A1453:E1453)=0,D1453=""),"",IFERROR(INDEX(ca_type,MATCH(D1453,ca_name,0))&amp;"",""))</f>
        <v/>
      </c>
      <c r="I1453" s="58" t="str">
        <f>IF(COUNTA(A1453:E1453)=0,"",IF(N(A1453)&lt;=0,"Date manquante ou invalide",IF(B1453="","Équipe manquante",IF(ISNA(MATCH(B1453,eq_code,0)),"Équipe inconnue",IF(C1453="","Poste manquant",IF(ISNA(MATCH(C1453,po_code,0)),"Poste inconnu",IF(D1453="","Cause manquante",IF(ISNA(MATCH(D1453,ca_name,0)),"Cause inconnue",IF(H1453="","Cause à compléter dans Paramètres",IF(OR(NOT(ISNUMBER(E1453)),N(E1453)&lt;=0,N(E1453)&gt;1440),"Durée invalide",IF(COUNTIFS(sj_date,A1453,sj_eq,B1453,sj_po,C1453)=0,"Pas de saisie journalière ce jour-là","OK")))))))))))</f>
        <v/>
      </c>
      <c r="J1453">
        <f>IF(OR(I1453="OK",I1453="Pas de saisie journalière ce jour-là"),E1453,0)</f>
        <v>0.0</v>
      </c>
      <c r="K1453">
        <f>IF(AND(J1453&gt;0,A1453&gt;=p_from,A1453&lt;=p_to),1,0)</f>
        <v>0.0</v>
      </c>
      <c r="L1453">
        <f>IF(AND(K1453=1,OR(pa_po="",C1453=pa_po),OR(pa_eq="",B1453=pa_eq)),1,0)</f>
        <v>0.0</v>
      </c>
    </row>
    <row r="1454">
      <c r="A1454" s="51" t="n"/>
      <c r="B1454" s="52" t="n"/>
      <c r="C1454" s="52" t="n"/>
      <c r="D1454" s="53" t="n"/>
      <c r="E1454" s="60" t="n"/>
      <c r="F1454" s="53" t="n"/>
      <c r="G1454" s="61" t="str">
        <f>IF(OR(COUNTA(A1454:E1454)=0,D1454=""),"",IFERROR(INDEX(ca_fam,MATCH(D1454,ca_name,0))&amp;"",""))</f>
        <v/>
      </c>
      <c r="H1454" s="58" t="str">
        <f>IF(OR(COUNTA(A1454:E1454)=0,D1454=""),"",IFERROR(INDEX(ca_type,MATCH(D1454,ca_name,0))&amp;"",""))</f>
        <v/>
      </c>
      <c r="I1454" s="58" t="str">
        <f>IF(COUNTA(A1454:E1454)=0,"",IF(N(A1454)&lt;=0,"Date manquante ou invalide",IF(B1454="","Équipe manquante",IF(ISNA(MATCH(B1454,eq_code,0)),"Équipe inconnue",IF(C1454="","Poste manquant",IF(ISNA(MATCH(C1454,po_code,0)),"Poste inconnu",IF(D1454="","Cause manquante",IF(ISNA(MATCH(D1454,ca_name,0)),"Cause inconnue",IF(H1454="","Cause à compléter dans Paramètres",IF(OR(NOT(ISNUMBER(E1454)),N(E1454)&lt;=0,N(E1454)&gt;1440),"Durée invalide",IF(COUNTIFS(sj_date,A1454,sj_eq,B1454,sj_po,C1454)=0,"Pas de saisie journalière ce jour-là","OK")))))))))))</f>
        <v/>
      </c>
      <c r="J1454">
        <f>IF(OR(I1454="OK",I1454="Pas de saisie journalière ce jour-là"),E1454,0)</f>
        <v>0.0</v>
      </c>
      <c r="K1454">
        <f>IF(AND(J1454&gt;0,A1454&gt;=p_from,A1454&lt;=p_to),1,0)</f>
        <v>0.0</v>
      </c>
      <c r="L1454">
        <f>IF(AND(K1454=1,OR(pa_po="",C1454=pa_po),OR(pa_eq="",B1454=pa_eq)),1,0)</f>
        <v>0.0</v>
      </c>
    </row>
    <row r="1455">
      <c r="A1455" s="51" t="n"/>
      <c r="B1455" s="52" t="n"/>
      <c r="C1455" s="52" t="n"/>
      <c r="D1455" s="53" t="n"/>
      <c r="E1455" s="60" t="n"/>
      <c r="F1455" s="53" t="n"/>
      <c r="G1455" s="61" t="str">
        <f>IF(OR(COUNTA(A1455:E1455)=0,D1455=""),"",IFERROR(INDEX(ca_fam,MATCH(D1455,ca_name,0))&amp;"",""))</f>
        <v/>
      </c>
      <c r="H1455" s="58" t="str">
        <f>IF(OR(COUNTA(A1455:E1455)=0,D1455=""),"",IFERROR(INDEX(ca_type,MATCH(D1455,ca_name,0))&amp;"",""))</f>
        <v/>
      </c>
      <c r="I1455" s="58" t="str">
        <f>IF(COUNTA(A1455:E1455)=0,"",IF(N(A1455)&lt;=0,"Date manquante ou invalide",IF(B1455="","Équipe manquante",IF(ISNA(MATCH(B1455,eq_code,0)),"Équipe inconnue",IF(C1455="","Poste manquant",IF(ISNA(MATCH(C1455,po_code,0)),"Poste inconnu",IF(D1455="","Cause manquante",IF(ISNA(MATCH(D1455,ca_name,0)),"Cause inconnue",IF(H1455="","Cause à compléter dans Paramètres",IF(OR(NOT(ISNUMBER(E1455)),N(E1455)&lt;=0,N(E1455)&gt;1440),"Durée invalide",IF(COUNTIFS(sj_date,A1455,sj_eq,B1455,sj_po,C1455)=0,"Pas de saisie journalière ce jour-là","OK")))))))))))</f>
        <v/>
      </c>
      <c r="J1455">
        <f>IF(OR(I1455="OK",I1455="Pas de saisie journalière ce jour-là"),E1455,0)</f>
        <v>0.0</v>
      </c>
      <c r="K1455">
        <f>IF(AND(J1455&gt;0,A1455&gt;=p_from,A1455&lt;=p_to),1,0)</f>
        <v>0.0</v>
      </c>
      <c r="L1455">
        <f>IF(AND(K1455=1,OR(pa_po="",C1455=pa_po),OR(pa_eq="",B1455=pa_eq)),1,0)</f>
        <v>0.0</v>
      </c>
    </row>
    <row r="1456">
      <c r="A1456" s="51" t="n"/>
      <c r="B1456" s="52" t="n"/>
      <c r="C1456" s="52" t="n"/>
      <c r="D1456" s="53" t="n"/>
      <c r="E1456" s="60" t="n"/>
      <c r="F1456" s="53" t="n"/>
      <c r="G1456" s="61" t="str">
        <f>IF(OR(COUNTA(A1456:E1456)=0,D1456=""),"",IFERROR(INDEX(ca_fam,MATCH(D1456,ca_name,0))&amp;"",""))</f>
        <v/>
      </c>
      <c r="H1456" s="58" t="str">
        <f>IF(OR(COUNTA(A1456:E1456)=0,D1456=""),"",IFERROR(INDEX(ca_type,MATCH(D1456,ca_name,0))&amp;"",""))</f>
        <v/>
      </c>
      <c r="I1456" s="58" t="str">
        <f>IF(COUNTA(A1456:E1456)=0,"",IF(N(A1456)&lt;=0,"Date manquante ou invalide",IF(B1456="","Équipe manquante",IF(ISNA(MATCH(B1456,eq_code,0)),"Équipe inconnue",IF(C1456="","Poste manquant",IF(ISNA(MATCH(C1456,po_code,0)),"Poste inconnu",IF(D1456="","Cause manquante",IF(ISNA(MATCH(D1456,ca_name,0)),"Cause inconnue",IF(H1456="","Cause à compléter dans Paramètres",IF(OR(NOT(ISNUMBER(E1456)),N(E1456)&lt;=0,N(E1456)&gt;1440),"Durée invalide",IF(COUNTIFS(sj_date,A1456,sj_eq,B1456,sj_po,C1456)=0,"Pas de saisie journalière ce jour-là","OK")))))))))))</f>
        <v/>
      </c>
      <c r="J1456">
        <f>IF(OR(I1456="OK",I1456="Pas de saisie journalière ce jour-là"),E1456,0)</f>
        <v>0.0</v>
      </c>
      <c r="K1456">
        <f>IF(AND(J1456&gt;0,A1456&gt;=p_from,A1456&lt;=p_to),1,0)</f>
        <v>0.0</v>
      </c>
      <c r="L1456">
        <f>IF(AND(K1456=1,OR(pa_po="",C1456=pa_po),OR(pa_eq="",B1456=pa_eq)),1,0)</f>
        <v>0.0</v>
      </c>
    </row>
    <row r="1457">
      <c r="A1457" s="51" t="n"/>
      <c r="B1457" s="52" t="n"/>
      <c r="C1457" s="52" t="n"/>
      <c r="D1457" s="53" t="n"/>
      <c r="E1457" s="60" t="n"/>
      <c r="F1457" s="53" t="n"/>
      <c r="G1457" s="61" t="str">
        <f>IF(OR(COUNTA(A1457:E1457)=0,D1457=""),"",IFERROR(INDEX(ca_fam,MATCH(D1457,ca_name,0))&amp;"",""))</f>
        <v/>
      </c>
      <c r="H1457" s="58" t="str">
        <f>IF(OR(COUNTA(A1457:E1457)=0,D1457=""),"",IFERROR(INDEX(ca_type,MATCH(D1457,ca_name,0))&amp;"",""))</f>
        <v/>
      </c>
      <c r="I1457" s="58" t="str">
        <f>IF(COUNTA(A1457:E1457)=0,"",IF(N(A1457)&lt;=0,"Date manquante ou invalide",IF(B1457="","Équipe manquante",IF(ISNA(MATCH(B1457,eq_code,0)),"Équipe inconnue",IF(C1457="","Poste manquant",IF(ISNA(MATCH(C1457,po_code,0)),"Poste inconnu",IF(D1457="","Cause manquante",IF(ISNA(MATCH(D1457,ca_name,0)),"Cause inconnue",IF(H1457="","Cause à compléter dans Paramètres",IF(OR(NOT(ISNUMBER(E1457)),N(E1457)&lt;=0,N(E1457)&gt;1440),"Durée invalide",IF(COUNTIFS(sj_date,A1457,sj_eq,B1457,sj_po,C1457)=0,"Pas de saisie journalière ce jour-là","OK")))))))))))</f>
        <v/>
      </c>
      <c r="J1457">
        <f>IF(OR(I1457="OK",I1457="Pas de saisie journalière ce jour-là"),E1457,0)</f>
        <v>0.0</v>
      </c>
      <c r="K1457">
        <f>IF(AND(J1457&gt;0,A1457&gt;=p_from,A1457&lt;=p_to),1,0)</f>
        <v>0.0</v>
      </c>
      <c r="L1457">
        <f>IF(AND(K1457=1,OR(pa_po="",C1457=pa_po),OR(pa_eq="",B1457=pa_eq)),1,0)</f>
        <v>0.0</v>
      </c>
    </row>
    <row r="1458">
      <c r="A1458" s="51" t="n"/>
      <c r="B1458" s="52" t="n"/>
      <c r="C1458" s="52" t="n"/>
      <c r="D1458" s="53" t="n"/>
      <c r="E1458" s="60" t="n"/>
      <c r="F1458" s="53" t="n"/>
      <c r="G1458" s="61" t="str">
        <f>IF(OR(COUNTA(A1458:E1458)=0,D1458=""),"",IFERROR(INDEX(ca_fam,MATCH(D1458,ca_name,0))&amp;"",""))</f>
        <v/>
      </c>
      <c r="H1458" s="58" t="str">
        <f>IF(OR(COUNTA(A1458:E1458)=0,D1458=""),"",IFERROR(INDEX(ca_type,MATCH(D1458,ca_name,0))&amp;"",""))</f>
        <v/>
      </c>
      <c r="I1458" s="58" t="str">
        <f>IF(COUNTA(A1458:E1458)=0,"",IF(N(A1458)&lt;=0,"Date manquante ou invalide",IF(B1458="","Équipe manquante",IF(ISNA(MATCH(B1458,eq_code,0)),"Équipe inconnue",IF(C1458="","Poste manquant",IF(ISNA(MATCH(C1458,po_code,0)),"Poste inconnu",IF(D1458="","Cause manquante",IF(ISNA(MATCH(D1458,ca_name,0)),"Cause inconnue",IF(H1458="","Cause à compléter dans Paramètres",IF(OR(NOT(ISNUMBER(E1458)),N(E1458)&lt;=0,N(E1458)&gt;1440),"Durée invalide",IF(COUNTIFS(sj_date,A1458,sj_eq,B1458,sj_po,C1458)=0,"Pas de saisie journalière ce jour-là","OK")))))))))))</f>
        <v/>
      </c>
      <c r="J1458">
        <f>IF(OR(I1458="OK",I1458="Pas de saisie journalière ce jour-là"),E1458,0)</f>
        <v>0.0</v>
      </c>
      <c r="K1458">
        <f>IF(AND(J1458&gt;0,A1458&gt;=p_from,A1458&lt;=p_to),1,0)</f>
        <v>0.0</v>
      </c>
      <c r="L1458">
        <f>IF(AND(K1458=1,OR(pa_po="",C1458=pa_po),OR(pa_eq="",B1458=pa_eq)),1,0)</f>
        <v>0.0</v>
      </c>
    </row>
    <row r="1459">
      <c r="A1459" s="51" t="n"/>
      <c r="B1459" s="52" t="n"/>
      <c r="C1459" s="52" t="n"/>
      <c r="D1459" s="53" t="n"/>
      <c r="E1459" s="60" t="n"/>
      <c r="F1459" s="53" t="n"/>
      <c r="G1459" s="61" t="str">
        <f>IF(OR(COUNTA(A1459:E1459)=0,D1459=""),"",IFERROR(INDEX(ca_fam,MATCH(D1459,ca_name,0))&amp;"",""))</f>
        <v/>
      </c>
      <c r="H1459" s="58" t="str">
        <f>IF(OR(COUNTA(A1459:E1459)=0,D1459=""),"",IFERROR(INDEX(ca_type,MATCH(D1459,ca_name,0))&amp;"",""))</f>
        <v/>
      </c>
      <c r="I1459" s="58" t="str">
        <f>IF(COUNTA(A1459:E1459)=0,"",IF(N(A1459)&lt;=0,"Date manquante ou invalide",IF(B1459="","Équipe manquante",IF(ISNA(MATCH(B1459,eq_code,0)),"Équipe inconnue",IF(C1459="","Poste manquant",IF(ISNA(MATCH(C1459,po_code,0)),"Poste inconnu",IF(D1459="","Cause manquante",IF(ISNA(MATCH(D1459,ca_name,0)),"Cause inconnue",IF(H1459="","Cause à compléter dans Paramètres",IF(OR(NOT(ISNUMBER(E1459)),N(E1459)&lt;=0,N(E1459)&gt;1440),"Durée invalide",IF(COUNTIFS(sj_date,A1459,sj_eq,B1459,sj_po,C1459)=0,"Pas de saisie journalière ce jour-là","OK")))))))))))</f>
        <v/>
      </c>
      <c r="J1459">
        <f>IF(OR(I1459="OK",I1459="Pas de saisie journalière ce jour-là"),E1459,0)</f>
        <v>0.0</v>
      </c>
      <c r="K1459">
        <f>IF(AND(J1459&gt;0,A1459&gt;=p_from,A1459&lt;=p_to),1,0)</f>
        <v>0.0</v>
      </c>
      <c r="L1459">
        <f>IF(AND(K1459=1,OR(pa_po="",C1459=pa_po),OR(pa_eq="",B1459=pa_eq)),1,0)</f>
        <v>0.0</v>
      </c>
    </row>
    <row r="1460">
      <c r="A1460" s="51" t="n"/>
      <c r="B1460" s="52" t="n"/>
      <c r="C1460" s="52" t="n"/>
      <c r="D1460" s="53" t="n"/>
      <c r="E1460" s="60" t="n"/>
      <c r="F1460" s="53" t="n"/>
      <c r="G1460" s="61" t="str">
        <f>IF(OR(COUNTA(A1460:E1460)=0,D1460=""),"",IFERROR(INDEX(ca_fam,MATCH(D1460,ca_name,0))&amp;"",""))</f>
        <v/>
      </c>
      <c r="H1460" s="58" t="str">
        <f>IF(OR(COUNTA(A1460:E1460)=0,D1460=""),"",IFERROR(INDEX(ca_type,MATCH(D1460,ca_name,0))&amp;"",""))</f>
        <v/>
      </c>
      <c r="I1460" s="58" t="str">
        <f>IF(COUNTA(A1460:E1460)=0,"",IF(N(A1460)&lt;=0,"Date manquante ou invalide",IF(B1460="","Équipe manquante",IF(ISNA(MATCH(B1460,eq_code,0)),"Équipe inconnue",IF(C1460="","Poste manquant",IF(ISNA(MATCH(C1460,po_code,0)),"Poste inconnu",IF(D1460="","Cause manquante",IF(ISNA(MATCH(D1460,ca_name,0)),"Cause inconnue",IF(H1460="","Cause à compléter dans Paramètres",IF(OR(NOT(ISNUMBER(E1460)),N(E1460)&lt;=0,N(E1460)&gt;1440),"Durée invalide",IF(COUNTIFS(sj_date,A1460,sj_eq,B1460,sj_po,C1460)=0,"Pas de saisie journalière ce jour-là","OK")))))))))))</f>
        <v/>
      </c>
      <c r="J1460">
        <f>IF(OR(I1460="OK",I1460="Pas de saisie journalière ce jour-là"),E1460,0)</f>
        <v>0.0</v>
      </c>
      <c r="K1460">
        <f>IF(AND(J1460&gt;0,A1460&gt;=p_from,A1460&lt;=p_to),1,0)</f>
        <v>0.0</v>
      </c>
      <c r="L1460">
        <f>IF(AND(K1460=1,OR(pa_po="",C1460=pa_po),OR(pa_eq="",B1460=pa_eq)),1,0)</f>
        <v>0.0</v>
      </c>
    </row>
    <row r="1461">
      <c r="A1461" s="51" t="n"/>
      <c r="B1461" s="52" t="n"/>
      <c r="C1461" s="52" t="n"/>
      <c r="D1461" s="53" t="n"/>
      <c r="E1461" s="60" t="n"/>
      <c r="F1461" s="53" t="n"/>
      <c r="G1461" s="61" t="str">
        <f>IF(OR(COUNTA(A1461:E1461)=0,D1461=""),"",IFERROR(INDEX(ca_fam,MATCH(D1461,ca_name,0))&amp;"",""))</f>
        <v/>
      </c>
      <c r="H1461" s="58" t="str">
        <f>IF(OR(COUNTA(A1461:E1461)=0,D1461=""),"",IFERROR(INDEX(ca_type,MATCH(D1461,ca_name,0))&amp;"",""))</f>
        <v/>
      </c>
      <c r="I1461" s="58" t="str">
        <f>IF(COUNTA(A1461:E1461)=0,"",IF(N(A1461)&lt;=0,"Date manquante ou invalide",IF(B1461="","Équipe manquante",IF(ISNA(MATCH(B1461,eq_code,0)),"Équipe inconnue",IF(C1461="","Poste manquant",IF(ISNA(MATCH(C1461,po_code,0)),"Poste inconnu",IF(D1461="","Cause manquante",IF(ISNA(MATCH(D1461,ca_name,0)),"Cause inconnue",IF(H1461="","Cause à compléter dans Paramètres",IF(OR(NOT(ISNUMBER(E1461)),N(E1461)&lt;=0,N(E1461)&gt;1440),"Durée invalide",IF(COUNTIFS(sj_date,A1461,sj_eq,B1461,sj_po,C1461)=0,"Pas de saisie journalière ce jour-là","OK")))))))))))</f>
        <v/>
      </c>
      <c r="J1461">
        <f>IF(OR(I1461="OK",I1461="Pas de saisie journalière ce jour-là"),E1461,0)</f>
        <v>0.0</v>
      </c>
      <c r="K1461">
        <f>IF(AND(J1461&gt;0,A1461&gt;=p_from,A1461&lt;=p_to),1,0)</f>
        <v>0.0</v>
      </c>
      <c r="L1461">
        <f>IF(AND(K1461=1,OR(pa_po="",C1461=pa_po),OR(pa_eq="",B1461=pa_eq)),1,0)</f>
        <v>0.0</v>
      </c>
    </row>
    <row r="1462">
      <c r="A1462" s="51" t="n"/>
      <c r="B1462" s="52" t="n"/>
      <c r="C1462" s="52" t="n"/>
      <c r="D1462" s="53" t="n"/>
      <c r="E1462" s="60" t="n"/>
      <c r="F1462" s="53" t="n"/>
      <c r="G1462" s="61" t="str">
        <f>IF(OR(COUNTA(A1462:E1462)=0,D1462=""),"",IFERROR(INDEX(ca_fam,MATCH(D1462,ca_name,0))&amp;"",""))</f>
        <v/>
      </c>
      <c r="H1462" s="58" t="str">
        <f>IF(OR(COUNTA(A1462:E1462)=0,D1462=""),"",IFERROR(INDEX(ca_type,MATCH(D1462,ca_name,0))&amp;"",""))</f>
        <v/>
      </c>
      <c r="I1462" s="58" t="str">
        <f>IF(COUNTA(A1462:E1462)=0,"",IF(N(A1462)&lt;=0,"Date manquante ou invalide",IF(B1462="","Équipe manquante",IF(ISNA(MATCH(B1462,eq_code,0)),"Équipe inconnue",IF(C1462="","Poste manquant",IF(ISNA(MATCH(C1462,po_code,0)),"Poste inconnu",IF(D1462="","Cause manquante",IF(ISNA(MATCH(D1462,ca_name,0)),"Cause inconnue",IF(H1462="","Cause à compléter dans Paramètres",IF(OR(NOT(ISNUMBER(E1462)),N(E1462)&lt;=0,N(E1462)&gt;1440),"Durée invalide",IF(COUNTIFS(sj_date,A1462,sj_eq,B1462,sj_po,C1462)=0,"Pas de saisie journalière ce jour-là","OK")))))))))))</f>
        <v/>
      </c>
      <c r="J1462">
        <f>IF(OR(I1462="OK",I1462="Pas de saisie journalière ce jour-là"),E1462,0)</f>
        <v>0.0</v>
      </c>
      <c r="K1462">
        <f>IF(AND(J1462&gt;0,A1462&gt;=p_from,A1462&lt;=p_to),1,0)</f>
        <v>0.0</v>
      </c>
      <c r="L1462">
        <f>IF(AND(K1462=1,OR(pa_po="",C1462=pa_po),OR(pa_eq="",B1462=pa_eq)),1,0)</f>
        <v>0.0</v>
      </c>
    </row>
    <row r="1463">
      <c r="A1463" s="51" t="n"/>
      <c r="B1463" s="52" t="n"/>
      <c r="C1463" s="52" t="n"/>
      <c r="D1463" s="53" t="n"/>
      <c r="E1463" s="60" t="n"/>
      <c r="F1463" s="53" t="n"/>
      <c r="G1463" s="61" t="str">
        <f>IF(OR(COUNTA(A1463:E1463)=0,D1463=""),"",IFERROR(INDEX(ca_fam,MATCH(D1463,ca_name,0))&amp;"",""))</f>
        <v/>
      </c>
      <c r="H1463" s="58" t="str">
        <f>IF(OR(COUNTA(A1463:E1463)=0,D1463=""),"",IFERROR(INDEX(ca_type,MATCH(D1463,ca_name,0))&amp;"",""))</f>
        <v/>
      </c>
      <c r="I1463" s="58" t="str">
        <f>IF(COUNTA(A1463:E1463)=0,"",IF(N(A1463)&lt;=0,"Date manquante ou invalide",IF(B1463="","Équipe manquante",IF(ISNA(MATCH(B1463,eq_code,0)),"Équipe inconnue",IF(C1463="","Poste manquant",IF(ISNA(MATCH(C1463,po_code,0)),"Poste inconnu",IF(D1463="","Cause manquante",IF(ISNA(MATCH(D1463,ca_name,0)),"Cause inconnue",IF(H1463="","Cause à compléter dans Paramètres",IF(OR(NOT(ISNUMBER(E1463)),N(E1463)&lt;=0,N(E1463)&gt;1440),"Durée invalide",IF(COUNTIFS(sj_date,A1463,sj_eq,B1463,sj_po,C1463)=0,"Pas de saisie journalière ce jour-là","OK")))))))))))</f>
        <v/>
      </c>
      <c r="J1463">
        <f>IF(OR(I1463="OK",I1463="Pas de saisie journalière ce jour-là"),E1463,0)</f>
        <v>0.0</v>
      </c>
      <c r="K1463">
        <f>IF(AND(J1463&gt;0,A1463&gt;=p_from,A1463&lt;=p_to),1,0)</f>
        <v>0.0</v>
      </c>
      <c r="L1463">
        <f>IF(AND(K1463=1,OR(pa_po="",C1463=pa_po),OR(pa_eq="",B1463=pa_eq)),1,0)</f>
        <v>0.0</v>
      </c>
    </row>
    <row r="1464">
      <c r="A1464" s="51" t="n"/>
      <c r="B1464" s="52" t="n"/>
      <c r="C1464" s="52" t="n"/>
      <c r="D1464" s="53" t="n"/>
      <c r="E1464" s="60" t="n"/>
      <c r="F1464" s="53" t="n"/>
      <c r="G1464" s="61" t="str">
        <f>IF(OR(COUNTA(A1464:E1464)=0,D1464=""),"",IFERROR(INDEX(ca_fam,MATCH(D1464,ca_name,0))&amp;"",""))</f>
        <v/>
      </c>
      <c r="H1464" s="58" t="str">
        <f>IF(OR(COUNTA(A1464:E1464)=0,D1464=""),"",IFERROR(INDEX(ca_type,MATCH(D1464,ca_name,0))&amp;"",""))</f>
        <v/>
      </c>
      <c r="I1464" s="58" t="str">
        <f>IF(COUNTA(A1464:E1464)=0,"",IF(N(A1464)&lt;=0,"Date manquante ou invalide",IF(B1464="","Équipe manquante",IF(ISNA(MATCH(B1464,eq_code,0)),"Équipe inconnue",IF(C1464="","Poste manquant",IF(ISNA(MATCH(C1464,po_code,0)),"Poste inconnu",IF(D1464="","Cause manquante",IF(ISNA(MATCH(D1464,ca_name,0)),"Cause inconnue",IF(H1464="","Cause à compléter dans Paramètres",IF(OR(NOT(ISNUMBER(E1464)),N(E1464)&lt;=0,N(E1464)&gt;1440),"Durée invalide",IF(COUNTIFS(sj_date,A1464,sj_eq,B1464,sj_po,C1464)=0,"Pas de saisie journalière ce jour-là","OK")))))))))))</f>
        <v/>
      </c>
      <c r="J1464">
        <f>IF(OR(I1464="OK",I1464="Pas de saisie journalière ce jour-là"),E1464,0)</f>
        <v>0.0</v>
      </c>
      <c r="K1464">
        <f>IF(AND(J1464&gt;0,A1464&gt;=p_from,A1464&lt;=p_to),1,0)</f>
        <v>0.0</v>
      </c>
      <c r="L1464">
        <f>IF(AND(K1464=1,OR(pa_po="",C1464=pa_po),OR(pa_eq="",B1464=pa_eq)),1,0)</f>
        <v>0.0</v>
      </c>
    </row>
    <row r="1465">
      <c r="A1465" s="51" t="n"/>
      <c r="B1465" s="52" t="n"/>
      <c r="C1465" s="52" t="n"/>
      <c r="D1465" s="53" t="n"/>
      <c r="E1465" s="60" t="n"/>
      <c r="F1465" s="53" t="n"/>
      <c r="G1465" s="61" t="str">
        <f>IF(OR(COUNTA(A1465:E1465)=0,D1465=""),"",IFERROR(INDEX(ca_fam,MATCH(D1465,ca_name,0))&amp;"",""))</f>
        <v/>
      </c>
      <c r="H1465" s="58" t="str">
        <f>IF(OR(COUNTA(A1465:E1465)=0,D1465=""),"",IFERROR(INDEX(ca_type,MATCH(D1465,ca_name,0))&amp;"",""))</f>
        <v/>
      </c>
      <c r="I1465" s="58" t="str">
        <f>IF(COUNTA(A1465:E1465)=0,"",IF(N(A1465)&lt;=0,"Date manquante ou invalide",IF(B1465="","Équipe manquante",IF(ISNA(MATCH(B1465,eq_code,0)),"Équipe inconnue",IF(C1465="","Poste manquant",IF(ISNA(MATCH(C1465,po_code,0)),"Poste inconnu",IF(D1465="","Cause manquante",IF(ISNA(MATCH(D1465,ca_name,0)),"Cause inconnue",IF(H1465="","Cause à compléter dans Paramètres",IF(OR(NOT(ISNUMBER(E1465)),N(E1465)&lt;=0,N(E1465)&gt;1440),"Durée invalide",IF(COUNTIFS(sj_date,A1465,sj_eq,B1465,sj_po,C1465)=0,"Pas de saisie journalière ce jour-là","OK")))))))))))</f>
        <v/>
      </c>
      <c r="J1465">
        <f>IF(OR(I1465="OK",I1465="Pas de saisie journalière ce jour-là"),E1465,0)</f>
        <v>0.0</v>
      </c>
      <c r="K1465">
        <f>IF(AND(J1465&gt;0,A1465&gt;=p_from,A1465&lt;=p_to),1,0)</f>
        <v>0.0</v>
      </c>
      <c r="L1465">
        <f>IF(AND(K1465=1,OR(pa_po="",C1465=pa_po),OR(pa_eq="",B1465=pa_eq)),1,0)</f>
        <v>0.0</v>
      </c>
    </row>
    <row r="1466">
      <c r="A1466" s="51" t="n"/>
      <c r="B1466" s="52" t="n"/>
      <c r="C1466" s="52" t="n"/>
      <c r="D1466" s="53" t="n"/>
      <c r="E1466" s="60" t="n"/>
      <c r="F1466" s="53" t="n"/>
      <c r="G1466" s="61" t="str">
        <f>IF(OR(COUNTA(A1466:E1466)=0,D1466=""),"",IFERROR(INDEX(ca_fam,MATCH(D1466,ca_name,0))&amp;"",""))</f>
        <v/>
      </c>
      <c r="H1466" s="58" t="str">
        <f>IF(OR(COUNTA(A1466:E1466)=0,D1466=""),"",IFERROR(INDEX(ca_type,MATCH(D1466,ca_name,0))&amp;"",""))</f>
        <v/>
      </c>
      <c r="I1466" s="58" t="str">
        <f>IF(COUNTA(A1466:E1466)=0,"",IF(N(A1466)&lt;=0,"Date manquante ou invalide",IF(B1466="","Équipe manquante",IF(ISNA(MATCH(B1466,eq_code,0)),"Équipe inconnue",IF(C1466="","Poste manquant",IF(ISNA(MATCH(C1466,po_code,0)),"Poste inconnu",IF(D1466="","Cause manquante",IF(ISNA(MATCH(D1466,ca_name,0)),"Cause inconnue",IF(H1466="","Cause à compléter dans Paramètres",IF(OR(NOT(ISNUMBER(E1466)),N(E1466)&lt;=0,N(E1466)&gt;1440),"Durée invalide",IF(COUNTIFS(sj_date,A1466,sj_eq,B1466,sj_po,C1466)=0,"Pas de saisie journalière ce jour-là","OK")))))))))))</f>
        <v/>
      </c>
      <c r="J1466">
        <f>IF(OR(I1466="OK",I1466="Pas de saisie journalière ce jour-là"),E1466,0)</f>
        <v>0.0</v>
      </c>
      <c r="K1466">
        <f>IF(AND(J1466&gt;0,A1466&gt;=p_from,A1466&lt;=p_to),1,0)</f>
        <v>0.0</v>
      </c>
      <c r="L1466">
        <f>IF(AND(K1466=1,OR(pa_po="",C1466=pa_po),OR(pa_eq="",B1466=pa_eq)),1,0)</f>
        <v>0.0</v>
      </c>
    </row>
    <row r="1467">
      <c r="A1467" s="51" t="n"/>
      <c r="B1467" s="52" t="n"/>
      <c r="C1467" s="52" t="n"/>
      <c r="D1467" s="53" t="n"/>
      <c r="E1467" s="60" t="n"/>
      <c r="F1467" s="53" t="n"/>
      <c r="G1467" s="61" t="str">
        <f>IF(OR(COUNTA(A1467:E1467)=0,D1467=""),"",IFERROR(INDEX(ca_fam,MATCH(D1467,ca_name,0))&amp;"",""))</f>
        <v/>
      </c>
      <c r="H1467" s="58" t="str">
        <f>IF(OR(COUNTA(A1467:E1467)=0,D1467=""),"",IFERROR(INDEX(ca_type,MATCH(D1467,ca_name,0))&amp;"",""))</f>
        <v/>
      </c>
      <c r="I1467" s="58" t="str">
        <f>IF(COUNTA(A1467:E1467)=0,"",IF(N(A1467)&lt;=0,"Date manquante ou invalide",IF(B1467="","Équipe manquante",IF(ISNA(MATCH(B1467,eq_code,0)),"Équipe inconnue",IF(C1467="","Poste manquant",IF(ISNA(MATCH(C1467,po_code,0)),"Poste inconnu",IF(D1467="","Cause manquante",IF(ISNA(MATCH(D1467,ca_name,0)),"Cause inconnue",IF(H1467="","Cause à compléter dans Paramètres",IF(OR(NOT(ISNUMBER(E1467)),N(E1467)&lt;=0,N(E1467)&gt;1440),"Durée invalide",IF(COUNTIFS(sj_date,A1467,sj_eq,B1467,sj_po,C1467)=0,"Pas de saisie journalière ce jour-là","OK")))))))))))</f>
        <v/>
      </c>
      <c r="J1467">
        <f>IF(OR(I1467="OK",I1467="Pas de saisie journalière ce jour-là"),E1467,0)</f>
        <v>0.0</v>
      </c>
      <c r="K1467">
        <f>IF(AND(J1467&gt;0,A1467&gt;=p_from,A1467&lt;=p_to),1,0)</f>
        <v>0.0</v>
      </c>
      <c r="L1467">
        <f>IF(AND(K1467=1,OR(pa_po="",C1467=pa_po),OR(pa_eq="",B1467=pa_eq)),1,0)</f>
        <v>0.0</v>
      </c>
    </row>
    <row r="1468">
      <c r="A1468" s="51" t="n"/>
      <c r="B1468" s="52" t="n"/>
      <c r="C1468" s="52" t="n"/>
      <c r="D1468" s="53" t="n"/>
      <c r="E1468" s="60" t="n"/>
      <c r="F1468" s="53" t="n"/>
      <c r="G1468" s="61" t="str">
        <f>IF(OR(COUNTA(A1468:E1468)=0,D1468=""),"",IFERROR(INDEX(ca_fam,MATCH(D1468,ca_name,0))&amp;"",""))</f>
        <v/>
      </c>
      <c r="H1468" s="58" t="str">
        <f>IF(OR(COUNTA(A1468:E1468)=0,D1468=""),"",IFERROR(INDEX(ca_type,MATCH(D1468,ca_name,0))&amp;"",""))</f>
        <v/>
      </c>
      <c r="I1468" s="58" t="str">
        <f>IF(COUNTA(A1468:E1468)=0,"",IF(N(A1468)&lt;=0,"Date manquante ou invalide",IF(B1468="","Équipe manquante",IF(ISNA(MATCH(B1468,eq_code,0)),"Équipe inconnue",IF(C1468="","Poste manquant",IF(ISNA(MATCH(C1468,po_code,0)),"Poste inconnu",IF(D1468="","Cause manquante",IF(ISNA(MATCH(D1468,ca_name,0)),"Cause inconnue",IF(H1468="","Cause à compléter dans Paramètres",IF(OR(NOT(ISNUMBER(E1468)),N(E1468)&lt;=0,N(E1468)&gt;1440),"Durée invalide",IF(COUNTIFS(sj_date,A1468,sj_eq,B1468,sj_po,C1468)=0,"Pas de saisie journalière ce jour-là","OK")))))))))))</f>
        <v/>
      </c>
      <c r="J1468">
        <f>IF(OR(I1468="OK",I1468="Pas de saisie journalière ce jour-là"),E1468,0)</f>
        <v>0.0</v>
      </c>
      <c r="K1468">
        <f>IF(AND(J1468&gt;0,A1468&gt;=p_from,A1468&lt;=p_to),1,0)</f>
        <v>0.0</v>
      </c>
      <c r="L1468">
        <f>IF(AND(K1468=1,OR(pa_po="",C1468=pa_po),OR(pa_eq="",B1468=pa_eq)),1,0)</f>
        <v>0.0</v>
      </c>
    </row>
    <row r="1469">
      <c r="A1469" s="51" t="n"/>
      <c r="B1469" s="52" t="n"/>
      <c r="C1469" s="52" t="n"/>
      <c r="D1469" s="53" t="n"/>
      <c r="E1469" s="60" t="n"/>
      <c r="F1469" s="53" t="n"/>
      <c r="G1469" s="61" t="str">
        <f>IF(OR(COUNTA(A1469:E1469)=0,D1469=""),"",IFERROR(INDEX(ca_fam,MATCH(D1469,ca_name,0))&amp;"",""))</f>
        <v/>
      </c>
      <c r="H1469" s="58" t="str">
        <f>IF(OR(COUNTA(A1469:E1469)=0,D1469=""),"",IFERROR(INDEX(ca_type,MATCH(D1469,ca_name,0))&amp;"",""))</f>
        <v/>
      </c>
      <c r="I1469" s="58" t="str">
        <f>IF(COUNTA(A1469:E1469)=0,"",IF(N(A1469)&lt;=0,"Date manquante ou invalide",IF(B1469="","Équipe manquante",IF(ISNA(MATCH(B1469,eq_code,0)),"Équipe inconnue",IF(C1469="","Poste manquant",IF(ISNA(MATCH(C1469,po_code,0)),"Poste inconnu",IF(D1469="","Cause manquante",IF(ISNA(MATCH(D1469,ca_name,0)),"Cause inconnue",IF(H1469="","Cause à compléter dans Paramètres",IF(OR(NOT(ISNUMBER(E1469)),N(E1469)&lt;=0,N(E1469)&gt;1440),"Durée invalide",IF(COUNTIFS(sj_date,A1469,sj_eq,B1469,sj_po,C1469)=0,"Pas de saisie journalière ce jour-là","OK")))))))))))</f>
        <v/>
      </c>
      <c r="J1469">
        <f>IF(OR(I1469="OK",I1469="Pas de saisie journalière ce jour-là"),E1469,0)</f>
        <v>0.0</v>
      </c>
      <c r="K1469">
        <f>IF(AND(J1469&gt;0,A1469&gt;=p_from,A1469&lt;=p_to),1,0)</f>
        <v>0.0</v>
      </c>
      <c r="L1469">
        <f>IF(AND(K1469=1,OR(pa_po="",C1469=pa_po),OR(pa_eq="",B1469=pa_eq)),1,0)</f>
        <v>0.0</v>
      </c>
    </row>
    <row r="1470">
      <c r="A1470" s="51" t="n"/>
      <c r="B1470" s="52" t="n"/>
      <c r="C1470" s="52" t="n"/>
      <c r="D1470" s="53" t="n"/>
      <c r="E1470" s="60" t="n"/>
      <c r="F1470" s="53" t="n"/>
      <c r="G1470" s="61" t="str">
        <f>IF(OR(COUNTA(A1470:E1470)=0,D1470=""),"",IFERROR(INDEX(ca_fam,MATCH(D1470,ca_name,0))&amp;"",""))</f>
        <v/>
      </c>
      <c r="H1470" s="58" t="str">
        <f>IF(OR(COUNTA(A1470:E1470)=0,D1470=""),"",IFERROR(INDEX(ca_type,MATCH(D1470,ca_name,0))&amp;"",""))</f>
        <v/>
      </c>
      <c r="I1470" s="58" t="str">
        <f>IF(COUNTA(A1470:E1470)=0,"",IF(N(A1470)&lt;=0,"Date manquante ou invalide",IF(B1470="","Équipe manquante",IF(ISNA(MATCH(B1470,eq_code,0)),"Équipe inconnue",IF(C1470="","Poste manquant",IF(ISNA(MATCH(C1470,po_code,0)),"Poste inconnu",IF(D1470="","Cause manquante",IF(ISNA(MATCH(D1470,ca_name,0)),"Cause inconnue",IF(H1470="","Cause à compléter dans Paramètres",IF(OR(NOT(ISNUMBER(E1470)),N(E1470)&lt;=0,N(E1470)&gt;1440),"Durée invalide",IF(COUNTIFS(sj_date,A1470,sj_eq,B1470,sj_po,C1470)=0,"Pas de saisie journalière ce jour-là","OK")))))))))))</f>
        <v/>
      </c>
      <c r="J1470">
        <f>IF(OR(I1470="OK",I1470="Pas de saisie journalière ce jour-là"),E1470,0)</f>
        <v>0.0</v>
      </c>
      <c r="K1470">
        <f>IF(AND(J1470&gt;0,A1470&gt;=p_from,A1470&lt;=p_to),1,0)</f>
        <v>0.0</v>
      </c>
      <c r="L1470">
        <f>IF(AND(K1470=1,OR(pa_po="",C1470=pa_po),OR(pa_eq="",B1470=pa_eq)),1,0)</f>
        <v>0.0</v>
      </c>
    </row>
    <row r="1471">
      <c r="A1471" s="51" t="n"/>
      <c r="B1471" s="52" t="n"/>
      <c r="C1471" s="52" t="n"/>
      <c r="D1471" s="53" t="n"/>
      <c r="E1471" s="60" t="n"/>
      <c r="F1471" s="53" t="n"/>
      <c r="G1471" s="61" t="str">
        <f>IF(OR(COUNTA(A1471:E1471)=0,D1471=""),"",IFERROR(INDEX(ca_fam,MATCH(D1471,ca_name,0))&amp;"",""))</f>
        <v/>
      </c>
      <c r="H1471" s="58" t="str">
        <f>IF(OR(COUNTA(A1471:E1471)=0,D1471=""),"",IFERROR(INDEX(ca_type,MATCH(D1471,ca_name,0))&amp;"",""))</f>
        <v/>
      </c>
      <c r="I1471" s="58" t="str">
        <f>IF(COUNTA(A1471:E1471)=0,"",IF(N(A1471)&lt;=0,"Date manquante ou invalide",IF(B1471="","Équipe manquante",IF(ISNA(MATCH(B1471,eq_code,0)),"Équipe inconnue",IF(C1471="","Poste manquant",IF(ISNA(MATCH(C1471,po_code,0)),"Poste inconnu",IF(D1471="","Cause manquante",IF(ISNA(MATCH(D1471,ca_name,0)),"Cause inconnue",IF(H1471="","Cause à compléter dans Paramètres",IF(OR(NOT(ISNUMBER(E1471)),N(E1471)&lt;=0,N(E1471)&gt;1440),"Durée invalide",IF(COUNTIFS(sj_date,A1471,sj_eq,B1471,sj_po,C1471)=0,"Pas de saisie journalière ce jour-là","OK")))))))))))</f>
        <v/>
      </c>
      <c r="J1471">
        <f>IF(OR(I1471="OK",I1471="Pas de saisie journalière ce jour-là"),E1471,0)</f>
        <v>0.0</v>
      </c>
      <c r="K1471">
        <f>IF(AND(J1471&gt;0,A1471&gt;=p_from,A1471&lt;=p_to),1,0)</f>
        <v>0.0</v>
      </c>
      <c r="L1471">
        <f>IF(AND(K1471=1,OR(pa_po="",C1471=pa_po),OR(pa_eq="",B1471=pa_eq)),1,0)</f>
        <v>0.0</v>
      </c>
    </row>
    <row r="1472">
      <c r="A1472" s="51" t="n"/>
      <c r="B1472" s="52" t="n"/>
      <c r="C1472" s="52" t="n"/>
      <c r="D1472" s="53" t="n"/>
      <c r="E1472" s="60" t="n"/>
      <c r="F1472" s="53" t="n"/>
      <c r="G1472" s="61" t="str">
        <f>IF(OR(COUNTA(A1472:E1472)=0,D1472=""),"",IFERROR(INDEX(ca_fam,MATCH(D1472,ca_name,0))&amp;"",""))</f>
        <v/>
      </c>
      <c r="H1472" s="58" t="str">
        <f>IF(OR(COUNTA(A1472:E1472)=0,D1472=""),"",IFERROR(INDEX(ca_type,MATCH(D1472,ca_name,0))&amp;"",""))</f>
        <v/>
      </c>
      <c r="I1472" s="58" t="str">
        <f>IF(COUNTA(A1472:E1472)=0,"",IF(N(A1472)&lt;=0,"Date manquante ou invalide",IF(B1472="","Équipe manquante",IF(ISNA(MATCH(B1472,eq_code,0)),"Équipe inconnue",IF(C1472="","Poste manquant",IF(ISNA(MATCH(C1472,po_code,0)),"Poste inconnu",IF(D1472="","Cause manquante",IF(ISNA(MATCH(D1472,ca_name,0)),"Cause inconnue",IF(H1472="","Cause à compléter dans Paramètres",IF(OR(NOT(ISNUMBER(E1472)),N(E1472)&lt;=0,N(E1472)&gt;1440),"Durée invalide",IF(COUNTIFS(sj_date,A1472,sj_eq,B1472,sj_po,C1472)=0,"Pas de saisie journalière ce jour-là","OK")))))))))))</f>
        <v/>
      </c>
      <c r="J1472">
        <f>IF(OR(I1472="OK",I1472="Pas de saisie journalière ce jour-là"),E1472,0)</f>
        <v>0.0</v>
      </c>
      <c r="K1472">
        <f>IF(AND(J1472&gt;0,A1472&gt;=p_from,A1472&lt;=p_to),1,0)</f>
        <v>0.0</v>
      </c>
      <c r="L1472">
        <f>IF(AND(K1472=1,OR(pa_po="",C1472=pa_po),OR(pa_eq="",B1472=pa_eq)),1,0)</f>
        <v>0.0</v>
      </c>
    </row>
    <row r="1473">
      <c r="A1473" s="51" t="n"/>
      <c r="B1473" s="52" t="n"/>
      <c r="C1473" s="52" t="n"/>
      <c r="D1473" s="53" t="n"/>
      <c r="E1473" s="60" t="n"/>
      <c r="F1473" s="53" t="n"/>
      <c r="G1473" s="61" t="str">
        <f>IF(OR(COUNTA(A1473:E1473)=0,D1473=""),"",IFERROR(INDEX(ca_fam,MATCH(D1473,ca_name,0))&amp;"",""))</f>
        <v/>
      </c>
      <c r="H1473" s="58" t="str">
        <f>IF(OR(COUNTA(A1473:E1473)=0,D1473=""),"",IFERROR(INDEX(ca_type,MATCH(D1473,ca_name,0))&amp;"",""))</f>
        <v/>
      </c>
      <c r="I1473" s="58" t="str">
        <f>IF(COUNTA(A1473:E1473)=0,"",IF(N(A1473)&lt;=0,"Date manquante ou invalide",IF(B1473="","Équipe manquante",IF(ISNA(MATCH(B1473,eq_code,0)),"Équipe inconnue",IF(C1473="","Poste manquant",IF(ISNA(MATCH(C1473,po_code,0)),"Poste inconnu",IF(D1473="","Cause manquante",IF(ISNA(MATCH(D1473,ca_name,0)),"Cause inconnue",IF(H1473="","Cause à compléter dans Paramètres",IF(OR(NOT(ISNUMBER(E1473)),N(E1473)&lt;=0,N(E1473)&gt;1440),"Durée invalide",IF(COUNTIFS(sj_date,A1473,sj_eq,B1473,sj_po,C1473)=0,"Pas de saisie journalière ce jour-là","OK")))))))))))</f>
        <v/>
      </c>
      <c r="J1473">
        <f>IF(OR(I1473="OK",I1473="Pas de saisie journalière ce jour-là"),E1473,0)</f>
        <v>0.0</v>
      </c>
      <c r="K1473">
        <f>IF(AND(J1473&gt;0,A1473&gt;=p_from,A1473&lt;=p_to),1,0)</f>
        <v>0.0</v>
      </c>
      <c r="L1473">
        <f>IF(AND(K1473=1,OR(pa_po="",C1473=pa_po),OR(pa_eq="",B1473=pa_eq)),1,0)</f>
        <v>0.0</v>
      </c>
    </row>
    <row r="1474">
      <c r="A1474" s="51" t="n"/>
      <c r="B1474" s="52" t="n"/>
      <c r="C1474" s="52" t="n"/>
      <c r="D1474" s="53" t="n"/>
      <c r="E1474" s="60" t="n"/>
      <c r="F1474" s="53" t="n"/>
      <c r="G1474" s="61" t="str">
        <f>IF(OR(COUNTA(A1474:E1474)=0,D1474=""),"",IFERROR(INDEX(ca_fam,MATCH(D1474,ca_name,0))&amp;"",""))</f>
        <v/>
      </c>
      <c r="H1474" s="58" t="str">
        <f>IF(OR(COUNTA(A1474:E1474)=0,D1474=""),"",IFERROR(INDEX(ca_type,MATCH(D1474,ca_name,0))&amp;"",""))</f>
        <v/>
      </c>
      <c r="I1474" s="58" t="str">
        <f>IF(COUNTA(A1474:E1474)=0,"",IF(N(A1474)&lt;=0,"Date manquante ou invalide",IF(B1474="","Équipe manquante",IF(ISNA(MATCH(B1474,eq_code,0)),"Équipe inconnue",IF(C1474="","Poste manquant",IF(ISNA(MATCH(C1474,po_code,0)),"Poste inconnu",IF(D1474="","Cause manquante",IF(ISNA(MATCH(D1474,ca_name,0)),"Cause inconnue",IF(H1474="","Cause à compléter dans Paramètres",IF(OR(NOT(ISNUMBER(E1474)),N(E1474)&lt;=0,N(E1474)&gt;1440),"Durée invalide",IF(COUNTIFS(sj_date,A1474,sj_eq,B1474,sj_po,C1474)=0,"Pas de saisie journalière ce jour-là","OK")))))))))))</f>
        <v/>
      </c>
      <c r="J1474">
        <f>IF(OR(I1474="OK",I1474="Pas de saisie journalière ce jour-là"),E1474,0)</f>
        <v>0.0</v>
      </c>
      <c r="K1474">
        <f>IF(AND(J1474&gt;0,A1474&gt;=p_from,A1474&lt;=p_to),1,0)</f>
        <v>0.0</v>
      </c>
      <c r="L1474">
        <f>IF(AND(K1474=1,OR(pa_po="",C1474=pa_po),OR(pa_eq="",B1474=pa_eq)),1,0)</f>
        <v>0.0</v>
      </c>
    </row>
    <row r="1475">
      <c r="A1475" s="51" t="n"/>
      <c r="B1475" s="52" t="n"/>
      <c r="C1475" s="52" t="n"/>
      <c r="D1475" s="53" t="n"/>
      <c r="E1475" s="60" t="n"/>
      <c r="F1475" s="53" t="n"/>
      <c r="G1475" s="61" t="str">
        <f>IF(OR(COUNTA(A1475:E1475)=0,D1475=""),"",IFERROR(INDEX(ca_fam,MATCH(D1475,ca_name,0))&amp;"",""))</f>
        <v/>
      </c>
      <c r="H1475" s="58" t="str">
        <f>IF(OR(COUNTA(A1475:E1475)=0,D1475=""),"",IFERROR(INDEX(ca_type,MATCH(D1475,ca_name,0))&amp;"",""))</f>
        <v/>
      </c>
      <c r="I1475" s="58" t="str">
        <f>IF(COUNTA(A1475:E1475)=0,"",IF(N(A1475)&lt;=0,"Date manquante ou invalide",IF(B1475="","Équipe manquante",IF(ISNA(MATCH(B1475,eq_code,0)),"Équipe inconnue",IF(C1475="","Poste manquant",IF(ISNA(MATCH(C1475,po_code,0)),"Poste inconnu",IF(D1475="","Cause manquante",IF(ISNA(MATCH(D1475,ca_name,0)),"Cause inconnue",IF(H1475="","Cause à compléter dans Paramètres",IF(OR(NOT(ISNUMBER(E1475)),N(E1475)&lt;=0,N(E1475)&gt;1440),"Durée invalide",IF(COUNTIFS(sj_date,A1475,sj_eq,B1475,sj_po,C1475)=0,"Pas de saisie journalière ce jour-là","OK")))))))))))</f>
        <v/>
      </c>
      <c r="J1475">
        <f>IF(OR(I1475="OK",I1475="Pas de saisie journalière ce jour-là"),E1475,0)</f>
        <v>0.0</v>
      </c>
      <c r="K1475">
        <f>IF(AND(J1475&gt;0,A1475&gt;=p_from,A1475&lt;=p_to),1,0)</f>
        <v>0.0</v>
      </c>
      <c r="L1475">
        <f>IF(AND(K1475=1,OR(pa_po="",C1475=pa_po),OR(pa_eq="",B1475=pa_eq)),1,0)</f>
        <v>0.0</v>
      </c>
    </row>
    <row r="1476">
      <c r="A1476" s="51" t="n"/>
      <c r="B1476" s="52" t="n"/>
      <c r="C1476" s="52" t="n"/>
      <c r="D1476" s="53" t="n"/>
      <c r="E1476" s="60" t="n"/>
      <c r="F1476" s="53" t="n"/>
      <c r="G1476" s="61" t="str">
        <f>IF(OR(COUNTA(A1476:E1476)=0,D1476=""),"",IFERROR(INDEX(ca_fam,MATCH(D1476,ca_name,0))&amp;"",""))</f>
        <v/>
      </c>
      <c r="H1476" s="58" t="str">
        <f>IF(OR(COUNTA(A1476:E1476)=0,D1476=""),"",IFERROR(INDEX(ca_type,MATCH(D1476,ca_name,0))&amp;"",""))</f>
        <v/>
      </c>
      <c r="I1476" s="58" t="str">
        <f>IF(COUNTA(A1476:E1476)=0,"",IF(N(A1476)&lt;=0,"Date manquante ou invalide",IF(B1476="","Équipe manquante",IF(ISNA(MATCH(B1476,eq_code,0)),"Équipe inconnue",IF(C1476="","Poste manquant",IF(ISNA(MATCH(C1476,po_code,0)),"Poste inconnu",IF(D1476="","Cause manquante",IF(ISNA(MATCH(D1476,ca_name,0)),"Cause inconnue",IF(H1476="","Cause à compléter dans Paramètres",IF(OR(NOT(ISNUMBER(E1476)),N(E1476)&lt;=0,N(E1476)&gt;1440),"Durée invalide",IF(COUNTIFS(sj_date,A1476,sj_eq,B1476,sj_po,C1476)=0,"Pas de saisie journalière ce jour-là","OK")))))))))))</f>
        <v/>
      </c>
      <c r="J1476">
        <f>IF(OR(I1476="OK",I1476="Pas de saisie journalière ce jour-là"),E1476,0)</f>
        <v>0.0</v>
      </c>
      <c r="K1476">
        <f>IF(AND(J1476&gt;0,A1476&gt;=p_from,A1476&lt;=p_to),1,0)</f>
        <v>0.0</v>
      </c>
      <c r="L1476">
        <f>IF(AND(K1476=1,OR(pa_po="",C1476=pa_po),OR(pa_eq="",B1476=pa_eq)),1,0)</f>
        <v>0.0</v>
      </c>
    </row>
    <row r="1477">
      <c r="A1477" s="51" t="n"/>
      <c r="B1477" s="52" t="n"/>
      <c r="C1477" s="52" t="n"/>
      <c r="D1477" s="53" t="n"/>
      <c r="E1477" s="60" t="n"/>
      <c r="F1477" s="53" t="n"/>
      <c r="G1477" s="61" t="str">
        <f>IF(OR(COUNTA(A1477:E1477)=0,D1477=""),"",IFERROR(INDEX(ca_fam,MATCH(D1477,ca_name,0))&amp;"",""))</f>
        <v/>
      </c>
      <c r="H1477" s="58" t="str">
        <f>IF(OR(COUNTA(A1477:E1477)=0,D1477=""),"",IFERROR(INDEX(ca_type,MATCH(D1477,ca_name,0))&amp;"",""))</f>
        <v/>
      </c>
      <c r="I1477" s="58" t="str">
        <f>IF(COUNTA(A1477:E1477)=0,"",IF(N(A1477)&lt;=0,"Date manquante ou invalide",IF(B1477="","Équipe manquante",IF(ISNA(MATCH(B1477,eq_code,0)),"Équipe inconnue",IF(C1477="","Poste manquant",IF(ISNA(MATCH(C1477,po_code,0)),"Poste inconnu",IF(D1477="","Cause manquante",IF(ISNA(MATCH(D1477,ca_name,0)),"Cause inconnue",IF(H1477="","Cause à compléter dans Paramètres",IF(OR(NOT(ISNUMBER(E1477)),N(E1477)&lt;=0,N(E1477)&gt;1440),"Durée invalide",IF(COUNTIFS(sj_date,A1477,sj_eq,B1477,sj_po,C1477)=0,"Pas de saisie journalière ce jour-là","OK")))))))))))</f>
        <v/>
      </c>
      <c r="J1477">
        <f>IF(OR(I1477="OK",I1477="Pas de saisie journalière ce jour-là"),E1477,0)</f>
        <v>0.0</v>
      </c>
      <c r="K1477">
        <f>IF(AND(J1477&gt;0,A1477&gt;=p_from,A1477&lt;=p_to),1,0)</f>
        <v>0.0</v>
      </c>
      <c r="L1477">
        <f>IF(AND(K1477=1,OR(pa_po="",C1477=pa_po),OR(pa_eq="",B1477=pa_eq)),1,0)</f>
        <v>0.0</v>
      </c>
    </row>
    <row r="1478">
      <c r="A1478" s="51" t="n"/>
      <c r="B1478" s="52" t="n"/>
      <c r="C1478" s="52" t="n"/>
      <c r="D1478" s="53" t="n"/>
      <c r="E1478" s="60" t="n"/>
      <c r="F1478" s="53" t="n"/>
      <c r="G1478" s="61" t="str">
        <f>IF(OR(COUNTA(A1478:E1478)=0,D1478=""),"",IFERROR(INDEX(ca_fam,MATCH(D1478,ca_name,0))&amp;"",""))</f>
        <v/>
      </c>
      <c r="H1478" s="58" t="str">
        <f>IF(OR(COUNTA(A1478:E1478)=0,D1478=""),"",IFERROR(INDEX(ca_type,MATCH(D1478,ca_name,0))&amp;"",""))</f>
        <v/>
      </c>
      <c r="I1478" s="58" t="str">
        <f>IF(COUNTA(A1478:E1478)=0,"",IF(N(A1478)&lt;=0,"Date manquante ou invalide",IF(B1478="","Équipe manquante",IF(ISNA(MATCH(B1478,eq_code,0)),"Équipe inconnue",IF(C1478="","Poste manquant",IF(ISNA(MATCH(C1478,po_code,0)),"Poste inconnu",IF(D1478="","Cause manquante",IF(ISNA(MATCH(D1478,ca_name,0)),"Cause inconnue",IF(H1478="","Cause à compléter dans Paramètres",IF(OR(NOT(ISNUMBER(E1478)),N(E1478)&lt;=0,N(E1478)&gt;1440),"Durée invalide",IF(COUNTIFS(sj_date,A1478,sj_eq,B1478,sj_po,C1478)=0,"Pas de saisie journalière ce jour-là","OK")))))))))))</f>
        <v/>
      </c>
      <c r="J1478">
        <f>IF(OR(I1478="OK",I1478="Pas de saisie journalière ce jour-là"),E1478,0)</f>
        <v>0.0</v>
      </c>
      <c r="K1478">
        <f>IF(AND(J1478&gt;0,A1478&gt;=p_from,A1478&lt;=p_to),1,0)</f>
        <v>0.0</v>
      </c>
      <c r="L1478">
        <f>IF(AND(K1478=1,OR(pa_po="",C1478=pa_po),OR(pa_eq="",B1478=pa_eq)),1,0)</f>
        <v>0.0</v>
      </c>
    </row>
    <row r="1479">
      <c r="A1479" s="51" t="n"/>
      <c r="B1479" s="52" t="n"/>
      <c r="C1479" s="52" t="n"/>
      <c r="D1479" s="53" t="n"/>
      <c r="E1479" s="60" t="n"/>
      <c r="F1479" s="53" t="n"/>
      <c r="G1479" s="61" t="str">
        <f>IF(OR(COUNTA(A1479:E1479)=0,D1479=""),"",IFERROR(INDEX(ca_fam,MATCH(D1479,ca_name,0))&amp;"",""))</f>
        <v/>
      </c>
      <c r="H1479" s="58" t="str">
        <f>IF(OR(COUNTA(A1479:E1479)=0,D1479=""),"",IFERROR(INDEX(ca_type,MATCH(D1479,ca_name,0))&amp;"",""))</f>
        <v/>
      </c>
      <c r="I1479" s="58" t="str">
        <f>IF(COUNTA(A1479:E1479)=0,"",IF(N(A1479)&lt;=0,"Date manquante ou invalide",IF(B1479="","Équipe manquante",IF(ISNA(MATCH(B1479,eq_code,0)),"Équipe inconnue",IF(C1479="","Poste manquant",IF(ISNA(MATCH(C1479,po_code,0)),"Poste inconnu",IF(D1479="","Cause manquante",IF(ISNA(MATCH(D1479,ca_name,0)),"Cause inconnue",IF(H1479="","Cause à compléter dans Paramètres",IF(OR(NOT(ISNUMBER(E1479)),N(E1479)&lt;=0,N(E1479)&gt;1440),"Durée invalide",IF(COUNTIFS(sj_date,A1479,sj_eq,B1479,sj_po,C1479)=0,"Pas de saisie journalière ce jour-là","OK")))))))))))</f>
        <v/>
      </c>
      <c r="J1479">
        <f>IF(OR(I1479="OK",I1479="Pas de saisie journalière ce jour-là"),E1479,0)</f>
        <v>0.0</v>
      </c>
      <c r="K1479">
        <f>IF(AND(J1479&gt;0,A1479&gt;=p_from,A1479&lt;=p_to),1,0)</f>
        <v>0.0</v>
      </c>
      <c r="L1479">
        <f>IF(AND(K1479=1,OR(pa_po="",C1479=pa_po),OR(pa_eq="",B1479=pa_eq)),1,0)</f>
        <v>0.0</v>
      </c>
    </row>
    <row r="1480">
      <c r="A1480" s="51" t="n"/>
      <c r="B1480" s="52" t="n"/>
      <c r="C1480" s="52" t="n"/>
      <c r="D1480" s="53" t="n"/>
      <c r="E1480" s="60" t="n"/>
      <c r="F1480" s="53" t="n"/>
      <c r="G1480" s="61" t="str">
        <f>IF(OR(COUNTA(A1480:E1480)=0,D1480=""),"",IFERROR(INDEX(ca_fam,MATCH(D1480,ca_name,0))&amp;"",""))</f>
        <v/>
      </c>
      <c r="H1480" s="58" t="str">
        <f>IF(OR(COUNTA(A1480:E1480)=0,D1480=""),"",IFERROR(INDEX(ca_type,MATCH(D1480,ca_name,0))&amp;"",""))</f>
        <v/>
      </c>
      <c r="I1480" s="58" t="str">
        <f>IF(COUNTA(A1480:E1480)=0,"",IF(N(A1480)&lt;=0,"Date manquante ou invalide",IF(B1480="","Équipe manquante",IF(ISNA(MATCH(B1480,eq_code,0)),"Équipe inconnue",IF(C1480="","Poste manquant",IF(ISNA(MATCH(C1480,po_code,0)),"Poste inconnu",IF(D1480="","Cause manquante",IF(ISNA(MATCH(D1480,ca_name,0)),"Cause inconnue",IF(H1480="","Cause à compléter dans Paramètres",IF(OR(NOT(ISNUMBER(E1480)),N(E1480)&lt;=0,N(E1480)&gt;1440),"Durée invalide",IF(COUNTIFS(sj_date,A1480,sj_eq,B1480,sj_po,C1480)=0,"Pas de saisie journalière ce jour-là","OK")))))))))))</f>
        <v/>
      </c>
      <c r="J1480">
        <f>IF(OR(I1480="OK",I1480="Pas de saisie journalière ce jour-là"),E1480,0)</f>
        <v>0.0</v>
      </c>
      <c r="K1480">
        <f>IF(AND(J1480&gt;0,A1480&gt;=p_from,A1480&lt;=p_to),1,0)</f>
        <v>0.0</v>
      </c>
      <c r="L1480">
        <f>IF(AND(K1480=1,OR(pa_po="",C1480=pa_po),OR(pa_eq="",B1480=pa_eq)),1,0)</f>
        <v>0.0</v>
      </c>
    </row>
    <row r="1481">
      <c r="A1481" s="51" t="n"/>
      <c r="B1481" s="52" t="n"/>
      <c r="C1481" s="52" t="n"/>
      <c r="D1481" s="53" t="n"/>
      <c r="E1481" s="60" t="n"/>
      <c r="F1481" s="53" t="n"/>
      <c r="G1481" s="61" t="str">
        <f>IF(OR(COUNTA(A1481:E1481)=0,D1481=""),"",IFERROR(INDEX(ca_fam,MATCH(D1481,ca_name,0))&amp;"",""))</f>
        <v/>
      </c>
      <c r="H1481" s="58" t="str">
        <f>IF(OR(COUNTA(A1481:E1481)=0,D1481=""),"",IFERROR(INDEX(ca_type,MATCH(D1481,ca_name,0))&amp;"",""))</f>
        <v/>
      </c>
      <c r="I1481" s="58" t="str">
        <f>IF(COUNTA(A1481:E1481)=0,"",IF(N(A1481)&lt;=0,"Date manquante ou invalide",IF(B1481="","Équipe manquante",IF(ISNA(MATCH(B1481,eq_code,0)),"Équipe inconnue",IF(C1481="","Poste manquant",IF(ISNA(MATCH(C1481,po_code,0)),"Poste inconnu",IF(D1481="","Cause manquante",IF(ISNA(MATCH(D1481,ca_name,0)),"Cause inconnue",IF(H1481="","Cause à compléter dans Paramètres",IF(OR(NOT(ISNUMBER(E1481)),N(E1481)&lt;=0,N(E1481)&gt;1440),"Durée invalide",IF(COUNTIFS(sj_date,A1481,sj_eq,B1481,sj_po,C1481)=0,"Pas de saisie journalière ce jour-là","OK")))))))))))</f>
        <v/>
      </c>
      <c r="J1481">
        <f>IF(OR(I1481="OK",I1481="Pas de saisie journalière ce jour-là"),E1481,0)</f>
        <v>0.0</v>
      </c>
      <c r="K1481">
        <f>IF(AND(J1481&gt;0,A1481&gt;=p_from,A1481&lt;=p_to),1,0)</f>
        <v>0.0</v>
      </c>
      <c r="L1481">
        <f>IF(AND(K1481=1,OR(pa_po="",C1481=pa_po),OR(pa_eq="",B1481=pa_eq)),1,0)</f>
        <v>0.0</v>
      </c>
    </row>
    <row r="1482">
      <c r="A1482" s="51" t="n"/>
      <c r="B1482" s="52" t="n"/>
      <c r="C1482" s="52" t="n"/>
      <c r="D1482" s="53" t="n"/>
      <c r="E1482" s="60" t="n"/>
      <c r="F1482" s="53" t="n"/>
      <c r="G1482" s="61" t="str">
        <f>IF(OR(COUNTA(A1482:E1482)=0,D1482=""),"",IFERROR(INDEX(ca_fam,MATCH(D1482,ca_name,0))&amp;"",""))</f>
        <v/>
      </c>
      <c r="H1482" s="58" t="str">
        <f>IF(OR(COUNTA(A1482:E1482)=0,D1482=""),"",IFERROR(INDEX(ca_type,MATCH(D1482,ca_name,0))&amp;"",""))</f>
        <v/>
      </c>
      <c r="I1482" s="58" t="str">
        <f>IF(COUNTA(A1482:E1482)=0,"",IF(N(A1482)&lt;=0,"Date manquante ou invalide",IF(B1482="","Équipe manquante",IF(ISNA(MATCH(B1482,eq_code,0)),"Équipe inconnue",IF(C1482="","Poste manquant",IF(ISNA(MATCH(C1482,po_code,0)),"Poste inconnu",IF(D1482="","Cause manquante",IF(ISNA(MATCH(D1482,ca_name,0)),"Cause inconnue",IF(H1482="","Cause à compléter dans Paramètres",IF(OR(NOT(ISNUMBER(E1482)),N(E1482)&lt;=0,N(E1482)&gt;1440),"Durée invalide",IF(COUNTIFS(sj_date,A1482,sj_eq,B1482,sj_po,C1482)=0,"Pas de saisie journalière ce jour-là","OK")))))))))))</f>
        <v/>
      </c>
      <c r="J1482">
        <f>IF(OR(I1482="OK",I1482="Pas de saisie journalière ce jour-là"),E1482,0)</f>
        <v>0.0</v>
      </c>
      <c r="K1482">
        <f>IF(AND(J1482&gt;0,A1482&gt;=p_from,A1482&lt;=p_to),1,0)</f>
        <v>0.0</v>
      </c>
      <c r="L1482">
        <f>IF(AND(K1482=1,OR(pa_po="",C1482=pa_po),OR(pa_eq="",B1482=pa_eq)),1,0)</f>
        <v>0.0</v>
      </c>
    </row>
    <row r="1483">
      <c r="A1483" s="51" t="n"/>
      <c r="B1483" s="52" t="n"/>
      <c r="C1483" s="52" t="n"/>
      <c r="D1483" s="53" t="n"/>
      <c r="E1483" s="60" t="n"/>
      <c r="F1483" s="53" t="n"/>
      <c r="G1483" s="61" t="str">
        <f>IF(OR(COUNTA(A1483:E1483)=0,D1483=""),"",IFERROR(INDEX(ca_fam,MATCH(D1483,ca_name,0))&amp;"",""))</f>
        <v/>
      </c>
      <c r="H1483" s="58" t="str">
        <f>IF(OR(COUNTA(A1483:E1483)=0,D1483=""),"",IFERROR(INDEX(ca_type,MATCH(D1483,ca_name,0))&amp;"",""))</f>
        <v/>
      </c>
      <c r="I1483" s="58" t="str">
        <f>IF(COUNTA(A1483:E1483)=0,"",IF(N(A1483)&lt;=0,"Date manquante ou invalide",IF(B1483="","Équipe manquante",IF(ISNA(MATCH(B1483,eq_code,0)),"Équipe inconnue",IF(C1483="","Poste manquant",IF(ISNA(MATCH(C1483,po_code,0)),"Poste inconnu",IF(D1483="","Cause manquante",IF(ISNA(MATCH(D1483,ca_name,0)),"Cause inconnue",IF(H1483="","Cause à compléter dans Paramètres",IF(OR(NOT(ISNUMBER(E1483)),N(E1483)&lt;=0,N(E1483)&gt;1440),"Durée invalide",IF(COUNTIFS(sj_date,A1483,sj_eq,B1483,sj_po,C1483)=0,"Pas de saisie journalière ce jour-là","OK")))))))))))</f>
        <v/>
      </c>
      <c r="J1483">
        <f>IF(OR(I1483="OK",I1483="Pas de saisie journalière ce jour-là"),E1483,0)</f>
        <v>0.0</v>
      </c>
      <c r="K1483">
        <f>IF(AND(J1483&gt;0,A1483&gt;=p_from,A1483&lt;=p_to),1,0)</f>
        <v>0.0</v>
      </c>
      <c r="L1483">
        <f>IF(AND(K1483=1,OR(pa_po="",C1483=pa_po),OR(pa_eq="",B1483=pa_eq)),1,0)</f>
        <v>0.0</v>
      </c>
    </row>
    <row r="1484">
      <c r="A1484" s="51" t="n"/>
      <c r="B1484" s="52" t="n"/>
      <c r="C1484" s="52" t="n"/>
      <c r="D1484" s="53" t="n"/>
      <c r="E1484" s="60" t="n"/>
      <c r="F1484" s="53" t="n"/>
      <c r="G1484" s="61" t="str">
        <f>IF(OR(COUNTA(A1484:E1484)=0,D1484=""),"",IFERROR(INDEX(ca_fam,MATCH(D1484,ca_name,0))&amp;"",""))</f>
        <v/>
      </c>
      <c r="H1484" s="58" t="str">
        <f>IF(OR(COUNTA(A1484:E1484)=0,D1484=""),"",IFERROR(INDEX(ca_type,MATCH(D1484,ca_name,0))&amp;"",""))</f>
        <v/>
      </c>
      <c r="I1484" s="58" t="str">
        <f>IF(COUNTA(A1484:E1484)=0,"",IF(N(A1484)&lt;=0,"Date manquante ou invalide",IF(B1484="","Équipe manquante",IF(ISNA(MATCH(B1484,eq_code,0)),"Équipe inconnue",IF(C1484="","Poste manquant",IF(ISNA(MATCH(C1484,po_code,0)),"Poste inconnu",IF(D1484="","Cause manquante",IF(ISNA(MATCH(D1484,ca_name,0)),"Cause inconnue",IF(H1484="","Cause à compléter dans Paramètres",IF(OR(NOT(ISNUMBER(E1484)),N(E1484)&lt;=0,N(E1484)&gt;1440),"Durée invalide",IF(COUNTIFS(sj_date,A1484,sj_eq,B1484,sj_po,C1484)=0,"Pas de saisie journalière ce jour-là","OK")))))))))))</f>
        <v/>
      </c>
      <c r="J1484">
        <f>IF(OR(I1484="OK",I1484="Pas de saisie journalière ce jour-là"),E1484,0)</f>
        <v>0.0</v>
      </c>
      <c r="K1484">
        <f>IF(AND(J1484&gt;0,A1484&gt;=p_from,A1484&lt;=p_to),1,0)</f>
        <v>0.0</v>
      </c>
      <c r="L1484">
        <f>IF(AND(K1484=1,OR(pa_po="",C1484=pa_po),OR(pa_eq="",B1484=pa_eq)),1,0)</f>
        <v>0.0</v>
      </c>
    </row>
    <row r="1485">
      <c r="A1485" s="51" t="n"/>
      <c r="B1485" s="52" t="n"/>
      <c r="C1485" s="52" t="n"/>
      <c r="D1485" s="53" t="n"/>
      <c r="E1485" s="60" t="n"/>
      <c r="F1485" s="53" t="n"/>
      <c r="G1485" s="61" t="str">
        <f>IF(OR(COUNTA(A1485:E1485)=0,D1485=""),"",IFERROR(INDEX(ca_fam,MATCH(D1485,ca_name,0))&amp;"",""))</f>
        <v/>
      </c>
      <c r="H1485" s="58" t="str">
        <f>IF(OR(COUNTA(A1485:E1485)=0,D1485=""),"",IFERROR(INDEX(ca_type,MATCH(D1485,ca_name,0))&amp;"",""))</f>
        <v/>
      </c>
      <c r="I1485" s="58" t="str">
        <f>IF(COUNTA(A1485:E1485)=0,"",IF(N(A1485)&lt;=0,"Date manquante ou invalide",IF(B1485="","Équipe manquante",IF(ISNA(MATCH(B1485,eq_code,0)),"Équipe inconnue",IF(C1485="","Poste manquant",IF(ISNA(MATCH(C1485,po_code,0)),"Poste inconnu",IF(D1485="","Cause manquante",IF(ISNA(MATCH(D1485,ca_name,0)),"Cause inconnue",IF(H1485="","Cause à compléter dans Paramètres",IF(OR(NOT(ISNUMBER(E1485)),N(E1485)&lt;=0,N(E1485)&gt;1440),"Durée invalide",IF(COUNTIFS(sj_date,A1485,sj_eq,B1485,sj_po,C1485)=0,"Pas de saisie journalière ce jour-là","OK")))))))))))</f>
        <v/>
      </c>
      <c r="J1485">
        <f>IF(OR(I1485="OK",I1485="Pas de saisie journalière ce jour-là"),E1485,0)</f>
        <v>0.0</v>
      </c>
      <c r="K1485">
        <f>IF(AND(J1485&gt;0,A1485&gt;=p_from,A1485&lt;=p_to),1,0)</f>
        <v>0.0</v>
      </c>
      <c r="L1485">
        <f>IF(AND(K1485=1,OR(pa_po="",C1485=pa_po),OR(pa_eq="",B1485=pa_eq)),1,0)</f>
        <v>0.0</v>
      </c>
    </row>
    <row r="1486">
      <c r="A1486" s="51" t="n"/>
      <c r="B1486" s="52" t="n"/>
      <c r="C1486" s="52" t="n"/>
      <c r="D1486" s="53" t="n"/>
      <c r="E1486" s="60" t="n"/>
      <c r="F1486" s="53" t="n"/>
      <c r="G1486" s="61" t="str">
        <f>IF(OR(COUNTA(A1486:E1486)=0,D1486=""),"",IFERROR(INDEX(ca_fam,MATCH(D1486,ca_name,0))&amp;"",""))</f>
        <v/>
      </c>
      <c r="H1486" s="58" t="str">
        <f>IF(OR(COUNTA(A1486:E1486)=0,D1486=""),"",IFERROR(INDEX(ca_type,MATCH(D1486,ca_name,0))&amp;"",""))</f>
        <v/>
      </c>
      <c r="I1486" s="58" t="str">
        <f>IF(COUNTA(A1486:E1486)=0,"",IF(N(A1486)&lt;=0,"Date manquante ou invalide",IF(B1486="","Équipe manquante",IF(ISNA(MATCH(B1486,eq_code,0)),"Équipe inconnue",IF(C1486="","Poste manquant",IF(ISNA(MATCH(C1486,po_code,0)),"Poste inconnu",IF(D1486="","Cause manquante",IF(ISNA(MATCH(D1486,ca_name,0)),"Cause inconnue",IF(H1486="","Cause à compléter dans Paramètres",IF(OR(NOT(ISNUMBER(E1486)),N(E1486)&lt;=0,N(E1486)&gt;1440),"Durée invalide",IF(COUNTIFS(sj_date,A1486,sj_eq,B1486,sj_po,C1486)=0,"Pas de saisie journalière ce jour-là","OK")))))))))))</f>
        <v/>
      </c>
      <c r="J1486">
        <f>IF(OR(I1486="OK",I1486="Pas de saisie journalière ce jour-là"),E1486,0)</f>
        <v>0.0</v>
      </c>
      <c r="K1486">
        <f>IF(AND(J1486&gt;0,A1486&gt;=p_from,A1486&lt;=p_to),1,0)</f>
        <v>0.0</v>
      </c>
      <c r="L1486">
        <f>IF(AND(K1486=1,OR(pa_po="",C1486=pa_po),OR(pa_eq="",B1486=pa_eq)),1,0)</f>
        <v>0.0</v>
      </c>
    </row>
    <row r="1487">
      <c r="A1487" s="51" t="n"/>
      <c r="B1487" s="52" t="n"/>
      <c r="C1487" s="52" t="n"/>
      <c r="D1487" s="53" t="n"/>
      <c r="E1487" s="60" t="n"/>
      <c r="F1487" s="53" t="n"/>
      <c r="G1487" s="61" t="str">
        <f>IF(OR(COUNTA(A1487:E1487)=0,D1487=""),"",IFERROR(INDEX(ca_fam,MATCH(D1487,ca_name,0))&amp;"",""))</f>
        <v/>
      </c>
      <c r="H1487" s="58" t="str">
        <f>IF(OR(COUNTA(A1487:E1487)=0,D1487=""),"",IFERROR(INDEX(ca_type,MATCH(D1487,ca_name,0))&amp;"",""))</f>
        <v/>
      </c>
      <c r="I1487" s="58" t="str">
        <f>IF(COUNTA(A1487:E1487)=0,"",IF(N(A1487)&lt;=0,"Date manquante ou invalide",IF(B1487="","Équipe manquante",IF(ISNA(MATCH(B1487,eq_code,0)),"Équipe inconnue",IF(C1487="","Poste manquant",IF(ISNA(MATCH(C1487,po_code,0)),"Poste inconnu",IF(D1487="","Cause manquante",IF(ISNA(MATCH(D1487,ca_name,0)),"Cause inconnue",IF(H1487="","Cause à compléter dans Paramètres",IF(OR(NOT(ISNUMBER(E1487)),N(E1487)&lt;=0,N(E1487)&gt;1440),"Durée invalide",IF(COUNTIFS(sj_date,A1487,sj_eq,B1487,sj_po,C1487)=0,"Pas de saisie journalière ce jour-là","OK")))))))))))</f>
        <v/>
      </c>
      <c r="J1487">
        <f>IF(OR(I1487="OK",I1487="Pas de saisie journalière ce jour-là"),E1487,0)</f>
        <v>0.0</v>
      </c>
      <c r="K1487">
        <f>IF(AND(J1487&gt;0,A1487&gt;=p_from,A1487&lt;=p_to),1,0)</f>
        <v>0.0</v>
      </c>
      <c r="L1487">
        <f>IF(AND(K1487=1,OR(pa_po="",C1487=pa_po),OR(pa_eq="",B1487=pa_eq)),1,0)</f>
        <v>0.0</v>
      </c>
    </row>
    <row r="1488">
      <c r="A1488" s="51" t="n"/>
      <c r="B1488" s="52" t="n"/>
      <c r="C1488" s="52" t="n"/>
      <c r="D1488" s="53" t="n"/>
      <c r="E1488" s="60" t="n"/>
      <c r="F1488" s="53" t="n"/>
      <c r="G1488" s="61" t="str">
        <f>IF(OR(COUNTA(A1488:E1488)=0,D1488=""),"",IFERROR(INDEX(ca_fam,MATCH(D1488,ca_name,0))&amp;"",""))</f>
        <v/>
      </c>
      <c r="H1488" s="58" t="str">
        <f>IF(OR(COUNTA(A1488:E1488)=0,D1488=""),"",IFERROR(INDEX(ca_type,MATCH(D1488,ca_name,0))&amp;"",""))</f>
        <v/>
      </c>
      <c r="I1488" s="58" t="str">
        <f>IF(COUNTA(A1488:E1488)=0,"",IF(N(A1488)&lt;=0,"Date manquante ou invalide",IF(B1488="","Équipe manquante",IF(ISNA(MATCH(B1488,eq_code,0)),"Équipe inconnue",IF(C1488="","Poste manquant",IF(ISNA(MATCH(C1488,po_code,0)),"Poste inconnu",IF(D1488="","Cause manquante",IF(ISNA(MATCH(D1488,ca_name,0)),"Cause inconnue",IF(H1488="","Cause à compléter dans Paramètres",IF(OR(NOT(ISNUMBER(E1488)),N(E1488)&lt;=0,N(E1488)&gt;1440),"Durée invalide",IF(COUNTIFS(sj_date,A1488,sj_eq,B1488,sj_po,C1488)=0,"Pas de saisie journalière ce jour-là","OK")))))))))))</f>
        <v/>
      </c>
      <c r="J1488">
        <f>IF(OR(I1488="OK",I1488="Pas de saisie journalière ce jour-là"),E1488,0)</f>
        <v>0.0</v>
      </c>
      <c r="K1488">
        <f>IF(AND(J1488&gt;0,A1488&gt;=p_from,A1488&lt;=p_to),1,0)</f>
        <v>0.0</v>
      </c>
      <c r="L1488">
        <f>IF(AND(K1488=1,OR(pa_po="",C1488=pa_po),OR(pa_eq="",B1488=pa_eq)),1,0)</f>
        <v>0.0</v>
      </c>
    </row>
    <row r="1489">
      <c r="A1489" s="51" t="n"/>
      <c r="B1489" s="52" t="n"/>
      <c r="C1489" s="52" t="n"/>
      <c r="D1489" s="53" t="n"/>
      <c r="E1489" s="60" t="n"/>
      <c r="F1489" s="53" t="n"/>
      <c r="G1489" s="61" t="str">
        <f>IF(OR(COUNTA(A1489:E1489)=0,D1489=""),"",IFERROR(INDEX(ca_fam,MATCH(D1489,ca_name,0))&amp;"",""))</f>
        <v/>
      </c>
      <c r="H1489" s="58" t="str">
        <f>IF(OR(COUNTA(A1489:E1489)=0,D1489=""),"",IFERROR(INDEX(ca_type,MATCH(D1489,ca_name,0))&amp;"",""))</f>
        <v/>
      </c>
      <c r="I1489" s="58" t="str">
        <f>IF(COUNTA(A1489:E1489)=0,"",IF(N(A1489)&lt;=0,"Date manquante ou invalide",IF(B1489="","Équipe manquante",IF(ISNA(MATCH(B1489,eq_code,0)),"Équipe inconnue",IF(C1489="","Poste manquant",IF(ISNA(MATCH(C1489,po_code,0)),"Poste inconnu",IF(D1489="","Cause manquante",IF(ISNA(MATCH(D1489,ca_name,0)),"Cause inconnue",IF(H1489="","Cause à compléter dans Paramètres",IF(OR(NOT(ISNUMBER(E1489)),N(E1489)&lt;=0,N(E1489)&gt;1440),"Durée invalide",IF(COUNTIFS(sj_date,A1489,sj_eq,B1489,sj_po,C1489)=0,"Pas de saisie journalière ce jour-là","OK")))))))))))</f>
        <v/>
      </c>
      <c r="J1489">
        <f>IF(OR(I1489="OK",I1489="Pas de saisie journalière ce jour-là"),E1489,0)</f>
        <v>0.0</v>
      </c>
      <c r="K1489">
        <f>IF(AND(J1489&gt;0,A1489&gt;=p_from,A1489&lt;=p_to),1,0)</f>
        <v>0.0</v>
      </c>
      <c r="L1489">
        <f>IF(AND(K1489=1,OR(pa_po="",C1489=pa_po),OR(pa_eq="",B1489=pa_eq)),1,0)</f>
        <v>0.0</v>
      </c>
    </row>
    <row r="1490">
      <c r="A1490" s="51" t="n"/>
      <c r="B1490" s="52" t="n"/>
      <c r="C1490" s="52" t="n"/>
      <c r="D1490" s="53" t="n"/>
      <c r="E1490" s="60" t="n"/>
      <c r="F1490" s="53" t="n"/>
      <c r="G1490" s="61" t="str">
        <f>IF(OR(COUNTA(A1490:E1490)=0,D1490=""),"",IFERROR(INDEX(ca_fam,MATCH(D1490,ca_name,0))&amp;"",""))</f>
        <v/>
      </c>
      <c r="H1490" s="58" t="str">
        <f>IF(OR(COUNTA(A1490:E1490)=0,D1490=""),"",IFERROR(INDEX(ca_type,MATCH(D1490,ca_name,0))&amp;"",""))</f>
        <v/>
      </c>
      <c r="I1490" s="58" t="str">
        <f>IF(COUNTA(A1490:E1490)=0,"",IF(N(A1490)&lt;=0,"Date manquante ou invalide",IF(B1490="","Équipe manquante",IF(ISNA(MATCH(B1490,eq_code,0)),"Équipe inconnue",IF(C1490="","Poste manquant",IF(ISNA(MATCH(C1490,po_code,0)),"Poste inconnu",IF(D1490="","Cause manquante",IF(ISNA(MATCH(D1490,ca_name,0)),"Cause inconnue",IF(H1490="","Cause à compléter dans Paramètres",IF(OR(NOT(ISNUMBER(E1490)),N(E1490)&lt;=0,N(E1490)&gt;1440),"Durée invalide",IF(COUNTIFS(sj_date,A1490,sj_eq,B1490,sj_po,C1490)=0,"Pas de saisie journalière ce jour-là","OK")))))))))))</f>
        <v/>
      </c>
      <c r="J1490">
        <f>IF(OR(I1490="OK",I1490="Pas de saisie journalière ce jour-là"),E1490,0)</f>
        <v>0.0</v>
      </c>
      <c r="K1490">
        <f>IF(AND(J1490&gt;0,A1490&gt;=p_from,A1490&lt;=p_to),1,0)</f>
        <v>0.0</v>
      </c>
      <c r="L1490">
        <f>IF(AND(K1490=1,OR(pa_po="",C1490=pa_po),OR(pa_eq="",B1490=pa_eq)),1,0)</f>
        <v>0.0</v>
      </c>
    </row>
    <row r="1491">
      <c r="A1491" s="51" t="n"/>
      <c r="B1491" s="52" t="n"/>
      <c r="C1491" s="52" t="n"/>
      <c r="D1491" s="53" t="n"/>
      <c r="E1491" s="60" t="n"/>
      <c r="F1491" s="53" t="n"/>
      <c r="G1491" s="61" t="str">
        <f>IF(OR(COUNTA(A1491:E1491)=0,D1491=""),"",IFERROR(INDEX(ca_fam,MATCH(D1491,ca_name,0))&amp;"",""))</f>
        <v/>
      </c>
      <c r="H1491" s="58" t="str">
        <f>IF(OR(COUNTA(A1491:E1491)=0,D1491=""),"",IFERROR(INDEX(ca_type,MATCH(D1491,ca_name,0))&amp;"",""))</f>
        <v/>
      </c>
      <c r="I1491" s="58" t="str">
        <f>IF(COUNTA(A1491:E1491)=0,"",IF(N(A1491)&lt;=0,"Date manquante ou invalide",IF(B1491="","Équipe manquante",IF(ISNA(MATCH(B1491,eq_code,0)),"Équipe inconnue",IF(C1491="","Poste manquant",IF(ISNA(MATCH(C1491,po_code,0)),"Poste inconnu",IF(D1491="","Cause manquante",IF(ISNA(MATCH(D1491,ca_name,0)),"Cause inconnue",IF(H1491="","Cause à compléter dans Paramètres",IF(OR(NOT(ISNUMBER(E1491)),N(E1491)&lt;=0,N(E1491)&gt;1440),"Durée invalide",IF(COUNTIFS(sj_date,A1491,sj_eq,B1491,sj_po,C1491)=0,"Pas de saisie journalière ce jour-là","OK")))))))))))</f>
        <v/>
      </c>
      <c r="J1491">
        <f>IF(OR(I1491="OK",I1491="Pas de saisie journalière ce jour-là"),E1491,0)</f>
        <v>0.0</v>
      </c>
      <c r="K1491">
        <f>IF(AND(J1491&gt;0,A1491&gt;=p_from,A1491&lt;=p_to),1,0)</f>
        <v>0.0</v>
      </c>
      <c r="L1491">
        <f>IF(AND(K1491=1,OR(pa_po="",C1491=pa_po),OR(pa_eq="",B1491=pa_eq)),1,0)</f>
        <v>0.0</v>
      </c>
    </row>
    <row r="1492">
      <c r="A1492" s="51" t="n"/>
      <c r="B1492" s="52" t="n"/>
      <c r="C1492" s="52" t="n"/>
      <c r="D1492" s="53" t="n"/>
      <c r="E1492" s="60" t="n"/>
      <c r="F1492" s="53" t="n"/>
      <c r="G1492" s="61" t="str">
        <f>IF(OR(COUNTA(A1492:E1492)=0,D1492=""),"",IFERROR(INDEX(ca_fam,MATCH(D1492,ca_name,0))&amp;"",""))</f>
        <v/>
      </c>
      <c r="H1492" s="58" t="str">
        <f>IF(OR(COUNTA(A1492:E1492)=0,D1492=""),"",IFERROR(INDEX(ca_type,MATCH(D1492,ca_name,0))&amp;"",""))</f>
        <v/>
      </c>
      <c r="I1492" s="58" t="str">
        <f>IF(COUNTA(A1492:E1492)=0,"",IF(N(A1492)&lt;=0,"Date manquante ou invalide",IF(B1492="","Équipe manquante",IF(ISNA(MATCH(B1492,eq_code,0)),"Équipe inconnue",IF(C1492="","Poste manquant",IF(ISNA(MATCH(C1492,po_code,0)),"Poste inconnu",IF(D1492="","Cause manquante",IF(ISNA(MATCH(D1492,ca_name,0)),"Cause inconnue",IF(H1492="","Cause à compléter dans Paramètres",IF(OR(NOT(ISNUMBER(E1492)),N(E1492)&lt;=0,N(E1492)&gt;1440),"Durée invalide",IF(COUNTIFS(sj_date,A1492,sj_eq,B1492,sj_po,C1492)=0,"Pas de saisie journalière ce jour-là","OK")))))))))))</f>
        <v/>
      </c>
      <c r="J1492">
        <f>IF(OR(I1492="OK",I1492="Pas de saisie journalière ce jour-là"),E1492,0)</f>
        <v>0.0</v>
      </c>
      <c r="K1492">
        <f>IF(AND(J1492&gt;0,A1492&gt;=p_from,A1492&lt;=p_to),1,0)</f>
        <v>0.0</v>
      </c>
      <c r="L1492">
        <f>IF(AND(K1492=1,OR(pa_po="",C1492=pa_po),OR(pa_eq="",B1492=pa_eq)),1,0)</f>
        <v>0.0</v>
      </c>
    </row>
    <row r="1493">
      <c r="A1493" s="51" t="n"/>
      <c r="B1493" s="52" t="n"/>
      <c r="C1493" s="52" t="n"/>
      <c r="D1493" s="53" t="n"/>
      <c r="E1493" s="60" t="n"/>
      <c r="F1493" s="53" t="n"/>
      <c r="G1493" s="61" t="str">
        <f>IF(OR(COUNTA(A1493:E1493)=0,D1493=""),"",IFERROR(INDEX(ca_fam,MATCH(D1493,ca_name,0))&amp;"",""))</f>
        <v/>
      </c>
      <c r="H1493" s="58" t="str">
        <f>IF(OR(COUNTA(A1493:E1493)=0,D1493=""),"",IFERROR(INDEX(ca_type,MATCH(D1493,ca_name,0))&amp;"",""))</f>
        <v/>
      </c>
      <c r="I1493" s="58" t="str">
        <f>IF(COUNTA(A1493:E1493)=0,"",IF(N(A1493)&lt;=0,"Date manquante ou invalide",IF(B1493="","Équipe manquante",IF(ISNA(MATCH(B1493,eq_code,0)),"Équipe inconnue",IF(C1493="","Poste manquant",IF(ISNA(MATCH(C1493,po_code,0)),"Poste inconnu",IF(D1493="","Cause manquante",IF(ISNA(MATCH(D1493,ca_name,0)),"Cause inconnue",IF(H1493="","Cause à compléter dans Paramètres",IF(OR(NOT(ISNUMBER(E1493)),N(E1493)&lt;=0,N(E1493)&gt;1440),"Durée invalide",IF(COUNTIFS(sj_date,A1493,sj_eq,B1493,sj_po,C1493)=0,"Pas de saisie journalière ce jour-là","OK")))))))))))</f>
        <v/>
      </c>
      <c r="J1493">
        <f>IF(OR(I1493="OK",I1493="Pas de saisie journalière ce jour-là"),E1493,0)</f>
        <v>0.0</v>
      </c>
      <c r="K1493">
        <f>IF(AND(J1493&gt;0,A1493&gt;=p_from,A1493&lt;=p_to),1,0)</f>
        <v>0.0</v>
      </c>
      <c r="L1493">
        <f>IF(AND(K1493=1,OR(pa_po="",C1493=pa_po),OR(pa_eq="",B1493=pa_eq)),1,0)</f>
        <v>0.0</v>
      </c>
    </row>
    <row r="1494">
      <c r="A1494" s="51" t="n"/>
      <c r="B1494" s="52" t="n"/>
      <c r="C1494" s="52" t="n"/>
      <c r="D1494" s="53" t="n"/>
      <c r="E1494" s="60" t="n"/>
      <c r="F1494" s="53" t="n"/>
      <c r="G1494" s="61" t="str">
        <f>IF(OR(COUNTA(A1494:E1494)=0,D1494=""),"",IFERROR(INDEX(ca_fam,MATCH(D1494,ca_name,0))&amp;"",""))</f>
        <v/>
      </c>
      <c r="H1494" s="58" t="str">
        <f>IF(OR(COUNTA(A1494:E1494)=0,D1494=""),"",IFERROR(INDEX(ca_type,MATCH(D1494,ca_name,0))&amp;"",""))</f>
        <v/>
      </c>
      <c r="I1494" s="58" t="str">
        <f>IF(COUNTA(A1494:E1494)=0,"",IF(N(A1494)&lt;=0,"Date manquante ou invalide",IF(B1494="","Équipe manquante",IF(ISNA(MATCH(B1494,eq_code,0)),"Équipe inconnue",IF(C1494="","Poste manquant",IF(ISNA(MATCH(C1494,po_code,0)),"Poste inconnu",IF(D1494="","Cause manquante",IF(ISNA(MATCH(D1494,ca_name,0)),"Cause inconnue",IF(H1494="","Cause à compléter dans Paramètres",IF(OR(NOT(ISNUMBER(E1494)),N(E1494)&lt;=0,N(E1494)&gt;1440),"Durée invalide",IF(COUNTIFS(sj_date,A1494,sj_eq,B1494,sj_po,C1494)=0,"Pas de saisie journalière ce jour-là","OK")))))))))))</f>
        <v/>
      </c>
      <c r="J1494">
        <f>IF(OR(I1494="OK",I1494="Pas de saisie journalière ce jour-là"),E1494,0)</f>
        <v>0.0</v>
      </c>
      <c r="K1494">
        <f>IF(AND(J1494&gt;0,A1494&gt;=p_from,A1494&lt;=p_to),1,0)</f>
        <v>0.0</v>
      </c>
      <c r="L1494">
        <f>IF(AND(K1494=1,OR(pa_po="",C1494=pa_po),OR(pa_eq="",B1494=pa_eq)),1,0)</f>
        <v>0.0</v>
      </c>
    </row>
    <row r="1495">
      <c r="A1495" s="51" t="n"/>
      <c r="B1495" s="52" t="n"/>
      <c r="C1495" s="52" t="n"/>
      <c r="D1495" s="53" t="n"/>
      <c r="E1495" s="60" t="n"/>
      <c r="F1495" s="53" t="n"/>
      <c r="G1495" s="61" t="str">
        <f>IF(OR(COUNTA(A1495:E1495)=0,D1495=""),"",IFERROR(INDEX(ca_fam,MATCH(D1495,ca_name,0))&amp;"",""))</f>
        <v/>
      </c>
      <c r="H1495" s="58" t="str">
        <f>IF(OR(COUNTA(A1495:E1495)=0,D1495=""),"",IFERROR(INDEX(ca_type,MATCH(D1495,ca_name,0))&amp;"",""))</f>
        <v/>
      </c>
      <c r="I1495" s="58" t="str">
        <f>IF(COUNTA(A1495:E1495)=0,"",IF(N(A1495)&lt;=0,"Date manquante ou invalide",IF(B1495="","Équipe manquante",IF(ISNA(MATCH(B1495,eq_code,0)),"Équipe inconnue",IF(C1495="","Poste manquant",IF(ISNA(MATCH(C1495,po_code,0)),"Poste inconnu",IF(D1495="","Cause manquante",IF(ISNA(MATCH(D1495,ca_name,0)),"Cause inconnue",IF(H1495="","Cause à compléter dans Paramètres",IF(OR(NOT(ISNUMBER(E1495)),N(E1495)&lt;=0,N(E1495)&gt;1440),"Durée invalide",IF(COUNTIFS(sj_date,A1495,sj_eq,B1495,sj_po,C1495)=0,"Pas de saisie journalière ce jour-là","OK")))))))))))</f>
        <v/>
      </c>
      <c r="J1495">
        <f>IF(OR(I1495="OK",I1495="Pas de saisie journalière ce jour-là"),E1495,0)</f>
        <v>0.0</v>
      </c>
      <c r="K1495">
        <f>IF(AND(J1495&gt;0,A1495&gt;=p_from,A1495&lt;=p_to),1,0)</f>
        <v>0.0</v>
      </c>
      <c r="L1495">
        <f>IF(AND(K1495=1,OR(pa_po="",C1495=pa_po),OR(pa_eq="",B1495=pa_eq)),1,0)</f>
        <v>0.0</v>
      </c>
    </row>
    <row r="1496">
      <c r="A1496" s="51" t="n"/>
      <c r="B1496" s="52" t="n"/>
      <c r="C1496" s="52" t="n"/>
      <c r="D1496" s="53" t="n"/>
      <c r="E1496" s="60" t="n"/>
      <c r="F1496" s="53" t="n"/>
      <c r="G1496" s="61" t="str">
        <f>IF(OR(COUNTA(A1496:E1496)=0,D1496=""),"",IFERROR(INDEX(ca_fam,MATCH(D1496,ca_name,0))&amp;"",""))</f>
        <v/>
      </c>
      <c r="H1496" s="58" t="str">
        <f>IF(OR(COUNTA(A1496:E1496)=0,D1496=""),"",IFERROR(INDEX(ca_type,MATCH(D1496,ca_name,0))&amp;"",""))</f>
        <v/>
      </c>
      <c r="I1496" s="58" t="str">
        <f>IF(COUNTA(A1496:E1496)=0,"",IF(N(A1496)&lt;=0,"Date manquante ou invalide",IF(B1496="","Équipe manquante",IF(ISNA(MATCH(B1496,eq_code,0)),"Équipe inconnue",IF(C1496="","Poste manquant",IF(ISNA(MATCH(C1496,po_code,0)),"Poste inconnu",IF(D1496="","Cause manquante",IF(ISNA(MATCH(D1496,ca_name,0)),"Cause inconnue",IF(H1496="","Cause à compléter dans Paramètres",IF(OR(NOT(ISNUMBER(E1496)),N(E1496)&lt;=0,N(E1496)&gt;1440),"Durée invalide",IF(COUNTIFS(sj_date,A1496,sj_eq,B1496,sj_po,C1496)=0,"Pas de saisie journalière ce jour-là","OK")))))))))))</f>
        <v/>
      </c>
      <c r="J1496">
        <f>IF(OR(I1496="OK",I1496="Pas de saisie journalière ce jour-là"),E1496,0)</f>
        <v>0.0</v>
      </c>
      <c r="K1496">
        <f>IF(AND(J1496&gt;0,A1496&gt;=p_from,A1496&lt;=p_to),1,0)</f>
        <v>0.0</v>
      </c>
      <c r="L1496">
        <f>IF(AND(K1496=1,OR(pa_po="",C1496=pa_po),OR(pa_eq="",B1496=pa_eq)),1,0)</f>
        <v>0.0</v>
      </c>
    </row>
    <row r="1497">
      <c r="A1497" s="51" t="n"/>
      <c r="B1497" s="52" t="n"/>
      <c r="C1497" s="52" t="n"/>
      <c r="D1497" s="53" t="n"/>
      <c r="E1497" s="60" t="n"/>
      <c r="F1497" s="53" t="n"/>
      <c r="G1497" s="61" t="str">
        <f>IF(OR(COUNTA(A1497:E1497)=0,D1497=""),"",IFERROR(INDEX(ca_fam,MATCH(D1497,ca_name,0))&amp;"",""))</f>
        <v/>
      </c>
      <c r="H1497" s="58" t="str">
        <f>IF(OR(COUNTA(A1497:E1497)=0,D1497=""),"",IFERROR(INDEX(ca_type,MATCH(D1497,ca_name,0))&amp;"",""))</f>
        <v/>
      </c>
      <c r="I1497" s="58" t="str">
        <f>IF(COUNTA(A1497:E1497)=0,"",IF(N(A1497)&lt;=0,"Date manquante ou invalide",IF(B1497="","Équipe manquante",IF(ISNA(MATCH(B1497,eq_code,0)),"Équipe inconnue",IF(C1497="","Poste manquant",IF(ISNA(MATCH(C1497,po_code,0)),"Poste inconnu",IF(D1497="","Cause manquante",IF(ISNA(MATCH(D1497,ca_name,0)),"Cause inconnue",IF(H1497="","Cause à compléter dans Paramètres",IF(OR(NOT(ISNUMBER(E1497)),N(E1497)&lt;=0,N(E1497)&gt;1440),"Durée invalide",IF(COUNTIFS(sj_date,A1497,sj_eq,B1497,sj_po,C1497)=0,"Pas de saisie journalière ce jour-là","OK")))))))))))</f>
        <v/>
      </c>
      <c r="J1497">
        <f>IF(OR(I1497="OK",I1497="Pas de saisie journalière ce jour-là"),E1497,0)</f>
        <v>0.0</v>
      </c>
      <c r="K1497">
        <f>IF(AND(J1497&gt;0,A1497&gt;=p_from,A1497&lt;=p_to),1,0)</f>
        <v>0.0</v>
      </c>
      <c r="L1497">
        <f>IF(AND(K1497=1,OR(pa_po="",C1497=pa_po),OR(pa_eq="",B1497=pa_eq)),1,0)</f>
        <v>0.0</v>
      </c>
    </row>
    <row r="1498">
      <c r="A1498" s="51" t="n"/>
      <c r="B1498" s="52" t="n"/>
      <c r="C1498" s="52" t="n"/>
      <c r="D1498" s="53" t="n"/>
      <c r="E1498" s="60" t="n"/>
      <c r="F1498" s="53" t="n"/>
      <c r="G1498" s="61" t="str">
        <f>IF(OR(COUNTA(A1498:E1498)=0,D1498=""),"",IFERROR(INDEX(ca_fam,MATCH(D1498,ca_name,0))&amp;"",""))</f>
        <v/>
      </c>
      <c r="H1498" s="58" t="str">
        <f>IF(OR(COUNTA(A1498:E1498)=0,D1498=""),"",IFERROR(INDEX(ca_type,MATCH(D1498,ca_name,0))&amp;"",""))</f>
        <v/>
      </c>
      <c r="I1498" s="58" t="str">
        <f>IF(COUNTA(A1498:E1498)=0,"",IF(N(A1498)&lt;=0,"Date manquante ou invalide",IF(B1498="","Équipe manquante",IF(ISNA(MATCH(B1498,eq_code,0)),"Équipe inconnue",IF(C1498="","Poste manquant",IF(ISNA(MATCH(C1498,po_code,0)),"Poste inconnu",IF(D1498="","Cause manquante",IF(ISNA(MATCH(D1498,ca_name,0)),"Cause inconnue",IF(H1498="","Cause à compléter dans Paramètres",IF(OR(NOT(ISNUMBER(E1498)),N(E1498)&lt;=0,N(E1498)&gt;1440),"Durée invalide",IF(COUNTIFS(sj_date,A1498,sj_eq,B1498,sj_po,C1498)=0,"Pas de saisie journalière ce jour-là","OK")))))))))))</f>
        <v/>
      </c>
      <c r="J1498">
        <f>IF(OR(I1498="OK",I1498="Pas de saisie journalière ce jour-là"),E1498,0)</f>
        <v>0.0</v>
      </c>
      <c r="K1498">
        <f>IF(AND(J1498&gt;0,A1498&gt;=p_from,A1498&lt;=p_to),1,0)</f>
        <v>0.0</v>
      </c>
      <c r="L1498">
        <f>IF(AND(K1498=1,OR(pa_po="",C1498=pa_po),OR(pa_eq="",B1498=pa_eq)),1,0)</f>
        <v>0.0</v>
      </c>
    </row>
    <row r="1499">
      <c r="A1499" s="51" t="n"/>
      <c r="B1499" s="52" t="n"/>
      <c r="C1499" s="52" t="n"/>
      <c r="D1499" s="53" t="n"/>
      <c r="E1499" s="60" t="n"/>
      <c r="F1499" s="53" t="n"/>
      <c r="G1499" s="61" t="str">
        <f>IF(OR(COUNTA(A1499:E1499)=0,D1499=""),"",IFERROR(INDEX(ca_fam,MATCH(D1499,ca_name,0))&amp;"",""))</f>
        <v/>
      </c>
      <c r="H1499" s="58" t="str">
        <f>IF(OR(COUNTA(A1499:E1499)=0,D1499=""),"",IFERROR(INDEX(ca_type,MATCH(D1499,ca_name,0))&amp;"",""))</f>
        <v/>
      </c>
      <c r="I1499" s="58" t="str">
        <f>IF(COUNTA(A1499:E1499)=0,"",IF(N(A1499)&lt;=0,"Date manquante ou invalide",IF(B1499="","Équipe manquante",IF(ISNA(MATCH(B1499,eq_code,0)),"Équipe inconnue",IF(C1499="","Poste manquant",IF(ISNA(MATCH(C1499,po_code,0)),"Poste inconnu",IF(D1499="","Cause manquante",IF(ISNA(MATCH(D1499,ca_name,0)),"Cause inconnue",IF(H1499="","Cause à compléter dans Paramètres",IF(OR(NOT(ISNUMBER(E1499)),N(E1499)&lt;=0,N(E1499)&gt;1440),"Durée invalide",IF(COUNTIFS(sj_date,A1499,sj_eq,B1499,sj_po,C1499)=0,"Pas de saisie journalière ce jour-là","OK")))))))))))</f>
        <v/>
      </c>
      <c r="J1499">
        <f>IF(OR(I1499="OK",I1499="Pas de saisie journalière ce jour-là"),E1499,0)</f>
        <v>0.0</v>
      </c>
      <c r="K1499">
        <f>IF(AND(J1499&gt;0,A1499&gt;=p_from,A1499&lt;=p_to),1,0)</f>
        <v>0.0</v>
      </c>
      <c r="L1499">
        <f>IF(AND(K1499=1,OR(pa_po="",C1499=pa_po),OR(pa_eq="",B1499=pa_eq)),1,0)</f>
        <v>0.0</v>
      </c>
    </row>
    <row r="1500">
      <c r="A1500" s="51" t="n"/>
      <c r="B1500" s="52" t="n"/>
      <c r="C1500" s="52" t="n"/>
      <c r="D1500" s="53" t="n"/>
      <c r="E1500" s="60" t="n"/>
      <c r="F1500" s="53" t="n"/>
      <c r="G1500" s="61" t="str">
        <f>IF(OR(COUNTA(A1500:E1500)=0,D1500=""),"",IFERROR(INDEX(ca_fam,MATCH(D1500,ca_name,0))&amp;"",""))</f>
        <v/>
      </c>
      <c r="H1500" s="58" t="str">
        <f>IF(OR(COUNTA(A1500:E1500)=0,D1500=""),"",IFERROR(INDEX(ca_type,MATCH(D1500,ca_name,0))&amp;"",""))</f>
        <v/>
      </c>
      <c r="I1500" s="58" t="str">
        <f>IF(COUNTA(A1500:E1500)=0,"",IF(N(A1500)&lt;=0,"Date manquante ou invalide",IF(B1500="","Équipe manquante",IF(ISNA(MATCH(B1500,eq_code,0)),"Équipe inconnue",IF(C1500="","Poste manquant",IF(ISNA(MATCH(C1500,po_code,0)),"Poste inconnu",IF(D1500="","Cause manquante",IF(ISNA(MATCH(D1500,ca_name,0)),"Cause inconnue",IF(H1500="","Cause à compléter dans Paramètres",IF(OR(NOT(ISNUMBER(E1500)),N(E1500)&lt;=0,N(E1500)&gt;1440),"Durée invalide",IF(COUNTIFS(sj_date,A1500,sj_eq,B1500,sj_po,C1500)=0,"Pas de saisie journalière ce jour-là","OK")))))))))))</f>
        <v/>
      </c>
      <c r="J1500">
        <f>IF(OR(I1500="OK",I1500="Pas de saisie journalière ce jour-là"),E1500,0)</f>
        <v>0.0</v>
      </c>
      <c r="K1500">
        <f>IF(AND(J1500&gt;0,A1500&gt;=p_from,A1500&lt;=p_to),1,0)</f>
        <v>0.0</v>
      </c>
      <c r="L1500">
        <f>IF(AND(K1500=1,OR(pa_po="",C1500=pa_po),OR(pa_eq="",B1500=pa_eq)),1,0)</f>
        <v>0.0</v>
      </c>
    </row>
    <row r="1501">
      <c r="A1501" s="51" t="n"/>
      <c r="B1501" s="52" t="n"/>
      <c r="C1501" s="52" t="n"/>
      <c r="D1501" s="53" t="n"/>
      <c r="E1501" s="60" t="n"/>
      <c r="F1501" s="53" t="n"/>
      <c r="G1501" s="61" t="str">
        <f>IF(OR(COUNTA(A1501:E1501)=0,D1501=""),"",IFERROR(INDEX(ca_fam,MATCH(D1501,ca_name,0))&amp;"",""))</f>
        <v/>
      </c>
      <c r="H1501" s="58" t="str">
        <f>IF(OR(COUNTA(A1501:E1501)=0,D1501=""),"",IFERROR(INDEX(ca_type,MATCH(D1501,ca_name,0))&amp;"",""))</f>
        <v/>
      </c>
      <c r="I1501" s="58" t="str">
        <f>IF(COUNTA(A1501:E1501)=0,"",IF(N(A1501)&lt;=0,"Date manquante ou invalide",IF(B1501="","Équipe manquante",IF(ISNA(MATCH(B1501,eq_code,0)),"Équipe inconnue",IF(C1501="","Poste manquant",IF(ISNA(MATCH(C1501,po_code,0)),"Poste inconnu",IF(D1501="","Cause manquante",IF(ISNA(MATCH(D1501,ca_name,0)),"Cause inconnue",IF(H1501="","Cause à compléter dans Paramètres",IF(OR(NOT(ISNUMBER(E1501)),N(E1501)&lt;=0,N(E1501)&gt;1440),"Durée invalide",IF(COUNTIFS(sj_date,A1501,sj_eq,B1501,sj_po,C1501)=0,"Pas de saisie journalière ce jour-là","OK")))))))))))</f>
        <v/>
      </c>
      <c r="J1501">
        <f>IF(OR(I1501="OK",I1501="Pas de saisie journalière ce jour-là"),E1501,0)</f>
        <v>0.0</v>
      </c>
      <c r="K1501">
        <f>IF(AND(J1501&gt;0,A1501&gt;=p_from,A1501&lt;=p_to),1,0)</f>
        <v>0.0</v>
      </c>
      <c r="L1501">
        <f>IF(AND(K1501=1,OR(pa_po="",C1501=pa_po),OR(pa_eq="",B1501=pa_eq)),1,0)</f>
        <v>0.0</v>
      </c>
    </row>
    <row r="1502">
      <c r="A1502" s="51" t="n"/>
      <c r="B1502" s="52" t="n"/>
      <c r="C1502" s="52" t="n"/>
      <c r="D1502" s="53" t="n"/>
      <c r="E1502" s="60" t="n"/>
      <c r="F1502" s="53" t="n"/>
      <c r="G1502" s="61" t="str">
        <f>IF(OR(COUNTA(A1502:E1502)=0,D1502=""),"",IFERROR(INDEX(ca_fam,MATCH(D1502,ca_name,0))&amp;"",""))</f>
        <v/>
      </c>
      <c r="H1502" s="58" t="str">
        <f>IF(OR(COUNTA(A1502:E1502)=0,D1502=""),"",IFERROR(INDEX(ca_type,MATCH(D1502,ca_name,0))&amp;"",""))</f>
        <v/>
      </c>
      <c r="I1502" s="58" t="str">
        <f>IF(COUNTA(A1502:E1502)=0,"",IF(N(A1502)&lt;=0,"Date manquante ou invalide",IF(B1502="","Équipe manquante",IF(ISNA(MATCH(B1502,eq_code,0)),"Équipe inconnue",IF(C1502="","Poste manquant",IF(ISNA(MATCH(C1502,po_code,0)),"Poste inconnu",IF(D1502="","Cause manquante",IF(ISNA(MATCH(D1502,ca_name,0)),"Cause inconnue",IF(H1502="","Cause à compléter dans Paramètres",IF(OR(NOT(ISNUMBER(E1502)),N(E1502)&lt;=0,N(E1502)&gt;1440),"Durée invalide",IF(COUNTIFS(sj_date,A1502,sj_eq,B1502,sj_po,C1502)=0,"Pas de saisie journalière ce jour-là","OK")))))))))))</f>
        <v/>
      </c>
      <c r="J1502">
        <f>IF(OR(I1502="OK",I1502="Pas de saisie journalière ce jour-là"),E1502,0)</f>
        <v>0.0</v>
      </c>
      <c r="K1502">
        <f>IF(AND(J1502&gt;0,A1502&gt;=p_from,A1502&lt;=p_to),1,0)</f>
        <v>0.0</v>
      </c>
      <c r="L1502">
        <f>IF(AND(K1502=1,OR(pa_po="",C1502=pa_po),OR(pa_eq="",B1502=pa_eq)),1,0)</f>
        <v>0.0</v>
      </c>
    </row>
    <row r="1503">
      <c r="A1503" s="51" t="n"/>
      <c r="B1503" s="52" t="n"/>
      <c r="C1503" s="52" t="n"/>
      <c r="D1503" s="53" t="n"/>
      <c r="E1503" s="60" t="n"/>
      <c r="F1503" s="53" t="n"/>
      <c r="G1503" s="61" t="str">
        <f>IF(OR(COUNTA(A1503:E1503)=0,D1503=""),"",IFERROR(INDEX(ca_fam,MATCH(D1503,ca_name,0))&amp;"",""))</f>
        <v/>
      </c>
      <c r="H1503" s="58" t="str">
        <f>IF(OR(COUNTA(A1503:E1503)=0,D1503=""),"",IFERROR(INDEX(ca_type,MATCH(D1503,ca_name,0))&amp;"",""))</f>
        <v/>
      </c>
      <c r="I1503" s="58" t="str">
        <f>IF(COUNTA(A1503:E1503)=0,"",IF(N(A1503)&lt;=0,"Date manquante ou invalide",IF(B1503="","Équipe manquante",IF(ISNA(MATCH(B1503,eq_code,0)),"Équipe inconnue",IF(C1503="","Poste manquant",IF(ISNA(MATCH(C1503,po_code,0)),"Poste inconnu",IF(D1503="","Cause manquante",IF(ISNA(MATCH(D1503,ca_name,0)),"Cause inconnue",IF(H1503="","Cause à compléter dans Paramètres",IF(OR(NOT(ISNUMBER(E1503)),N(E1503)&lt;=0,N(E1503)&gt;1440),"Durée invalide",IF(COUNTIFS(sj_date,A1503,sj_eq,B1503,sj_po,C1503)=0,"Pas de saisie journalière ce jour-là","OK")))))))))))</f>
        <v/>
      </c>
      <c r="J1503">
        <f>IF(OR(I1503="OK",I1503="Pas de saisie journalière ce jour-là"),E1503,0)</f>
        <v>0.0</v>
      </c>
      <c r="K1503">
        <f>IF(AND(J1503&gt;0,A1503&gt;=p_from,A1503&lt;=p_to),1,0)</f>
        <v>0.0</v>
      </c>
      <c r="L1503">
        <f>IF(AND(K1503=1,OR(pa_po="",C1503=pa_po),OR(pa_eq="",B1503=pa_eq)),1,0)</f>
        <v>0.0</v>
      </c>
    </row>
    <row r="1504">
      <c r="A1504" s="51" t="n"/>
      <c r="B1504" s="52" t="n"/>
      <c r="C1504" s="52" t="n"/>
      <c r="D1504" s="53" t="n"/>
      <c r="E1504" s="60" t="n"/>
      <c r="F1504" s="53" t="n"/>
      <c r="G1504" s="61" t="str">
        <f>IF(OR(COUNTA(A1504:E1504)=0,D1504=""),"",IFERROR(INDEX(ca_fam,MATCH(D1504,ca_name,0))&amp;"",""))</f>
        <v/>
      </c>
      <c r="H1504" s="58" t="str">
        <f>IF(OR(COUNTA(A1504:E1504)=0,D1504=""),"",IFERROR(INDEX(ca_type,MATCH(D1504,ca_name,0))&amp;"",""))</f>
        <v/>
      </c>
      <c r="I1504" s="58" t="str">
        <f>IF(COUNTA(A1504:E1504)=0,"",IF(N(A1504)&lt;=0,"Date manquante ou invalide",IF(B1504="","Équipe manquante",IF(ISNA(MATCH(B1504,eq_code,0)),"Équipe inconnue",IF(C1504="","Poste manquant",IF(ISNA(MATCH(C1504,po_code,0)),"Poste inconnu",IF(D1504="","Cause manquante",IF(ISNA(MATCH(D1504,ca_name,0)),"Cause inconnue",IF(H1504="","Cause à compléter dans Paramètres",IF(OR(NOT(ISNUMBER(E1504)),N(E1504)&lt;=0,N(E1504)&gt;1440),"Durée invalide",IF(COUNTIFS(sj_date,A1504,sj_eq,B1504,sj_po,C1504)=0,"Pas de saisie journalière ce jour-là","OK")))))))))))</f>
        <v/>
      </c>
      <c r="J1504">
        <f>IF(OR(I1504="OK",I1504="Pas de saisie journalière ce jour-là"),E1504,0)</f>
        <v>0.0</v>
      </c>
      <c r="K1504">
        <f>IF(AND(J1504&gt;0,A1504&gt;=p_from,A1504&lt;=p_to),1,0)</f>
        <v>0.0</v>
      </c>
      <c r="L1504">
        <f>IF(AND(K1504=1,OR(pa_po="",C1504=pa_po),OR(pa_eq="",B1504=pa_eq)),1,0)</f>
        <v>0.0</v>
      </c>
    </row>
    <row r="1505">
      <c r="A1505" s="51" t="n"/>
      <c r="B1505" s="52" t="n"/>
      <c r="C1505" s="52" t="n"/>
      <c r="D1505" s="53" t="n"/>
      <c r="E1505" s="60" t="n"/>
      <c r="F1505" s="53" t="n"/>
      <c r="G1505" s="61" t="str">
        <f>IF(OR(COUNTA(A1505:E1505)=0,D1505=""),"",IFERROR(INDEX(ca_fam,MATCH(D1505,ca_name,0))&amp;"",""))</f>
        <v/>
      </c>
      <c r="H1505" s="58" t="str">
        <f>IF(OR(COUNTA(A1505:E1505)=0,D1505=""),"",IFERROR(INDEX(ca_type,MATCH(D1505,ca_name,0))&amp;"",""))</f>
        <v/>
      </c>
      <c r="I1505" s="58" t="str">
        <f>IF(COUNTA(A1505:E1505)=0,"",IF(N(A1505)&lt;=0,"Date manquante ou invalide",IF(B1505="","Équipe manquante",IF(ISNA(MATCH(B1505,eq_code,0)),"Équipe inconnue",IF(C1505="","Poste manquant",IF(ISNA(MATCH(C1505,po_code,0)),"Poste inconnu",IF(D1505="","Cause manquante",IF(ISNA(MATCH(D1505,ca_name,0)),"Cause inconnue",IF(H1505="","Cause à compléter dans Paramètres",IF(OR(NOT(ISNUMBER(E1505)),N(E1505)&lt;=0,N(E1505)&gt;1440),"Durée invalide",IF(COUNTIFS(sj_date,A1505,sj_eq,B1505,sj_po,C1505)=0,"Pas de saisie journalière ce jour-là","OK")))))))))))</f>
        <v/>
      </c>
      <c r="J1505">
        <f>IF(OR(I1505="OK",I1505="Pas de saisie journalière ce jour-là"),E1505,0)</f>
        <v>0.0</v>
      </c>
      <c r="K1505">
        <f>IF(AND(J1505&gt;0,A1505&gt;=p_from,A1505&lt;=p_to),1,0)</f>
        <v>0.0</v>
      </c>
      <c r="L1505">
        <f>IF(AND(K1505=1,OR(pa_po="",C1505=pa_po),OR(pa_eq="",B1505=pa_eq)),1,0)</f>
        <v>0.0</v>
      </c>
    </row>
    <row r="1506">
      <c r="A1506" s="51" t="n"/>
      <c r="B1506" s="52" t="n"/>
      <c r="C1506" s="52" t="n"/>
      <c r="D1506" s="53" t="n"/>
      <c r="E1506" s="60" t="n"/>
      <c r="F1506" s="53" t="n"/>
      <c r="G1506" s="61" t="str">
        <f>IF(OR(COUNTA(A1506:E1506)=0,D1506=""),"",IFERROR(INDEX(ca_fam,MATCH(D1506,ca_name,0))&amp;"",""))</f>
        <v/>
      </c>
      <c r="H1506" s="58" t="str">
        <f>IF(OR(COUNTA(A1506:E1506)=0,D1506=""),"",IFERROR(INDEX(ca_type,MATCH(D1506,ca_name,0))&amp;"",""))</f>
        <v/>
      </c>
      <c r="I1506" s="58" t="str">
        <f>IF(COUNTA(A1506:E1506)=0,"",IF(N(A1506)&lt;=0,"Date manquante ou invalide",IF(B1506="","Équipe manquante",IF(ISNA(MATCH(B1506,eq_code,0)),"Équipe inconnue",IF(C1506="","Poste manquant",IF(ISNA(MATCH(C1506,po_code,0)),"Poste inconnu",IF(D1506="","Cause manquante",IF(ISNA(MATCH(D1506,ca_name,0)),"Cause inconnue",IF(H1506="","Cause à compléter dans Paramètres",IF(OR(NOT(ISNUMBER(E1506)),N(E1506)&lt;=0,N(E1506)&gt;1440),"Durée invalide",IF(COUNTIFS(sj_date,A1506,sj_eq,B1506,sj_po,C1506)=0,"Pas de saisie journalière ce jour-là","OK")))))))))))</f>
        <v/>
      </c>
      <c r="J1506">
        <f>IF(OR(I1506="OK",I1506="Pas de saisie journalière ce jour-là"),E1506,0)</f>
        <v>0.0</v>
      </c>
      <c r="K1506">
        <f>IF(AND(J1506&gt;0,A1506&gt;=p_from,A1506&lt;=p_to),1,0)</f>
        <v>0.0</v>
      </c>
      <c r="L1506">
        <f>IF(AND(K1506=1,OR(pa_po="",C1506=pa_po),OR(pa_eq="",B1506=pa_eq)),1,0)</f>
        <v>0.0</v>
      </c>
    </row>
    <row r="1507">
      <c r="A1507" s="51" t="n"/>
      <c r="B1507" s="52" t="n"/>
      <c r="C1507" s="52" t="n"/>
      <c r="D1507" s="53" t="n"/>
      <c r="E1507" s="60" t="n"/>
      <c r="F1507" s="53" t="n"/>
      <c r="G1507" s="61" t="str">
        <f>IF(OR(COUNTA(A1507:E1507)=0,D1507=""),"",IFERROR(INDEX(ca_fam,MATCH(D1507,ca_name,0))&amp;"",""))</f>
        <v/>
      </c>
      <c r="H1507" s="58" t="str">
        <f>IF(OR(COUNTA(A1507:E1507)=0,D1507=""),"",IFERROR(INDEX(ca_type,MATCH(D1507,ca_name,0))&amp;"",""))</f>
        <v/>
      </c>
      <c r="I1507" s="58" t="str">
        <f>IF(COUNTA(A1507:E1507)=0,"",IF(N(A1507)&lt;=0,"Date manquante ou invalide",IF(B1507="","Équipe manquante",IF(ISNA(MATCH(B1507,eq_code,0)),"Équipe inconnue",IF(C1507="","Poste manquant",IF(ISNA(MATCH(C1507,po_code,0)),"Poste inconnu",IF(D1507="","Cause manquante",IF(ISNA(MATCH(D1507,ca_name,0)),"Cause inconnue",IF(H1507="","Cause à compléter dans Paramètres",IF(OR(NOT(ISNUMBER(E1507)),N(E1507)&lt;=0,N(E1507)&gt;1440),"Durée invalide",IF(COUNTIFS(sj_date,A1507,sj_eq,B1507,sj_po,C1507)=0,"Pas de saisie journalière ce jour-là","OK")))))))))))</f>
        <v/>
      </c>
      <c r="J1507">
        <f>IF(OR(I1507="OK",I1507="Pas de saisie journalière ce jour-là"),E1507,0)</f>
        <v>0.0</v>
      </c>
      <c r="K1507">
        <f>IF(AND(J1507&gt;0,A1507&gt;=p_from,A1507&lt;=p_to),1,0)</f>
        <v>0.0</v>
      </c>
      <c r="L1507">
        <f>IF(AND(K1507=1,OR(pa_po="",C1507=pa_po),OR(pa_eq="",B1507=pa_eq)),1,0)</f>
        <v>0.0</v>
      </c>
    </row>
    <row r="1508">
      <c r="A1508" s="51" t="n"/>
      <c r="B1508" s="52" t="n"/>
      <c r="C1508" s="52" t="n"/>
      <c r="D1508" s="53" t="n"/>
      <c r="E1508" s="60" t="n"/>
      <c r="F1508" s="53" t="n"/>
      <c r="G1508" s="61" t="str">
        <f>IF(OR(COUNTA(A1508:E1508)=0,D1508=""),"",IFERROR(INDEX(ca_fam,MATCH(D1508,ca_name,0))&amp;"",""))</f>
        <v/>
      </c>
      <c r="H1508" s="58" t="str">
        <f>IF(OR(COUNTA(A1508:E1508)=0,D1508=""),"",IFERROR(INDEX(ca_type,MATCH(D1508,ca_name,0))&amp;"",""))</f>
        <v/>
      </c>
      <c r="I1508" s="58" t="str">
        <f>IF(COUNTA(A1508:E1508)=0,"",IF(N(A1508)&lt;=0,"Date manquante ou invalide",IF(B1508="","Équipe manquante",IF(ISNA(MATCH(B1508,eq_code,0)),"Équipe inconnue",IF(C1508="","Poste manquant",IF(ISNA(MATCH(C1508,po_code,0)),"Poste inconnu",IF(D1508="","Cause manquante",IF(ISNA(MATCH(D1508,ca_name,0)),"Cause inconnue",IF(H1508="","Cause à compléter dans Paramètres",IF(OR(NOT(ISNUMBER(E1508)),N(E1508)&lt;=0,N(E1508)&gt;1440),"Durée invalide",IF(COUNTIFS(sj_date,A1508,sj_eq,B1508,sj_po,C1508)=0,"Pas de saisie journalière ce jour-là","OK")))))))))))</f>
        <v/>
      </c>
      <c r="J1508">
        <f>IF(OR(I1508="OK",I1508="Pas de saisie journalière ce jour-là"),E1508,0)</f>
        <v>0.0</v>
      </c>
      <c r="K1508">
        <f>IF(AND(J1508&gt;0,A1508&gt;=p_from,A1508&lt;=p_to),1,0)</f>
        <v>0.0</v>
      </c>
      <c r="L1508">
        <f>IF(AND(K1508=1,OR(pa_po="",C1508=pa_po),OR(pa_eq="",B1508=pa_eq)),1,0)</f>
        <v>0.0</v>
      </c>
    </row>
    <row r="1509">
      <c r="A1509" s="51" t="n"/>
      <c r="B1509" s="52" t="n"/>
      <c r="C1509" s="52" t="n"/>
      <c r="D1509" s="53" t="n"/>
      <c r="E1509" s="60" t="n"/>
      <c r="F1509" s="53" t="n"/>
      <c r="G1509" s="61" t="str">
        <f>IF(OR(COUNTA(A1509:E1509)=0,D1509=""),"",IFERROR(INDEX(ca_fam,MATCH(D1509,ca_name,0))&amp;"",""))</f>
        <v/>
      </c>
      <c r="H1509" s="58" t="str">
        <f>IF(OR(COUNTA(A1509:E1509)=0,D1509=""),"",IFERROR(INDEX(ca_type,MATCH(D1509,ca_name,0))&amp;"",""))</f>
        <v/>
      </c>
      <c r="I1509" s="58" t="str">
        <f>IF(COUNTA(A1509:E1509)=0,"",IF(N(A1509)&lt;=0,"Date manquante ou invalide",IF(B1509="","Équipe manquante",IF(ISNA(MATCH(B1509,eq_code,0)),"Équipe inconnue",IF(C1509="","Poste manquant",IF(ISNA(MATCH(C1509,po_code,0)),"Poste inconnu",IF(D1509="","Cause manquante",IF(ISNA(MATCH(D1509,ca_name,0)),"Cause inconnue",IF(H1509="","Cause à compléter dans Paramètres",IF(OR(NOT(ISNUMBER(E1509)),N(E1509)&lt;=0,N(E1509)&gt;1440),"Durée invalide",IF(COUNTIFS(sj_date,A1509,sj_eq,B1509,sj_po,C1509)=0,"Pas de saisie journalière ce jour-là","OK")))))))))))</f>
        <v/>
      </c>
      <c r="J1509">
        <f>IF(OR(I1509="OK",I1509="Pas de saisie journalière ce jour-là"),E1509,0)</f>
        <v>0.0</v>
      </c>
      <c r="K1509">
        <f>IF(AND(J1509&gt;0,A1509&gt;=p_from,A1509&lt;=p_to),1,0)</f>
        <v>0.0</v>
      </c>
      <c r="L1509">
        <f>IF(AND(K1509=1,OR(pa_po="",C1509=pa_po),OR(pa_eq="",B1509=pa_eq)),1,0)</f>
        <v>0.0</v>
      </c>
    </row>
    <row r="1510">
      <c r="A1510" s="51" t="n"/>
      <c r="B1510" s="52" t="n"/>
      <c r="C1510" s="52" t="n"/>
      <c r="D1510" s="53" t="n"/>
      <c r="E1510" s="60" t="n"/>
      <c r="F1510" s="53" t="n"/>
      <c r="G1510" s="61" t="str">
        <f>IF(OR(COUNTA(A1510:E1510)=0,D1510=""),"",IFERROR(INDEX(ca_fam,MATCH(D1510,ca_name,0))&amp;"",""))</f>
        <v/>
      </c>
      <c r="H1510" s="58" t="str">
        <f>IF(OR(COUNTA(A1510:E1510)=0,D1510=""),"",IFERROR(INDEX(ca_type,MATCH(D1510,ca_name,0))&amp;"",""))</f>
        <v/>
      </c>
      <c r="I1510" s="58" t="str">
        <f>IF(COUNTA(A1510:E1510)=0,"",IF(N(A1510)&lt;=0,"Date manquante ou invalide",IF(B1510="","Équipe manquante",IF(ISNA(MATCH(B1510,eq_code,0)),"Équipe inconnue",IF(C1510="","Poste manquant",IF(ISNA(MATCH(C1510,po_code,0)),"Poste inconnu",IF(D1510="","Cause manquante",IF(ISNA(MATCH(D1510,ca_name,0)),"Cause inconnue",IF(H1510="","Cause à compléter dans Paramètres",IF(OR(NOT(ISNUMBER(E1510)),N(E1510)&lt;=0,N(E1510)&gt;1440),"Durée invalide",IF(COUNTIFS(sj_date,A1510,sj_eq,B1510,sj_po,C1510)=0,"Pas de saisie journalière ce jour-là","OK")))))))))))</f>
        <v/>
      </c>
      <c r="J1510">
        <f>IF(OR(I1510="OK",I1510="Pas de saisie journalière ce jour-là"),E1510,0)</f>
        <v>0.0</v>
      </c>
      <c r="K1510">
        <f>IF(AND(J1510&gt;0,A1510&gt;=p_from,A1510&lt;=p_to),1,0)</f>
        <v>0.0</v>
      </c>
      <c r="L1510">
        <f>IF(AND(K1510=1,OR(pa_po="",C1510=pa_po),OR(pa_eq="",B1510=pa_eq)),1,0)</f>
        <v>0.0</v>
      </c>
    </row>
    <row r="1511">
      <c r="A1511" s="51" t="n"/>
      <c r="B1511" s="52" t="n"/>
      <c r="C1511" s="52" t="n"/>
      <c r="D1511" s="53" t="n"/>
      <c r="E1511" s="60" t="n"/>
      <c r="F1511" s="53" t="n"/>
      <c r="G1511" s="61" t="str">
        <f>IF(OR(COUNTA(A1511:E1511)=0,D1511=""),"",IFERROR(INDEX(ca_fam,MATCH(D1511,ca_name,0))&amp;"",""))</f>
        <v/>
      </c>
      <c r="H1511" s="58" t="str">
        <f>IF(OR(COUNTA(A1511:E1511)=0,D1511=""),"",IFERROR(INDEX(ca_type,MATCH(D1511,ca_name,0))&amp;"",""))</f>
        <v/>
      </c>
      <c r="I1511" s="58" t="str">
        <f>IF(COUNTA(A1511:E1511)=0,"",IF(N(A1511)&lt;=0,"Date manquante ou invalide",IF(B1511="","Équipe manquante",IF(ISNA(MATCH(B1511,eq_code,0)),"Équipe inconnue",IF(C1511="","Poste manquant",IF(ISNA(MATCH(C1511,po_code,0)),"Poste inconnu",IF(D1511="","Cause manquante",IF(ISNA(MATCH(D1511,ca_name,0)),"Cause inconnue",IF(H1511="","Cause à compléter dans Paramètres",IF(OR(NOT(ISNUMBER(E1511)),N(E1511)&lt;=0,N(E1511)&gt;1440),"Durée invalide",IF(COUNTIFS(sj_date,A1511,sj_eq,B1511,sj_po,C1511)=0,"Pas de saisie journalière ce jour-là","OK")))))))))))</f>
        <v/>
      </c>
      <c r="J1511">
        <f>IF(OR(I1511="OK",I1511="Pas de saisie journalière ce jour-là"),E1511,0)</f>
        <v>0.0</v>
      </c>
      <c r="K1511">
        <f>IF(AND(J1511&gt;0,A1511&gt;=p_from,A1511&lt;=p_to),1,0)</f>
        <v>0.0</v>
      </c>
      <c r="L1511">
        <f>IF(AND(K1511=1,OR(pa_po="",C1511=pa_po),OR(pa_eq="",B1511=pa_eq)),1,0)</f>
        <v>0.0</v>
      </c>
    </row>
    <row r="1512">
      <c r="A1512" s="51" t="n"/>
      <c r="B1512" s="52" t="n"/>
      <c r="C1512" s="52" t="n"/>
      <c r="D1512" s="53" t="n"/>
      <c r="E1512" s="60" t="n"/>
      <c r="F1512" s="53" t="n"/>
      <c r="G1512" s="61" t="str">
        <f>IF(OR(COUNTA(A1512:E1512)=0,D1512=""),"",IFERROR(INDEX(ca_fam,MATCH(D1512,ca_name,0))&amp;"",""))</f>
        <v/>
      </c>
      <c r="H1512" s="58" t="str">
        <f>IF(OR(COUNTA(A1512:E1512)=0,D1512=""),"",IFERROR(INDEX(ca_type,MATCH(D1512,ca_name,0))&amp;"",""))</f>
        <v/>
      </c>
      <c r="I1512" s="58" t="str">
        <f>IF(COUNTA(A1512:E1512)=0,"",IF(N(A1512)&lt;=0,"Date manquante ou invalide",IF(B1512="","Équipe manquante",IF(ISNA(MATCH(B1512,eq_code,0)),"Équipe inconnue",IF(C1512="","Poste manquant",IF(ISNA(MATCH(C1512,po_code,0)),"Poste inconnu",IF(D1512="","Cause manquante",IF(ISNA(MATCH(D1512,ca_name,0)),"Cause inconnue",IF(H1512="","Cause à compléter dans Paramètres",IF(OR(NOT(ISNUMBER(E1512)),N(E1512)&lt;=0,N(E1512)&gt;1440),"Durée invalide",IF(COUNTIFS(sj_date,A1512,sj_eq,B1512,sj_po,C1512)=0,"Pas de saisie journalière ce jour-là","OK")))))))))))</f>
        <v/>
      </c>
      <c r="J1512">
        <f>IF(OR(I1512="OK",I1512="Pas de saisie journalière ce jour-là"),E1512,0)</f>
        <v>0.0</v>
      </c>
      <c r="K1512">
        <f>IF(AND(J1512&gt;0,A1512&gt;=p_from,A1512&lt;=p_to),1,0)</f>
        <v>0.0</v>
      </c>
      <c r="L1512">
        <f>IF(AND(K1512=1,OR(pa_po="",C1512=pa_po),OR(pa_eq="",B1512=pa_eq)),1,0)</f>
        <v>0.0</v>
      </c>
    </row>
    <row r="1513">
      <c r="A1513" s="51" t="n"/>
      <c r="B1513" s="52" t="n"/>
      <c r="C1513" s="52" t="n"/>
      <c r="D1513" s="53" t="n"/>
      <c r="E1513" s="60" t="n"/>
      <c r="F1513" s="53" t="n"/>
      <c r="G1513" s="61" t="str">
        <f>IF(OR(COUNTA(A1513:E1513)=0,D1513=""),"",IFERROR(INDEX(ca_fam,MATCH(D1513,ca_name,0))&amp;"",""))</f>
        <v/>
      </c>
      <c r="H1513" s="58" t="str">
        <f>IF(OR(COUNTA(A1513:E1513)=0,D1513=""),"",IFERROR(INDEX(ca_type,MATCH(D1513,ca_name,0))&amp;"",""))</f>
        <v/>
      </c>
      <c r="I1513" s="58" t="str">
        <f>IF(COUNTA(A1513:E1513)=0,"",IF(N(A1513)&lt;=0,"Date manquante ou invalide",IF(B1513="","Équipe manquante",IF(ISNA(MATCH(B1513,eq_code,0)),"Équipe inconnue",IF(C1513="","Poste manquant",IF(ISNA(MATCH(C1513,po_code,0)),"Poste inconnu",IF(D1513="","Cause manquante",IF(ISNA(MATCH(D1513,ca_name,0)),"Cause inconnue",IF(H1513="","Cause à compléter dans Paramètres",IF(OR(NOT(ISNUMBER(E1513)),N(E1513)&lt;=0,N(E1513)&gt;1440),"Durée invalide",IF(COUNTIFS(sj_date,A1513,sj_eq,B1513,sj_po,C1513)=0,"Pas de saisie journalière ce jour-là","OK")))))))))))</f>
        <v/>
      </c>
      <c r="J1513">
        <f>IF(OR(I1513="OK",I1513="Pas de saisie journalière ce jour-là"),E1513,0)</f>
        <v>0.0</v>
      </c>
      <c r="K1513">
        <f>IF(AND(J1513&gt;0,A1513&gt;=p_from,A1513&lt;=p_to),1,0)</f>
        <v>0.0</v>
      </c>
      <c r="L1513">
        <f>IF(AND(K1513=1,OR(pa_po="",C1513=pa_po),OR(pa_eq="",B1513=pa_eq)),1,0)</f>
        <v>0.0</v>
      </c>
    </row>
    <row r="1514">
      <c r="A1514" s="51" t="n"/>
      <c r="B1514" s="52" t="n"/>
      <c r="C1514" s="52" t="n"/>
      <c r="D1514" s="53" t="n"/>
      <c r="E1514" s="60" t="n"/>
      <c r="F1514" s="53" t="n"/>
      <c r="G1514" s="61" t="str">
        <f>IF(OR(COUNTA(A1514:E1514)=0,D1514=""),"",IFERROR(INDEX(ca_fam,MATCH(D1514,ca_name,0))&amp;"",""))</f>
        <v/>
      </c>
      <c r="H1514" s="58" t="str">
        <f>IF(OR(COUNTA(A1514:E1514)=0,D1514=""),"",IFERROR(INDEX(ca_type,MATCH(D1514,ca_name,0))&amp;"",""))</f>
        <v/>
      </c>
      <c r="I1514" s="58" t="str">
        <f>IF(COUNTA(A1514:E1514)=0,"",IF(N(A1514)&lt;=0,"Date manquante ou invalide",IF(B1514="","Équipe manquante",IF(ISNA(MATCH(B1514,eq_code,0)),"Équipe inconnue",IF(C1514="","Poste manquant",IF(ISNA(MATCH(C1514,po_code,0)),"Poste inconnu",IF(D1514="","Cause manquante",IF(ISNA(MATCH(D1514,ca_name,0)),"Cause inconnue",IF(H1514="","Cause à compléter dans Paramètres",IF(OR(NOT(ISNUMBER(E1514)),N(E1514)&lt;=0,N(E1514)&gt;1440),"Durée invalide",IF(COUNTIFS(sj_date,A1514,sj_eq,B1514,sj_po,C1514)=0,"Pas de saisie journalière ce jour-là","OK")))))))))))</f>
        <v/>
      </c>
      <c r="J1514">
        <f>IF(OR(I1514="OK",I1514="Pas de saisie journalière ce jour-là"),E1514,0)</f>
        <v>0.0</v>
      </c>
      <c r="K1514">
        <f>IF(AND(J1514&gt;0,A1514&gt;=p_from,A1514&lt;=p_to),1,0)</f>
        <v>0.0</v>
      </c>
      <c r="L1514">
        <f>IF(AND(K1514=1,OR(pa_po="",C1514=pa_po),OR(pa_eq="",B1514=pa_eq)),1,0)</f>
        <v>0.0</v>
      </c>
    </row>
    <row r="1515">
      <c r="A1515" s="51" t="n"/>
      <c r="B1515" s="52" t="n"/>
      <c r="C1515" s="52" t="n"/>
      <c r="D1515" s="53" t="n"/>
      <c r="E1515" s="60" t="n"/>
      <c r="F1515" s="53" t="n"/>
      <c r="G1515" s="61" t="str">
        <f>IF(OR(COUNTA(A1515:E1515)=0,D1515=""),"",IFERROR(INDEX(ca_fam,MATCH(D1515,ca_name,0))&amp;"",""))</f>
        <v/>
      </c>
      <c r="H1515" s="58" t="str">
        <f>IF(OR(COUNTA(A1515:E1515)=0,D1515=""),"",IFERROR(INDEX(ca_type,MATCH(D1515,ca_name,0))&amp;"",""))</f>
        <v/>
      </c>
      <c r="I1515" s="58" t="str">
        <f>IF(COUNTA(A1515:E1515)=0,"",IF(N(A1515)&lt;=0,"Date manquante ou invalide",IF(B1515="","Équipe manquante",IF(ISNA(MATCH(B1515,eq_code,0)),"Équipe inconnue",IF(C1515="","Poste manquant",IF(ISNA(MATCH(C1515,po_code,0)),"Poste inconnu",IF(D1515="","Cause manquante",IF(ISNA(MATCH(D1515,ca_name,0)),"Cause inconnue",IF(H1515="","Cause à compléter dans Paramètres",IF(OR(NOT(ISNUMBER(E1515)),N(E1515)&lt;=0,N(E1515)&gt;1440),"Durée invalide",IF(COUNTIFS(sj_date,A1515,sj_eq,B1515,sj_po,C1515)=0,"Pas de saisie journalière ce jour-là","OK")))))))))))</f>
        <v/>
      </c>
      <c r="J1515">
        <f>IF(OR(I1515="OK",I1515="Pas de saisie journalière ce jour-là"),E1515,0)</f>
        <v>0.0</v>
      </c>
      <c r="K1515">
        <f>IF(AND(J1515&gt;0,A1515&gt;=p_from,A1515&lt;=p_to),1,0)</f>
        <v>0.0</v>
      </c>
      <c r="L1515">
        <f>IF(AND(K1515=1,OR(pa_po="",C1515=pa_po),OR(pa_eq="",B1515=pa_eq)),1,0)</f>
        <v>0.0</v>
      </c>
    </row>
    <row r="1516">
      <c r="A1516" s="51" t="n"/>
      <c r="B1516" s="52" t="n"/>
      <c r="C1516" s="52" t="n"/>
      <c r="D1516" s="53" t="n"/>
      <c r="E1516" s="60" t="n"/>
      <c r="F1516" s="53" t="n"/>
      <c r="G1516" s="61" t="str">
        <f>IF(OR(COUNTA(A1516:E1516)=0,D1516=""),"",IFERROR(INDEX(ca_fam,MATCH(D1516,ca_name,0))&amp;"",""))</f>
        <v/>
      </c>
      <c r="H1516" s="58" t="str">
        <f>IF(OR(COUNTA(A1516:E1516)=0,D1516=""),"",IFERROR(INDEX(ca_type,MATCH(D1516,ca_name,0))&amp;"",""))</f>
        <v/>
      </c>
      <c r="I1516" s="58" t="str">
        <f>IF(COUNTA(A1516:E1516)=0,"",IF(N(A1516)&lt;=0,"Date manquante ou invalide",IF(B1516="","Équipe manquante",IF(ISNA(MATCH(B1516,eq_code,0)),"Équipe inconnue",IF(C1516="","Poste manquant",IF(ISNA(MATCH(C1516,po_code,0)),"Poste inconnu",IF(D1516="","Cause manquante",IF(ISNA(MATCH(D1516,ca_name,0)),"Cause inconnue",IF(H1516="","Cause à compléter dans Paramètres",IF(OR(NOT(ISNUMBER(E1516)),N(E1516)&lt;=0,N(E1516)&gt;1440),"Durée invalide",IF(COUNTIFS(sj_date,A1516,sj_eq,B1516,sj_po,C1516)=0,"Pas de saisie journalière ce jour-là","OK")))))))))))</f>
        <v/>
      </c>
      <c r="J1516">
        <f>IF(OR(I1516="OK",I1516="Pas de saisie journalière ce jour-là"),E1516,0)</f>
        <v>0.0</v>
      </c>
      <c r="K1516">
        <f>IF(AND(J1516&gt;0,A1516&gt;=p_from,A1516&lt;=p_to),1,0)</f>
        <v>0.0</v>
      </c>
      <c r="L1516">
        <f>IF(AND(K1516=1,OR(pa_po="",C1516=pa_po),OR(pa_eq="",B1516=pa_eq)),1,0)</f>
        <v>0.0</v>
      </c>
    </row>
    <row r="1517">
      <c r="A1517" s="51" t="n"/>
      <c r="B1517" s="52" t="n"/>
      <c r="C1517" s="52" t="n"/>
      <c r="D1517" s="53" t="n"/>
      <c r="E1517" s="60" t="n"/>
      <c r="F1517" s="53" t="n"/>
      <c r="G1517" s="61" t="str">
        <f>IF(OR(COUNTA(A1517:E1517)=0,D1517=""),"",IFERROR(INDEX(ca_fam,MATCH(D1517,ca_name,0))&amp;"",""))</f>
        <v/>
      </c>
      <c r="H1517" s="58" t="str">
        <f>IF(OR(COUNTA(A1517:E1517)=0,D1517=""),"",IFERROR(INDEX(ca_type,MATCH(D1517,ca_name,0))&amp;"",""))</f>
        <v/>
      </c>
      <c r="I1517" s="58" t="str">
        <f>IF(COUNTA(A1517:E1517)=0,"",IF(N(A1517)&lt;=0,"Date manquante ou invalide",IF(B1517="","Équipe manquante",IF(ISNA(MATCH(B1517,eq_code,0)),"Équipe inconnue",IF(C1517="","Poste manquant",IF(ISNA(MATCH(C1517,po_code,0)),"Poste inconnu",IF(D1517="","Cause manquante",IF(ISNA(MATCH(D1517,ca_name,0)),"Cause inconnue",IF(H1517="","Cause à compléter dans Paramètres",IF(OR(NOT(ISNUMBER(E1517)),N(E1517)&lt;=0,N(E1517)&gt;1440),"Durée invalide",IF(COUNTIFS(sj_date,A1517,sj_eq,B1517,sj_po,C1517)=0,"Pas de saisie journalière ce jour-là","OK")))))))))))</f>
        <v/>
      </c>
      <c r="J1517">
        <f>IF(OR(I1517="OK",I1517="Pas de saisie journalière ce jour-là"),E1517,0)</f>
        <v>0.0</v>
      </c>
      <c r="K1517">
        <f>IF(AND(J1517&gt;0,A1517&gt;=p_from,A1517&lt;=p_to),1,0)</f>
        <v>0.0</v>
      </c>
      <c r="L1517">
        <f>IF(AND(K1517=1,OR(pa_po="",C1517=pa_po),OR(pa_eq="",B1517=pa_eq)),1,0)</f>
        <v>0.0</v>
      </c>
    </row>
    <row r="1518">
      <c r="A1518" s="51" t="n"/>
      <c r="B1518" s="52" t="n"/>
      <c r="C1518" s="52" t="n"/>
      <c r="D1518" s="53" t="n"/>
      <c r="E1518" s="60" t="n"/>
      <c r="F1518" s="53" t="n"/>
      <c r="G1518" s="61" t="str">
        <f>IF(OR(COUNTA(A1518:E1518)=0,D1518=""),"",IFERROR(INDEX(ca_fam,MATCH(D1518,ca_name,0))&amp;"",""))</f>
        <v/>
      </c>
      <c r="H1518" s="58" t="str">
        <f>IF(OR(COUNTA(A1518:E1518)=0,D1518=""),"",IFERROR(INDEX(ca_type,MATCH(D1518,ca_name,0))&amp;"",""))</f>
        <v/>
      </c>
      <c r="I1518" s="58" t="str">
        <f>IF(COUNTA(A1518:E1518)=0,"",IF(N(A1518)&lt;=0,"Date manquante ou invalide",IF(B1518="","Équipe manquante",IF(ISNA(MATCH(B1518,eq_code,0)),"Équipe inconnue",IF(C1518="","Poste manquant",IF(ISNA(MATCH(C1518,po_code,0)),"Poste inconnu",IF(D1518="","Cause manquante",IF(ISNA(MATCH(D1518,ca_name,0)),"Cause inconnue",IF(H1518="","Cause à compléter dans Paramètres",IF(OR(NOT(ISNUMBER(E1518)),N(E1518)&lt;=0,N(E1518)&gt;1440),"Durée invalide",IF(COUNTIFS(sj_date,A1518,sj_eq,B1518,sj_po,C1518)=0,"Pas de saisie journalière ce jour-là","OK")))))))))))</f>
        <v/>
      </c>
      <c r="J1518">
        <f>IF(OR(I1518="OK",I1518="Pas de saisie journalière ce jour-là"),E1518,0)</f>
        <v>0.0</v>
      </c>
      <c r="K1518">
        <f>IF(AND(J1518&gt;0,A1518&gt;=p_from,A1518&lt;=p_to),1,0)</f>
        <v>0.0</v>
      </c>
      <c r="L1518">
        <f>IF(AND(K1518=1,OR(pa_po="",C1518=pa_po),OR(pa_eq="",B1518=pa_eq)),1,0)</f>
        <v>0.0</v>
      </c>
    </row>
    <row r="1519">
      <c r="A1519" s="51" t="n"/>
      <c r="B1519" s="52" t="n"/>
      <c r="C1519" s="52" t="n"/>
      <c r="D1519" s="53" t="n"/>
      <c r="E1519" s="60" t="n"/>
      <c r="F1519" s="53" t="n"/>
      <c r="G1519" s="61" t="str">
        <f>IF(OR(COUNTA(A1519:E1519)=0,D1519=""),"",IFERROR(INDEX(ca_fam,MATCH(D1519,ca_name,0))&amp;"",""))</f>
        <v/>
      </c>
      <c r="H1519" s="58" t="str">
        <f>IF(OR(COUNTA(A1519:E1519)=0,D1519=""),"",IFERROR(INDEX(ca_type,MATCH(D1519,ca_name,0))&amp;"",""))</f>
        <v/>
      </c>
      <c r="I1519" s="58" t="str">
        <f>IF(COUNTA(A1519:E1519)=0,"",IF(N(A1519)&lt;=0,"Date manquante ou invalide",IF(B1519="","Équipe manquante",IF(ISNA(MATCH(B1519,eq_code,0)),"Équipe inconnue",IF(C1519="","Poste manquant",IF(ISNA(MATCH(C1519,po_code,0)),"Poste inconnu",IF(D1519="","Cause manquante",IF(ISNA(MATCH(D1519,ca_name,0)),"Cause inconnue",IF(H1519="","Cause à compléter dans Paramètres",IF(OR(NOT(ISNUMBER(E1519)),N(E1519)&lt;=0,N(E1519)&gt;1440),"Durée invalide",IF(COUNTIFS(sj_date,A1519,sj_eq,B1519,sj_po,C1519)=0,"Pas de saisie journalière ce jour-là","OK")))))))))))</f>
        <v/>
      </c>
      <c r="J1519">
        <f>IF(OR(I1519="OK",I1519="Pas de saisie journalière ce jour-là"),E1519,0)</f>
        <v>0.0</v>
      </c>
      <c r="K1519">
        <f>IF(AND(J1519&gt;0,A1519&gt;=p_from,A1519&lt;=p_to),1,0)</f>
        <v>0.0</v>
      </c>
      <c r="L1519">
        <f>IF(AND(K1519=1,OR(pa_po="",C1519=pa_po),OR(pa_eq="",B1519=pa_eq)),1,0)</f>
        <v>0.0</v>
      </c>
    </row>
    <row r="1520">
      <c r="A1520" s="51" t="n"/>
      <c r="B1520" s="52" t="n"/>
      <c r="C1520" s="52" t="n"/>
      <c r="D1520" s="53" t="n"/>
      <c r="E1520" s="60" t="n"/>
      <c r="F1520" s="53" t="n"/>
      <c r="G1520" s="61" t="str">
        <f>IF(OR(COUNTA(A1520:E1520)=0,D1520=""),"",IFERROR(INDEX(ca_fam,MATCH(D1520,ca_name,0))&amp;"",""))</f>
        <v/>
      </c>
      <c r="H1520" s="58" t="str">
        <f>IF(OR(COUNTA(A1520:E1520)=0,D1520=""),"",IFERROR(INDEX(ca_type,MATCH(D1520,ca_name,0))&amp;"",""))</f>
        <v/>
      </c>
      <c r="I1520" s="58" t="str">
        <f>IF(COUNTA(A1520:E1520)=0,"",IF(N(A1520)&lt;=0,"Date manquante ou invalide",IF(B1520="","Équipe manquante",IF(ISNA(MATCH(B1520,eq_code,0)),"Équipe inconnue",IF(C1520="","Poste manquant",IF(ISNA(MATCH(C1520,po_code,0)),"Poste inconnu",IF(D1520="","Cause manquante",IF(ISNA(MATCH(D1520,ca_name,0)),"Cause inconnue",IF(H1520="","Cause à compléter dans Paramètres",IF(OR(NOT(ISNUMBER(E1520)),N(E1520)&lt;=0,N(E1520)&gt;1440),"Durée invalide",IF(COUNTIFS(sj_date,A1520,sj_eq,B1520,sj_po,C1520)=0,"Pas de saisie journalière ce jour-là","OK")))))))))))</f>
        <v/>
      </c>
      <c r="J1520">
        <f>IF(OR(I1520="OK",I1520="Pas de saisie journalière ce jour-là"),E1520,0)</f>
        <v>0.0</v>
      </c>
      <c r="K1520">
        <f>IF(AND(J1520&gt;0,A1520&gt;=p_from,A1520&lt;=p_to),1,0)</f>
        <v>0.0</v>
      </c>
      <c r="L1520">
        <f>IF(AND(K1520=1,OR(pa_po="",C1520=pa_po),OR(pa_eq="",B1520=pa_eq)),1,0)</f>
        <v>0.0</v>
      </c>
    </row>
    <row r="1521">
      <c r="A1521" s="51" t="n"/>
      <c r="B1521" s="52" t="n"/>
      <c r="C1521" s="52" t="n"/>
      <c r="D1521" s="53" t="n"/>
      <c r="E1521" s="60" t="n"/>
      <c r="F1521" s="53" t="n"/>
      <c r="G1521" s="61" t="str">
        <f>IF(OR(COUNTA(A1521:E1521)=0,D1521=""),"",IFERROR(INDEX(ca_fam,MATCH(D1521,ca_name,0))&amp;"",""))</f>
        <v/>
      </c>
      <c r="H1521" s="58" t="str">
        <f>IF(OR(COUNTA(A1521:E1521)=0,D1521=""),"",IFERROR(INDEX(ca_type,MATCH(D1521,ca_name,0))&amp;"",""))</f>
        <v/>
      </c>
      <c r="I1521" s="58" t="str">
        <f>IF(COUNTA(A1521:E1521)=0,"",IF(N(A1521)&lt;=0,"Date manquante ou invalide",IF(B1521="","Équipe manquante",IF(ISNA(MATCH(B1521,eq_code,0)),"Équipe inconnue",IF(C1521="","Poste manquant",IF(ISNA(MATCH(C1521,po_code,0)),"Poste inconnu",IF(D1521="","Cause manquante",IF(ISNA(MATCH(D1521,ca_name,0)),"Cause inconnue",IF(H1521="","Cause à compléter dans Paramètres",IF(OR(NOT(ISNUMBER(E1521)),N(E1521)&lt;=0,N(E1521)&gt;1440),"Durée invalide",IF(COUNTIFS(sj_date,A1521,sj_eq,B1521,sj_po,C1521)=0,"Pas de saisie journalière ce jour-là","OK")))))))))))</f>
        <v/>
      </c>
      <c r="J1521">
        <f>IF(OR(I1521="OK",I1521="Pas de saisie journalière ce jour-là"),E1521,0)</f>
        <v>0.0</v>
      </c>
      <c r="K1521">
        <f>IF(AND(J1521&gt;0,A1521&gt;=p_from,A1521&lt;=p_to),1,0)</f>
        <v>0.0</v>
      </c>
      <c r="L1521">
        <f>IF(AND(K1521=1,OR(pa_po="",C1521=pa_po),OR(pa_eq="",B1521=pa_eq)),1,0)</f>
        <v>0.0</v>
      </c>
    </row>
    <row r="1522">
      <c r="A1522" s="51" t="n"/>
      <c r="B1522" s="52" t="n"/>
      <c r="C1522" s="52" t="n"/>
      <c r="D1522" s="53" t="n"/>
      <c r="E1522" s="60" t="n"/>
      <c r="F1522" s="53" t="n"/>
      <c r="G1522" s="61" t="str">
        <f>IF(OR(COUNTA(A1522:E1522)=0,D1522=""),"",IFERROR(INDEX(ca_fam,MATCH(D1522,ca_name,0))&amp;"",""))</f>
        <v/>
      </c>
      <c r="H1522" s="58" t="str">
        <f>IF(OR(COUNTA(A1522:E1522)=0,D1522=""),"",IFERROR(INDEX(ca_type,MATCH(D1522,ca_name,0))&amp;"",""))</f>
        <v/>
      </c>
      <c r="I1522" s="58" t="str">
        <f>IF(COUNTA(A1522:E1522)=0,"",IF(N(A1522)&lt;=0,"Date manquante ou invalide",IF(B1522="","Équipe manquante",IF(ISNA(MATCH(B1522,eq_code,0)),"Équipe inconnue",IF(C1522="","Poste manquant",IF(ISNA(MATCH(C1522,po_code,0)),"Poste inconnu",IF(D1522="","Cause manquante",IF(ISNA(MATCH(D1522,ca_name,0)),"Cause inconnue",IF(H1522="","Cause à compléter dans Paramètres",IF(OR(NOT(ISNUMBER(E1522)),N(E1522)&lt;=0,N(E1522)&gt;1440),"Durée invalide",IF(COUNTIFS(sj_date,A1522,sj_eq,B1522,sj_po,C1522)=0,"Pas de saisie journalière ce jour-là","OK")))))))))))</f>
        <v/>
      </c>
      <c r="J1522">
        <f>IF(OR(I1522="OK",I1522="Pas de saisie journalière ce jour-là"),E1522,0)</f>
        <v>0.0</v>
      </c>
      <c r="K1522">
        <f>IF(AND(J1522&gt;0,A1522&gt;=p_from,A1522&lt;=p_to),1,0)</f>
        <v>0.0</v>
      </c>
      <c r="L1522">
        <f>IF(AND(K1522=1,OR(pa_po="",C1522=pa_po),OR(pa_eq="",B1522=pa_eq)),1,0)</f>
        <v>0.0</v>
      </c>
    </row>
    <row r="1523">
      <c r="A1523" s="51" t="n"/>
      <c r="B1523" s="52" t="n"/>
      <c r="C1523" s="52" t="n"/>
      <c r="D1523" s="53" t="n"/>
      <c r="E1523" s="60" t="n"/>
      <c r="F1523" s="53" t="n"/>
      <c r="G1523" s="61" t="str">
        <f>IF(OR(COUNTA(A1523:E1523)=0,D1523=""),"",IFERROR(INDEX(ca_fam,MATCH(D1523,ca_name,0))&amp;"",""))</f>
        <v/>
      </c>
      <c r="H1523" s="58" t="str">
        <f>IF(OR(COUNTA(A1523:E1523)=0,D1523=""),"",IFERROR(INDEX(ca_type,MATCH(D1523,ca_name,0))&amp;"",""))</f>
        <v/>
      </c>
      <c r="I1523" s="58" t="str">
        <f>IF(COUNTA(A1523:E1523)=0,"",IF(N(A1523)&lt;=0,"Date manquante ou invalide",IF(B1523="","Équipe manquante",IF(ISNA(MATCH(B1523,eq_code,0)),"Équipe inconnue",IF(C1523="","Poste manquant",IF(ISNA(MATCH(C1523,po_code,0)),"Poste inconnu",IF(D1523="","Cause manquante",IF(ISNA(MATCH(D1523,ca_name,0)),"Cause inconnue",IF(H1523="","Cause à compléter dans Paramètres",IF(OR(NOT(ISNUMBER(E1523)),N(E1523)&lt;=0,N(E1523)&gt;1440),"Durée invalide",IF(COUNTIFS(sj_date,A1523,sj_eq,B1523,sj_po,C1523)=0,"Pas de saisie journalière ce jour-là","OK")))))))))))</f>
        <v/>
      </c>
      <c r="J1523">
        <f>IF(OR(I1523="OK",I1523="Pas de saisie journalière ce jour-là"),E1523,0)</f>
        <v>0.0</v>
      </c>
      <c r="K1523">
        <f>IF(AND(J1523&gt;0,A1523&gt;=p_from,A1523&lt;=p_to),1,0)</f>
        <v>0.0</v>
      </c>
      <c r="L1523">
        <f>IF(AND(K1523=1,OR(pa_po="",C1523=pa_po),OR(pa_eq="",B1523=pa_eq)),1,0)</f>
        <v>0.0</v>
      </c>
    </row>
    <row r="1524">
      <c r="A1524" s="51" t="n"/>
      <c r="B1524" s="52" t="n"/>
      <c r="C1524" s="52" t="n"/>
      <c r="D1524" s="53" t="n"/>
      <c r="E1524" s="60" t="n"/>
      <c r="F1524" s="53" t="n"/>
      <c r="G1524" s="61" t="str">
        <f>IF(OR(COUNTA(A1524:E1524)=0,D1524=""),"",IFERROR(INDEX(ca_fam,MATCH(D1524,ca_name,0))&amp;"",""))</f>
        <v/>
      </c>
      <c r="H1524" s="58" t="str">
        <f>IF(OR(COUNTA(A1524:E1524)=0,D1524=""),"",IFERROR(INDEX(ca_type,MATCH(D1524,ca_name,0))&amp;"",""))</f>
        <v/>
      </c>
      <c r="I1524" s="58" t="str">
        <f>IF(COUNTA(A1524:E1524)=0,"",IF(N(A1524)&lt;=0,"Date manquante ou invalide",IF(B1524="","Équipe manquante",IF(ISNA(MATCH(B1524,eq_code,0)),"Équipe inconnue",IF(C1524="","Poste manquant",IF(ISNA(MATCH(C1524,po_code,0)),"Poste inconnu",IF(D1524="","Cause manquante",IF(ISNA(MATCH(D1524,ca_name,0)),"Cause inconnue",IF(H1524="","Cause à compléter dans Paramètres",IF(OR(NOT(ISNUMBER(E1524)),N(E1524)&lt;=0,N(E1524)&gt;1440),"Durée invalide",IF(COUNTIFS(sj_date,A1524,sj_eq,B1524,sj_po,C1524)=0,"Pas de saisie journalière ce jour-là","OK")))))))))))</f>
        <v/>
      </c>
      <c r="J1524">
        <f>IF(OR(I1524="OK",I1524="Pas de saisie journalière ce jour-là"),E1524,0)</f>
        <v>0.0</v>
      </c>
      <c r="K1524">
        <f>IF(AND(J1524&gt;0,A1524&gt;=p_from,A1524&lt;=p_to),1,0)</f>
        <v>0.0</v>
      </c>
      <c r="L1524">
        <f>IF(AND(K1524=1,OR(pa_po="",C1524=pa_po),OR(pa_eq="",B1524=pa_eq)),1,0)</f>
        <v>0.0</v>
      </c>
    </row>
    <row r="1525">
      <c r="A1525" s="51" t="n"/>
      <c r="B1525" s="52" t="n"/>
      <c r="C1525" s="52" t="n"/>
      <c r="D1525" s="53" t="n"/>
      <c r="E1525" s="60" t="n"/>
      <c r="F1525" s="53" t="n"/>
      <c r="G1525" s="61" t="str">
        <f>IF(OR(COUNTA(A1525:E1525)=0,D1525=""),"",IFERROR(INDEX(ca_fam,MATCH(D1525,ca_name,0))&amp;"",""))</f>
        <v/>
      </c>
      <c r="H1525" s="58" t="str">
        <f>IF(OR(COUNTA(A1525:E1525)=0,D1525=""),"",IFERROR(INDEX(ca_type,MATCH(D1525,ca_name,0))&amp;"",""))</f>
        <v/>
      </c>
      <c r="I1525" s="58" t="str">
        <f>IF(COUNTA(A1525:E1525)=0,"",IF(N(A1525)&lt;=0,"Date manquante ou invalide",IF(B1525="","Équipe manquante",IF(ISNA(MATCH(B1525,eq_code,0)),"Équipe inconnue",IF(C1525="","Poste manquant",IF(ISNA(MATCH(C1525,po_code,0)),"Poste inconnu",IF(D1525="","Cause manquante",IF(ISNA(MATCH(D1525,ca_name,0)),"Cause inconnue",IF(H1525="","Cause à compléter dans Paramètres",IF(OR(NOT(ISNUMBER(E1525)),N(E1525)&lt;=0,N(E1525)&gt;1440),"Durée invalide",IF(COUNTIFS(sj_date,A1525,sj_eq,B1525,sj_po,C1525)=0,"Pas de saisie journalière ce jour-là","OK")))))))))))</f>
        <v/>
      </c>
      <c r="J1525">
        <f>IF(OR(I1525="OK",I1525="Pas de saisie journalière ce jour-là"),E1525,0)</f>
        <v>0.0</v>
      </c>
      <c r="K1525">
        <f>IF(AND(J1525&gt;0,A1525&gt;=p_from,A1525&lt;=p_to),1,0)</f>
        <v>0.0</v>
      </c>
      <c r="L1525">
        <f>IF(AND(K1525=1,OR(pa_po="",C1525=pa_po),OR(pa_eq="",B1525=pa_eq)),1,0)</f>
        <v>0.0</v>
      </c>
    </row>
    <row r="1526">
      <c r="A1526" s="51" t="n"/>
      <c r="B1526" s="52" t="n"/>
      <c r="C1526" s="52" t="n"/>
      <c r="D1526" s="53" t="n"/>
      <c r="E1526" s="60" t="n"/>
      <c r="F1526" s="53" t="n"/>
      <c r="G1526" s="61" t="str">
        <f>IF(OR(COUNTA(A1526:E1526)=0,D1526=""),"",IFERROR(INDEX(ca_fam,MATCH(D1526,ca_name,0))&amp;"",""))</f>
        <v/>
      </c>
      <c r="H1526" s="58" t="str">
        <f>IF(OR(COUNTA(A1526:E1526)=0,D1526=""),"",IFERROR(INDEX(ca_type,MATCH(D1526,ca_name,0))&amp;"",""))</f>
        <v/>
      </c>
      <c r="I1526" s="58" t="str">
        <f>IF(COUNTA(A1526:E1526)=0,"",IF(N(A1526)&lt;=0,"Date manquante ou invalide",IF(B1526="","Équipe manquante",IF(ISNA(MATCH(B1526,eq_code,0)),"Équipe inconnue",IF(C1526="","Poste manquant",IF(ISNA(MATCH(C1526,po_code,0)),"Poste inconnu",IF(D1526="","Cause manquante",IF(ISNA(MATCH(D1526,ca_name,0)),"Cause inconnue",IF(H1526="","Cause à compléter dans Paramètres",IF(OR(NOT(ISNUMBER(E1526)),N(E1526)&lt;=0,N(E1526)&gt;1440),"Durée invalide",IF(COUNTIFS(sj_date,A1526,sj_eq,B1526,sj_po,C1526)=0,"Pas de saisie journalière ce jour-là","OK")))))))))))</f>
        <v/>
      </c>
      <c r="J1526">
        <f>IF(OR(I1526="OK",I1526="Pas de saisie journalière ce jour-là"),E1526,0)</f>
        <v>0.0</v>
      </c>
      <c r="K1526">
        <f>IF(AND(J1526&gt;0,A1526&gt;=p_from,A1526&lt;=p_to),1,0)</f>
        <v>0.0</v>
      </c>
      <c r="L1526">
        <f>IF(AND(K1526=1,OR(pa_po="",C1526=pa_po),OR(pa_eq="",B1526=pa_eq)),1,0)</f>
        <v>0.0</v>
      </c>
    </row>
    <row r="1527">
      <c r="A1527" s="51" t="n"/>
      <c r="B1527" s="52" t="n"/>
      <c r="C1527" s="52" t="n"/>
      <c r="D1527" s="53" t="n"/>
      <c r="E1527" s="60" t="n"/>
      <c r="F1527" s="53" t="n"/>
      <c r="G1527" s="61" t="str">
        <f>IF(OR(COUNTA(A1527:E1527)=0,D1527=""),"",IFERROR(INDEX(ca_fam,MATCH(D1527,ca_name,0))&amp;"",""))</f>
        <v/>
      </c>
      <c r="H1527" s="58" t="str">
        <f>IF(OR(COUNTA(A1527:E1527)=0,D1527=""),"",IFERROR(INDEX(ca_type,MATCH(D1527,ca_name,0))&amp;"",""))</f>
        <v/>
      </c>
      <c r="I1527" s="58" t="str">
        <f>IF(COUNTA(A1527:E1527)=0,"",IF(N(A1527)&lt;=0,"Date manquante ou invalide",IF(B1527="","Équipe manquante",IF(ISNA(MATCH(B1527,eq_code,0)),"Équipe inconnue",IF(C1527="","Poste manquant",IF(ISNA(MATCH(C1527,po_code,0)),"Poste inconnu",IF(D1527="","Cause manquante",IF(ISNA(MATCH(D1527,ca_name,0)),"Cause inconnue",IF(H1527="","Cause à compléter dans Paramètres",IF(OR(NOT(ISNUMBER(E1527)),N(E1527)&lt;=0,N(E1527)&gt;1440),"Durée invalide",IF(COUNTIFS(sj_date,A1527,sj_eq,B1527,sj_po,C1527)=0,"Pas de saisie journalière ce jour-là","OK")))))))))))</f>
        <v/>
      </c>
      <c r="J1527">
        <f>IF(OR(I1527="OK",I1527="Pas de saisie journalière ce jour-là"),E1527,0)</f>
        <v>0.0</v>
      </c>
      <c r="K1527">
        <f>IF(AND(J1527&gt;0,A1527&gt;=p_from,A1527&lt;=p_to),1,0)</f>
        <v>0.0</v>
      </c>
      <c r="L1527">
        <f>IF(AND(K1527=1,OR(pa_po="",C1527=pa_po),OR(pa_eq="",B1527=pa_eq)),1,0)</f>
        <v>0.0</v>
      </c>
    </row>
    <row r="1528">
      <c r="A1528" s="51" t="n"/>
      <c r="B1528" s="52" t="n"/>
      <c r="C1528" s="52" t="n"/>
      <c r="D1528" s="53" t="n"/>
      <c r="E1528" s="60" t="n"/>
      <c r="F1528" s="53" t="n"/>
      <c r="G1528" s="61" t="str">
        <f>IF(OR(COUNTA(A1528:E1528)=0,D1528=""),"",IFERROR(INDEX(ca_fam,MATCH(D1528,ca_name,0))&amp;"",""))</f>
        <v/>
      </c>
      <c r="H1528" s="58" t="str">
        <f>IF(OR(COUNTA(A1528:E1528)=0,D1528=""),"",IFERROR(INDEX(ca_type,MATCH(D1528,ca_name,0))&amp;"",""))</f>
        <v/>
      </c>
      <c r="I1528" s="58" t="str">
        <f>IF(COUNTA(A1528:E1528)=0,"",IF(N(A1528)&lt;=0,"Date manquante ou invalide",IF(B1528="","Équipe manquante",IF(ISNA(MATCH(B1528,eq_code,0)),"Équipe inconnue",IF(C1528="","Poste manquant",IF(ISNA(MATCH(C1528,po_code,0)),"Poste inconnu",IF(D1528="","Cause manquante",IF(ISNA(MATCH(D1528,ca_name,0)),"Cause inconnue",IF(H1528="","Cause à compléter dans Paramètres",IF(OR(NOT(ISNUMBER(E1528)),N(E1528)&lt;=0,N(E1528)&gt;1440),"Durée invalide",IF(COUNTIFS(sj_date,A1528,sj_eq,B1528,sj_po,C1528)=0,"Pas de saisie journalière ce jour-là","OK")))))))))))</f>
        <v/>
      </c>
      <c r="J1528">
        <f>IF(OR(I1528="OK",I1528="Pas de saisie journalière ce jour-là"),E1528,0)</f>
        <v>0.0</v>
      </c>
      <c r="K1528">
        <f>IF(AND(J1528&gt;0,A1528&gt;=p_from,A1528&lt;=p_to),1,0)</f>
        <v>0.0</v>
      </c>
      <c r="L1528">
        <f>IF(AND(K1528=1,OR(pa_po="",C1528=pa_po),OR(pa_eq="",B1528=pa_eq)),1,0)</f>
        <v>0.0</v>
      </c>
    </row>
    <row r="1529">
      <c r="A1529" s="51" t="n"/>
      <c r="B1529" s="52" t="n"/>
      <c r="C1529" s="52" t="n"/>
      <c r="D1529" s="53" t="n"/>
      <c r="E1529" s="60" t="n"/>
      <c r="F1529" s="53" t="n"/>
      <c r="G1529" s="61" t="str">
        <f>IF(OR(COUNTA(A1529:E1529)=0,D1529=""),"",IFERROR(INDEX(ca_fam,MATCH(D1529,ca_name,0))&amp;"",""))</f>
        <v/>
      </c>
      <c r="H1529" s="58" t="str">
        <f>IF(OR(COUNTA(A1529:E1529)=0,D1529=""),"",IFERROR(INDEX(ca_type,MATCH(D1529,ca_name,0))&amp;"",""))</f>
        <v/>
      </c>
      <c r="I1529" s="58" t="str">
        <f>IF(COUNTA(A1529:E1529)=0,"",IF(N(A1529)&lt;=0,"Date manquante ou invalide",IF(B1529="","Équipe manquante",IF(ISNA(MATCH(B1529,eq_code,0)),"Équipe inconnue",IF(C1529="","Poste manquant",IF(ISNA(MATCH(C1529,po_code,0)),"Poste inconnu",IF(D1529="","Cause manquante",IF(ISNA(MATCH(D1529,ca_name,0)),"Cause inconnue",IF(H1529="","Cause à compléter dans Paramètres",IF(OR(NOT(ISNUMBER(E1529)),N(E1529)&lt;=0,N(E1529)&gt;1440),"Durée invalide",IF(COUNTIFS(sj_date,A1529,sj_eq,B1529,sj_po,C1529)=0,"Pas de saisie journalière ce jour-là","OK")))))))))))</f>
        <v/>
      </c>
      <c r="J1529">
        <f>IF(OR(I1529="OK",I1529="Pas de saisie journalière ce jour-là"),E1529,0)</f>
        <v>0.0</v>
      </c>
      <c r="K1529">
        <f>IF(AND(J1529&gt;0,A1529&gt;=p_from,A1529&lt;=p_to),1,0)</f>
        <v>0.0</v>
      </c>
      <c r="L1529">
        <f>IF(AND(K1529=1,OR(pa_po="",C1529=pa_po),OR(pa_eq="",B1529=pa_eq)),1,0)</f>
        <v>0.0</v>
      </c>
    </row>
    <row r="1530">
      <c r="A1530" s="51" t="n"/>
      <c r="B1530" s="52" t="n"/>
      <c r="C1530" s="52" t="n"/>
      <c r="D1530" s="53" t="n"/>
      <c r="E1530" s="60" t="n"/>
      <c r="F1530" s="53" t="n"/>
      <c r="G1530" s="61" t="str">
        <f>IF(OR(COUNTA(A1530:E1530)=0,D1530=""),"",IFERROR(INDEX(ca_fam,MATCH(D1530,ca_name,0))&amp;"",""))</f>
        <v/>
      </c>
      <c r="H1530" s="58" t="str">
        <f>IF(OR(COUNTA(A1530:E1530)=0,D1530=""),"",IFERROR(INDEX(ca_type,MATCH(D1530,ca_name,0))&amp;"",""))</f>
        <v/>
      </c>
      <c r="I1530" s="58" t="str">
        <f>IF(COUNTA(A1530:E1530)=0,"",IF(N(A1530)&lt;=0,"Date manquante ou invalide",IF(B1530="","Équipe manquante",IF(ISNA(MATCH(B1530,eq_code,0)),"Équipe inconnue",IF(C1530="","Poste manquant",IF(ISNA(MATCH(C1530,po_code,0)),"Poste inconnu",IF(D1530="","Cause manquante",IF(ISNA(MATCH(D1530,ca_name,0)),"Cause inconnue",IF(H1530="","Cause à compléter dans Paramètres",IF(OR(NOT(ISNUMBER(E1530)),N(E1530)&lt;=0,N(E1530)&gt;1440),"Durée invalide",IF(COUNTIFS(sj_date,A1530,sj_eq,B1530,sj_po,C1530)=0,"Pas de saisie journalière ce jour-là","OK")))))))))))</f>
        <v/>
      </c>
      <c r="J1530">
        <f>IF(OR(I1530="OK",I1530="Pas de saisie journalière ce jour-là"),E1530,0)</f>
        <v>0.0</v>
      </c>
      <c r="K1530">
        <f>IF(AND(J1530&gt;0,A1530&gt;=p_from,A1530&lt;=p_to),1,0)</f>
        <v>0.0</v>
      </c>
      <c r="L1530">
        <f>IF(AND(K1530=1,OR(pa_po="",C1530=pa_po),OR(pa_eq="",B1530=pa_eq)),1,0)</f>
        <v>0.0</v>
      </c>
    </row>
    <row r="1531">
      <c r="A1531" s="51" t="n"/>
      <c r="B1531" s="52" t="n"/>
      <c r="C1531" s="52" t="n"/>
      <c r="D1531" s="53" t="n"/>
      <c r="E1531" s="60" t="n"/>
      <c r="F1531" s="53" t="n"/>
      <c r="G1531" s="61" t="str">
        <f>IF(OR(COUNTA(A1531:E1531)=0,D1531=""),"",IFERROR(INDEX(ca_fam,MATCH(D1531,ca_name,0))&amp;"",""))</f>
        <v/>
      </c>
      <c r="H1531" s="58" t="str">
        <f>IF(OR(COUNTA(A1531:E1531)=0,D1531=""),"",IFERROR(INDEX(ca_type,MATCH(D1531,ca_name,0))&amp;"",""))</f>
        <v/>
      </c>
      <c r="I1531" s="58" t="str">
        <f>IF(COUNTA(A1531:E1531)=0,"",IF(N(A1531)&lt;=0,"Date manquante ou invalide",IF(B1531="","Équipe manquante",IF(ISNA(MATCH(B1531,eq_code,0)),"Équipe inconnue",IF(C1531="","Poste manquant",IF(ISNA(MATCH(C1531,po_code,0)),"Poste inconnu",IF(D1531="","Cause manquante",IF(ISNA(MATCH(D1531,ca_name,0)),"Cause inconnue",IF(H1531="","Cause à compléter dans Paramètres",IF(OR(NOT(ISNUMBER(E1531)),N(E1531)&lt;=0,N(E1531)&gt;1440),"Durée invalide",IF(COUNTIFS(sj_date,A1531,sj_eq,B1531,sj_po,C1531)=0,"Pas de saisie journalière ce jour-là","OK")))))))))))</f>
        <v/>
      </c>
      <c r="J1531">
        <f>IF(OR(I1531="OK",I1531="Pas de saisie journalière ce jour-là"),E1531,0)</f>
        <v>0.0</v>
      </c>
      <c r="K1531">
        <f>IF(AND(J1531&gt;0,A1531&gt;=p_from,A1531&lt;=p_to),1,0)</f>
        <v>0.0</v>
      </c>
      <c r="L1531">
        <f>IF(AND(K1531=1,OR(pa_po="",C1531=pa_po),OR(pa_eq="",B1531=pa_eq)),1,0)</f>
        <v>0.0</v>
      </c>
    </row>
    <row r="1532">
      <c r="A1532" s="51" t="n"/>
      <c r="B1532" s="52" t="n"/>
      <c r="C1532" s="52" t="n"/>
      <c r="D1532" s="53" t="n"/>
      <c r="E1532" s="60" t="n"/>
      <c r="F1532" s="53" t="n"/>
      <c r="G1532" s="61" t="str">
        <f>IF(OR(COUNTA(A1532:E1532)=0,D1532=""),"",IFERROR(INDEX(ca_fam,MATCH(D1532,ca_name,0))&amp;"",""))</f>
        <v/>
      </c>
      <c r="H1532" s="58" t="str">
        <f>IF(OR(COUNTA(A1532:E1532)=0,D1532=""),"",IFERROR(INDEX(ca_type,MATCH(D1532,ca_name,0))&amp;"",""))</f>
        <v/>
      </c>
      <c r="I1532" s="58" t="str">
        <f>IF(COUNTA(A1532:E1532)=0,"",IF(N(A1532)&lt;=0,"Date manquante ou invalide",IF(B1532="","Équipe manquante",IF(ISNA(MATCH(B1532,eq_code,0)),"Équipe inconnue",IF(C1532="","Poste manquant",IF(ISNA(MATCH(C1532,po_code,0)),"Poste inconnu",IF(D1532="","Cause manquante",IF(ISNA(MATCH(D1532,ca_name,0)),"Cause inconnue",IF(H1532="","Cause à compléter dans Paramètres",IF(OR(NOT(ISNUMBER(E1532)),N(E1532)&lt;=0,N(E1532)&gt;1440),"Durée invalide",IF(COUNTIFS(sj_date,A1532,sj_eq,B1532,sj_po,C1532)=0,"Pas de saisie journalière ce jour-là","OK")))))))))))</f>
        <v/>
      </c>
      <c r="J1532">
        <f>IF(OR(I1532="OK",I1532="Pas de saisie journalière ce jour-là"),E1532,0)</f>
        <v>0.0</v>
      </c>
      <c r="K1532">
        <f>IF(AND(J1532&gt;0,A1532&gt;=p_from,A1532&lt;=p_to),1,0)</f>
        <v>0.0</v>
      </c>
      <c r="L1532">
        <f>IF(AND(K1532=1,OR(pa_po="",C1532=pa_po),OR(pa_eq="",B1532=pa_eq)),1,0)</f>
        <v>0.0</v>
      </c>
    </row>
    <row r="1533">
      <c r="A1533" s="51" t="n"/>
      <c r="B1533" s="52" t="n"/>
      <c r="C1533" s="52" t="n"/>
      <c r="D1533" s="53" t="n"/>
      <c r="E1533" s="60" t="n"/>
      <c r="F1533" s="53" t="n"/>
      <c r="G1533" s="61" t="str">
        <f>IF(OR(COUNTA(A1533:E1533)=0,D1533=""),"",IFERROR(INDEX(ca_fam,MATCH(D1533,ca_name,0))&amp;"",""))</f>
        <v/>
      </c>
      <c r="H1533" s="58" t="str">
        <f>IF(OR(COUNTA(A1533:E1533)=0,D1533=""),"",IFERROR(INDEX(ca_type,MATCH(D1533,ca_name,0))&amp;"",""))</f>
        <v/>
      </c>
      <c r="I1533" s="58" t="str">
        <f>IF(COUNTA(A1533:E1533)=0,"",IF(N(A1533)&lt;=0,"Date manquante ou invalide",IF(B1533="","Équipe manquante",IF(ISNA(MATCH(B1533,eq_code,0)),"Équipe inconnue",IF(C1533="","Poste manquant",IF(ISNA(MATCH(C1533,po_code,0)),"Poste inconnu",IF(D1533="","Cause manquante",IF(ISNA(MATCH(D1533,ca_name,0)),"Cause inconnue",IF(H1533="","Cause à compléter dans Paramètres",IF(OR(NOT(ISNUMBER(E1533)),N(E1533)&lt;=0,N(E1533)&gt;1440),"Durée invalide",IF(COUNTIFS(sj_date,A1533,sj_eq,B1533,sj_po,C1533)=0,"Pas de saisie journalière ce jour-là","OK")))))))))))</f>
        <v/>
      </c>
      <c r="J1533">
        <f>IF(OR(I1533="OK",I1533="Pas de saisie journalière ce jour-là"),E1533,0)</f>
        <v>0.0</v>
      </c>
      <c r="K1533">
        <f>IF(AND(J1533&gt;0,A1533&gt;=p_from,A1533&lt;=p_to),1,0)</f>
        <v>0.0</v>
      </c>
      <c r="L1533">
        <f>IF(AND(K1533=1,OR(pa_po="",C1533=pa_po),OR(pa_eq="",B1533=pa_eq)),1,0)</f>
        <v>0.0</v>
      </c>
    </row>
    <row r="1534">
      <c r="A1534" s="51" t="n"/>
      <c r="B1534" s="52" t="n"/>
      <c r="C1534" s="52" t="n"/>
      <c r="D1534" s="53" t="n"/>
      <c r="E1534" s="60" t="n"/>
      <c r="F1534" s="53" t="n"/>
      <c r="G1534" s="61" t="str">
        <f>IF(OR(COUNTA(A1534:E1534)=0,D1534=""),"",IFERROR(INDEX(ca_fam,MATCH(D1534,ca_name,0))&amp;"",""))</f>
        <v/>
      </c>
      <c r="H1534" s="58" t="str">
        <f>IF(OR(COUNTA(A1534:E1534)=0,D1534=""),"",IFERROR(INDEX(ca_type,MATCH(D1534,ca_name,0))&amp;"",""))</f>
        <v/>
      </c>
      <c r="I1534" s="58" t="str">
        <f>IF(COUNTA(A1534:E1534)=0,"",IF(N(A1534)&lt;=0,"Date manquante ou invalide",IF(B1534="","Équipe manquante",IF(ISNA(MATCH(B1534,eq_code,0)),"Équipe inconnue",IF(C1534="","Poste manquant",IF(ISNA(MATCH(C1534,po_code,0)),"Poste inconnu",IF(D1534="","Cause manquante",IF(ISNA(MATCH(D1534,ca_name,0)),"Cause inconnue",IF(H1534="","Cause à compléter dans Paramètres",IF(OR(NOT(ISNUMBER(E1534)),N(E1534)&lt;=0,N(E1534)&gt;1440),"Durée invalide",IF(COUNTIFS(sj_date,A1534,sj_eq,B1534,sj_po,C1534)=0,"Pas de saisie journalière ce jour-là","OK")))))))))))</f>
        <v/>
      </c>
      <c r="J1534">
        <f>IF(OR(I1534="OK",I1534="Pas de saisie journalière ce jour-là"),E1534,0)</f>
        <v>0.0</v>
      </c>
      <c r="K1534">
        <f>IF(AND(J1534&gt;0,A1534&gt;=p_from,A1534&lt;=p_to),1,0)</f>
        <v>0.0</v>
      </c>
      <c r="L1534">
        <f>IF(AND(K1534=1,OR(pa_po="",C1534=pa_po),OR(pa_eq="",B1534=pa_eq)),1,0)</f>
        <v>0.0</v>
      </c>
    </row>
    <row r="1535">
      <c r="A1535" s="51" t="n"/>
      <c r="B1535" s="52" t="n"/>
      <c r="C1535" s="52" t="n"/>
      <c r="D1535" s="53" t="n"/>
      <c r="E1535" s="60" t="n"/>
      <c r="F1535" s="53" t="n"/>
      <c r="G1535" s="61" t="str">
        <f>IF(OR(COUNTA(A1535:E1535)=0,D1535=""),"",IFERROR(INDEX(ca_fam,MATCH(D1535,ca_name,0))&amp;"",""))</f>
        <v/>
      </c>
      <c r="H1535" s="58" t="str">
        <f>IF(OR(COUNTA(A1535:E1535)=0,D1535=""),"",IFERROR(INDEX(ca_type,MATCH(D1535,ca_name,0))&amp;"",""))</f>
        <v/>
      </c>
      <c r="I1535" s="58" t="str">
        <f>IF(COUNTA(A1535:E1535)=0,"",IF(N(A1535)&lt;=0,"Date manquante ou invalide",IF(B1535="","Équipe manquante",IF(ISNA(MATCH(B1535,eq_code,0)),"Équipe inconnue",IF(C1535="","Poste manquant",IF(ISNA(MATCH(C1535,po_code,0)),"Poste inconnu",IF(D1535="","Cause manquante",IF(ISNA(MATCH(D1535,ca_name,0)),"Cause inconnue",IF(H1535="","Cause à compléter dans Paramètres",IF(OR(NOT(ISNUMBER(E1535)),N(E1535)&lt;=0,N(E1535)&gt;1440),"Durée invalide",IF(COUNTIFS(sj_date,A1535,sj_eq,B1535,sj_po,C1535)=0,"Pas de saisie journalière ce jour-là","OK")))))))))))</f>
        <v/>
      </c>
      <c r="J1535">
        <f>IF(OR(I1535="OK",I1535="Pas de saisie journalière ce jour-là"),E1535,0)</f>
        <v>0.0</v>
      </c>
      <c r="K1535">
        <f>IF(AND(J1535&gt;0,A1535&gt;=p_from,A1535&lt;=p_to),1,0)</f>
        <v>0.0</v>
      </c>
      <c r="L1535">
        <f>IF(AND(K1535=1,OR(pa_po="",C1535=pa_po),OR(pa_eq="",B1535=pa_eq)),1,0)</f>
        <v>0.0</v>
      </c>
    </row>
    <row r="1536">
      <c r="A1536" s="51" t="n"/>
      <c r="B1536" s="52" t="n"/>
      <c r="C1536" s="52" t="n"/>
      <c r="D1536" s="53" t="n"/>
      <c r="E1536" s="60" t="n"/>
      <c r="F1536" s="53" t="n"/>
      <c r="G1536" s="61" t="str">
        <f>IF(OR(COUNTA(A1536:E1536)=0,D1536=""),"",IFERROR(INDEX(ca_fam,MATCH(D1536,ca_name,0))&amp;"",""))</f>
        <v/>
      </c>
      <c r="H1536" s="58" t="str">
        <f>IF(OR(COUNTA(A1536:E1536)=0,D1536=""),"",IFERROR(INDEX(ca_type,MATCH(D1536,ca_name,0))&amp;"",""))</f>
        <v/>
      </c>
      <c r="I1536" s="58" t="str">
        <f>IF(COUNTA(A1536:E1536)=0,"",IF(N(A1536)&lt;=0,"Date manquante ou invalide",IF(B1536="","Équipe manquante",IF(ISNA(MATCH(B1536,eq_code,0)),"Équipe inconnue",IF(C1536="","Poste manquant",IF(ISNA(MATCH(C1536,po_code,0)),"Poste inconnu",IF(D1536="","Cause manquante",IF(ISNA(MATCH(D1536,ca_name,0)),"Cause inconnue",IF(H1536="","Cause à compléter dans Paramètres",IF(OR(NOT(ISNUMBER(E1536)),N(E1536)&lt;=0,N(E1536)&gt;1440),"Durée invalide",IF(COUNTIFS(sj_date,A1536,sj_eq,B1536,sj_po,C1536)=0,"Pas de saisie journalière ce jour-là","OK")))))))))))</f>
        <v/>
      </c>
      <c r="J1536">
        <f>IF(OR(I1536="OK",I1536="Pas de saisie journalière ce jour-là"),E1536,0)</f>
        <v>0.0</v>
      </c>
      <c r="K1536">
        <f>IF(AND(J1536&gt;0,A1536&gt;=p_from,A1536&lt;=p_to),1,0)</f>
        <v>0.0</v>
      </c>
      <c r="L1536">
        <f>IF(AND(K1536=1,OR(pa_po="",C1536=pa_po),OR(pa_eq="",B1536=pa_eq)),1,0)</f>
        <v>0.0</v>
      </c>
    </row>
    <row r="1537">
      <c r="A1537" s="51" t="n"/>
      <c r="B1537" s="52" t="n"/>
      <c r="C1537" s="52" t="n"/>
      <c r="D1537" s="53" t="n"/>
      <c r="E1537" s="60" t="n"/>
      <c r="F1537" s="53" t="n"/>
      <c r="G1537" s="61" t="str">
        <f>IF(OR(COUNTA(A1537:E1537)=0,D1537=""),"",IFERROR(INDEX(ca_fam,MATCH(D1537,ca_name,0))&amp;"",""))</f>
        <v/>
      </c>
      <c r="H1537" s="58" t="str">
        <f>IF(OR(COUNTA(A1537:E1537)=0,D1537=""),"",IFERROR(INDEX(ca_type,MATCH(D1537,ca_name,0))&amp;"",""))</f>
        <v/>
      </c>
      <c r="I1537" s="58" t="str">
        <f>IF(COUNTA(A1537:E1537)=0,"",IF(N(A1537)&lt;=0,"Date manquante ou invalide",IF(B1537="","Équipe manquante",IF(ISNA(MATCH(B1537,eq_code,0)),"Équipe inconnue",IF(C1537="","Poste manquant",IF(ISNA(MATCH(C1537,po_code,0)),"Poste inconnu",IF(D1537="","Cause manquante",IF(ISNA(MATCH(D1537,ca_name,0)),"Cause inconnue",IF(H1537="","Cause à compléter dans Paramètres",IF(OR(NOT(ISNUMBER(E1537)),N(E1537)&lt;=0,N(E1537)&gt;1440),"Durée invalide",IF(COUNTIFS(sj_date,A1537,sj_eq,B1537,sj_po,C1537)=0,"Pas de saisie journalière ce jour-là","OK")))))))))))</f>
        <v/>
      </c>
      <c r="J1537">
        <f>IF(OR(I1537="OK",I1537="Pas de saisie journalière ce jour-là"),E1537,0)</f>
        <v>0.0</v>
      </c>
      <c r="K1537">
        <f>IF(AND(J1537&gt;0,A1537&gt;=p_from,A1537&lt;=p_to),1,0)</f>
        <v>0.0</v>
      </c>
      <c r="L1537">
        <f>IF(AND(K1537=1,OR(pa_po="",C1537=pa_po),OR(pa_eq="",B1537=pa_eq)),1,0)</f>
        <v>0.0</v>
      </c>
    </row>
    <row r="1538">
      <c r="A1538" s="51" t="n"/>
      <c r="B1538" s="52" t="n"/>
      <c r="C1538" s="52" t="n"/>
      <c r="D1538" s="53" t="n"/>
      <c r="E1538" s="60" t="n"/>
      <c r="F1538" s="53" t="n"/>
      <c r="G1538" s="61" t="str">
        <f>IF(OR(COUNTA(A1538:E1538)=0,D1538=""),"",IFERROR(INDEX(ca_fam,MATCH(D1538,ca_name,0))&amp;"",""))</f>
        <v/>
      </c>
      <c r="H1538" s="58" t="str">
        <f>IF(OR(COUNTA(A1538:E1538)=0,D1538=""),"",IFERROR(INDEX(ca_type,MATCH(D1538,ca_name,0))&amp;"",""))</f>
        <v/>
      </c>
      <c r="I1538" s="58" t="str">
        <f>IF(COUNTA(A1538:E1538)=0,"",IF(N(A1538)&lt;=0,"Date manquante ou invalide",IF(B1538="","Équipe manquante",IF(ISNA(MATCH(B1538,eq_code,0)),"Équipe inconnue",IF(C1538="","Poste manquant",IF(ISNA(MATCH(C1538,po_code,0)),"Poste inconnu",IF(D1538="","Cause manquante",IF(ISNA(MATCH(D1538,ca_name,0)),"Cause inconnue",IF(H1538="","Cause à compléter dans Paramètres",IF(OR(NOT(ISNUMBER(E1538)),N(E1538)&lt;=0,N(E1538)&gt;1440),"Durée invalide",IF(COUNTIFS(sj_date,A1538,sj_eq,B1538,sj_po,C1538)=0,"Pas de saisie journalière ce jour-là","OK")))))))))))</f>
        <v/>
      </c>
      <c r="J1538">
        <f>IF(OR(I1538="OK",I1538="Pas de saisie journalière ce jour-là"),E1538,0)</f>
        <v>0.0</v>
      </c>
      <c r="K1538">
        <f>IF(AND(J1538&gt;0,A1538&gt;=p_from,A1538&lt;=p_to),1,0)</f>
        <v>0.0</v>
      </c>
      <c r="L1538">
        <f>IF(AND(K1538=1,OR(pa_po="",C1538=pa_po),OR(pa_eq="",B1538=pa_eq)),1,0)</f>
        <v>0.0</v>
      </c>
    </row>
    <row r="1539">
      <c r="A1539" s="51" t="n"/>
      <c r="B1539" s="52" t="n"/>
      <c r="C1539" s="52" t="n"/>
      <c r="D1539" s="53" t="n"/>
      <c r="E1539" s="60" t="n"/>
      <c r="F1539" s="53" t="n"/>
      <c r="G1539" s="61" t="str">
        <f>IF(OR(COUNTA(A1539:E1539)=0,D1539=""),"",IFERROR(INDEX(ca_fam,MATCH(D1539,ca_name,0))&amp;"",""))</f>
        <v/>
      </c>
      <c r="H1539" s="58" t="str">
        <f>IF(OR(COUNTA(A1539:E1539)=0,D1539=""),"",IFERROR(INDEX(ca_type,MATCH(D1539,ca_name,0))&amp;"",""))</f>
        <v/>
      </c>
      <c r="I1539" s="58" t="str">
        <f>IF(COUNTA(A1539:E1539)=0,"",IF(N(A1539)&lt;=0,"Date manquante ou invalide",IF(B1539="","Équipe manquante",IF(ISNA(MATCH(B1539,eq_code,0)),"Équipe inconnue",IF(C1539="","Poste manquant",IF(ISNA(MATCH(C1539,po_code,0)),"Poste inconnu",IF(D1539="","Cause manquante",IF(ISNA(MATCH(D1539,ca_name,0)),"Cause inconnue",IF(H1539="","Cause à compléter dans Paramètres",IF(OR(NOT(ISNUMBER(E1539)),N(E1539)&lt;=0,N(E1539)&gt;1440),"Durée invalide",IF(COUNTIFS(sj_date,A1539,sj_eq,B1539,sj_po,C1539)=0,"Pas de saisie journalière ce jour-là","OK")))))))))))</f>
        <v/>
      </c>
      <c r="J1539">
        <f>IF(OR(I1539="OK",I1539="Pas de saisie journalière ce jour-là"),E1539,0)</f>
        <v>0.0</v>
      </c>
      <c r="K1539">
        <f>IF(AND(J1539&gt;0,A1539&gt;=p_from,A1539&lt;=p_to),1,0)</f>
        <v>0.0</v>
      </c>
      <c r="L1539">
        <f>IF(AND(K1539=1,OR(pa_po="",C1539=pa_po),OR(pa_eq="",B1539=pa_eq)),1,0)</f>
        <v>0.0</v>
      </c>
    </row>
    <row r="1540">
      <c r="A1540" s="51" t="n"/>
      <c r="B1540" s="52" t="n"/>
      <c r="C1540" s="52" t="n"/>
      <c r="D1540" s="53" t="n"/>
      <c r="E1540" s="60" t="n"/>
      <c r="F1540" s="53" t="n"/>
      <c r="G1540" s="61" t="str">
        <f>IF(OR(COUNTA(A1540:E1540)=0,D1540=""),"",IFERROR(INDEX(ca_fam,MATCH(D1540,ca_name,0))&amp;"",""))</f>
        <v/>
      </c>
      <c r="H1540" s="58" t="str">
        <f>IF(OR(COUNTA(A1540:E1540)=0,D1540=""),"",IFERROR(INDEX(ca_type,MATCH(D1540,ca_name,0))&amp;"",""))</f>
        <v/>
      </c>
      <c r="I1540" s="58" t="str">
        <f>IF(COUNTA(A1540:E1540)=0,"",IF(N(A1540)&lt;=0,"Date manquante ou invalide",IF(B1540="","Équipe manquante",IF(ISNA(MATCH(B1540,eq_code,0)),"Équipe inconnue",IF(C1540="","Poste manquant",IF(ISNA(MATCH(C1540,po_code,0)),"Poste inconnu",IF(D1540="","Cause manquante",IF(ISNA(MATCH(D1540,ca_name,0)),"Cause inconnue",IF(H1540="","Cause à compléter dans Paramètres",IF(OR(NOT(ISNUMBER(E1540)),N(E1540)&lt;=0,N(E1540)&gt;1440),"Durée invalide",IF(COUNTIFS(sj_date,A1540,sj_eq,B1540,sj_po,C1540)=0,"Pas de saisie journalière ce jour-là","OK")))))))))))</f>
        <v/>
      </c>
      <c r="J1540">
        <f>IF(OR(I1540="OK",I1540="Pas de saisie journalière ce jour-là"),E1540,0)</f>
        <v>0.0</v>
      </c>
      <c r="K1540">
        <f>IF(AND(J1540&gt;0,A1540&gt;=p_from,A1540&lt;=p_to),1,0)</f>
        <v>0.0</v>
      </c>
      <c r="L1540">
        <f>IF(AND(K1540=1,OR(pa_po="",C1540=pa_po),OR(pa_eq="",B1540=pa_eq)),1,0)</f>
        <v>0.0</v>
      </c>
    </row>
    <row r="1541">
      <c r="A1541" s="51" t="n"/>
      <c r="B1541" s="52" t="n"/>
      <c r="C1541" s="52" t="n"/>
      <c r="D1541" s="53" t="n"/>
      <c r="E1541" s="60" t="n"/>
      <c r="F1541" s="53" t="n"/>
      <c r="G1541" s="61" t="str">
        <f>IF(OR(COUNTA(A1541:E1541)=0,D1541=""),"",IFERROR(INDEX(ca_fam,MATCH(D1541,ca_name,0))&amp;"",""))</f>
        <v/>
      </c>
      <c r="H1541" s="58" t="str">
        <f>IF(OR(COUNTA(A1541:E1541)=0,D1541=""),"",IFERROR(INDEX(ca_type,MATCH(D1541,ca_name,0))&amp;"",""))</f>
        <v/>
      </c>
      <c r="I1541" s="58" t="str">
        <f>IF(COUNTA(A1541:E1541)=0,"",IF(N(A1541)&lt;=0,"Date manquante ou invalide",IF(B1541="","Équipe manquante",IF(ISNA(MATCH(B1541,eq_code,0)),"Équipe inconnue",IF(C1541="","Poste manquant",IF(ISNA(MATCH(C1541,po_code,0)),"Poste inconnu",IF(D1541="","Cause manquante",IF(ISNA(MATCH(D1541,ca_name,0)),"Cause inconnue",IF(H1541="","Cause à compléter dans Paramètres",IF(OR(NOT(ISNUMBER(E1541)),N(E1541)&lt;=0,N(E1541)&gt;1440),"Durée invalide",IF(COUNTIFS(sj_date,A1541,sj_eq,B1541,sj_po,C1541)=0,"Pas de saisie journalière ce jour-là","OK")))))))))))</f>
        <v/>
      </c>
      <c r="J1541">
        <f>IF(OR(I1541="OK",I1541="Pas de saisie journalière ce jour-là"),E1541,0)</f>
        <v>0.0</v>
      </c>
      <c r="K1541">
        <f>IF(AND(J1541&gt;0,A1541&gt;=p_from,A1541&lt;=p_to),1,0)</f>
        <v>0.0</v>
      </c>
      <c r="L1541">
        <f>IF(AND(K1541=1,OR(pa_po="",C1541=pa_po),OR(pa_eq="",B1541=pa_eq)),1,0)</f>
        <v>0.0</v>
      </c>
    </row>
    <row r="1542">
      <c r="A1542" s="51" t="n"/>
      <c r="B1542" s="52" t="n"/>
      <c r="C1542" s="52" t="n"/>
      <c r="D1542" s="53" t="n"/>
      <c r="E1542" s="60" t="n"/>
      <c r="F1542" s="53" t="n"/>
      <c r="G1542" s="61" t="str">
        <f>IF(OR(COUNTA(A1542:E1542)=0,D1542=""),"",IFERROR(INDEX(ca_fam,MATCH(D1542,ca_name,0))&amp;"",""))</f>
        <v/>
      </c>
      <c r="H1542" s="58" t="str">
        <f>IF(OR(COUNTA(A1542:E1542)=0,D1542=""),"",IFERROR(INDEX(ca_type,MATCH(D1542,ca_name,0))&amp;"",""))</f>
        <v/>
      </c>
      <c r="I1542" s="58" t="str">
        <f>IF(COUNTA(A1542:E1542)=0,"",IF(N(A1542)&lt;=0,"Date manquante ou invalide",IF(B1542="","Équipe manquante",IF(ISNA(MATCH(B1542,eq_code,0)),"Équipe inconnue",IF(C1542="","Poste manquant",IF(ISNA(MATCH(C1542,po_code,0)),"Poste inconnu",IF(D1542="","Cause manquante",IF(ISNA(MATCH(D1542,ca_name,0)),"Cause inconnue",IF(H1542="","Cause à compléter dans Paramètres",IF(OR(NOT(ISNUMBER(E1542)),N(E1542)&lt;=0,N(E1542)&gt;1440),"Durée invalide",IF(COUNTIFS(sj_date,A1542,sj_eq,B1542,sj_po,C1542)=0,"Pas de saisie journalière ce jour-là","OK")))))))))))</f>
        <v/>
      </c>
      <c r="J1542">
        <f>IF(OR(I1542="OK",I1542="Pas de saisie journalière ce jour-là"),E1542,0)</f>
        <v>0.0</v>
      </c>
      <c r="K1542">
        <f>IF(AND(J1542&gt;0,A1542&gt;=p_from,A1542&lt;=p_to),1,0)</f>
        <v>0.0</v>
      </c>
      <c r="L1542">
        <f>IF(AND(K1542=1,OR(pa_po="",C1542=pa_po),OR(pa_eq="",B1542=pa_eq)),1,0)</f>
        <v>0.0</v>
      </c>
    </row>
    <row r="1543">
      <c r="A1543" s="51" t="n"/>
      <c r="B1543" s="52" t="n"/>
      <c r="C1543" s="52" t="n"/>
      <c r="D1543" s="53" t="n"/>
      <c r="E1543" s="60" t="n"/>
      <c r="F1543" s="53" t="n"/>
      <c r="G1543" s="61" t="str">
        <f>IF(OR(COUNTA(A1543:E1543)=0,D1543=""),"",IFERROR(INDEX(ca_fam,MATCH(D1543,ca_name,0))&amp;"",""))</f>
        <v/>
      </c>
      <c r="H1543" s="58" t="str">
        <f>IF(OR(COUNTA(A1543:E1543)=0,D1543=""),"",IFERROR(INDEX(ca_type,MATCH(D1543,ca_name,0))&amp;"",""))</f>
        <v/>
      </c>
      <c r="I1543" s="58" t="str">
        <f>IF(COUNTA(A1543:E1543)=0,"",IF(N(A1543)&lt;=0,"Date manquante ou invalide",IF(B1543="","Équipe manquante",IF(ISNA(MATCH(B1543,eq_code,0)),"Équipe inconnue",IF(C1543="","Poste manquant",IF(ISNA(MATCH(C1543,po_code,0)),"Poste inconnu",IF(D1543="","Cause manquante",IF(ISNA(MATCH(D1543,ca_name,0)),"Cause inconnue",IF(H1543="","Cause à compléter dans Paramètres",IF(OR(NOT(ISNUMBER(E1543)),N(E1543)&lt;=0,N(E1543)&gt;1440),"Durée invalide",IF(COUNTIFS(sj_date,A1543,sj_eq,B1543,sj_po,C1543)=0,"Pas de saisie journalière ce jour-là","OK")))))))))))</f>
        <v/>
      </c>
      <c r="J1543">
        <f>IF(OR(I1543="OK",I1543="Pas de saisie journalière ce jour-là"),E1543,0)</f>
        <v>0.0</v>
      </c>
      <c r="K1543">
        <f>IF(AND(J1543&gt;0,A1543&gt;=p_from,A1543&lt;=p_to),1,0)</f>
        <v>0.0</v>
      </c>
      <c r="L1543">
        <f>IF(AND(K1543=1,OR(pa_po="",C1543=pa_po),OR(pa_eq="",B1543=pa_eq)),1,0)</f>
        <v>0.0</v>
      </c>
    </row>
    <row r="1544">
      <c r="A1544" s="51" t="n"/>
      <c r="B1544" s="52" t="n"/>
      <c r="C1544" s="52" t="n"/>
      <c r="D1544" s="53" t="n"/>
      <c r="E1544" s="60" t="n"/>
      <c r="F1544" s="53" t="n"/>
      <c r="G1544" s="61" t="str">
        <f>IF(OR(COUNTA(A1544:E1544)=0,D1544=""),"",IFERROR(INDEX(ca_fam,MATCH(D1544,ca_name,0))&amp;"",""))</f>
        <v/>
      </c>
      <c r="H1544" s="58" t="str">
        <f>IF(OR(COUNTA(A1544:E1544)=0,D1544=""),"",IFERROR(INDEX(ca_type,MATCH(D1544,ca_name,0))&amp;"",""))</f>
        <v/>
      </c>
      <c r="I1544" s="58" t="str">
        <f>IF(COUNTA(A1544:E1544)=0,"",IF(N(A1544)&lt;=0,"Date manquante ou invalide",IF(B1544="","Équipe manquante",IF(ISNA(MATCH(B1544,eq_code,0)),"Équipe inconnue",IF(C1544="","Poste manquant",IF(ISNA(MATCH(C1544,po_code,0)),"Poste inconnu",IF(D1544="","Cause manquante",IF(ISNA(MATCH(D1544,ca_name,0)),"Cause inconnue",IF(H1544="","Cause à compléter dans Paramètres",IF(OR(NOT(ISNUMBER(E1544)),N(E1544)&lt;=0,N(E1544)&gt;1440),"Durée invalide",IF(COUNTIFS(sj_date,A1544,sj_eq,B1544,sj_po,C1544)=0,"Pas de saisie journalière ce jour-là","OK")))))))))))</f>
        <v/>
      </c>
      <c r="J1544">
        <f>IF(OR(I1544="OK",I1544="Pas de saisie journalière ce jour-là"),E1544,0)</f>
        <v>0.0</v>
      </c>
      <c r="K1544">
        <f>IF(AND(J1544&gt;0,A1544&gt;=p_from,A1544&lt;=p_to),1,0)</f>
        <v>0.0</v>
      </c>
      <c r="L1544">
        <f>IF(AND(K1544=1,OR(pa_po="",C1544=pa_po),OR(pa_eq="",B1544=pa_eq)),1,0)</f>
        <v>0.0</v>
      </c>
    </row>
    <row r="1545">
      <c r="A1545" s="51" t="n"/>
      <c r="B1545" s="52" t="n"/>
      <c r="C1545" s="52" t="n"/>
      <c r="D1545" s="53" t="n"/>
      <c r="E1545" s="60" t="n"/>
      <c r="F1545" s="53" t="n"/>
      <c r="G1545" s="61" t="str">
        <f>IF(OR(COUNTA(A1545:E1545)=0,D1545=""),"",IFERROR(INDEX(ca_fam,MATCH(D1545,ca_name,0))&amp;"",""))</f>
        <v/>
      </c>
      <c r="H1545" s="58" t="str">
        <f>IF(OR(COUNTA(A1545:E1545)=0,D1545=""),"",IFERROR(INDEX(ca_type,MATCH(D1545,ca_name,0))&amp;"",""))</f>
        <v/>
      </c>
      <c r="I1545" s="58" t="str">
        <f>IF(COUNTA(A1545:E1545)=0,"",IF(N(A1545)&lt;=0,"Date manquante ou invalide",IF(B1545="","Équipe manquante",IF(ISNA(MATCH(B1545,eq_code,0)),"Équipe inconnue",IF(C1545="","Poste manquant",IF(ISNA(MATCH(C1545,po_code,0)),"Poste inconnu",IF(D1545="","Cause manquante",IF(ISNA(MATCH(D1545,ca_name,0)),"Cause inconnue",IF(H1545="","Cause à compléter dans Paramètres",IF(OR(NOT(ISNUMBER(E1545)),N(E1545)&lt;=0,N(E1545)&gt;1440),"Durée invalide",IF(COUNTIFS(sj_date,A1545,sj_eq,B1545,sj_po,C1545)=0,"Pas de saisie journalière ce jour-là","OK")))))))))))</f>
        <v/>
      </c>
      <c r="J1545">
        <f>IF(OR(I1545="OK",I1545="Pas de saisie journalière ce jour-là"),E1545,0)</f>
        <v>0.0</v>
      </c>
      <c r="K1545">
        <f>IF(AND(J1545&gt;0,A1545&gt;=p_from,A1545&lt;=p_to),1,0)</f>
        <v>0.0</v>
      </c>
      <c r="L1545">
        <f>IF(AND(K1545=1,OR(pa_po="",C1545=pa_po),OR(pa_eq="",B1545=pa_eq)),1,0)</f>
        <v>0.0</v>
      </c>
    </row>
    <row r="1546">
      <c r="A1546" s="51" t="n"/>
      <c r="B1546" s="52" t="n"/>
      <c r="C1546" s="52" t="n"/>
      <c r="D1546" s="53" t="n"/>
      <c r="E1546" s="60" t="n"/>
      <c r="F1546" s="53" t="n"/>
      <c r="G1546" s="61" t="str">
        <f>IF(OR(COUNTA(A1546:E1546)=0,D1546=""),"",IFERROR(INDEX(ca_fam,MATCH(D1546,ca_name,0))&amp;"",""))</f>
        <v/>
      </c>
      <c r="H1546" s="58" t="str">
        <f>IF(OR(COUNTA(A1546:E1546)=0,D1546=""),"",IFERROR(INDEX(ca_type,MATCH(D1546,ca_name,0))&amp;"",""))</f>
        <v/>
      </c>
      <c r="I1546" s="58" t="str">
        <f>IF(COUNTA(A1546:E1546)=0,"",IF(N(A1546)&lt;=0,"Date manquante ou invalide",IF(B1546="","Équipe manquante",IF(ISNA(MATCH(B1546,eq_code,0)),"Équipe inconnue",IF(C1546="","Poste manquant",IF(ISNA(MATCH(C1546,po_code,0)),"Poste inconnu",IF(D1546="","Cause manquante",IF(ISNA(MATCH(D1546,ca_name,0)),"Cause inconnue",IF(H1546="","Cause à compléter dans Paramètres",IF(OR(NOT(ISNUMBER(E1546)),N(E1546)&lt;=0,N(E1546)&gt;1440),"Durée invalide",IF(COUNTIFS(sj_date,A1546,sj_eq,B1546,sj_po,C1546)=0,"Pas de saisie journalière ce jour-là","OK")))))))))))</f>
        <v/>
      </c>
      <c r="J1546">
        <f>IF(OR(I1546="OK",I1546="Pas de saisie journalière ce jour-là"),E1546,0)</f>
        <v>0.0</v>
      </c>
      <c r="K1546">
        <f>IF(AND(J1546&gt;0,A1546&gt;=p_from,A1546&lt;=p_to),1,0)</f>
        <v>0.0</v>
      </c>
      <c r="L1546">
        <f>IF(AND(K1546=1,OR(pa_po="",C1546=pa_po),OR(pa_eq="",B1546=pa_eq)),1,0)</f>
        <v>0.0</v>
      </c>
    </row>
    <row r="1547">
      <c r="A1547" s="51" t="n"/>
      <c r="B1547" s="52" t="n"/>
      <c r="C1547" s="52" t="n"/>
      <c r="D1547" s="53" t="n"/>
      <c r="E1547" s="60" t="n"/>
      <c r="F1547" s="53" t="n"/>
      <c r="G1547" s="61" t="str">
        <f>IF(OR(COUNTA(A1547:E1547)=0,D1547=""),"",IFERROR(INDEX(ca_fam,MATCH(D1547,ca_name,0))&amp;"",""))</f>
        <v/>
      </c>
      <c r="H1547" s="58" t="str">
        <f>IF(OR(COUNTA(A1547:E1547)=0,D1547=""),"",IFERROR(INDEX(ca_type,MATCH(D1547,ca_name,0))&amp;"",""))</f>
        <v/>
      </c>
      <c r="I1547" s="58" t="str">
        <f>IF(COUNTA(A1547:E1547)=0,"",IF(N(A1547)&lt;=0,"Date manquante ou invalide",IF(B1547="","Équipe manquante",IF(ISNA(MATCH(B1547,eq_code,0)),"Équipe inconnue",IF(C1547="","Poste manquant",IF(ISNA(MATCH(C1547,po_code,0)),"Poste inconnu",IF(D1547="","Cause manquante",IF(ISNA(MATCH(D1547,ca_name,0)),"Cause inconnue",IF(H1547="","Cause à compléter dans Paramètres",IF(OR(NOT(ISNUMBER(E1547)),N(E1547)&lt;=0,N(E1547)&gt;1440),"Durée invalide",IF(COUNTIFS(sj_date,A1547,sj_eq,B1547,sj_po,C1547)=0,"Pas de saisie journalière ce jour-là","OK")))))))))))</f>
        <v/>
      </c>
      <c r="J1547">
        <f>IF(OR(I1547="OK",I1547="Pas de saisie journalière ce jour-là"),E1547,0)</f>
        <v>0.0</v>
      </c>
      <c r="K1547">
        <f>IF(AND(J1547&gt;0,A1547&gt;=p_from,A1547&lt;=p_to),1,0)</f>
        <v>0.0</v>
      </c>
      <c r="L1547">
        <f>IF(AND(K1547=1,OR(pa_po="",C1547=pa_po),OR(pa_eq="",B1547=pa_eq)),1,0)</f>
        <v>0.0</v>
      </c>
    </row>
    <row r="1548">
      <c r="A1548" s="51" t="n"/>
      <c r="B1548" s="52" t="n"/>
      <c r="C1548" s="52" t="n"/>
      <c r="D1548" s="53" t="n"/>
      <c r="E1548" s="60" t="n"/>
      <c r="F1548" s="53" t="n"/>
      <c r="G1548" s="61" t="str">
        <f>IF(OR(COUNTA(A1548:E1548)=0,D1548=""),"",IFERROR(INDEX(ca_fam,MATCH(D1548,ca_name,0))&amp;"",""))</f>
        <v/>
      </c>
      <c r="H1548" s="58" t="str">
        <f>IF(OR(COUNTA(A1548:E1548)=0,D1548=""),"",IFERROR(INDEX(ca_type,MATCH(D1548,ca_name,0))&amp;"",""))</f>
        <v/>
      </c>
      <c r="I1548" s="58" t="str">
        <f>IF(COUNTA(A1548:E1548)=0,"",IF(N(A1548)&lt;=0,"Date manquante ou invalide",IF(B1548="","Équipe manquante",IF(ISNA(MATCH(B1548,eq_code,0)),"Équipe inconnue",IF(C1548="","Poste manquant",IF(ISNA(MATCH(C1548,po_code,0)),"Poste inconnu",IF(D1548="","Cause manquante",IF(ISNA(MATCH(D1548,ca_name,0)),"Cause inconnue",IF(H1548="","Cause à compléter dans Paramètres",IF(OR(NOT(ISNUMBER(E1548)),N(E1548)&lt;=0,N(E1548)&gt;1440),"Durée invalide",IF(COUNTIFS(sj_date,A1548,sj_eq,B1548,sj_po,C1548)=0,"Pas de saisie journalière ce jour-là","OK")))))))))))</f>
        <v/>
      </c>
      <c r="J1548">
        <f>IF(OR(I1548="OK",I1548="Pas de saisie journalière ce jour-là"),E1548,0)</f>
        <v>0.0</v>
      </c>
      <c r="K1548">
        <f>IF(AND(J1548&gt;0,A1548&gt;=p_from,A1548&lt;=p_to),1,0)</f>
        <v>0.0</v>
      </c>
      <c r="L1548">
        <f>IF(AND(K1548=1,OR(pa_po="",C1548=pa_po),OR(pa_eq="",B1548=pa_eq)),1,0)</f>
        <v>0.0</v>
      </c>
    </row>
    <row r="1549">
      <c r="A1549" s="51" t="n"/>
      <c r="B1549" s="52" t="n"/>
      <c r="C1549" s="52" t="n"/>
      <c r="D1549" s="53" t="n"/>
      <c r="E1549" s="60" t="n"/>
      <c r="F1549" s="53" t="n"/>
      <c r="G1549" s="61" t="str">
        <f>IF(OR(COUNTA(A1549:E1549)=0,D1549=""),"",IFERROR(INDEX(ca_fam,MATCH(D1549,ca_name,0))&amp;"",""))</f>
        <v/>
      </c>
      <c r="H1549" s="58" t="str">
        <f>IF(OR(COUNTA(A1549:E1549)=0,D1549=""),"",IFERROR(INDEX(ca_type,MATCH(D1549,ca_name,0))&amp;"",""))</f>
        <v/>
      </c>
      <c r="I1549" s="58" t="str">
        <f>IF(COUNTA(A1549:E1549)=0,"",IF(N(A1549)&lt;=0,"Date manquante ou invalide",IF(B1549="","Équipe manquante",IF(ISNA(MATCH(B1549,eq_code,0)),"Équipe inconnue",IF(C1549="","Poste manquant",IF(ISNA(MATCH(C1549,po_code,0)),"Poste inconnu",IF(D1549="","Cause manquante",IF(ISNA(MATCH(D1549,ca_name,0)),"Cause inconnue",IF(H1549="","Cause à compléter dans Paramètres",IF(OR(NOT(ISNUMBER(E1549)),N(E1549)&lt;=0,N(E1549)&gt;1440),"Durée invalide",IF(COUNTIFS(sj_date,A1549,sj_eq,B1549,sj_po,C1549)=0,"Pas de saisie journalière ce jour-là","OK")))))))))))</f>
        <v/>
      </c>
      <c r="J1549">
        <f>IF(OR(I1549="OK",I1549="Pas de saisie journalière ce jour-là"),E1549,0)</f>
        <v>0.0</v>
      </c>
      <c r="K1549">
        <f>IF(AND(J1549&gt;0,A1549&gt;=p_from,A1549&lt;=p_to),1,0)</f>
        <v>0.0</v>
      </c>
      <c r="L1549">
        <f>IF(AND(K1549=1,OR(pa_po="",C1549=pa_po),OR(pa_eq="",B1549=pa_eq)),1,0)</f>
        <v>0.0</v>
      </c>
    </row>
    <row r="1550">
      <c r="A1550" s="51" t="n"/>
      <c r="B1550" s="52" t="n"/>
      <c r="C1550" s="52" t="n"/>
      <c r="D1550" s="53" t="n"/>
      <c r="E1550" s="60" t="n"/>
      <c r="F1550" s="53" t="n"/>
      <c r="G1550" s="61" t="str">
        <f>IF(OR(COUNTA(A1550:E1550)=0,D1550=""),"",IFERROR(INDEX(ca_fam,MATCH(D1550,ca_name,0))&amp;"",""))</f>
        <v/>
      </c>
      <c r="H1550" s="58" t="str">
        <f>IF(OR(COUNTA(A1550:E1550)=0,D1550=""),"",IFERROR(INDEX(ca_type,MATCH(D1550,ca_name,0))&amp;"",""))</f>
        <v/>
      </c>
      <c r="I1550" s="58" t="str">
        <f>IF(COUNTA(A1550:E1550)=0,"",IF(N(A1550)&lt;=0,"Date manquante ou invalide",IF(B1550="","Équipe manquante",IF(ISNA(MATCH(B1550,eq_code,0)),"Équipe inconnue",IF(C1550="","Poste manquant",IF(ISNA(MATCH(C1550,po_code,0)),"Poste inconnu",IF(D1550="","Cause manquante",IF(ISNA(MATCH(D1550,ca_name,0)),"Cause inconnue",IF(H1550="","Cause à compléter dans Paramètres",IF(OR(NOT(ISNUMBER(E1550)),N(E1550)&lt;=0,N(E1550)&gt;1440),"Durée invalide",IF(COUNTIFS(sj_date,A1550,sj_eq,B1550,sj_po,C1550)=0,"Pas de saisie journalière ce jour-là","OK")))))))))))</f>
        <v/>
      </c>
      <c r="J1550">
        <f>IF(OR(I1550="OK",I1550="Pas de saisie journalière ce jour-là"),E1550,0)</f>
        <v>0.0</v>
      </c>
      <c r="K1550">
        <f>IF(AND(J1550&gt;0,A1550&gt;=p_from,A1550&lt;=p_to),1,0)</f>
        <v>0.0</v>
      </c>
      <c r="L1550">
        <f>IF(AND(K1550=1,OR(pa_po="",C1550=pa_po),OR(pa_eq="",B1550=pa_eq)),1,0)</f>
        <v>0.0</v>
      </c>
    </row>
    <row r="1551">
      <c r="A1551" s="51" t="n"/>
      <c r="B1551" s="52" t="n"/>
      <c r="C1551" s="52" t="n"/>
      <c r="D1551" s="53" t="n"/>
      <c r="E1551" s="60" t="n"/>
      <c r="F1551" s="53" t="n"/>
      <c r="G1551" s="61" t="str">
        <f>IF(OR(COUNTA(A1551:E1551)=0,D1551=""),"",IFERROR(INDEX(ca_fam,MATCH(D1551,ca_name,0))&amp;"",""))</f>
        <v/>
      </c>
      <c r="H1551" s="58" t="str">
        <f>IF(OR(COUNTA(A1551:E1551)=0,D1551=""),"",IFERROR(INDEX(ca_type,MATCH(D1551,ca_name,0))&amp;"",""))</f>
        <v/>
      </c>
      <c r="I1551" s="58" t="str">
        <f>IF(COUNTA(A1551:E1551)=0,"",IF(N(A1551)&lt;=0,"Date manquante ou invalide",IF(B1551="","Équipe manquante",IF(ISNA(MATCH(B1551,eq_code,0)),"Équipe inconnue",IF(C1551="","Poste manquant",IF(ISNA(MATCH(C1551,po_code,0)),"Poste inconnu",IF(D1551="","Cause manquante",IF(ISNA(MATCH(D1551,ca_name,0)),"Cause inconnue",IF(H1551="","Cause à compléter dans Paramètres",IF(OR(NOT(ISNUMBER(E1551)),N(E1551)&lt;=0,N(E1551)&gt;1440),"Durée invalide",IF(COUNTIFS(sj_date,A1551,sj_eq,B1551,sj_po,C1551)=0,"Pas de saisie journalière ce jour-là","OK")))))))))))</f>
        <v/>
      </c>
      <c r="J1551">
        <f>IF(OR(I1551="OK",I1551="Pas de saisie journalière ce jour-là"),E1551,0)</f>
        <v>0.0</v>
      </c>
      <c r="K1551">
        <f>IF(AND(J1551&gt;0,A1551&gt;=p_from,A1551&lt;=p_to),1,0)</f>
        <v>0.0</v>
      </c>
      <c r="L1551">
        <f>IF(AND(K1551=1,OR(pa_po="",C1551=pa_po),OR(pa_eq="",B1551=pa_eq)),1,0)</f>
        <v>0.0</v>
      </c>
    </row>
    <row r="1552">
      <c r="A1552" s="51" t="n"/>
      <c r="B1552" s="52" t="n"/>
      <c r="C1552" s="52" t="n"/>
      <c r="D1552" s="53" t="n"/>
      <c r="E1552" s="60" t="n"/>
      <c r="F1552" s="53" t="n"/>
      <c r="G1552" s="61" t="str">
        <f>IF(OR(COUNTA(A1552:E1552)=0,D1552=""),"",IFERROR(INDEX(ca_fam,MATCH(D1552,ca_name,0))&amp;"",""))</f>
        <v/>
      </c>
      <c r="H1552" s="58" t="str">
        <f>IF(OR(COUNTA(A1552:E1552)=0,D1552=""),"",IFERROR(INDEX(ca_type,MATCH(D1552,ca_name,0))&amp;"",""))</f>
        <v/>
      </c>
      <c r="I1552" s="58" t="str">
        <f>IF(COUNTA(A1552:E1552)=0,"",IF(N(A1552)&lt;=0,"Date manquante ou invalide",IF(B1552="","Équipe manquante",IF(ISNA(MATCH(B1552,eq_code,0)),"Équipe inconnue",IF(C1552="","Poste manquant",IF(ISNA(MATCH(C1552,po_code,0)),"Poste inconnu",IF(D1552="","Cause manquante",IF(ISNA(MATCH(D1552,ca_name,0)),"Cause inconnue",IF(H1552="","Cause à compléter dans Paramètres",IF(OR(NOT(ISNUMBER(E1552)),N(E1552)&lt;=0,N(E1552)&gt;1440),"Durée invalide",IF(COUNTIFS(sj_date,A1552,sj_eq,B1552,sj_po,C1552)=0,"Pas de saisie journalière ce jour-là","OK")))))))))))</f>
        <v/>
      </c>
      <c r="J1552">
        <f>IF(OR(I1552="OK",I1552="Pas de saisie journalière ce jour-là"),E1552,0)</f>
        <v>0.0</v>
      </c>
      <c r="K1552">
        <f>IF(AND(J1552&gt;0,A1552&gt;=p_from,A1552&lt;=p_to),1,0)</f>
        <v>0.0</v>
      </c>
      <c r="L1552">
        <f>IF(AND(K1552=1,OR(pa_po="",C1552=pa_po),OR(pa_eq="",B1552=pa_eq)),1,0)</f>
        <v>0.0</v>
      </c>
    </row>
    <row r="1553">
      <c r="A1553" s="51" t="n"/>
      <c r="B1553" s="52" t="n"/>
      <c r="C1553" s="52" t="n"/>
      <c r="D1553" s="53" t="n"/>
      <c r="E1553" s="60" t="n"/>
      <c r="F1553" s="53" t="n"/>
      <c r="G1553" s="61" t="str">
        <f>IF(OR(COUNTA(A1553:E1553)=0,D1553=""),"",IFERROR(INDEX(ca_fam,MATCH(D1553,ca_name,0))&amp;"",""))</f>
        <v/>
      </c>
      <c r="H1553" s="58" t="str">
        <f>IF(OR(COUNTA(A1553:E1553)=0,D1553=""),"",IFERROR(INDEX(ca_type,MATCH(D1553,ca_name,0))&amp;"",""))</f>
        <v/>
      </c>
      <c r="I1553" s="58" t="str">
        <f>IF(COUNTA(A1553:E1553)=0,"",IF(N(A1553)&lt;=0,"Date manquante ou invalide",IF(B1553="","Équipe manquante",IF(ISNA(MATCH(B1553,eq_code,0)),"Équipe inconnue",IF(C1553="","Poste manquant",IF(ISNA(MATCH(C1553,po_code,0)),"Poste inconnu",IF(D1553="","Cause manquante",IF(ISNA(MATCH(D1553,ca_name,0)),"Cause inconnue",IF(H1553="","Cause à compléter dans Paramètres",IF(OR(NOT(ISNUMBER(E1553)),N(E1553)&lt;=0,N(E1553)&gt;1440),"Durée invalide",IF(COUNTIFS(sj_date,A1553,sj_eq,B1553,sj_po,C1553)=0,"Pas de saisie journalière ce jour-là","OK")))))))))))</f>
        <v/>
      </c>
      <c r="J1553">
        <f>IF(OR(I1553="OK",I1553="Pas de saisie journalière ce jour-là"),E1553,0)</f>
        <v>0.0</v>
      </c>
      <c r="K1553">
        <f>IF(AND(J1553&gt;0,A1553&gt;=p_from,A1553&lt;=p_to),1,0)</f>
        <v>0.0</v>
      </c>
      <c r="L1553">
        <f>IF(AND(K1553=1,OR(pa_po="",C1553=pa_po),OR(pa_eq="",B1553=pa_eq)),1,0)</f>
        <v>0.0</v>
      </c>
    </row>
    <row r="1554">
      <c r="A1554" s="51" t="n"/>
      <c r="B1554" s="52" t="n"/>
      <c r="C1554" s="52" t="n"/>
      <c r="D1554" s="53" t="n"/>
      <c r="E1554" s="60" t="n"/>
      <c r="F1554" s="53" t="n"/>
      <c r="G1554" s="61" t="str">
        <f>IF(OR(COUNTA(A1554:E1554)=0,D1554=""),"",IFERROR(INDEX(ca_fam,MATCH(D1554,ca_name,0))&amp;"",""))</f>
        <v/>
      </c>
      <c r="H1554" s="58" t="str">
        <f>IF(OR(COUNTA(A1554:E1554)=0,D1554=""),"",IFERROR(INDEX(ca_type,MATCH(D1554,ca_name,0))&amp;"",""))</f>
        <v/>
      </c>
      <c r="I1554" s="58" t="str">
        <f>IF(COUNTA(A1554:E1554)=0,"",IF(N(A1554)&lt;=0,"Date manquante ou invalide",IF(B1554="","Équipe manquante",IF(ISNA(MATCH(B1554,eq_code,0)),"Équipe inconnue",IF(C1554="","Poste manquant",IF(ISNA(MATCH(C1554,po_code,0)),"Poste inconnu",IF(D1554="","Cause manquante",IF(ISNA(MATCH(D1554,ca_name,0)),"Cause inconnue",IF(H1554="","Cause à compléter dans Paramètres",IF(OR(NOT(ISNUMBER(E1554)),N(E1554)&lt;=0,N(E1554)&gt;1440),"Durée invalide",IF(COUNTIFS(sj_date,A1554,sj_eq,B1554,sj_po,C1554)=0,"Pas de saisie journalière ce jour-là","OK")))))))))))</f>
        <v/>
      </c>
      <c r="J1554">
        <f>IF(OR(I1554="OK",I1554="Pas de saisie journalière ce jour-là"),E1554,0)</f>
        <v>0.0</v>
      </c>
      <c r="K1554">
        <f>IF(AND(J1554&gt;0,A1554&gt;=p_from,A1554&lt;=p_to),1,0)</f>
        <v>0.0</v>
      </c>
      <c r="L1554">
        <f>IF(AND(K1554=1,OR(pa_po="",C1554=pa_po),OR(pa_eq="",B1554=pa_eq)),1,0)</f>
        <v>0.0</v>
      </c>
    </row>
    <row r="1555">
      <c r="A1555" s="51" t="n"/>
      <c r="B1555" s="52" t="n"/>
      <c r="C1555" s="52" t="n"/>
      <c r="D1555" s="53" t="n"/>
      <c r="E1555" s="60" t="n"/>
      <c r="F1555" s="53" t="n"/>
      <c r="G1555" s="61" t="str">
        <f>IF(OR(COUNTA(A1555:E1555)=0,D1555=""),"",IFERROR(INDEX(ca_fam,MATCH(D1555,ca_name,0))&amp;"",""))</f>
        <v/>
      </c>
      <c r="H1555" s="58" t="str">
        <f>IF(OR(COUNTA(A1555:E1555)=0,D1555=""),"",IFERROR(INDEX(ca_type,MATCH(D1555,ca_name,0))&amp;"",""))</f>
        <v/>
      </c>
      <c r="I1555" s="58" t="str">
        <f>IF(COUNTA(A1555:E1555)=0,"",IF(N(A1555)&lt;=0,"Date manquante ou invalide",IF(B1555="","Équipe manquante",IF(ISNA(MATCH(B1555,eq_code,0)),"Équipe inconnue",IF(C1555="","Poste manquant",IF(ISNA(MATCH(C1555,po_code,0)),"Poste inconnu",IF(D1555="","Cause manquante",IF(ISNA(MATCH(D1555,ca_name,0)),"Cause inconnue",IF(H1555="","Cause à compléter dans Paramètres",IF(OR(NOT(ISNUMBER(E1555)),N(E1555)&lt;=0,N(E1555)&gt;1440),"Durée invalide",IF(COUNTIFS(sj_date,A1555,sj_eq,B1555,sj_po,C1555)=0,"Pas de saisie journalière ce jour-là","OK")))))))))))</f>
        <v/>
      </c>
      <c r="J1555">
        <f>IF(OR(I1555="OK",I1555="Pas de saisie journalière ce jour-là"),E1555,0)</f>
        <v>0.0</v>
      </c>
      <c r="K1555">
        <f>IF(AND(J1555&gt;0,A1555&gt;=p_from,A1555&lt;=p_to),1,0)</f>
        <v>0.0</v>
      </c>
      <c r="L1555">
        <f>IF(AND(K1555=1,OR(pa_po="",C1555=pa_po),OR(pa_eq="",B1555=pa_eq)),1,0)</f>
        <v>0.0</v>
      </c>
    </row>
    <row r="1556">
      <c r="A1556" s="51" t="n"/>
      <c r="B1556" s="52" t="n"/>
      <c r="C1556" s="52" t="n"/>
      <c r="D1556" s="53" t="n"/>
      <c r="E1556" s="60" t="n"/>
      <c r="F1556" s="53" t="n"/>
      <c r="G1556" s="61" t="str">
        <f>IF(OR(COUNTA(A1556:E1556)=0,D1556=""),"",IFERROR(INDEX(ca_fam,MATCH(D1556,ca_name,0))&amp;"",""))</f>
        <v/>
      </c>
      <c r="H1556" s="58" t="str">
        <f>IF(OR(COUNTA(A1556:E1556)=0,D1556=""),"",IFERROR(INDEX(ca_type,MATCH(D1556,ca_name,0))&amp;"",""))</f>
        <v/>
      </c>
      <c r="I1556" s="58" t="str">
        <f>IF(COUNTA(A1556:E1556)=0,"",IF(N(A1556)&lt;=0,"Date manquante ou invalide",IF(B1556="","Équipe manquante",IF(ISNA(MATCH(B1556,eq_code,0)),"Équipe inconnue",IF(C1556="","Poste manquant",IF(ISNA(MATCH(C1556,po_code,0)),"Poste inconnu",IF(D1556="","Cause manquante",IF(ISNA(MATCH(D1556,ca_name,0)),"Cause inconnue",IF(H1556="","Cause à compléter dans Paramètres",IF(OR(NOT(ISNUMBER(E1556)),N(E1556)&lt;=0,N(E1556)&gt;1440),"Durée invalide",IF(COUNTIFS(sj_date,A1556,sj_eq,B1556,sj_po,C1556)=0,"Pas de saisie journalière ce jour-là","OK")))))))))))</f>
        <v/>
      </c>
      <c r="J1556">
        <f>IF(OR(I1556="OK",I1556="Pas de saisie journalière ce jour-là"),E1556,0)</f>
        <v>0.0</v>
      </c>
      <c r="K1556">
        <f>IF(AND(J1556&gt;0,A1556&gt;=p_from,A1556&lt;=p_to),1,0)</f>
        <v>0.0</v>
      </c>
      <c r="L1556">
        <f>IF(AND(K1556=1,OR(pa_po="",C1556=pa_po),OR(pa_eq="",B1556=pa_eq)),1,0)</f>
        <v>0.0</v>
      </c>
    </row>
    <row r="1557">
      <c r="A1557" s="51" t="n"/>
      <c r="B1557" s="52" t="n"/>
      <c r="C1557" s="52" t="n"/>
      <c r="D1557" s="53" t="n"/>
      <c r="E1557" s="60" t="n"/>
      <c r="F1557" s="53" t="n"/>
      <c r="G1557" s="61" t="str">
        <f>IF(OR(COUNTA(A1557:E1557)=0,D1557=""),"",IFERROR(INDEX(ca_fam,MATCH(D1557,ca_name,0))&amp;"",""))</f>
        <v/>
      </c>
      <c r="H1557" s="58" t="str">
        <f>IF(OR(COUNTA(A1557:E1557)=0,D1557=""),"",IFERROR(INDEX(ca_type,MATCH(D1557,ca_name,0))&amp;"",""))</f>
        <v/>
      </c>
      <c r="I1557" s="58" t="str">
        <f>IF(COUNTA(A1557:E1557)=0,"",IF(N(A1557)&lt;=0,"Date manquante ou invalide",IF(B1557="","Équipe manquante",IF(ISNA(MATCH(B1557,eq_code,0)),"Équipe inconnue",IF(C1557="","Poste manquant",IF(ISNA(MATCH(C1557,po_code,0)),"Poste inconnu",IF(D1557="","Cause manquante",IF(ISNA(MATCH(D1557,ca_name,0)),"Cause inconnue",IF(H1557="","Cause à compléter dans Paramètres",IF(OR(NOT(ISNUMBER(E1557)),N(E1557)&lt;=0,N(E1557)&gt;1440),"Durée invalide",IF(COUNTIFS(sj_date,A1557,sj_eq,B1557,sj_po,C1557)=0,"Pas de saisie journalière ce jour-là","OK")))))))))))</f>
        <v/>
      </c>
      <c r="J1557">
        <f>IF(OR(I1557="OK",I1557="Pas de saisie journalière ce jour-là"),E1557,0)</f>
        <v>0.0</v>
      </c>
      <c r="K1557">
        <f>IF(AND(J1557&gt;0,A1557&gt;=p_from,A1557&lt;=p_to),1,0)</f>
        <v>0.0</v>
      </c>
      <c r="L1557">
        <f>IF(AND(K1557=1,OR(pa_po="",C1557=pa_po),OR(pa_eq="",B1557=pa_eq)),1,0)</f>
        <v>0.0</v>
      </c>
    </row>
    <row r="1558">
      <c r="A1558" s="51" t="n"/>
      <c r="B1558" s="52" t="n"/>
      <c r="C1558" s="52" t="n"/>
      <c r="D1558" s="53" t="n"/>
      <c r="E1558" s="60" t="n"/>
      <c r="F1558" s="53" t="n"/>
      <c r="G1558" s="61" t="str">
        <f>IF(OR(COUNTA(A1558:E1558)=0,D1558=""),"",IFERROR(INDEX(ca_fam,MATCH(D1558,ca_name,0))&amp;"",""))</f>
        <v/>
      </c>
      <c r="H1558" s="58" t="str">
        <f>IF(OR(COUNTA(A1558:E1558)=0,D1558=""),"",IFERROR(INDEX(ca_type,MATCH(D1558,ca_name,0))&amp;"",""))</f>
        <v/>
      </c>
      <c r="I1558" s="58" t="str">
        <f>IF(COUNTA(A1558:E1558)=0,"",IF(N(A1558)&lt;=0,"Date manquante ou invalide",IF(B1558="","Équipe manquante",IF(ISNA(MATCH(B1558,eq_code,0)),"Équipe inconnue",IF(C1558="","Poste manquant",IF(ISNA(MATCH(C1558,po_code,0)),"Poste inconnu",IF(D1558="","Cause manquante",IF(ISNA(MATCH(D1558,ca_name,0)),"Cause inconnue",IF(H1558="","Cause à compléter dans Paramètres",IF(OR(NOT(ISNUMBER(E1558)),N(E1558)&lt;=0,N(E1558)&gt;1440),"Durée invalide",IF(COUNTIFS(sj_date,A1558,sj_eq,B1558,sj_po,C1558)=0,"Pas de saisie journalière ce jour-là","OK")))))))))))</f>
        <v/>
      </c>
      <c r="J1558">
        <f>IF(OR(I1558="OK",I1558="Pas de saisie journalière ce jour-là"),E1558,0)</f>
        <v>0.0</v>
      </c>
      <c r="K1558">
        <f>IF(AND(J1558&gt;0,A1558&gt;=p_from,A1558&lt;=p_to),1,0)</f>
        <v>0.0</v>
      </c>
      <c r="L1558">
        <f>IF(AND(K1558=1,OR(pa_po="",C1558=pa_po),OR(pa_eq="",B1558=pa_eq)),1,0)</f>
        <v>0.0</v>
      </c>
    </row>
    <row r="1559">
      <c r="A1559" s="51" t="n"/>
      <c r="B1559" s="52" t="n"/>
      <c r="C1559" s="52" t="n"/>
      <c r="D1559" s="53" t="n"/>
      <c r="E1559" s="60" t="n"/>
      <c r="F1559" s="53" t="n"/>
      <c r="G1559" s="61" t="str">
        <f>IF(OR(COUNTA(A1559:E1559)=0,D1559=""),"",IFERROR(INDEX(ca_fam,MATCH(D1559,ca_name,0))&amp;"",""))</f>
        <v/>
      </c>
      <c r="H1559" s="58" t="str">
        <f>IF(OR(COUNTA(A1559:E1559)=0,D1559=""),"",IFERROR(INDEX(ca_type,MATCH(D1559,ca_name,0))&amp;"",""))</f>
        <v/>
      </c>
      <c r="I1559" s="58" t="str">
        <f>IF(COUNTA(A1559:E1559)=0,"",IF(N(A1559)&lt;=0,"Date manquante ou invalide",IF(B1559="","Équipe manquante",IF(ISNA(MATCH(B1559,eq_code,0)),"Équipe inconnue",IF(C1559="","Poste manquant",IF(ISNA(MATCH(C1559,po_code,0)),"Poste inconnu",IF(D1559="","Cause manquante",IF(ISNA(MATCH(D1559,ca_name,0)),"Cause inconnue",IF(H1559="","Cause à compléter dans Paramètres",IF(OR(NOT(ISNUMBER(E1559)),N(E1559)&lt;=0,N(E1559)&gt;1440),"Durée invalide",IF(COUNTIFS(sj_date,A1559,sj_eq,B1559,sj_po,C1559)=0,"Pas de saisie journalière ce jour-là","OK")))))))))))</f>
        <v/>
      </c>
      <c r="J1559">
        <f>IF(OR(I1559="OK",I1559="Pas de saisie journalière ce jour-là"),E1559,0)</f>
        <v>0.0</v>
      </c>
      <c r="K1559">
        <f>IF(AND(J1559&gt;0,A1559&gt;=p_from,A1559&lt;=p_to),1,0)</f>
        <v>0.0</v>
      </c>
      <c r="L1559">
        <f>IF(AND(K1559=1,OR(pa_po="",C1559=pa_po),OR(pa_eq="",B1559=pa_eq)),1,0)</f>
        <v>0.0</v>
      </c>
    </row>
    <row r="1560">
      <c r="A1560" s="51" t="n"/>
      <c r="B1560" s="52" t="n"/>
      <c r="C1560" s="52" t="n"/>
      <c r="D1560" s="53" t="n"/>
      <c r="E1560" s="60" t="n"/>
      <c r="F1560" s="53" t="n"/>
      <c r="G1560" s="61" t="str">
        <f>IF(OR(COUNTA(A1560:E1560)=0,D1560=""),"",IFERROR(INDEX(ca_fam,MATCH(D1560,ca_name,0))&amp;"",""))</f>
        <v/>
      </c>
      <c r="H1560" s="58" t="str">
        <f>IF(OR(COUNTA(A1560:E1560)=0,D1560=""),"",IFERROR(INDEX(ca_type,MATCH(D1560,ca_name,0))&amp;"",""))</f>
        <v/>
      </c>
      <c r="I1560" s="58" t="str">
        <f>IF(COUNTA(A1560:E1560)=0,"",IF(N(A1560)&lt;=0,"Date manquante ou invalide",IF(B1560="","Équipe manquante",IF(ISNA(MATCH(B1560,eq_code,0)),"Équipe inconnue",IF(C1560="","Poste manquant",IF(ISNA(MATCH(C1560,po_code,0)),"Poste inconnu",IF(D1560="","Cause manquante",IF(ISNA(MATCH(D1560,ca_name,0)),"Cause inconnue",IF(H1560="","Cause à compléter dans Paramètres",IF(OR(NOT(ISNUMBER(E1560)),N(E1560)&lt;=0,N(E1560)&gt;1440),"Durée invalide",IF(COUNTIFS(sj_date,A1560,sj_eq,B1560,sj_po,C1560)=0,"Pas de saisie journalière ce jour-là","OK")))))))))))</f>
        <v/>
      </c>
      <c r="J1560">
        <f>IF(OR(I1560="OK",I1560="Pas de saisie journalière ce jour-là"),E1560,0)</f>
        <v>0.0</v>
      </c>
      <c r="K1560">
        <f>IF(AND(J1560&gt;0,A1560&gt;=p_from,A1560&lt;=p_to),1,0)</f>
        <v>0.0</v>
      </c>
      <c r="L1560">
        <f>IF(AND(K1560=1,OR(pa_po="",C1560=pa_po),OR(pa_eq="",B1560=pa_eq)),1,0)</f>
        <v>0.0</v>
      </c>
    </row>
    <row r="1561">
      <c r="A1561" s="51" t="n"/>
      <c r="B1561" s="52" t="n"/>
      <c r="C1561" s="52" t="n"/>
      <c r="D1561" s="53" t="n"/>
      <c r="E1561" s="60" t="n"/>
      <c r="F1561" s="53" t="n"/>
      <c r="G1561" s="61" t="str">
        <f>IF(OR(COUNTA(A1561:E1561)=0,D1561=""),"",IFERROR(INDEX(ca_fam,MATCH(D1561,ca_name,0))&amp;"",""))</f>
        <v/>
      </c>
      <c r="H1561" s="58" t="str">
        <f>IF(OR(COUNTA(A1561:E1561)=0,D1561=""),"",IFERROR(INDEX(ca_type,MATCH(D1561,ca_name,0))&amp;"",""))</f>
        <v/>
      </c>
      <c r="I1561" s="58" t="str">
        <f>IF(COUNTA(A1561:E1561)=0,"",IF(N(A1561)&lt;=0,"Date manquante ou invalide",IF(B1561="","Équipe manquante",IF(ISNA(MATCH(B1561,eq_code,0)),"Équipe inconnue",IF(C1561="","Poste manquant",IF(ISNA(MATCH(C1561,po_code,0)),"Poste inconnu",IF(D1561="","Cause manquante",IF(ISNA(MATCH(D1561,ca_name,0)),"Cause inconnue",IF(H1561="","Cause à compléter dans Paramètres",IF(OR(NOT(ISNUMBER(E1561)),N(E1561)&lt;=0,N(E1561)&gt;1440),"Durée invalide",IF(COUNTIFS(sj_date,A1561,sj_eq,B1561,sj_po,C1561)=0,"Pas de saisie journalière ce jour-là","OK")))))))))))</f>
        <v/>
      </c>
      <c r="J1561">
        <f>IF(OR(I1561="OK",I1561="Pas de saisie journalière ce jour-là"),E1561,0)</f>
        <v>0.0</v>
      </c>
      <c r="K1561">
        <f>IF(AND(J1561&gt;0,A1561&gt;=p_from,A1561&lt;=p_to),1,0)</f>
        <v>0.0</v>
      </c>
      <c r="L1561">
        <f>IF(AND(K1561=1,OR(pa_po="",C1561=pa_po),OR(pa_eq="",B1561=pa_eq)),1,0)</f>
        <v>0.0</v>
      </c>
    </row>
    <row r="1562">
      <c r="A1562" s="51" t="n"/>
      <c r="B1562" s="52" t="n"/>
      <c r="C1562" s="52" t="n"/>
      <c r="D1562" s="53" t="n"/>
      <c r="E1562" s="60" t="n"/>
      <c r="F1562" s="53" t="n"/>
      <c r="G1562" s="61" t="str">
        <f>IF(OR(COUNTA(A1562:E1562)=0,D1562=""),"",IFERROR(INDEX(ca_fam,MATCH(D1562,ca_name,0))&amp;"",""))</f>
        <v/>
      </c>
      <c r="H1562" s="58" t="str">
        <f>IF(OR(COUNTA(A1562:E1562)=0,D1562=""),"",IFERROR(INDEX(ca_type,MATCH(D1562,ca_name,0))&amp;"",""))</f>
        <v/>
      </c>
      <c r="I1562" s="58" t="str">
        <f>IF(COUNTA(A1562:E1562)=0,"",IF(N(A1562)&lt;=0,"Date manquante ou invalide",IF(B1562="","Équipe manquante",IF(ISNA(MATCH(B1562,eq_code,0)),"Équipe inconnue",IF(C1562="","Poste manquant",IF(ISNA(MATCH(C1562,po_code,0)),"Poste inconnu",IF(D1562="","Cause manquante",IF(ISNA(MATCH(D1562,ca_name,0)),"Cause inconnue",IF(H1562="","Cause à compléter dans Paramètres",IF(OR(NOT(ISNUMBER(E1562)),N(E1562)&lt;=0,N(E1562)&gt;1440),"Durée invalide",IF(COUNTIFS(sj_date,A1562,sj_eq,B1562,sj_po,C1562)=0,"Pas de saisie journalière ce jour-là","OK")))))))))))</f>
        <v/>
      </c>
      <c r="J1562">
        <f>IF(OR(I1562="OK",I1562="Pas de saisie journalière ce jour-là"),E1562,0)</f>
        <v>0.0</v>
      </c>
      <c r="K1562">
        <f>IF(AND(J1562&gt;0,A1562&gt;=p_from,A1562&lt;=p_to),1,0)</f>
        <v>0.0</v>
      </c>
      <c r="L1562">
        <f>IF(AND(K1562=1,OR(pa_po="",C1562=pa_po),OR(pa_eq="",B1562=pa_eq)),1,0)</f>
        <v>0.0</v>
      </c>
    </row>
    <row r="1563">
      <c r="A1563" s="51" t="n"/>
      <c r="B1563" s="52" t="n"/>
      <c r="C1563" s="52" t="n"/>
      <c r="D1563" s="53" t="n"/>
      <c r="E1563" s="60" t="n"/>
      <c r="F1563" s="53" t="n"/>
      <c r="G1563" s="61" t="str">
        <f>IF(OR(COUNTA(A1563:E1563)=0,D1563=""),"",IFERROR(INDEX(ca_fam,MATCH(D1563,ca_name,0))&amp;"",""))</f>
        <v/>
      </c>
      <c r="H1563" s="58" t="str">
        <f>IF(OR(COUNTA(A1563:E1563)=0,D1563=""),"",IFERROR(INDEX(ca_type,MATCH(D1563,ca_name,0))&amp;"",""))</f>
        <v/>
      </c>
      <c r="I1563" s="58" t="str">
        <f>IF(COUNTA(A1563:E1563)=0,"",IF(N(A1563)&lt;=0,"Date manquante ou invalide",IF(B1563="","Équipe manquante",IF(ISNA(MATCH(B1563,eq_code,0)),"Équipe inconnue",IF(C1563="","Poste manquant",IF(ISNA(MATCH(C1563,po_code,0)),"Poste inconnu",IF(D1563="","Cause manquante",IF(ISNA(MATCH(D1563,ca_name,0)),"Cause inconnue",IF(H1563="","Cause à compléter dans Paramètres",IF(OR(NOT(ISNUMBER(E1563)),N(E1563)&lt;=0,N(E1563)&gt;1440),"Durée invalide",IF(COUNTIFS(sj_date,A1563,sj_eq,B1563,sj_po,C1563)=0,"Pas de saisie journalière ce jour-là","OK")))))))))))</f>
        <v/>
      </c>
      <c r="J1563">
        <f>IF(OR(I1563="OK",I1563="Pas de saisie journalière ce jour-là"),E1563,0)</f>
        <v>0.0</v>
      </c>
      <c r="K1563">
        <f>IF(AND(J1563&gt;0,A1563&gt;=p_from,A1563&lt;=p_to),1,0)</f>
        <v>0.0</v>
      </c>
      <c r="L1563">
        <f>IF(AND(K1563=1,OR(pa_po="",C1563=pa_po),OR(pa_eq="",B1563=pa_eq)),1,0)</f>
        <v>0.0</v>
      </c>
    </row>
    <row r="1564">
      <c r="A1564" s="51" t="n"/>
      <c r="B1564" s="52" t="n"/>
      <c r="C1564" s="52" t="n"/>
      <c r="D1564" s="53" t="n"/>
      <c r="E1564" s="60" t="n"/>
      <c r="F1564" s="53" t="n"/>
      <c r="G1564" s="61" t="str">
        <f>IF(OR(COUNTA(A1564:E1564)=0,D1564=""),"",IFERROR(INDEX(ca_fam,MATCH(D1564,ca_name,0))&amp;"",""))</f>
        <v/>
      </c>
      <c r="H1564" s="58" t="str">
        <f>IF(OR(COUNTA(A1564:E1564)=0,D1564=""),"",IFERROR(INDEX(ca_type,MATCH(D1564,ca_name,0))&amp;"",""))</f>
        <v/>
      </c>
      <c r="I1564" s="58" t="str">
        <f>IF(COUNTA(A1564:E1564)=0,"",IF(N(A1564)&lt;=0,"Date manquante ou invalide",IF(B1564="","Équipe manquante",IF(ISNA(MATCH(B1564,eq_code,0)),"Équipe inconnue",IF(C1564="","Poste manquant",IF(ISNA(MATCH(C1564,po_code,0)),"Poste inconnu",IF(D1564="","Cause manquante",IF(ISNA(MATCH(D1564,ca_name,0)),"Cause inconnue",IF(H1564="","Cause à compléter dans Paramètres",IF(OR(NOT(ISNUMBER(E1564)),N(E1564)&lt;=0,N(E1564)&gt;1440),"Durée invalide",IF(COUNTIFS(sj_date,A1564,sj_eq,B1564,sj_po,C1564)=0,"Pas de saisie journalière ce jour-là","OK")))))))))))</f>
        <v/>
      </c>
      <c r="J1564">
        <f>IF(OR(I1564="OK",I1564="Pas de saisie journalière ce jour-là"),E1564,0)</f>
        <v>0.0</v>
      </c>
      <c r="K1564">
        <f>IF(AND(J1564&gt;0,A1564&gt;=p_from,A1564&lt;=p_to),1,0)</f>
        <v>0.0</v>
      </c>
      <c r="L1564">
        <f>IF(AND(K1564=1,OR(pa_po="",C1564=pa_po),OR(pa_eq="",B1564=pa_eq)),1,0)</f>
        <v>0.0</v>
      </c>
    </row>
    <row r="1565">
      <c r="A1565" s="51" t="n"/>
      <c r="B1565" s="52" t="n"/>
      <c r="C1565" s="52" t="n"/>
      <c r="D1565" s="53" t="n"/>
      <c r="E1565" s="60" t="n"/>
      <c r="F1565" s="53" t="n"/>
      <c r="G1565" s="61" t="str">
        <f>IF(OR(COUNTA(A1565:E1565)=0,D1565=""),"",IFERROR(INDEX(ca_fam,MATCH(D1565,ca_name,0))&amp;"",""))</f>
        <v/>
      </c>
      <c r="H1565" s="58" t="str">
        <f>IF(OR(COUNTA(A1565:E1565)=0,D1565=""),"",IFERROR(INDEX(ca_type,MATCH(D1565,ca_name,0))&amp;"",""))</f>
        <v/>
      </c>
      <c r="I1565" s="58" t="str">
        <f>IF(COUNTA(A1565:E1565)=0,"",IF(N(A1565)&lt;=0,"Date manquante ou invalide",IF(B1565="","Équipe manquante",IF(ISNA(MATCH(B1565,eq_code,0)),"Équipe inconnue",IF(C1565="","Poste manquant",IF(ISNA(MATCH(C1565,po_code,0)),"Poste inconnu",IF(D1565="","Cause manquante",IF(ISNA(MATCH(D1565,ca_name,0)),"Cause inconnue",IF(H1565="","Cause à compléter dans Paramètres",IF(OR(NOT(ISNUMBER(E1565)),N(E1565)&lt;=0,N(E1565)&gt;1440),"Durée invalide",IF(COUNTIFS(sj_date,A1565,sj_eq,B1565,sj_po,C1565)=0,"Pas de saisie journalière ce jour-là","OK")))))))))))</f>
        <v/>
      </c>
      <c r="J1565">
        <f>IF(OR(I1565="OK",I1565="Pas de saisie journalière ce jour-là"),E1565,0)</f>
        <v>0.0</v>
      </c>
      <c r="K1565">
        <f>IF(AND(J1565&gt;0,A1565&gt;=p_from,A1565&lt;=p_to),1,0)</f>
        <v>0.0</v>
      </c>
      <c r="L1565">
        <f>IF(AND(K1565=1,OR(pa_po="",C1565=pa_po),OR(pa_eq="",B1565=pa_eq)),1,0)</f>
        <v>0.0</v>
      </c>
    </row>
    <row r="1566">
      <c r="A1566" s="51" t="n"/>
      <c r="B1566" s="52" t="n"/>
      <c r="C1566" s="52" t="n"/>
      <c r="D1566" s="53" t="n"/>
      <c r="E1566" s="60" t="n"/>
      <c r="F1566" s="53" t="n"/>
      <c r="G1566" s="61" t="str">
        <f>IF(OR(COUNTA(A1566:E1566)=0,D1566=""),"",IFERROR(INDEX(ca_fam,MATCH(D1566,ca_name,0))&amp;"",""))</f>
        <v/>
      </c>
      <c r="H1566" s="58" t="str">
        <f>IF(OR(COUNTA(A1566:E1566)=0,D1566=""),"",IFERROR(INDEX(ca_type,MATCH(D1566,ca_name,0))&amp;"",""))</f>
        <v/>
      </c>
      <c r="I1566" s="58" t="str">
        <f>IF(COUNTA(A1566:E1566)=0,"",IF(N(A1566)&lt;=0,"Date manquante ou invalide",IF(B1566="","Équipe manquante",IF(ISNA(MATCH(B1566,eq_code,0)),"Équipe inconnue",IF(C1566="","Poste manquant",IF(ISNA(MATCH(C1566,po_code,0)),"Poste inconnu",IF(D1566="","Cause manquante",IF(ISNA(MATCH(D1566,ca_name,0)),"Cause inconnue",IF(H1566="","Cause à compléter dans Paramètres",IF(OR(NOT(ISNUMBER(E1566)),N(E1566)&lt;=0,N(E1566)&gt;1440),"Durée invalide",IF(COUNTIFS(sj_date,A1566,sj_eq,B1566,sj_po,C1566)=0,"Pas de saisie journalière ce jour-là","OK")))))))))))</f>
        <v/>
      </c>
      <c r="J1566">
        <f>IF(OR(I1566="OK",I1566="Pas de saisie journalière ce jour-là"),E1566,0)</f>
        <v>0.0</v>
      </c>
      <c r="K1566">
        <f>IF(AND(J1566&gt;0,A1566&gt;=p_from,A1566&lt;=p_to),1,0)</f>
        <v>0.0</v>
      </c>
      <c r="L1566">
        <f>IF(AND(K1566=1,OR(pa_po="",C1566=pa_po),OR(pa_eq="",B1566=pa_eq)),1,0)</f>
        <v>0.0</v>
      </c>
    </row>
    <row r="1567">
      <c r="A1567" s="51" t="n"/>
      <c r="B1567" s="52" t="n"/>
      <c r="C1567" s="52" t="n"/>
      <c r="D1567" s="53" t="n"/>
      <c r="E1567" s="60" t="n"/>
      <c r="F1567" s="53" t="n"/>
      <c r="G1567" s="61" t="str">
        <f>IF(OR(COUNTA(A1567:E1567)=0,D1567=""),"",IFERROR(INDEX(ca_fam,MATCH(D1567,ca_name,0))&amp;"",""))</f>
        <v/>
      </c>
      <c r="H1567" s="58" t="str">
        <f>IF(OR(COUNTA(A1567:E1567)=0,D1567=""),"",IFERROR(INDEX(ca_type,MATCH(D1567,ca_name,0))&amp;"",""))</f>
        <v/>
      </c>
      <c r="I1567" s="58" t="str">
        <f>IF(COUNTA(A1567:E1567)=0,"",IF(N(A1567)&lt;=0,"Date manquante ou invalide",IF(B1567="","Équipe manquante",IF(ISNA(MATCH(B1567,eq_code,0)),"Équipe inconnue",IF(C1567="","Poste manquant",IF(ISNA(MATCH(C1567,po_code,0)),"Poste inconnu",IF(D1567="","Cause manquante",IF(ISNA(MATCH(D1567,ca_name,0)),"Cause inconnue",IF(H1567="","Cause à compléter dans Paramètres",IF(OR(NOT(ISNUMBER(E1567)),N(E1567)&lt;=0,N(E1567)&gt;1440),"Durée invalide",IF(COUNTIFS(sj_date,A1567,sj_eq,B1567,sj_po,C1567)=0,"Pas de saisie journalière ce jour-là","OK")))))))))))</f>
        <v/>
      </c>
      <c r="J1567">
        <f>IF(OR(I1567="OK",I1567="Pas de saisie journalière ce jour-là"),E1567,0)</f>
        <v>0.0</v>
      </c>
      <c r="K1567">
        <f>IF(AND(J1567&gt;0,A1567&gt;=p_from,A1567&lt;=p_to),1,0)</f>
        <v>0.0</v>
      </c>
      <c r="L1567">
        <f>IF(AND(K1567=1,OR(pa_po="",C1567=pa_po),OR(pa_eq="",B1567=pa_eq)),1,0)</f>
        <v>0.0</v>
      </c>
    </row>
    <row r="1568">
      <c r="A1568" s="51" t="n"/>
      <c r="B1568" s="52" t="n"/>
      <c r="C1568" s="52" t="n"/>
      <c r="D1568" s="53" t="n"/>
      <c r="E1568" s="60" t="n"/>
      <c r="F1568" s="53" t="n"/>
      <c r="G1568" s="61" t="str">
        <f>IF(OR(COUNTA(A1568:E1568)=0,D1568=""),"",IFERROR(INDEX(ca_fam,MATCH(D1568,ca_name,0))&amp;"",""))</f>
        <v/>
      </c>
      <c r="H1568" s="58" t="str">
        <f>IF(OR(COUNTA(A1568:E1568)=0,D1568=""),"",IFERROR(INDEX(ca_type,MATCH(D1568,ca_name,0))&amp;"",""))</f>
        <v/>
      </c>
      <c r="I1568" s="58" t="str">
        <f>IF(COUNTA(A1568:E1568)=0,"",IF(N(A1568)&lt;=0,"Date manquante ou invalide",IF(B1568="","Équipe manquante",IF(ISNA(MATCH(B1568,eq_code,0)),"Équipe inconnue",IF(C1568="","Poste manquant",IF(ISNA(MATCH(C1568,po_code,0)),"Poste inconnu",IF(D1568="","Cause manquante",IF(ISNA(MATCH(D1568,ca_name,0)),"Cause inconnue",IF(H1568="","Cause à compléter dans Paramètres",IF(OR(NOT(ISNUMBER(E1568)),N(E1568)&lt;=0,N(E1568)&gt;1440),"Durée invalide",IF(COUNTIFS(sj_date,A1568,sj_eq,B1568,sj_po,C1568)=0,"Pas de saisie journalière ce jour-là","OK")))))))))))</f>
        <v/>
      </c>
      <c r="J1568">
        <f>IF(OR(I1568="OK",I1568="Pas de saisie journalière ce jour-là"),E1568,0)</f>
        <v>0.0</v>
      </c>
      <c r="K1568">
        <f>IF(AND(J1568&gt;0,A1568&gt;=p_from,A1568&lt;=p_to),1,0)</f>
        <v>0.0</v>
      </c>
      <c r="L1568">
        <f>IF(AND(K1568=1,OR(pa_po="",C1568=pa_po),OR(pa_eq="",B1568=pa_eq)),1,0)</f>
        <v>0.0</v>
      </c>
    </row>
    <row r="1569">
      <c r="A1569" s="51" t="n"/>
      <c r="B1569" s="52" t="n"/>
      <c r="C1569" s="52" t="n"/>
      <c r="D1569" s="53" t="n"/>
      <c r="E1569" s="60" t="n"/>
      <c r="F1569" s="53" t="n"/>
      <c r="G1569" s="61" t="str">
        <f>IF(OR(COUNTA(A1569:E1569)=0,D1569=""),"",IFERROR(INDEX(ca_fam,MATCH(D1569,ca_name,0))&amp;"",""))</f>
        <v/>
      </c>
      <c r="H1569" s="58" t="str">
        <f>IF(OR(COUNTA(A1569:E1569)=0,D1569=""),"",IFERROR(INDEX(ca_type,MATCH(D1569,ca_name,0))&amp;"",""))</f>
        <v/>
      </c>
      <c r="I1569" s="58" t="str">
        <f>IF(COUNTA(A1569:E1569)=0,"",IF(N(A1569)&lt;=0,"Date manquante ou invalide",IF(B1569="","Équipe manquante",IF(ISNA(MATCH(B1569,eq_code,0)),"Équipe inconnue",IF(C1569="","Poste manquant",IF(ISNA(MATCH(C1569,po_code,0)),"Poste inconnu",IF(D1569="","Cause manquante",IF(ISNA(MATCH(D1569,ca_name,0)),"Cause inconnue",IF(H1569="","Cause à compléter dans Paramètres",IF(OR(NOT(ISNUMBER(E1569)),N(E1569)&lt;=0,N(E1569)&gt;1440),"Durée invalide",IF(COUNTIFS(sj_date,A1569,sj_eq,B1569,sj_po,C1569)=0,"Pas de saisie journalière ce jour-là","OK")))))))))))</f>
        <v/>
      </c>
      <c r="J1569">
        <f>IF(OR(I1569="OK",I1569="Pas de saisie journalière ce jour-là"),E1569,0)</f>
        <v>0.0</v>
      </c>
      <c r="K1569">
        <f>IF(AND(J1569&gt;0,A1569&gt;=p_from,A1569&lt;=p_to),1,0)</f>
        <v>0.0</v>
      </c>
      <c r="L1569">
        <f>IF(AND(K1569=1,OR(pa_po="",C1569=pa_po),OR(pa_eq="",B1569=pa_eq)),1,0)</f>
        <v>0.0</v>
      </c>
    </row>
    <row r="1570">
      <c r="A1570" s="51" t="n"/>
      <c r="B1570" s="52" t="n"/>
      <c r="C1570" s="52" t="n"/>
      <c r="D1570" s="53" t="n"/>
      <c r="E1570" s="60" t="n"/>
      <c r="F1570" s="53" t="n"/>
      <c r="G1570" s="61" t="str">
        <f>IF(OR(COUNTA(A1570:E1570)=0,D1570=""),"",IFERROR(INDEX(ca_fam,MATCH(D1570,ca_name,0))&amp;"",""))</f>
        <v/>
      </c>
      <c r="H1570" s="58" t="str">
        <f>IF(OR(COUNTA(A1570:E1570)=0,D1570=""),"",IFERROR(INDEX(ca_type,MATCH(D1570,ca_name,0))&amp;"",""))</f>
        <v/>
      </c>
      <c r="I1570" s="58" t="str">
        <f>IF(COUNTA(A1570:E1570)=0,"",IF(N(A1570)&lt;=0,"Date manquante ou invalide",IF(B1570="","Équipe manquante",IF(ISNA(MATCH(B1570,eq_code,0)),"Équipe inconnue",IF(C1570="","Poste manquant",IF(ISNA(MATCH(C1570,po_code,0)),"Poste inconnu",IF(D1570="","Cause manquante",IF(ISNA(MATCH(D1570,ca_name,0)),"Cause inconnue",IF(H1570="","Cause à compléter dans Paramètres",IF(OR(NOT(ISNUMBER(E1570)),N(E1570)&lt;=0,N(E1570)&gt;1440),"Durée invalide",IF(COUNTIFS(sj_date,A1570,sj_eq,B1570,sj_po,C1570)=0,"Pas de saisie journalière ce jour-là","OK")))))))))))</f>
        <v/>
      </c>
      <c r="J1570">
        <f>IF(OR(I1570="OK",I1570="Pas de saisie journalière ce jour-là"),E1570,0)</f>
        <v>0.0</v>
      </c>
      <c r="K1570">
        <f>IF(AND(J1570&gt;0,A1570&gt;=p_from,A1570&lt;=p_to),1,0)</f>
        <v>0.0</v>
      </c>
      <c r="L1570">
        <f>IF(AND(K1570=1,OR(pa_po="",C1570=pa_po),OR(pa_eq="",B1570=pa_eq)),1,0)</f>
        <v>0.0</v>
      </c>
    </row>
    <row r="1571">
      <c r="A1571" s="51" t="n"/>
      <c r="B1571" s="52" t="n"/>
      <c r="C1571" s="52" t="n"/>
      <c r="D1571" s="53" t="n"/>
      <c r="E1571" s="60" t="n"/>
      <c r="F1571" s="53" t="n"/>
      <c r="G1571" s="61" t="str">
        <f>IF(OR(COUNTA(A1571:E1571)=0,D1571=""),"",IFERROR(INDEX(ca_fam,MATCH(D1571,ca_name,0))&amp;"",""))</f>
        <v/>
      </c>
      <c r="H1571" s="58" t="str">
        <f>IF(OR(COUNTA(A1571:E1571)=0,D1571=""),"",IFERROR(INDEX(ca_type,MATCH(D1571,ca_name,0))&amp;"",""))</f>
        <v/>
      </c>
      <c r="I1571" s="58" t="str">
        <f>IF(COUNTA(A1571:E1571)=0,"",IF(N(A1571)&lt;=0,"Date manquante ou invalide",IF(B1571="","Équipe manquante",IF(ISNA(MATCH(B1571,eq_code,0)),"Équipe inconnue",IF(C1571="","Poste manquant",IF(ISNA(MATCH(C1571,po_code,0)),"Poste inconnu",IF(D1571="","Cause manquante",IF(ISNA(MATCH(D1571,ca_name,0)),"Cause inconnue",IF(H1571="","Cause à compléter dans Paramètres",IF(OR(NOT(ISNUMBER(E1571)),N(E1571)&lt;=0,N(E1571)&gt;1440),"Durée invalide",IF(COUNTIFS(sj_date,A1571,sj_eq,B1571,sj_po,C1571)=0,"Pas de saisie journalière ce jour-là","OK")))))))))))</f>
        <v/>
      </c>
      <c r="J1571">
        <f>IF(OR(I1571="OK",I1571="Pas de saisie journalière ce jour-là"),E1571,0)</f>
        <v>0.0</v>
      </c>
      <c r="K1571">
        <f>IF(AND(J1571&gt;0,A1571&gt;=p_from,A1571&lt;=p_to),1,0)</f>
        <v>0.0</v>
      </c>
      <c r="L1571">
        <f>IF(AND(K1571=1,OR(pa_po="",C1571=pa_po),OR(pa_eq="",B1571=pa_eq)),1,0)</f>
        <v>0.0</v>
      </c>
    </row>
    <row r="1572">
      <c r="A1572" s="51" t="n"/>
      <c r="B1572" s="52" t="n"/>
      <c r="C1572" s="52" t="n"/>
      <c r="D1572" s="53" t="n"/>
      <c r="E1572" s="60" t="n"/>
      <c r="F1572" s="53" t="n"/>
      <c r="G1572" s="61" t="str">
        <f>IF(OR(COUNTA(A1572:E1572)=0,D1572=""),"",IFERROR(INDEX(ca_fam,MATCH(D1572,ca_name,0))&amp;"",""))</f>
        <v/>
      </c>
      <c r="H1572" s="58" t="str">
        <f>IF(OR(COUNTA(A1572:E1572)=0,D1572=""),"",IFERROR(INDEX(ca_type,MATCH(D1572,ca_name,0))&amp;"",""))</f>
        <v/>
      </c>
      <c r="I1572" s="58" t="str">
        <f>IF(COUNTA(A1572:E1572)=0,"",IF(N(A1572)&lt;=0,"Date manquante ou invalide",IF(B1572="","Équipe manquante",IF(ISNA(MATCH(B1572,eq_code,0)),"Équipe inconnue",IF(C1572="","Poste manquant",IF(ISNA(MATCH(C1572,po_code,0)),"Poste inconnu",IF(D1572="","Cause manquante",IF(ISNA(MATCH(D1572,ca_name,0)),"Cause inconnue",IF(H1572="","Cause à compléter dans Paramètres",IF(OR(NOT(ISNUMBER(E1572)),N(E1572)&lt;=0,N(E1572)&gt;1440),"Durée invalide",IF(COUNTIFS(sj_date,A1572,sj_eq,B1572,sj_po,C1572)=0,"Pas de saisie journalière ce jour-là","OK")))))))))))</f>
        <v/>
      </c>
      <c r="J1572">
        <f>IF(OR(I1572="OK",I1572="Pas de saisie journalière ce jour-là"),E1572,0)</f>
        <v>0.0</v>
      </c>
      <c r="K1572">
        <f>IF(AND(J1572&gt;0,A1572&gt;=p_from,A1572&lt;=p_to),1,0)</f>
        <v>0.0</v>
      </c>
      <c r="L1572">
        <f>IF(AND(K1572=1,OR(pa_po="",C1572=pa_po),OR(pa_eq="",B1572=pa_eq)),1,0)</f>
        <v>0.0</v>
      </c>
    </row>
    <row r="1573">
      <c r="A1573" s="51" t="n"/>
      <c r="B1573" s="52" t="n"/>
      <c r="C1573" s="52" t="n"/>
      <c r="D1573" s="53" t="n"/>
      <c r="E1573" s="60" t="n"/>
      <c r="F1573" s="53" t="n"/>
      <c r="G1573" s="61" t="str">
        <f>IF(OR(COUNTA(A1573:E1573)=0,D1573=""),"",IFERROR(INDEX(ca_fam,MATCH(D1573,ca_name,0))&amp;"",""))</f>
        <v/>
      </c>
      <c r="H1573" s="58" t="str">
        <f>IF(OR(COUNTA(A1573:E1573)=0,D1573=""),"",IFERROR(INDEX(ca_type,MATCH(D1573,ca_name,0))&amp;"",""))</f>
        <v/>
      </c>
      <c r="I1573" s="58" t="str">
        <f>IF(COUNTA(A1573:E1573)=0,"",IF(N(A1573)&lt;=0,"Date manquante ou invalide",IF(B1573="","Équipe manquante",IF(ISNA(MATCH(B1573,eq_code,0)),"Équipe inconnue",IF(C1573="","Poste manquant",IF(ISNA(MATCH(C1573,po_code,0)),"Poste inconnu",IF(D1573="","Cause manquante",IF(ISNA(MATCH(D1573,ca_name,0)),"Cause inconnue",IF(H1573="","Cause à compléter dans Paramètres",IF(OR(NOT(ISNUMBER(E1573)),N(E1573)&lt;=0,N(E1573)&gt;1440),"Durée invalide",IF(COUNTIFS(sj_date,A1573,sj_eq,B1573,sj_po,C1573)=0,"Pas de saisie journalière ce jour-là","OK")))))))))))</f>
        <v/>
      </c>
      <c r="J1573">
        <f>IF(OR(I1573="OK",I1573="Pas de saisie journalière ce jour-là"),E1573,0)</f>
        <v>0.0</v>
      </c>
      <c r="K1573">
        <f>IF(AND(J1573&gt;0,A1573&gt;=p_from,A1573&lt;=p_to),1,0)</f>
        <v>0.0</v>
      </c>
      <c r="L1573">
        <f>IF(AND(K1573=1,OR(pa_po="",C1573=pa_po),OR(pa_eq="",B1573=pa_eq)),1,0)</f>
        <v>0.0</v>
      </c>
    </row>
    <row r="1574">
      <c r="A1574" s="51" t="n"/>
      <c r="B1574" s="52" t="n"/>
      <c r="C1574" s="52" t="n"/>
      <c r="D1574" s="53" t="n"/>
      <c r="E1574" s="60" t="n"/>
      <c r="F1574" s="53" t="n"/>
      <c r="G1574" s="61" t="str">
        <f>IF(OR(COUNTA(A1574:E1574)=0,D1574=""),"",IFERROR(INDEX(ca_fam,MATCH(D1574,ca_name,0))&amp;"",""))</f>
        <v/>
      </c>
      <c r="H1574" s="58" t="str">
        <f>IF(OR(COUNTA(A1574:E1574)=0,D1574=""),"",IFERROR(INDEX(ca_type,MATCH(D1574,ca_name,0))&amp;"",""))</f>
        <v/>
      </c>
      <c r="I1574" s="58" t="str">
        <f>IF(COUNTA(A1574:E1574)=0,"",IF(N(A1574)&lt;=0,"Date manquante ou invalide",IF(B1574="","Équipe manquante",IF(ISNA(MATCH(B1574,eq_code,0)),"Équipe inconnue",IF(C1574="","Poste manquant",IF(ISNA(MATCH(C1574,po_code,0)),"Poste inconnu",IF(D1574="","Cause manquante",IF(ISNA(MATCH(D1574,ca_name,0)),"Cause inconnue",IF(H1574="","Cause à compléter dans Paramètres",IF(OR(NOT(ISNUMBER(E1574)),N(E1574)&lt;=0,N(E1574)&gt;1440),"Durée invalide",IF(COUNTIFS(sj_date,A1574,sj_eq,B1574,sj_po,C1574)=0,"Pas de saisie journalière ce jour-là","OK")))))))))))</f>
        <v/>
      </c>
      <c r="J1574">
        <f>IF(OR(I1574="OK",I1574="Pas de saisie journalière ce jour-là"),E1574,0)</f>
        <v>0.0</v>
      </c>
      <c r="K1574">
        <f>IF(AND(J1574&gt;0,A1574&gt;=p_from,A1574&lt;=p_to),1,0)</f>
        <v>0.0</v>
      </c>
      <c r="L1574">
        <f>IF(AND(K1574=1,OR(pa_po="",C1574=pa_po),OR(pa_eq="",B1574=pa_eq)),1,0)</f>
        <v>0.0</v>
      </c>
    </row>
    <row r="1575">
      <c r="A1575" s="51" t="n"/>
      <c r="B1575" s="52" t="n"/>
      <c r="C1575" s="52" t="n"/>
      <c r="D1575" s="53" t="n"/>
      <c r="E1575" s="60" t="n"/>
      <c r="F1575" s="53" t="n"/>
      <c r="G1575" s="61" t="str">
        <f>IF(OR(COUNTA(A1575:E1575)=0,D1575=""),"",IFERROR(INDEX(ca_fam,MATCH(D1575,ca_name,0))&amp;"",""))</f>
        <v/>
      </c>
      <c r="H1575" s="58" t="str">
        <f>IF(OR(COUNTA(A1575:E1575)=0,D1575=""),"",IFERROR(INDEX(ca_type,MATCH(D1575,ca_name,0))&amp;"",""))</f>
        <v/>
      </c>
      <c r="I1575" s="58" t="str">
        <f>IF(COUNTA(A1575:E1575)=0,"",IF(N(A1575)&lt;=0,"Date manquante ou invalide",IF(B1575="","Équipe manquante",IF(ISNA(MATCH(B1575,eq_code,0)),"Équipe inconnue",IF(C1575="","Poste manquant",IF(ISNA(MATCH(C1575,po_code,0)),"Poste inconnu",IF(D1575="","Cause manquante",IF(ISNA(MATCH(D1575,ca_name,0)),"Cause inconnue",IF(H1575="","Cause à compléter dans Paramètres",IF(OR(NOT(ISNUMBER(E1575)),N(E1575)&lt;=0,N(E1575)&gt;1440),"Durée invalide",IF(COUNTIFS(sj_date,A1575,sj_eq,B1575,sj_po,C1575)=0,"Pas de saisie journalière ce jour-là","OK")))))))))))</f>
        <v/>
      </c>
      <c r="J1575">
        <f>IF(OR(I1575="OK",I1575="Pas de saisie journalière ce jour-là"),E1575,0)</f>
        <v>0.0</v>
      </c>
      <c r="K1575">
        <f>IF(AND(J1575&gt;0,A1575&gt;=p_from,A1575&lt;=p_to),1,0)</f>
        <v>0.0</v>
      </c>
      <c r="L1575">
        <f>IF(AND(K1575=1,OR(pa_po="",C1575=pa_po),OR(pa_eq="",B1575=pa_eq)),1,0)</f>
        <v>0.0</v>
      </c>
    </row>
    <row r="1576">
      <c r="A1576" s="51" t="n"/>
      <c r="B1576" s="52" t="n"/>
      <c r="C1576" s="52" t="n"/>
      <c r="D1576" s="53" t="n"/>
      <c r="E1576" s="60" t="n"/>
      <c r="F1576" s="53" t="n"/>
      <c r="G1576" s="61" t="str">
        <f>IF(OR(COUNTA(A1576:E1576)=0,D1576=""),"",IFERROR(INDEX(ca_fam,MATCH(D1576,ca_name,0))&amp;"",""))</f>
        <v/>
      </c>
      <c r="H1576" s="58" t="str">
        <f>IF(OR(COUNTA(A1576:E1576)=0,D1576=""),"",IFERROR(INDEX(ca_type,MATCH(D1576,ca_name,0))&amp;"",""))</f>
        <v/>
      </c>
      <c r="I1576" s="58" t="str">
        <f>IF(COUNTA(A1576:E1576)=0,"",IF(N(A1576)&lt;=0,"Date manquante ou invalide",IF(B1576="","Équipe manquante",IF(ISNA(MATCH(B1576,eq_code,0)),"Équipe inconnue",IF(C1576="","Poste manquant",IF(ISNA(MATCH(C1576,po_code,0)),"Poste inconnu",IF(D1576="","Cause manquante",IF(ISNA(MATCH(D1576,ca_name,0)),"Cause inconnue",IF(H1576="","Cause à compléter dans Paramètres",IF(OR(NOT(ISNUMBER(E1576)),N(E1576)&lt;=0,N(E1576)&gt;1440),"Durée invalide",IF(COUNTIFS(sj_date,A1576,sj_eq,B1576,sj_po,C1576)=0,"Pas de saisie journalière ce jour-là","OK")))))))))))</f>
        <v/>
      </c>
      <c r="J1576">
        <f>IF(OR(I1576="OK",I1576="Pas de saisie journalière ce jour-là"),E1576,0)</f>
        <v>0.0</v>
      </c>
      <c r="K1576">
        <f>IF(AND(J1576&gt;0,A1576&gt;=p_from,A1576&lt;=p_to),1,0)</f>
        <v>0.0</v>
      </c>
      <c r="L1576">
        <f>IF(AND(K1576=1,OR(pa_po="",C1576=pa_po),OR(pa_eq="",B1576=pa_eq)),1,0)</f>
        <v>0.0</v>
      </c>
    </row>
    <row r="1577">
      <c r="A1577" s="51" t="n"/>
      <c r="B1577" s="52" t="n"/>
      <c r="C1577" s="52" t="n"/>
      <c r="D1577" s="53" t="n"/>
      <c r="E1577" s="60" t="n"/>
      <c r="F1577" s="53" t="n"/>
      <c r="G1577" s="61" t="str">
        <f>IF(OR(COUNTA(A1577:E1577)=0,D1577=""),"",IFERROR(INDEX(ca_fam,MATCH(D1577,ca_name,0))&amp;"",""))</f>
        <v/>
      </c>
      <c r="H1577" s="58" t="str">
        <f>IF(OR(COUNTA(A1577:E1577)=0,D1577=""),"",IFERROR(INDEX(ca_type,MATCH(D1577,ca_name,0))&amp;"",""))</f>
        <v/>
      </c>
      <c r="I1577" s="58" t="str">
        <f>IF(COUNTA(A1577:E1577)=0,"",IF(N(A1577)&lt;=0,"Date manquante ou invalide",IF(B1577="","Équipe manquante",IF(ISNA(MATCH(B1577,eq_code,0)),"Équipe inconnue",IF(C1577="","Poste manquant",IF(ISNA(MATCH(C1577,po_code,0)),"Poste inconnu",IF(D1577="","Cause manquante",IF(ISNA(MATCH(D1577,ca_name,0)),"Cause inconnue",IF(H1577="","Cause à compléter dans Paramètres",IF(OR(NOT(ISNUMBER(E1577)),N(E1577)&lt;=0,N(E1577)&gt;1440),"Durée invalide",IF(COUNTIFS(sj_date,A1577,sj_eq,B1577,sj_po,C1577)=0,"Pas de saisie journalière ce jour-là","OK")))))))))))</f>
        <v/>
      </c>
      <c r="J1577">
        <f>IF(OR(I1577="OK",I1577="Pas de saisie journalière ce jour-là"),E1577,0)</f>
        <v>0.0</v>
      </c>
      <c r="K1577">
        <f>IF(AND(J1577&gt;0,A1577&gt;=p_from,A1577&lt;=p_to),1,0)</f>
        <v>0.0</v>
      </c>
      <c r="L1577">
        <f>IF(AND(K1577=1,OR(pa_po="",C1577=pa_po),OR(pa_eq="",B1577=pa_eq)),1,0)</f>
        <v>0.0</v>
      </c>
    </row>
    <row r="1578">
      <c r="A1578" s="51" t="n"/>
      <c r="B1578" s="52" t="n"/>
      <c r="C1578" s="52" t="n"/>
      <c r="D1578" s="53" t="n"/>
      <c r="E1578" s="60" t="n"/>
      <c r="F1578" s="53" t="n"/>
      <c r="G1578" s="61" t="str">
        <f>IF(OR(COUNTA(A1578:E1578)=0,D1578=""),"",IFERROR(INDEX(ca_fam,MATCH(D1578,ca_name,0))&amp;"",""))</f>
        <v/>
      </c>
      <c r="H1578" s="58" t="str">
        <f>IF(OR(COUNTA(A1578:E1578)=0,D1578=""),"",IFERROR(INDEX(ca_type,MATCH(D1578,ca_name,0))&amp;"",""))</f>
        <v/>
      </c>
      <c r="I1578" s="58" t="str">
        <f>IF(COUNTA(A1578:E1578)=0,"",IF(N(A1578)&lt;=0,"Date manquante ou invalide",IF(B1578="","Équipe manquante",IF(ISNA(MATCH(B1578,eq_code,0)),"Équipe inconnue",IF(C1578="","Poste manquant",IF(ISNA(MATCH(C1578,po_code,0)),"Poste inconnu",IF(D1578="","Cause manquante",IF(ISNA(MATCH(D1578,ca_name,0)),"Cause inconnue",IF(H1578="","Cause à compléter dans Paramètres",IF(OR(NOT(ISNUMBER(E1578)),N(E1578)&lt;=0,N(E1578)&gt;1440),"Durée invalide",IF(COUNTIFS(sj_date,A1578,sj_eq,B1578,sj_po,C1578)=0,"Pas de saisie journalière ce jour-là","OK")))))))))))</f>
        <v/>
      </c>
      <c r="J1578">
        <f>IF(OR(I1578="OK",I1578="Pas de saisie journalière ce jour-là"),E1578,0)</f>
        <v>0.0</v>
      </c>
      <c r="K1578">
        <f>IF(AND(J1578&gt;0,A1578&gt;=p_from,A1578&lt;=p_to),1,0)</f>
        <v>0.0</v>
      </c>
      <c r="L1578">
        <f>IF(AND(K1578=1,OR(pa_po="",C1578=pa_po),OR(pa_eq="",B1578=pa_eq)),1,0)</f>
        <v>0.0</v>
      </c>
    </row>
    <row r="1579">
      <c r="A1579" s="51" t="n"/>
      <c r="B1579" s="52" t="n"/>
      <c r="C1579" s="52" t="n"/>
      <c r="D1579" s="53" t="n"/>
      <c r="E1579" s="60" t="n"/>
      <c r="F1579" s="53" t="n"/>
      <c r="G1579" s="61" t="str">
        <f>IF(OR(COUNTA(A1579:E1579)=0,D1579=""),"",IFERROR(INDEX(ca_fam,MATCH(D1579,ca_name,0))&amp;"",""))</f>
        <v/>
      </c>
      <c r="H1579" s="58" t="str">
        <f>IF(OR(COUNTA(A1579:E1579)=0,D1579=""),"",IFERROR(INDEX(ca_type,MATCH(D1579,ca_name,0))&amp;"",""))</f>
        <v/>
      </c>
      <c r="I1579" s="58" t="str">
        <f>IF(COUNTA(A1579:E1579)=0,"",IF(N(A1579)&lt;=0,"Date manquante ou invalide",IF(B1579="","Équipe manquante",IF(ISNA(MATCH(B1579,eq_code,0)),"Équipe inconnue",IF(C1579="","Poste manquant",IF(ISNA(MATCH(C1579,po_code,0)),"Poste inconnu",IF(D1579="","Cause manquante",IF(ISNA(MATCH(D1579,ca_name,0)),"Cause inconnue",IF(H1579="","Cause à compléter dans Paramètres",IF(OR(NOT(ISNUMBER(E1579)),N(E1579)&lt;=0,N(E1579)&gt;1440),"Durée invalide",IF(COUNTIFS(sj_date,A1579,sj_eq,B1579,sj_po,C1579)=0,"Pas de saisie journalière ce jour-là","OK")))))))))))</f>
        <v/>
      </c>
      <c r="J1579">
        <f>IF(OR(I1579="OK",I1579="Pas de saisie journalière ce jour-là"),E1579,0)</f>
        <v>0.0</v>
      </c>
      <c r="K1579">
        <f>IF(AND(J1579&gt;0,A1579&gt;=p_from,A1579&lt;=p_to),1,0)</f>
        <v>0.0</v>
      </c>
      <c r="L1579">
        <f>IF(AND(K1579=1,OR(pa_po="",C1579=pa_po),OR(pa_eq="",B1579=pa_eq)),1,0)</f>
        <v>0.0</v>
      </c>
    </row>
    <row r="1580">
      <c r="A1580" s="51" t="n"/>
      <c r="B1580" s="52" t="n"/>
      <c r="C1580" s="52" t="n"/>
      <c r="D1580" s="53" t="n"/>
      <c r="E1580" s="60" t="n"/>
      <c r="F1580" s="53" t="n"/>
      <c r="G1580" s="61" t="str">
        <f>IF(OR(COUNTA(A1580:E1580)=0,D1580=""),"",IFERROR(INDEX(ca_fam,MATCH(D1580,ca_name,0))&amp;"",""))</f>
        <v/>
      </c>
      <c r="H1580" s="58" t="str">
        <f>IF(OR(COUNTA(A1580:E1580)=0,D1580=""),"",IFERROR(INDEX(ca_type,MATCH(D1580,ca_name,0))&amp;"",""))</f>
        <v/>
      </c>
      <c r="I1580" s="58" t="str">
        <f>IF(COUNTA(A1580:E1580)=0,"",IF(N(A1580)&lt;=0,"Date manquante ou invalide",IF(B1580="","Équipe manquante",IF(ISNA(MATCH(B1580,eq_code,0)),"Équipe inconnue",IF(C1580="","Poste manquant",IF(ISNA(MATCH(C1580,po_code,0)),"Poste inconnu",IF(D1580="","Cause manquante",IF(ISNA(MATCH(D1580,ca_name,0)),"Cause inconnue",IF(H1580="","Cause à compléter dans Paramètres",IF(OR(NOT(ISNUMBER(E1580)),N(E1580)&lt;=0,N(E1580)&gt;1440),"Durée invalide",IF(COUNTIFS(sj_date,A1580,sj_eq,B1580,sj_po,C1580)=0,"Pas de saisie journalière ce jour-là","OK")))))))))))</f>
        <v/>
      </c>
      <c r="J1580">
        <f>IF(OR(I1580="OK",I1580="Pas de saisie journalière ce jour-là"),E1580,0)</f>
        <v>0.0</v>
      </c>
      <c r="K1580">
        <f>IF(AND(J1580&gt;0,A1580&gt;=p_from,A1580&lt;=p_to),1,0)</f>
        <v>0.0</v>
      </c>
      <c r="L1580">
        <f>IF(AND(K1580=1,OR(pa_po="",C1580=pa_po),OR(pa_eq="",B1580=pa_eq)),1,0)</f>
        <v>0.0</v>
      </c>
    </row>
    <row r="1581">
      <c r="A1581" s="51" t="n"/>
      <c r="B1581" s="52" t="n"/>
      <c r="C1581" s="52" t="n"/>
      <c r="D1581" s="53" t="n"/>
      <c r="E1581" s="60" t="n"/>
      <c r="F1581" s="53" t="n"/>
      <c r="G1581" s="61" t="str">
        <f>IF(OR(COUNTA(A1581:E1581)=0,D1581=""),"",IFERROR(INDEX(ca_fam,MATCH(D1581,ca_name,0))&amp;"",""))</f>
        <v/>
      </c>
      <c r="H1581" s="58" t="str">
        <f>IF(OR(COUNTA(A1581:E1581)=0,D1581=""),"",IFERROR(INDEX(ca_type,MATCH(D1581,ca_name,0))&amp;"",""))</f>
        <v/>
      </c>
      <c r="I1581" s="58" t="str">
        <f>IF(COUNTA(A1581:E1581)=0,"",IF(N(A1581)&lt;=0,"Date manquante ou invalide",IF(B1581="","Équipe manquante",IF(ISNA(MATCH(B1581,eq_code,0)),"Équipe inconnue",IF(C1581="","Poste manquant",IF(ISNA(MATCH(C1581,po_code,0)),"Poste inconnu",IF(D1581="","Cause manquante",IF(ISNA(MATCH(D1581,ca_name,0)),"Cause inconnue",IF(H1581="","Cause à compléter dans Paramètres",IF(OR(NOT(ISNUMBER(E1581)),N(E1581)&lt;=0,N(E1581)&gt;1440),"Durée invalide",IF(COUNTIFS(sj_date,A1581,sj_eq,B1581,sj_po,C1581)=0,"Pas de saisie journalière ce jour-là","OK")))))))))))</f>
        <v/>
      </c>
      <c r="J1581">
        <f>IF(OR(I1581="OK",I1581="Pas de saisie journalière ce jour-là"),E1581,0)</f>
        <v>0.0</v>
      </c>
      <c r="K1581">
        <f>IF(AND(J1581&gt;0,A1581&gt;=p_from,A1581&lt;=p_to),1,0)</f>
        <v>0.0</v>
      </c>
      <c r="L1581">
        <f>IF(AND(K1581=1,OR(pa_po="",C1581=pa_po),OR(pa_eq="",B1581=pa_eq)),1,0)</f>
        <v>0.0</v>
      </c>
    </row>
    <row r="1582">
      <c r="A1582" s="51" t="n"/>
      <c r="B1582" s="52" t="n"/>
      <c r="C1582" s="52" t="n"/>
      <c r="D1582" s="53" t="n"/>
      <c r="E1582" s="60" t="n"/>
      <c r="F1582" s="53" t="n"/>
      <c r="G1582" s="61" t="str">
        <f>IF(OR(COUNTA(A1582:E1582)=0,D1582=""),"",IFERROR(INDEX(ca_fam,MATCH(D1582,ca_name,0))&amp;"",""))</f>
        <v/>
      </c>
      <c r="H1582" s="58" t="str">
        <f>IF(OR(COUNTA(A1582:E1582)=0,D1582=""),"",IFERROR(INDEX(ca_type,MATCH(D1582,ca_name,0))&amp;"",""))</f>
        <v/>
      </c>
      <c r="I1582" s="58" t="str">
        <f>IF(COUNTA(A1582:E1582)=0,"",IF(N(A1582)&lt;=0,"Date manquante ou invalide",IF(B1582="","Équipe manquante",IF(ISNA(MATCH(B1582,eq_code,0)),"Équipe inconnue",IF(C1582="","Poste manquant",IF(ISNA(MATCH(C1582,po_code,0)),"Poste inconnu",IF(D1582="","Cause manquante",IF(ISNA(MATCH(D1582,ca_name,0)),"Cause inconnue",IF(H1582="","Cause à compléter dans Paramètres",IF(OR(NOT(ISNUMBER(E1582)),N(E1582)&lt;=0,N(E1582)&gt;1440),"Durée invalide",IF(COUNTIFS(sj_date,A1582,sj_eq,B1582,sj_po,C1582)=0,"Pas de saisie journalière ce jour-là","OK")))))))))))</f>
        <v/>
      </c>
      <c r="J1582">
        <f>IF(OR(I1582="OK",I1582="Pas de saisie journalière ce jour-là"),E1582,0)</f>
        <v>0.0</v>
      </c>
      <c r="K1582">
        <f>IF(AND(J1582&gt;0,A1582&gt;=p_from,A1582&lt;=p_to),1,0)</f>
        <v>0.0</v>
      </c>
      <c r="L1582">
        <f>IF(AND(K1582=1,OR(pa_po="",C1582=pa_po),OR(pa_eq="",B1582=pa_eq)),1,0)</f>
        <v>0.0</v>
      </c>
    </row>
    <row r="1583">
      <c r="A1583" s="51" t="n"/>
      <c r="B1583" s="52" t="n"/>
      <c r="C1583" s="52" t="n"/>
      <c r="D1583" s="53" t="n"/>
      <c r="E1583" s="60" t="n"/>
      <c r="F1583" s="53" t="n"/>
      <c r="G1583" s="61" t="str">
        <f>IF(OR(COUNTA(A1583:E1583)=0,D1583=""),"",IFERROR(INDEX(ca_fam,MATCH(D1583,ca_name,0))&amp;"",""))</f>
        <v/>
      </c>
      <c r="H1583" s="58" t="str">
        <f>IF(OR(COUNTA(A1583:E1583)=0,D1583=""),"",IFERROR(INDEX(ca_type,MATCH(D1583,ca_name,0))&amp;"",""))</f>
        <v/>
      </c>
      <c r="I1583" s="58" t="str">
        <f>IF(COUNTA(A1583:E1583)=0,"",IF(N(A1583)&lt;=0,"Date manquante ou invalide",IF(B1583="","Équipe manquante",IF(ISNA(MATCH(B1583,eq_code,0)),"Équipe inconnue",IF(C1583="","Poste manquant",IF(ISNA(MATCH(C1583,po_code,0)),"Poste inconnu",IF(D1583="","Cause manquante",IF(ISNA(MATCH(D1583,ca_name,0)),"Cause inconnue",IF(H1583="","Cause à compléter dans Paramètres",IF(OR(NOT(ISNUMBER(E1583)),N(E1583)&lt;=0,N(E1583)&gt;1440),"Durée invalide",IF(COUNTIFS(sj_date,A1583,sj_eq,B1583,sj_po,C1583)=0,"Pas de saisie journalière ce jour-là","OK")))))))))))</f>
        <v/>
      </c>
      <c r="J1583">
        <f>IF(OR(I1583="OK",I1583="Pas de saisie journalière ce jour-là"),E1583,0)</f>
        <v>0.0</v>
      </c>
      <c r="K1583">
        <f>IF(AND(J1583&gt;0,A1583&gt;=p_from,A1583&lt;=p_to),1,0)</f>
        <v>0.0</v>
      </c>
      <c r="L1583">
        <f>IF(AND(K1583=1,OR(pa_po="",C1583=pa_po),OR(pa_eq="",B1583=pa_eq)),1,0)</f>
        <v>0.0</v>
      </c>
    </row>
    <row r="1584">
      <c r="A1584" s="51" t="n"/>
      <c r="B1584" s="52" t="n"/>
      <c r="C1584" s="52" t="n"/>
      <c r="D1584" s="53" t="n"/>
      <c r="E1584" s="60" t="n"/>
      <c r="F1584" s="53" t="n"/>
      <c r="G1584" s="61" t="str">
        <f>IF(OR(COUNTA(A1584:E1584)=0,D1584=""),"",IFERROR(INDEX(ca_fam,MATCH(D1584,ca_name,0))&amp;"",""))</f>
        <v/>
      </c>
      <c r="H1584" s="58" t="str">
        <f>IF(OR(COUNTA(A1584:E1584)=0,D1584=""),"",IFERROR(INDEX(ca_type,MATCH(D1584,ca_name,0))&amp;"",""))</f>
        <v/>
      </c>
      <c r="I1584" s="58" t="str">
        <f>IF(COUNTA(A1584:E1584)=0,"",IF(N(A1584)&lt;=0,"Date manquante ou invalide",IF(B1584="","Équipe manquante",IF(ISNA(MATCH(B1584,eq_code,0)),"Équipe inconnue",IF(C1584="","Poste manquant",IF(ISNA(MATCH(C1584,po_code,0)),"Poste inconnu",IF(D1584="","Cause manquante",IF(ISNA(MATCH(D1584,ca_name,0)),"Cause inconnue",IF(H1584="","Cause à compléter dans Paramètres",IF(OR(NOT(ISNUMBER(E1584)),N(E1584)&lt;=0,N(E1584)&gt;1440),"Durée invalide",IF(COUNTIFS(sj_date,A1584,sj_eq,B1584,sj_po,C1584)=0,"Pas de saisie journalière ce jour-là","OK")))))))))))</f>
        <v/>
      </c>
      <c r="J1584">
        <f>IF(OR(I1584="OK",I1584="Pas de saisie journalière ce jour-là"),E1584,0)</f>
        <v>0.0</v>
      </c>
      <c r="K1584">
        <f>IF(AND(J1584&gt;0,A1584&gt;=p_from,A1584&lt;=p_to),1,0)</f>
        <v>0.0</v>
      </c>
      <c r="L1584">
        <f>IF(AND(K1584=1,OR(pa_po="",C1584=pa_po),OR(pa_eq="",B1584=pa_eq)),1,0)</f>
        <v>0.0</v>
      </c>
    </row>
    <row r="1585">
      <c r="A1585" s="51" t="n"/>
      <c r="B1585" s="52" t="n"/>
      <c r="C1585" s="52" t="n"/>
      <c r="D1585" s="53" t="n"/>
      <c r="E1585" s="60" t="n"/>
      <c r="F1585" s="53" t="n"/>
      <c r="G1585" s="61" t="str">
        <f>IF(OR(COUNTA(A1585:E1585)=0,D1585=""),"",IFERROR(INDEX(ca_fam,MATCH(D1585,ca_name,0))&amp;"",""))</f>
        <v/>
      </c>
      <c r="H1585" s="58" t="str">
        <f>IF(OR(COUNTA(A1585:E1585)=0,D1585=""),"",IFERROR(INDEX(ca_type,MATCH(D1585,ca_name,0))&amp;"",""))</f>
        <v/>
      </c>
      <c r="I1585" s="58" t="str">
        <f>IF(COUNTA(A1585:E1585)=0,"",IF(N(A1585)&lt;=0,"Date manquante ou invalide",IF(B1585="","Équipe manquante",IF(ISNA(MATCH(B1585,eq_code,0)),"Équipe inconnue",IF(C1585="","Poste manquant",IF(ISNA(MATCH(C1585,po_code,0)),"Poste inconnu",IF(D1585="","Cause manquante",IF(ISNA(MATCH(D1585,ca_name,0)),"Cause inconnue",IF(H1585="","Cause à compléter dans Paramètres",IF(OR(NOT(ISNUMBER(E1585)),N(E1585)&lt;=0,N(E1585)&gt;1440),"Durée invalide",IF(COUNTIFS(sj_date,A1585,sj_eq,B1585,sj_po,C1585)=0,"Pas de saisie journalière ce jour-là","OK")))))))))))</f>
        <v/>
      </c>
      <c r="J1585">
        <f>IF(OR(I1585="OK",I1585="Pas de saisie journalière ce jour-là"),E1585,0)</f>
        <v>0.0</v>
      </c>
      <c r="K1585">
        <f>IF(AND(J1585&gt;0,A1585&gt;=p_from,A1585&lt;=p_to),1,0)</f>
        <v>0.0</v>
      </c>
      <c r="L1585">
        <f>IF(AND(K1585=1,OR(pa_po="",C1585=pa_po),OR(pa_eq="",B1585=pa_eq)),1,0)</f>
        <v>0.0</v>
      </c>
    </row>
    <row r="1586">
      <c r="A1586" s="51" t="n"/>
      <c r="B1586" s="52" t="n"/>
      <c r="C1586" s="52" t="n"/>
      <c r="D1586" s="53" t="n"/>
      <c r="E1586" s="60" t="n"/>
      <c r="F1586" s="53" t="n"/>
      <c r="G1586" s="61" t="str">
        <f>IF(OR(COUNTA(A1586:E1586)=0,D1586=""),"",IFERROR(INDEX(ca_fam,MATCH(D1586,ca_name,0))&amp;"",""))</f>
        <v/>
      </c>
      <c r="H1586" s="58" t="str">
        <f>IF(OR(COUNTA(A1586:E1586)=0,D1586=""),"",IFERROR(INDEX(ca_type,MATCH(D1586,ca_name,0))&amp;"",""))</f>
        <v/>
      </c>
      <c r="I1586" s="58" t="str">
        <f>IF(COUNTA(A1586:E1586)=0,"",IF(N(A1586)&lt;=0,"Date manquante ou invalide",IF(B1586="","Équipe manquante",IF(ISNA(MATCH(B1586,eq_code,0)),"Équipe inconnue",IF(C1586="","Poste manquant",IF(ISNA(MATCH(C1586,po_code,0)),"Poste inconnu",IF(D1586="","Cause manquante",IF(ISNA(MATCH(D1586,ca_name,0)),"Cause inconnue",IF(H1586="","Cause à compléter dans Paramètres",IF(OR(NOT(ISNUMBER(E1586)),N(E1586)&lt;=0,N(E1586)&gt;1440),"Durée invalide",IF(COUNTIFS(sj_date,A1586,sj_eq,B1586,sj_po,C1586)=0,"Pas de saisie journalière ce jour-là","OK")))))))))))</f>
        <v/>
      </c>
      <c r="J1586">
        <f>IF(OR(I1586="OK",I1586="Pas de saisie journalière ce jour-là"),E1586,0)</f>
        <v>0.0</v>
      </c>
      <c r="K1586">
        <f>IF(AND(J1586&gt;0,A1586&gt;=p_from,A1586&lt;=p_to),1,0)</f>
        <v>0.0</v>
      </c>
      <c r="L1586">
        <f>IF(AND(K1586=1,OR(pa_po="",C1586=pa_po),OR(pa_eq="",B1586=pa_eq)),1,0)</f>
        <v>0.0</v>
      </c>
    </row>
    <row r="1587">
      <c r="A1587" s="51" t="n"/>
      <c r="B1587" s="52" t="n"/>
      <c r="C1587" s="52" t="n"/>
      <c r="D1587" s="53" t="n"/>
      <c r="E1587" s="60" t="n"/>
      <c r="F1587" s="53" t="n"/>
      <c r="G1587" s="61" t="str">
        <f>IF(OR(COUNTA(A1587:E1587)=0,D1587=""),"",IFERROR(INDEX(ca_fam,MATCH(D1587,ca_name,0))&amp;"",""))</f>
        <v/>
      </c>
      <c r="H1587" s="58" t="str">
        <f>IF(OR(COUNTA(A1587:E1587)=0,D1587=""),"",IFERROR(INDEX(ca_type,MATCH(D1587,ca_name,0))&amp;"",""))</f>
        <v/>
      </c>
      <c r="I1587" s="58" t="str">
        <f>IF(COUNTA(A1587:E1587)=0,"",IF(N(A1587)&lt;=0,"Date manquante ou invalide",IF(B1587="","Équipe manquante",IF(ISNA(MATCH(B1587,eq_code,0)),"Équipe inconnue",IF(C1587="","Poste manquant",IF(ISNA(MATCH(C1587,po_code,0)),"Poste inconnu",IF(D1587="","Cause manquante",IF(ISNA(MATCH(D1587,ca_name,0)),"Cause inconnue",IF(H1587="","Cause à compléter dans Paramètres",IF(OR(NOT(ISNUMBER(E1587)),N(E1587)&lt;=0,N(E1587)&gt;1440),"Durée invalide",IF(COUNTIFS(sj_date,A1587,sj_eq,B1587,sj_po,C1587)=0,"Pas de saisie journalière ce jour-là","OK")))))))))))</f>
        <v/>
      </c>
      <c r="J1587">
        <f>IF(OR(I1587="OK",I1587="Pas de saisie journalière ce jour-là"),E1587,0)</f>
        <v>0.0</v>
      </c>
      <c r="K1587">
        <f>IF(AND(J1587&gt;0,A1587&gt;=p_from,A1587&lt;=p_to),1,0)</f>
        <v>0.0</v>
      </c>
      <c r="L1587">
        <f>IF(AND(K1587=1,OR(pa_po="",C1587=pa_po),OR(pa_eq="",B1587=pa_eq)),1,0)</f>
        <v>0.0</v>
      </c>
    </row>
    <row r="1588">
      <c r="A1588" s="51" t="n"/>
      <c r="B1588" s="52" t="n"/>
      <c r="C1588" s="52" t="n"/>
      <c r="D1588" s="53" t="n"/>
      <c r="E1588" s="60" t="n"/>
      <c r="F1588" s="53" t="n"/>
      <c r="G1588" s="61" t="str">
        <f>IF(OR(COUNTA(A1588:E1588)=0,D1588=""),"",IFERROR(INDEX(ca_fam,MATCH(D1588,ca_name,0))&amp;"",""))</f>
        <v/>
      </c>
      <c r="H1588" s="58" t="str">
        <f>IF(OR(COUNTA(A1588:E1588)=0,D1588=""),"",IFERROR(INDEX(ca_type,MATCH(D1588,ca_name,0))&amp;"",""))</f>
        <v/>
      </c>
      <c r="I1588" s="58" t="str">
        <f>IF(COUNTA(A1588:E1588)=0,"",IF(N(A1588)&lt;=0,"Date manquante ou invalide",IF(B1588="","Équipe manquante",IF(ISNA(MATCH(B1588,eq_code,0)),"Équipe inconnue",IF(C1588="","Poste manquant",IF(ISNA(MATCH(C1588,po_code,0)),"Poste inconnu",IF(D1588="","Cause manquante",IF(ISNA(MATCH(D1588,ca_name,0)),"Cause inconnue",IF(H1588="","Cause à compléter dans Paramètres",IF(OR(NOT(ISNUMBER(E1588)),N(E1588)&lt;=0,N(E1588)&gt;1440),"Durée invalide",IF(COUNTIFS(sj_date,A1588,sj_eq,B1588,sj_po,C1588)=0,"Pas de saisie journalière ce jour-là","OK")))))))))))</f>
        <v/>
      </c>
      <c r="J1588">
        <f>IF(OR(I1588="OK",I1588="Pas de saisie journalière ce jour-là"),E1588,0)</f>
        <v>0.0</v>
      </c>
      <c r="K1588">
        <f>IF(AND(J1588&gt;0,A1588&gt;=p_from,A1588&lt;=p_to),1,0)</f>
        <v>0.0</v>
      </c>
      <c r="L1588">
        <f>IF(AND(K1588=1,OR(pa_po="",C1588=pa_po),OR(pa_eq="",B1588=pa_eq)),1,0)</f>
        <v>0.0</v>
      </c>
    </row>
    <row r="1589">
      <c r="A1589" s="51" t="n"/>
      <c r="B1589" s="52" t="n"/>
      <c r="C1589" s="52" t="n"/>
      <c r="D1589" s="53" t="n"/>
      <c r="E1589" s="60" t="n"/>
      <c r="F1589" s="53" t="n"/>
      <c r="G1589" s="61" t="str">
        <f>IF(OR(COUNTA(A1589:E1589)=0,D1589=""),"",IFERROR(INDEX(ca_fam,MATCH(D1589,ca_name,0))&amp;"",""))</f>
        <v/>
      </c>
      <c r="H1589" s="58" t="str">
        <f>IF(OR(COUNTA(A1589:E1589)=0,D1589=""),"",IFERROR(INDEX(ca_type,MATCH(D1589,ca_name,0))&amp;"",""))</f>
        <v/>
      </c>
      <c r="I1589" s="58" t="str">
        <f>IF(COUNTA(A1589:E1589)=0,"",IF(N(A1589)&lt;=0,"Date manquante ou invalide",IF(B1589="","Équipe manquante",IF(ISNA(MATCH(B1589,eq_code,0)),"Équipe inconnue",IF(C1589="","Poste manquant",IF(ISNA(MATCH(C1589,po_code,0)),"Poste inconnu",IF(D1589="","Cause manquante",IF(ISNA(MATCH(D1589,ca_name,0)),"Cause inconnue",IF(H1589="","Cause à compléter dans Paramètres",IF(OR(NOT(ISNUMBER(E1589)),N(E1589)&lt;=0,N(E1589)&gt;1440),"Durée invalide",IF(COUNTIFS(sj_date,A1589,sj_eq,B1589,sj_po,C1589)=0,"Pas de saisie journalière ce jour-là","OK")))))))))))</f>
        <v/>
      </c>
      <c r="J1589">
        <f>IF(OR(I1589="OK",I1589="Pas de saisie journalière ce jour-là"),E1589,0)</f>
        <v>0.0</v>
      </c>
      <c r="K1589">
        <f>IF(AND(J1589&gt;0,A1589&gt;=p_from,A1589&lt;=p_to),1,0)</f>
        <v>0.0</v>
      </c>
      <c r="L1589">
        <f>IF(AND(K1589=1,OR(pa_po="",C1589=pa_po),OR(pa_eq="",B1589=pa_eq)),1,0)</f>
        <v>0.0</v>
      </c>
    </row>
    <row r="1590">
      <c r="A1590" s="51" t="n"/>
      <c r="B1590" s="52" t="n"/>
      <c r="C1590" s="52" t="n"/>
      <c r="D1590" s="53" t="n"/>
      <c r="E1590" s="60" t="n"/>
      <c r="F1590" s="53" t="n"/>
      <c r="G1590" s="61" t="str">
        <f>IF(OR(COUNTA(A1590:E1590)=0,D1590=""),"",IFERROR(INDEX(ca_fam,MATCH(D1590,ca_name,0))&amp;"",""))</f>
        <v/>
      </c>
      <c r="H1590" s="58" t="str">
        <f>IF(OR(COUNTA(A1590:E1590)=0,D1590=""),"",IFERROR(INDEX(ca_type,MATCH(D1590,ca_name,0))&amp;"",""))</f>
        <v/>
      </c>
      <c r="I1590" s="58" t="str">
        <f>IF(COUNTA(A1590:E1590)=0,"",IF(N(A1590)&lt;=0,"Date manquante ou invalide",IF(B1590="","Équipe manquante",IF(ISNA(MATCH(B1590,eq_code,0)),"Équipe inconnue",IF(C1590="","Poste manquant",IF(ISNA(MATCH(C1590,po_code,0)),"Poste inconnu",IF(D1590="","Cause manquante",IF(ISNA(MATCH(D1590,ca_name,0)),"Cause inconnue",IF(H1590="","Cause à compléter dans Paramètres",IF(OR(NOT(ISNUMBER(E1590)),N(E1590)&lt;=0,N(E1590)&gt;1440),"Durée invalide",IF(COUNTIFS(sj_date,A1590,sj_eq,B1590,sj_po,C1590)=0,"Pas de saisie journalière ce jour-là","OK")))))))))))</f>
        <v/>
      </c>
      <c r="J1590">
        <f>IF(OR(I1590="OK",I1590="Pas de saisie journalière ce jour-là"),E1590,0)</f>
        <v>0.0</v>
      </c>
      <c r="K1590">
        <f>IF(AND(J1590&gt;0,A1590&gt;=p_from,A1590&lt;=p_to),1,0)</f>
        <v>0.0</v>
      </c>
      <c r="L1590">
        <f>IF(AND(K1590=1,OR(pa_po="",C1590=pa_po),OR(pa_eq="",B1590=pa_eq)),1,0)</f>
        <v>0.0</v>
      </c>
    </row>
    <row r="1591">
      <c r="A1591" s="51" t="n"/>
      <c r="B1591" s="52" t="n"/>
      <c r="C1591" s="52" t="n"/>
      <c r="D1591" s="53" t="n"/>
      <c r="E1591" s="60" t="n"/>
      <c r="F1591" s="53" t="n"/>
      <c r="G1591" s="61" t="str">
        <f>IF(OR(COUNTA(A1591:E1591)=0,D1591=""),"",IFERROR(INDEX(ca_fam,MATCH(D1591,ca_name,0))&amp;"",""))</f>
        <v/>
      </c>
      <c r="H1591" s="58" t="str">
        <f>IF(OR(COUNTA(A1591:E1591)=0,D1591=""),"",IFERROR(INDEX(ca_type,MATCH(D1591,ca_name,0))&amp;"",""))</f>
        <v/>
      </c>
      <c r="I1591" s="58" t="str">
        <f>IF(COUNTA(A1591:E1591)=0,"",IF(N(A1591)&lt;=0,"Date manquante ou invalide",IF(B1591="","Équipe manquante",IF(ISNA(MATCH(B1591,eq_code,0)),"Équipe inconnue",IF(C1591="","Poste manquant",IF(ISNA(MATCH(C1591,po_code,0)),"Poste inconnu",IF(D1591="","Cause manquante",IF(ISNA(MATCH(D1591,ca_name,0)),"Cause inconnue",IF(H1591="","Cause à compléter dans Paramètres",IF(OR(NOT(ISNUMBER(E1591)),N(E1591)&lt;=0,N(E1591)&gt;1440),"Durée invalide",IF(COUNTIFS(sj_date,A1591,sj_eq,B1591,sj_po,C1591)=0,"Pas de saisie journalière ce jour-là","OK")))))))))))</f>
        <v/>
      </c>
      <c r="J1591">
        <f>IF(OR(I1591="OK",I1591="Pas de saisie journalière ce jour-là"),E1591,0)</f>
        <v>0.0</v>
      </c>
      <c r="K1591">
        <f>IF(AND(J1591&gt;0,A1591&gt;=p_from,A1591&lt;=p_to),1,0)</f>
        <v>0.0</v>
      </c>
      <c r="L1591">
        <f>IF(AND(K1591=1,OR(pa_po="",C1591=pa_po),OR(pa_eq="",B1591=pa_eq)),1,0)</f>
        <v>0.0</v>
      </c>
    </row>
    <row r="1592">
      <c r="A1592" s="51" t="n"/>
      <c r="B1592" s="52" t="n"/>
      <c r="C1592" s="52" t="n"/>
      <c r="D1592" s="53" t="n"/>
      <c r="E1592" s="60" t="n"/>
      <c r="F1592" s="53" t="n"/>
      <c r="G1592" s="61" t="str">
        <f>IF(OR(COUNTA(A1592:E1592)=0,D1592=""),"",IFERROR(INDEX(ca_fam,MATCH(D1592,ca_name,0))&amp;"",""))</f>
        <v/>
      </c>
      <c r="H1592" s="58" t="str">
        <f>IF(OR(COUNTA(A1592:E1592)=0,D1592=""),"",IFERROR(INDEX(ca_type,MATCH(D1592,ca_name,0))&amp;"",""))</f>
        <v/>
      </c>
      <c r="I1592" s="58" t="str">
        <f>IF(COUNTA(A1592:E1592)=0,"",IF(N(A1592)&lt;=0,"Date manquante ou invalide",IF(B1592="","Équipe manquante",IF(ISNA(MATCH(B1592,eq_code,0)),"Équipe inconnue",IF(C1592="","Poste manquant",IF(ISNA(MATCH(C1592,po_code,0)),"Poste inconnu",IF(D1592="","Cause manquante",IF(ISNA(MATCH(D1592,ca_name,0)),"Cause inconnue",IF(H1592="","Cause à compléter dans Paramètres",IF(OR(NOT(ISNUMBER(E1592)),N(E1592)&lt;=0,N(E1592)&gt;1440),"Durée invalide",IF(COUNTIFS(sj_date,A1592,sj_eq,B1592,sj_po,C1592)=0,"Pas de saisie journalière ce jour-là","OK")))))))))))</f>
        <v/>
      </c>
      <c r="J1592">
        <f>IF(OR(I1592="OK",I1592="Pas de saisie journalière ce jour-là"),E1592,0)</f>
        <v>0.0</v>
      </c>
      <c r="K1592">
        <f>IF(AND(J1592&gt;0,A1592&gt;=p_from,A1592&lt;=p_to),1,0)</f>
        <v>0.0</v>
      </c>
      <c r="L1592">
        <f>IF(AND(K1592=1,OR(pa_po="",C1592=pa_po),OR(pa_eq="",B1592=pa_eq)),1,0)</f>
        <v>0.0</v>
      </c>
    </row>
    <row r="1593">
      <c r="A1593" s="51" t="n"/>
      <c r="B1593" s="52" t="n"/>
      <c r="C1593" s="52" t="n"/>
      <c r="D1593" s="53" t="n"/>
      <c r="E1593" s="60" t="n"/>
      <c r="F1593" s="53" t="n"/>
      <c r="G1593" s="61" t="str">
        <f>IF(OR(COUNTA(A1593:E1593)=0,D1593=""),"",IFERROR(INDEX(ca_fam,MATCH(D1593,ca_name,0))&amp;"",""))</f>
        <v/>
      </c>
      <c r="H1593" s="58" t="str">
        <f>IF(OR(COUNTA(A1593:E1593)=0,D1593=""),"",IFERROR(INDEX(ca_type,MATCH(D1593,ca_name,0))&amp;"",""))</f>
        <v/>
      </c>
      <c r="I1593" s="58" t="str">
        <f>IF(COUNTA(A1593:E1593)=0,"",IF(N(A1593)&lt;=0,"Date manquante ou invalide",IF(B1593="","Équipe manquante",IF(ISNA(MATCH(B1593,eq_code,0)),"Équipe inconnue",IF(C1593="","Poste manquant",IF(ISNA(MATCH(C1593,po_code,0)),"Poste inconnu",IF(D1593="","Cause manquante",IF(ISNA(MATCH(D1593,ca_name,0)),"Cause inconnue",IF(H1593="","Cause à compléter dans Paramètres",IF(OR(NOT(ISNUMBER(E1593)),N(E1593)&lt;=0,N(E1593)&gt;1440),"Durée invalide",IF(COUNTIFS(sj_date,A1593,sj_eq,B1593,sj_po,C1593)=0,"Pas de saisie journalière ce jour-là","OK")))))))))))</f>
        <v/>
      </c>
      <c r="J1593">
        <f>IF(OR(I1593="OK",I1593="Pas de saisie journalière ce jour-là"),E1593,0)</f>
        <v>0.0</v>
      </c>
      <c r="K1593">
        <f>IF(AND(J1593&gt;0,A1593&gt;=p_from,A1593&lt;=p_to),1,0)</f>
        <v>0.0</v>
      </c>
      <c r="L1593">
        <f>IF(AND(K1593=1,OR(pa_po="",C1593=pa_po),OR(pa_eq="",B1593=pa_eq)),1,0)</f>
        <v>0.0</v>
      </c>
    </row>
    <row r="1594">
      <c r="A1594" s="51" t="n"/>
      <c r="B1594" s="52" t="n"/>
      <c r="C1594" s="52" t="n"/>
      <c r="D1594" s="53" t="n"/>
      <c r="E1594" s="60" t="n"/>
      <c r="F1594" s="53" t="n"/>
      <c r="G1594" s="61" t="str">
        <f>IF(OR(COUNTA(A1594:E1594)=0,D1594=""),"",IFERROR(INDEX(ca_fam,MATCH(D1594,ca_name,0))&amp;"",""))</f>
        <v/>
      </c>
      <c r="H1594" s="58" t="str">
        <f>IF(OR(COUNTA(A1594:E1594)=0,D1594=""),"",IFERROR(INDEX(ca_type,MATCH(D1594,ca_name,0))&amp;"",""))</f>
        <v/>
      </c>
      <c r="I1594" s="58" t="str">
        <f>IF(COUNTA(A1594:E1594)=0,"",IF(N(A1594)&lt;=0,"Date manquante ou invalide",IF(B1594="","Équipe manquante",IF(ISNA(MATCH(B1594,eq_code,0)),"Équipe inconnue",IF(C1594="","Poste manquant",IF(ISNA(MATCH(C1594,po_code,0)),"Poste inconnu",IF(D1594="","Cause manquante",IF(ISNA(MATCH(D1594,ca_name,0)),"Cause inconnue",IF(H1594="","Cause à compléter dans Paramètres",IF(OR(NOT(ISNUMBER(E1594)),N(E1594)&lt;=0,N(E1594)&gt;1440),"Durée invalide",IF(COUNTIFS(sj_date,A1594,sj_eq,B1594,sj_po,C1594)=0,"Pas de saisie journalière ce jour-là","OK")))))))))))</f>
        <v/>
      </c>
      <c r="J1594">
        <f>IF(OR(I1594="OK",I1594="Pas de saisie journalière ce jour-là"),E1594,0)</f>
        <v>0.0</v>
      </c>
      <c r="K1594">
        <f>IF(AND(J1594&gt;0,A1594&gt;=p_from,A1594&lt;=p_to),1,0)</f>
        <v>0.0</v>
      </c>
      <c r="L1594">
        <f>IF(AND(K1594=1,OR(pa_po="",C1594=pa_po),OR(pa_eq="",B1594=pa_eq)),1,0)</f>
        <v>0.0</v>
      </c>
    </row>
    <row r="1595">
      <c r="A1595" s="51" t="n"/>
      <c r="B1595" s="52" t="n"/>
      <c r="C1595" s="52" t="n"/>
      <c r="D1595" s="53" t="n"/>
      <c r="E1595" s="60" t="n"/>
      <c r="F1595" s="53" t="n"/>
      <c r="G1595" s="61" t="str">
        <f>IF(OR(COUNTA(A1595:E1595)=0,D1595=""),"",IFERROR(INDEX(ca_fam,MATCH(D1595,ca_name,0))&amp;"",""))</f>
        <v/>
      </c>
      <c r="H1595" s="58" t="str">
        <f>IF(OR(COUNTA(A1595:E1595)=0,D1595=""),"",IFERROR(INDEX(ca_type,MATCH(D1595,ca_name,0))&amp;"",""))</f>
        <v/>
      </c>
      <c r="I1595" s="58" t="str">
        <f>IF(COUNTA(A1595:E1595)=0,"",IF(N(A1595)&lt;=0,"Date manquante ou invalide",IF(B1595="","Équipe manquante",IF(ISNA(MATCH(B1595,eq_code,0)),"Équipe inconnue",IF(C1595="","Poste manquant",IF(ISNA(MATCH(C1595,po_code,0)),"Poste inconnu",IF(D1595="","Cause manquante",IF(ISNA(MATCH(D1595,ca_name,0)),"Cause inconnue",IF(H1595="","Cause à compléter dans Paramètres",IF(OR(NOT(ISNUMBER(E1595)),N(E1595)&lt;=0,N(E1595)&gt;1440),"Durée invalide",IF(COUNTIFS(sj_date,A1595,sj_eq,B1595,sj_po,C1595)=0,"Pas de saisie journalière ce jour-là","OK")))))))))))</f>
        <v/>
      </c>
      <c r="J1595">
        <f>IF(OR(I1595="OK",I1595="Pas de saisie journalière ce jour-là"),E1595,0)</f>
        <v>0.0</v>
      </c>
      <c r="K1595">
        <f>IF(AND(J1595&gt;0,A1595&gt;=p_from,A1595&lt;=p_to),1,0)</f>
        <v>0.0</v>
      </c>
      <c r="L1595">
        <f>IF(AND(K1595=1,OR(pa_po="",C1595=pa_po),OR(pa_eq="",B1595=pa_eq)),1,0)</f>
        <v>0.0</v>
      </c>
    </row>
    <row r="1596">
      <c r="A1596" s="51" t="n"/>
      <c r="B1596" s="52" t="n"/>
      <c r="C1596" s="52" t="n"/>
      <c r="D1596" s="53" t="n"/>
      <c r="E1596" s="60" t="n"/>
      <c r="F1596" s="53" t="n"/>
      <c r="G1596" s="61" t="str">
        <f>IF(OR(COUNTA(A1596:E1596)=0,D1596=""),"",IFERROR(INDEX(ca_fam,MATCH(D1596,ca_name,0))&amp;"",""))</f>
        <v/>
      </c>
      <c r="H1596" s="58" t="str">
        <f>IF(OR(COUNTA(A1596:E1596)=0,D1596=""),"",IFERROR(INDEX(ca_type,MATCH(D1596,ca_name,0))&amp;"",""))</f>
        <v/>
      </c>
      <c r="I1596" s="58" t="str">
        <f>IF(COUNTA(A1596:E1596)=0,"",IF(N(A1596)&lt;=0,"Date manquante ou invalide",IF(B1596="","Équipe manquante",IF(ISNA(MATCH(B1596,eq_code,0)),"Équipe inconnue",IF(C1596="","Poste manquant",IF(ISNA(MATCH(C1596,po_code,0)),"Poste inconnu",IF(D1596="","Cause manquante",IF(ISNA(MATCH(D1596,ca_name,0)),"Cause inconnue",IF(H1596="","Cause à compléter dans Paramètres",IF(OR(NOT(ISNUMBER(E1596)),N(E1596)&lt;=0,N(E1596)&gt;1440),"Durée invalide",IF(COUNTIFS(sj_date,A1596,sj_eq,B1596,sj_po,C1596)=0,"Pas de saisie journalière ce jour-là","OK")))))))))))</f>
        <v/>
      </c>
      <c r="J1596">
        <f>IF(OR(I1596="OK",I1596="Pas de saisie journalière ce jour-là"),E1596,0)</f>
        <v>0.0</v>
      </c>
      <c r="K1596">
        <f>IF(AND(J1596&gt;0,A1596&gt;=p_from,A1596&lt;=p_to),1,0)</f>
        <v>0.0</v>
      </c>
      <c r="L1596">
        <f>IF(AND(K1596=1,OR(pa_po="",C1596=pa_po),OR(pa_eq="",B1596=pa_eq)),1,0)</f>
        <v>0.0</v>
      </c>
    </row>
    <row r="1597">
      <c r="A1597" s="51" t="n"/>
      <c r="B1597" s="52" t="n"/>
      <c r="C1597" s="52" t="n"/>
      <c r="D1597" s="53" t="n"/>
      <c r="E1597" s="60" t="n"/>
      <c r="F1597" s="53" t="n"/>
      <c r="G1597" s="61" t="str">
        <f>IF(OR(COUNTA(A1597:E1597)=0,D1597=""),"",IFERROR(INDEX(ca_fam,MATCH(D1597,ca_name,0))&amp;"",""))</f>
        <v/>
      </c>
      <c r="H1597" s="58" t="str">
        <f>IF(OR(COUNTA(A1597:E1597)=0,D1597=""),"",IFERROR(INDEX(ca_type,MATCH(D1597,ca_name,0))&amp;"",""))</f>
        <v/>
      </c>
      <c r="I1597" s="58" t="str">
        <f>IF(COUNTA(A1597:E1597)=0,"",IF(N(A1597)&lt;=0,"Date manquante ou invalide",IF(B1597="","Équipe manquante",IF(ISNA(MATCH(B1597,eq_code,0)),"Équipe inconnue",IF(C1597="","Poste manquant",IF(ISNA(MATCH(C1597,po_code,0)),"Poste inconnu",IF(D1597="","Cause manquante",IF(ISNA(MATCH(D1597,ca_name,0)),"Cause inconnue",IF(H1597="","Cause à compléter dans Paramètres",IF(OR(NOT(ISNUMBER(E1597)),N(E1597)&lt;=0,N(E1597)&gt;1440),"Durée invalide",IF(COUNTIFS(sj_date,A1597,sj_eq,B1597,sj_po,C1597)=0,"Pas de saisie journalière ce jour-là","OK")))))))))))</f>
        <v/>
      </c>
      <c r="J1597">
        <f>IF(OR(I1597="OK",I1597="Pas de saisie journalière ce jour-là"),E1597,0)</f>
        <v>0.0</v>
      </c>
      <c r="K1597">
        <f>IF(AND(J1597&gt;0,A1597&gt;=p_from,A1597&lt;=p_to),1,0)</f>
        <v>0.0</v>
      </c>
      <c r="L1597">
        <f>IF(AND(K1597=1,OR(pa_po="",C1597=pa_po),OR(pa_eq="",B1597=pa_eq)),1,0)</f>
        <v>0.0</v>
      </c>
    </row>
    <row r="1598">
      <c r="A1598" s="51" t="n"/>
      <c r="B1598" s="52" t="n"/>
      <c r="C1598" s="52" t="n"/>
      <c r="D1598" s="53" t="n"/>
      <c r="E1598" s="60" t="n"/>
      <c r="F1598" s="53" t="n"/>
      <c r="G1598" s="61" t="str">
        <f>IF(OR(COUNTA(A1598:E1598)=0,D1598=""),"",IFERROR(INDEX(ca_fam,MATCH(D1598,ca_name,0))&amp;"",""))</f>
        <v/>
      </c>
      <c r="H1598" s="58" t="str">
        <f>IF(OR(COUNTA(A1598:E1598)=0,D1598=""),"",IFERROR(INDEX(ca_type,MATCH(D1598,ca_name,0))&amp;"",""))</f>
        <v/>
      </c>
      <c r="I1598" s="58" t="str">
        <f>IF(COUNTA(A1598:E1598)=0,"",IF(N(A1598)&lt;=0,"Date manquante ou invalide",IF(B1598="","Équipe manquante",IF(ISNA(MATCH(B1598,eq_code,0)),"Équipe inconnue",IF(C1598="","Poste manquant",IF(ISNA(MATCH(C1598,po_code,0)),"Poste inconnu",IF(D1598="","Cause manquante",IF(ISNA(MATCH(D1598,ca_name,0)),"Cause inconnue",IF(H1598="","Cause à compléter dans Paramètres",IF(OR(NOT(ISNUMBER(E1598)),N(E1598)&lt;=0,N(E1598)&gt;1440),"Durée invalide",IF(COUNTIFS(sj_date,A1598,sj_eq,B1598,sj_po,C1598)=0,"Pas de saisie journalière ce jour-là","OK")))))))))))</f>
        <v/>
      </c>
      <c r="J1598">
        <f>IF(OR(I1598="OK",I1598="Pas de saisie journalière ce jour-là"),E1598,0)</f>
        <v>0.0</v>
      </c>
      <c r="K1598">
        <f>IF(AND(J1598&gt;0,A1598&gt;=p_from,A1598&lt;=p_to),1,0)</f>
        <v>0.0</v>
      </c>
      <c r="L1598">
        <f>IF(AND(K1598=1,OR(pa_po="",C1598=pa_po),OR(pa_eq="",B1598=pa_eq)),1,0)</f>
        <v>0.0</v>
      </c>
    </row>
    <row r="1599">
      <c r="A1599" s="51" t="n"/>
      <c r="B1599" s="52" t="n"/>
      <c r="C1599" s="52" t="n"/>
      <c r="D1599" s="53" t="n"/>
      <c r="E1599" s="60" t="n"/>
      <c r="F1599" s="53" t="n"/>
      <c r="G1599" s="61" t="str">
        <f>IF(OR(COUNTA(A1599:E1599)=0,D1599=""),"",IFERROR(INDEX(ca_fam,MATCH(D1599,ca_name,0))&amp;"",""))</f>
        <v/>
      </c>
      <c r="H1599" s="58" t="str">
        <f>IF(OR(COUNTA(A1599:E1599)=0,D1599=""),"",IFERROR(INDEX(ca_type,MATCH(D1599,ca_name,0))&amp;"",""))</f>
        <v/>
      </c>
      <c r="I1599" s="58" t="str">
        <f>IF(COUNTA(A1599:E1599)=0,"",IF(N(A1599)&lt;=0,"Date manquante ou invalide",IF(B1599="","Équipe manquante",IF(ISNA(MATCH(B1599,eq_code,0)),"Équipe inconnue",IF(C1599="","Poste manquant",IF(ISNA(MATCH(C1599,po_code,0)),"Poste inconnu",IF(D1599="","Cause manquante",IF(ISNA(MATCH(D1599,ca_name,0)),"Cause inconnue",IF(H1599="","Cause à compléter dans Paramètres",IF(OR(NOT(ISNUMBER(E1599)),N(E1599)&lt;=0,N(E1599)&gt;1440),"Durée invalide",IF(COUNTIFS(sj_date,A1599,sj_eq,B1599,sj_po,C1599)=0,"Pas de saisie journalière ce jour-là","OK")))))))))))</f>
        <v/>
      </c>
      <c r="J1599">
        <f>IF(OR(I1599="OK",I1599="Pas de saisie journalière ce jour-là"),E1599,0)</f>
        <v>0.0</v>
      </c>
      <c r="K1599">
        <f>IF(AND(J1599&gt;0,A1599&gt;=p_from,A1599&lt;=p_to),1,0)</f>
        <v>0.0</v>
      </c>
      <c r="L1599">
        <f>IF(AND(K1599=1,OR(pa_po="",C1599=pa_po),OR(pa_eq="",B1599=pa_eq)),1,0)</f>
        <v>0.0</v>
      </c>
    </row>
    <row r="1600">
      <c r="A1600" s="51" t="n"/>
      <c r="B1600" s="52" t="n"/>
      <c r="C1600" s="52" t="n"/>
      <c r="D1600" s="53" t="n"/>
      <c r="E1600" s="60" t="n"/>
      <c r="F1600" s="53" t="n"/>
      <c r="G1600" s="61" t="str">
        <f>IF(OR(COUNTA(A1600:E1600)=0,D1600=""),"",IFERROR(INDEX(ca_fam,MATCH(D1600,ca_name,0))&amp;"",""))</f>
        <v/>
      </c>
      <c r="H1600" s="58" t="str">
        <f>IF(OR(COUNTA(A1600:E1600)=0,D1600=""),"",IFERROR(INDEX(ca_type,MATCH(D1600,ca_name,0))&amp;"",""))</f>
        <v/>
      </c>
      <c r="I1600" s="58" t="str">
        <f>IF(COUNTA(A1600:E1600)=0,"",IF(N(A1600)&lt;=0,"Date manquante ou invalide",IF(B1600="","Équipe manquante",IF(ISNA(MATCH(B1600,eq_code,0)),"Équipe inconnue",IF(C1600="","Poste manquant",IF(ISNA(MATCH(C1600,po_code,0)),"Poste inconnu",IF(D1600="","Cause manquante",IF(ISNA(MATCH(D1600,ca_name,0)),"Cause inconnue",IF(H1600="","Cause à compléter dans Paramètres",IF(OR(NOT(ISNUMBER(E1600)),N(E1600)&lt;=0,N(E1600)&gt;1440),"Durée invalide",IF(COUNTIFS(sj_date,A1600,sj_eq,B1600,sj_po,C1600)=0,"Pas de saisie journalière ce jour-là","OK")))))))))))</f>
        <v/>
      </c>
      <c r="J1600">
        <f>IF(OR(I1600="OK",I1600="Pas de saisie journalière ce jour-là"),E1600,0)</f>
        <v>0.0</v>
      </c>
      <c r="K1600">
        <f>IF(AND(J1600&gt;0,A1600&gt;=p_from,A1600&lt;=p_to),1,0)</f>
        <v>0.0</v>
      </c>
      <c r="L1600">
        <f>IF(AND(K1600=1,OR(pa_po="",C1600=pa_po),OR(pa_eq="",B1600=pa_eq)),1,0)</f>
        <v>0.0</v>
      </c>
    </row>
    <row r="1601">
      <c r="A1601" s="51" t="n"/>
      <c r="B1601" s="52" t="n"/>
      <c r="C1601" s="52" t="n"/>
      <c r="D1601" s="53" t="n"/>
      <c r="E1601" s="60" t="n"/>
      <c r="F1601" s="53" t="n"/>
      <c r="G1601" s="61" t="str">
        <f>IF(OR(COUNTA(A1601:E1601)=0,D1601=""),"",IFERROR(INDEX(ca_fam,MATCH(D1601,ca_name,0))&amp;"",""))</f>
        <v/>
      </c>
      <c r="H1601" s="58" t="str">
        <f>IF(OR(COUNTA(A1601:E1601)=0,D1601=""),"",IFERROR(INDEX(ca_type,MATCH(D1601,ca_name,0))&amp;"",""))</f>
        <v/>
      </c>
      <c r="I1601" s="58" t="str">
        <f>IF(COUNTA(A1601:E1601)=0,"",IF(N(A1601)&lt;=0,"Date manquante ou invalide",IF(B1601="","Équipe manquante",IF(ISNA(MATCH(B1601,eq_code,0)),"Équipe inconnue",IF(C1601="","Poste manquant",IF(ISNA(MATCH(C1601,po_code,0)),"Poste inconnu",IF(D1601="","Cause manquante",IF(ISNA(MATCH(D1601,ca_name,0)),"Cause inconnue",IF(H1601="","Cause à compléter dans Paramètres",IF(OR(NOT(ISNUMBER(E1601)),N(E1601)&lt;=0,N(E1601)&gt;1440),"Durée invalide",IF(COUNTIFS(sj_date,A1601,sj_eq,B1601,sj_po,C1601)=0,"Pas de saisie journalière ce jour-là","OK")))))))))))</f>
        <v/>
      </c>
      <c r="J1601">
        <f>IF(OR(I1601="OK",I1601="Pas de saisie journalière ce jour-là"),E1601,0)</f>
        <v>0.0</v>
      </c>
      <c r="K1601">
        <f>IF(AND(J1601&gt;0,A1601&gt;=p_from,A1601&lt;=p_to),1,0)</f>
        <v>0.0</v>
      </c>
      <c r="L1601">
        <f>IF(AND(K1601=1,OR(pa_po="",C1601=pa_po),OR(pa_eq="",B1601=pa_eq)),1,0)</f>
        <v>0.0</v>
      </c>
    </row>
    <row r="1602">
      <c r="A1602" s="51" t="n"/>
      <c r="B1602" s="52" t="n"/>
      <c r="C1602" s="52" t="n"/>
      <c r="D1602" s="53" t="n"/>
      <c r="E1602" s="60" t="n"/>
      <c r="F1602" s="53" t="n"/>
      <c r="G1602" s="61" t="str">
        <f>IF(OR(COUNTA(A1602:E1602)=0,D1602=""),"",IFERROR(INDEX(ca_fam,MATCH(D1602,ca_name,0))&amp;"",""))</f>
        <v/>
      </c>
      <c r="H1602" s="58" t="str">
        <f>IF(OR(COUNTA(A1602:E1602)=0,D1602=""),"",IFERROR(INDEX(ca_type,MATCH(D1602,ca_name,0))&amp;"",""))</f>
        <v/>
      </c>
      <c r="I1602" s="58" t="str">
        <f>IF(COUNTA(A1602:E1602)=0,"",IF(N(A1602)&lt;=0,"Date manquante ou invalide",IF(B1602="","Équipe manquante",IF(ISNA(MATCH(B1602,eq_code,0)),"Équipe inconnue",IF(C1602="","Poste manquant",IF(ISNA(MATCH(C1602,po_code,0)),"Poste inconnu",IF(D1602="","Cause manquante",IF(ISNA(MATCH(D1602,ca_name,0)),"Cause inconnue",IF(H1602="","Cause à compléter dans Paramètres",IF(OR(NOT(ISNUMBER(E1602)),N(E1602)&lt;=0,N(E1602)&gt;1440),"Durée invalide",IF(COUNTIFS(sj_date,A1602,sj_eq,B1602,sj_po,C1602)=0,"Pas de saisie journalière ce jour-là","OK")))))))))))</f>
        <v/>
      </c>
      <c r="J1602">
        <f>IF(OR(I1602="OK",I1602="Pas de saisie journalière ce jour-là"),E1602,0)</f>
        <v>0.0</v>
      </c>
      <c r="K1602">
        <f>IF(AND(J1602&gt;0,A1602&gt;=p_from,A1602&lt;=p_to),1,0)</f>
        <v>0.0</v>
      </c>
      <c r="L1602">
        <f>IF(AND(K1602=1,OR(pa_po="",C1602=pa_po),OR(pa_eq="",B1602=pa_eq)),1,0)</f>
        <v>0.0</v>
      </c>
    </row>
    <row r="1603">
      <c r="A1603" s="51" t="n"/>
      <c r="B1603" s="52" t="n"/>
      <c r="C1603" s="52" t="n"/>
      <c r="D1603" s="53" t="n"/>
      <c r="E1603" s="60" t="n"/>
      <c r="F1603" s="53" t="n"/>
      <c r="G1603" s="61" t="str">
        <f>IF(OR(COUNTA(A1603:E1603)=0,D1603=""),"",IFERROR(INDEX(ca_fam,MATCH(D1603,ca_name,0))&amp;"",""))</f>
        <v/>
      </c>
      <c r="H1603" s="58" t="str">
        <f>IF(OR(COUNTA(A1603:E1603)=0,D1603=""),"",IFERROR(INDEX(ca_type,MATCH(D1603,ca_name,0))&amp;"",""))</f>
        <v/>
      </c>
      <c r="I1603" s="58" t="str">
        <f>IF(COUNTA(A1603:E1603)=0,"",IF(N(A1603)&lt;=0,"Date manquante ou invalide",IF(B1603="","Équipe manquante",IF(ISNA(MATCH(B1603,eq_code,0)),"Équipe inconnue",IF(C1603="","Poste manquant",IF(ISNA(MATCH(C1603,po_code,0)),"Poste inconnu",IF(D1603="","Cause manquante",IF(ISNA(MATCH(D1603,ca_name,0)),"Cause inconnue",IF(H1603="","Cause à compléter dans Paramètres",IF(OR(NOT(ISNUMBER(E1603)),N(E1603)&lt;=0,N(E1603)&gt;1440),"Durée invalide",IF(COUNTIFS(sj_date,A1603,sj_eq,B1603,sj_po,C1603)=0,"Pas de saisie journalière ce jour-là","OK")))))))))))</f>
        <v/>
      </c>
      <c r="J1603">
        <f>IF(OR(I1603="OK",I1603="Pas de saisie journalière ce jour-là"),E1603,0)</f>
        <v>0.0</v>
      </c>
      <c r="K1603">
        <f>IF(AND(J1603&gt;0,A1603&gt;=p_from,A1603&lt;=p_to),1,0)</f>
        <v>0.0</v>
      </c>
      <c r="L1603">
        <f>IF(AND(K1603=1,OR(pa_po="",C1603=pa_po),OR(pa_eq="",B1603=pa_eq)),1,0)</f>
        <v>0.0</v>
      </c>
    </row>
    <row r="1604">
      <c r="A1604" s="51" t="n"/>
      <c r="B1604" s="52" t="n"/>
      <c r="C1604" s="52" t="n"/>
      <c r="D1604" s="53" t="n"/>
      <c r="E1604" s="60" t="n"/>
      <c r="F1604" s="53" t="n"/>
      <c r="G1604" s="61" t="str">
        <f>IF(OR(COUNTA(A1604:E1604)=0,D1604=""),"",IFERROR(INDEX(ca_fam,MATCH(D1604,ca_name,0))&amp;"",""))</f>
        <v/>
      </c>
      <c r="H1604" s="58" t="str">
        <f>IF(OR(COUNTA(A1604:E1604)=0,D1604=""),"",IFERROR(INDEX(ca_type,MATCH(D1604,ca_name,0))&amp;"",""))</f>
        <v/>
      </c>
      <c r="I1604" s="58" t="str">
        <f>IF(COUNTA(A1604:E1604)=0,"",IF(N(A1604)&lt;=0,"Date manquante ou invalide",IF(B1604="","Équipe manquante",IF(ISNA(MATCH(B1604,eq_code,0)),"Équipe inconnue",IF(C1604="","Poste manquant",IF(ISNA(MATCH(C1604,po_code,0)),"Poste inconnu",IF(D1604="","Cause manquante",IF(ISNA(MATCH(D1604,ca_name,0)),"Cause inconnue",IF(H1604="","Cause à compléter dans Paramètres",IF(OR(NOT(ISNUMBER(E1604)),N(E1604)&lt;=0,N(E1604)&gt;1440),"Durée invalide",IF(COUNTIFS(sj_date,A1604,sj_eq,B1604,sj_po,C1604)=0,"Pas de saisie journalière ce jour-là","OK")))))))))))</f>
        <v/>
      </c>
      <c r="J1604">
        <f>IF(OR(I1604="OK",I1604="Pas de saisie journalière ce jour-là"),E1604,0)</f>
        <v>0.0</v>
      </c>
      <c r="K1604">
        <f>IF(AND(J1604&gt;0,A1604&gt;=p_from,A1604&lt;=p_to),1,0)</f>
        <v>0.0</v>
      </c>
      <c r="L1604">
        <f>IF(AND(K1604=1,OR(pa_po="",C1604=pa_po),OR(pa_eq="",B1604=pa_eq)),1,0)</f>
        <v>0.0</v>
      </c>
    </row>
    <row r="1605">
      <c r="A1605" s="51" t="n"/>
      <c r="B1605" s="52" t="n"/>
      <c r="C1605" s="52" t="n"/>
      <c r="D1605" s="53" t="n"/>
      <c r="E1605" s="60" t="n"/>
      <c r="F1605" s="53" t="n"/>
      <c r="G1605" s="61" t="str">
        <f>IF(OR(COUNTA(A1605:E1605)=0,D1605=""),"",IFERROR(INDEX(ca_fam,MATCH(D1605,ca_name,0))&amp;"",""))</f>
        <v/>
      </c>
      <c r="H1605" s="58" t="str">
        <f>IF(OR(COUNTA(A1605:E1605)=0,D1605=""),"",IFERROR(INDEX(ca_type,MATCH(D1605,ca_name,0))&amp;"",""))</f>
        <v/>
      </c>
      <c r="I1605" s="58" t="str">
        <f>IF(COUNTA(A1605:E1605)=0,"",IF(N(A1605)&lt;=0,"Date manquante ou invalide",IF(B1605="","Équipe manquante",IF(ISNA(MATCH(B1605,eq_code,0)),"Équipe inconnue",IF(C1605="","Poste manquant",IF(ISNA(MATCH(C1605,po_code,0)),"Poste inconnu",IF(D1605="","Cause manquante",IF(ISNA(MATCH(D1605,ca_name,0)),"Cause inconnue",IF(H1605="","Cause à compléter dans Paramètres",IF(OR(NOT(ISNUMBER(E1605)),N(E1605)&lt;=0,N(E1605)&gt;1440),"Durée invalide",IF(COUNTIFS(sj_date,A1605,sj_eq,B1605,sj_po,C1605)=0,"Pas de saisie journalière ce jour-là","OK")))))))))))</f>
        <v/>
      </c>
      <c r="J1605">
        <f>IF(OR(I1605="OK",I1605="Pas de saisie journalière ce jour-là"),E1605,0)</f>
        <v>0.0</v>
      </c>
      <c r="K1605">
        <f>IF(AND(J1605&gt;0,A1605&gt;=p_from,A1605&lt;=p_to),1,0)</f>
        <v>0.0</v>
      </c>
      <c r="L1605">
        <f>IF(AND(K1605=1,OR(pa_po="",C1605=pa_po),OR(pa_eq="",B1605=pa_eq)),1,0)</f>
        <v>0.0</v>
      </c>
    </row>
    <row r="1606">
      <c r="A1606" s="51" t="n"/>
      <c r="B1606" s="52" t="n"/>
      <c r="C1606" s="52" t="n"/>
      <c r="D1606" s="53" t="n"/>
      <c r="E1606" s="60" t="n"/>
      <c r="F1606" s="53" t="n"/>
      <c r="G1606" s="61" t="str">
        <f>IF(OR(COUNTA(A1606:E1606)=0,D1606=""),"",IFERROR(INDEX(ca_fam,MATCH(D1606,ca_name,0))&amp;"",""))</f>
        <v/>
      </c>
      <c r="H1606" s="58" t="str">
        <f>IF(OR(COUNTA(A1606:E1606)=0,D1606=""),"",IFERROR(INDEX(ca_type,MATCH(D1606,ca_name,0))&amp;"",""))</f>
        <v/>
      </c>
      <c r="I1606" s="58" t="str">
        <f>IF(COUNTA(A1606:E1606)=0,"",IF(N(A1606)&lt;=0,"Date manquante ou invalide",IF(B1606="","Équipe manquante",IF(ISNA(MATCH(B1606,eq_code,0)),"Équipe inconnue",IF(C1606="","Poste manquant",IF(ISNA(MATCH(C1606,po_code,0)),"Poste inconnu",IF(D1606="","Cause manquante",IF(ISNA(MATCH(D1606,ca_name,0)),"Cause inconnue",IF(H1606="","Cause à compléter dans Paramètres",IF(OR(NOT(ISNUMBER(E1606)),N(E1606)&lt;=0,N(E1606)&gt;1440),"Durée invalide",IF(COUNTIFS(sj_date,A1606,sj_eq,B1606,sj_po,C1606)=0,"Pas de saisie journalière ce jour-là","OK")))))))))))</f>
        <v/>
      </c>
      <c r="J1606">
        <f>IF(OR(I1606="OK",I1606="Pas de saisie journalière ce jour-là"),E1606,0)</f>
        <v>0.0</v>
      </c>
      <c r="K1606">
        <f>IF(AND(J1606&gt;0,A1606&gt;=p_from,A1606&lt;=p_to),1,0)</f>
        <v>0.0</v>
      </c>
      <c r="L1606">
        <f>IF(AND(K1606=1,OR(pa_po="",C1606=pa_po),OR(pa_eq="",B1606=pa_eq)),1,0)</f>
        <v>0.0</v>
      </c>
    </row>
    <row r="1607">
      <c r="A1607" s="51" t="n"/>
      <c r="B1607" s="52" t="n"/>
      <c r="C1607" s="52" t="n"/>
      <c r="D1607" s="53" t="n"/>
      <c r="E1607" s="60" t="n"/>
      <c r="F1607" s="53" t="n"/>
      <c r="G1607" s="61" t="str">
        <f>IF(OR(COUNTA(A1607:E1607)=0,D1607=""),"",IFERROR(INDEX(ca_fam,MATCH(D1607,ca_name,0))&amp;"",""))</f>
        <v/>
      </c>
      <c r="H1607" s="58" t="str">
        <f>IF(OR(COUNTA(A1607:E1607)=0,D1607=""),"",IFERROR(INDEX(ca_type,MATCH(D1607,ca_name,0))&amp;"",""))</f>
        <v/>
      </c>
      <c r="I1607" s="58" t="str">
        <f>IF(COUNTA(A1607:E1607)=0,"",IF(N(A1607)&lt;=0,"Date manquante ou invalide",IF(B1607="","Équipe manquante",IF(ISNA(MATCH(B1607,eq_code,0)),"Équipe inconnue",IF(C1607="","Poste manquant",IF(ISNA(MATCH(C1607,po_code,0)),"Poste inconnu",IF(D1607="","Cause manquante",IF(ISNA(MATCH(D1607,ca_name,0)),"Cause inconnue",IF(H1607="","Cause à compléter dans Paramètres",IF(OR(NOT(ISNUMBER(E1607)),N(E1607)&lt;=0,N(E1607)&gt;1440),"Durée invalide",IF(COUNTIFS(sj_date,A1607,sj_eq,B1607,sj_po,C1607)=0,"Pas de saisie journalière ce jour-là","OK")))))))))))</f>
        <v/>
      </c>
      <c r="J1607">
        <f>IF(OR(I1607="OK",I1607="Pas de saisie journalière ce jour-là"),E1607,0)</f>
        <v>0.0</v>
      </c>
      <c r="K1607">
        <f>IF(AND(J1607&gt;0,A1607&gt;=p_from,A1607&lt;=p_to),1,0)</f>
        <v>0.0</v>
      </c>
      <c r="L1607">
        <f>IF(AND(K1607=1,OR(pa_po="",C1607=pa_po),OR(pa_eq="",B1607=pa_eq)),1,0)</f>
        <v>0.0</v>
      </c>
    </row>
    <row r="1608">
      <c r="A1608" s="51" t="n"/>
      <c r="B1608" s="52" t="n"/>
      <c r="C1608" s="52" t="n"/>
      <c r="D1608" s="53" t="n"/>
      <c r="E1608" s="60" t="n"/>
      <c r="F1608" s="53" t="n"/>
      <c r="G1608" s="61" t="str">
        <f>IF(OR(COUNTA(A1608:E1608)=0,D1608=""),"",IFERROR(INDEX(ca_fam,MATCH(D1608,ca_name,0))&amp;"",""))</f>
        <v/>
      </c>
      <c r="H1608" s="58" t="str">
        <f>IF(OR(COUNTA(A1608:E1608)=0,D1608=""),"",IFERROR(INDEX(ca_type,MATCH(D1608,ca_name,0))&amp;"",""))</f>
        <v/>
      </c>
      <c r="I1608" s="58" t="str">
        <f>IF(COUNTA(A1608:E1608)=0,"",IF(N(A1608)&lt;=0,"Date manquante ou invalide",IF(B1608="","Équipe manquante",IF(ISNA(MATCH(B1608,eq_code,0)),"Équipe inconnue",IF(C1608="","Poste manquant",IF(ISNA(MATCH(C1608,po_code,0)),"Poste inconnu",IF(D1608="","Cause manquante",IF(ISNA(MATCH(D1608,ca_name,0)),"Cause inconnue",IF(H1608="","Cause à compléter dans Paramètres",IF(OR(NOT(ISNUMBER(E1608)),N(E1608)&lt;=0,N(E1608)&gt;1440),"Durée invalide",IF(COUNTIFS(sj_date,A1608,sj_eq,B1608,sj_po,C1608)=0,"Pas de saisie journalière ce jour-là","OK")))))))))))</f>
        <v/>
      </c>
      <c r="J1608">
        <f>IF(OR(I1608="OK",I1608="Pas de saisie journalière ce jour-là"),E1608,0)</f>
        <v>0.0</v>
      </c>
      <c r="K1608">
        <f>IF(AND(J1608&gt;0,A1608&gt;=p_from,A1608&lt;=p_to),1,0)</f>
        <v>0.0</v>
      </c>
      <c r="L1608">
        <f>IF(AND(K1608=1,OR(pa_po="",C1608=pa_po),OR(pa_eq="",B1608=pa_eq)),1,0)</f>
        <v>0.0</v>
      </c>
    </row>
    <row r="1609">
      <c r="A1609" s="51" t="n"/>
      <c r="B1609" s="52" t="n"/>
      <c r="C1609" s="52" t="n"/>
      <c r="D1609" s="53" t="n"/>
      <c r="E1609" s="60" t="n"/>
      <c r="F1609" s="53" t="n"/>
      <c r="G1609" s="61" t="str">
        <f>IF(OR(COUNTA(A1609:E1609)=0,D1609=""),"",IFERROR(INDEX(ca_fam,MATCH(D1609,ca_name,0))&amp;"",""))</f>
        <v/>
      </c>
      <c r="H1609" s="58" t="str">
        <f>IF(OR(COUNTA(A1609:E1609)=0,D1609=""),"",IFERROR(INDEX(ca_type,MATCH(D1609,ca_name,0))&amp;"",""))</f>
        <v/>
      </c>
      <c r="I1609" s="58" t="str">
        <f>IF(COUNTA(A1609:E1609)=0,"",IF(N(A1609)&lt;=0,"Date manquante ou invalide",IF(B1609="","Équipe manquante",IF(ISNA(MATCH(B1609,eq_code,0)),"Équipe inconnue",IF(C1609="","Poste manquant",IF(ISNA(MATCH(C1609,po_code,0)),"Poste inconnu",IF(D1609="","Cause manquante",IF(ISNA(MATCH(D1609,ca_name,0)),"Cause inconnue",IF(H1609="","Cause à compléter dans Paramètres",IF(OR(NOT(ISNUMBER(E1609)),N(E1609)&lt;=0,N(E1609)&gt;1440),"Durée invalide",IF(COUNTIFS(sj_date,A1609,sj_eq,B1609,sj_po,C1609)=0,"Pas de saisie journalière ce jour-là","OK")))))))))))</f>
        <v/>
      </c>
      <c r="J1609">
        <f>IF(OR(I1609="OK",I1609="Pas de saisie journalière ce jour-là"),E1609,0)</f>
        <v>0.0</v>
      </c>
      <c r="K1609">
        <f>IF(AND(J1609&gt;0,A1609&gt;=p_from,A1609&lt;=p_to),1,0)</f>
        <v>0.0</v>
      </c>
      <c r="L1609">
        <f>IF(AND(K1609=1,OR(pa_po="",C1609=pa_po),OR(pa_eq="",B1609=pa_eq)),1,0)</f>
        <v>0.0</v>
      </c>
    </row>
    <row r="1610">
      <c r="A1610" s="51" t="n"/>
      <c r="B1610" s="52" t="n"/>
      <c r="C1610" s="52" t="n"/>
      <c r="D1610" s="53" t="n"/>
      <c r="E1610" s="60" t="n"/>
      <c r="F1610" s="53" t="n"/>
      <c r="G1610" s="61" t="str">
        <f>IF(OR(COUNTA(A1610:E1610)=0,D1610=""),"",IFERROR(INDEX(ca_fam,MATCH(D1610,ca_name,0))&amp;"",""))</f>
        <v/>
      </c>
      <c r="H1610" s="58" t="str">
        <f>IF(OR(COUNTA(A1610:E1610)=0,D1610=""),"",IFERROR(INDEX(ca_type,MATCH(D1610,ca_name,0))&amp;"",""))</f>
        <v/>
      </c>
      <c r="I1610" s="58" t="str">
        <f>IF(COUNTA(A1610:E1610)=0,"",IF(N(A1610)&lt;=0,"Date manquante ou invalide",IF(B1610="","Équipe manquante",IF(ISNA(MATCH(B1610,eq_code,0)),"Équipe inconnue",IF(C1610="","Poste manquant",IF(ISNA(MATCH(C1610,po_code,0)),"Poste inconnu",IF(D1610="","Cause manquante",IF(ISNA(MATCH(D1610,ca_name,0)),"Cause inconnue",IF(H1610="","Cause à compléter dans Paramètres",IF(OR(NOT(ISNUMBER(E1610)),N(E1610)&lt;=0,N(E1610)&gt;1440),"Durée invalide",IF(COUNTIFS(sj_date,A1610,sj_eq,B1610,sj_po,C1610)=0,"Pas de saisie journalière ce jour-là","OK")))))))))))</f>
        <v/>
      </c>
      <c r="J1610">
        <f>IF(OR(I1610="OK",I1610="Pas de saisie journalière ce jour-là"),E1610,0)</f>
        <v>0.0</v>
      </c>
      <c r="K1610">
        <f>IF(AND(J1610&gt;0,A1610&gt;=p_from,A1610&lt;=p_to),1,0)</f>
        <v>0.0</v>
      </c>
      <c r="L1610">
        <f>IF(AND(K1610=1,OR(pa_po="",C1610=pa_po),OR(pa_eq="",B1610=pa_eq)),1,0)</f>
        <v>0.0</v>
      </c>
    </row>
    <row r="1611">
      <c r="A1611" s="51" t="n"/>
      <c r="B1611" s="52" t="n"/>
      <c r="C1611" s="52" t="n"/>
      <c r="D1611" s="53" t="n"/>
      <c r="E1611" s="60" t="n"/>
      <c r="F1611" s="53" t="n"/>
      <c r="G1611" s="61" t="str">
        <f>IF(OR(COUNTA(A1611:E1611)=0,D1611=""),"",IFERROR(INDEX(ca_fam,MATCH(D1611,ca_name,0))&amp;"",""))</f>
        <v/>
      </c>
      <c r="H1611" s="58" t="str">
        <f>IF(OR(COUNTA(A1611:E1611)=0,D1611=""),"",IFERROR(INDEX(ca_type,MATCH(D1611,ca_name,0))&amp;"",""))</f>
        <v/>
      </c>
      <c r="I1611" s="58" t="str">
        <f>IF(COUNTA(A1611:E1611)=0,"",IF(N(A1611)&lt;=0,"Date manquante ou invalide",IF(B1611="","Équipe manquante",IF(ISNA(MATCH(B1611,eq_code,0)),"Équipe inconnue",IF(C1611="","Poste manquant",IF(ISNA(MATCH(C1611,po_code,0)),"Poste inconnu",IF(D1611="","Cause manquante",IF(ISNA(MATCH(D1611,ca_name,0)),"Cause inconnue",IF(H1611="","Cause à compléter dans Paramètres",IF(OR(NOT(ISNUMBER(E1611)),N(E1611)&lt;=0,N(E1611)&gt;1440),"Durée invalide",IF(COUNTIFS(sj_date,A1611,sj_eq,B1611,sj_po,C1611)=0,"Pas de saisie journalière ce jour-là","OK")))))))))))</f>
        <v/>
      </c>
      <c r="J1611">
        <f>IF(OR(I1611="OK",I1611="Pas de saisie journalière ce jour-là"),E1611,0)</f>
        <v>0.0</v>
      </c>
      <c r="K1611">
        <f>IF(AND(J1611&gt;0,A1611&gt;=p_from,A1611&lt;=p_to),1,0)</f>
        <v>0.0</v>
      </c>
      <c r="L1611">
        <f>IF(AND(K1611=1,OR(pa_po="",C1611=pa_po),OR(pa_eq="",B1611=pa_eq)),1,0)</f>
        <v>0.0</v>
      </c>
    </row>
    <row r="1612">
      <c r="A1612" s="51" t="n"/>
      <c r="B1612" s="52" t="n"/>
      <c r="C1612" s="52" t="n"/>
      <c r="D1612" s="53" t="n"/>
      <c r="E1612" s="60" t="n"/>
      <c r="F1612" s="53" t="n"/>
      <c r="G1612" s="61" t="str">
        <f>IF(OR(COUNTA(A1612:E1612)=0,D1612=""),"",IFERROR(INDEX(ca_fam,MATCH(D1612,ca_name,0))&amp;"",""))</f>
        <v/>
      </c>
      <c r="H1612" s="58" t="str">
        <f>IF(OR(COUNTA(A1612:E1612)=0,D1612=""),"",IFERROR(INDEX(ca_type,MATCH(D1612,ca_name,0))&amp;"",""))</f>
        <v/>
      </c>
      <c r="I1612" s="58" t="str">
        <f>IF(COUNTA(A1612:E1612)=0,"",IF(N(A1612)&lt;=0,"Date manquante ou invalide",IF(B1612="","Équipe manquante",IF(ISNA(MATCH(B1612,eq_code,0)),"Équipe inconnue",IF(C1612="","Poste manquant",IF(ISNA(MATCH(C1612,po_code,0)),"Poste inconnu",IF(D1612="","Cause manquante",IF(ISNA(MATCH(D1612,ca_name,0)),"Cause inconnue",IF(H1612="","Cause à compléter dans Paramètres",IF(OR(NOT(ISNUMBER(E1612)),N(E1612)&lt;=0,N(E1612)&gt;1440),"Durée invalide",IF(COUNTIFS(sj_date,A1612,sj_eq,B1612,sj_po,C1612)=0,"Pas de saisie journalière ce jour-là","OK")))))))))))</f>
        <v/>
      </c>
      <c r="J1612">
        <f>IF(OR(I1612="OK",I1612="Pas de saisie journalière ce jour-là"),E1612,0)</f>
        <v>0.0</v>
      </c>
      <c r="K1612">
        <f>IF(AND(J1612&gt;0,A1612&gt;=p_from,A1612&lt;=p_to),1,0)</f>
        <v>0.0</v>
      </c>
      <c r="L1612">
        <f>IF(AND(K1612=1,OR(pa_po="",C1612=pa_po),OR(pa_eq="",B1612=pa_eq)),1,0)</f>
        <v>0.0</v>
      </c>
    </row>
    <row r="1613">
      <c r="A1613" s="51" t="n"/>
      <c r="B1613" s="52" t="n"/>
      <c r="C1613" s="52" t="n"/>
      <c r="D1613" s="53" t="n"/>
      <c r="E1613" s="60" t="n"/>
      <c r="F1613" s="53" t="n"/>
      <c r="G1613" s="61" t="str">
        <f>IF(OR(COUNTA(A1613:E1613)=0,D1613=""),"",IFERROR(INDEX(ca_fam,MATCH(D1613,ca_name,0))&amp;"",""))</f>
        <v/>
      </c>
      <c r="H1613" s="58" t="str">
        <f>IF(OR(COUNTA(A1613:E1613)=0,D1613=""),"",IFERROR(INDEX(ca_type,MATCH(D1613,ca_name,0))&amp;"",""))</f>
        <v/>
      </c>
      <c r="I1613" s="58" t="str">
        <f>IF(COUNTA(A1613:E1613)=0,"",IF(N(A1613)&lt;=0,"Date manquante ou invalide",IF(B1613="","Équipe manquante",IF(ISNA(MATCH(B1613,eq_code,0)),"Équipe inconnue",IF(C1613="","Poste manquant",IF(ISNA(MATCH(C1613,po_code,0)),"Poste inconnu",IF(D1613="","Cause manquante",IF(ISNA(MATCH(D1613,ca_name,0)),"Cause inconnue",IF(H1613="","Cause à compléter dans Paramètres",IF(OR(NOT(ISNUMBER(E1613)),N(E1613)&lt;=0,N(E1613)&gt;1440),"Durée invalide",IF(COUNTIFS(sj_date,A1613,sj_eq,B1613,sj_po,C1613)=0,"Pas de saisie journalière ce jour-là","OK")))))))))))</f>
        <v/>
      </c>
      <c r="J1613">
        <f>IF(OR(I1613="OK",I1613="Pas de saisie journalière ce jour-là"),E1613,0)</f>
        <v>0.0</v>
      </c>
      <c r="K1613">
        <f>IF(AND(J1613&gt;0,A1613&gt;=p_from,A1613&lt;=p_to),1,0)</f>
        <v>0.0</v>
      </c>
      <c r="L1613">
        <f>IF(AND(K1613=1,OR(pa_po="",C1613=pa_po),OR(pa_eq="",B1613=pa_eq)),1,0)</f>
        <v>0.0</v>
      </c>
    </row>
    <row r="1614">
      <c r="A1614" s="51" t="n"/>
      <c r="B1614" s="52" t="n"/>
      <c r="C1614" s="52" t="n"/>
      <c r="D1614" s="53" t="n"/>
      <c r="E1614" s="60" t="n"/>
      <c r="F1614" s="53" t="n"/>
      <c r="G1614" s="61" t="str">
        <f>IF(OR(COUNTA(A1614:E1614)=0,D1614=""),"",IFERROR(INDEX(ca_fam,MATCH(D1614,ca_name,0))&amp;"",""))</f>
        <v/>
      </c>
      <c r="H1614" s="58" t="str">
        <f>IF(OR(COUNTA(A1614:E1614)=0,D1614=""),"",IFERROR(INDEX(ca_type,MATCH(D1614,ca_name,0))&amp;"",""))</f>
        <v/>
      </c>
      <c r="I1614" s="58" t="str">
        <f>IF(COUNTA(A1614:E1614)=0,"",IF(N(A1614)&lt;=0,"Date manquante ou invalide",IF(B1614="","Équipe manquante",IF(ISNA(MATCH(B1614,eq_code,0)),"Équipe inconnue",IF(C1614="","Poste manquant",IF(ISNA(MATCH(C1614,po_code,0)),"Poste inconnu",IF(D1614="","Cause manquante",IF(ISNA(MATCH(D1614,ca_name,0)),"Cause inconnue",IF(H1614="","Cause à compléter dans Paramètres",IF(OR(NOT(ISNUMBER(E1614)),N(E1614)&lt;=0,N(E1614)&gt;1440),"Durée invalide",IF(COUNTIFS(sj_date,A1614,sj_eq,B1614,sj_po,C1614)=0,"Pas de saisie journalière ce jour-là","OK")))))))))))</f>
        <v/>
      </c>
      <c r="J1614">
        <f>IF(OR(I1614="OK",I1614="Pas de saisie journalière ce jour-là"),E1614,0)</f>
        <v>0.0</v>
      </c>
      <c r="K1614">
        <f>IF(AND(J1614&gt;0,A1614&gt;=p_from,A1614&lt;=p_to),1,0)</f>
        <v>0.0</v>
      </c>
      <c r="L1614">
        <f>IF(AND(K1614=1,OR(pa_po="",C1614=pa_po),OR(pa_eq="",B1614=pa_eq)),1,0)</f>
        <v>0.0</v>
      </c>
    </row>
    <row r="1615">
      <c r="A1615" s="51" t="n"/>
      <c r="B1615" s="52" t="n"/>
      <c r="C1615" s="52" t="n"/>
      <c r="D1615" s="53" t="n"/>
      <c r="E1615" s="60" t="n"/>
      <c r="F1615" s="53" t="n"/>
      <c r="G1615" s="61" t="str">
        <f>IF(OR(COUNTA(A1615:E1615)=0,D1615=""),"",IFERROR(INDEX(ca_fam,MATCH(D1615,ca_name,0))&amp;"",""))</f>
        <v/>
      </c>
      <c r="H1615" s="58" t="str">
        <f>IF(OR(COUNTA(A1615:E1615)=0,D1615=""),"",IFERROR(INDEX(ca_type,MATCH(D1615,ca_name,0))&amp;"",""))</f>
        <v/>
      </c>
      <c r="I1615" s="58" t="str">
        <f>IF(COUNTA(A1615:E1615)=0,"",IF(N(A1615)&lt;=0,"Date manquante ou invalide",IF(B1615="","Équipe manquante",IF(ISNA(MATCH(B1615,eq_code,0)),"Équipe inconnue",IF(C1615="","Poste manquant",IF(ISNA(MATCH(C1615,po_code,0)),"Poste inconnu",IF(D1615="","Cause manquante",IF(ISNA(MATCH(D1615,ca_name,0)),"Cause inconnue",IF(H1615="","Cause à compléter dans Paramètres",IF(OR(NOT(ISNUMBER(E1615)),N(E1615)&lt;=0,N(E1615)&gt;1440),"Durée invalide",IF(COUNTIFS(sj_date,A1615,sj_eq,B1615,sj_po,C1615)=0,"Pas de saisie journalière ce jour-là","OK")))))))))))</f>
        <v/>
      </c>
      <c r="J1615">
        <f>IF(OR(I1615="OK",I1615="Pas de saisie journalière ce jour-là"),E1615,0)</f>
        <v>0.0</v>
      </c>
      <c r="K1615">
        <f>IF(AND(J1615&gt;0,A1615&gt;=p_from,A1615&lt;=p_to),1,0)</f>
        <v>0.0</v>
      </c>
      <c r="L1615">
        <f>IF(AND(K1615=1,OR(pa_po="",C1615=pa_po),OR(pa_eq="",B1615=pa_eq)),1,0)</f>
        <v>0.0</v>
      </c>
    </row>
    <row r="1616">
      <c r="A1616" s="51" t="n"/>
      <c r="B1616" s="52" t="n"/>
      <c r="C1616" s="52" t="n"/>
      <c r="D1616" s="53" t="n"/>
      <c r="E1616" s="60" t="n"/>
      <c r="F1616" s="53" t="n"/>
      <c r="G1616" s="61" t="str">
        <f>IF(OR(COUNTA(A1616:E1616)=0,D1616=""),"",IFERROR(INDEX(ca_fam,MATCH(D1616,ca_name,0))&amp;"",""))</f>
        <v/>
      </c>
      <c r="H1616" s="58" t="str">
        <f>IF(OR(COUNTA(A1616:E1616)=0,D1616=""),"",IFERROR(INDEX(ca_type,MATCH(D1616,ca_name,0))&amp;"",""))</f>
        <v/>
      </c>
      <c r="I1616" s="58" t="str">
        <f>IF(COUNTA(A1616:E1616)=0,"",IF(N(A1616)&lt;=0,"Date manquante ou invalide",IF(B1616="","Équipe manquante",IF(ISNA(MATCH(B1616,eq_code,0)),"Équipe inconnue",IF(C1616="","Poste manquant",IF(ISNA(MATCH(C1616,po_code,0)),"Poste inconnu",IF(D1616="","Cause manquante",IF(ISNA(MATCH(D1616,ca_name,0)),"Cause inconnue",IF(H1616="","Cause à compléter dans Paramètres",IF(OR(NOT(ISNUMBER(E1616)),N(E1616)&lt;=0,N(E1616)&gt;1440),"Durée invalide",IF(COUNTIFS(sj_date,A1616,sj_eq,B1616,sj_po,C1616)=0,"Pas de saisie journalière ce jour-là","OK")))))))))))</f>
        <v/>
      </c>
      <c r="J1616">
        <f>IF(OR(I1616="OK",I1616="Pas de saisie journalière ce jour-là"),E1616,0)</f>
        <v>0.0</v>
      </c>
      <c r="K1616">
        <f>IF(AND(J1616&gt;0,A1616&gt;=p_from,A1616&lt;=p_to),1,0)</f>
        <v>0.0</v>
      </c>
      <c r="L1616">
        <f>IF(AND(K1616=1,OR(pa_po="",C1616=pa_po),OR(pa_eq="",B1616=pa_eq)),1,0)</f>
        <v>0.0</v>
      </c>
    </row>
    <row r="1617">
      <c r="A1617" s="51" t="n"/>
      <c r="B1617" s="52" t="n"/>
      <c r="C1617" s="52" t="n"/>
      <c r="D1617" s="53" t="n"/>
      <c r="E1617" s="60" t="n"/>
      <c r="F1617" s="53" t="n"/>
      <c r="G1617" s="61" t="str">
        <f>IF(OR(COUNTA(A1617:E1617)=0,D1617=""),"",IFERROR(INDEX(ca_fam,MATCH(D1617,ca_name,0))&amp;"",""))</f>
        <v/>
      </c>
      <c r="H1617" s="58" t="str">
        <f>IF(OR(COUNTA(A1617:E1617)=0,D1617=""),"",IFERROR(INDEX(ca_type,MATCH(D1617,ca_name,0))&amp;"",""))</f>
        <v/>
      </c>
      <c r="I1617" s="58" t="str">
        <f>IF(COUNTA(A1617:E1617)=0,"",IF(N(A1617)&lt;=0,"Date manquante ou invalide",IF(B1617="","Équipe manquante",IF(ISNA(MATCH(B1617,eq_code,0)),"Équipe inconnue",IF(C1617="","Poste manquant",IF(ISNA(MATCH(C1617,po_code,0)),"Poste inconnu",IF(D1617="","Cause manquante",IF(ISNA(MATCH(D1617,ca_name,0)),"Cause inconnue",IF(H1617="","Cause à compléter dans Paramètres",IF(OR(NOT(ISNUMBER(E1617)),N(E1617)&lt;=0,N(E1617)&gt;1440),"Durée invalide",IF(COUNTIFS(sj_date,A1617,sj_eq,B1617,sj_po,C1617)=0,"Pas de saisie journalière ce jour-là","OK")))))))))))</f>
        <v/>
      </c>
      <c r="J1617">
        <f>IF(OR(I1617="OK",I1617="Pas de saisie journalière ce jour-là"),E1617,0)</f>
        <v>0.0</v>
      </c>
      <c r="K1617">
        <f>IF(AND(J1617&gt;0,A1617&gt;=p_from,A1617&lt;=p_to),1,0)</f>
        <v>0.0</v>
      </c>
      <c r="L1617">
        <f>IF(AND(K1617=1,OR(pa_po="",C1617=pa_po),OR(pa_eq="",B1617=pa_eq)),1,0)</f>
        <v>0.0</v>
      </c>
    </row>
    <row r="1618">
      <c r="A1618" s="51" t="n"/>
      <c r="B1618" s="52" t="n"/>
      <c r="C1618" s="52" t="n"/>
      <c r="D1618" s="53" t="n"/>
      <c r="E1618" s="60" t="n"/>
      <c r="F1618" s="53" t="n"/>
      <c r="G1618" s="61" t="str">
        <f>IF(OR(COUNTA(A1618:E1618)=0,D1618=""),"",IFERROR(INDEX(ca_fam,MATCH(D1618,ca_name,0))&amp;"",""))</f>
        <v/>
      </c>
      <c r="H1618" s="58" t="str">
        <f>IF(OR(COUNTA(A1618:E1618)=0,D1618=""),"",IFERROR(INDEX(ca_type,MATCH(D1618,ca_name,0))&amp;"",""))</f>
        <v/>
      </c>
      <c r="I1618" s="58" t="str">
        <f>IF(COUNTA(A1618:E1618)=0,"",IF(N(A1618)&lt;=0,"Date manquante ou invalide",IF(B1618="","Équipe manquante",IF(ISNA(MATCH(B1618,eq_code,0)),"Équipe inconnue",IF(C1618="","Poste manquant",IF(ISNA(MATCH(C1618,po_code,0)),"Poste inconnu",IF(D1618="","Cause manquante",IF(ISNA(MATCH(D1618,ca_name,0)),"Cause inconnue",IF(H1618="","Cause à compléter dans Paramètres",IF(OR(NOT(ISNUMBER(E1618)),N(E1618)&lt;=0,N(E1618)&gt;1440),"Durée invalide",IF(COUNTIFS(sj_date,A1618,sj_eq,B1618,sj_po,C1618)=0,"Pas de saisie journalière ce jour-là","OK")))))))))))</f>
        <v/>
      </c>
      <c r="J1618">
        <f>IF(OR(I1618="OK",I1618="Pas de saisie journalière ce jour-là"),E1618,0)</f>
        <v>0.0</v>
      </c>
      <c r="K1618">
        <f>IF(AND(J1618&gt;0,A1618&gt;=p_from,A1618&lt;=p_to),1,0)</f>
        <v>0.0</v>
      </c>
      <c r="L1618">
        <f>IF(AND(K1618=1,OR(pa_po="",C1618=pa_po),OR(pa_eq="",B1618=pa_eq)),1,0)</f>
        <v>0.0</v>
      </c>
    </row>
    <row r="1619">
      <c r="A1619" s="51" t="n"/>
      <c r="B1619" s="52" t="n"/>
      <c r="C1619" s="52" t="n"/>
      <c r="D1619" s="53" t="n"/>
      <c r="E1619" s="60" t="n"/>
      <c r="F1619" s="53" t="n"/>
      <c r="G1619" s="61" t="str">
        <f>IF(OR(COUNTA(A1619:E1619)=0,D1619=""),"",IFERROR(INDEX(ca_fam,MATCH(D1619,ca_name,0))&amp;"",""))</f>
        <v/>
      </c>
      <c r="H1619" s="58" t="str">
        <f>IF(OR(COUNTA(A1619:E1619)=0,D1619=""),"",IFERROR(INDEX(ca_type,MATCH(D1619,ca_name,0))&amp;"",""))</f>
        <v/>
      </c>
      <c r="I1619" s="58" t="str">
        <f>IF(COUNTA(A1619:E1619)=0,"",IF(N(A1619)&lt;=0,"Date manquante ou invalide",IF(B1619="","Équipe manquante",IF(ISNA(MATCH(B1619,eq_code,0)),"Équipe inconnue",IF(C1619="","Poste manquant",IF(ISNA(MATCH(C1619,po_code,0)),"Poste inconnu",IF(D1619="","Cause manquante",IF(ISNA(MATCH(D1619,ca_name,0)),"Cause inconnue",IF(H1619="","Cause à compléter dans Paramètres",IF(OR(NOT(ISNUMBER(E1619)),N(E1619)&lt;=0,N(E1619)&gt;1440),"Durée invalide",IF(COUNTIFS(sj_date,A1619,sj_eq,B1619,sj_po,C1619)=0,"Pas de saisie journalière ce jour-là","OK")))))))))))</f>
        <v/>
      </c>
      <c r="J1619">
        <f>IF(OR(I1619="OK",I1619="Pas de saisie journalière ce jour-là"),E1619,0)</f>
        <v>0.0</v>
      </c>
      <c r="K1619">
        <f>IF(AND(J1619&gt;0,A1619&gt;=p_from,A1619&lt;=p_to),1,0)</f>
        <v>0.0</v>
      </c>
      <c r="L1619">
        <f>IF(AND(K1619=1,OR(pa_po="",C1619=pa_po),OR(pa_eq="",B1619=pa_eq)),1,0)</f>
        <v>0.0</v>
      </c>
    </row>
    <row r="1620">
      <c r="A1620" s="51" t="n"/>
      <c r="B1620" s="52" t="n"/>
      <c r="C1620" s="52" t="n"/>
      <c r="D1620" s="53" t="n"/>
      <c r="E1620" s="60" t="n"/>
      <c r="F1620" s="53" t="n"/>
      <c r="G1620" s="61" t="str">
        <f>IF(OR(COUNTA(A1620:E1620)=0,D1620=""),"",IFERROR(INDEX(ca_fam,MATCH(D1620,ca_name,0))&amp;"",""))</f>
        <v/>
      </c>
      <c r="H1620" s="58" t="str">
        <f>IF(OR(COUNTA(A1620:E1620)=0,D1620=""),"",IFERROR(INDEX(ca_type,MATCH(D1620,ca_name,0))&amp;"",""))</f>
        <v/>
      </c>
      <c r="I1620" s="58" t="str">
        <f>IF(COUNTA(A1620:E1620)=0,"",IF(N(A1620)&lt;=0,"Date manquante ou invalide",IF(B1620="","Équipe manquante",IF(ISNA(MATCH(B1620,eq_code,0)),"Équipe inconnue",IF(C1620="","Poste manquant",IF(ISNA(MATCH(C1620,po_code,0)),"Poste inconnu",IF(D1620="","Cause manquante",IF(ISNA(MATCH(D1620,ca_name,0)),"Cause inconnue",IF(H1620="","Cause à compléter dans Paramètres",IF(OR(NOT(ISNUMBER(E1620)),N(E1620)&lt;=0,N(E1620)&gt;1440),"Durée invalide",IF(COUNTIFS(sj_date,A1620,sj_eq,B1620,sj_po,C1620)=0,"Pas de saisie journalière ce jour-là","OK")))))))))))</f>
        <v/>
      </c>
      <c r="J1620">
        <f>IF(OR(I1620="OK",I1620="Pas de saisie journalière ce jour-là"),E1620,0)</f>
        <v>0.0</v>
      </c>
      <c r="K1620">
        <f>IF(AND(J1620&gt;0,A1620&gt;=p_from,A1620&lt;=p_to),1,0)</f>
        <v>0.0</v>
      </c>
      <c r="L1620">
        <f>IF(AND(K1620=1,OR(pa_po="",C1620=pa_po),OR(pa_eq="",B1620=pa_eq)),1,0)</f>
        <v>0.0</v>
      </c>
    </row>
    <row r="1621">
      <c r="A1621" s="51" t="n"/>
      <c r="B1621" s="52" t="n"/>
      <c r="C1621" s="52" t="n"/>
      <c r="D1621" s="53" t="n"/>
      <c r="E1621" s="60" t="n"/>
      <c r="F1621" s="53" t="n"/>
      <c r="G1621" s="61" t="str">
        <f>IF(OR(COUNTA(A1621:E1621)=0,D1621=""),"",IFERROR(INDEX(ca_fam,MATCH(D1621,ca_name,0))&amp;"",""))</f>
        <v/>
      </c>
      <c r="H1621" s="58" t="str">
        <f>IF(OR(COUNTA(A1621:E1621)=0,D1621=""),"",IFERROR(INDEX(ca_type,MATCH(D1621,ca_name,0))&amp;"",""))</f>
        <v/>
      </c>
      <c r="I1621" s="58" t="str">
        <f>IF(COUNTA(A1621:E1621)=0,"",IF(N(A1621)&lt;=0,"Date manquante ou invalide",IF(B1621="","Équipe manquante",IF(ISNA(MATCH(B1621,eq_code,0)),"Équipe inconnue",IF(C1621="","Poste manquant",IF(ISNA(MATCH(C1621,po_code,0)),"Poste inconnu",IF(D1621="","Cause manquante",IF(ISNA(MATCH(D1621,ca_name,0)),"Cause inconnue",IF(H1621="","Cause à compléter dans Paramètres",IF(OR(NOT(ISNUMBER(E1621)),N(E1621)&lt;=0,N(E1621)&gt;1440),"Durée invalide",IF(COUNTIFS(sj_date,A1621,sj_eq,B1621,sj_po,C1621)=0,"Pas de saisie journalière ce jour-là","OK")))))))))))</f>
        <v/>
      </c>
      <c r="J1621">
        <f>IF(OR(I1621="OK",I1621="Pas de saisie journalière ce jour-là"),E1621,0)</f>
        <v>0.0</v>
      </c>
      <c r="K1621">
        <f>IF(AND(J1621&gt;0,A1621&gt;=p_from,A1621&lt;=p_to),1,0)</f>
        <v>0.0</v>
      </c>
      <c r="L1621">
        <f>IF(AND(K1621=1,OR(pa_po="",C1621=pa_po),OR(pa_eq="",B1621=pa_eq)),1,0)</f>
        <v>0.0</v>
      </c>
    </row>
    <row r="1622">
      <c r="A1622" s="51" t="n"/>
      <c r="B1622" s="52" t="n"/>
      <c r="C1622" s="52" t="n"/>
      <c r="D1622" s="53" t="n"/>
      <c r="E1622" s="60" t="n"/>
      <c r="F1622" s="53" t="n"/>
      <c r="G1622" s="61" t="str">
        <f>IF(OR(COUNTA(A1622:E1622)=0,D1622=""),"",IFERROR(INDEX(ca_fam,MATCH(D1622,ca_name,0))&amp;"",""))</f>
        <v/>
      </c>
      <c r="H1622" s="58" t="str">
        <f>IF(OR(COUNTA(A1622:E1622)=0,D1622=""),"",IFERROR(INDEX(ca_type,MATCH(D1622,ca_name,0))&amp;"",""))</f>
        <v/>
      </c>
      <c r="I1622" s="58" t="str">
        <f>IF(COUNTA(A1622:E1622)=0,"",IF(N(A1622)&lt;=0,"Date manquante ou invalide",IF(B1622="","Équipe manquante",IF(ISNA(MATCH(B1622,eq_code,0)),"Équipe inconnue",IF(C1622="","Poste manquant",IF(ISNA(MATCH(C1622,po_code,0)),"Poste inconnu",IF(D1622="","Cause manquante",IF(ISNA(MATCH(D1622,ca_name,0)),"Cause inconnue",IF(H1622="","Cause à compléter dans Paramètres",IF(OR(NOT(ISNUMBER(E1622)),N(E1622)&lt;=0,N(E1622)&gt;1440),"Durée invalide",IF(COUNTIFS(sj_date,A1622,sj_eq,B1622,sj_po,C1622)=0,"Pas de saisie journalière ce jour-là","OK")))))))))))</f>
        <v/>
      </c>
      <c r="J1622">
        <f>IF(OR(I1622="OK",I1622="Pas de saisie journalière ce jour-là"),E1622,0)</f>
        <v>0.0</v>
      </c>
      <c r="K1622">
        <f>IF(AND(J1622&gt;0,A1622&gt;=p_from,A1622&lt;=p_to),1,0)</f>
        <v>0.0</v>
      </c>
      <c r="L1622">
        <f>IF(AND(K1622=1,OR(pa_po="",C1622=pa_po),OR(pa_eq="",B1622=pa_eq)),1,0)</f>
        <v>0.0</v>
      </c>
    </row>
    <row r="1623">
      <c r="A1623" s="51" t="n"/>
      <c r="B1623" s="52" t="n"/>
      <c r="C1623" s="52" t="n"/>
      <c r="D1623" s="53" t="n"/>
      <c r="E1623" s="60" t="n"/>
      <c r="F1623" s="53" t="n"/>
      <c r="G1623" s="61" t="str">
        <f>IF(OR(COUNTA(A1623:E1623)=0,D1623=""),"",IFERROR(INDEX(ca_fam,MATCH(D1623,ca_name,0))&amp;"",""))</f>
        <v/>
      </c>
      <c r="H1623" s="58" t="str">
        <f>IF(OR(COUNTA(A1623:E1623)=0,D1623=""),"",IFERROR(INDEX(ca_type,MATCH(D1623,ca_name,0))&amp;"",""))</f>
        <v/>
      </c>
      <c r="I1623" s="58" t="str">
        <f>IF(COUNTA(A1623:E1623)=0,"",IF(N(A1623)&lt;=0,"Date manquante ou invalide",IF(B1623="","Équipe manquante",IF(ISNA(MATCH(B1623,eq_code,0)),"Équipe inconnue",IF(C1623="","Poste manquant",IF(ISNA(MATCH(C1623,po_code,0)),"Poste inconnu",IF(D1623="","Cause manquante",IF(ISNA(MATCH(D1623,ca_name,0)),"Cause inconnue",IF(H1623="","Cause à compléter dans Paramètres",IF(OR(NOT(ISNUMBER(E1623)),N(E1623)&lt;=0,N(E1623)&gt;1440),"Durée invalide",IF(COUNTIFS(sj_date,A1623,sj_eq,B1623,sj_po,C1623)=0,"Pas de saisie journalière ce jour-là","OK")))))))))))</f>
        <v/>
      </c>
      <c r="J1623">
        <f>IF(OR(I1623="OK",I1623="Pas de saisie journalière ce jour-là"),E1623,0)</f>
        <v>0.0</v>
      </c>
      <c r="K1623">
        <f>IF(AND(J1623&gt;0,A1623&gt;=p_from,A1623&lt;=p_to),1,0)</f>
        <v>0.0</v>
      </c>
      <c r="L1623">
        <f>IF(AND(K1623=1,OR(pa_po="",C1623=pa_po),OR(pa_eq="",B1623=pa_eq)),1,0)</f>
        <v>0.0</v>
      </c>
    </row>
    <row r="1624">
      <c r="A1624" s="51" t="n"/>
      <c r="B1624" s="52" t="n"/>
      <c r="C1624" s="52" t="n"/>
      <c r="D1624" s="53" t="n"/>
      <c r="E1624" s="60" t="n"/>
      <c r="F1624" s="53" t="n"/>
      <c r="G1624" s="61" t="str">
        <f>IF(OR(COUNTA(A1624:E1624)=0,D1624=""),"",IFERROR(INDEX(ca_fam,MATCH(D1624,ca_name,0))&amp;"",""))</f>
        <v/>
      </c>
      <c r="H1624" s="58" t="str">
        <f>IF(OR(COUNTA(A1624:E1624)=0,D1624=""),"",IFERROR(INDEX(ca_type,MATCH(D1624,ca_name,0))&amp;"",""))</f>
        <v/>
      </c>
      <c r="I1624" s="58" t="str">
        <f>IF(COUNTA(A1624:E1624)=0,"",IF(N(A1624)&lt;=0,"Date manquante ou invalide",IF(B1624="","Équipe manquante",IF(ISNA(MATCH(B1624,eq_code,0)),"Équipe inconnue",IF(C1624="","Poste manquant",IF(ISNA(MATCH(C1624,po_code,0)),"Poste inconnu",IF(D1624="","Cause manquante",IF(ISNA(MATCH(D1624,ca_name,0)),"Cause inconnue",IF(H1624="","Cause à compléter dans Paramètres",IF(OR(NOT(ISNUMBER(E1624)),N(E1624)&lt;=0,N(E1624)&gt;1440),"Durée invalide",IF(COUNTIFS(sj_date,A1624,sj_eq,B1624,sj_po,C1624)=0,"Pas de saisie journalière ce jour-là","OK")))))))))))</f>
        <v/>
      </c>
      <c r="J1624">
        <f>IF(OR(I1624="OK",I1624="Pas de saisie journalière ce jour-là"),E1624,0)</f>
        <v>0.0</v>
      </c>
      <c r="K1624">
        <f>IF(AND(J1624&gt;0,A1624&gt;=p_from,A1624&lt;=p_to),1,0)</f>
        <v>0.0</v>
      </c>
      <c r="L1624">
        <f>IF(AND(K1624=1,OR(pa_po="",C1624=pa_po),OR(pa_eq="",B1624=pa_eq)),1,0)</f>
        <v>0.0</v>
      </c>
    </row>
    <row r="1625">
      <c r="A1625" s="51" t="n"/>
      <c r="B1625" s="52" t="n"/>
      <c r="C1625" s="52" t="n"/>
      <c r="D1625" s="53" t="n"/>
      <c r="E1625" s="60" t="n"/>
      <c r="F1625" s="53" t="n"/>
      <c r="G1625" s="61" t="str">
        <f>IF(OR(COUNTA(A1625:E1625)=0,D1625=""),"",IFERROR(INDEX(ca_fam,MATCH(D1625,ca_name,0))&amp;"",""))</f>
        <v/>
      </c>
      <c r="H1625" s="58" t="str">
        <f>IF(OR(COUNTA(A1625:E1625)=0,D1625=""),"",IFERROR(INDEX(ca_type,MATCH(D1625,ca_name,0))&amp;"",""))</f>
        <v/>
      </c>
      <c r="I1625" s="58" t="str">
        <f>IF(COUNTA(A1625:E1625)=0,"",IF(N(A1625)&lt;=0,"Date manquante ou invalide",IF(B1625="","Équipe manquante",IF(ISNA(MATCH(B1625,eq_code,0)),"Équipe inconnue",IF(C1625="","Poste manquant",IF(ISNA(MATCH(C1625,po_code,0)),"Poste inconnu",IF(D1625="","Cause manquante",IF(ISNA(MATCH(D1625,ca_name,0)),"Cause inconnue",IF(H1625="","Cause à compléter dans Paramètres",IF(OR(NOT(ISNUMBER(E1625)),N(E1625)&lt;=0,N(E1625)&gt;1440),"Durée invalide",IF(COUNTIFS(sj_date,A1625,sj_eq,B1625,sj_po,C1625)=0,"Pas de saisie journalière ce jour-là","OK")))))))))))</f>
        <v/>
      </c>
      <c r="J1625">
        <f>IF(OR(I1625="OK",I1625="Pas de saisie journalière ce jour-là"),E1625,0)</f>
        <v>0.0</v>
      </c>
      <c r="K1625">
        <f>IF(AND(J1625&gt;0,A1625&gt;=p_from,A1625&lt;=p_to),1,0)</f>
        <v>0.0</v>
      </c>
      <c r="L1625">
        <f>IF(AND(K1625=1,OR(pa_po="",C1625=pa_po),OR(pa_eq="",B1625=pa_eq)),1,0)</f>
        <v>0.0</v>
      </c>
    </row>
    <row r="1626">
      <c r="A1626" s="51" t="n"/>
      <c r="B1626" s="52" t="n"/>
      <c r="C1626" s="52" t="n"/>
      <c r="D1626" s="53" t="n"/>
      <c r="E1626" s="60" t="n"/>
      <c r="F1626" s="53" t="n"/>
      <c r="G1626" s="61" t="str">
        <f>IF(OR(COUNTA(A1626:E1626)=0,D1626=""),"",IFERROR(INDEX(ca_fam,MATCH(D1626,ca_name,0))&amp;"",""))</f>
        <v/>
      </c>
      <c r="H1626" s="58" t="str">
        <f>IF(OR(COUNTA(A1626:E1626)=0,D1626=""),"",IFERROR(INDEX(ca_type,MATCH(D1626,ca_name,0))&amp;"",""))</f>
        <v/>
      </c>
      <c r="I1626" s="58" t="str">
        <f>IF(COUNTA(A1626:E1626)=0,"",IF(N(A1626)&lt;=0,"Date manquante ou invalide",IF(B1626="","Équipe manquante",IF(ISNA(MATCH(B1626,eq_code,0)),"Équipe inconnue",IF(C1626="","Poste manquant",IF(ISNA(MATCH(C1626,po_code,0)),"Poste inconnu",IF(D1626="","Cause manquante",IF(ISNA(MATCH(D1626,ca_name,0)),"Cause inconnue",IF(H1626="","Cause à compléter dans Paramètres",IF(OR(NOT(ISNUMBER(E1626)),N(E1626)&lt;=0,N(E1626)&gt;1440),"Durée invalide",IF(COUNTIFS(sj_date,A1626,sj_eq,B1626,sj_po,C1626)=0,"Pas de saisie journalière ce jour-là","OK")))))))))))</f>
        <v/>
      </c>
      <c r="J1626">
        <f>IF(OR(I1626="OK",I1626="Pas de saisie journalière ce jour-là"),E1626,0)</f>
        <v>0.0</v>
      </c>
      <c r="K1626">
        <f>IF(AND(J1626&gt;0,A1626&gt;=p_from,A1626&lt;=p_to),1,0)</f>
        <v>0.0</v>
      </c>
      <c r="L1626">
        <f>IF(AND(K1626=1,OR(pa_po="",C1626=pa_po),OR(pa_eq="",B1626=pa_eq)),1,0)</f>
        <v>0.0</v>
      </c>
    </row>
    <row r="1627">
      <c r="A1627" s="51" t="n"/>
      <c r="B1627" s="52" t="n"/>
      <c r="C1627" s="52" t="n"/>
      <c r="D1627" s="53" t="n"/>
      <c r="E1627" s="60" t="n"/>
      <c r="F1627" s="53" t="n"/>
      <c r="G1627" s="61" t="str">
        <f>IF(OR(COUNTA(A1627:E1627)=0,D1627=""),"",IFERROR(INDEX(ca_fam,MATCH(D1627,ca_name,0))&amp;"",""))</f>
        <v/>
      </c>
      <c r="H1627" s="58" t="str">
        <f>IF(OR(COUNTA(A1627:E1627)=0,D1627=""),"",IFERROR(INDEX(ca_type,MATCH(D1627,ca_name,0))&amp;"",""))</f>
        <v/>
      </c>
      <c r="I1627" s="58" t="str">
        <f>IF(COUNTA(A1627:E1627)=0,"",IF(N(A1627)&lt;=0,"Date manquante ou invalide",IF(B1627="","Équipe manquante",IF(ISNA(MATCH(B1627,eq_code,0)),"Équipe inconnue",IF(C1627="","Poste manquant",IF(ISNA(MATCH(C1627,po_code,0)),"Poste inconnu",IF(D1627="","Cause manquante",IF(ISNA(MATCH(D1627,ca_name,0)),"Cause inconnue",IF(H1627="","Cause à compléter dans Paramètres",IF(OR(NOT(ISNUMBER(E1627)),N(E1627)&lt;=0,N(E1627)&gt;1440),"Durée invalide",IF(COUNTIFS(sj_date,A1627,sj_eq,B1627,sj_po,C1627)=0,"Pas de saisie journalière ce jour-là","OK")))))))))))</f>
        <v/>
      </c>
      <c r="J1627">
        <f>IF(OR(I1627="OK",I1627="Pas de saisie journalière ce jour-là"),E1627,0)</f>
        <v>0.0</v>
      </c>
      <c r="K1627">
        <f>IF(AND(J1627&gt;0,A1627&gt;=p_from,A1627&lt;=p_to),1,0)</f>
        <v>0.0</v>
      </c>
      <c r="L1627">
        <f>IF(AND(K1627=1,OR(pa_po="",C1627=pa_po),OR(pa_eq="",B1627=pa_eq)),1,0)</f>
        <v>0.0</v>
      </c>
    </row>
    <row r="1628">
      <c r="A1628" s="51" t="n"/>
      <c r="B1628" s="52" t="n"/>
      <c r="C1628" s="52" t="n"/>
      <c r="D1628" s="53" t="n"/>
      <c r="E1628" s="60" t="n"/>
      <c r="F1628" s="53" t="n"/>
      <c r="G1628" s="61" t="str">
        <f>IF(OR(COUNTA(A1628:E1628)=0,D1628=""),"",IFERROR(INDEX(ca_fam,MATCH(D1628,ca_name,0))&amp;"",""))</f>
        <v/>
      </c>
      <c r="H1628" s="58" t="str">
        <f>IF(OR(COUNTA(A1628:E1628)=0,D1628=""),"",IFERROR(INDEX(ca_type,MATCH(D1628,ca_name,0))&amp;"",""))</f>
        <v/>
      </c>
      <c r="I1628" s="58" t="str">
        <f>IF(COUNTA(A1628:E1628)=0,"",IF(N(A1628)&lt;=0,"Date manquante ou invalide",IF(B1628="","Équipe manquante",IF(ISNA(MATCH(B1628,eq_code,0)),"Équipe inconnue",IF(C1628="","Poste manquant",IF(ISNA(MATCH(C1628,po_code,0)),"Poste inconnu",IF(D1628="","Cause manquante",IF(ISNA(MATCH(D1628,ca_name,0)),"Cause inconnue",IF(H1628="","Cause à compléter dans Paramètres",IF(OR(NOT(ISNUMBER(E1628)),N(E1628)&lt;=0,N(E1628)&gt;1440),"Durée invalide",IF(COUNTIFS(sj_date,A1628,sj_eq,B1628,sj_po,C1628)=0,"Pas de saisie journalière ce jour-là","OK")))))))))))</f>
        <v/>
      </c>
      <c r="J1628">
        <f>IF(OR(I1628="OK",I1628="Pas de saisie journalière ce jour-là"),E1628,0)</f>
        <v>0.0</v>
      </c>
      <c r="K1628">
        <f>IF(AND(J1628&gt;0,A1628&gt;=p_from,A1628&lt;=p_to),1,0)</f>
        <v>0.0</v>
      </c>
      <c r="L1628">
        <f>IF(AND(K1628=1,OR(pa_po="",C1628=pa_po),OR(pa_eq="",B1628=pa_eq)),1,0)</f>
        <v>0.0</v>
      </c>
    </row>
    <row r="1629">
      <c r="A1629" s="51" t="n"/>
      <c r="B1629" s="52" t="n"/>
      <c r="C1629" s="52" t="n"/>
      <c r="D1629" s="53" t="n"/>
      <c r="E1629" s="60" t="n"/>
      <c r="F1629" s="53" t="n"/>
      <c r="G1629" s="61" t="str">
        <f>IF(OR(COUNTA(A1629:E1629)=0,D1629=""),"",IFERROR(INDEX(ca_fam,MATCH(D1629,ca_name,0))&amp;"",""))</f>
        <v/>
      </c>
      <c r="H1629" s="58" t="str">
        <f>IF(OR(COUNTA(A1629:E1629)=0,D1629=""),"",IFERROR(INDEX(ca_type,MATCH(D1629,ca_name,0))&amp;"",""))</f>
        <v/>
      </c>
      <c r="I1629" s="58" t="str">
        <f>IF(COUNTA(A1629:E1629)=0,"",IF(N(A1629)&lt;=0,"Date manquante ou invalide",IF(B1629="","Équipe manquante",IF(ISNA(MATCH(B1629,eq_code,0)),"Équipe inconnue",IF(C1629="","Poste manquant",IF(ISNA(MATCH(C1629,po_code,0)),"Poste inconnu",IF(D1629="","Cause manquante",IF(ISNA(MATCH(D1629,ca_name,0)),"Cause inconnue",IF(H1629="","Cause à compléter dans Paramètres",IF(OR(NOT(ISNUMBER(E1629)),N(E1629)&lt;=0,N(E1629)&gt;1440),"Durée invalide",IF(COUNTIFS(sj_date,A1629,sj_eq,B1629,sj_po,C1629)=0,"Pas de saisie journalière ce jour-là","OK")))))))))))</f>
        <v/>
      </c>
      <c r="J1629">
        <f>IF(OR(I1629="OK",I1629="Pas de saisie journalière ce jour-là"),E1629,0)</f>
        <v>0.0</v>
      </c>
      <c r="K1629">
        <f>IF(AND(J1629&gt;0,A1629&gt;=p_from,A1629&lt;=p_to),1,0)</f>
        <v>0.0</v>
      </c>
      <c r="L1629">
        <f>IF(AND(K1629=1,OR(pa_po="",C1629=pa_po),OR(pa_eq="",B1629=pa_eq)),1,0)</f>
        <v>0.0</v>
      </c>
    </row>
    <row r="1630">
      <c r="A1630" s="51" t="n"/>
      <c r="B1630" s="52" t="n"/>
      <c r="C1630" s="52" t="n"/>
      <c r="D1630" s="53" t="n"/>
      <c r="E1630" s="60" t="n"/>
      <c r="F1630" s="53" t="n"/>
      <c r="G1630" s="61" t="str">
        <f>IF(OR(COUNTA(A1630:E1630)=0,D1630=""),"",IFERROR(INDEX(ca_fam,MATCH(D1630,ca_name,0))&amp;"",""))</f>
        <v/>
      </c>
      <c r="H1630" s="58" t="str">
        <f>IF(OR(COUNTA(A1630:E1630)=0,D1630=""),"",IFERROR(INDEX(ca_type,MATCH(D1630,ca_name,0))&amp;"",""))</f>
        <v/>
      </c>
      <c r="I1630" s="58" t="str">
        <f>IF(COUNTA(A1630:E1630)=0,"",IF(N(A1630)&lt;=0,"Date manquante ou invalide",IF(B1630="","Équipe manquante",IF(ISNA(MATCH(B1630,eq_code,0)),"Équipe inconnue",IF(C1630="","Poste manquant",IF(ISNA(MATCH(C1630,po_code,0)),"Poste inconnu",IF(D1630="","Cause manquante",IF(ISNA(MATCH(D1630,ca_name,0)),"Cause inconnue",IF(H1630="","Cause à compléter dans Paramètres",IF(OR(NOT(ISNUMBER(E1630)),N(E1630)&lt;=0,N(E1630)&gt;1440),"Durée invalide",IF(COUNTIFS(sj_date,A1630,sj_eq,B1630,sj_po,C1630)=0,"Pas de saisie journalière ce jour-là","OK")))))))))))</f>
        <v/>
      </c>
      <c r="J1630">
        <f>IF(OR(I1630="OK",I1630="Pas de saisie journalière ce jour-là"),E1630,0)</f>
        <v>0.0</v>
      </c>
      <c r="K1630">
        <f>IF(AND(J1630&gt;0,A1630&gt;=p_from,A1630&lt;=p_to),1,0)</f>
        <v>0.0</v>
      </c>
      <c r="L1630">
        <f>IF(AND(K1630=1,OR(pa_po="",C1630=pa_po),OR(pa_eq="",B1630=pa_eq)),1,0)</f>
        <v>0.0</v>
      </c>
    </row>
    <row r="1631">
      <c r="A1631" s="51" t="n"/>
      <c r="B1631" s="52" t="n"/>
      <c r="C1631" s="52" t="n"/>
      <c r="D1631" s="53" t="n"/>
      <c r="E1631" s="60" t="n"/>
      <c r="F1631" s="53" t="n"/>
      <c r="G1631" s="61" t="str">
        <f>IF(OR(COUNTA(A1631:E1631)=0,D1631=""),"",IFERROR(INDEX(ca_fam,MATCH(D1631,ca_name,0))&amp;"",""))</f>
        <v/>
      </c>
      <c r="H1631" s="58" t="str">
        <f>IF(OR(COUNTA(A1631:E1631)=0,D1631=""),"",IFERROR(INDEX(ca_type,MATCH(D1631,ca_name,0))&amp;"",""))</f>
        <v/>
      </c>
      <c r="I1631" s="58" t="str">
        <f>IF(COUNTA(A1631:E1631)=0,"",IF(N(A1631)&lt;=0,"Date manquante ou invalide",IF(B1631="","Équipe manquante",IF(ISNA(MATCH(B1631,eq_code,0)),"Équipe inconnue",IF(C1631="","Poste manquant",IF(ISNA(MATCH(C1631,po_code,0)),"Poste inconnu",IF(D1631="","Cause manquante",IF(ISNA(MATCH(D1631,ca_name,0)),"Cause inconnue",IF(H1631="","Cause à compléter dans Paramètres",IF(OR(NOT(ISNUMBER(E1631)),N(E1631)&lt;=0,N(E1631)&gt;1440),"Durée invalide",IF(COUNTIFS(sj_date,A1631,sj_eq,B1631,sj_po,C1631)=0,"Pas de saisie journalière ce jour-là","OK")))))))))))</f>
        <v/>
      </c>
      <c r="J1631">
        <f>IF(OR(I1631="OK",I1631="Pas de saisie journalière ce jour-là"),E1631,0)</f>
        <v>0.0</v>
      </c>
      <c r="K1631">
        <f>IF(AND(J1631&gt;0,A1631&gt;=p_from,A1631&lt;=p_to),1,0)</f>
        <v>0.0</v>
      </c>
      <c r="L1631">
        <f>IF(AND(K1631=1,OR(pa_po="",C1631=pa_po),OR(pa_eq="",B1631=pa_eq)),1,0)</f>
        <v>0.0</v>
      </c>
    </row>
    <row r="1632">
      <c r="A1632" s="51" t="n"/>
      <c r="B1632" s="52" t="n"/>
      <c r="C1632" s="52" t="n"/>
      <c r="D1632" s="53" t="n"/>
      <c r="E1632" s="60" t="n"/>
      <c r="F1632" s="53" t="n"/>
      <c r="G1632" s="61" t="str">
        <f>IF(OR(COUNTA(A1632:E1632)=0,D1632=""),"",IFERROR(INDEX(ca_fam,MATCH(D1632,ca_name,0))&amp;"",""))</f>
        <v/>
      </c>
      <c r="H1632" s="58" t="str">
        <f>IF(OR(COUNTA(A1632:E1632)=0,D1632=""),"",IFERROR(INDEX(ca_type,MATCH(D1632,ca_name,0))&amp;"",""))</f>
        <v/>
      </c>
      <c r="I1632" s="58" t="str">
        <f>IF(COUNTA(A1632:E1632)=0,"",IF(N(A1632)&lt;=0,"Date manquante ou invalide",IF(B1632="","Équipe manquante",IF(ISNA(MATCH(B1632,eq_code,0)),"Équipe inconnue",IF(C1632="","Poste manquant",IF(ISNA(MATCH(C1632,po_code,0)),"Poste inconnu",IF(D1632="","Cause manquante",IF(ISNA(MATCH(D1632,ca_name,0)),"Cause inconnue",IF(H1632="","Cause à compléter dans Paramètres",IF(OR(NOT(ISNUMBER(E1632)),N(E1632)&lt;=0,N(E1632)&gt;1440),"Durée invalide",IF(COUNTIFS(sj_date,A1632,sj_eq,B1632,sj_po,C1632)=0,"Pas de saisie journalière ce jour-là","OK")))))))))))</f>
        <v/>
      </c>
      <c r="J1632">
        <f>IF(OR(I1632="OK",I1632="Pas de saisie journalière ce jour-là"),E1632,0)</f>
        <v>0.0</v>
      </c>
      <c r="K1632">
        <f>IF(AND(J1632&gt;0,A1632&gt;=p_from,A1632&lt;=p_to),1,0)</f>
        <v>0.0</v>
      </c>
      <c r="L1632">
        <f>IF(AND(K1632=1,OR(pa_po="",C1632=pa_po),OR(pa_eq="",B1632=pa_eq)),1,0)</f>
        <v>0.0</v>
      </c>
    </row>
    <row r="1633">
      <c r="A1633" s="51" t="n"/>
      <c r="B1633" s="52" t="n"/>
      <c r="C1633" s="52" t="n"/>
      <c r="D1633" s="53" t="n"/>
      <c r="E1633" s="60" t="n"/>
      <c r="F1633" s="53" t="n"/>
      <c r="G1633" s="61" t="str">
        <f>IF(OR(COUNTA(A1633:E1633)=0,D1633=""),"",IFERROR(INDEX(ca_fam,MATCH(D1633,ca_name,0))&amp;"",""))</f>
        <v/>
      </c>
      <c r="H1633" s="58" t="str">
        <f>IF(OR(COUNTA(A1633:E1633)=0,D1633=""),"",IFERROR(INDEX(ca_type,MATCH(D1633,ca_name,0))&amp;"",""))</f>
        <v/>
      </c>
      <c r="I1633" s="58" t="str">
        <f>IF(COUNTA(A1633:E1633)=0,"",IF(N(A1633)&lt;=0,"Date manquante ou invalide",IF(B1633="","Équipe manquante",IF(ISNA(MATCH(B1633,eq_code,0)),"Équipe inconnue",IF(C1633="","Poste manquant",IF(ISNA(MATCH(C1633,po_code,0)),"Poste inconnu",IF(D1633="","Cause manquante",IF(ISNA(MATCH(D1633,ca_name,0)),"Cause inconnue",IF(H1633="","Cause à compléter dans Paramètres",IF(OR(NOT(ISNUMBER(E1633)),N(E1633)&lt;=0,N(E1633)&gt;1440),"Durée invalide",IF(COUNTIFS(sj_date,A1633,sj_eq,B1633,sj_po,C1633)=0,"Pas de saisie journalière ce jour-là","OK")))))))))))</f>
        <v/>
      </c>
      <c r="J1633">
        <f>IF(OR(I1633="OK",I1633="Pas de saisie journalière ce jour-là"),E1633,0)</f>
        <v>0.0</v>
      </c>
      <c r="K1633">
        <f>IF(AND(J1633&gt;0,A1633&gt;=p_from,A1633&lt;=p_to),1,0)</f>
        <v>0.0</v>
      </c>
      <c r="L1633">
        <f>IF(AND(K1633=1,OR(pa_po="",C1633=pa_po),OR(pa_eq="",B1633=pa_eq)),1,0)</f>
        <v>0.0</v>
      </c>
    </row>
    <row r="1634">
      <c r="A1634" s="51" t="n"/>
      <c r="B1634" s="52" t="n"/>
      <c r="C1634" s="52" t="n"/>
      <c r="D1634" s="53" t="n"/>
      <c r="E1634" s="60" t="n"/>
      <c r="F1634" s="53" t="n"/>
      <c r="G1634" s="61" t="str">
        <f>IF(OR(COUNTA(A1634:E1634)=0,D1634=""),"",IFERROR(INDEX(ca_fam,MATCH(D1634,ca_name,0))&amp;"",""))</f>
        <v/>
      </c>
      <c r="H1634" s="58" t="str">
        <f>IF(OR(COUNTA(A1634:E1634)=0,D1634=""),"",IFERROR(INDEX(ca_type,MATCH(D1634,ca_name,0))&amp;"",""))</f>
        <v/>
      </c>
      <c r="I1634" s="58" t="str">
        <f>IF(COUNTA(A1634:E1634)=0,"",IF(N(A1634)&lt;=0,"Date manquante ou invalide",IF(B1634="","Équipe manquante",IF(ISNA(MATCH(B1634,eq_code,0)),"Équipe inconnue",IF(C1634="","Poste manquant",IF(ISNA(MATCH(C1634,po_code,0)),"Poste inconnu",IF(D1634="","Cause manquante",IF(ISNA(MATCH(D1634,ca_name,0)),"Cause inconnue",IF(H1634="","Cause à compléter dans Paramètres",IF(OR(NOT(ISNUMBER(E1634)),N(E1634)&lt;=0,N(E1634)&gt;1440),"Durée invalide",IF(COUNTIFS(sj_date,A1634,sj_eq,B1634,sj_po,C1634)=0,"Pas de saisie journalière ce jour-là","OK")))))))))))</f>
        <v/>
      </c>
      <c r="J1634">
        <f>IF(OR(I1634="OK",I1634="Pas de saisie journalière ce jour-là"),E1634,0)</f>
        <v>0.0</v>
      </c>
      <c r="K1634">
        <f>IF(AND(J1634&gt;0,A1634&gt;=p_from,A1634&lt;=p_to),1,0)</f>
        <v>0.0</v>
      </c>
      <c r="L1634">
        <f>IF(AND(K1634=1,OR(pa_po="",C1634=pa_po),OR(pa_eq="",B1634=pa_eq)),1,0)</f>
        <v>0.0</v>
      </c>
    </row>
    <row r="1635">
      <c r="A1635" s="51" t="n"/>
      <c r="B1635" s="52" t="n"/>
      <c r="C1635" s="52" t="n"/>
      <c r="D1635" s="53" t="n"/>
      <c r="E1635" s="60" t="n"/>
      <c r="F1635" s="53" t="n"/>
      <c r="G1635" s="61" t="str">
        <f>IF(OR(COUNTA(A1635:E1635)=0,D1635=""),"",IFERROR(INDEX(ca_fam,MATCH(D1635,ca_name,0))&amp;"",""))</f>
        <v/>
      </c>
      <c r="H1635" s="58" t="str">
        <f>IF(OR(COUNTA(A1635:E1635)=0,D1635=""),"",IFERROR(INDEX(ca_type,MATCH(D1635,ca_name,0))&amp;"",""))</f>
        <v/>
      </c>
      <c r="I1635" s="58" t="str">
        <f>IF(COUNTA(A1635:E1635)=0,"",IF(N(A1635)&lt;=0,"Date manquante ou invalide",IF(B1635="","Équipe manquante",IF(ISNA(MATCH(B1635,eq_code,0)),"Équipe inconnue",IF(C1635="","Poste manquant",IF(ISNA(MATCH(C1635,po_code,0)),"Poste inconnu",IF(D1635="","Cause manquante",IF(ISNA(MATCH(D1635,ca_name,0)),"Cause inconnue",IF(H1635="","Cause à compléter dans Paramètres",IF(OR(NOT(ISNUMBER(E1635)),N(E1635)&lt;=0,N(E1635)&gt;1440),"Durée invalide",IF(COUNTIFS(sj_date,A1635,sj_eq,B1635,sj_po,C1635)=0,"Pas de saisie journalière ce jour-là","OK")))))))))))</f>
        <v/>
      </c>
      <c r="J1635">
        <f>IF(OR(I1635="OK",I1635="Pas de saisie journalière ce jour-là"),E1635,0)</f>
        <v>0.0</v>
      </c>
      <c r="K1635">
        <f>IF(AND(J1635&gt;0,A1635&gt;=p_from,A1635&lt;=p_to),1,0)</f>
        <v>0.0</v>
      </c>
      <c r="L1635">
        <f>IF(AND(K1635=1,OR(pa_po="",C1635=pa_po),OR(pa_eq="",B1635=pa_eq)),1,0)</f>
        <v>0.0</v>
      </c>
    </row>
    <row r="1636">
      <c r="A1636" s="51" t="n"/>
      <c r="B1636" s="52" t="n"/>
      <c r="C1636" s="52" t="n"/>
      <c r="D1636" s="53" t="n"/>
      <c r="E1636" s="60" t="n"/>
      <c r="F1636" s="53" t="n"/>
      <c r="G1636" s="61" t="str">
        <f>IF(OR(COUNTA(A1636:E1636)=0,D1636=""),"",IFERROR(INDEX(ca_fam,MATCH(D1636,ca_name,0))&amp;"",""))</f>
        <v/>
      </c>
      <c r="H1636" s="58" t="str">
        <f>IF(OR(COUNTA(A1636:E1636)=0,D1636=""),"",IFERROR(INDEX(ca_type,MATCH(D1636,ca_name,0))&amp;"",""))</f>
        <v/>
      </c>
      <c r="I1636" s="58" t="str">
        <f>IF(COUNTA(A1636:E1636)=0,"",IF(N(A1636)&lt;=0,"Date manquante ou invalide",IF(B1636="","Équipe manquante",IF(ISNA(MATCH(B1636,eq_code,0)),"Équipe inconnue",IF(C1636="","Poste manquant",IF(ISNA(MATCH(C1636,po_code,0)),"Poste inconnu",IF(D1636="","Cause manquante",IF(ISNA(MATCH(D1636,ca_name,0)),"Cause inconnue",IF(H1636="","Cause à compléter dans Paramètres",IF(OR(NOT(ISNUMBER(E1636)),N(E1636)&lt;=0,N(E1636)&gt;1440),"Durée invalide",IF(COUNTIFS(sj_date,A1636,sj_eq,B1636,sj_po,C1636)=0,"Pas de saisie journalière ce jour-là","OK")))))))))))</f>
        <v/>
      </c>
      <c r="J1636">
        <f>IF(OR(I1636="OK",I1636="Pas de saisie journalière ce jour-là"),E1636,0)</f>
        <v>0.0</v>
      </c>
      <c r="K1636">
        <f>IF(AND(J1636&gt;0,A1636&gt;=p_from,A1636&lt;=p_to),1,0)</f>
        <v>0.0</v>
      </c>
      <c r="L1636">
        <f>IF(AND(K1636=1,OR(pa_po="",C1636=pa_po),OR(pa_eq="",B1636=pa_eq)),1,0)</f>
        <v>0.0</v>
      </c>
    </row>
    <row r="1637">
      <c r="A1637" s="51" t="n"/>
      <c r="B1637" s="52" t="n"/>
      <c r="C1637" s="52" t="n"/>
      <c r="D1637" s="53" t="n"/>
      <c r="E1637" s="60" t="n"/>
      <c r="F1637" s="53" t="n"/>
      <c r="G1637" s="61" t="str">
        <f>IF(OR(COUNTA(A1637:E1637)=0,D1637=""),"",IFERROR(INDEX(ca_fam,MATCH(D1637,ca_name,0))&amp;"",""))</f>
        <v/>
      </c>
      <c r="H1637" s="58" t="str">
        <f>IF(OR(COUNTA(A1637:E1637)=0,D1637=""),"",IFERROR(INDEX(ca_type,MATCH(D1637,ca_name,0))&amp;"",""))</f>
        <v/>
      </c>
      <c r="I1637" s="58" t="str">
        <f>IF(COUNTA(A1637:E1637)=0,"",IF(N(A1637)&lt;=0,"Date manquante ou invalide",IF(B1637="","Équipe manquante",IF(ISNA(MATCH(B1637,eq_code,0)),"Équipe inconnue",IF(C1637="","Poste manquant",IF(ISNA(MATCH(C1637,po_code,0)),"Poste inconnu",IF(D1637="","Cause manquante",IF(ISNA(MATCH(D1637,ca_name,0)),"Cause inconnue",IF(H1637="","Cause à compléter dans Paramètres",IF(OR(NOT(ISNUMBER(E1637)),N(E1637)&lt;=0,N(E1637)&gt;1440),"Durée invalide",IF(COUNTIFS(sj_date,A1637,sj_eq,B1637,sj_po,C1637)=0,"Pas de saisie journalière ce jour-là","OK")))))))))))</f>
        <v/>
      </c>
      <c r="J1637">
        <f>IF(OR(I1637="OK",I1637="Pas de saisie journalière ce jour-là"),E1637,0)</f>
        <v>0.0</v>
      </c>
      <c r="K1637">
        <f>IF(AND(J1637&gt;0,A1637&gt;=p_from,A1637&lt;=p_to),1,0)</f>
        <v>0.0</v>
      </c>
      <c r="L1637">
        <f>IF(AND(K1637=1,OR(pa_po="",C1637=pa_po),OR(pa_eq="",B1637=pa_eq)),1,0)</f>
        <v>0.0</v>
      </c>
    </row>
    <row r="1638">
      <c r="A1638" s="51" t="n"/>
      <c r="B1638" s="52" t="n"/>
      <c r="C1638" s="52" t="n"/>
      <c r="D1638" s="53" t="n"/>
      <c r="E1638" s="60" t="n"/>
      <c r="F1638" s="53" t="n"/>
      <c r="G1638" s="61" t="str">
        <f>IF(OR(COUNTA(A1638:E1638)=0,D1638=""),"",IFERROR(INDEX(ca_fam,MATCH(D1638,ca_name,0))&amp;"",""))</f>
        <v/>
      </c>
      <c r="H1638" s="58" t="str">
        <f>IF(OR(COUNTA(A1638:E1638)=0,D1638=""),"",IFERROR(INDEX(ca_type,MATCH(D1638,ca_name,0))&amp;"",""))</f>
        <v/>
      </c>
      <c r="I1638" s="58" t="str">
        <f>IF(COUNTA(A1638:E1638)=0,"",IF(N(A1638)&lt;=0,"Date manquante ou invalide",IF(B1638="","Équipe manquante",IF(ISNA(MATCH(B1638,eq_code,0)),"Équipe inconnue",IF(C1638="","Poste manquant",IF(ISNA(MATCH(C1638,po_code,0)),"Poste inconnu",IF(D1638="","Cause manquante",IF(ISNA(MATCH(D1638,ca_name,0)),"Cause inconnue",IF(H1638="","Cause à compléter dans Paramètres",IF(OR(NOT(ISNUMBER(E1638)),N(E1638)&lt;=0,N(E1638)&gt;1440),"Durée invalide",IF(COUNTIFS(sj_date,A1638,sj_eq,B1638,sj_po,C1638)=0,"Pas de saisie journalière ce jour-là","OK")))))))))))</f>
        <v/>
      </c>
      <c r="J1638">
        <f>IF(OR(I1638="OK",I1638="Pas de saisie journalière ce jour-là"),E1638,0)</f>
        <v>0.0</v>
      </c>
      <c r="K1638">
        <f>IF(AND(J1638&gt;0,A1638&gt;=p_from,A1638&lt;=p_to),1,0)</f>
        <v>0.0</v>
      </c>
      <c r="L1638">
        <f>IF(AND(K1638=1,OR(pa_po="",C1638=pa_po),OR(pa_eq="",B1638=pa_eq)),1,0)</f>
        <v>0.0</v>
      </c>
    </row>
    <row r="1639">
      <c r="A1639" s="51" t="n"/>
      <c r="B1639" s="52" t="n"/>
      <c r="C1639" s="52" t="n"/>
      <c r="D1639" s="53" t="n"/>
      <c r="E1639" s="60" t="n"/>
      <c r="F1639" s="53" t="n"/>
      <c r="G1639" s="61" t="str">
        <f>IF(OR(COUNTA(A1639:E1639)=0,D1639=""),"",IFERROR(INDEX(ca_fam,MATCH(D1639,ca_name,0))&amp;"",""))</f>
        <v/>
      </c>
      <c r="H1639" s="58" t="str">
        <f>IF(OR(COUNTA(A1639:E1639)=0,D1639=""),"",IFERROR(INDEX(ca_type,MATCH(D1639,ca_name,0))&amp;"",""))</f>
        <v/>
      </c>
      <c r="I1639" s="58" t="str">
        <f>IF(COUNTA(A1639:E1639)=0,"",IF(N(A1639)&lt;=0,"Date manquante ou invalide",IF(B1639="","Équipe manquante",IF(ISNA(MATCH(B1639,eq_code,0)),"Équipe inconnue",IF(C1639="","Poste manquant",IF(ISNA(MATCH(C1639,po_code,0)),"Poste inconnu",IF(D1639="","Cause manquante",IF(ISNA(MATCH(D1639,ca_name,0)),"Cause inconnue",IF(H1639="","Cause à compléter dans Paramètres",IF(OR(NOT(ISNUMBER(E1639)),N(E1639)&lt;=0,N(E1639)&gt;1440),"Durée invalide",IF(COUNTIFS(sj_date,A1639,sj_eq,B1639,sj_po,C1639)=0,"Pas de saisie journalière ce jour-là","OK")))))))))))</f>
        <v/>
      </c>
      <c r="J1639">
        <f>IF(OR(I1639="OK",I1639="Pas de saisie journalière ce jour-là"),E1639,0)</f>
        <v>0.0</v>
      </c>
      <c r="K1639">
        <f>IF(AND(J1639&gt;0,A1639&gt;=p_from,A1639&lt;=p_to),1,0)</f>
        <v>0.0</v>
      </c>
      <c r="L1639">
        <f>IF(AND(K1639=1,OR(pa_po="",C1639=pa_po),OR(pa_eq="",B1639=pa_eq)),1,0)</f>
        <v>0.0</v>
      </c>
    </row>
    <row r="1640">
      <c r="A1640" s="51" t="n"/>
      <c r="B1640" s="52" t="n"/>
      <c r="C1640" s="52" t="n"/>
      <c r="D1640" s="53" t="n"/>
      <c r="E1640" s="60" t="n"/>
      <c r="F1640" s="53" t="n"/>
      <c r="G1640" s="61" t="str">
        <f>IF(OR(COUNTA(A1640:E1640)=0,D1640=""),"",IFERROR(INDEX(ca_fam,MATCH(D1640,ca_name,0))&amp;"",""))</f>
        <v/>
      </c>
      <c r="H1640" s="58" t="str">
        <f>IF(OR(COUNTA(A1640:E1640)=0,D1640=""),"",IFERROR(INDEX(ca_type,MATCH(D1640,ca_name,0))&amp;"",""))</f>
        <v/>
      </c>
      <c r="I1640" s="58" t="str">
        <f>IF(COUNTA(A1640:E1640)=0,"",IF(N(A1640)&lt;=0,"Date manquante ou invalide",IF(B1640="","Équipe manquante",IF(ISNA(MATCH(B1640,eq_code,0)),"Équipe inconnue",IF(C1640="","Poste manquant",IF(ISNA(MATCH(C1640,po_code,0)),"Poste inconnu",IF(D1640="","Cause manquante",IF(ISNA(MATCH(D1640,ca_name,0)),"Cause inconnue",IF(H1640="","Cause à compléter dans Paramètres",IF(OR(NOT(ISNUMBER(E1640)),N(E1640)&lt;=0,N(E1640)&gt;1440),"Durée invalide",IF(COUNTIFS(sj_date,A1640,sj_eq,B1640,sj_po,C1640)=0,"Pas de saisie journalière ce jour-là","OK")))))))))))</f>
        <v/>
      </c>
      <c r="J1640">
        <f>IF(OR(I1640="OK",I1640="Pas de saisie journalière ce jour-là"),E1640,0)</f>
        <v>0.0</v>
      </c>
      <c r="K1640">
        <f>IF(AND(J1640&gt;0,A1640&gt;=p_from,A1640&lt;=p_to),1,0)</f>
        <v>0.0</v>
      </c>
      <c r="L1640">
        <f>IF(AND(K1640=1,OR(pa_po="",C1640=pa_po),OR(pa_eq="",B1640=pa_eq)),1,0)</f>
        <v>0.0</v>
      </c>
    </row>
    <row r="1641">
      <c r="A1641" s="51" t="n"/>
      <c r="B1641" s="52" t="n"/>
      <c r="C1641" s="52" t="n"/>
      <c r="D1641" s="53" t="n"/>
      <c r="E1641" s="60" t="n"/>
      <c r="F1641" s="53" t="n"/>
      <c r="G1641" s="61" t="str">
        <f>IF(OR(COUNTA(A1641:E1641)=0,D1641=""),"",IFERROR(INDEX(ca_fam,MATCH(D1641,ca_name,0))&amp;"",""))</f>
        <v/>
      </c>
      <c r="H1641" s="58" t="str">
        <f>IF(OR(COUNTA(A1641:E1641)=0,D1641=""),"",IFERROR(INDEX(ca_type,MATCH(D1641,ca_name,0))&amp;"",""))</f>
        <v/>
      </c>
      <c r="I1641" s="58" t="str">
        <f>IF(COUNTA(A1641:E1641)=0,"",IF(N(A1641)&lt;=0,"Date manquante ou invalide",IF(B1641="","Équipe manquante",IF(ISNA(MATCH(B1641,eq_code,0)),"Équipe inconnue",IF(C1641="","Poste manquant",IF(ISNA(MATCH(C1641,po_code,0)),"Poste inconnu",IF(D1641="","Cause manquante",IF(ISNA(MATCH(D1641,ca_name,0)),"Cause inconnue",IF(H1641="","Cause à compléter dans Paramètres",IF(OR(NOT(ISNUMBER(E1641)),N(E1641)&lt;=0,N(E1641)&gt;1440),"Durée invalide",IF(COUNTIFS(sj_date,A1641,sj_eq,B1641,sj_po,C1641)=0,"Pas de saisie journalière ce jour-là","OK")))))))))))</f>
        <v/>
      </c>
      <c r="J1641">
        <f>IF(OR(I1641="OK",I1641="Pas de saisie journalière ce jour-là"),E1641,0)</f>
        <v>0.0</v>
      </c>
      <c r="K1641">
        <f>IF(AND(J1641&gt;0,A1641&gt;=p_from,A1641&lt;=p_to),1,0)</f>
        <v>0.0</v>
      </c>
      <c r="L1641">
        <f>IF(AND(K1641=1,OR(pa_po="",C1641=pa_po),OR(pa_eq="",B1641=pa_eq)),1,0)</f>
        <v>0.0</v>
      </c>
    </row>
    <row r="1642">
      <c r="A1642" s="51" t="n"/>
      <c r="B1642" s="52" t="n"/>
      <c r="C1642" s="52" t="n"/>
      <c r="D1642" s="53" t="n"/>
      <c r="E1642" s="60" t="n"/>
      <c r="F1642" s="53" t="n"/>
      <c r="G1642" s="61" t="str">
        <f>IF(OR(COUNTA(A1642:E1642)=0,D1642=""),"",IFERROR(INDEX(ca_fam,MATCH(D1642,ca_name,0))&amp;"",""))</f>
        <v/>
      </c>
      <c r="H1642" s="58" t="str">
        <f>IF(OR(COUNTA(A1642:E1642)=0,D1642=""),"",IFERROR(INDEX(ca_type,MATCH(D1642,ca_name,0))&amp;"",""))</f>
        <v/>
      </c>
      <c r="I1642" s="58" t="str">
        <f>IF(COUNTA(A1642:E1642)=0,"",IF(N(A1642)&lt;=0,"Date manquante ou invalide",IF(B1642="","Équipe manquante",IF(ISNA(MATCH(B1642,eq_code,0)),"Équipe inconnue",IF(C1642="","Poste manquant",IF(ISNA(MATCH(C1642,po_code,0)),"Poste inconnu",IF(D1642="","Cause manquante",IF(ISNA(MATCH(D1642,ca_name,0)),"Cause inconnue",IF(H1642="","Cause à compléter dans Paramètres",IF(OR(NOT(ISNUMBER(E1642)),N(E1642)&lt;=0,N(E1642)&gt;1440),"Durée invalide",IF(COUNTIFS(sj_date,A1642,sj_eq,B1642,sj_po,C1642)=0,"Pas de saisie journalière ce jour-là","OK")))))))))))</f>
        <v/>
      </c>
      <c r="J1642">
        <f>IF(OR(I1642="OK",I1642="Pas de saisie journalière ce jour-là"),E1642,0)</f>
        <v>0.0</v>
      </c>
      <c r="K1642">
        <f>IF(AND(J1642&gt;0,A1642&gt;=p_from,A1642&lt;=p_to),1,0)</f>
        <v>0.0</v>
      </c>
      <c r="L1642">
        <f>IF(AND(K1642=1,OR(pa_po="",C1642=pa_po),OR(pa_eq="",B1642=pa_eq)),1,0)</f>
        <v>0.0</v>
      </c>
    </row>
    <row r="1643">
      <c r="A1643" s="51" t="n"/>
      <c r="B1643" s="52" t="n"/>
      <c r="C1643" s="52" t="n"/>
      <c r="D1643" s="53" t="n"/>
      <c r="E1643" s="60" t="n"/>
      <c r="F1643" s="53" t="n"/>
      <c r="G1643" s="61" t="str">
        <f>IF(OR(COUNTA(A1643:E1643)=0,D1643=""),"",IFERROR(INDEX(ca_fam,MATCH(D1643,ca_name,0))&amp;"",""))</f>
        <v/>
      </c>
      <c r="H1643" s="58" t="str">
        <f>IF(OR(COUNTA(A1643:E1643)=0,D1643=""),"",IFERROR(INDEX(ca_type,MATCH(D1643,ca_name,0))&amp;"",""))</f>
        <v/>
      </c>
      <c r="I1643" s="58" t="str">
        <f>IF(COUNTA(A1643:E1643)=0,"",IF(N(A1643)&lt;=0,"Date manquante ou invalide",IF(B1643="","Équipe manquante",IF(ISNA(MATCH(B1643,eq_code,0)),"Équipe inconnue",IF(C1643="","Poste manquant",IF(ISNA(MATCH(C1643,po_code,0)),"Poste inconnu",IF(D1643="","Cause manquante",IF(ISNA(MATCH(D1643,ca_name,0)),"Cause inconnue",IF(H1643="","Cause à compléter dans Paramètres",IF(OR(NOT(ISNUMBER(E1643)),N(E1643)&lt;=0,N(E1643)&gt;1440),"Durée invalide",IF(COUNTIFS(sj_date,A1643,sj_eq,B1643,sj_po,C1643)=0,"Pas de saisie journalière ce jour-là","OK")))))))))))</f>
        <v/>
      </c>
      <c r="J1643">
        <f>IF(OR(I1643="OK",I1643="Pas de saisie journalière ce jour-là"),E1643,0)</f>
        <v>0.0</v>
      </c>
      <c r="K1643">
        <f>IF(AND(J1643&gt;0,A1643&gt;=p_from,A1643&lt;=p_to),1,0)</f>
        <v>0.0</v>
      </c>
      <c r="L1643">
        <f>IF(AND(K1643=1,OR(pa_po="",C1643=pa_po),OR(pa_eq="",B1643=pa_eq)),1,0)</f>
        <v>0.0</v>
      </c>
    </row>
    <row r="1644">
      <c r="A1644" s="51" t="n"/>
      <c r="B1644" s="52" t="n"/>
      <c r="C1644" s="52" t="n"/>
      <c r="D1644" s="53" t="n"/>
      <c r="E1644" s="60" t="n"/>
      <c r="F1644" s="53" t="n"/>
      <c r="G1644" s="61" t="str">
        <f>IF(OR(COUNTA(A1644:E1644)=0,D1644=""),"",IFERROR(INDEX(ca_fam,MATCH(D1644,ca_name,0))&amp;"",""))</f>
        <v/>
      </c>
      <c r="H1644" s="58" t="str">
        <f>IF(OR(COUNTA(A1644:E1644)=0,D1644=""),"",IFERROR(INDEX(ca_type,MATCH(D1644,ca_name,0))&amp;"",""))</f>
        <v/>
      </c>
      <c r="I1644" s="58" t="str">
        <f>IF(COUNTA(A1644:E1644)=0,"",IF(N(A1644)&lt;=0,"Date manquante ou invalide",IF(B1644="","Équipe manquante",IF(ISNA(MATCH(B1644,eq_code,0)),"Équipe inconnue",IF(C1644="","Poste manquant",IF(ISNA(MATCH(C1644,po_code,0)),"Poste inconnu",IF(D1644="","Cause manquante",IF(ISNA(MATCH(D1644,ca_name,0)),"Cause inconnue",IF(H1644="","Cause à compléter dans Paramètres",IF(OR(NOT(ISNUMBER(E1644)),N(E1644)&lt;=0,N(E1644)&gt;1440),"Durée invalide",IF(COUNTIFS(sj_date,A1644,sj_eq,B1644,sj_po,C1644)=0,"Pas de saisie journalière ce jour-là","OK")))))))))))</f>
        <v/>
      </c>
      <c r="J1644">
        <f>IF(OR(I1644="OK",I1644="Pas de saisie journalière ce jour-là"),E1644,0)</f>
        <v>0.0</v>
      </c>
      <c r="K1644">
        <f>IF(AND(J1644&gt;0,A1644&gt;=p_from,A1644&lt;=p_to),1,0)</f>
        <v>0.0</v>
      </c>
      <c r="L1644">
        <f>IF(AND(K1644=1,OR(pa_po="",C1644=pa_po),OR(pa_eq="",B1644=pa_eq)),1,0)</f>
        <v>0.0</v>
      </c>
    </row>
    <row r="1645">
      <c r="A1645" s="51" t="n"/>
      <c r="B1645" s="52" t="n"/>
      <c r="C1645" s="52" t="n"/>
      <c r="D1645" s="53" t="n"/>
      <c r="E1645" s="60" t="n"/>
      <c r="F1645" s="53" t="n"/>
      <c r="G1645" s="61" t="str">
        <f>IF(OR(COUNTA(A1645:E1645)=0,D1645=""),"",IFERROR(INDEX(ca_fam,MATCH(D1645,ca_name,0))&amp;"",""))</f>
        <v/>
      </c>
      <c r="H1645" s="58" t="str">
        <f>IF(OR(COUNTA(A1645:E1645)=0,D1645=""),"",IFERROR(INDEX(ca_type,MATCH(D1645,ca_name,0))&amp;"",""))</f>
        <v/>
      </c>
      <c r="I1645" s="58" t="str">
        <f>IF(COUNTA(A1645:E1645)=0,"",IF(N(A1645)&lt;=0,"Date manquante ou invalide",IF(B1645="","Équipe manquante",IF(ISNA(MATCH(B1645,eq_code,0)),"Équipe inconnue",IF(C1645="","Poste manquant",IF(ISNA(MATCH(C1645,po_code,0)),"Poste inconnu",IF(D1645="","Cause manquante",IF(ISNA(MATCH(D1645,ca_name,0)),"Cause inconnue",IF(H1645="","Cause à compléter dans Paramètres",IF(OR(NOT(ISNUMBER(E1645)),N(E1645)&lt;=0,N(E1645)&gt;1440),"Durée invalide",IF(COUNTIFS(sj_date,A1645,sj_eq,B1645,sj_po,C1645)=0,"Pas de saisie journalière ce jour-là","OK")))))))))))</f>
        <v/>
      </c>
      <c r="J1645">
        <f>IF(OR(I1645="OK",I1645="Pas de saisie journalière ce jour-là"),E1645,0)</f>
        <v>0.0</v>
      </c>
      <c r="K1645">
        <f>IF(AND(J1645&gt;0,A1645&gt;=p_from,A1645&lt;=p_to),1,0)</f>
        <v>0.0</v>
      </c>
      <c r="L1645">
        <f>IF(AND(K1645=1,OR(pa_po="",C1645=pa_po),OR(pa_eq="",B1645=pa_eq)),1,0)</f>
        <v>0.0</v>
      </c>
    </row>
    <row r="1646">
      <c r="A1646" s="51" t="n"/>
      <c r="B1646" s="52" t="n"/>
      <c r="C1646" s="52" t="n"/>
      <c r="D1646" s="53" t="n"/>
      <c r="E1646" s="60" t="n"/>
      <c r="F1646" s="53" t="n"/>
      <c r="G1646" s="61" t="str">
        <f>IF(OR(COUNTA(A1646:E1646)=0,D1646=""),"",IFERROR(INDEX(ca_fam,MATCH(D1646,ca_name,0))&amp;"",""))</f>
        <v/>
      </c>
      <c r="H1646" s="58" t="str">
        <f>IF(OR(COUNTA(A1646:E1646)=0,D1646=""),"",IFERROR(INDEX(ca_type,MATCH(D1646,ca_name,0))&amp;"",""))</f>
        <v/>
      </c>
      <c r="I1646" s="58" t="str">
        <f>IF(COUNTA(A1646:E1646)=0,"",IF(N(A1646)&lt;=0,"Date manquante ou invalide",IF(B1646="","Équipe manquante",IF(ISNA(MATCH(B1646,eq_code,0)),"Équipe inconnue",IF(C1646="","Poste manquant",IF(ISNA(MATCH(C1646,po_code,0)),"Poste inconnu",IF(D1646="","Cause manquante",IF(ISNA(MATCH(D1646,ca_name,0)),"Cause inconnue",IF(H1646="","Cause à compléter dans Paramètres",IF(OR(NOT(ISNUMBER(E1646)),N(E1646)&lt;=0,N(E1646)&gt;1440),"Durée invalide",IF(COUNTIFS(sj_date,A1646,sj_eq,B1646,sj_po,C1646)=0,"Pas de saisie journalière ce jour-là","OK")))))))))))</f>
        <v/>
      </c>
      <c r="J1646">
        <f>IF(OR(I1646="OK",I1646="Pas de saisie journalière ce jour-là"),E1646,0)</f>
        <v>0.0</v>
      </c>
      <c r="K1646">
        <f>IF(AND(J1646&gt;0,A1646&gt;=p_from,A1646&lt;=p_to),1,0)</f>
        <v>0.0</v>
      </c>
      <c r="L1646">
        <f>IF(AND(K1646=1,OR(pa_po="",C1646=pa_po),OR(pa_eq="",B1646=pa_eq)),1,0)</f>
        <v>0.0</v>
      </c>
    </row>
    <row r="1647">
      <c r="A1647" s="51" t="n"/>
      <c r="B1647" s="52" t="n"/>
      <c r="C1647" s="52" t="n"/>
      <c r="D1647" s="53" t="n"/>
      <c r="E1647" s="60" t="n"/>
      <c r="F1647" s="53" t="n"/>
      <c r="G1647" s="61" t="str">
        <f>IF(OR(COUNTA(A1647:E1647)=0,D1647=""),"",IFERROR(INDEX(ca_fam,MATCH(D1647,ca_name,0))&amp;"",""))</f>
        <v/>
      </c>
      <c r="H1647" s="58" t="str">
        <f>IF(OR(COUNTA(A1647:E1647)=0,D1647=""),"",IFERROR(INDEX(ca_type,MATCH(D1647,ca_name,0))&amp;"",""))</f>
        <v/>
      </c>
      <c r="I1647" s="58" t="str">
        <f>IF(COUNTA(A1647:E1647)=0,"",IF(N(A1647)&lt;=0,"Date manquante ou invalide",IF(B1647="","Équipe manquante",IF(ISNA(MATCH(B1647,eq_code,0)),"Équipe inconnue",IF(C1647="","Poste manquant",IF(ISNA(MATCH(C1647,po_code,0)),"Poste inconnu",IF(D1647="","Cause manquante",IF(ISNA(MATCH(D1647,ca_name,0)),"Cause inconnue",IF(H1647="","Cause à compléter dans Paramètres",IF(OR(NOT(ISNUMBER(E1647)),N(E1647)&lt;=0,N(E1647)&gt;1440),"Durée invalide",IF(COUNTIFS(sj_date,A1647,sj_eq,B1647,sj_po,C1647)=0,"Pas de saisie journalière ce jour-là","OK")))))))))))</f>
        <v/>
      </c>
      <c r="J1647">
        <f>IF(OR(I1647="OK",I1647="Pas de saisie journalière ce jour-là"),E1647,0)</f>
        <v>0.0</v>
      </c>
      <c r="K1647">
        <f>IF(AND(J1647&gt;0,A1647&gt;=p_from,A1647&lt;=p_to),1,0)</f>
        <v>0.0</v>
      </c>
      <c r="L1647">
        <f>IF(AND(K1647=1,OR(pa_po="",C1647=pa_po),OR(pa_eq="",B1647=pa_eq)),1,0)</f>
        <v>0.0</v>
      </c>
    </row>
    <row r="1648">
      <c r="A1648" s="51" t="n"/>
      <c r="B1648" s="52" t="n"/>
      <c r="C1648" s="52" t="n"/>
      <c r="D1648" s="53" t="n"/>
      <c r="E1648" s="60" t="n"/>
      <c r="F1648" s="53" t="n"/>
      <c r="G1648" s="61" t="str">
        <f>IF(OR(COUNTA(A1648:E1648)=0,D1648=""),"",IFERROR(INDEX(ca_fam,MATCH(D1648,ca_name,0))&amp;"",""))</f>
        <v/>
      </c>
      <c r="H1648" s="58" t="str">
        <f>IF(OR(COUNTA(A1648:E1648)=0,D1648=""),"",IFERROR(INDEX(ca_type,MATCH(D1648,ca_name,0))&amp;"",""))</f>
        <v/>
      </c>
      <c r="I1648" s="58" t="str">
        <f>IF(COUNTA(A1648:E1648)=0,"",IF(N(A1648)&lt;=0,"Date manquante ou invalide",IF(B1648="","Équipe manquante",IF(ISNA(MATCH(B1648,eq_code,0)),"Équipe inconnue",IF(C1648="","Poste manquant",IF(ISNA(MATCH(C1648,po_code,0)),"Poste inconnu",IF(D1648="","Cause manquante",IF(ISNA(MATCH(D1648,ca_name,0)),"Cause inconnue",IF(H1648="","Cause à compléter dans Paramètres",IF(OR(NOT(ISNUMBER(E1648)),N(E1648)&lt;=0,N(E1648)&gt;1440),"Durée invalide",IF(COUNTIFS(sj_date,A1648,sj_eq,B1648,sj_po,C1648)=0,"Pas de saisie journalière ce jour-là","OK")))))))))))</f>
        <v/>
      </c>
      <c r="J1648">
        <f>IF(OR(I1648="OK",I1648="Pas de saisie journalière ce jour-là"),E1648,0)</f>
        <v>0.0</v>
      </c>
      <c r="K1648">
        <f>IF(AND(J1648&gt;0,A1648&gt;=p_from,A1648&lt;=p_to),1,0)</f>
        <v>0.0</v>
      </c>
      <c r="L1648">
        <f>IF(AND(K1648=1,OR(pa_po="",C1648=pa_po),OR(pa_eq="",B1648=pa_eq)),1,0)</f>
        <v>0.0</v>
      </c>
    </row>
    <row r="1649">
      <c r="A1649" s="51" t="n"/>
      <c r="B1649" s="52" t="n"/>
      <c r="C1649" s="52" t="n"/>
      <c r="D1649" s="53" t="n"/>
      <c r="E1649" s="60" t="n"/>
      <c r="F1649" s="53" t="n"/>
      <c r="G1649" s="61" t="str">
        <f>IF(OR(COUNTA(A1649:E1649)=0,D1649=""),"",IFERROR(INDEX(ca_fam,MATCH(D1649,ca_name,0))&amp;"",""))</f>
        <v/>
      </c>
      <c r="H1649" s="58" t="str">
        <f>IF(OR(COUNTA(A1649:E1649)=0,D1649=""),"",IFERROR(INDEX(ca_type,MATCH(D1649,ca_name,0))&amp;"",""))</f>
        <v/>
      </c>
      <c r="I1649" s="58" t="str">
        <f>IF(COUNTA(A1649:E1649)=0,"",IF(N(A1649)&lt;=0,"Date manquante ou invalide",IF(B1649="","Équipe manquante",IF(ISNA(MATCH(B1649,eq_code,0)),"Équipe inconnue",IF(C1649="","Poste manquant",IF(ISNA(MATCH(C1649,po_code,0)),"Poste inconnu",IF(D1649="","Cause manquante",IF(ISNA(MATCH(D1649,ca_name,0)),"Cause inconnue",IF(H1649="","Cause à compléter dans Paramètres",IF(OR(NOT(ISNUMBER(E1649)),N(E1649)&lt;=0,N(E1649)&gt;1440),"Durée invalide",IF(COUNTIFS(sj_date,A1649,sj_eq,B1649,sj_po,C1649)=0,"Pas de saisie journalière ce jour-là","OK")))))))))))</f>
        <v/>
      </c>
      <c r="J1649">
        <f>IF(OR(I1649="OK",I1649="Pas de saisie journalière ce jour-là"),E1649,0)</f>
        <v>0.0</v>
      </c>
      <c r="K1649">
        <f>IF(AND(J1649&gt;0,A1649&gt;=p_from,A1649&lt;=p_to),1,0)</f>
        <v>0.0</v>
      </c>
      <c r="L1649">
        <f>IF(AND(K1649=1,OR(pa_po="",C1649=pa_po),OR(pa_eq="",B1649=pa_eq)),1,0)</f>
        <v>0.0</v>
      </c>
    </row>
    <row r="1650">
      <c r="A1650" s="51" t="n"/>
      <c r="B1650" s="52" t="n"/>
      <c r="C1650" s="52" t="n"/>
      <c r="D1650" s="53" t="n"/>
      <c r="E1650" s="60" t="n"/>
      <c r="F1650" s="53" t="n"/>
      <c r="G1650" s="61" t="str">
        <f>IF(OR(COUNTA(A1650:E1650)=0,D1650=""),"",IFERROR(INDEX(ca_fam,MATCH(D1650,ca_name,0))&amp;"",""))</f>
        <v/>
      </c>
      <c r="H1650" s="58" t="str">
        <f>IF(OR(COUNTA(A1650:E1650)=0,D1650=""),"",IFERROR(INDEX(ca_type,MATCH(D1650,ca_name,0))&amp;"",""))</f>
        <v/>
      </c>
      <c r="I1650" s="58" t="str">
        <f>IF(COUNTA(A1650:E1650)=0,"",IF(N(A1650)&lt;=0,"Date manquante ou invalide",IF(B1650="","Équipe manquante",IF(ISNA(MATCH(B1650,eq_code,0)),"Équipe inconnue",IF(C1650="","Poste manquant",IF(ISNA(MATCH(C1650,po_code,0)),"Poste inconnu",IF(D1650="","Cause manquante",IF(ISNA(MATCH(D1650,ca_name,0)),"Cause inconnue",IF(H1650="","Cause à compléter dans Paramètres",IF(OR(NOT(ISNUMBER(E1650)),N(E1650)&lt;=0,N(E1650)&gt;1440),"Durée invalide",IF(COUNTIFS(sj_date,A1650,sj_eq,B1650,sj_po,C1650)=0,"Pas de saisie journalière ce jour-là","OK")))))))))))</f>
        <v/>
      </c>
      <c r="J1650">
        <f>IF(OR(I1650="OK",I1650="Pas de saisie journalière ce jour-là"),E1650,0)</f>
        <v>0.0</v>
      </c>
      <c r="K1650">
        <f>IF(AND(J1650&gt;0,A1650&gt;=p_from,A1650&lt;=p_to),1,0)</f>
        <v>0.0</v>
      </c>
      <c r="L1650">
        <f>IF(AND(K1650=1,OR(pa_po="",C1650=pa_po),OR(pa_eq="",B1650=pa_eq)),1,0)</f>
        <v>0.0</v>
      </c>
    </row>
    <row r="1651">
      <c r="A1651" s="51" t="n"/>
      <c r="B1651" s="52" t="n"/>
      <c r="C1651" s="52" t="n"/>
      <c r="D1651" s="53" t="n"/>
      <c r="E1651" s="60" t="n"/>
      <c r="F1651" s="53" t="n"/>
      <c r="G1651" s="61" t="str">
        <f>IF(OR(COUNTA(A1651:E1651)=0,D1651=""),"",IFERROR(INDEX(ca_fam,MATCH(D1651,ca_name,0))&amp;"",""))</f>
        <v/>
      </c>
      <c r="H1651" s="58" t="str">
        <f>IF(OR(COUNTA(A1651:E1651)=0,D1651=""),"",IFERROR(INDEX(ca_type,MATCH(D1651,ca_name,0))&amp;"",""))</f>
        <v/>
      </c>
      <c r="I1651" s="58" t="str">
        <f>IF(COUNTA(A1651:E1651)=0,"",IF(N(A1651)&lt;=0,"Date manquante ou invalide",IF(B1651="","Équipe manquante",IF(ISNA(MATCH(B1651,eq_code,0)),"Équipe inconnue",IF(C1651="","Poste manquant",IF(ISNA(MATCH(C1651,po_code,0)),"Poste inconnu",IF(D1651="","Cause manquante",IF(ISNA(MATCH(D1651,ca_name,0)),"Cause inconnue",IF(H1651="","Cause à compléter dans Paramètres",IF(OR(NOT(ISNUMBER(E1651)),N(E1651)&lt;=0,N(E1651)&gt;1440),"Durée invalide",IF(COUNTIFS(sj_date,A1651,sj_eq,B1651,sj_po,C1651)=0,"Pas de saisie journalière ce jour-là","OK")))))))))))</f>
        <v/>
      </c>
      <c r="J1651">
        <f>IF(OR(I1651="OK",I1651="Pas de saisie journalière ce jour-là"),E1651,0)</f>
        <v>0.0</v>
      </c>
      <c r="K1651">
        <f>IF(AND(J1651&gt;0,A1651&gt;=p_from,A1651&lt;=p_to),1,0)</f>
        <v>0.0</v>
      </c>
      <c r="L1651">
        <f>IF(AND(K1651=1,OR(pa_po="",C1651=pa_po),OR(pa_eq="",B1651=pa_eq)),1,0)</f>
        <v>0.0</v>
      </c>
    </row>
    <row r="1652">
      <c r="A1652" s="51" t="n"/>
      <c r="B1652" s="52" t="n"/>
      <c r="C1652" s="52" t="n"/>
      <c r="D1652" s="53" t="n"/>
      <c r="E1652" s="60" t="n"/>
      <c r="F1652" s="53" t="n"/>
      <c r="G1652" s="61" t="str">
        <f>IF(OR(COUNTA(A1652:E1652)=0,D1652=""),"",IFERROR(INDEX(ca_fam,MATCH(D1652,ca_name,0))&amp;"",""))</f>
        <v/>
      </c>
      <c r="H1652" s="58" t="str">
        <f>IF(OR(COUNTA(A1652:E1652)=0,D1652=""),"",IFERROR(INDEX(ca_type,MATCH(D1652,ca_name,0))&amp;"",""))</f>
        <v/>
      </c>
      <c r="I1652" s="58" t="str">
        <f>IF(COUNTA(A1652:E1652)=0,"",IF(N(A1652)&lt;=0,"Date manquante ou invalide",IF(B1652="","Équipe manquante",IF(ISNA(MATCH(B1652,eq_code,0)),"Équipe inconnue",IF(C1652="","Poste manquant",IF(ISNA(MATCH(C1652,po_code,0)),"Poste inconnu",IF(D1652="","Cause manquante",IF(ISNA(MATCH(D1652,ca_name,0)),"Cause inconnue",IF(H1652="","Cause à compléter dans Paramètres",IF(OR(NOT(ISNUMBER(E1652)),N(E1652)&lt;=0,N(E1652)&gt;1440),"Durée invalide",IF(COUNTIFS(sj_date,A1652,sj_eq,B1652,sj_po,C1652)=0,"Pas de saisie journalière ce jour-là","OK")))))))))))</f>
        <v/>
      </c>
      <c r="J1652">
        <f>IF(OR(I1652="OK",I1652="Pas de saisie journalière ce jour-là"),E1652,0)</f>
        <v>0.0</v>
      </c>
      <c r="K1652">
        <f>IF(AND(J1652&gt;0,A1652&gt;=p_from,A1652&lt;=p_to),1,0)</f>
        <v>0.0</v>
      </c>
      <c r="L1652">
        <f>IF(AND(K1652=1,OR(pa_po="",C1652=pa_po),OR(pa_eq="",B1652=pa_eq)),1,0)</f>
        <v>0.0</v>
      </c>
    </row>
    <row r="1653">
      <c r="A1653" s="51" t="n"/>
      <c r="B1653" s="52" t="n"/>
      <c r="C1653" s="52" t="n"/>
      <c r="D1653" s="53" t="n"/>
      <c r="E1653" s="60" t="n"/>
      <c r="F1653" s="53" t="n"/>
      <c r="G1653" s="61" t="str">
        <f>IF(OR(COUNTA(A1653:E1653)=0,D1653=""),"",IFERROR(INDEX(ca_fam,MATCH(D1653,ca_name,0))&amp;"",""))</f>
        <v/>
      </c>
      <c r="H1653" s="58" t="str">
        <f>IF(OR(COUNTA(A1653:E1653)=0,D1653=""),"",IFERROR(INDEX(ca_type,MATCH(D1653,ca_name,0))&amp;"",""))</f>
        <v/>
      </c>
      <c r="I1653" s="58" t="str">
        <f>IF(COUNTA(A1653:E1653)=0,"",IF(N(A1653)&lt;=0,"Date manquante ou invalide",IF(B1653="","Équipe manquante",IF(ISNA(MATCH(B1653,eq_code,0)),"Équipe inconnue",IF(C1653="","Poste manquant",IF(ISNA(MATCH(C1653,po_code,0)),"Poste inconnu",IF(D1653="","Cause manquante",IF(ISNA(MATCH(D1653,ca_name,0)),"Cause inconnue",IF(H1653="","Cause à compléter dans Paramètres",IF(OR(NOT(ISNUMBER(E1653)),N(E1653)&lt;=0,N(E1653)&gt;1440),"Durée invalide",IF(COUNTIFS(sj_date,A1653,sj_eq,B1653,sj_po,C1653)=0,"Pas de saisie journalière ce jour-là","OK")))))))))))</f>
        <v/>
      </c>
      <c r="J1653">
        <f>IF(OR(I1653="OK",I1653="Pas de saisie journalière ce jour-là"),E1653,0)</f>
        <v>0.0</v>
      </c>
      <c r="K1653">
        <f>IF(AND(J1653&gt;0,A1653&gt;=p_from,A1653&lt;=p_to),1,0)</f>
        <v>0.0</v>
      </c>
      <c r="L1653">
        <f>IF(AND(K1653=1,OR(pa_po="",C1653=pa_po),OR(pa_eq="",B1653=pa_eq)),1,0)</f>
        <v>0.0</v>
      </c>
    </row>
    <row r="1654">
      <c r="A1654" s="51" t="n"/>
      <c r="B1654" s="52" t="n"/>
      <c r="C1654" s="52" t="n"/>
      <c r="D1654" s="53" t="n"/>
      <c r="E1654" s="60" t="n"/>
      <c r="F1654" s="53" t="n"/>
      <c r="G1654" s="61" t="str">
        <f>IF(OR(COUNTA(A1654:E1654)=0,D1654=""),"",IFERROR(INDEX(ca_fam,MATCH(D1654,ca_name,0))&amp;"",""))</f>
        <v/>
      </c>
      <c r="H1654" s="58" t="str">
        <f>IF(OR(COUNTA(A1654:E1654)=0,D1654=""),"",IFERROR(INDEX(ca_type,MATCH(D1654,ca_name,0))&amp;"",""))</f>
        <v/>
      </c>
      <c r="I1654" s="58" t="str">
        <f>IF(COUNTA(A1654:E1654)=0,"",IF(N(A1654)&lt;=0,"Date manquante ou invalide",IF(B1654="","Équipe manquante",IF(ISNA(MATCH(B1654,eq_code,0)),"Équipe inconnue",IF(C1654="","Poste manquant",IF(ISNA(MATCH(C1654,po_code,0)),"Poste inconnu",IF(D1654="","Cause manquante",IF(ISNA(MATCH(D1654,ca_name,0)),"Cause inconnue",IF(H1654="","Cause à compléter dans Paramètres",IF(OR(NOT(ISNUMBER(E1654)),N(E1654)&lt;=0,N(E1654)&gt;1440),"Durée invalide",IF(COUNTIFS(sj_date,A1654,sj_eq,B1654,sj_po,C1654)=0,"Pas de saisie journalière ce jour-là","OK")))))))))))</f>
        <v/>
      </c>
      <c r="J1654">
        <f>IF(OR(I1654="OK",I1654="Pas de saisie journalière ce jour-là"),E1654,0)</f>
        <v>0.0</v>
      </c>
      <c r="K1654">
        <f>IF(AND(J1654&gt;0,A1654&gt;=p_from,A1654&lt;=p_to),1,0)</f>
        <v>0.0</v>
      </c>
      <c r="L1654">
        <f>IF(AND(K1654=1,OR(pa_po="",C1654=pa_po),OR(pa_eq="",B1654=pa_eq)),1,0)</f>
        <v>0.0</v>
      </c>
    </row>
    <row r="1655">
      <c r="A1655" s="51" t="n"/>
      <c r="B1655" s="52" t="n"/>
      <c r="C1655" s="52" t="n"/>
      <c r="D1655" s="53" t="n"/>
      <c r="E1655" s="60" t="n"/>
      <c r="F1655" s="53" t="n"/>
      <c r="G1655" s="61" t="str">
        <f>IF(OR(COUNTA(A1655:E1655)=0,D1655=""),"",IFERROR(INDEX(ca_fam,MATCH(D1655,ca_name,0))&amp;"",""))</f>
        <v/>
      </c>
      <c r="H1655" s="58" t="str">
        <f>IF(OR(COUNTA(A1655:E1655)=0,D1655=""),"",IFERROR(INDEX(ca_type,MATCH(D1655,ca_name,0))&amp;"",""))</f>
        <v/>
      </c>
      <c r="I1655" s="58" t="str">
        <f>IF(COUNTA(A1655:E1655)=0,"",IF(N(A1655)&lt;=0,"Date manquante ou invalide",IF(B1655="","Équipe manquante",IF(ISNA(MATCH(B1655,eq_code,0)),"Équipe inconnue",IF(C1655="","Poste manquant",IF(ISNA(MATCH(C1655,po_code,0)),"Poste inconnu",IF(D1655="","Cause manquante",IF(ISNA(MATCH(D1655,ca_name,0)),"Cause inconnue",IF(H1655="","Cause à compléter dans Paramètres",IF(OR(NOT(ISNUMBER(E1655)),N(E1655)&lt;=0,N(E1655)&gt;1440),"Durée invalide",IF(COUNTIFS(sj_date,A1655,sj_eq,B1655,sj_po,C1655)=0,"Pas de saisie journalière ce jour-là","OK")))))))))))</f>
        <v/>
      </c>
      <c r="J1655">
        <f>IF(OR(I1655="OK",I1655="Pas de saisie journalière ce jour-là"),E1655,0)</f>
        <v>0.0</v>
      </c>
      <c r="K1655">
        <f>IF(AND(J1655&gt;0,A1655&gt;=p_from,A1655&lt;=p_to),1,0)</f>
        <v>0.0</v>
      </c>
      <c r="L1655">
        <f>IF(AND(K1655=1,OR(pa_po="",C1655=pa_po),OR(pa_eq="",B1655=pa_eq)),1,0)</f>
        <v>0.0</v>
      </c>
    </row>
    <row r="1656">
      <c r="A1656" s="51" t="n"/>
      <c r="B1656" s="52" t="n"/>
      <c r="C1656" s="52" t="n"/>
      <c r="D1656" s="53" t="n"/>
      <c r="E1656" s="60" t="n"/>
      <c r="F1656" s="53" t="n"/>
      <c r="G1656" s="61" t="str">
        <f>IF(OR(COUNTA(A1656:E1656)=0,D1656=""),"",IFERROR(INDEX(ca_fam,MATCH(D1656,ca_name,0))&amp;"",""))</f>
        <v/>
      </c>
      <c r="H1656" s="58" t="str">
        <f>IF(OR(COUNTA(A1656:E1656)=0,D1656=""),"",IFERROR(INDEX(ca_type,MATCH(D1656,ca_name,0))&amp;"",""))</f>
        <v/>
      </c>
      <c r="I1656" s="58" t="str">
        <f>IF(COUNTA(A1656:E1656)=0,"",IF(N(A1656)&lt;=0,"Date manquante ou invalide",IF(B1656="","Équipe manquante",IF(ISNA(MATCH(B1656,eq_code,0)),"Équipe inconnue",IF(C1656="","Poste manquant",IF(ISNA(MATCH(C1656,po_code,0)),"Poste inconnu",IF(D1656="","Cause manquante",IF(ISNA(MATCH(D1656,ca_name,0)),"Cause inconnue",IF(H1656="","Cause à compléter dans Paramètres",IF(OR(NOT(ISNUMBER(E1656)),N(E1656)&lt;=0,N(E1656)&gt;1440),"Durée invalide",IF(COUNTIFS(sj_date,A1656,sj_eq,B1656,sj_po,C1656)=0,"Pas de saisie journalière ce jour-là","OK")))))))))))</f>
        <v/>
      </c>
      <c r="J1656">
        <f>IF(OR(I1656="OK",I1656="Pas de saisie journalière ce jour-là"),E1656,0)</f>
        <v>0.0</v>
      </c>
      <c r="K1656">
        <f>IF(AND(J1656&gt;0,A1656&gt;=p_from,A1656&lt;=p_to),1,0)</f>
        <v>0.0</v>
      </c>
      <c r="L1656">
        <f>IF(AND(K1656=1,OR(pa_po="",C1656=pa_po),OR(pa_eq="",B1656=pa_eq)),1,0)</f>
        <v>0.0</v>
      </c>
    </row>
    <row r="1657">
      <c r="A1657" s="51" t="n"/>
      <c r="B1657" s="52" t="n"/>
      <c r="C1657" s="52" t="n"/>
      <c r="D1657" s="53" t="n"/>
      <c r="E1657" s="60" t="n"/>
      <c r="F1657" s="53" t="n"/>
      <c r="G1657" s="61" t="str">
        <f>IF(OR(COUNTA(A1657:E1657)=0,D1657=""),"",IFERROR(INDEX(ca_fam,MATCH(D1657,ca_name,0))&amp;"",""))</f>
        <v/>
      </c>
      <c r="H1657" s="58" t="str">
        <f>IF(OR(COUNTA(A1657:E1657)=0,D1657=""),"",IFERROR(INDEX(ca_type,MATCH(D1657,ca_name,0))&amp;"",""))</f>
        <v/>
      </c>
      <c r="I1657" s="58" t="str">
        <f>IF(COUNTA(A1657:E1657)=0,"",IF(N(A1657)&lt;=0,"Date manquante ou invalide",IF(B1657="","Équipe manquante",IF(ISNA(MATCH(B1657,eq_code,0)),"Équipe inconnue",IF(C1657="","Poste manquant",IF(ISNA(MATCH(C1657,po_code,0)),"Poste inconnu",IF(D1657="","Cause manquante",IF(ISNA(MATCH(D1657,ca_name,0)),"Cause inconnue",IF(H1657="","Cause à compléter dans Paramètres",IF(OR(NOT(ISNUMBER(E1657)),N(E1657)&lt;=0,N(E1657)&gt;1440),"Durée invalide",IF(COUNTIFS(sj_date,A1657,sj_eq,B1657,sj_po,C1657)=0,"Pas de saisie journalière ce jour-là","OK")))))))))))</f>
        <v/>
      </c>
      <c r="J1657">
        <f>IF(OR(I1657="OK",I1657="Pas de saisie journalière ce jour-là"),E1657,0)</f>
        <v>0.0</v>
      </c>
      <c r="K1657">
        <f>IF(AND(J1657&gt;0,A1657&gt;=p_from,A1657&lt;=p_to),1,0)</f>
        <v>0.0</v>
      </c>
      <c r="L1657">
        <f>IF(AND(K1657=1,OR(pa_po="",C1657=pa_po),OR(pa_eq="",B1657=pa_eq)),1,0)</f>
        <v>0.0</v>
      </c>
    </row>
    <row r="1658">
      <c r="A1658" s="51" t="n"/>
      <c r="B1658" s="52" t="n"/>
      <c r="C1658" s="52" t="n"/>
      <c r="D1658" s="53" t="n"/>
      <c r="E1658" s="60" t="n"/>
      <c r="F1658" s="53" t="n"/>
      <c r="G1658" s="61" t="str">
        <f>IF(OR(COUNTA(A1658:E1658)=0,D1658=""),"",IFERROR(INDEX(ca_fam,MATCH(D1658,ca_name,0))&amp;"",""))</f>
        <v/>
      </c>
      <c r="H1658" s="58" t="str">
        <f>IF(OR(COUNTA(A1658:E1658)=0,D1658=""),"",IFERROR(INDEX(ca_type,MATCH(D1658,ca_name,0))&amp;"",""))</f>
        <v/>
      </c>
      <c r="I1658" s="58" t="str">
        <f>IF(COUNTA(A1658:E1658)=0,"",IF(N(A1658)&lt;=0,"Date manquante ou invalide",IF(B1658="","Équipe manquante",IF(ISNA(MATCH(B1658,eq_code,0)),"Équipe inconnue",IF(C1658="","Poste manquant",IF(ISNA(MATCH(C1658,po_code,0)),"Poste inconnu",IF(D1658="","Cause manquante",IF(ISNA(MATCH(D1658,ca_name,0)),"Cause inconnue",IF(H1658="","Cause à compléter dans Paramètres",IF(OR(NOT(ISNUMBER(E1658)),N(E1658)&lt;=0,N(E1658)&gt;1440),"Durée invalide",IF(COUNTIFS(sj_date,A1658,sj_eq,B1658,sj_po,C1658)=0,"Pas de saisie journalière ce jour-là","OK")))))))))))</f>
        <v/>
      </c>
      <c r="J1658">
        <f>IF(OR(I1658="OK",I1658="Pas de saisie journalière ce jour-là"),E1658,0)</f>
        <v>0.0</v>
      </c>
      <c r="K1658">
        <f>IF(AND(J1658&gt;0,A1658&gt;=p_from,A1658&lt;=p_to),1,0)</f>
        <v>0.0</v>
      </c>
      <c r="L1658">
        <f>IF(AND(K1658=1,OR(pa_po="",C1658=pa_po),OR(pa_eq="",B1658=pa_eq)),1,0)</f>
        <v>0.0</v>
      </c>
    </row>
    <row r="1659">
      <c r="A1659" s="51" t="n"/>
      <c r="B1659" s="52" t="n"/>
      <c r="C1659" s="52" t="n"/>
      <c r="D1659" s="53" t="n"/>
      <c r="E1659" s="60" t="n"/>
      <c r="F1659" s="53" t="n"/>
      <c r="G1659" s="61" t="str">
        <f>IF(OR(COUNTA(A1659:E1659)=0,D1659=""),"",IFERROR(INDEX(ca_fam,MATCH(D1659,ca_name,0))&amp;"",""))</f>
        <v/>
      </c>
      <c r="H1659" s="58" t="str">
        <f>IF(OR(COUNTA(A1659:E1659)=0,D1659=""),"",IFERROR(INDEX(ca_type,MATCH(D1659,ca_name,0))&amp;"",""))</f>
        <v/>
      </c>
      <c r="I1659" s="58" t="str">
        <f>IF(COUNTA(A1659:E1659)=0,"",IF(N(A1659)&lt;=0,"Date manquante ou invalide",IF(B1659="","Équipe manquante",IF(ISNA(MATCH(B1659,eq_code,0)),"Équipe inconnue",IF(C1659="","Poste manquant",IF(ISNA(MATCH(C1659,po_code,0)),"Poste inconnu",IF(D1659="","Cause manquante",IF(ISNA(MATCH(D1659,ca_name,0)),"Cause inconnue",IF(H1659="","Cause à compléter dans Paramètres",IF(OR(NOT(ISNUMBER(E1659)),N(E1659)&lt;=0,N(E1659)&gt;1440),"Durée invalide",IF(COUNTIFS(sj_date,A1659,sj_eq,B1659,sj_po,C1659)=0,"Pas de saisie journalière ce jour-là","OK")))))))))))</f>
        <v/>
      </c>
      <c r="J1659">
        <f>IF(OR(I1659="OK",I1659="Pas de saisie journalière ce jour-là"),E1659,0)</f>
        <v>0.0</v>
      </c>
      <c r="K1659">
        <f>IF(AND(J1659&gt;0,A1659&gt;=p_from,A1659&lt;=p_to),1,0)</f>
        <v>0.0</v>
      </c>
      <c r="L1659">
        <f>IF(AND(K1659=1,OR(pa_po="",C1659=pa_po),OR(pa_eq="",B1659=pa_eq)),1,0)</f>
        <v>0.0</v>
      </c>
    </row>
    <row r="1660">
      <c r="A1660" s="51" t="n"/>
      <c r="B1660" s="52" t="n"/>
      <c r="C1660" s="52" t="n"/>
      <c r="D1660" s="53" t="n"/>
      <c r="E1660" s="60" t="n"/>
      <c r="F1660" s="53" t="n"/>
      <c r="G1660" s="61" t="str">
        <f>IF(OR(COUNTA(A1660:E1660)=0,D1660=""),"",IFERROR(INDEX(ca_fam,MATCH(D1660,ca_name,0))&amp;"",""))</f>
        <v/>
      </c>
      <c r="H1660" s="58" t="str">
        <f>IF(OR(COUNTA(A1660:E1660)=0,D1660=""),"",IFERROR(INDEX(ca_type,MATCH(D1660,ca_name,0))&amp;"",""))</f>
        <v/>
      </c>
      <c r="I1660" s="58" t="str">
        <f>IF(COUNTA(A1660:E1660)=0,"",IF(N(A1660)&lt;=0,"Date manquante ou invalide",IF(B1660="","Équipe manquante",IF(ISNA(MATCH(B1660,eq_code,0)),"Équipe inconnue",IF(C1660="","Poste manquant",IF(ISNA(MATCH(C1660,po_code,0)),"Poste inconnu",IF(D1660="","Cause manquante",IF(ISNA(MATCH(D1660,ca_name,0)),"Cause inconnue",IF(H1660="","Cause à compléter dans Paramètres",IF(OR(NOT(ISNUMBER(E1660)),N(E1660)&lt;=0,N(E1660)&gt;1440),"Durée invalide",IF(COUNTIFS(sj_date,A1660,sj_eq,B1660,sj_po,C1660)=0,"Pas de saisie journalière ce jour-là","OK")))))))))))</f>
        <v/>
      </c>
      <c r="J1660">
        <f>IF(OR(I1660="OK",I1660="Pas de saisie journalière ce jour-là"),E1660,0)</f>
        <v>0.0</v>
      </c>
      <c r="K1660">
        <f>IF(AND(J1660&gt;0,A1660&gt;=p_from,A1660&lt;=p_to),1,0)</f>
        <v>0.0</v>
      </c>
      <c r="L1660">
        <f>IF(AND(K1660=1,OR(pa_po="",C1660=pa_po),OR(pa_eq="",B1660=pa_eq)),1,0)</f>
        <v>0.0</v>
      </c>
    </row>
    <row r="1661">
      <c r="A1661" s="51" t="n"/>
      <c r="B1661" s="52" t="n"/>
      <c r="C1661" s="52" t="n"/>
      <c r="D1661" s="53" t="n"/>
      <c r="E1661" s="60" t="n"/>
      <c r="F1661" s="53" t="n"/>
      <c r="G1661" s="61" t="str">
        <f>IF(OR(COUNTA(A1661:E1661)=0,D1661=""),"",IFERROR(INDEX(ca_fam,MATCH(D1661,ca_name,0))&amp;"",""))</f>
        <v/>
      </c>
      <c r="H1661" s="58" t="str">
        <f>IF(OR(COUNTA(A1661:E1661)=0,D1661=""),"",IFERROR(INDEX(ca_type,MATCH(D1661,ca_name,0))&amp;"",""))</f>
        <v/>
      </c>
      <c r="I1661" s="58" t="str">
        <f>IF(COUNTA(A1661:E1661)=0,"",IF(N(A1661)&lt;=0,"Date manquante ou invalide",IF(B1661="","Équipe manquante",IF(ISNA(MATCH(B1661,eq_code,0)),"Équipe inconnue",IF(C1661="","Poste manquant",IF(ISNA(MATCH(C1661,po_code,0)),"Poste inconnu",IF(D1661="","Cause manquante",IF(ISNA(MATCH(D1661,ca_name,0)),"Cause inconnue",IF(H1661="","Cause à compléter dans Paramètres",IF(OR(NOT(ISNUMBER(E1661)),N(E1661)&lt;=0,N(E1661)&gt;1440),"Durée invalide",IF(COUNTIFS(sj_date,A1661,sj_eq,B1661,sj_po,C1661)=0,"Pas de saisie journalière ce jour-là","OK")))))))))))</f>
        <v/>
      </c>
      <c r="J1661">
        <f>IF(OR(I1661="OK",I1661="Pas de saisie journalière ce jour-là"),E1661,0)</f>
        <v>0.0</v>
      </c>
      <c r="K1661">
        <f>IF(AND(J1661&gt;0,A1661&gt;=p_from,A1661&lt;=p_to),1,0)</f>
        <v>0.0</v>
      </c>
      <c r="L1661">
        <f>IF(AND(K1661=1,OR(pa_po="",C1661=pa_po),OR(pa_eq="",B1661=pa_eq)),1,0)</f>
        <v>0.0</v>
      </c>
    </row>
    <row r="1662">
      <c r="A1662" s="51" t="n"/>
      <c r="B1662" s="52" t="n"/>
      <c r="C1662" s="52" t="n"/>
      <c r="D1662" s="53" t="n"/>
      <c r="E1662" s="60" t="n"/>
      <c r="F1662" s="53" t="n"/>
      <c r="G1662" s="61" t="str">
        <f>IF(OR(COUNTA(A1662:E1662)=0,D1662=""),"",IFERROR(INDEX(ca_fam,MATCH(D1662,ca_name,0))&amp;"",""))</f>
        <v/>
      </c>
      <c r="H1662" s="58" t="str">
        <f>IF(OR(COUNTA(A1662:E1662)=0,D1662=""),"",IFERROR(INDEX(ca_type,MATCH(D1662,ca_name,0))&amp;"",""))</f>
        <v/>
      </c>
      <c r="I1662" s="58" t="str">
        <f>IF(COUNTA(A1662:E1662)=0,"",IF(N(A1662)&lt;=0,"Date manquante ou invalide",IF(B1662="","Équipe manquante",IF(ISNA(MATCH(B1662,eq_code,0)),"Équipe inconnue",IF(C1662="","Poste manquant",IF(ISNA(MATCH(C1662,po_code,0)),"Poste inconnu",IF(D1662="","Cause manquante",IF(ISNA(MATCH(D1662,ca_name,0)),"Cause inconnue",IF(H1662="","Cause à compléter dans Paramètres",IF(OR(NOT(ISNUMBER(E1662)),N(E1662)&lt;=0,N(E1662)&gt;1440),"Durée invalide",IF(COUNTIFS(sj_date,A1662,sj_eq,B1662,sj_po,C1662)=0,"Pas de saisie journalière ce jour-là","OK")))))))))))</f>
        <v/>
      </c>
      <c r="J1662">
        <f>IF(OR(I1662="OK",I1662="Pas de saisie journalière ce jour-là"),E1662,0)</f>
        <v>0.0</v>
      </c>
      <c r="K1662">
        <f>IF(AND(J1662&gt;0,A1662&gt;=p_from,A1662&lt;=p_to),1,0)</f>
        <v>0.0</v>
      </c>
      <c r="L1662">
        <f>IF(AND(K1662=1,OR(pa_po="",C1662=pa_po),OR(pa_eq="",B1662=pa_eq)),1,0)</f>
        <v>0.0</v>
      </c>
    </row>
    <row r="1663">
      <c r="A1663" s="51" t="n"/>
      <c r="B1663" s="52" t="n"/>
      <c r="C1663" s="52" t="n"/>
      <c r="D1663" s="53" t="n"/>
      <c r="E1663" s="60" t="n"/>
      <c r="F1663" s="53" t="n"/>
      <c r="G1663" s="61" t="str">
        <f>IF(OR(COUNTA(A1663:E1663)=0,D1663=""),"",IFERROR(INDEX(ca_fam,MATCH(D1663,ca_name,0))&amp;"",""))</f>
        <v/>
      </c>
      <c r="H1663" s="58" t="str">
        <f>IF(OR(COUNTA(A1663:E1663)=0,D1663=""),"",IFERROR(INDEX(ca_type,MATCH(D1663,ca_name,0))&amp;"",""))</f>
        <v/>
      </c>
      <c r="I1663" s="58" t="str">
        <f>IF(COUNTA(A1663:E1663)=0,"",IF(N(A1663)&lt;=0,"Date manquante ou invalide",IF(B1663="","Équipe manquante",IF(ISNA(MATCH(B1663,eq_code,0)),"Équipe inconnue",IF(C1663="","Poste manquant",IF(ISNA(MATCH(C1663,po_code,0)),"Poste inconnu",IF(D1663="","Cause manquante",IF(ISNA(MATCH(D1663,ca_name,0)),"Cause inconnue",IF(H1663="","Cause à compléter dans Paramètres",IF(OR(NOT(ISNUMBER(E1663)),N(E1663)&lt;=0,N(E1663)&gt;1440),"Durée invalide",IF(COUNTIFS(sj_date,A1663,sj_eq,B1663,sj_po,C1663)=0,"Pas de saisie journalière ce jour-là","OK")))))))))))</f>
        <v/>
      </c>
      <c r="J1663">
        <f>IF(OR(I1663="OK",I1663="Pas de saisie journalière ce jour-là"),E1663,0)</f>
        <v>0.0</v>
      </c>
      <c r="K1663">
        <f>IF(AND(J1663&gt;0,A1663&gt;=p_from,A1663&lt;=p_to),1,0)</f>
        <v>0.0</v>
      </c>
      <c r="L1663">
        <f>IF(AND(K1663=1,OR(pa_po="",C1663=pa_po),OR(pa_eq="",B1663=pa_eq)),1,0)</f>
        <v>0.0</v>
      </c>
    </row>
    <row r="1664">
      <c r="A1664" s="51" t="n"/>
      <c r="B1664" s="52" t="n"/>
      <c r="C1664" s="52" t="n"/>
      <c r="D1664" s="53" t="n"/>
      <c r="E1664" s="60" t="n"/>
      <c r="F1664" s="53" t="n"/>
      <c r="G1664" s="61" t="str">
        <f>IF(OR(COUNTA(A1664:E1664)=0,D1664=""),"",IFERROR(INDEX(ca_fam,MATCH(D1664,ca_name,0))&amp;"",""))</f>
        <v/>
      </c>
      <c r="H1664" s="58" t="str">
        <f>IF(OR(COUNTA(A1664:E1664)=0,D1664=""),"",IFERROR(INDEX(ca_type,MATCH(D1664,ca_name,0))&amp;"",""))</f>
        <v/>
      </c>
      <c r="I1664" s="58" t="str">
        <f>IF(COUNTA(A1664:E1664)=0,"",IF(N(A1664)&lt;=0,"Date manquante ou invalide",IF(B1664="","Équipe manquante",IF(ISNA(MATCH(B1664,eq_code,0)),"Équipe inconnue",IF(C1664="","Poste manquant",IF(ISNA(MATCH(C1664,po_code,0)),"Poste inconnu",IF(D1664="","Cause manquante",IF(ISNA(MATCH(D1664,ca_name,0)),"Cause inconnue",IF(H1664="","Cause à compléter dans Paramètres",IF(OR(NOT(ISNUMBER(E1664)),N(E1664)&lt;=0,N(E1664)&gt;1440),"Durée invalide",IF(COUNTIFS(sj_date,A1664,sj_eq,B1664,sj_po,C1664)=0,"Pas de saisie journalière ce jour-là","OK")))))))))))</f>
        <v/>
      </c>
      <c r="J1664">
        <f>IF(OR(I1664="OK",I1664="Pas de saisie journalière ce jour-là"),E1664,0)</f>
        <v>0.0</v>
      </c>
      <c r="K1664">
        <f>IF(AND(J1664&gt;0,A1664&gt;=p_from,A1664&lt;=p_to),1,0)</f>
        <v>0.0</v>
      </c>
      <c r="L1664">
        <f>IF(AND(K1664=1,OR(pa_po="",C1664=pa_po),OR(pa_eq="",B1664=pa_eq)),1,0)</f>
        <v>0.0</v>
      </c>
    </row>
    <row r="1665">
      <c r="A1665" s="51" t="n"/>
      <c r="B1665" s="52" t="n"/>
      <c r="C1665" s="52" t="n"/>
      <c r="D1665" s="53" t="n"/>
      <c r="E1665" s="60" t="n"/>
      <c r="F1665" s="53" t="n"/>
      <c r="G1665" s="61" t="str">
        <f>IF(OR(COUNTA(A1665:E1665)=0,D1665=""),"",IFERROR(INDEX(ca_fam,MATCH(D1665,ca_name,0))&amp;"",""))</f>
        <v/>
      </c>
      <c r="H1665" s="58" t="str">
        <f>IF(OR(COUNTA(A1665:E1665)=0,D1665=""),"",IFERROR(INDEX(ca_type,MATCH(D1665,ca_name,0))&amp;"",""))</f>
        <v/>
      </c>
      <c r="I1665" s="58" t="str">
        <f>IF(COUNTA(A1665:E1665)=0,"",IF(N(A1665)&lt;=0,"Date manquante ou invalide",IF(B1665="","Équipe manquante",IF(ISNA(MATCH(B1665,eq_code,0)),"Équipe inconnue",IF(C1665="","Poste manquant",IF(ISNA(MATCH(C1665,po_code,0)),"Poste inconnu",IF(D1665="","Cause manquante",IF(ISNA(MATCH(D1665,ca_name,0)),"Cause inconnue",IF(H1665="","Cause à compléter dans Paramètres",IF(OR(NOT(ISNUMBER(E1665)),N(E1665)&lt;=0,N(E1665)&gt;1440),"Durée invalide",IF(COUNTIFS(sj_date,A1665,sj_eq,B1665,sj_po,C1665)=0,"Pas de saisie journalière ce jour-là","OK")))))))))))</f>
        <v/>
      </c>
      <c r="J1665">
        <f>IF(OR(I1665="OK",I1665="Pas de saisie journalière ce jour-là"),E1665,0)</f>
        <v>0.0</v>
      </c>
      <c r="K1665">
        <f>IF(AND(J1665&gt;0,A1665&gt;=p_from,A1665&lt;=p_to),1,0)</f>
        <v>0.0</v>
      </c>
      <c r="L1665">
        <f>IF(AND(K1665=1,OR(pa_po="",C1665=pa_po),OR(pa_eq="",B1665=pa_eq)),1,0)</f>
        <v>0.0</v>
      </c>
    </row>
    <row r="1666">
      <c r="A1666" s="51" t="n"/>
      <c r="B1666" s="52" t="n"/>
      <c r="C1666" s="52" t="n"/>
      <c r="D1666" s="53" t="n"/>
      <c r="E1666" s="60" t="n"/>
      <c r="F1666" s="53" t="n"/>
      <c r="G1666" s="61" t="str">
        <f>IF(OR(COUNTA(A1666:E1666)=0,D1666=""),"",IFERROR(INDEX(ca_fam,MATCH(D1666,ca_name,0))&amp;"",""))</f>
        <v/>
      </c>
      <c r="H1666" s="58" t="str">
        <f>IF(OR(COUNTA(A1666:E1666)=0,D1666=""),"",IFERROR(INDEX(ca_type,MATCH(D1666,ca_name,0))&amp;"",""))</f>
        <v/>
      </c>
      <c r="I1666" s="58" t="str">
        <f>IF(COUNTA(A1666:E1666)=0,"",IF(N(A1666)&lt;=0,"Date manquante ou invalide",IF(B1666="","Équipe manquante",IF(ISNA(MATCH(B1666,eq_code,0)),"Équipe inconnue",IF(C1666="","Poste manquant",IF(ISNA(MATCH(C1666,po_code,0)),"Poste inconnu",IF(D1666="","Cause manquante",IF(ISNA(MATCH(D1666,ca_name,0)),"Cause inconnue",IF(H1666="","Cause à compléter dans Paramètres",IF(OR(NOT(ISNUMBER(E1666)),N(E1666)&lt;=0,N(E1666)&gt;1440),"Durée invalide",IF(COUNTIFS(sj_date,A1666,sj_eq,B1666,sj_po,C1666)=0,"Pas de saisie journalière ce jour-là","OK")))))))))))</f>
        <v/>
      </c>
      <c r="J1666">
        <f>IF(OR(I1666="OK",I1666="Pas de saisie journalière ce jour-là"),E1666,0)</f>
        <v>0.0</v>
      </c>
      <c r="K1666">
        <f>IF(AND(J1666&gt;0,A1666&gt;=p_from,A1666&lt;=p_to),1,0)</f>
        <v>0.0</v>
      </c>
      <c r="L1666">
        <f>IF(AND(K1666=1,OR(pa_po="",C1666=pa_po),OR(pa_eq="",B1666=pa_eq)),1,0)</f>
        <v>0.0</v>
      </c>
    </row>
    <row r="1667">
      <c r="A1667" s="51" t="n"/>
      <c r="B1667" s="52" t="n"/>
      <c r="C1667" s="52" t="n"/>
      <c r="D1667" s="53" t="n"/>
      <c r="E1667" s="60" t="n"/>
      <c r="F1667" s="53" t="n"/>
      <c r="G1667" s="61" t="str">
        <f>IF(OR(COUNTA(A1667:E1667)=0,D1667=""),"",IFERROR(INDEX(ca_fam,MATCH(D1667,ca_name,0))&amp;"",""))</f>
        <v/>
      </c>
      <c r="H1667" s="58" t="str">
        <f>IF(OR(COUNTA(A1667:E1667)=0,D1667=""),"",IFERROR(INDEX(ca_type,MATCH(D1667,ca_name,0))&amp;"",""))</f>
        <v/>
      </c>
      <c r="I1667" s="58" t="str">
        <f>IF(COUNTA(A1667:E1667)=0,"",IF(N(A1667)&lt;=0,"Date manquante ou invalide",IF(B1667="","Équipe manquante",IF(ISNA(MATCH(B1667,eq_code,0)),"Équipe inconnue",IF(C1667="","Poste manquant",IF(ISNA(MATCH(C1667,po_code,0)),"Poste inconnu",IF(D1667="","Cause manquante",IF(ISNA(MATCH(D1667,ca_name,0)),"Cause inconnue",IF(H1667="","Cause à compléter dans Paramètres",IF(OR(NOT(ISNUMBER(E1667)),N(E1667)&lt;=0,N(E1667)&gt;1440),"Durée invalide",IF(COUNTIFS(sj_date,A1667,sj_eq,B1667,sj_po,C1667)=0,"Pas de saisie journalière ce jour-là","OK")))))))))))</f>
        <v/>
      </c>
      <c r="J1667">
        <f>IF(OR(I1667="OK",I1667="Pas de saisie journalière ce jour-là"),E1667,0)</f>
        <v>0.0</v>
      </c>
      <c r="K1667">
        <f>IF(AND(J1667&gt;0,A1667&gt;=p_from,A1667&lt;=p_to),1,0)</f>
        <v>0.0</v>
      </c>
      <c r="L1667">
        <f>IF(AND(K1667=1,OR(pa_po="",C1667=pa_po),OR(pa_eq="",B1667=pa_eq)),1,0)</f>
        <v>0.0</v>
      </c>
    </row>
    <row r="1668">
      <c r="A1668" s="51" t="n"/>
      <c r="B1668" s="52" t="n"/>
      <c r="C1668" s="52" t="n"/>
      <c r="D1668" s="53" t="n"/>
      <c r="E1668" s="60" t="n"/>
      <c r="F1668" s="53" t="n"/>
      <c r="G1668" s="61" t="str">
        <f>IF(OR(COUNTA(A1668:E1668)=0,D1668=""),"",IFERROR(INDEX(ca_fam,MATCH(D1668,ca_name,0))&amp;"",""))</f>
        <v/>
      </c>
      <c r="H1668" s="58" t="str">
        <f>IF(OR(COUNTA(A1668:E1668)=0,D1668=""),"",IFERROR(INDEX(ca_type,MATCH(D1668,ca_name,0))&amp;"",""))</f>
        <v/>
      </c>
      <c r="I1668" s="58" t="str">
        <f>IF(COUNTA(A1668:E1668)=0,"",IF(N(A1668)&lt;=0,"Date manquante ou invalide",IF(B1668="","Équipe manquante",IF(ISNA(MATCH(B1668,eq_code,0)),"Équipe inconnue",IF(C1668="","Poste manquant",IF(ISNA(MATCH(C1668,po_code,0)),"Poste inconnu",IF(D1668="","Cause manquante",IF(ISNA(MATCH(D1668,ca_name,0)),"Cause inconnue",IF(H1668="","Cause à compléter dans Paramètres",IF(OR(NOT(ISNUMBER(E1668)),N(E1668)&lt;=0,N(E1668)&gt;1440),"Durée invalide",IF(COUNTIFS(sj_date,A1668,sj_eq,B1668,sj_po,C1668)=0,"Pas de saisie journalière ce jour-là","OK")))))))))))</f>
        <v/>
      </c>
      <c r="J1668">
        <f>IF(OR(I1668="OK",I1668="Pas de saisie journalière ce jour-là"),E1668,0)</f>
        <v>0.0</v>
      </c>
      <c r="K1668">
        <f>IF(AND(J1668&gt;0,A1668&gt;=p_from,A1668&lt;=p_to),1,0)</f>
        <v>0.0</v>
      </c>
      <c r="L1668">
        <f>IF(AND(K1668=1,OR(pa_po="",C1668=pa_po),OR(pa_eq="",B1668=pa_eq)),1,0)</f>
        <v>0.0</v>
      </c>
    </row>
    <row r="1669">
      <c r="A1669" s="51" t="n"/>
      <c r="B1669" s="52" t="n"/>
      <c r="C1669" s="52" t="n"/>
      <c r="D1669" s="53" t="n"/>
      <c r="E1669" s="60" t="n"/>
      <c r="F1669" s="53" t="n"/>
      <c r="G1669" s="61" t="str">
        <f>IF(OR(COUNTA(A1669:E1669)=0,D1669=""),"",IFERROR(INDEX(ca_fam,MATCH(D1669,ca_name,0))&amp;"",""))</f>
        <v/>
      </c>
      <c r="H1669" s="58" t="str">
        <f>IF(OR(COUNTA(A1669:E1669)=0,D1669=""),"",IFERROR(INDEX(ca_type,MATCH(D1669,ca_name,0))&amp;"",""))</f>
        <v/>
      </c>
      <c r="I1669" s="58" t="str">
        <f>IF(COUNTA(A1669:E1669)=0,"",IF(N(A1669)&lt;=0,"Date manquante ou invalide",IF(B1669="","Équipe manquante",IF(ISNA(MATCH(B1669,eq_code,0)),"Équipe inconnue",IF(C1669="","Poste manquant",IF(ISNA(MATCH(C1669,po_code,0)),"Poste inconnu",IF(D1669="","Cause manquante",IF(ISNA(MATCH(D1669,ca_name,0)),"Cause inconnue",IF(H1669="","Cause à compléter dans Paramètres",IF(OR(NOT(ISNUMBER(E1669)),N(E1669)&lt;=0,N(E1669)&gt;1440),"Durée invalide",IF(COUNTIFS(sj_date,A1669,sj_eq,B1669,sj_po,C1669)=0,"Pas de saisie journalière ce jour-là","OK")))))))))))</f>
        <v/>
      </c>
      <c r="J1669">
        <f>IF(OR(I1669="OK",I1669="Pas de saisie journalière ce jour-là"),E1669,0)</f>
        <v>0.0</v>
      </c>
      <c r="K1669">
        <f>IF(AND(J1669&gt;0,A1669&gt;=p_from,A1669&lt;=p_to),1,0)</f>
        <v>0.0</v>
      </c>
      <c r="L1669">
        <f>IF(AND(K1669=1,OR(pa_po="",C1669=pa_po),OR(pa_eq="",B1669=pa_eq)),1,0)</f>
        <v>0.0</v>
      </c>
    </row>
    <row r="1670">
      <c r="A1670" s="51" t="n"/>
      <c r="B1670" s="52" t="n"/>
      <c r="C1670" s="52" t="n"/>
      <c r="D1670" s="53" t="n"/>
      <c r="E1670" s="60" t="n"/>
      <c r="F1670" s="53" t="n"/>
      <c r="G1670" s="61" t="str">
        <f>IF(OR(COUNTA(A1670:E1670)=0,D1670=""),"",IFERROR(INDEX(ca_fam,MATCH(D1670,ca_name,0))&amp;"",""))</f>
        <v/>
      </c>
      <c r="H1670" s="58" t="str">
        <f>IF(OR(COUNTA(A1670:E1670)=0,D1670=""),"",IFERROR(INDEX(ca_type,MATCH(D1670,ca_name,0))&amp;"",""))</f>
        <v/>
      </c>
      <c r="I1670" s="58" t="str">
        <f>IF(COUNTA(A1670:E1670)=0,"",IF(N(A1670)&lt;=0,"Date manquante ou invalide",IF(B1670="","Équipe manquante",IF(ISNA(MATCH(B1670,eq_code,0)),"Équipe inconnue",IF(C1670="","Poste manquant",IF(ISNA(MATCH(C1670,po_code,0)),"Poste inconnu",IF(D1670="","Cause manquante",IF(ISNA(MATCH(D1670,ca_name,0)),"Cause inconnue",IF(H1670="","Cause à compléter dans Paramètres",IF(OR(NOT(ISNUMBER(E1670)),N(E1670)&lt;=0,N(E1670)&gt;1440),"Durée invalide",IF(COUNTIFS(sj_date,A1670,sj_eq,B1670,sj_po,C1670)=0,"Pas de saisie journalière ce jour-là","OK")))))))))))</f>
        <v/>
      </c>
      <c r="J1670">
        <f>IF(OR(I1670="OK",I1670="Pas de saisie journalière ce jour-là"),E1670,0)</f>
        <v>0.0</v>
      </c>
      <c r="K1670">
        <f>IF(AND(J1670&gt;0,A1670&gt;=p_from,A1670&lt;=p_to),1,0)</f>
        <v>0.0</v>
      </c>
      <c r="L1670">
        <f>IF(AND(K1670=1,OR(pa_po="",C1670=pa_po),OR(pa_eq="",B1670=pa_eq)),1,0)</f>
        <v>0.0</v>
      </c>
    </row>
    <row r="1671">
      <c r="A1671" s="51" t="n"/>
      <c r="B1671" s="52" t="n"/>
      <c r="C1671" s="52" t="n"/>
      <c r="D1671" s="53" t="n"/>
      <c r="E1671" s="60" t="n"/>
      <c r="F1671" s="53" t="n"/>
      <c r="G1671" s="61" t="str">
        <f>IF(OR(COUNTA(A1671:E1671)=0,D1671=""),"",IFERROR(INDEX(ca_fam,MATCH(D1671,ca_name,0))&amp;"",""))</f>
        <v/>
      </c>
      <c r="H1671" s="58" t="str">
        <f>IF(OR(COUNTA(A1671:E1671)=0,D1671=""),"",IFERROR(INDEX(ca_type,MATCH(D1671,ca_name,0))&amp;"",""))</f>
        <v/>
      </c>
      <c r="I1671" s="58" t="str">
        <f>IF(COUNTA(A1671:E1671)=0,"",IF(N(A1671)&lt;=0,"Date manquante ou invalide",IF(B1671="","Équipe manquante",IF(ISNA(MATCH(B1671,eq_code,0)),"Équipe inconnue",IF(C1671="","Poste manquant",IF(ISNA(MATCH(C1671,po_code,0)),"Poste inconnu",IF(D1671="","Cause manquante",IF(ISNA(MATCH(D1671,ca_name,0)),"Cause inconnue",IF(H1671="","Cause à compléter dans Paramètres",IF(OR(NOT(ISNUMBER(E1671)),N(E1671)&lt;=0,N(E1671)&gt;1440),"Durée invalide",IF(COUNTIFS(sj_date,A1671,sj_eq,B1671,sj_po,C1671)=0,"Pas de saisie journalière ce jour-là","OK")))))))))))</f>
        <v/>
      </c>
      <c r="J1671">
        <f>IF(OR(I1671="OK",I1671="Pas de saisie journalière ce jour-là"),E1671,0)</f>
        <v>0.0</v>
      </c>
      <c r="K1671">
        <f>IF(AND(J1671&gt;0,A1671&gt;=p_from,A1671&lt;=p_to),1,0)</f>
        <v>0.0</v>
      </c>
      <c r="L1671">
        <f>IF(AND(K1671=1,OR(pa_po="",C1671=pa_po),OR(pa_eq="",B1671=pa_eq)),1,0)</f>
        <v>0.0</v>
      </c>
    </row>
    <row r="1672">
      <c r="A1672" s="51" t="n"/>
      <c r="B1672" s="52" t="n"/>
      <c r="C1672" s="52" t="n"/>
      <c r="D1672" s="53" t="n"/>
      <c r="E1672" s="60" t="n"/>
      <c r="F1672" s="53" t="n"/>
      <c r="G1672" s="61" t="str">
        <f>IF(OR(COUNTA(A1672:E1672)=0,D1672=""),"",IFERROR(INDEX(ca_fam,MATCH(D1672,ca_name,0))&amp;"",""))</f>
        <v/>
      </c>
      <c r="H1672" s="58" t="str">
        <f>IF(OR(COUNTA(A1672:E1672)=0,D1672=""),"",IFERROR(INDEX(ca_type,MATCH(D1672,ca_name,0))&amp;"",""))</f>
        <v/>
      </c>
      <c r="I1672" s="58" t="str">
        <f>IF(COUNTA(A1672:E1672)=0,"",IF(N(A1672)&lt;=0,"Date manquante ou invalide",IF(B1672="","Équipe manquante",IF(ISNA(MATCH(B1672,eq_code,0)),"Équipe inconnue",IF(C1672="","Poste manquant",IF(ISNA(MATCH(C1672,po_code,0)),"Poste inconnu",IF(D1672="","Cause manquante",IF(ISNA(MATCH(D1672,ca_name,0)),"Cause inconnue",IF(H1672="","Cause à compléter dans Paramètres",IF(OR(NOT(ISNUMBER(E1672)),N(E1672)&lt;=0,N(E1672)&gt;1440),"Durée invalide",IF(COUNTIFS(sj_date,A1672,sj_eq,B1672,sj_po,C1672)=0,"Pas de saisie journalière ce jour-là","OK")))))))))))</f>
        <v/>
      </c>
      <c r="J1672">
        <f>IF(OR(I1672="OK",I1672="Pas de saisie journalière ce jour-là"),E1672,0)</f>
        <v>0.0</v>
      </c>
      <c r="K1672">
        <f>IF(AND(J1672&gt;0,A1672&gt;=p_from,A1672&lt;=p_to),1,0)</f>
        <v>0.0</v>
      </c>
      <c r="L1672">
        <f>IF(AND(K1672=1,OR(pa_po="",C1672=pa_po),OR(pa_eq="",B1672=pa_eq)),1,0)</f>
        <v>0.0</v>
      </c>
    </row>
    <row r="1673">
      <c r="A1673" s="51" t="n"/>
      <c r="B1673" s="52" t="n"/>
      <c r="C1673" s="52" t="n"/>
      <c r="D1673" s="53" t="n"/>
      <c r="E1673" s="60" t="n"/>
      <c r="F1673" s="53" t="n"/>
      <c r="G1673" s="61" t="str">
        <f>IF(OR(COUNTA(A1673:E1673)=0,D1673=""),"",IFERROR(INDEX(ca_fam,MATCH(D1673,ca_name,0))&amp;"",""))</f>
        <v/>
      </c>
      <c r="H1673" s="58" t="str">
        <f>IF(OR(COUNTA(A1673:E1673)=0,D1673=""),"",IFERROR(INDEX(ca_type,MATCH(D1673,ca_name,0))&amp;"",""))</f>
        <v/>
      </c>
      <c r="I1673" s="58" t="str">
        <f>IF(COUNTA(A1673:E1673)=0,"",IF(N(A1673)&lt;=0,"Date manquante ou invalide",IF(B1673="","Équipe manquante",IF(ISNA(MATCH(B1673,eq_code,0)),"Équipe inconnue",IF(C1673="","Poste manquant",IF(ISNA(MATCH(C1673,po_code,0)),"Poste inconnu",IF(D1673="","Cause manquante",IF(ISNA(MATCH(D1673,ca_name,0)),"Cause inconnue",IF(H1673="","Cause à compléter dans Paramètres",IF(OR(NOT(ISNUMBER(E1673)),N(E1673)&lt;=0,N(E1673)&gt;1440),"Durée invalide",IF(COUNTIFS(sj_date,A1673,sj_eq,B1673,sj_po,C1673)=0,"Pas de saisie journalière ce jour-là","OK")))))))))))</f>
        <v/>
      </c>
      <c r="J1673">
        <f>IF(OR(I1673="OK",I1673="Pas de saisie journalière ce jour-là"),E1673,0)</f>
        <v>0.0</v>
      </c>
      <c r="K1673">
        <f>IF(AND(J1673&gt;0,A1673&gt;=p_from,A1673&lt;=p_to),1,0)</f>
        <v>0.0</v>
      </c>
      <c r="L1673">
        <f>IF(AND(K1673=1,OR(pa_po="",C1673=pa_po),OR(pa_eq="",B1673=pa_eq)),1,0)</f>
        <v>0.0</v>
      </c>
    </row>
    <row r="1674">
      <c r="A1674" s="51" t="n"/>
      <c r="B1674" s="52" t="n"/>
      <c r="C1674" s="52" t="n"/>
      <c r="D1674" s="53" t="n"/>
      <c r="E1674" s="60" t="n"/>
      <c r="F1674" s="53" t="n"/>
      <c r="G1674" s="61" t="str">
        <f>IF(OR(COUNTA(A1674:E1674)=0,D1674=""),"",IFERROR(INDEX(ca_fam,MATCH(D1674,ca_name,0))&amp;"",""))</f>
        <v/>
      </c>
      <c r="H1674" s="58" t="str">
        <f>IF(OR(COUNTA(A1674:E1674)=0,D1674=""),"",IFERROR(INDEX(ca_type,MATCH(D1674,ca_name,0))&amp;"",""))</f>
        <v/>
      </c>
      <c r="I1674" s="58" t="str">
        <f>IF(COUNTA(A1674:E1674)=0,"",IF(N(A1674)&lt;=0,"Date manquante ou invalide",IF(B1674="","Équipe manquante",IF(ISNA(MATCH(B1674,eq_code,0)),"Équipe inconnue",IF(C1674="","Poste manquant",IF(ISNA(MATCH(C1674,po_code,0)),"Poste inconnu",IF(D1674="","Cause manquante",IF(ISNA(MATCH(D1674,ca_name,0)),"Cause inconnue",IF(H1674="","Cause à compléter dans Paramètres",IF(OR(NOT(ISNUMBER(E1674)),N(E1674)&lt;=0,N(E1674)&gt;1440),"Durée invalide",IF(COUNTIFS(sj_date,A1674,sj_eq,B1674,sj_po,C1674)=0,"Pas de saisie journalière ce jour-là","OK")))))))))))</f>
        <v/>
      </c>
      <c r="J1674">
        <f>IF(OR(I1674="OK",I1674="Pas de saisie journalière ce jour-là"),E1674,0)</f>
        <v>0.0</v>
      </c>
      <c r="K1674">
        <f>IF(AND(J1674&gt;0,A1674&gt;=p_from,A1674&lt;=p_to),1,0)</f>
        <v>0.0</v>
      </c>
      <c r="L1674">
        <f>IF(AND(K1674=1,OR(pa_po="",C1674=pa_po),OR(pa_eq="",B1674=pa_eq)),1,0)</f>
        <v>0.0</v>
      </c>
    </row>
    <row r="1675">
      <c r="A1675" s="51" t="n"/>
      <c r="B1675" s="52" t="n"/>
      <c r="C1675" s="52" t="n"/>
      <c r="D1675" s="53" t="n"/>
      <c r="E1675" s="60" t="n"/>
      <c r="F1675" s="53" t="n"/>
      <c r="G1675" s="61" t="str">
        <f>IF(OR(COUNTA(A1675:E1675)=0,D1675=""),"",IFERROR(INDEX(ca_fam,MATCH(D1675,ca_name,0))&amp;"",""))</f>
        <v/>
      </c>
      <c r="H1675" s="58" t="str">
        <f>IF(OR(COUNTA(A1675:E1675)=0,D1675=""),"",IFERROR(INDEX(ca_type,MATCH(D1675,ca_name,0))&amp;"",""))</f>
        <v/>
      </c>
      <c r="I1675" s="58" t="str">
        <f>IF(COUNTA(A1675:E1675)=0,"",IF(N(A1675)&lt;=0,"Date manquante ou invalide",IF(B1675="","Équipe manquante",IF(ISNA(MATCH(B1675,eq_code,0)),"Équipe inconnue",IF(C1675="","Poste manquant",IF(ISNA(MATCH(C1675,po_code,0)),"Poste inconnu",IF(D1675="","Cause manquante",IF(ISNA(MATCH(D1675,ca_name,0)),"Cause inconnue",IF(H1675="","Cause à compléter dans Paramètres",IF(OR(NOT(ISNUMBER(E1675)),N(E1675)&lt;=0,N(E1675)&gt;1440),"Durée invalide",IF(COUNTIFS(sj_date,A1675,sj_eq,B1675,sj_po,C1675)=0,"Pas de saisie journalière ce jour-là","OK")))))))))))</f>
        <v/>
      </c>
      <c r="J1675">
        <f>IF(OR(I1675="OK",I1675="Pas de saisie journalière ce jour-là"),E1675,0)</f>
        <v>0.0</v>
      </c>
      <c r="K1675">
        <f>IF(AND(J1675&gt;0,A1675&gt;=p_from,A1675&lt;=p_to),1,0)</f>
        <v>0.0</v>
      </c>
      <c r="L1675">
        <f>IF(AND(K1675=1,OR(pa_po="",C1675=pa_po),OR(pa_eq="",B1675=pa_eq)),1,0)</f>
        <v>0.0</v>
      </c>
    </row>
    <row r="1676">
      <c r="A1676" s="51" t="n"/>
      <c r="B1676" s="52" t="n"/>
      <c r="C1676" s="52" t="n"/>
      <c r="D1676" s="53" t="n"/>
      <c r="E1676" s="60" t="n"/>
      <c r="F1676" s="53" t="n"/>
      <c r="G1676" s="61" t="str">
        <f>IF(OR(COUNTA(A1676:E1676)=0,D1676=""),"",IFERROR(INDEX(ca_fam,MATCH(D1676,ca_name,0))&amp;"",""))</f>
        <v/>
      </c>
      <c r="H1676" s="58" t="str">
        <f>IF(OR(COUNTA(A1676:E1676)=0,D1676=""),"",IFERROR(INDEX(ca_type,MATCH(D1676,ca_name,0))&amp;"",""))</f>
        <v/>
      </c>
      <c r="I1676" s="58" t="str">
        <f>IF(COUNTA(A1676:E1676)=0,"",IF(N(A1676)&lt;=0,"Date manquante ou invalide",IF(B1676="","Équipe manquante",IF(ISNA(MATCH(B1676,eq_code,0)),"Équipe inconnue",IF(C1676="","Poste manquant",IF(ISNA(MATCH(C1676,po_code,0)),"Poste inconnu",IF(D1676="","Cause manquante",IF(ISNA(MATCH(D1676,ca_name,0)),"Cause inconnue",IF(H1676="","Cause à compléter dans Paramètres",IF(OR(NOT(ISNUMBER(E1676)),N(E1676)&lt;=0,N(E1676)&gt;1440),"Durée invalide",IF(COUNTIFS(sj_date,A1676,sj_eq,B1676,sj_po,C1676)=0,"Pas de saisie journalière ce jour-là","OK")))))))))))</f>
        <v/>
      </c>
      <c r="J1676">
        <f>IF(OR(I1676="OK",I1676="Pas de saisie journalière ce jour-là"),E1676,0)</f>
        <v>0.0</v>
      </c>
      <c r="K1676">
        <f>IF(AND(J1676&gt;0,A1676&gt;=p_from,A1676&lt;=p_to),1,0)</f>
        <v>0.0</v>
      </c>
      <c r="L1676">
        <f>IF(AND(K1676=1,OR(pa_po="",C1676=pa_po),OR(pa_eq="",B1676=pa_eq)),1,0)</f>
        <v>0.0</v>
      </c>
    </row>
    <row r="1677">
      <c r="A1677" s="51" t="n"/>
      <c r="B1677" s="52" t="n"/>
      <c r="C1677" s="52" t="n"/>
      <c r="D1677" s="53" t="n"/>
      <c r="E1677" s="60" t="n"/>
      <c r="F1677" s="53" t="n"/>
      <c r="G1677" s="61" t="str">
        <f>IF(OR(COUNTA(A1677:E1677)=0,D1677=""),"",IFERROR(INDEX(ca_fam,MATCH(D1677,ca_name,0))&amp;"",""))</f>
        <v/>
      </c>
      <c r="H1677" s="58" t="str">
        <f>IF(OR(COUNTA(A1677:E1677)=0,D1677=""),"",IFERROR(INDEX(ca_type,MATCH(D1677,ca_name,0))&amp;"",""))</f>
        <v/>
      </c>
      <c r="I1677" s="58" t="str">
        <f>IF(COUNTA(A1677:E1677)=0,"",IF(N(A1677)&lt;=0,"Date manquante ou invalide",IF(B1677="","Équipe manquante",IF(ISNA(MATCH(B1677,eq_code,0)),"Équipe inconnue",IF(C1677="","Poste manquant",IF(ISNA(MATCH(C1677,po_code,0)),"Poste inconnu",IF(D1677="","Cause manquante",IF(ISNA(MATCH(D1677,ca_name,0)),"Cause inconnue",IF(H1677="","Cause à compléter dans Paramètres",IF(OR(NOT(ISNUMBER(E1677)),N(E1677)&lt;=0,N(E1677)&gt;1440),"Durée invalide",IF(COUNTIFS(sj_date,A1677,sj_eq,B1677,sj_po,C1677)=0,"Pas de saisie journalière ce jour-là","OK")))))))))))</f>
        <v/>
      </c>
      <c r="J1677">
        <f>IF(OR(I1677="OK",I1677="Pas de saisie journalière ce jour-là"),E1677,0)</f>
        <v>0.0</v>
      </c>
      <c r="K1677">
        <f>IF(AND(J1677&gt;0,A1677&gt;=p_from,A1677&lt;=p_to),1,0)</f>
        <v>0.0</v>
      </c>
      <c r="L1677">
        <f>IF(AND(K1677=1,OR(pa_po="",C1677=pa_po),OR(pa_eq="",B1677=pa_eq)),1,0)</f>
        <v>0.0</v>
      </c>
    </row>
    <row r="1678">
      <c r="A1678" s="51" t="n"/>
      <c r="B1678" s="52" t="n"/>
      <c r="C1678" s="52" t="n"/>
      <c r="D1678" s="53" t="n"/>
      <c r="E1678" s="60" t="n"/>
      <c r="F1678" s="53" t="n"/>
      <c r="G1678" s="61" t="str">
        <f>IF(OR(COUNTA(A1678:E1678)=0,D1678=""),"",IFERROR(INDEX(ca_fam,MATCH(D1678,ca_name,0))&amp;"",""))</f>
        <v/>
      </c>
      <c r="H1678" s="58" t="str">
        <f>IF(OR(COUNTA(A1678:E1678)=0,D1678=""),"",IFERROR(INDEX(ca_type,MATCH(D1678,ca_name,0))&amp;"",""))</f>
        <v/>
      </c>
      <c r="I1678" s="58" t="str">
        <f>IF(COUNTA(A1678:E1678)=0,"",IF(N(A1678)&lt;=0,"Date manquante ou invalide",IF(B1678="","Équipe manquante",IF(ISNA(MATCH(B1678,eq_code,0)),"Équipe inconnue",IF(C1678="","Poste manquant",IF(ISNA(MATCH(C1678,po_code,0)),"Poste inconnu",IF(D1678="","Cause manquante",IF(ISNA(MATCH(D1678,ca_name,0)),"Cause inconnue",IF(H1678="","Cause à compléter dans Paramètres",IF(OR(NOT(ISNUMBER(E1678)),N(E1678)&lt;=0,N(E1678)&gt;1440),"Durée invalide",IF(COUNTIFS(sj_date,A1678,sj_eq,B1678,sj_po,C1678)=0,"Pas de saisie journalière ce jour-là","OK")))))))))))</f>
        <v/>
      </c>
      <c r="J1678">
        <f>IF(OR(I1678="OK",I1678="Pas de saisie journalière ce jour-là"),E1678,0)</f>
        <v>0.0</v>
      </c>
      <c r="K1678">
        <f>IF(AND(J1678&gt;0,A1678&gt;=p_from,A1678&lt;=p_to),1,0)</f>
        <v>0.0</v>
      </c>
      <c r="L1678">
        <f>IF(AND(K1678=1,OR(pa_po="",C1678=pa_po),OR(pa_eq="",B1678=pa_eq)),1,0)</f>
        <v>0.0</v>
      </c>
    </row>
    <row r="1679">
      <c r="A1679" s="51" t="n"/>
      <c r="B1679" s="52" t="n"/>
      <c r="C1679" s="52" t="n"/>
      <c r="D1679" s="53" t="n"/>
      <c r="E1679" s="60" t="n"/>
      <c r="F1679" s="53" t="n"/>
      <c r="G1679" s="61" t="str">
        <f>IF(OR(COUNTA(A1679:E1679)=0,D1679=""),"",IFERROR(INDEX(ca_fam,MATCH(D1679,ca_name,0))&amp;"",""))</f>
        <v/>
      </c>
      <c r="H1679" s="58" t="str">
        <f>IF(OR(COUNTA(A1679:E1679)=0,D1679=""),"",IFERROR(INDEX(ca_type,MATCH(D1679,ca_name,0))&amp;"",""))</f>
        <v/>
      </c>
      <c r="I1679" s="58" t="str">
        <f>IF(COUNTA(A1679:E1679)=0,"",IF(N(A1679)&lt;=0,"Date manquante ou invalide",IF(B1679="","Équipe manquante",IF(ISNA(MATCH(B1679,eq_code,0)),"Équipe inconnue",IF(C1679="","Poste manquant",IF(ISNA(MATCH(C1679,po_code,0)),"Poste inconnu",IF(D1679="","Cause manquante",IF(ISNA(MATCH(D1679,ca_name,0)),"Cause inconnue",IF(H1679="","Cause à compléter dans Paramètres",IF(OR(NOT(ISNUMBER(E1679)),N(E1679)&lt;=0,N(E1679)&gt;1440),"Durée invalide",IF(COUNTIFS(sj_date,A1679,sj_eq,B1679,sj_po,C1679)=0,"Pas de saisie journalière ce jour-là","OK")))))))))))</f>
        <v/>
      </c>
      <c r="J1679">
        <f>IF(OR(I1679="OK",I1679="Pas de saisie journalière ce jour-là"),E1679,0)</f>
        <v>0.0</v>
      </c>
      <c r="K1679">
        <f>IF(AND(J1679&gt;0,A1679&gt;=p_from,A1679&lt;=p_to),1,0)</f>
        <v>0.0</v>
      </c>
      <c r="L1679">
        <f>IF(AND(K1679=1,OR(pa_po="",C1679=pa_po),OR(pa_eq="",B1679=pa_eq)),1,0)</f>
        <v>0.0</v>
      </c>
    </row>
    <row r="1680">
      <c r="A1680" s="51" t="n"/>
      <c r="B1680" s="52" t="n"/>
      <c r="C1680" s="52" t="n"/>
      <c r="D1680" s="53" t="n"/>
      <c r="E1680" s="60" t="n"/>
      <c r="F1680" s="53" t="n"/>
      <c r="G1680" s="61" t="str">
        <f>IF(OR(COUNTA(A1680:E1680)=0,D1680=""),"",IFERROR(INDEX(ca_fam,MATCH(D1680,ca_name,0))&amp;"",""))</f>
        <v/>
      </c>
      <c r="H1680" s="58" t="str">
        <f>IF(OR(COUNTA(A1680:E1680)=0,D1680=""),"",IFERROR(INDEX(ca_type,MATCH(D1680,ca_name,0))&amp;"",""))</f>
        <v/>
      </c>
      <c r="I1680" s="58" t="str">
        <f>IF(COUNTA(A1680:E1680)=0,"",IF(N(A1680)&lt;=0,"Date manquante ou invalide",IF(B1680="","Équipe manquante",IF(ISNA(MATCH(B1680,eq_code,0)),"Équipe inconnue",IF(C1680="","Poste manquant",IF(ISNA(MATCH(C1680,po_code,0)),"Poste inconnu",IF(D1680="","Cause manquante",IF(ISNA(MATCH(D1680,ca_name,0)),"Cause inconnue",IF(H1680="","Cause à compléter dans Paramètres",IF(OR(NOT(ISNUMBER(E1680)),N(E1680)&lt;=0,N(E1680)&gt;1440),"Durée invalide",IF(COUNTIFS(sj_date,A1680,sj_eq,B1680,sj_po,C1680)=0,"Pas de saisie journalière ce jour-là","OK")))))))))))</f>
        <v/>
      </c>
      <c r="J1680">
        <f>IF(OR(I1680="OK",I1680="Pas de saisie journalière ce jour-là"),E1680,0)</f>
        <v>0.0</v>
      </c>
      <c r="K1680">
        <f>IF(AND(J1680&gt;0,A1680&gt;=p_from,A1680&lt;=p_to),1,0)</f>
        <v>0.0</v>
      </c>
      <c r="L1680">
        <f>IF(AND(K1680=1,OR(pa_po="",C1680=pa_po),OR(pa_eq="",B1680=pa_eq)),1,0)</f>
        <v>0.0</v>
      </c>
    </row>
    <row r="1681">
      <c r="A1681" s="51" t="n"/>
      <c r="B1681" s="52" t="n"/>
      <c r="C1681" s="52" t="n"/>
      <c r="D1681" s="53" t="n"/>
      <c r="E1681" s="60" t="n"/>
      <c r="F1681" s="53" t="n"/>
      <c r="G1681" s="61" t="str">
        <f>IF(OR(COUNTA(A1681:E1681)=0,D1681=""),"",IFERROR(INDEX(ca_fam,MATCH(D1681,ca_name,0))&amp;"",""))</f>
        <v/>
      </c>
      <c r="H1681" s="58" t="str">
        <f>IF(OR(COUNTA(A1681:E1681)=0,D1681=""),"",IFERROR(INDEX(ca_type,MATCH(D1681,ca_name,0))&amp;"",""))</f>
        <v/>
      </c>
      <c r="I1681" s="58" t="str">
        <f>IF(COUNTA(A1681:E1681)=0,"",IF(N(A1681)&lt;=0,"Date manquante ou invalide",IF(B1681="","Équipe manquante",IF(ISNA(MATCH(B1681,eq_code,0)),"Équipe inconnue",IF(C1681="","Poste manquant",IF(ISNA(MATCH(C1681,po_code,0)),"Poste inconnu",IF(D1681="","Cause manquante",IF(ISNA(MATCH(D1681,ca_name,0)),"Cause inconnue",IF(H1681="","Cause à compléter dans Paramètres",IF(OR(NOT(ISNUMBER(E1681)),N(E1681)&lt;=0,N(E1681)&gt;1440),"Durée invalide",IF(COUNTIFS(sj_date,A1681,sj_eq,B1681,sj_po,C1681)=0,"Pas de saisie journalière ce jour-là","OK")))))))))))</f>
        <v/>
      </c>
      <c r="J1681">
        <f>IF(OR(I1681="OK",I1681="Pas de saisie journalière ce jour-là"),E1681,0)</f>
        <v>0.0</v>
      </c>
      <c r="K1681">
        <f>IF(AND(J1681&gt;0,A1681&gt;=p_from,A1681&lt;=p_to),1,0)</f>
        <v>0.0</v>
      </c>
      <c r="L1681">
        <f>IF(AND(K1681=1,OR(pa_po="",C1681=pa_po),OR(pa_eq="",B1681=pa_eq)),1,0)</f>
        <v>0.0</v>
      </c>
    </row>
    <row r="1682">
      <c r="A1682" s="51" t="n"/>
      <c r="B1682" s="52" t="n"/>
      <c r="C1682" s="52" t="n"/>
      <c r="D1682" s="53" t="n"/>
      <c r="E1682" s="60" t="n"/>
      <c r="F1682" s="53" t="n"/>
      <c r="G1682" s="61" t="str">
        <f>IF(OR(COUNTA(A1682:E1682)=0,D1682=""),"",IFERROR(INDEX(ca_fam,MATCH(D1682,ca_name,0))&amp;"",""))</f>
        <v/>
      </c>
      <c r="H1682" s="58" t="str">
        <f>IF(OR(COUNTA(A1682:E1682)=0,D1682=""),"",IFERROR(INDEX(ca_type,MATCH(D1682,ca_name,0))&amp;"",""))</f>
        <v/>
      </c>
      <c r="I1682" s="58" t="str">
        <f>IF(COUNTA(A1682:E1682)=0,"",IF(N(A1682)&lt;=0,"Date manquante ou invalide",IF(B1682="","Équipe manquante",IF(ISNA(MATCH(B1682,eq_code,0)),"Équipe inconnue",IF(C1682="","Poste manquant",IF(ISNA(MATCH(C1682,po_code,0)),"Poste inconnu",IF(D1682="","Cause manquante",IF(ISNA(MATCH(D1682,ca_name,0)),"Cause inconnue",IF(H1682="","Cause à compléter dans Paramètres",IF(OR(NOT(ISNUMBER(E1682)),N(E1682)&lt;=0,N(E1682)&gt;1440),"Durée invalide",IF(COUNTIFS(sj_date,A1682,sj_eq,B1682,sj_po,C1682)=0,"Pas de saisie journalière ce jour-là","OK")))))))))))</f>
        <v/>
      </c>
      <c r="J1682">
        <f>IF(OR(I1682="OK",I1682="Pas de saisie journalière ce jour-là"),E1682,0)</f>
        <v>0.0</v>
      </c>
      <c r="K1682">
        <f>IF(AND(J1682&gt;0,A1682&gt;=p_from,A1682&lt;=p_to),1,0)</f>
        <v>0.0</v>
      </c>
      <c r="L1682">
        <f>IF(AND(K1682=1,OR(pa_po="",C1682=pa_po),OR(pa_eq="",B1682=pa_eq)),1,0)</f>
        <v>0.0</v>
      </c>
    </row>
    <row r="1683">
      <c r="A1683" s="51" t="n"/>
      <c r="B1683" s="52" t="n"/>
      <c r="C1683" s="52" t="n"/>
      <c r="D1683" s="53" t="n"/>
      <c r="E1683" s="60" t="n"/>
      <c r="F1683" s="53" t="n"/>
      <c r="G1683" s="61" t="str">
        <f>IF(OR(COUNTA(A1683:E1683)=0,D1683=""),"",IFERROR(INDEX(ca_fam,MATCH(D1683,ca_name,0))&amp;"",""))</f>
        <v/>
      </c>
      <c r="H1683" s="58" t="str">
        <f>IF(OR(COUNTA(A1683:E1683)=0,D1683=""),"",IFERROR(INDEX(ca_type,MATCH(D1683,ca_name,0))&amp;"",""))</f>
        <v/>
      </c>
      <c r="I1683" s="58" t="str">
        <f>IF(COUNTA(A1683:E1683)=0,"",IF(N(A1683)&lt;=0,"Date manquante ou invalide",IF(B1683="","Équipe manquante",IF(ISNA(MATCH(B1683,eq_code,0)),"Équipe inconnue",IF(C1683="","Poste manquant",IF(ISNA(MATCH(C1683,po_code,0)),"Poste inconnu",IF(D1683="","Cause manquante",IF(ISNA(MATCH(D1683,ca_name,0)),"Cause inconnue",IF(H1683="","Cause à compléter dans Paramètres",IF(OR(NOT(ISNUMBER(E1683)),N(E1683)&lt;=0,N(E1683)&gt;1440),"Durée invalide",IF(COUNTIFS(sj_date,A1683,sj_eq,B1683,sj_po,C1683)=0,"Pas de saisie journalière ce jour-là","OK")))))))))))</f>
        <v/>
      </c>
      <c r="J1683">
        <f>IF(OR(I1683="OK",I1683="Pas de saisie journalière ce jour-là"),E1683,0)</f>
        <v>0.0</v>
      </c>
      <c r="K1683">
        <f>IF(AND(J1683&gt;0,A1683&gt;=p_from,A1683&lt;=p_to),1,0)</f>
        <v>0.0</v>
      </c>
      <c r="L1683">
        <f>IF(AND(K1683=1,OR(pa_po="",C1683=pa_po),OR(pa_eq="",B1683=pa_eq)),1,0)</f>
        <v>0.0</v>
      </c>
    </row>
    <row r="1684">
      <c r="A1684" s="51" t="n"/>
      <c r="B1684" s="52" t="n"/>
      <c r="C1684" s="52" t="n"/>
      <c r="D1684" s="53" t="n"/>
      <c r="E1684" s="60" t="n"/>
      <c r="F1684" s="53" t="n"/>
      <c r="G1684" s="61" t="str">
        <f>IF(OR(COUNTA(A1684:E1684)=0,D1684=""),"",IFERROR(INDEX(ca_fam,MATCH(D1684,ca_name,0))&amp;"",""))</f>
        <v/>
      </c>
      <c r="H1684" s="58" t="str">
        <f>IF(OR(COUNTA(A1684:E1684)=0,D1684=""),"",IFERROR(INDEX(ca_type,MATCH(D1684,ca_name,0))&amp;"",""))</f>
        <v/>
      </c>
      <c r="I1684" s="58" t="str">
        <f>IF(COUNTA(A1684:E1684)=0,"",IF(N(A1684)&lt;=0,"Date manquante ou invalide",IF(B1684="","Équipe manquante",IF(ISNA(MATCH(B1684,eq_code,0)),"Équipe inconnue",IF(C1684="","Poste manquant",IF(ISNA(MATCH(C1684,po_code,0)),"Poste inconnu",IF(D1684="","Cause manquante",IF(ISNA(MATCH(D1684,ca_name,0)),"Cause inconnue",IF(H1684="","Cause à compléter dans Paramètres",IF(OR(NOT(ISNUMBER(E1684)),N(E1684)&lt;=0,N(E1684)&gt;1440),"Durée invalide",IF(COUNTIFS(sj_date,A1684,sj_eq,B1684,sj_po,C1684)=0,"Pas de saisie journalière ce jour-là","OK")))))))))))</f>
        <v/>
      </c>
      <c r="J1684">
        <f>IF(OR(I1684="OK",I1684="Pas de saisie journalière ce jour-là"),E1684,0)</f>
        <v>0.0</v>
      </c>
      <c r="K1684">
        <f>IF(AND(J1684&gt;0,A1684&gt;=p_from,A1684&lt;=p_to),1,0)</f>
        <v>0.0</v>
      </c>
      <c r="L1684">
        <f>IF(AND(K1684=1,OR(pa_po="",C1684=pa_po),OR(pa_eq="",B1684=pa_eq)),1,0)</f>
        <v>0.0</v>
      </c>
    </row>
    <row r="1685">
      <c r="A1685" s="51" t="n"/>
      <c r="B1685" s="52" t="n"/>
      <c r="C1685" s="52" t="n"/>
      <c r="D1685" s="53" t="n"/>
      <c r="E1685" s="60" t="n"/>
      <c r="F1685" s="53" t="n"/>
      <c r="G1685" s="61" t="str">
        <f>IF(OR(COUNTA(A1685:E1685)=0,D1685=""),"",IFERROR(INDEX(ca_fam,MATCH(D1685,ca_name,0))&amp;"",""))</f>
        <v/>
      </c>
      <c r="H1685" s="58" t="str">
        <f>IF(OR(COUNTA(A1685:E1685)=0,D1685=""),"",IFERROR(INDEX(ca_type,MATCH(D1685,ca_name,0))&amp;"",""))</f>
        <v/>
      </c>
      <c r="I1685" s="58" t="str">
        <f>IF(COUNTA(A1685:E1685)=0,"",IF(N(A1685)&lt;=0,"Date manquante ou invalide",IF(B1685="","Équipe manquante",IF(ISNA(MATCH(B1685,eq_code,0)),"Équipe inconnue",IF(C1685="","Poste manquant",IF(ISNA(MATCH(C1685,po_code,0)),"Poste inconnu",IF(D1685="","Cause manquante",IF(ISNA(MATCH(D1685,ca_name,0)),"Cause inconnue",IF(H1685="","Cause à compléter dans Paramètres",IF(OR(NOT(ISNUMBER(E1685)),N(E1685)&lt;=0,N(E1685)&gt;1440),"Durée invalide",IF(COUNTIFS(sj_date,A1685,sj_eq,B1685,sj_po,C1685)=0,"Pas de saisie journalière ce jour-là","OK")))))))))))</f>
        <v/>
      </c>
      <c r="J1685">
        <f>IF(OR(I1685="OK",I1685="Pas de saisie journalière ce jour-là"),E1685,0)</f>
        <v>0.0</v>
      </c>
      <c r="K1685">
        <f>IF(AND(J1685&gt;0,A1685&gt;=p_from,A1685&lt;=p_to),1,0)</f>
        <v>0.0</v>
      </c>
      <c r="L1685">
        <f>IF(AND(K1685=1,OR(pa_po="",C1685=pa_po),OR(pa_eq="",B1685=pa_eq)),1,0)</f>
        <v>0.0</v>
      </c>
    </row>
    <row r="1686">
      <c r="A1686" s="51" t="n"/>
      <c r="B1686" s="52" t="n"/>
      <c r="C1686" s="52" t="n"/>
      <c r="D1686" s="53" t="n"/>
      <c r="E1686" s="60" t="n"/>
      <c r="F1686" s="53" t="n"/>
      <c r="G1686" s="61" t="str">
        <f>IF(OR(COUNTA(A1686:E1686)=0,D1686=""),"",IFERROR(INDEX(ca_fam,MATCH(D1686,ca_name,0))&amp;"",""))</f>
        <v/>
      </c>
      <c r="H1686" s="58" t="str">
        <f>IF(OR(COUNTA(A1686:E1686)=0,D1686=""),"",IFERROR(INDEX(ca_type,MATCH(D1686,ca_name,0))&amp;"",""))</f>
        <v/>
      </c>
      <c r="I1686" s="58" t="str">
        <f>IF(COUNTA(A1686:E1686)=0,"",IF(N(A1686)&lt;=0,"Date manquante ou invalide",IF(B1686="","Équipe manquante",IF(ISNA(MATCH(B1686,eq_code,0)),"Équipe inconnue",IF(C1686="","Poste manquant",IF(ISNA(MATCH(C1686,po_code,0)),"Poste inconnu",IF(D1686="","Cause manquante",IF(ISNA(MATCH(D1686,ca_name,0)),"Cause inconnue",IF(H1686="","Cause à compléter dans Paramètres",IF(OR(NOT(ISNUMBER(E1686)),N(E1686)&lt;=0,N(E1686)&gt;1440),"Durée invalide",IF(COUNTIFS(sj_date,A1686,sj_eq,B1686,sj_po,C1686)=0,"Pas de saisie journalière ce jour-là","OK")))))))))))</f>
        <v/>
      </c>
      <c r="J1686">
        <f>IF(OR(I1686="OK",I1686="Pas de saisie journalière ce jour-là"),E1686,0)</f>
        <v>0.0</v>
      </c>
      <c r="K1686">
        <f>IF(AND(J1686&gt;0,A1686&gt;=p_from,A1686&lt;=p_to),1,0)</f>
        <v>0.0</v>
      </c>
      <c r="L1686">
        <f>IF(AND(K1686=1,OR(pa_po="",C1686=pa_po),OR(pa_eq="",B1686=pa_eq)),1,0)</f>
        <v>0.0</v>
      </c>
    </row>
    <row r="1687">
      <c r="A1687" s="51" t="n"/>
      <c r="B1687" s="52" t="n"/>
      <c r="C1687" s="52" t="n"/>
      <c r="D1687" s="53" t="n"/>
      <c r="E1687" s="60" t="n"/>
      <c r="F1687" s="53" t="n"/>
      <c r="G1687" s="61" t="str">
        <f>IF(OR(COUNTA(A1687:E1687)=0,D1687=""),"",IFERROR(INDEX(ca_fam,MATCH(D1687,ca_name,0))&amp;"",""))</f>
        <v/>
      </c>
      <c r="H1687" s="58" t="str">
        <f>IF(OR(COUNTA(A1687:E1687)=0,D1687=""),"",IFERROR(INDEX(ca_type,MATCH(D1687,ca_name,0))&amp;"",""))</f>
        <v/>
      </c>
      <c r="I1687" s="58" t="str">
        <f>IF(COUNTA(A1687:E1687)=0,"",IF(N(A1687)&lt;=0,"Date manquante ou invalide",IF(B1687="","Équipe manquante",IF(ISNA(MATCH(B1687,eq_code,0)),"Équipe inconnue",IF(C1687="","Poste manquant",IF(ISNA(MATCH(C1687,po_code,0)),"Poste inconnu",IF(D1687="","Cause manquante",IF(ISNA(MATCH(D1687,ca_name,0)),"Cause inconnue",IF(H1687="","Cause à compléter dans Paramètres",IF(OR(NOT(ISNUMBER(E1687)),N(E1687)&lt;=0,N(E1687)&gt;1440),"Durée invalide",IF(COUNTIFS(sj_date,A1687,sj_eq,B1687,sj_po,C1687)=0,"Pas de saisie journalière ce jour-là","OK")))))))))))</f>
        <v/>
      </c>
      <c r="J1687">
        <f>IF(OR(I1687="OK",I1687="Pas de saisie journalière ce jour-là"),E1687,0)</f>
        <v>0.0</v>
      </c>
      <c r="K1687">
        <f>IF(AND(J1687&gt;0,A1687&gt;=p_from,A1687&lt;=p_to),1,0)</f>
        <v>0.0</v>
      </c>
      <c r="L1687">
        <f>IF(AND(K1687=1,OR(pa_po="",C1687=pa_po),OR(pa_eq="",B1687=pa_eq)),1,0)</f>
        <v>0.0</v>
      </c>
    </row>
    <row r="1688">
      <c r="A1688" s="51" t="n"/>
      <c r="B1688" s="52" t="n"/>
      <c r="C1688" s="52" t="n"/>
      <c r="D1688" s="53" t="n"/>
      <c r="E1688" s="60" t="n"/>
      <c r="F1688" s="53" t="n"/>
      <c r="G1688" s="61" t="str">
        <f>IF(OR(COUNTA(A1688:E1688)=0,D1688=""),"",IFERROR(INDEX(ca_fam,MATCH(D1688,ca_name,0))&amp;"",""))</f>
        <v/>
      </c>
      <c r="H1688" s="58" t="str">
        <f>IF(OR(COUNTA(A1688:E1688)=0,D1688=""),"",IFERROR(INDEX(ca_type,MATCH(D1688,ca_name,0))&amp;"",""))</f>
        <v/>
      </c>
      <c r="I1688" s="58" t="str">
        <f>IF(COUNTA(A1688:E1688)=0,"",IF(N(A1688)&lt;=0,"Date manquante ou invalide",IF(B1688="","Équipe manquante",IF(ISNA(MATCH(B1688,eq_code,0)),"Équipe inconnue",IF(C1688="","Poste manquant",IF(ISNA(MATCH(C1688,po_code,0)),"Poste inconnu",IF(D1688="","Cause manquante",IF(ISNA(MATCH(D1688,ca_name,0)),"Cause inconnue",IF(H1688="","Cause à compléter dans Paramètres",IF(OR(NOT(ISNUMBER(E1688)),N(E1688)&lt;=0,N(E1688)&gt;1440),"Durée invalide",IF(COUNTIFS(sj_date,A1688,sj_eq,B1688,sj_po,C1688)=0,"Pas de saisie journalière ce jour-là","OK")))))))))))</f>
        <v/>
      </c>
      <c r="J1688">
        <f>IF(OR(I1688="OK",I1688="Pas de saisie journalière ce jour-là"),E1688,0)</f>
        <v>0.0</v>
      </c>
      <c r="K1688">
        <f>IF(AND(J1688&gt;0,A1688&gt;=p_from,A1688&lt;=p_to),1,0)</f>
        <v>0.0</v>
      </c>
      <c r="L1688">
        <f>IF(AND(K1688=1,OR(pa_po="",C1688=pa_po),OR(pa_eq="",B1688=pa_eq)),1,0)</f>
        <v>0.0</v>
      </c>
    </row>
    <row r="1689">
      <c r="A1689" s="51" t="n"/>
      <c r="B1689" s="52" t="n"/>
      <c r="C1689" s="52" t="n"/>
      <c r="D1689" s="53" t="n"/>
      <c r="E1689" s="60" t="n"/>
      <c r="F1689" s="53" t="n"/>
      <c r="G1689" s="61" t="str">
        <f>IF(OR(COUNTA(A1689:E1689)=0,D1689=""),"",IFERROR(INDEX(ca_fam,MATCH(D1689,ca_name,0))&amp;"",""))</f>
        <v/>
      </c>
      <c r="H1689" s="58" t="str">
        <f>IF(OR(COUNTA(A1689:E1689)=0,D1689=""),"",IFERROR(INDEX(ca_type,MATCH(D1689,ca_name,0))&amp;"",""))</f>
        <v/>
      </c>
      <c r="I1689" s="58" t="str">
        <f>IF(COUNTA(A1689:E1689)=0,"",IF(N(A1689)&lt;=0,"Date manquante ou invalide",IF(B1689="","Équipe manquante",IF(ISNA(MATCH(B1689,eq_code,0)),"Équipe inconnue",IF(C1689="","Poste manquant",IF(ISNA(MATCH(C1689,po_code,0)),"Poste inconnu",IF(D1689="","Cause manquante",IF(ISNA(MATCH(D1689,ca_name,0)),"Cause inconnue",IF(H1689="","Cause à compléter dans Paramètres",IF(OR(NOT(ISNUMBER(E1689)),N(E1689)&lt;=0,N(E1689)&gt;1440),"Durée invalide",IF(COUNTIFS(sj_date,A1689,sj_eq,B1689,sj_po,C1689)=0,"Pas de saisie journalière ce jour-là","OK")))))))))))</f>
        <v/>
      </c>
      <c r="J1689">
        <f>IF(OR(I1689="OK",I1689="Pas de saisie journalière ce jour-là"),E1689,0)</f>
        <v>0.0</v>
      </c>
      <c r="K1689">
        <f>IF(AND(J1689&gt;0,A1689&gt;=p_from,A1689&lt;=p_to),1,0)</f>
        <v>0.0</v>
      </c>
      <c r="L1689">
        <f>IF(AND(K1689=1,OR(pa_po="",C1689=pa_po),OR(pa_eq="",B1689=pa_eq)),1,0)</f>
        <v>0.0</v>
      </c>
    </row>
    <row r="1690">
      <c r="A1690" s="51" t="n"/>
      <c r="B1690" s="52" t="n"/>
      <c r="C1690" s="52" t="n"/>
      <c r="D1690" s="53" t="n"/>
      <c r="E1690" s="60" t="n"/>
      <c r="F1690" s="53" t="n"/>
      <c r="G1690" s="61" t="str">
        <f>IF(OR(COUNTA(A1690:E1690)=0,D1690=""),"",IFERROR(INDEX(ca_fam,MATCH(D1690,ca_name,0))&amp;"",""))</f>
        <v/>
      </c>
      <c r="H1690" s="58" t="str">
        <f>IF(OR(COUNTA(A1690:E1690)=0,D1690=""),"",IFERROR(INDEX(ca_type,MATCH(D1690,ca_name,0))&amp;"",""))</f>
        <v/>
      </c>
      <c r="I1690" s="58" t="str">
        <f>IF(COUNTA(A1690:E1690)=0,"",IF(N(A1690)&lt;=0,"Date manquante ou invalide",IF(B1690="","Équipe manquante",IF(ISNA(MATCH(B1690,eq_code,0)),"Équipe inconnue",IF(C1690="","Poste manquant",IF(ISNA(MATCH(C1690,po_code,0)),"Poste inconnu",IF(D1690="","Cause manquante",IF(ISNA(MATCH(D1690,ca_name,0)),"Cause inconnue",IF(H1690="","Cause à compléter dans Paramètres",IF(OR(NOT(ISNUMBER(E1690)),N(E1690)&lt;=0,N(E1690)&gt;1440),"Durée invalide",IF(COUNTIFS(sj_date,A1690,sj_eq,B1690,sj_po,C1690)=0,"Pas de saisie journalière ce jour-là","OK")))))))))))</f>
        <v/>
      </c>
      <c r="J1690">
        <f>IF(OR(I1690="OK",I1690="Pas de saisie journalière ce jour-là"),E1690,0)</f>
        <v>0.0</v>
      </c>
      <c r="K1690">
        <f>IF(AND(J1690&gt;0,A1690&gt;=p_from,A1690&lt;=p_to),1,0)</f>
        <v>0.0</v>
      </c>
      <c r="L1690">
        <f>IF(AND(K1690=1,OR(pa_po="",C1690=pa_po),OR(pa_eq="",B1690=pa_eq)),1,0)</f>
        <v>0.0</v>
      </c>
    </row>
    <row r="1691">
      <c r="A1691" s="51" t="n"/>
      <c r="B1691" s="52" t="n"/>
      <c r="C1691" s="52" t="n"/>
      <c r="D1691" s="53" t="n"/>
      <c r="E1691" s="60" t="n"/>
      <c r="F1691" s="53" t="n"/>
      <c r="G1691" s="61" t="str">
        <f>IF(OR(COUNTA(A1691:E1691)=0,D1691=""),"",IFERROR(INDEX(ca_fam,MATCH(D1691,ca_name,0))&amp;"",""))</f>
        <v/>
      </c>
      <c r="H1691" s="58" t="str">
        <f>IF(OR(COUNTA(A1691:E1691)=0,D1691=""),"",IFERROR(INDEX(ca_type,MATCH(D1691,ca_name,0))&amp;"",""))</f>
        <v/>
      </c>
      <c r="I1691" s="58" t="str">
        <f>IF(COUNTA(A1691:E1691)=0,"",IF(N(A1691)&lt;=0,"Date manquante ou invalide",IF(B1691="","Équipe manquante",IF(ISNA(MATCH(B1691,eq_code,0)),"Équipe inconnue",IF(C1691="","Poste manquant",IF(ISNA(MATCH(C1691,po_code,0)),"Poste inconnu",IF(D1691="","Cause manquante",IF(ISNA(MATCH(D1691,ca_name,0)),"Cause inconnue",IF(H1691="","Cause à compléter dans Paramètres",IF(OR(NOT(ISNUMBER(E1691)),N(E1691)&lt;=0,N(E1691)&gt;1440),"Durée invalide",IF(COUNTIFS(sj_date,A1691,sj_eq,B1691,sj_po,C1691)=0,"Pas de saisie journalière ce jour-là","OK")))))))))))</f>
        <v/>
      </c>
      <c r="J1691">
        <f>IF(OR(I1691="OK",I1691="Pas de saisie journalière ce jour-là"),E1691,0)</f>
        <v>0.0</v>
      </c>
      <c r="K1691">
        <f>IF(AND(J1691&gt;0,A1691&gt;=p_from,A1691&lt;=p_to),1,0)</f>
        <v>0.0</v>
      </c>
      <c r="L1691">
        <f>IF(AND(K1691=1,OR(pa_po="",C1691=pa_po),OR(pa_eq="",B1691=pa_eq)),1,0)</f>
        <v>0.0</v>
      </c>
    </row>
    <row r="1692">
      <c r="A1692" s="51" t="n"/>
      <c r="B1692" s="52" t="n"/>
      <c r="C1692" s="52" t="n"/>
      <c r="D1692" s="53" t="n"/>
      <c r="E1692" s="60" t="n"/>
      <c r="F1692" s="53" t="n"/>
      <c r="G1692" s="61" t="str">
        <f>IF(OR(COUNTA(A1692:E1692)=0,D1692=""),"",IFERROR(INDEX(ca_fam,MATCH(D1692,ca_name,0))&amp;"",""))</f>
        <v/>
      </c>
      <c r="H1692" s="58" t="str">
        <f>IF(OR(COUNTA(A1692:E1692)=0,D1692=""),"",IFERROR(INDEX(ca_type,MATCH(D1692,ca_name,0))&amp;"",""))</f>
        <v/>
      </c>
      <c r="I1692" s="58" t="str">
        <f>IF(COUNTA(A1692:E1692)=0,"",IF(N(A1692)&lt;=0,"Date manquante ou invalide",IF(B1692="","Équipe manquante",IF(ISNA(MATCH(B1692,eq_code,0)),"Équipe inconnue",IF(C1692="","Poste manquant",IF(ISNA(MATCH(C1692,po_code,0)),"Poste inconnu",IF(D1692="","Cause manquante",IF(ISNA(MATCH(D1692,ca_name,0)),"Cause inconnue",IF(H1692="","Cause à compléter dans Paramètres",IF(OR(NOT(ISNUMBER(E1692)),N(E1692)&lt;=0,N(E1692)&gt;1440),"Durée invalide",IF(COUNTIFS(sj_date,A1692,sj_eq,B1692,sj_po,C1692)=0,"Pas de saisie journalière ce jour-là","OK")))))))))))</f>
        <v/>
      </c>
      <c r="J1692">
        <f>IF(OR(I1692="OK",I1692="Pas de saisie journalière ce jour-là"),E1692,0)</f>
        <v>0.0</v>
      </c>
      <c r="K1692">
        <f>IF(AND(J1692&gt;0,A1692&gt;=p_from,A1692&lt;=p_to),1,0)</f>
        <v>0.0</v>
      </c>
      <c r="L1692">
        <f>IF(AND(K1692=1,OR(pa_po="",C1692=pa_po),OR(pa_eq="",B1692=pa_eq)),1,0)</f>
        <v>0.0</v>
      </c>
    </row>
    <row r="1693">
      <c r="A1693" s="51" t="n"/>
      <c r="B1693" s="52" t="n"/>
      <c r="C1693" s="52" t="n"/>
      <c r="D1693" s="53" t="n"/>
      <c r="E1693" s="60" t="n"/>
      <c r="F1693" s="53" t="n"/>
      <c r="G1693" s="61" t="str">
        <f>IF(OR(COUNTA(A1693:E1693)=0,D1693=""),"",IFERROR(INDEX(ca_fam,MATCH(D1693,ca_name,0))&amp;"",""))</f>
        <v/>
      </c>
      <c r="H1693" s="58" t="str">
        <f>IF(OR(COUNTA(A1693:E1693)=0,D1693=""),"",IFERROR(INDEX(ca_type,MATCH(D1693,ca_name,0))&amp;"",""))</f>
        <v/>
      </c>
      <c r="I1693" s="58" t="str">
        <f>IF(COUNTA(A1693:E1693)=0,"",IF(N(A1693)&lt;=0,"Date manquante ou invalide",IF(B1693="","Équipe manquante",IF(ISNA(MATCH(B1693,eq_code,0)),"Équipe inconnue",IF(C1693="","Poste manquant",IF(ISNA(MATCH(C1693,po_code,0)),"Poste inconnu",IF(D1693="","Cause manquante",IF(ISNA(MATCH(D1693,ca_name,0)),"Cause inconnue",IF(H1693="","Cause à compléter dans Paramètres",IF(OR(NOT(ISNUMBER(E1693)),N(E1693)&lt;=0,N(E1693)&gt;1440),"Durée invalide",IF(COUNTIFS(sj_date,A1693,sj_eq,B1693,sj_po,C1693)=0,"Pas de saisie journalière ce jour-là","OK")))))))))))</f>
        <v/>
      </c>
      <c r="J1693">
        <f>IF(OR(I1693="OK",I1693="Pas de saisie journalière ce jour-là"),E1693,0)</f>
        <v>0.0</v>
      </c>
      <c r="K1693">
        <f>IF(AND(J1693&gt;0,A1693&gt;=p_from,A1693&lt;=p_to),1,0)</f>
        <v>0.0</v>
      </c>
      <c r="L1693">
        <f>IF(AND(K1693=1,OR(pa_po="",C1693=pa_po),OR(pa_eq="",B1693=pa_eq)),1,0)</f>
        <v>0.0</v>
      </c>
    </row>
    <row r="1694">
      <c r="A1694" s="51" t="n"/>
      <c r="B1694" s="52" t="n"/>
      <c r="C1694" s="52" t="n"/>
      <c r="D1694" s="53" t="n"/>
      <c r="E1694" s="60" t="n"/>
      <c r="F1694" s="53" t="n"/>
      <c r="G1694" s="61" t="str">
        <f>IF(OR(COUNTA(A1694:E1694)=0,D1694=""),"",IFERROR(INDEX(ca_fam,MATCH(D1694,ca_name,0))&amp;"",""))</f>
        <v/>
      </c>
      <c r="H1694" s="58" t="str">
        <f>IF(OR(COUNTA(A1694:E1694)=0,D1694=""),"",IFERROR(INDEX(ca_type,MATCH(D1694,ca_name,0))&amp;"",""))</f>
        <v/>
      </c>
      <c r="I1694" s="58" t="str">
        <f>IF(COUNTA(A1694:E1694)=0,"",IF(N(A1694)&lt;=0,"Date manquante ou invalide",IF(B1694="","Équipe manquante",IF(ISNA(MATCH(B1694,eq_code,0)),"Équipe inconnue",IF(C1694="","Poste manquant",IF(ISNA(MATCH(C1694,po_code,0)),"Poste inconnu",IF(D1694="","Cause manquante",IF(ISNA(MATCH(D1694,ca_name,0)),"Cause inconnue",IF(H1694="","Cause à compléter dans Paramètres",IF(OR(NOT(ISNUMBER(E1694)),N(E1694)&lt;=0,N(E1694)&gt;1440),"Durée invalide",IF(COUNTIFS(sj_date,A1694,sj_eq,B1694,sj_po,C1694)=0,"Pas de saisie journalière ce jour-là","OK")))))))))))</f>
        <v/>
      </c>
      <c r="J1694">
        <f>IF(OR(I1694="OK",I1694="Pas de saisie journalière ce jour-là"),E1694,0)</f>
        <v>0.0</v>
      </c>
      <c r="K1694">
        <f>IF(AND(J1694&gt;0,A1694&gt;=p_from,A1694&lt;=p_to),1,0)</f>
        <v>0.0</v>
      </c>
      <c r="L1694">
        <f>IF(AND(K1694=1,OR(pa_po="",C1694=pa_po),OR(pa_eq="",B1694=pa_eq)),1,0)</f>
        <v>0.0</v>
      </c>
    </row>
    <row r="1695">
      <c r="A1695" s="51" t="n"/>
      <c r="B1695" s="52" t="n"/>
      <c r="C1695" s="52" t="n"/>
      <c r="D1695" s="53" t="n"/>
      <c r="E1695" s="60" t="n"/>
      <c r="F1695" s="53" t="n"/>
      <c r="G1695" s="61" t="str">
        <f>IF(OR(COUNTA(A1695:E1695)=0,D1695=""),"",IFERROR(INDEX(ca_fam,MATCH(D1695,ca_name,0))&amp;"",""))</f>
        <v/>
      </c>
      <c r="H1695" s="58" t="str">
        <f>IF(OR(COUNTA(A1695:E1695)=0,D1695=""),"",IFERROR(INDEX(ca_type,MATCH(D1695,ca_name,0))&amp;"",""))</f>
        <v/>
      </c>
      <c r="I1695" s="58" t="str">
        <f>IF(COUNTA(A1695:E1695)=0,"",IF(N(A1695)&lt;=0,"Date manquante ou invalide",IF(B1695="","Équipe manquante",IF(ISNA(MATCH(B1695,eq_code,0)),"Équipe inconnue",IF(C1695="","Poste manquant",IF(ISNA(MATCH(C1695,po_code,0)),"Poste inconnu",IF(D1695="","Cause manquante",IF(ISNA(MATCH(D1695,ca_name,0)),"Cause inconnue",IF(H1695="","Cause à compléter dans Paramètres",IF(OR(NOT(ISNUMBER(E1695)),N(E1695)&lt;=0,N(E1695)&gt;1440),"Durée invalide",IF(COUNTIFS(sj_date,A1695,sj_eq,B1695,sj_po,C1695)=0,"Pas de saisie journalière ce jour-là","OK")))))))))))</f>
        <v/>
      </c>
      <c r="J1695">
        <f>IF(OR(I1695="OK",I1695="Pas de saisie journalière ce jour-là"),E1695,0)</f>
        <v>0.0</v>
      </c>
      <c r="K1695">
        <f>IF(AND(J1695&gt;0,A1695&gt;=p_from,A1695&lt;=p_to),1,0)</f>
        <v>0.0</v>
      </c>
      <c r="L1695">
        <f>IF(AND(K1695=1,OR(pa_po="",C1695=pa_po),OR(pa_eq="",B1695=pa_eq)),1,0)</f>
        <v>0.0</v>
      </c>
    </row>
    <row r="1696">
      <c r="A1696" s="51" t="n"/>
      <c r="B1696" s="52" t="n"/>
      <c r="C1696" s="52" t="n"/>
      <c r="D1696" s="53" t="n"/>
      <c r="E1696" s="60" t="n"/>
      <c r="F1696" s="53" t="n"/>
      <c r="G1696" s="61" t="str">
        <f>IF(OR(COUNTA(A1696:E1696)=0,D1696=""),"",IFERROR(INDEX(ca_fam,MATCH(D1696,ca_name,0))&amp;"",""))</f>
        <v/>
      </c>
      <c r="H1696" s="58" t="str">
        <f>IF(OR(COUNTA(A1696:E1696)=0,D1696=""),"",IFERROR(INDEX(ca_type,MATCH(D1696,ca_name,0))&amp;"",""))</f>
        <v/>
      </c>
      <c r="I1696" s="58" t="str">
        <f>IF(COUNTA(A1696:E1696)=0,"",IF(N(A1696)&lt;=0,"Date manquante ou invalide",IF(B1696="","Équipe manquante",IF(ISNA(MATCH(B1696,eq_code,0)),"Équipe inconnue",IF(C1696="","Poste manquant",IF(ISNA(MATCH(C1696,po_code,0)),"Poste inconnu",IF(D1696="","Cause manquante",IF(ISNA(MATCH(D1696,ca_name,0)),"Cause inconnue",IF(H1696="","Cause à compléter dans Paramètres",IF(OR(NOT(ISNUMBER(E1696)),N(E1696)&lt;=0,N(E1696)&gt;1440),"Durée invalide",IF(COUNTIFS(sj_date,A1696,sj_eq,B1696,sj_po,C1696)=0,"Pas de saisie journalière ce jour-là","OK")))))))))))</f>
        <v/>
      </c>
      <c r="J1696">
        <f>IF(OR(I1696="OK",I1696="Pas de saisie journalière ce jour-là"),E1696,0)</f>
        <v>0.0</v>
      </c>
      <c r="K1696">
        <f>IF(AND(J1696&gt;0,A1696&gt;=p_from,A1696&lt;=p_to),1,0)</f>
        <v>0.0</v>
      </c>
      <c r="L1696">
        <f>IF(AND(K1696=1,OR(pa_po="",C1696=pa_po),OR(pa_eq="",B1696=pa_eq)),1,0)</f>
        <v>0.0</v>
      </c>
    </row>
    <row r="1697">
      <c r="A1697" s="51" t="n"/>
      <c r="B1697" s="52" t="n"/>
      <c r="C1697" s="52" t="n"/>
      <c r="D1697" s="53" t="n"/>
      <c r="E1697" s="60" t="n"/>
      <c r="F1697" s="53" t="n"/>
      <c r="G1697" s="61" t="str">
        <f>IF(OR(COUNTA(A1697:E1697)=0,D1697=""),"",IFERROR(INDEX(ca_fam,MATCH(D1697,ca_name,0))&amp;"",""))</f>
        <v/>
      </c>
      <c r="H1697" s="58" t="str">
        <f>IF(OR(COUNTA(A1697:E1697)=0,D1697=""),"",IFERROR(INDEX(ca_type,MATCH(D1697,ca_name,0))&amp;"",""))</f>
        <v/>
      </c>
      <c r="I1697" s="58" t="str">
        <f>IF(COUNTA(A1697:E1697)=0,"",IF(N(A1697)&lt;=0,"Date manquante ou invalide",IF(B1697="","Équipe manquante",IF(ISNA(MATCH(B1697,eq_code,0)),"Équipe inconnue",IF(C1697="","Poste manquant",IF(ISNA(MATCH(C1697,po_code,0)),"Poste inconnu",IF(D1697="","Cause manquante",IF(ISNA(MATCH(D1697,ca_name,0)),"Cause inconnue",IF(H1697="","Cause à compléter dans Paramètres",IF(OR(NOT(ISNUMBER(E1697)),N(E1697)&lt;=0,N(E1697)&gt;1440),"Durée invalide",IF(COUNTIFS(sj_date,A1697,sj_eq,B1697,sj_po,C1697)=0,"Pas de saisie journalière ce jour-là","OK")))))))))))</f>
        <v/>
      </c>
      <c r="J1697">
        <f>IF(OR(I1697="OK",I1697="Pas de saisie journalière ce jour-là"),E1697,0)</f>
        <v>0.0</v>
      </c>
      <c r="K1697">
        <f>IF(AND(J1697&gt;0,A1697&gt;=p_from,A1697&lt;=p_to),1,0)</f>
        <v>0.0</v>
      </c>
      <c r="L1697">
        <f>IF(AND(K1697=1,OR(pa_po="",C1697=pa_po),OR(pa_eq="",B1697=pa_eq)),1,0)</f>
        <v>0.0</v>
      </c>
    </row>
    <row r="1698">
      <c r="A1698" s="51" t="n"/>
      <c r="B1698" s="52" t="n"/>
      <c r="C1698" s="52" t="n"/>
      <c r="D1698" s="53" t="n"/>
      <c r="E1698" s="60" t="n"/>
      <c r="F1698" s="53" t="n"/>
      <c r="G1698" s="61" t="str">
        <f>IF(OR(COUNTA(A1698:E1698)=0,D1698=""),"",IFERROR(INDEX(ca_fam,MATCH(D1698,ca_name,0))&amp;"",""))</f>
        <v/>
      </c>
      <c r="H1698" s="58" t="str">
        <f>IF(OR(COUNTA(A1698:E1698)=0,D1698=""),"",IFERROR(INDEX(ca_type,MATCH(D1698,ca_name,0))&amp;"",""))</f>
        <v/>
      </c>
      <c r="I1698" s="58" t="str">
        <f>IF(COUNTA(A1698:E1698)=0,"",IF(N(A1698)&lt;=0,"Date manquante ou invalide",IF(B1698="","Équipe manquante",IF(ISNA(MATCH(B1698,eq_code,0)),"Équipe inconnue",IF(C1698="","Poste manquant",IF(ISNA(MATCH(C1698,po_code,0)),"Poste inconnu",IF(D1698="","Cause manquante",IF(ISNA(MATCH(D1698,ca_name,0)),"Cause inconnue",IF(H1698="","Cause à compléter dans Paramètres",IF(OR(NOT(ISNUMBER(E1698)),N(E1698)&lt;=0,N(E1698)&gt;1440),"Durée invalide",IF(COUNTIFS(sj_date,A1698,sj_eq,B1698,sj_po,C1698)=0,"Pas de saisie journalière ce jour-là","OK")))))))))))</f>
        <v/>
      </c>
      <c r="J1698">
        <f>IF(OR(I1698="OK",I1698="Pas de saisie journalière ce jour-là"),E1698,0)</f>
        <v>0.0</v>
      </c>
      <c r="K1698">
        <f>IF(AND(J1698&gt;0,A1698&gt;=p_from,A1698&lt;=p_to),1,0)</f>
        <v>0.0</v>
      </c>
      <c r="L1698">
        <f>IF(AND(K1698=1,OR(pa_po="",C1698=pa_po),OR(pa_eq="",B1698=pa_eq)),1,0)</f>
        <v>0.0</v>
      </c>
    </row>
    <row r="1699">
      <c r="A1699" s="51" t="n"/>
      <c r="B1699" s="52" t="n"/>
      <c r="C1699" s="52" t="n"/>
      <c r="D1699" s="53" t="n"/>
      <c r="E1699" s="60" t="n"/>
      <c r="F1699" s="53" t="n"/>
      <c r="G1699" s="61" t="str">
        <f>IF(OR(COUNTA(A1699:E1699)=0,D1699=""),"",IFERROR(INDEX(ca_fam,MATCH(D1699,ca_name,0))&amp;"",""))</f>
        <v/>
      </c>
      <c r="H1699" s="58" t="str">
        <f>IF(OR(COUNTA(A1699:E1699)=0,D1699=""),"",IFERROR(INDEX(ca_type,MATCH(D1699,ca_name,0))&amp;"",""))</f>
        <v/>
      </c>
      <c r="I1699" s="58" t="str">
        <f>IF(COUNTA(A1699:E1699)=0,"",IF(N(A1699)&lt;=0,"Date manquante ou invalide",IF(B1699="","Équipe manquante",IF(ISNA(MATCH(B1699,eq_code,0)),"Équipe inconnue",IF(C1699="","Poste manquant",IF(ISNA(MATCH(C1699,po_code,0)),"Poste inconnu",IF(D1699="","Cause manquante",IF(ISNA(MATCH(D1699,ca_name,0)),"Cause inconnue",IF(H1699="","Cause à compléter dans Paramètres",IF(OR(NOT(ISNUMBER(E1699)),N(E1699)&lt;=0,N(E1699)&gt;1440),"Durée invalide",IF(COUNTIFS(sj_date,A1699,sj_eq,B1699,sj_po,C1699)=0,"Pas de saisie journalière ce jour-là","OK")))))))))))</f>
        <v/>
      </c>
      <c r="J1699">
        <f>IF(OR(I1699="OK",I1699="Pas de saisie journalière ce jour-là"),E1699,0)</f>
        <v>0.0</v>
      </c>
      <c r="K1699">
        <f>IF(AND(J1699&gt;0,A1699&gt;=p_from,A1699&lt;=p_to),1,0)</f>
        <v>0.0</v>
      </c>
      <c r="L1699">
        <f>IF(AND(K1699=1,OR(pa_po="",C1699=pa_po),OR(pa_eq="",B1699=pa_eq)),1,0)</f>
        <v>0.0</v>
      </c>
    </row>
    <row r="1700">
      <c r="A1700" s="51" t="n"/>
      <c r="B1700" s="52" t="n"/>
      <c r="C1700" s="52" t="n"/>
      <c r="D1700" s="53" t="n"/>
      <c r="E1700" s="60" t="n"/>
      <c r="F1700" s="53" t="n"/>
      <c r="G1700" s="61" t="str">
        <f>IF(OR(COUNTA(A1700:E1700)=0,D1700=""),"",IFERROR(INDEX(ca_fam,MATCH(D1700,ca_name,0))&amp;"",""))</f>
        <v/>
      </c>
      <c r="H1700" s="58" t="str">
        <f>IF(OR(COUNTA(A1700:E1700)=0,D1700=""),"",IFERROR(INDEX(ca_type,MATCH(D1700,ca_name,0))&amp;"",""))</f>
        <v/>
      </c>
      <c r="I1700" s="58" t="str">
        <f>IF(COUNTA(A1700:E1700)=0,"",IF(N(A1700)&lt;=0,"Date manquante ou invalide",IF(B1700="","Équipe manquante",IF(ISNA(MATCH(B1700,eq_code,0)),"Équipe inconnue",IF(C1700="","Poste manquant",IF(ISNA(MATCH(C1700,po_code,0)),"Poste inconnu",IF(D1700="","Cause manquante",IF(ISNA(MATCH(D1700,ca_name,0)),"Cause inconnue",IF(H1700="","Cause à compléter dans Paramètres",IF(OR(NOT(ISNUMBER(E1700)),N(E1700)&lt;=0,N(E1700)&gt;1440),"Durée invalide",IF(COUNTIFS(sj_date,A1700,sj_eq,B1700,sj_po,C1700)=0,"Pas de saisie journalière ce jour-là","OK")))))))))))</f>
        <v/>
      </c>
      <c r="J1700">
        <f>IF(OR(I1700="OK",I1700="Pas de saisie journalière ce jour-là"),E1700,0)</f>
        <v>0.0</v>
      </c>
      <c r="K1700">
        <f>IF(AND(J1700&gt;0,A1700&gt;=p_from,A1700&lt;=p_to),1,0)</f>
        <v>0.0</v>
      </c>
      <c r="L1700">
        <f>IF(AND(K1700=1,OR(pa_po="",C1700=pa_po),OR(pa_eq="",B1700=pa_eq)),1,0)</f>
        <v>0.0</v>
      </c>
    </row>
    <row r="1701">
      <c r="A1701" s="51" t="n"/>
      <c r="B1701" s="52" t="n"/>
      <c r="C1701" s="52" t="n"/>
      <c r="D1701" s="53" t="n"/>
      <c r="E1701" s="60" t="n"/>
      <c r="F1701" s="53" t="n"/>
      <c r="G1701" s="61" t="str">
        <f>IF(OR(COUNTA(A1701:E1701)=0,D1701=""),"",IFERROR(INDEX(ca_fam,MATCH(D1701,ca_name,0))&amp;"",""))</f>
        <v/>
      </c>
      <c r="H1701" s="58" t="str">
        <f>IF(OR(COUNTA(A1701:E1701)=0,D1701=""),"",IFERROR(INDEX(ca_type,MATCH(D1701,ca_name,0))&amp;"",""))</f>
        <v/>
      </c>
      <c r="I1701" s="58" t="str">
        <f>IF(COUNTA(A1701:E1701)=0,"",IF(N(A1701)&lt;=0,"Date manquante ou invalide",IF(B1701="","Équipe manquante",IF(ISNA(MATCH(B1701,eq_code,0)),"Équipe inconnue",IF(C1701="","Poste manquant",IF(ISNA(MATCH(C1701,po_code,0)),"Poste inconnu",IF(D1701="","Cause manquante",IF(ISNA(MATCH(D1701,ca_name,0)),"Cause inconnue",IF(H1701="","Cause à compléter dans Paramètres",IF(OR(NOT(ISNUMBER(E1701)),N(E1701)&lt;=0,N(E1701)&gt;1440),"Durée invalide",IF(COUNTIFS(sj_date,A1701,sj_eq,B1701,sj_po,C1701)=0,"Pas de saisie journalière ce jour-là","OK")))))))))))</f>
        <v/>
      </c>
      <c r="J1701">
        <f>IF(OR(I1701="OK",I1701="Pas de saisie journalière ce jour-là"),E1701,0)</f>
        <v>0.0</v>
      </c>
      <c r="K1701">
        <f>IF(AND(J1701&gt;0,A1701&gt;=p_from,A1701&lt;=p_to),1,0)</f>
        <v>0.0</v>
      </c>
      <c r="L1701">
        <f>IF(AND(K1701=1,OR(pa_po="",C1701=pa_po),OR(pa_eq="",B1701=pa_eq)),1,0)</f>
        <v>0.0</v>
      </c>
    </row>
    <row r="1702">
      <c r="A1702" s="51" t="n"/>
      <c r="B1702" s="52" t="n"/>
      <c r="C1702" s="52" t="n"/>
      <c r="D1702" s="53" t="n"/>
      <c r="E1702" s="60" t="n"/>
      <c r="F1702" s="53" t="n"/>
      <c r="G1702" s="61" t="str">
        <f>IF(OR(COUNTA(A1702:E1702)=0,D1702=""),"",IFERROR(INDEX(ca_fam,MATCH(D1702,ca_name,0))&amp;"",""))</f>
        <v/>
      </c>
      <c r="H1702" s="58" t="str">
        <f>IF(OR(COUNTA(A1702:E1702)=0,D1702=""),"",IFERROR(INDEX(ca_type,MATCH(D1702,ca_name,0))&amp;"",""))</f>
        <v/>
      </c>
      <c r="I1702" s="58" t="str">
        <f>IF(COUNTA(A1702:E1702)=0,"",IF(N(A1702)&lt;=0,"Date manquante ou invalide",IF(B1702="","Équipe manquante",IF(ISNA(MATCH(B1702,eq_code,0)),"Équipe inconnue",IF(C1702="","Poste manquant",IF(ISNA(MATCH(C1702,po_code,0)),"Poste inconnu",IF(D1702="","Cause manquante",IF(ISNA(MATCH(D1702,ca_name,0)),"Cause inconnue",IF(H1702="","Cause à compléter dans Paramètres",IF(OR(NOT(ISNUMBER(E1702)),N(E1702)&lt;=0,N(E1702)&gt;1440),"Durée invalide",IF(COUNTIFS(sj_date,A1702,sj_eq,B1702,sj_po,C1702)=0,"Pas de saisie journalière ce jour-là","OK")))))))))))</f>
        <v/>
      </c>
      <c r="J1702">
        <f>IF(OR(I1702="OK",I1702="Pas de saisie journalière ce jour-là"),E1702,0)</f>
        <v>0.0</v>
      </c>
      <c r="K1702">
        <f>IF(AND(J1702&gt;0,A1702&gt;=p_from,A1702&lt;=p_to),1,0)</f>
        <v>0.0</v>
      </c>
      <c r="L1702">
        <f>IF(AND(K1702=1,OR(pa_po="",C1702=pa_po),OR(pa_eq="",B1702=pa_eq)),1,0)</f>
        <v>0.0</v>
      </c>
    </row>
    <row r="1703">
      <c r="A1703" s="51" t="n"/>
      <c r="B1703" s="52" t="n"/>
      <c r="C1703" s="52" t="n"/>
      <c r="D1703" s="53" t="n"/>
      <c r="E1703" s="60" t="n"/>
      <c r="F1703" s="53" t="n"/>
      <c r="G1703" s="61" t="str">
        <f>IF(OR(COUNTA(A1703:E1703)=0,D1703=""),"",IFERROR(INDEX(ca_fam,MATCH(D1703,ca_name,0))&amp;"",""))</f>
        <v/>
      </c>
      <c r="H1703" s="58" t="str">
        <f>IF(OR(COUNTA(A1703:E1703)=0,D1703=""),"",IFERROR(INDEX(ca_type,MATCH(D1703,ca_name,0))&amp;"",""))</f>
        <v/>
      </c>
      <c r="I1703" s="58" t="str">
        <f>IF(COUNTA(A1703:E1703)=0,"",IF(N(A1703)&lt;=0,"Date manquante ou invalide",IF(B1703="","Équipe manquante",IF(ISNA(MATCH(B1703,eq_code,0)),"Équipe inconnue",IF(C1703="","Poste manquant",IF(ISNA(MATCH(C1703,po_code,0)),"Poste inconnu",IF(D1703="","Cause manquante",IF(ISNA(MATCH(D1703,ca_name,0)),"Cause inconnue",IF(H1703="","Cause à compléter dans Paramètres",IF(OR(NOT(ISNUMBER(E1703)),N(E1703)&lt;=0,N(E1703)&gt;1440),"Durée invalide",IF(COUNTIFS(sj_date,A1703,sj_eq,B1703,sj_po,C1703)=0,"Pas de saisie journalière ce jour-là","OK")))))))))))</f>
        <v/>
      </c>
      <c r="J1703">
        <f>IF(OR(I1703="OK",I1703="Pas de saisie journalière ce jour-là"),E1703,0)</f>
        <v>0.0</v>
      </c>
      <c r="K1703">
        <f>IF(AND(J1703&gt;0,A1703&gt;=p_from,A1703&lt;=p_to),1,0)</f>
        <v>0.0</v>
      </c>
      <c r="L1703">
        <f>IF(AND(K1703=1,OR(pa_po="",C1703=pa_po),OR(pa_eq="",B1703=pa_eq)),1,0)</f>
        <v>0.0</v>
      </c>
    </row>
    <row r="1704">
      <c r="A1704" s="51" t="n"/>
      <c r="B1704" s="52" t="n"/>
      <c r="C1704" s="52" t="n"/>
      <c r="D1704" s="53" t="n"/>
      <c r="E1704" s="60" t="n"/>
      <c r="F1704" s="53" t="n"/>
      <c r="G1704" s="61" t="str">
        <f>IF(OR(COUNTA(A1704:E1704)=0,D1704=""),"",IFERROR(INDEX(ca_fam,MATCH(D1704,ca_name,0))&amp;"",""))</f>
        <v/>
      </c>
      <c r="H1704" s="58" t="str">
        <f>IF(OR(COUNTA(A1704:E1704)=0,D1704=""),"",IFERROR(INDEX(ca_type,MATCH(D1704,ca_name,0))&amp;"",""))</f>
        <v/>
      </c>
      <c r="I1704" s="58" t="str">
        <f>IF(COUNTA(A1704:E1704)=0,"",IF(N(A1704)&lt;=0,"Date manquante ou invalide",IF(B1704="","Équipe manquante",IF(ISNA(MATCH(B1704,eq_code,0)),"Équipe inconnue",IF(C1704="","Poste manquant",IF(ISNA(MATCH(C1704,po_code,0)),"Poste inconnu",IF(D1704="","Cause manquante",IF(ISNA(MATCH(D1704,ca_name,0)),"Cause inconnue",IF(H1704="","Cause à compléter dans Paramètres",IF(OR(NOT(ISNUMBER(E1704)),N(E1704)&lt;=0,N(E1704)&gt;1440),"Durée invalide",IF(COUNTIFS(sj_date,A1704,sj_eq,B1704,sj_po,C1704)=0,"Pas de saisie journalière ce jour-là","OK")))))))))))</f>
        <v/>
      </c>
      <c r="J1704">
        <f>IF(OR(I1704="OK",I1704="Pas de saisie journalière ce jour-là"),E1704,0)</f>
        <v>0.0</v>
      </c>
      <c r="K1704">
        <f>IF(AND(J1704&gt;0,A1704&gt;=p_from,A1704&lt;=p_to),1,0)</f>
        <v>0.0</v>
      </c>
      <c r="L1704">
        <f>IF(AND(K1704=1,OR(pa_po="",C1704=pa_po),OR(pa_eq="",B1704=pa_eq)),1,0)</f>
        <v>0.0</v>
      </c>
    </row>
    <row r="1705">
      <c r="A1705" s="51" t="n"/>
      <c r="B1705" s="52" t="n"/>
      <c r="C1705" s="52" t="n"/>
      <c r="D1705" s="53" t="n"/>
      <c r="E1705" s="60" t="n"/>
      <c r="F1705" s="53" t="n"/>
      <c r="G1705" s="61" t="str">
        <f>IF(OR(COUNTA(A1705:E1705)=0,D1705=""),"",IFERROR(INDEX(ca_fam,MATCH(D1705,ca_name,0))&amp;"",""))</f>
        <v/>
      </c>
      <c r="H1705" s="58" t="str">
        <f>IF(OR(COUNTA(A1705:E1705)=0,D1705=""),"",IFERROR(INDEX(ca_type,MATCH(D1705,ca_name,0))&amp;"",""))</f>
        <v/>
      </c>
      <c r="I1705" s="58" t="str">
        <f>IF(COUNTA(A1705:E1705)=0,"",IF(N(A1705)&lt;=0,"Date manquante ou invalide",IF(B1705="","Équipe manquante",IF(ISNA(MATCH(B1705,eq_code,0)),"Équipe inconnue",IF(C1705="","Poste manquant",IF(ISNA(MATCH(C1705,po_code,0)),"Poste inconnu",IF(D1705="","Cause manquante",IF(ISNA(MATCH(D1705,ca_name,0)),"Cause inconnue",IF(H1705="","Cause à compléter dans Paramètres",IF(OR(NOT(ISNUMBER(E1705)),N(E1705)&lt;=0,N(E1705)&gt;1440),"Durée invalide",IF(COUNTIFS(sj_date,A1705,sj_eq,B1705,sj_po,C1705)=0,"Pas de saisie journalière ce jour-là","OK")))))))))))</f>
        <v/>
      </c>
      <c r="J1705">
        <f>IF(OR(I1705="OK",I1705="Pas de saisie journalière ce jour-là"),E1705,0)</f>
        <v>0.0</v>
      </c>
      <c r="K1705">
        <f>IF(AND(J1705&gt;0,A1705&gt;=p_from,A1705&lt;=p_to),1,0)</f>
        <v>0.0</v>
      </c>
      <c r="L1705">
        <f>IF(AND(K1705=1,OR(pa_po="",C1705=pa_po),OR(pa_eq="",B1705=pa_eq)),1,0)</f>
        <v>0.0</v>
      </c>
    </row>
    <row r="1706">
      <c r="A1706" s="51" t="n"/>
      <c r="B1706" s="52" t="n"/>
      <c r="C1706" s="52" t="n"/>
      <c r="D1706" s="53" t="n"/>
      <c r="E1706" s="60" t="n"/>
      <c r="F1706" s="53" t="n"/>
      <c r="G1706" s="61" t="str">
        <f>IF(OR(COUNTA(A1706:E1706)=0,D1706=""),"",IFERROR(INDEX(ca_fam,MATCH(D1706,ca_name,0))&amp;"",""))</f>
        <v/>
      </c>
      <c r="H1706" s="58" t="str">
        <f>IF(OR(COUNTA(A1706:E1706)=0,D1706=""),"",IFERROR(INDEX(ca_type,MATCH(D1706,ca_name,0))&amp;"",""))</f>
        <v/>
      </c>
      <c r="I1706" s="58" t="str">
        <f>IF(COUNTA(A1706:E1706)=0,"",IF(N(A1706)&lt;=0,"Date manquante ou invalide",IF(B1706="","Équipe manquante",IF(ISNA(MATCH(B1706,eq_code,0)),"Équipe inconnue",IF(C1706="","Poste manquant",IF(ISNA(MATCH(C1706,po_code,0)),"Poste inconnu",IF(D1706="","Cause manquante",IF(ISNA(MATCH(D1706,ca_name,0)),"Cause inconnue",IF(H1706="","Cause à compléter dans Paramètres",IF(OR(NOT(ISNUMBER(E1706)),N(E1706)&lt;=0,N(E1706)&gt;1440),"Durée invalide",IF(COUNTIFS(sj_date,A1706,sj_eq,B1706,sj_po,C1706)=0,"Pas de saisie journalière ce jour-là","OK")))))))))))</f>
        <v/>
      </c>
      <c r="J1706">
        <f>IF(OR(I1706="OK",I1706="Pas de saisie journalière ce jour-là"),E1706,0)</f>
        <v>0.0</v>
      </c>
      <c r="K1706">
        <f>IF(AND(J1706&gt;0,A1706&gt;=p_from,A1706&lt;=p_to),1,0)</f>
        <v>0.0</v>
      </c>
      <c r="L1706">
        <f>IF(AND(K1706=1,OR(pa_po="",C1706=pa_po),OR(pa_eq="",B1706=pa_eq)),1,0)</f>
        <v>0.0</v>
      </c>
    </row>
    <row r="1707">
      <c r="A1707" s="51" t="n"/>
      <c r="B1707" s="52" t="n"/>
      <c r="C1707" s="52" t="n"/>
      <c r="D1707" s="53" t="n"/>
      <c r="E1707" s="60" t="n"/>
      <c r="F1707" s="53" t="n"/>
      <c r="G1707" s="61" t="str">
        <f>IF(OR(COUNTA(A1707:E1707)=0,D1707=""),"",IFERROR(INDEX(ca_fam,MATCH(D1707,ca_name,0))&amp;"",""))</f>
        <v/>
      </c>
      <c r="H1707" s="58" t="str">
        <f>IF(OR(COUNTA(A1707:E1707)=0,D1707=""),"",IFERROR(INDEX(ca_type,MATCH(D1707,ca_name,0))&amp;"",""))</f>
        <v/>
      </c>
      <c r="I1707" s="58" t="str">
        <f>IF(COUNTA(A1707:E1707)=0,"",IF(N(A1707)&lt;=0,"Date manquante ou invalide",IF(B1707="","Équipe manquante",IF(ISNA(MATCH(B1707,eq_code,0)),"Équipe inconnue",IF(C1707="","Poste manquant",IF(ISNA(MATCH(C1707,po_code,0)),"Poste inconnu",IF(D1707="","Cause manquante",IF(ISNA(MATCH(D1707,ca_name,0)),"Cause inconnue",IF(H1707="","Cause à compléter dans Paramètres",IF(OR(NOT(ISNUMBER(E1707)),N(E1707)&lt;=0,N(E1707)&gt;1440),"Durée invalide",IF(COUNTIFS(sj_date,A1707,sj_eq,B1707,sj_po,C1707)=0,"Pas de saisie journalière ce jour-là","OK")))))))))))</f>
        <v/>
      </c>
      <c r="J1707">
        <f>IF(OR(I1707="OK",I1707="Pas de saisie journalière ce jour-là"),E1707,0)</f>
        <v>0.0</v>
      </c>
      <c r="K1707">
        <f>IF(AND(J1707&gt;0,A1707&gt;=p_from,A1707&lt;=p_to),1,0)</f>
        <v>0.0</v>
      </c>
      <c r="L1707">
        <f>IF(AND(K1707=1,OR(pa_po="",C1707=pa_po),OR(pa_eq="",B1707=pa_eq)),1,0)</f>
        <v>0.0</v>
      </c>
    </row>
    <row r="1708">
      <c r="A1708" s="51" t="n"/>
      <c r="B1708" s="52" t="n"/>
      <c r="C1708" s="52" t="n"/>
      <c r="D1708" s="53" t="n"/>
      <c r="E1708" s="60" t="n"/>
      <c r="F1708" s="53" t="n"/>
      <c r="G1708" s="61" t="str">
        <f>IF(OR(COUNTA(A1708:E1708)=0,D1708=""),"",IFERROR(INDEX(ca_fam,MATCH(D1708,ca_name,0))&amp;"",""))</f>
        <v/>
      </c>
      <c r="H1708" s="58" t="str">
        <f>IF(OR(COUNTA(A1708:E1708)=0,D1708=""),"",IFERROR(INDEX(ca_type,MATCH(D1708,ca_name,0))&amp;"",""))</f>
        <v/>
      </c>
      <c r="I1708" s="58" t="str">
        <f>IF(COUNTA(A1708:E1708)=0,"",IF(N(A1708)&lt;=0,"Date manquante ou invalide",IF(B1708="","Équipe manquante",IF(ISNA(MATCH(B1708,eq_code,0)),"Équipe inconnue",IF(C1708="","Poste manquant",IF(ISNA(MATCH(C1708,po_code,0)),"Poste inconnu",IF(D1708="","Cause manquante",IF(ISNA(MATCH(D1708,ca_name,0)),"Cause inconnue",IF(H1708="","Cause à compléter dans Paramètres",IF(OR(NOT(ISNUMBER(E1708)),N(E1708)&lt;=0,N(E1708)&gt;1440),"Durée invalide",IF(COUNTIFS(sj_date,A1708,sj_eq,B1708,sj_po,C1708)=0,"Pas de saisie journalière ce jour-là","OK")))))))))))</f>
        <v/>
      </c>
      <c r="J1708">
        <f>IF(OR(I1708="OK",I1708="Pas de saisie journalière ce jour-là"),E1708,0)</f>
        <v>0.0</v>
      </c>
      <c r="K1708">
        <f>IF(AND(J1708&gt;0,A1708&gt;=p_from,A1708&lt;=p_to),1,0)</f>
        <v>0.0</v>
      </c>
      <c r="L1708">
        <f>IF(AND(K1708=1,OR(pa_po="",C1708=pa_po),OR(pa_eq="",B1708=pa_eq)),1,0)</f>
        <v>0.0</v>
      </c>
    </row>
    <row r="1709">
      <c r="A1709" s="51" t="n"/>
      <c r="B1709" s="52" t="n"/>
      <c r="C1709" s="52" t="n"/>
      <c r="D1709" s="53" t="n"/>
      <c r="E1709" s="60" t="n"/>
      <c r="F1709" s="53" t="n"/>
      <c r="G1709" s="61" t="str">
        <f>IF(OR(COUNTA(A1709:E1709)=0,D1709=""),"",IFERROR(INDEX(ca_fam,MATCH(D1709,ca_name,0))&amp;"",""))</f>
        <v/>
      </c>
      <c r="H1709" s="58" t="str">
        <f>IF(OR(COUNTA(A1709:E1709)=0,D1709=""),"",IFERROR(INDEX(ca_type,MATCH(D1709,ca_name,0))&amp;"",""))</f>
        <v/>
      </c>
      <c r="I1709" s="58" t="str">
        <f>IF(COUNTA(A1709:E1709)=0,"",IF(N(A1709)&lt;=0,"Date manquante ou invalide",IF(B1709="","Équipe manquante",IF(ISNA(MATCH(B1709,eq_code,0)),"Équipe inconnue",IF(C1709="","Poste manquant",IF(ISNA(MATCH(C1709,po_code,0)),"Poste inconnu",IF(D1709="","Cause manquante",IF(ISNA(MATCH(D1709,ca_name,0)),"Cause inconnue",IF(H1709="","Cause à compléter dans Paramètres",IF(OR(NOT(ISNUMBER(E1709)),N(E1709)&lt;=0,N(E1709)&gt;1440),"Durée invalide",IF(COUNTIFS(sj_date,A1709,sj_eq,B1709,sj_po,C1709)=0,"Pas de saisie journalière ce jour-là","OK")))))))))))</f>
        <v/>
      </c>
      <c r="J1709">
        <f>IF(OR(I1709="OK",I1709="Pas de saisie journalière ce jour-là"),E1709,0)</f>
        <v>0.0</v>
      </c>
      <c r="K1709">
        <f>IF(AND(J1709&gt;0,A1709&gt;=p_from,A1709&lt;=p_to),1,0)</f>
        <v>0.0</v>
      </c>
      <c r="L1709">
        <f>IF(AND(K1709=1,OR(pa_po="",C1709=pa_po),OR(pa_eq="",B1709=pa_eq)),1,0)</f>
        <v>0.0</v>
      </c>
    </row>
    <row r="1710">
      <c r="A1710" s="51" t="n"/>
      <c r="B1710" s="52" t="n"/>
      <c r="C1710" s="52" t="n"/>
      <c r="D1710" s="53" t="n"/>
      <c r="E1710" s="60" t="n"/>
      <c r="F1710" s="53" t="n"/>
      <c r="G1710" s="61" t="str">
        <f>IF(OR(COUNTA(A1710:E1710)=0,D1710=""),"",IFERROR(INDEX(ca_fam,MATCH(D1710,ca_name,0))&amp;"",""))</f>
        <v/>
      </c>
      <c r="H1710" s="58" t="str">
        <f>IF(OR(COUNTA(A1710:E1710)=0,D1710=""),"",IFERROR(INDEX(ca_type,MATCH(D1710,ca_name,0))&amp;"",""))</f>
        <v/>
      </c>
      <c r="I1710" s="58" t="str">
        <f>IF(COUNTA(A1710:E1710)=0,"",IF(N(A1710)&lt;=0,"Date manquante ou invalide",IF(B1710="","Équipe manquante",IF(ISNA(MATCH(B1710,eq_code,0)),"Équipe inconnue",IF(C1710="","Poste manquant",IF(ISNA(MATCH(C1710,po_code,0)),"Poste inconnu",IF(D1710="","Cause manquante",IF(ISNA(MATCH(D1710,ca_name,0)),"Cause inconnue",IF(H1710="","Cause à compléter dans Paramètres",IF(OR(NOT(ISNUMBER(E1710)),N(E1710)&lt;=0,N(E1710)&gt;1440),"Durée invalide",IF(COUNTIFS(sj_date,A1710,sj_eq,B1710,sj_po,C1710)=0,"Pas de saisie journalière ce jour-là","OK")))))))))))</f>
        <v/>
      </c>
      <c r="J1710">
        <f>IF(OR(I1710="OK",I1710="Pas de saisie journalière ce jour-là"),E1710,0)</f>
        <v>0.0</v>
      </c>
      <c r="K1710">
        <f>IF(AND(J1710&gt;0,A1710&gt;=p_from,A1710&lt;=p_to),1,0)</f>
        <v>0.0</v>
      </c>
      <c r="L1710">
        <f>IF(AND(K1710=1,OR(pa_po="",C1710=pa_po),OR(pa_eq="",B1710=pa_eq)),1,0)</f>
        <v>0.0</v>
      </c>
    </row>
    <row r="1711">
      <c r="A1711" s="51" t="n"/>
      <c r="B1711" s="52" t="n"/>
      <c r="C1711" s="52" t="n"/>
      <c r="D1711" s="53" t="n"/>
      <c r="E1711" s="60" t="n"/>
      <c r="F1711" s="53" t="n"/>
      <c r="G1711" s="61" t="str">
        <f>IF(OR(COUNTA(A1711:E1711)=0,D1711=""),"",IFERROR(INDEX(ca_fam,MATCH(D1711,ca_name,0))&amp;"",""))</f>
        <v/>
      </c>
      <c r="H1711" s="58" t="str">
        <f>IF(OR(COUNTA(A1711:E1711)=0,D1711=""),"",IFERROR(INDEX(ca_type,MATCH(D1711,ca_name,0))&amp;"",""))</f>
        <v/>
      </c>
      <c r="I1711" s="58" t="str">
        <f>IF(COUNTA(A1711:E1711)=0,"",IF(N(A1711)&lt;=0,"Date manquante ou invalide",IF(B1711="","Équipe manquante",IF(ISNA(MATCH(B1711,eq_code,0)),"Équipe inconnue",IF(C1711="","Poste manquant",IF(ISNA(MATCH(C1711,po_code,0)),"Poste inconnu",IF(D1711="","Cause manquante",IF(ISNA(MATCH(D1711,ca_name,0)),"Cause inconnue",IF(H1711="","Cause à compléter dans Paramètres",IF(OR(NOT(ISNUMBER(E1711)),N(E1711)&lt;=0,N(E1711)&gt;1440),"Durée invalide",IF(COUNTIFS(sj_date,A1711,sj_eq,B1711,sj_po,C1711)=0,"Pas de saisie journalière ce jour-là","OK")))))))))))</f>
        <v/>
      </c>
      <c r="J1711">
        <f>IF(OR(I1711="OK",I1711="Pas de saisie journalière ce jour-là"),E1711,0)</f>
        <v>0.0</v>
      </c>
      <c r="K1711">
        <f>IF(AND(J1711&gt;0,A1711&gt;=p_from,A1711&lt;=p_to),1,0)</f>
        <v>0.0</v>
      </c>
      <c r="L1711">
        <f>IF(AND(K1711=1,OR(pa_po="",C1711=pa_po),OR(pa_eq="",B1711=pa_eq)),1,0)</f>
        <v>0.0</v>
      </c>
    </row>
    <row r="1712">
      <c r="A1712" s="51" t="n"/>
      <c r="B1712" s="52" t="n"/>
      <c r="C1712" s="52" t="n"/>
      <c r="D1712" s="53" t="n"/>
      <c r="E1712" s="60" t="n"/>
      <c r="F1712" s="53" t="n"/>
      <c r="G1712" s="61" t="str">
        <f>IF(OR(COUNTA(A1712:E1712)=0,D1712=""),"",IFERROR(INDEX(ca_fam,MATCH(D1712,ca_name,0))&amp;"",""))</f>
        <v/>
      </c>
      <c r="H1712" s="58" t="str">
        <f>IF(OR(COUNTA(A1712:E1712)=0,D1712=""),"",IFERROR(INDEX(ca_type,MATCH(D1712,ca_name,0))&amp;"",""))</f>
        <v/>
      </c>
      <c r="I1712" s="58" t="str">
        <f>IF(COUNTA(A1712:E1712)=0,"",IF(N(A1712)&lt;=0,"Date manquante ou invalide",IF(B1712="","Équipe manquante",IF(ISNA(MATCH(B1712,eq_code,0)),"Équipe inconnue",IF(C1712="","Poste manquant",IF(ISNA(MATCH(C1712,po_code,0)),"Poste inconnu",IF(D1712="","Cause manquante",IF(ISNA(MATCH(D1712,ca_name,0)),"Cause inconnue",IF(H1712="","Cause à compléter dans Paramètres",IF(OR(NOT(ISNUMBER(E1712)),N(E1712)&lt;=0,N(E1712)&gt;1440),"Durée invalide",IF(COUNTIFS(sj_date,A1712,sj_eq,B1712,sj_po,C1712)=0,"Pas de saisie journalière ce jour-là","OK")))))))))))</f>
        <v/>
      </c>
      <c r="J1712">
        <f>IF(OR(I1712="OK",I1712="Pas de saisie journalière ce jour-là"),E1712,0)</f>
        <v>0.0</v>
      </c>
      <c r="K1712">
        <f>IF(AND(J1712&gt;0,A1712&gt;=p_from,A1712&lt;=p_to),1,0)</f>
        <v>0.0</v>
      </c>
      <c r="L1712">
        <f>IF(AND(K1712=1,OR(pa_po="",C1712=pa_po),OR(pa_eq="",B1712=pa_eq)),1,0)</f>
        <v>0.0</v>
      </c>
    </row>
    <row r="1713">
      <c r="A1713" s="51" t="n"/>
      <c r="B1713" s="52" t="n"/>
      <c r="C1713" s="52" t="n"/>
      <c r="D1713" s="53" t="n"/>
      <c r="E1713" s="60" t="n"/>
      <c r="F1713" s="53" t="n"/>
      <c r="G1713" s="61" t="str">
        <f>IF(OR(COUNTA(A1713:E1713)=0,D1713=""),"",IFERROR(INDEX(ca_fam,MATCH(D1713,ca_name,0))&amp;"",""))</f>
        <v/>
      </c>
      <c r="H1713" s="58" t="str">
        <f>IF(OR(COUNTA(A1713:E1713)=0,D1713=""),"",IFERROR(INDEX(ca_type,MATCH(D1713,ca_name,0))&amp;"",""))</f>
        <v/>
      </c>
      <c r="I1713" s="58" t="str">
        <f>IF(COUNTA(A1713:E1713)=0,"",IF(N(A1713)&lt;=0,"Date manquante ou invalide",IF(B1713="","Équipe manquante",IF(ISNA(MATCH(B1713,eq_code,0)),"Équipe inconnue",IF(C1713="","Poste manquant",IF(ISNA(MATCH(C1713,po_code,0)),"Poste inconnu",IF(D1713="","Cause manquante",IF(ISNA(MATCH(D1713,ca_name,0)),"Cause inconnue",IF(H1713="","Cause à compléter dans Paramètres",IF(OR(NOT(ISNUMBER(E1713)),N(E1713)&lt;=0,N(E1713)&gt;1440),"Durée invalide",IF(COUNTIFS(sj_date,A1713,sj_eq,B1713,sj_po,C1713)=0,"Pas de saisie journalière ce jour-là","OK")))))))))))</f>
        <v/>
      </c>
      <c r="J1713">
        <f>IF(OR(I1713="OK",I1713="Pas de saisie journalière ce jour-là"),E1713,0)</f>
        <v>0.0</v>
      </c>
      <c r="K1713">
        <f>IF(AND(J1713&gt;0,A1713&gt;=p_from,A1713&lt;=p_to),1,0)</f>
        <v>0.0</v>
      </c>
      <c r="L1713">
        <f>IF(AND(K1713=1,OR(pa_po="",C1713=pa_po),OR(pa_eq="",B1713=pa_eq)),1,0)</f>
        <v>0.0</v>
      </c>
    </row>
    <row r="1714">
      <c r="A1714" s="51" t="n"/>
      <c r="B1714" s="52" t="n"/>
      <c r="C1714" s="52" t="n"/>
      <c r="D1714" s="53" t="n"/>
      <c r="E1714" s="60" t="n"/>
      <c r="F1714" s="53" t="n"/>
      <c r="G1714" s="61" t="str">
        <f>IF(OR(COUNTA(A1714:E1714)=0,D1714=""),"",IFERROR(INDEX(ca_fam,MATCH(D1714,ca_name,0))&amp;"",""))</f>
        <v/>
      </c>
      <c r="H1714" s="58" t="str">
        <f>IF(OR(COUNTA(A1714:E1714)=0,D1714=""),"",IFERROR(INDEX(ca_type,MATCH(D1714,ca_name,0))&amp;"",""))</f>
        <v/>
      </c>
      <c r="I1714" s="58" t="str">
        <f>IF(COUNTA(A1714:E1714)=0,"",IF(N(A1714)&lt;=0,"Date manquante ou invalide",IF(B1714="","Équipe manquante",IF(ISNA(MATCH(B1714,eq_code,0)),"Équipe inconnue",IF(C1714="","Poste manquant",IF(ISNA(MATCH(C1714,po_code,0)),"Poste inconnu",IF(D1714="","Cause manquante",IF(ISNA(MATCH(D1714,ca_name,0)),"Cause inconnue",IF(H1714="","Cause à compléter dans Paramètres",IF(OR(NOT(ISNUMBER(E1714)),N(E1714)&lt;=0,N(E1714)&gt;1440),"Durée invalide",IF(COUNTIFS(sj_date,A1714,sj_eq,B1714,sj_po,C1714)=0,"Pas de saisie journalière ce jour-là","OK")))))))))))</f>
        <v/>
      </c>
      <c r="J1714">
        <f>IF(OR(I1714="OK",I1714="Pas de saisie journalière ce jour-là"),E1714,0)</f>
        <v>0.0</v>
      </c>
      <c r="K1714">
        <f>IF(AND(J1714&gt;0,A1714&gt;=p_from,A1714&lt;=p_to),1,0)</f>
        <v>0.0</v>
      </c>
      <c r="L1714">
        <f>IF(AND(K1714=1,OR(pa_po="",C1714=pa_po),OR(pa_eq="",B1714=pa_eq)),1,0)</f>
        <v>0.0</v>
      </c>
    </row>
    <row r="1715">
      <c r="A1715" s="51" t="n"/>
      <c r="B1715" s="52" t="n"/>
      <c r="C1715" s="52" t="n"/>
      <c r="D1715" s="53" t="n"/>
      <c r="E1715" s="60" t="n"/>
      <c r="F1715" s="53" t="n"/>
      <c r="G1715" s="61" t="str">
        <f>IF(OR(COUNTA(A1715:E1715)=0,D1715=""),"",IFERROR(INDEX(ca_fam,MATCH(D1715,ca_name,0))&amp;"",""))</f>
        <v/>
      </c>
      <c r="H1715" s="58" t="str">
        <f>IF(OR(COUNTA(A1715:E1715)=0,D1715=""),"",IFERROR(INDEX(ca_type,MATCH(D1715,ca_name,0))&amp;"",""))</f>
        <v/>
      </c>
      <c r="I1715" s="58" t="str">
        <f>IF(COUNTA(A1715:E1715)=0,"",IF(N(A1715)&lt;=0,"Date manquante ou invalide",IF(B1715="","Équipe manquante",IF(ISNA(MATCH(B1715,eq_code,0)),"Équipe inconnue",IF(C1715="","Poste manquant",IF(ISNA(MATCH(C1715,po_code,0)),"Poste inconnu",IF(D1715="","Cause manquante",IF(ISNA(MATCH(D1715,ca_name,0)),"Cause inconnue",IF(H1715="","Cause à compléter dans Paramètres",IF(OR(NOT(ISNUMBER(E1715)),N(E1715)&lt;=0,N(E1715)&gt;1440),"Durée invalide",IF(COUNTIFS(sj_date,A1715,sj_eq,B1715,sj_po,C1715)=0,"Pas de saisie journalière ce jour-là","OK")))))))))))</f>
        <v/>
      </c>
      <c r="J1715">
        <f>IF(OR(I1715="OK",I1715="Pas de saisie journalière ce jour-là"),E1715,0)</f>
        <v>0.0</v>
      </c>
      <c r="K1715">
        <f>IF(AND(J1715&gt;0,A1715&gt;=p_from,A1715&lt;=p_to),1,0)</f>
        <v>0.0</v>
      </c>
      <c r="L1715">
        <f>IF(AND(K1715=1,OR(pa_po="",C1715=pa_po),OR(pa_eq="",B1715=pa_eq)),1,0)</f>
        <v>0.0</v>
      </c>
    </row>
    <row r="1716">
      <c r="A1716" s="51" t="n"/>
      <c r="B1716" s="52" t="n"/>
      <c r="C1716" s="52" t="n"/>
      <c r="D1716" s="53" t="n"/>
      <c r="E1716" s="60" t="n"/>
      <c r="F1716" s="53" t="n"/>
      <c r="G1716" s="61" t="str">
        <f>IF(OR(COUNTA(A1716:E1716)=0,D1716=""),"",IFERROR(INDEX(ca_fam,MATCH(D1716,ca_name,0))&amp;"",""))</f>
        <v/>
      </c>
      <c r="H1716" s="58" t="str">
        <f>IF(OR(COUNTA(A1716:E1716)=0,D1716=""),"",IFERROR(INDEX(ca_type,MATCH(D1716,ca_name,0))&amp;"",""))</f>
        <v/>
      </c>
      <c r="I1716" s="58" t="str">
        <f>IF(COUNTA(A1716:E1716)=0,"",IF(N(A1716)&lt;=0,"Date manquante ou invalide",IF(B1716="","Équipe manquante",IF(ISNA(MATCH(B1716,eq_code,0)),"Équipe inconnue",IF(C1716="","Poste manquant",IF(ISNA(MATCH(C1716,po_code,0)),"Poste inconnu",IF(D1716="","Cause manquante",IF(ISNA(MATCH(D1716,ca_name,0)),"Cause inconnue",IF(H1716="","Cause à compléter dans Paramètres",IF(OR(NOT(ISNUMBER(E1716)),N(E1716)&lt;=0,N(E1716)&gt;1440),"Durée invalide",IF(COUNTIFS(sj_date,A1716,sj_eq,B1716,sj_po,C1716)=0,"Pas de saisie journalière ce jour-là","OK")))))))))))</f>
        <v/>
      </c>
      <c r="J1716">
        <f>IF(OR(I1716="OK",I1716="Pas de saisie journalière ce jour-là"),E1716,0)</f>
        <v>0.0</v>
      </c>
      <c r="K1716">
        <f>IF(AND(J1716&gt;0,A1716&gt;=p_from,A1716&lt;=p_to),1,0)</f>
        <v>0.0</v>
      </c>
      <c r="L1716">
        <f>IF(AND(K1716=1,OR(pa_po="",C1716=pa_po),OR(pa_eq="",B1716=pa_eq)),1,0)</f>
        <v>0.0</v>
      </c>
    </row>
    <row r="1717">
      <c r="A1717" s="51" t="n"/>
      <c r="B1717" s="52" t="n"/>
      <c r="C1717" s="52" t="n"/>
      <c r="D1717" s="53" t="n"/>
      <c r="E1717" s="60" t="n"/>
      <c r="F1717" s="53" t="n"/>
      <c r="G1717" s="61" t="str">
        <f>IF(OR(COUNTA(A1717:E1717)=0,D1717=""),"",IFERROR(INDEX(ca_fam,MATCH(D1717,ca_name,0))&amp;"",""))</f>
        <v/>
      </c>
      <c r="H1717" s="58" t="str">
        <f>IF(OR(COUNTA(A1717:E1717)=0,D1717=""),"",IFERROR(INDEX(ca_type,MATCH(D1717,ca_name,0))&amp;"",""))</f>
        <v/>
      </c>
      <c r="I1717" s="58" t="str">
        <f>IF(COUNTA(A1717:E1717)=0,"",IF(N(A1717)&lt;=0,"Date manquante ou invalide",IF(B1717="","Équipe manquante",IF(ISNA(MATCH(B1717,eq_code,0)),"Équipe inconnue",IF(C1717="","Poste manquant",IF(ISNA(MATCH(C1717,po_code,0)),"Poste inconnu",IF(D1717="","Cause manquante",IF(ISNA(MATCH(D1717,ca_name,0)),"Cause inconnue",IF(H1717="","Cause à compléter dans Paramètres",IF(OR(NOT(ISNUMBER(E1717)),N(E1717)&lt;=0,N(E1717)&gt;1440),"Durée invalide",IF(COUNTIFS(sj_date,A1717,sj_eq,B1717,sj_po,C1717)=0,"Pas de saisie journalière ce jour-là","OK")))))))))))</f>
        <v/>
      </c>
      <c r="J1717">
        <f>IF(OR(I1717="OK",I1717="Pas de saisie journalière ce jour-là"),E1717,0)</f>
        <v>0.0</v>
      </c>
      <c r="K1717">
        <f>IF(AND(J1717&gt;0,A1717&gt;=p_from,A1717&lt;=p_to),1,0)</f>
        <v>0.0</v>
      </c>
      <c r="L1717">
        <f>IF(AND(K1717=1,OR(pa_po="",C1717=pa_po),OR(pa_eq="",B1717=pa_eq)),1,0)</f>
        <v>0.0</v>
      </c>
    </row>
    <row r="1718">
      <c r="A1718" s="51" t="n"/>
      <c r="B1718" s="52" t="n"/>
      <c r="C1718" s="52" t="n"/>
      <c r="D1718" s="53" t="n"/>
      <c r="E1718" s="60" t="n"/>
      <c r="F1718" s="53" t="n"/>
      <c r="G1718" s="61" t="str">
        <f>IF(OR(COUNTA(A1718:E1718)=0,D1718=""),"",IFERROR(INDEX(ca_fam,MATCH(D1718,ca_name,0))&amp;"",""))</f>
        <v/>
      </c>
      <c r="H1718" s="58" t="str">
        <f>IF(OR(COUNTA(A1718:E1718)=0,D1718=""),"",IFERROR(INDEX(ca_type,MATCH(D1718,ca_name,0))&amp;"",""))</f>
        <v/>
      </c>
      <c r="I1718" s="58" t="str">
        <f>IF(COUNTA(A1718:E1718)=0,"",IF(N(A1718)&lt;=0,"Date manquante ou invalide",IF(B1718="","Équipe manquante",IF(ISNA(MATCH(B1718,eq_code,0)),"Équipe inconnue",IF(C1718="","Poste manquant",IF(ISNA(MATCH(C1718,po_code,0)),"Poste inconnu",IF(D1718="","Cause manquante",IF(ISNA(MATCH(D1718,ca_name,0)),"Cause inconnue",IF(H1718="","Cause à compléter dans Paramètres",IF(OR(NOT(ISNUMBER(E1718)),N(E1718)&lt;=0,N(E1718)&gt;1440),"Durée invalide",IF(COUNTIFS(sj_date,A1718,sj_eq,B1718,sj_po,C1718)=0,"Pas de saisie journalière ce jour-là","OK")))))))))))</f>
        <v/>
      </c>
      <c r="J1718">
        <f>IF(OR(I1718="OK",I1718="Pas de saisie journalière ce jour-là"),E1718,0)</f>
        <v>0.0</v>
      </c>
      <c r="K1718">
        <f>IF(AND(J1718&gt;0,A1718&gt;=p_from,A1718&lt;=p_to),1,0)</f>
        <v>0.0</v>
      </c>
      <c r="L1718">
        <f>IF(AND(K1718=1,OR(pa_po="",C1718=pa_po),OR(pa_eq="",B1718=pa_eq)),1,0)</f>
        <v>0.0</v>
      </c>
    </row>
    <row r="1719">
      <c r="A1719" s="51" t="n"/>
      <c r="B1719" s="52" t="n"/>
      <c r="C1719" s="52" t="n"/>
      <c r="D1719" s="53" t="n"/>
      <c r="E1719" s="60" t="n"/>
      <c r="F1719" s="53" t="n"/>
      <c r="G1719" s="61" t="str">
        <f>IF(OR(COUNTA(A1719:E1719)=0,D1719=""),"",IFERROR(INDEX(ca_fam,MATCH(D1719,ca_name,0))&amp;"",""))</f>
        <v/>
      </c>
      <c r="H1719" s="58" t="str">
        <f>IF(OR(COUNTA(A1719:E1719)=0,D1719=""),"",IFERROR(INDEX(ca_type,MATCH(D1719,ca_name,0))&amp;"",""))</f>
        <v/>
      </c>
      <c r="I1719" s="58" t="str">
        <f>IF(COUNTA(A1719:E1719)=0,"",IF(N(A1719)&lt;=0,"Date manquante ou invalide",IF(B1719="","Équipe manquante",IF(ISNA(MATCH(B1719,eq_code,0)),"Équipe inconnue",IF(C1719="","Poste manquant",IF(ISNA(MATCH(C1719,po_code,0)),"Poste inconnu",IF(D1719="","Cause manquante",IF(ISNA(MATCH(D1719,ca_name,0)),"Cause inconnue",IF(H1719="","Cause à compléter dans Paramètres",IF(OR(NOT(ISNUMBER(E1719)),N(E1719)&lt;=0,N(E1719)&gt;1440),"Durée invalide",IF(COUNTIFS(sj_date,A1719,sj_eq,B1719,sj_po,C1719)=0,"Pas de saisie journalière ce jour-là","OK")))))))))))</f>
        <v/>
      </c>
      <c r="J1719">
        <f>IF(OR(I1719="OK",I1719="Pas de saisie journalière ce jour-là"),E1719,0)</f>
        <v>0.0</v>
      </c>
      <c r="K1719">
        <f>IF(AND(J1719&gt;0,A1719&gt;=p_from,A1719&lt;=p_to),1,0)</f>
        <v>0.0</v>
      </c>
      <c r="L1719">
        <f>IF(AND(K1719=1,OR(pa_po="",C1719=pa_po),OR(pa_eq="",B1719=pa_eq)),1,0)</f>
        <v>0.0</v>
      </c>
    </row>
    <row r="1720">
      <c r="A1720" s="51" t="n"/>
      <c r="B1720" s="52" t="n"/>
      <c r="C1720" s="52" t="n"/>
      <c r="D1720" s="53" t="n"/>
      <c r="E1720" s="60" t="n"/>
      <c r="F1720" s="53" t="n"/>
      <c r="G1720" s="61" t="str">
        <f>IF(OR(COUNTA(A1720:E1720)=0,D1720=""),"",IFERROR(INDEX(ca_fam,MATCH(D1720,ca_name,0))&amp;"",""))</f>
        <v/>
      </c>
      <c r="H1720" s="58" t="str">
        <f>IF(OR(COUNTA(A1720:E1720)=0,D1720=""),"",IFERROR(INDEX(ca_type,MATCH(D1720,ca_name,0))&amp;"",""))</f>
        <v/>
      </c>
      <c r="I1720" s="58" t="str">
        <f>IF(COUNTA(A1720:E1720)=0,"",IF(N(A1720)&lt;=0,"Date manquante ou invalide",IF(B1720="","Équipe manquante",IF(ISNA(MATCH(B1720,eq_code,0)),"Équipe inconnue",IF(C1720="","Poste manquant",IF(ISNA(MATCH(C1720,po_code,0)),"Poste inconnu",IF(D1720="","Cause manquante",IF(ISNA(MATCH(D1720,ca_name,0)),"Cause inconnue",IF(H1720="","Cause à compléter dans Paramètres",IF(OR(NOT(ISNUMBER(E1720)),N(E1720)&lt;=0,N(E1720)&gt;1440),"Durée invalide",IF(COUNTIFS(sj_date,A1720,sj_eq,B1720,sj_po,C1720)=0,"Pas de saisie journalière ce jour-là","OK")))))))))))</f>
        <v/>
      </c>
      <c r="J1720">
        <f>IF(OR(I1720="OK",I1720="Pas de saisie journalière ce jour-là"),E1720,0)</f>
        <v>0.0</v>
      </c>
      <c r="K1720">
        <f>IF(AND(J1720&gt;0,A1720&gt;=p_from,A1720&lt;=p_to),1,0)</f>
        <v>0.0</v>
      </c>
      <c r="L1720">
        <f>IF(AND(K1720=1,OR(pa_po="",C1720=pa_po),OR(pa_eq="",B1720=pa_eq)),1,0)</f>
        <v>0.0</v>
      </c>
    </row>
    <row r="1721">
      <c r="A1721" s="51" t="n"/>
      <c r="B1721" s="52" t="n"/>
      <c r="C1721" s="52" t="n"/>
      <c r="D1721" s="53" t="n"/>
      <c r="E1721" s="60" t="n"/>
      <c r="F1721" s="53" t="n"/>
      <c r="G1721" s="61" t="str">
        <f>IF(OR(COUNTA(A1721:E1721)=0,D1721=""),"",IFERROR(INDEX(ca_fam,MATCH(D1721,ca_name,0))&amp;"",""))</f>
        <v/>
      </c>
      <c r="H1721" s="58" t="str">
        <f>IF(OR(COUNTA(A1721:E1721)=0,D1721=""),"",IFERROR(INDEX(ca_type,MATCH(D1721,ca_name,0))&amp;"",""))</f>
        <v/>
      </c>
      <c r="I1721" s="58" t="str">
        <f>IF(COUNTA(A1721:E1721)=0,"",IF(N(A1721)&lt;=0,"Date manquante ou invalide",IF(B1721="","Équipe manquante",IF(ISNA(MATCH(B1721,eq_code,0)),"Équipe inconnue",IF(C1721="","Poste manquant",IF(ISNA(MATCH(C1721,po_code,0)),"Poste inconnu",IF(D1721="","Cause manquante",IF(ISNA(MATCH(D1721,ca_name,0)),"Cause inconnue",IF(H1721="","Cause à compléter dans Paramètres",IF(OR(NOT(ISNUMBER(E1721)),N(E1721)&lt;=0,N(E1721)&gt;1440),"Durée invalide",IF(COUNTIFS(sj_date,A1721,sj_eq,B1721,sj_po,C1721)=0,"Pas de saisie journalière ce jour-là","OK")))))))))))</f>
        <v/>
      </c>
      <c r="J1721">
        <f>IF(OR(I1721="OK",I1721="Pas de saisie journalière ce jour-là"),E1721,0)</f>
        <v>0.0</v>
      </c>
      <c r="K1721">
        <f>IF(AND(J1721&gt;0,A1721&gt;=p_from,A1721&lt;=p_to),1,0)</f>
        <v>0.0</v>
      </c>
      <c r="L1721">
        <f>IF(AND(K1721=1,OR(pa_po="",C1721=pa_po),OR(pa_eq="",B1721=pa_eq)),1,0)</f>
        <v>0.0</v>
      </c>
    </row>
    <row r="1722">
      <c r="A1722" s="51" t="n"/>
      <c r="B1722" s="52" t="n"/>
      <c r="C1722" s="52" t="n"/>
      <c r="D1722" s="53" t="n"/>
      <c r="E1722" s="60" t="n"/>
      <c r="F1722" s="53" t="n"/>
      <c r="G1722" s="61" t="str">
        <f>IF(OR(COUNTA(A1722:E1722)=0,D1722=""),"",IFERROR(INDEX(ca_fam,MATCH(D1722,ca_name,0))&amp;"",""))</f>
        <v/>
      </c>
      <c r="H1722" s="58" t="str">
        <f>IF(OR(COUNTA(A1722:E1722)=0,D1722=""),"",IFERROR(INDEX(ca_type,MATCH(D1722,ca_name,0))&amp;"",""))</f>
        <v/>
      </c>
      <c r="I1722" s="58" t="str">
        <f>IF(COUNTA(A1722:E1722)=0,"",IF(N(A1722)&lt;=0,"Date manquante ou invalide",IF(B1722="","Équipe manquante",IF(ISNA(MATCH(B1722,eq_code,0)),"Équipe inconnue",IF(C1722="","Poste manquant",IF(ISNA(MATCH(C1722,po_code,0)),"Poste inconnu",IF(D1722="","Cause manquante",IF(ISNA(MATCH(D1722,ca_name,0)),"Cause inconnue",IF(H1722="","Cause à compléter dans Paramètres",IF(OR(NOT(ISNUMBER(E1722)),N(E1722)&lt;=0,N(E1722)&gt;1440),"Durée invalide",IF(COUNTIFS(sj_date,A1722,sj_eq,B1722,sj_po,C1722)=0,"Pas de saisie journalière ce jour-là","OK")))))))))))</f>
        <v/>
      </c>
      <c r="J1722">
        <f>IF(OR(I1722="OK",I1722="Pas de saisie journalière ce jour-là"),E1722,0)</f>
        <v>0.0</v>
      </c>
      <c r="K1722">
        <f>IF(AND(J1722&gt;0,A1722&gt;=p_from,A1722&lt;=p_to),1,0)</f>
        <v>0.0</v>
      </c>
      <c r="L1722">
        <f>IF(AND(K1722=1,OR(pa_po="",C1722=pa_po),OR(pa_eq="",B1722=pa_eq)),1,0)</f>
        <v>0.0</v>
      </c>
    </row>
    <row r="1723">
      <c r="A1723" s="51" t="n"/>
      <c r="B1723" s="52" t="n"/>
      <c r="C1723" s="52" t="n"/>
      <c r="D1723" s="53" t="n"/>
      <c r="E1723" s="60" t="n"/>
      <c r="F1723" s="53" t="n"/>
      <c r="G1723" s="61" t="str">
        <f>IF(OR(COUNTA(A1723:E1723)=0,D1723=""),"",IFERROR(INDEX(ca_fam,MATCH(D1723,ca_name,0))&amp;"",""))</f>
        <v/>
      </c>
      <c r="H1723" s="58" t="str">
        <f>IF(OR(COUNTA(A1723:E1723)=0,D1723=""),"",IFERROR(INDEX(ca_type,MATCH(D1723,ca_name,0))&amp;"",""))</f>
        <v/>
      </c>
      <c r="I1723" s="58" t="str">
        <f>IF(COUNTA(A1723:E1723)=0,"",IF(N(A1723)&lt;=0,"Date manquante ou invalide",IF(B1723="","Équipe manquante",IF(ISNA(MATCH(B1723,eq_code,0)),"Équipe inconnue",IF(C1723="","Poste manquant",IF(ISNA(MATCH(C1723,po_code,0)),"Poste inconnu",IF(D1723="","Cause manquante",IF(ISNA(MATCH(D1723,ca_name,0)),"Cause inconnue",IF(H1723="","Cause à compléter dans Paramètres",IF(OR(NOT(ISNUMBER(E1723)),N(E1723)&lt;=0,N(E1723)&gt;1440),"Durée invalide",IF(COUNTIFS(sj_date,A1723,sj_eq,B1723,sj_po,C1723)=0,"Pas de saisie journalière ce jour-là","OK")))))))))))</f>
        <v/>
      </c>
      <c r="J1723">
        <f>IF(OR(I1723="OK",I1723="Pas de saisie journalière ce jour-là"),E1723,0)</f>
        <v>0.0</v>
      </c>
      <c r="K1723">
        <f>IF(AND(J1723&gt;0,A1723&gt;=p_from,A1723&lt;=p_to),1,0)</f>
        <v>0.0</v>
      </c>
      <c r="L1723">
        <f>IF(AND(K1723=1,OR(pa_po="",C1723=pa_po),OR(pa_eq="",B1723=pa_eq)),1,0)</f>
        <v>0.0</v>
      </c>
    </row>
    <row r="1724">
      <c r="A1724" s="51" t="n"/>
      <c r="B1724" s="52" t="n"/>
      <c r="C1724" s="52" t="n"/>
      <c r="D1724" s="53" t="n"/>
      <c r="E1724" s="60" t="n"/>
      <c r="F1724" s="53" t="n"/>
      <c r="G1724" s="61" t="str">
        <f>IF(OR(COUNTA(A1724:E1724)=0,D1724=""),"",IFERROR(INDEX(ca_fam,MATCH(D1724,ca_name,0))&amp;"",""))</f>
        <v/>
      </c>
      <c r="H1724" s="58" t="str">
        <f>IF(OR(COUNTA(A1724:E1724)=0,D1724=""),"",IFERROR(INDEX(ca_type,MATCH(D1724,ca_name,0))&amp;"",""))</f>
        <v/>
      </c>
      <c r="I1724" s="58" t="str">
        <f>IF(COUNTA(A1724:E1724)=0,"",IF(N(A1724)&lt;=0,"Date manquante ou invalide",IF(B1724="","Équipe manquante",IF(ISNA(MATCH(B1724,eq_code,0)),"Équipe inconnue",IF(C1724="","Poste manquant",IF(ISNA(MATCH(C1724,po_code,0)),"Poste inconnu",IF(D1724="","Cause manquante",IF(ISNA(MATCH(D1724,ca_name,0)),"Cause inconnue",IF(H1724="","Cause à compléter dans Paramètres",IF(OR(NOT(ISNUMBER(E1724)),N(E1724)&lt;=0,N(E1724)&gt;1440),"Durée invalide",IF(COUNTIFS(sj_date,A1724,sj_eq,B1724,sj_po,C1724)=0,"Pas de saisie journalière ce jour-là","OK")))))))))))</f>
        <v/>
      </c>
      <c r="J1724">
        <f>IF(OR(I1724="OK",I1724="Pas de saisie journalière ce jour-là"),E1724,0)</f>
        <v>0.0</v>
      </c>
      <c r="K1724">
        <f>IF(AND(J1724&gt;0,A1724&gt;=p_from,A1724&lt;=p_to),1,0)</f>
        <v>0.0</v>
      </c>
      <c r="L1724">
        <f>IF(AND(K1724=1,OR(pa_po="",C1724=pa_po),OR(pa_eq="",B1724=pa_eq)),1,0)</f>
        <v>0.0</v>
      </c>
    </row>
    <row r="1725">
      <c r="A1725" s="51" t="n"/>
      <c r="B1725" s="52" t="n"/>
      <c r="C1725" s="52" t="n"/>
      <c r="D1725" s="53" t="n"/>
      <c r="E1725" s="60" t="n"/>
      <c r="F1725" s="53" t="n"/>
      <c r="G1725" s="61" t="str">
        <f>IF(OR(COUNTA(A1725:E1725)=0,D1725=""),"",IFERROR(INDEX(ca_fam,MATCH(D1725,ca_name,0))&amp;"",""))</f>
        <v/>
      </c>
      <c r="H1725" s="58" t="str">
        <f>IF(OR(COUNTA(A1725:E1725)=0,D1725=""),"",IFERROR(INDEX(ca_type,MATCH(D1725,ca_name,0))&amp;"",""))</f>
        <v/>
      </c>
      <c r="I1725" s="58" t="str">
        <f>IF(COUNTA(A1725:E1725)=0,"",IF(N(A1725)&lt;=0,"Date manquante ou invalide",IF(B1725="","Équipe manquante",IF(ISNA(MATCH(B1725,eq_code,0)),"Équipe inconnue",IF(C1725="","Poste manquant",IF(ISNA(MATCH(C1725,po_code,0)),"Poste inconnu",IF(D1725="","Cause manquante",IF(ISNA(MATCH(D1725,ca_name,0)),"Cause inconnue",IF(H1725="","Cause à compléter dans Paramètres",IF(OR(NOT(ISNUMBER(E1725)),N(E1725)&lt;=0,N(E1725)&gt;1440),"Durée invalide",IF(COUNTIFS(sj_date,A1725,sj_eq,B1725,sj_po,C1725)=0,"Pas de saisie journalière ce jour-là","OK")))))))))))</f>
        <v/>
      </c>
      <c r="J1725">
        <f>IF(OR(I1725="OK",I1725="Pas de saisie journalière ce jour-là"),E1725,0)</f>
        <v>0.0</v>
      </c>
      <c r="K1725">
        <f>IF(AND(J1725&gt;0,A1725&gt;=p_from,A1725&lt;=p_to),1,0)</f>
        <v>0.0</v>
      </c>
      <c r="L1725">
        <f>IF(AND(K1725=1,OR(pa_po="",C1725=pa_po),OR(pa_eq="",B1725=pa_eq)),1,0)</f>
        <v>0.0</v>
      </c>
    </row>
    <row r="1726">
      <c r="A1726" s="51" t="n"/>
      <c r="B1726" s="52" t="n"/>
      <c r="C1726" s="52" t="n"/>
      <c r="D1726" s="53" t="n"/>
      <c r="E1726" s="60" t="n"/>
      <c r="F1726" s="53" t="n"/>
      <c r="G1726" s="61" t="str">
        <f>IF(OR(COUNTA(A1726:E1726)=0,D1726=""),"",IFERROR(INDEX(ca_fam,MATCH(D1726,ca_name,0))&amp;"",""))</f>
        <v/>
      </c>
      <c r="H1726" s="58" t="str">
        <f>IF(OR(COUNTA(A1726:E1726)=0,D1726=""),"",IFERROR(INDEX(ca_type,MATCH(D1726,ca_name,0))&amp;"",""))</f>
        <v/>
      </c>
      <c r="I1726" s="58" t="str">
        <f>IF(COUNTA(A1726:E1726)=0,"",IF(N(A1726)&lt;=0,"Date manquante ou invalide",IF(B1726="","Équipe manquante",IF(ISNA(MATCH(B1726,eq_code,0)),"Équipe inconnue",IF(C1726="","Poste manquant",IF(ISNA(MATCH(C1726,po_code,0)),"Poste inconnu",IF(D1726="","Cause manquante",IF(ISNA(MATCH(D1726,ca_name,0)),"Cause inconnue",IF(H1726="","Cause à compléter dans Paramètres",IF(OR(NOT(ISNUMBER(E1726)),N(E1726)&lt;=0,N(E1726)&gt;1440),"Durée invalide",IF(COUNTIFS(sj_date,A1726,sj_eq,B1726,sj_po,C1726)=0,"Pas de saisie journalière ce jour-là","OK")))))))))))</f>
        <v/>
      </c>
      <c r="J1726">
        <f>IF(OR(I1726="OK",I1726="Pas de saisie journalière ce jour-là"),E1726,0)</f>
        <v>0.0</v>
      </c>
      <c r="K1726">
        <f>IF(AND(J1726&gt;0,A1726&gt;=p_from,A1726&lt;=p_to),1,0)</f>
        <v>0.0</v>
      </c>
      <c r="L1726">
        <f>IF(AND(K1726=1,OR(pa_po="",C1726=pa_po),OR(pa_eq="",B1726=pa_eq)),1,0)</f>
        <v>0.0</v>
      </c>
    </row>
    <row r="1727">
      <c r="A1727" s="51" t="n"/>
      <c r="B1727" s="52" t="n"/>
      <c r="C1727" s="52" t="n"/>
      <c r="D1727" s="53" t="n"/>
      <c r="E1727" s="60" t="n"/>
      <c r="F1727" s="53" t="n"/>
      <c r="G1727" s="61" t="str">
        <f>IF(OR(COUNTA(A1727:E1727)=0,D1727=""),"",IFERROR(INDEX(ca_fam,MATCH(D1727,ca_name,0))&amp;"",""))</f>
        <v/>
      </c>
      <c r="H1727" s="58" t="str">
        <f>IF(OR(COUNTA(A1727:E1727)=0,D1727=""),"",IFERROR(INDEX(ca_type,MATCH(D1727,ca_name,0))&amp;"",""))</f>
        <v/>
      </c>
      <c r="I1727" s="58" t="str">
        <f>IF(COUNTA(A1727:E1727)=0,"",IF(N(A1727)&lt;=0,"Date manquante ou invalide",IF(B1727="","Équipe manquante",IF(ISNA(MATCH(B1727,eq_code,0)),"Équipe inconnue",IF(C1727="","Poste manquant",IF(ISNA(MATCH(C1727,po_code,0)),"Poste inconnu",IF(D1727="","Cause manquante",IF(ISNA(MATCH(D1727,ca_name,0)),"Cause inconnue",IF(H1727="","Cause à compléter dans Paramètres",IF(OR(NOT(ISNUMBER(E1727)),N(E1727)&lt;=0,N(E1727)&gt;1440),"Durée invalide",IF(COUNTIFS(sj_date,A1727,sj_eq,B1727,sj_po,C1727)=0,"Pas de saisie journalière ce jour-là","OK")))))))))))</f>
        <v/>
      </c>
      <c r="J1727">
        <f>IF(OR(I1727="OK",I1727="Pas de saisie journalière ce jour-là"),E1727,0)</f>
        <v>0.0</v>
      </c>
      <c r="K1727">
        <f>IF(AND(J1727&gt;0,A1727&gt;=p_from,A1727&lt;=p_to),1,0)</f>
        <v>0.0</v>
      </c>
      <c r="L1727">
        <f>IF(AND(K1727=1,OR(pa_po="",C1727=pa_po),OR(pa_eq="",B1727=pa_eq)),1,0)</f>
        <v>0.0</v>
      </c>
    </row>
    <row r="1728">
      <c r="A1728" s="51" t="n"/>
      <c r="B1728" s="52" t="n"/>
      <c r="C1728" s="52" t="n"/>
      <c r="D1728" s="53" t="n"/>
      <c r="E1728" s="60" t="n"/>
      <c r="F1728" s="53" t="n"/>
      <c r="G1728" s="61" t="str">
        <f>IF(OR(COUNTA(A1728:E1728)=0,D1728=""),"",IFERROR(INDEX(ca_fam,MATCH(D1728,ca_name,0))&amp;"",""))</f>
        <v/>
      </c>
      <c r="H1728" s="58" t="str">
        <f>IF(OR(COUNTA(A1728:E1728)=0,D1728=""),"",IFERROR(INDEX(ca_type,MATCH(D1728,ca_name,0))&amp;"",""))</f>
        <v/>
      </c>
      <c r="I1728" s="58" t="str">
        <f>IF(COUNTA(A1728:E1728)=0,"",IF(N(A1728)&lt;=0,"Date manquante ou invalide",IF(B1728="","Équipe manquante",IF(ISNA(MATCH(B1728,eq_code,0)),"Équipe inconnue",IF(C1728="","Poste manquant",IF(ISNA(MATCH(C1728,po_code,0)),"Poste inconnu",IF(D1728="","Cause manquante",IF(ISNA(MATCH(D1728,ca_name,0)),"Cause inconnue",IF(H1728="","Cause à compléter dans Paramètres",IF(OR(NOT(ISNUMBER(E1728)),N(E1728)&lt;=0,N(E1728)&gt;1440),"Durée invalide",IF(COUNTIFS(sj_date,A1728,sj_eq,B1728,sj_po,C1728)=0,"Pas de saisie journalière ce jour-là","OK")))))))))))</f>
        <v/>
      </c>
      <c r="J1728">
        <f>IF(OR(I1728="OK",I1728="Pas de saisie journalière ce jour-là"),E1728,0)</f>
        <v>0.0</v>
      </c>
      <c r="K1728">
        <f>IF(AND(J1728&gt;0,A1728&gt;=p_from,A1728&lt;=p_to),1,0)</f>
        <v>0.0</v>
      </c>
      <c r="L1728">
        <f>IF(AND(K1728=1,OR(pa_po="",C1728=pa_po),OR(pa_eq="",B1728=pa_eq)),1,0)</f>
        <v>0.0</v>
      </c>
    </row>
    <row r="1729">
      <c r="A1729" s="51" t="n"/>
      <c r="B1729" s="52" t="n"/>
      <c r="C1729" s="52" t="n"/>
      <c r="D1729" s="53" t="n"/>
      <c r="E1729" s="60" t="n"/>
      <c r="F1729" s="53" t="n"/>
      <c r="G1729" s="61" t="str">
        <f>IF(OR(COUNTA(A1729:E1729)=0,D1729=""),"",IFERROR(INDEX(ca_fam,MATCH(D1729,ca_name,0))&amp;"",""))</f>
        <v/>
      </c>
      <c r="H1729" s="58" t="str">
        <f>IF(OR(COUNTA(A1729:E1729)=0,D1729=""),"",IFERROR(INDEX(ca_type,MATCH(D1729,ca_name,0))&amp;"",""))</f>
        <v/>
      </c>
      <c r="I1729" s="58" t="str">
        <f>IF(COUNTA(A1729:E1729)=0,"",IF(N(A1729)&lt;=0,"Date manquante ou invalide",IF(B1729="","Équipe manquante",IF(ISNA(MATCH(B1729,eq_code,0)),"Équipe inconnue",IF(C1729="","Poste manquant",IF(ISNA(MATCH(C1729,po_code,0)),"Poste inconnu",IF(D1729="","Cause manquante",IF(ISNA(MATCH(D1729,ca_name,0)),"Cause inconnue",IF(H1729="","Cause à compléter dans Paramètres",IF(OR(NOT(ISNUMBER(E1729)),N(E1729)&lt;=0,N(E1729)&gt;1440),"Durée invalide",IF(COUNTIFS(sj_date,A1729,sj_eq,B1729,sj_po,C1729)=0,"Pas de saisie journalière ce jour-là","OK")))))))))))</f>
        <v/>
      </c>
      <c r="J1729">
        <f>IF(OR(I1729="OK",I1729="Pas de saisie journalière ce jour-là"),E1729,0)</f>
        <v>0.0</v>
      </c>
      <c r="K1729">
        <f>IF(AND(J1729&gt;0,A1729&gt;=p_from,A1729&lt;=p_to),1,0)</f>
        <v>0.0</v>
      </c>
      <c r="L1729">
        <f>IF(AND(K1729=1,OR(pa_po="",C1729=pa_po),OR(pa_eq="",B1729=pa_eq)),1,0)</f>
        <v>0.0</v>
      </c>
    </row>
    <row r="1730">
      <c r="A1730" s="51" t="n"/>
      <c r="B1730" s="52" t="n"/>
      <c r="C1730" s="52" t="n"/>
      <c r="D1730" s="53" t="n"/>
      <c r="E1730" s="60" t="n"/>
      <c r="F1730" s="53" t="n"/>
      <c r="G1730" s="61" t="str">
        <f>IF(OR(COUNTA(A1730:E1730)=0,D1730=""),"",IFERROR(INDEX(ca_fam,MATCH(D1730,ca_name,0))&amp;"",""))</f>
        <v/>
      </c>
      <c r="H1730" s="58" t="str">
        <f>IF(OR(COUNTA(A1730:E1730)=0,D1730=""),"",IFERROR(INDEX(ca_type,MATCH(D1730,ca_name,0))&amp;"",""))</f>
        <v/>
      </c>
      <c r="I1730" s="58" t="str">
        <f>IF(COUNTA(A1730:E1730)=0,"",IF(N(A1730)&lt;=0,"Date manquante ou invalide",IF(B1730="","Équipe manquante",IF(ISNA(MATCH(B1730,eq_code,0)),"Équipe inconnue",IF(C1730="","Poste manquant",IF(ISNA(MATCH(C1730,po_code,0)),"Poste inconnu",IF(D1730="","Cause manquante",IF(ISNA(MATCH(D1730,ca_name,0)),"Cause inconnue",IF(H1730="","Cause à compléter dans Paramètres",IF(OR(NOT(ISNUMBER(E1730)),N(E1730)&lt;=0,N(E1730)&gt;1440),"Durée invalide",IF(COUNTIFS(sj_date,A1730,sj_eq,B1730,sj_po,C1730)=0,"Pas de saisie journalière ce jour-là","OK")))))))))))</f>
        <v/>
      </c>
      <c r="J1730">
        <f>IF(OR(I1730="OK",I1730="Pas de saisie journalière ce jour-là"),E1730,0)</f>
        <v>0.0</v>
      </c>
      <c r="K1730">
        <f>IF(AND(J1730&gt;0,A1730&gt;=p_from,A1730&lt;=p_to),1,0)</f>
        <v>0.0</v>
      </c>
      <c r="L1730">
        <f>IF(AND(K1730=1,OR(pa_po="",C1730=pa_po),OR(pa_eq="",B1730=pa_eq)),1,0)</f>
        <v>0.0</v>
      </c>
    </row>
    <row r="1731">
      <c r="A1731" s="51" t="n"/>
      <c r="B1731" s="52" t="n"/>
      <c r="C1731" s="52" t="n"/>
      <c r="D1731" s="53" t="n"/>
      <c r="E1731" s="60" t="n"/>
      <c r="F1731" s="53" t="n"/>
      <c r="G1731" s="61" t="str">
        <f>IF(OR(COUNTA(A1731:E1731)=0,D1731=""),"",IFERROR(INDEX(ca_fam,MATCH(D1731,ca_name,0))&amp;"",""))</f>
        <v/>
      </c>
      <c r="H1731" s="58" t="str">
        <f>IF(OR(COUNTA(A1731:E1731)=0,D1731=""),"",IFERROR(INDEX(ca_type,MATCH(D1731,ca_name,0))&amp;"",""))</f>
        <v/>
      </c>
      <c r="I1731" s="58" t="str">
        <f>IF(COUNTA(A1731:E1731)=0,"",IF(N(A1731)&lt;=0,"Date manquante ou invalide",IF(B1731="","Équipe manquante",IF(ISNA(MATCH(B1731,eq_code,0)),"Équipe inconnue",IF(C1731="","Poste manquant",IF(ISNA(MATCH(C1731,po_code,0)),"Poste inconnu",IF(D1731="","Cause manquante",IF(ISNA(MATCH(D1731,ca_name,0)),"Cause inconnue",IF(H1731="","Cause à compléter dans Paramètres",IF(OR(NOT(ISNUMBER(E1731)),N(E1731)&lt;=0,N(E1731)&gt;1440),"Durée invalide",IF(COUNTIFS(sj_date,A1731,sj_eq,B1731,sj_po,C1731)=0,"Pas de saisie journalière ce jour-là","OK")))))))))))</f>
        <v/>
      </c>
      <c r="J1731">
        <f>IF(OR(I1731="OK",I1731="Pas de saisie journalière ce jour-là"),E1731,0)</f>
        <v>0.0</v>
      </c>
      <c r="K1731">
        <f>IF(AND(J1731&gt;0,A1731&gt;=p_from,A1731&lt;=p_to),1,0)</f>
        <v>0.0</v>
      </c>
      <c r="L1731">
        <f>IF(AND(K1731=1,OR(pa_po="",C1731=pa_po),OR(pa_eq="",B1731=pa_eq)),1,0)</f>
        <v>0.0</v>
      </c>
    </row>
    <row r="1732">
      <c r="A1732" s="51" t="n"/>
      <c r="B1732" s="52" t="n"/>
      <c r="C1732" s="52" t="n"/>
      <c r="D1732" s="53" t="n"/>
      <c r="E1732" s="60" t="n"/>
      <c r="F1732" s="53" t="n"/>
      <c r="G1732" s="61" t="str">
        <f>IF(OR(COUNTA(A1732:E1732)=0,D1732=""),"",IFERROR(INDEX(ca_fam,MATCH(D1732,ca_name,0))&amp;"",""))</f>
        <v/>
      </c>
      <c r="H1732" s="58" t="str">
        <f>IF(OR(COUNTA(A1732:E1732)=0,D1732=""),"",IFERROR(INDEX(ca_type,MATCH(D1732,ca_name,0))&amp;"",""))</f>
        <v/>
      </c>
      <c r="I1732" s="58" t="str">
        <f>IF(COUNTA(A1732:E1732)=0,"",IF(N(A1732)&lt;=0,"Date manquante ou invalide",IF(B1732="","Équipe manquante",IF(ISNA(MATCH(B1732,eq_code,0)),"Équipe inconnue",IF(C1732="","Poste manquant",IF(ISNA(MATCH(C1732,po_code,0)),"Poste inconnu",IF(D1732="","Cause manquante",IF(ISNA(MATCH(D1732,ca_name,0)),"Cause inconnue",IF(H1732="","Cause à compléter dans Paramètres",IF(OR(NOT(ISNUMBER(E1732)),N(E1732)&lt;=0,N(E1732)&gt;1440),"Durée invalide",IF(COUNTIFS(sj_date,A1732,sj_eq,B1732,sj_po,C1732)=0,"Pas de saisie journalière ce jour-là","OK")))))))))))</f>
        <v/>
      </c>
      <c r="J1732">
        <f>IF(OR(I1732="OK",I1732="Pas de saisie journalière ce jour-là"),E1732,0)</f>
        <v>0.0</v>
      </c>
      <c r="K1732">
        <f>IF(AND(J1732&gt;0,A1732&gt;=p_from,A1732&lt;=p_to),1,0)</f>
        <v>0.0</v>
      </c>
      <c r="L1732">
        <f>IF(AND(K1732=1,OR(pa_po="",C1732=pa_po),OR(pa_eq="",B1732=pa_eq)),1,0)</f>
        <v>0.0</v>
      </c>
    </row>
    <row r="1733">
      <c r="A1733" s="51" t="n"/>
      <c r="B1733" s="52" t="n"/>
      <c r="C1733" s="52" t="n"/>
      <c r="D1733" s="53" t="n"/>
      <c r="E1733" s="60" t="n"/>
      <c r="F1733" s="53" t="n"/>
      <c r="G1733" s="61" t="str">
        <f>IF(OR(COUNTA(A1733:E1733)=0,D1733=""),"",IFERROR(INDEX(ca_fam,MATCH(D1733,ca_name,0))&amp;"",""))</f>
        <v/>
      </c>
      <c r="H1733" s="58" t="str">
        <f>IF(OR(COUNTA(A1733:E1733)=0,D1733=""),"",IFERROR(INDEX(ca_type,MATCH(D1733,ca_name,0))&amp;"",""))</f>
        <v/>
      </c>
      <c r="I1733" s="58" t="str">
        <f>IF(COUNTA(A1733:E1733)=0,"",IF(N(A1733)&lt;=0,"Date manquante ou invalide",IF(B1733="","Équipe manquante",IF(ISNA(MATCH(B1733,eq_code,0)),"Équipe inconnue",IF(C1733="","Poste manquant",IF(ISNA(MATCH(C1733,po_code,0)),"Poste inconnu",IF(D1733="","Cause manquante",IF(ISNA(MATCH(D1733,ca_name,0)),"Cause inconnue",IF(H1733="","Cause à compléter dans Paramètres",IF(OR(NOT(ISNUMBER(E1733)),N(E1733)&lt;=0,N(E1733)&gt;1440),"Durée invalide",IF(COUNTIFS(sj_date,A1733,sj_eq,B1733,sj_po,C1733)=0,"Pas de saisie journalière ce jour-là","OK")))))))))))</f>
        <v/>
      </c>
      <c r="J1733">
        <f>IF(OR(I1733="OK",I1733="Pas de saisie journalière ce jour-là"),E1733,0)</f>
        <v>0.0</v>
      </c>
      <c r="K1733">
        <f>IF(AND(J1733&gt;0,A1733&gt;=p_from,A1733&lt;=p_to),1,0)</f>
        <v>0.0</v>
      </c>
      <c r="L1733">
        <f>IF(AND(K1733=1,OR(pa_po="",C1733=pa_po),OR(pa_eq="",B1733=pa_eq)),1,0)</f>
        <v>0.0</v>
      </c>
    </row>
    <row r="1734">
      <c r="A1734" s="51" t="n"/>
      <c r="B1734" s="52" t="n"/>
      <c r="C1734" s="52" t="n"/>
      <c r="D1734" s="53" t="n"/>
      <c r="E1734" s="60" t="n"/>
      <c r="F1734" s="53" t="n"/>
      <c r="G1734" s="61" t="str">
        <f>IF(OR(COUNTA(A1734:E1734)=0,D1734=""),"",IFERROR(INDEX(ca_fam,MATCH(D1734,ca_name,0))&amp;"",""))</f>
        <v/>
      </c>
      <c r="H1734" s="58" t="str">
        <f>IF(OR(COUNTA(A1734:E1734)=0,D1734=""),"",IFERROR(INDEX(ca_type,MATCH(D1734,ca_name,0))&amp;"",""))</f>
        <v/>
      </c>
      <c r="I1734" s="58" t="str">
        <f>IF(COUNTA(A1734:E1734)=0,"",IF(N(A1734)&lt;=0,"Date manquante ou invalide",IF(B1734="","Équipe manquante",IF(ISNA(MATCH(B1734,eq_code,0)),"Équipe inconnue",IF(C1734="","Poste manquant",IF(ISNA(MATCH(C1734,po_code,0)),"Poste inconnu",IF(D1734="","Cause manquante",IF(ISNA(MATCH(D1734,ca_name,0)),"Cause inconnue",IF(H1734="","Cause à compléter dans Paramètres",IF(OR(NOT(ISNUMBER(E1734)),N(E1734)&lt;=0,N(E1734)&gt;1440),"Durée invalide",IF(COUNTIFS(sj_date,A1734,sj_eq,B1734,sj_po,C1734)=0,"Pas de saisie journalière ce jour-là","OK")))))))))))</f>
        <v/>
      </c>
      <c r="J1734">
        <f>IF(OR(I1734="OK",I1734="Pas de saisie journalière ce jour-là"),E1734,0)</f>
        <v>0.0</v>
      </c>
      <c r="K1734">
        <f>IF(AND(J1734&gt;0,A1734&gt;=p_from,A1734&lt;=p_to),1,0)</f>
        <v>0.0</v>
      </c>
      <c r="L1734">
        <f>IF(AND(K1734=1,OR(pa_po="",C1734=pa_po),OR(pa_eq="",B1734=pa_eq)),1,0)</f>
        <v>0.0</v>
      </c>
    </row>
    <row r="1735">
      <c r="A1735" s="51" t="n"/>
      <c r="B1735" s="52" t="n"/>
      <c r="C1735" s="52" t="n"/>
      <c r="D1735" s="53" t="n"/>
      <c r="E1735" s="60" t="n"/>
      <c r="F1735" s="53" t="n"/>
      <c r="G1735" s="61" t="str">
        <f>IF(OR(COUNTA(A1735:E1735)=0,D1735=""),"",IFERROR(INDEX(ca_fam,MATCH(D1735,ca_name,0))&amp;"",""))</f>
        <v/>
      </c>
      <c r="H1735" s="58" t="str">
        <f>IF(OR(COUNTA(A1735:E1735)=0,D1735=""),"",IFERROR(INDEX(ca_type,MATCH(D1735,ca_name,0))&amp;"",""))</f>
        <v/>
      </c>
      <c r="I1735" s="58" t="str">
        <f>IF(COUNTA(A1735:E1735)=0,"",IF(N(A1735)&lt;=0,"Date manquante ou invalide",IF(B1735="","Équipe manquante",IF(ISNA(MATCH(B1735,eq_code,0)),"Équipe inconnue",IF(C1735="","Poste manquant",IF(ISNA(MATCH(C1735,po_code,0)),"Poste inconnu",IF(D1735="","Cause manquante",IF(ISNA(MATCH(D1735,ca_name,0)),"Cause inconnue",IF(H1735="","Cause à compléter dans Paramètres",IF(OR(NOT(ISNUMBER(E1735)),N(E1735)&lt;=0,N(E1735)&gt;1440),"Durée invalide",IF(COUNTIFS(sj_date,A1735,sj_eq,B1735,sj_po,C1735)=0,"Pas de saisie journalière ce jour-là","OK")))))))))))</f>
        <v/>
      </c>
      <c r="J1735">
        <f>IF(OR(I1735="OK",I1735="Pas de saisie journalière ce jour-là"),E1735,0)</f>
        <v>0.0</v>
      </c>
      <c r="K1735">
        <f>IF(AND(J1735&gt;0,A1735&gt;=p_from,A1735&lt;=p_to),1,0)</f>
        <v>0.0</v>
      </c>
      <c r="L1735">
        <f>IF(AND(K1735=1,OR(pa_po="",C1735=pa_po),OR(pa_eq="",B1735=pa_eq)),1,0)</f>
        <v>0.0</v>
      </c>
    </row>
    <row r="1736">
      <c r="A1736" s="51" t="n"/>
      <c r="B1736" s="52" t="n"/>
      <c r="C1736" s="52" t="n"/>
      <c r="D1736" s="53" t="n"/>
      <c r="E1736" s="60" t="n"/>
      <c r="F1736" s="53" t="n"/>
      <c r="G1736" s="61" t="str">
        <f>IF(OR(COUNTA(A1736:E1736)=0,D1736=""),"",IFERROR(INDEX(ca_fam,MATCH(D1736,ca_name,0))&amp;"",""))</f>
        <v/>
      </c>
      <c r="H1736" s="58" t="str">
        <f>IF(OR(COUNTA(A1736:E1736)=0,D1736=""),"",IFERROR(INDEX(ca_type,MATCH(D1736,ca_name,0))&amp;"",""))</f>
        <v/>
      </c>
      <c r="I1736" s="58" t="str">
        <f>IF(COUNTA(A1736:E1736)=0,"",IF(N(A1736)&lt;=0,"Date manquante ou invalide",IF(B1736="","Équipe manquante",IF(ISNA(MATCH(B1736,eq_code,0)),"Équipe inconnue",IF(C1736="","Poste manquant",IF(ISNA(MATCH(C1736,po_code,0)),"Poste inconnu",IF(D1736="","Cause manquante",IF(ISNA(MATCH(D1736,ca_name,0)),"Cause inconnue",IF(H1736="","Cause à compléter dans Paramètres",IF(OR(NOT(ISNUMBER(E1736)),N(E1736)&lt;=0,N(E1736)&gt;1440),"Durée invalide",IF(COUNTIFS(sj_date,A1736,sj_eq,B1736,sj_po,C1736)=0,"Pas de saisie journalière ce jour-là","OK")))))))))))</f>
        <v/>
      </c>
      <c r="J1736">
        <f>IF(OR(I1736="OK",I1736="Pas de saisie journalière ce jour-là"),E1736,0)</f>
        <v>0.0</v>
      </c>
      <c r="K1736">
        <f>IF(AND(J1736&gt;0,A1736&gt;=p_from,A1736&lt;=p_to),1,0)</f>
        <v>0.0</v>
      </c>
      <c r="L1736">
        <f>IF(AND(K1736=1,OR(pa_po="",C1736=pa_po),OR(pa_eq="",B1736=pa_eq)),1,0)</f>
        <v>0.0</v>
      </c>
    </row>
    <row r="1737">
      <c r="A1737" s="51" t="n"/>
      <c r="B1737" s="52" t="n"/>
      <c r="C1737" s="52" t="n"/>
      <c r="D1737" s="53" t="n"/>
      <c r="E1737" s="60" t="n"/>
      <c r="F1737" s="53" t="n"/>
      <c r="G1737" s="61" t="str">
        <f>IF(OR(COUNTA(A1737:E1737)=0,D1737=""),"",IFERROR(INDEX(ca_fam,MATCH(D1737,ca_name,0))&amp;"",""))</f>
        <v/>
      </c>
      <c r="H1737" s="58" t="str">
        <f>IF(OR(COUNTA(A1737:E1737)=0,D1737=""),"",IFERROR(INDEX(ca_type,MATCH(D1737,ca_name,0))&amp;"",""))</f>
        <v/>
      </c>
      <c r="I1737" s="58" t="str">
        <f>IF(COUNTA(A1737:E1737)=0,"",IF(N(A1737)&lt;=0,"Date manquante ou invalide",IF(B1737="","Équipe manquante",IF(ISNA(MATCH(B1737,eq_code,0)),"Équipe inconnue",IF(C1737="","Poste manquant",IF(ISNA(MATCH(C1737,po_code,0)),"Poste inconnu",IF(D1737="","Cause manquante",IF(ISNA(MATCH(D1737,ca_name,0)),"Cause inconnue",IF(H1737="","Cause à compléter dans Paramètres",IF(OR(NOT(ISNUMBER(E1737)),N(E1737)&lt;=0,N(E1737)&gt;1440),"Durée invalide",IF(COUNTIFS(sj_date,A1737,sj_eq,B1737,sj_po,C1737)=0,"Pas de saisie journalière ce jour-là","OK")))))))))))</f>
        <v/>
      </c>
      <c r="J1737">
        <f>IF(OR(I1737="OK",I1737="Pas de saisie journalière ce jour-là"),E1737,0)</f>
        <v>0.0</v>
      </c>
      <c r="K1737">
        <f>IF(AND(J1737&gt;0,A1737&gt;=p_from,A1737&lt;=p_to),1,0)</f>
        <v>0.0</v>
      </c>
      <c r="L1737">
        <f>IF(AND(K1737=1,OR(pa_po="",C1737=pa_po),OR(pa_eq="",B1737=pa_eq)),1,0)</f>
        <v>0.0</v>
      </c>
    </row>
    <row r="1738">
      <c r="A1738" s="51" t="n"/>
      <c r="B1738" s="52" t="n"/>
      <c r="C1738" s="52" t="n"/>
      <c r="D1738" s="53" t="n"/>
      <c r="E1738" s="60" t="n"/>
      <c r="F1738" s="53" t="n"/>
      <c r="G1738" s="61" t="str">
        <f>IF(OR(COUNTA(A1738:E1738)=0,D1738=""),"",IFERROR(INDEX(ca_fam,MATCH(D1738,ca_name,0))&amp;"",""))</f>
        <v/>
      </c>
      <c r="H1738" s="58" t="str">
        <f>IF(OR(COUNTA(A1738:E1738)=0,D1738=""),"",IFERROR(INDEX(ca_type,MATCH(D1738,ca_name,0))&amp;"",""))</f>
        <v/>
      </c>
      <c r="I1738" s="58" t="str">
        <f>IF(COUNTA(A1738:E1738)=0,"",IF(N(A1738)&lt;=0,"Date manquante ou invalide",IF(B1738="","Équipe manquante",IF(ISNA(MATCH(B1738,eq_code,0)),"Équipe inconnue",IF(C1738="","Poste manquant",IF(ISNA(MATCH(C1738,po_code,0)),"Poste inconnu",IF(D1738="","Cause manquante",IF(ISNA(MATCH(D1738,ca_name,0)),"Cause inconnue",IF(H1738="","Cause à compléter dans Paramètres",IF(OR(NOT(ISNUMBER(E1738)),N(E1738)&lt;=0,N(E1738)&gt;1440),"Durée invalide",IF(COUNTIFS(sj_date,A1738,sj_eq,B1738,sj_po,C1738)=0,"Pas de saisie journalière ce jour-là","OK")))))))))))</f>
        <v/>
      </c>
      <c r="J1738">
        <f>IF(OR(I1738="OK",I1738="Pas de saisie journalière ce jour-là"),E1738,0)</f>
        <v>0.0</v>
      </c>
      <c r="K1738">
        <f>IF(AND(J1738&gt;0,A1738&gt;=p_from,A1738&lt;=p_to),1,0)</f>
        <v>0.0</v>
      </c>
      <c r="L1738">
        <f>IF(AND(K1738=1,OR(pa_po="",C1738=pa_po),OR(pa_eq="",B1738=pa_eq)),1,0)</f>
        <v>0.0</v>
      </c>
    </row>
    <row r="1739">
      <c r="A1739" s="51" t="n"/>
      <c r="B1739" s="52" t="n"/>
      <c r="C1739" s="52" t="n"/>
      <c r="D1739" s="53" t="n"/>
      <c r="E1739" s="60" t="n"/>
      <c r="F1739" s="53" t="n"/>
      <c r="G1739" s="61" t="str">
        <f>IF(OR(COUNTA(A1739:E1739)=0,D1739=""),"",IFERROR(INDEX(ca_fam,MATCH(D1739,ca_name,0))&amp;"",""))</f>
        <v/>
      </c>
      <c r="H1739" s="58" t="str">
        <f>IF(OR(COUNTA(A1739:E1739)=0,D1739=""),"",IFERROR(INDEX(ca_type,MATCH(D1739,ca_name,0))&amp;"",""))</f>
        <v/>
      </c>
      <c r="I1739" s="58" t="str">
        <f>IF(COUNTA(A1739:E1739)=0,"",IF(N(A1739)&lt;=0,"Date manquante ou invalide",IF(B1739="","Équipe manquante",IF(ISNA(MATCH(B1739,eq_code,0)),"Équipe inconnue",IF(C1739="","Poste manquant",IF(ISNA(MATCH(C1739,po_code,0)),"Poste inconnu",IF(D1739="","Cause manquante",IF(ISNA(MATCH(D1739,ca_name,0)),"Cause inconnue",IF(H1739="","Cause à compléter dans Paramètres",IF(OR(NOT(ISNUMBER(E1739)),N(E1739)&lt;=0,N(E1739)&gt;1440),"Durée invalide",IF(COUNTIFS(sj_date,A1739,sj_eq,B1739,sj_po,C1739)=0,"Pas de saisie journalière ce jour-là","OK")))))))))))</f>
        <v/>
      </c>
      <c r="J1739">
        <f>IF(OR(I1739="OK",I1739="Pas de saisie journalière ce jour-là"),E1739,0)</f>
        <v>0.0</v>
      </c>
      <c r="K1739">
        <f>IF(AND(J1739&gt;0,A1739&gt;=p_from,A1739&lt;=p_to),1,0)</f>
        <v>0.0</v>
      </c>
      <c r="L1739">
        <f>IF(AND(K1739=1,OR(pa_po="",C1739=pa_po),OR(pa_eq="",B1739=pa_eq)),1,0)</f>
        <v>0.0</v>
      </c>
    </row>
    <row r="1740">
      <c r="A1740" s="51" t="n"/>
      <c r="B1740" s="52" t="n"/>
      <c r="C1740" s="52" t="n"/>
      <c r="D1740" s="53" t="n"/>
      <c r="E1740" s="60" t="n"/>
      <c r="F1740" s="53" t="n"/>
      <c r="G1740" s="61" t="str">
        <f>IF(OR(COUNTA(A1740:E1740)=0,D1740=""),"",IFERROR(INDEX(ca_fam,MATCH(D1740,ca_name,0))&amp;"",""))</f>
        <v/>
      </c>
      <c r="H1740" s="58" t="str">
        <f>IF(OR(COUNTA(A1740:E1740)=0,D1740=""),"",IFERROR(INDEX(ca_type,MATCH(D1740,ca_name,0))&amp;"",""))</f>
        <v/>
      </c>
      <c r="I1740" s="58" t="str">
        <f>IF(COUNTA(A1740:E1740)=0,"",IF(N(A1740)&lt;=0,"Date manquante ou invalide",IF(B1740="","Équipe manquante",IF(ISNA(MATCH(B1740,eq_code,0)),"Équipe inconnue",IF(C1740="","Poste manquant",IF(ISNA(MATCH(C1740,po_code,0)),"Poste inconnu",IF(D1740="","Cause manquante",IF(ISNA(MATCH(D1740,ca_name,0)),"Cause inconnue",IF(H1740="","Cause à compléter dans Paramètres",IF(OR(NOT(ISNUMBER(E1740)),N(E1740)&lt;=0,N(E1740)&gt;1440),"Durée invalide",IF(COUNTIFS(sj_date,A1740,sj_eq,B1740,sj_po,C1740)=0,"Pas de saisie journalière ce jour-là","OK")))))))))))</f>
        <v/>
      </c>
      <c r="J1740">
        <f>IF(OR(I1740="OK",I1740="Pas de saisie journalière ce jour-là"),E1740,0)</f>
        <v>0.0</v>
      </c>
      <c r="K1740">
        <f>IF(AND(J1740&gt;0,A1740&gt;=p_from,A1740&lt;=p_to),1,0)</f>
        <v>0.0</v>
      </c>
      <c r="L1740">
        <f>IF(AND(K1740=1,OR(pa_po="",C1740=pa_po),OR(pa_eq="",B1740=pa_eq)),1,0)</f>
        <v>0.0</v>
      </c>
    </row>
    <row r="1741">
      <c r="A1741" s="51" t="n"/>
      <c r="B1741" s="52" t="n"/>
      <c r="C1741" s="52" t="n"/>
      <c r="D1741" s="53" t="n"/>
      <c r="E1741" s="60" t="n"/>
      <c r="F1741" s="53" t="n"/>
      <c r="G1741" s="61" t="str">
        <f>IF(OR(COUNTA(A1741:E1741)=0,D1741=""),"",IFERROR(INDEX(ca_fam,MATCH(D1741,ca_name,0))&amp;"",""))</f>
        <v/>
      </c>
      <c r="H1741" s="58" t="str">
        <f>IF(OR(COUNTA(A1741:E1741)=0,D1741=""),"",IFERROR(INDEX(ca_type,MATCH(D1741,ca_name,0))&amp;"",""))</f>
        <v/>
      </c>
      <c r="I1741" s="58" t="str">
        <f>IF(COUNTA(A1741:E1741)=0,"",IF(N(A1741)&lt;=0,"Date manquante ou invalide",IF(B1741="","Équipe manquante",IF(ISNA(MATCH(B1741,eq_code,0)),"Équipe inconnue",IF(C1741="","Poste manquant",IF(ISNA(MATCH(C1741,po_code,0)),"Poste inconnu",IF(D1741="","Cause manquante",IF(ISNA(MATCH(D1741,ca_name,0)),"Cause inconnue",IF(H1741="","Cause à compléter dans Paramètres",IF(OR(NOT(ISNUMBER(E1741)),N(E1741)&lt;=0,N(E1741)&gt;1440),"Durée invalide",IF(COUNTIFS(sj_date,A1741,sj_eq,B1741,sj_po,C1741)=0,"Pas de saisie journalière ce jour-là","OK")))))))))))</f>
        <v/>
      </c>
      <c r="J1741">
        <f>IF(OR(I1741="OK",I1741="Pas de saisie journalière ce jour-là"),E1741,0)</f>
        <v>0.0</v>
      </c>
      <c r="K1741">
        <f>IF(AND(J1741&gt;0,A1741&gt;=p_from,A1741&lt;=p_to),1,0)</f>
        <v>0.0</v>
      </c>
      <c r="L1741">
        <f>IF(AND(K1741=1,OR(pa_po="",C1741=pa_po),OR(pa_eq="",B1741=pa_eq)),1,0)</f>
        <v>0.0</v>
      </c>
    </row>
    <row r="1742">
      <c r="A1742" s="51" t="n"/>
      <c r="B1742" s="52" t="n"/>
      <c r="C1742" s="52" t="n"/>
      <c r="D1742" s="53" t="n"/>
      <c r="E1742" s="60" t="n"/>
      <c r="F1742" s="53" t="n"/>
      <c r="G1742" s="61" t="str">
        <f>IF(OR(COUNTA(A1742:E1742)=0,D1742=""),"",IFERROR(INDEX(ca_fam,MATCH(D1742,ca_name,0))&amp;"",""))</f>
        <v/>
      </c>
      <c r="H1742" s="58" t="str">
        <f>IF(OR(COUNTA(A1742:E1742)=0,D1742=""),"",IFERROR(INDEX(ca_type,MATCH(D1742,ca_name,0))&amp;"",""))</f>
        <v/>
      </c>
      <c r="I1742" s="58" t="str">
        <f>IF(COUNTA(A1742:E1742)=0,"",IF(N(A1742)&lt;=0,"Date manquante ou invalide",IF(B1742="","Équipe manquante",IF(ISNA(MATCH(B1742,eq_code,0)),"Équipe inconnue",IF(C1742="","Poste manquant",IF(ISNA(MATCH(C1742,po_code,0)),"Poste inconnu",IF(D1742="","Cause manquante",IF(ISNA(MATCH(D1742,ca_name,0)),"Cause inconnue",IF(H1742="","Cause à compléter dans Paramètres",IF(OR(NOT(ISNUMBER(E1742)),N(E1742)&lt;=0,N(E1742)&gt;1440),"Durée invalide",IF(COUNTIFS(sj_date,A1742,sj_eq,B1742,sj_po,C1742)=0,"Pas de saisie journalière ce jour-là","OK")))))))))))</f>
        <v/>
      </c>
      <c r="J1742">
        <f>IF(OR(I1742="OK",I1742="Pas de saisie journalière ce jour-là"),E1742,0)</f>
        <v>0.0</v>
      </c>
      <c r="K1742">
        <f>IF(AND(J1742&gt;0,A1742&gt;=p_from,A1742&lt;=p_to),1,0)</f>
        <v>0.0</v>
      </c>
      <c r="L1742">
        <f>IF(AND(K1742=1,OR(pa_po="",C1742=pa_po),OR(pa_eq="",B1742=pa_eq)),1,0)</f>
        <v>0.0</v>
      </c>
    </row>
    <row r="1743">
      <c r="A1743" s="51" t="n"/>
      <c r="B1743" s="52" t="n"/>
      <c r="C1743" s="52" t="n"/>
      <c r="D1743" s="53" t="n"/>
      <c r="E1743" s="60" t="n"/>
      <c r="F1743" s="53" t="n"/>
      <c r="G1743" s="61" t="str">
        <f>IF(OR(COUNTA(A1743:E1743)=0,D1743=""),"",IFERROR(INDEX(ca_fam,MATCH(D1743,ca_name,0))&amp;"",""))</f>
        <v/>
      </c>
      <c r="H1743" s="58" t="str">
        <f>IF(OR(COUNTA(A1743:E1743)=0,D1743=""),"",IFERROR(INDEX(ca_type,MATCH(D1743,ca_name,0))&amp;"",""))</f>
        <v/>
      </c>
      <c r="I1743" s="58" t="str">
        <f>IF(COUNTA(A1743:E1743)=0,"",IF(N(A1743)&lt;=0,"Date manquante ou invalide",IF(B1743="","Équipe manquante",IF(ISNA(MATCH(B1743,eq_code,0)),"Équipe inconnue",IF(C1743="","Poste manquant",IF(ISNA(MATCH(C1743,po_code,0)),"Poste inconnu",IF(D1743="","Cause manquante",IF(ISNA(MATCH(D1743,ca_name,0)),"Cause inconnue",IF(H1743="","Cause à compléter dans Paramètres",IF(OR(NOT(ISNUMBER(E1743)),N(E1743)&lt;=0,N(E1743)&gt;1440),"Durée invalide",IF(COUNTIFS(sj_date,A1743,sj_eq,B1743,sj_po,C1743)=0,"Pas de saisie journalière ce jour-là","OK")))))))))))</f>
        <v/>
      </c>
      <c r="J1743">
        <f>IF(OR(I1743="OK",I1743="Pas de saisie journalière ce jour-là"),E1743,0)</f>
        <v>0.0</v>
      </c>
      <c r="K1743">
        <f>IF(AND(J1743&gt;0,A1743&gt;=p_from,A1743&lt;=p_to),1,0)</f>
        <v>0.0</v>
      </c>
      <c r="L1743">
        <f>IF(AND(K1743=1,OR(pa_po="",C1743=pa_po),OR(pa_eq="",B1743=pa_eq)),1,0)</f>
        <v>0.0</v>
      </c>
    </row>
    <row r="1744">
      <c r="A1744" s="51" t="n"/>
      <c r="B1744" s="52" t="n"/>
      <c r="C1744" s="52" t="n"/>
      <c r="D1744" s="53" t="n"/>
      <c r="E1744" s="60" t="n"/>
      <c r="F1744" s="53" t="n"/>
      <c r="G1744" s="61" t="str">
        <f>IF(OR(COUNTA(A1744:E1744)=0,D1744=""),"",IFERROR(INDEX(ca_fam,MATCH(D1744,ca_name,0))&amp;"",""))</f>
        <v/>
      </c>
      <c r="H1744" s="58" t="str">
        <f>IF(OR(COUNTA(A1744:E1744)=0,D1744=""),"",IFERROR(INDEX(ca_type,MATCH(D1744,ca_name,0))&amp;"",""))</f>
        <v/>
      </c>
      <c r="I1744" s="58" t="str">
        <f>IF(COUNTA(A1744:E1744)=0,"",IF(N(A1744)&lt;=0,"Date manquante ou invalide",IF(B1744="","Équipe manquante",IF(ISNA(MATCH(B1744,eq_code,0)),"Équipe inconnue",IF(C1744="","Poste manquant",IF(ISNA(MATCH(C1744,po_code,0)),"Poste inconnu",IF(D1744="","Cause manquante",IF(ISNA(MATCH(D1744,ca_name,0)),"Cause inconnue",IF(H1744="","Cause à compléter dans Paramètres",IF(OR(NOT(ISNUMBER(E1744)),N(E1744)&lt;=0,N(E1744)&gt;1440),"Durée invalide",IF(COUNTIFS(sj_date,A1744,sj_eq,B1744,sj_po,C1744)=0,"Pas de saisie journalière ce jour-là","OK")))))))))))</f>
        <v/>
      </c>
      <c r="J1744">
        <f>IF(OR(I1744="OK",I1744="Pas de saisie journalière ce jour-là"),E1744,0)</f>
        <v>0.0</v>
      </c>
      <c r="K1744">
        <f>IF(AND(J1744&gt;0,A1744&gt;=p_from,A1744&lt;=p_to),1,0)</f>
        <v>0.0</v>
      </c>
      <c r="L1744">
        <f>IF(AND(K1744=1,OR(pa_po="",C1744=pa_po),OR(pa_eq="",B1744=pa_eq)),1,0)</f>
        <v>0.0</v>
      </c>
    </row>
    <row r="1745">
      <c r="A1745" s="51" t="n"/>
      <c r="B1745" s="52" t="n"/>
      <c r="C1745" s="52" t="n"/>
      <c r="D1745" s="53" t="n"/>
      <c r="E1745" s="60" t="n"/>
      <c r="F1745" s="53" t="n"/>
      <c r="G1745" s="61" t="str">
        <f>IF(OR(COUNTA(A1745:E1745)=0,D1745=""),"",IFERROR(INDEX(ca_fam,MATCH(D1745,ca_name,0))&amp;"",""))</f>
        <v/>
      </c>
      <c r="H1745" s="58" t="str">
        <f>IF(OR(COUNTA(A1745:E1745)=0,D1745=""),"",IFERROR(INDEX(ca_type,MATCH(D1745,ca_name,0))&amp;"",""))</f>
        <v/>
      </c>
      <c r="I1745" s="58" t="str">
        <f>IF(COUNTA(A1745:E1745)=0,"",IF(N(A1745)&lt;=0,"Date manquante ou invalide",IF(B1745="","Équipe manquante",IF(ISNA(MATCH(B1745,eq_code,0)),"Équipe inconnue",IF(C1745="","Poste manquant",IF(ISNA(MATCH(C1745,po_code,0)),"Poste inconnu",IF(D1745="","Cause manquante",IF(ISNA(MATCH(D1745,ca_name,0)),"Cause inconnue",IF(H1745="","Cause à compléter dans Paramètres",IF(OR(NOT(ISNUMBER(E1745)),N(E1745)&lt;=0,N(E1745)&gt;1440),"Durée invalide",IF(COUNTIFS(sj_date,A1745,sj_eq,B1745,sj_po,C1745)=0,"Pas de saisie journalière ce jour-là","OK")))))))))))</f>
        <v/>
      </c>
      <c r="J1745">
        <f>IF(OR(I1745="OK",I1745="Pas de saisie journalière ce jour-là"),E1745,0)</f>
        <v>0.0</v>
      </c>
      <c r="K1745">
        <f>IF(AND(J1745&gt;0,A1745&gt;=p_from,A1745&lt;=p_to),1,0)</f>
        <v>0.0</v>
      </c>
      <c r="L1745">
        <f>IF(AND(K1745=1,OR(pa_po="",C1745=pa_po),OR(pa_eq="",B1745=pa_eq)),1,0)</f>
        <v>0.0</v>
      </c>
    </row>
    <row r="1746">
      <c r="A1746" s="51" t="n"/>
      <c r="B1746" s="52" t="n"/>
      <c r="C1746" s="52" t="n"/>
      <c r="D1746" s="53" t="n"/>
      <c r="E1746" s="60" t="n"/>
      <c r="F1746" s="53" t="n"/>
      <c r="G1746" s="61" t="str">
        <f>IF(OR(COUNTA(A1746:E1746)=0,D1746=""),"",IFERROR(INDEX(ca_fam,MATCH(D1746,ca_name,0))&amp;"",""))</f>
        <v/>
      </c>
      <c r="H1746" s="58" t="str">
        <f>IF(OR(COUNTA(A1746:E1746)=0,D1746=""),"",IFERROR(INDEX(ca_type,MATCH(D1746,ca_name,0))&amp;"",""))</f>
        <v/>
      </c>
      <c r="I1746" s="58" t="str">
        <f>IF(COUNTA(A1746:E1746)=0,"",IF(N(A1746)&lt;=0,"Date manquante ou invalide",IF(B1746="","Équipe manquante",IF(ISNA(MATCH(B1746,eq_code,0)),"Équipe inconnue",IF(C1746="","Poste manquant",IF(ISNA(MATCH(C1746,po_code,0)),"Poste inconnu",IF(D1746="","Cause manquante",IF(ISNA(MATCH(D1746,ca_name,0)),"Cause inconnue",IF(H1746="","Cause à compléter dans Paramètres",IF(OR(NOT(ISNUMBER(E1746)),N(E1746)&lt;=0,N(E1746)&gt;1440),"Durée invalide",IF(COUNTIFS(sj_date,A1746,sj_eq,B1746,sj_po,C1746)=0,"Pas de saisie journalière ce jour-là","OK")))))))))))</f>
        <v/>
      </c>
      <c r="J1746">
        <f>IF(OR(I1746="OK",I1746="Pas de saisie journalière ce jour-là"),E1746,0)</f>
        <v>0.0</v>
      </c>
      <c r="K1746">
        <f>IF(AND(J1746&gt;0,A1746&gt;=p_from,A1746&lt;=p_to),1,0)</f>
        <v>0.0</v>
      </c>
      <c r="L1746">
        <f>IF(AND(K1746=1,OR(pa_po="",C1746=pa_po),OR(pa_eq="",B1746=pa_eq)),1,0)</f>
        <v>0.0</v>
      </c>
    </row>
    <row r="1747">
      <c r="A1747" s="51" t="n"/>
      <c r="B1747" s="52" t="n"/>
      <c r="C1747" s="52" t="n"/>
      <c r="D1747" s="53" t="n"/>
      <c r="E1747" s="60" t="n"/>
      <c r="F1747" s="53" t="n"/>
      <c r="G1747" s="61" t="str">
        <f>IF(OR(COUNTA(A1747:E1747)=0,D1747=""),"",IFERROR(INDEX(ca_fam,MATCH(D1747,ca_name,0))&amp;"",""))</f>
        <v/>
      </c>
      <c r="H1747" s="58" t="str">
        <f>IF(OR(COUNTA(A1747:E1747)=0,D1747=""),"",IFERROR(INDEX(ca_type,MATCH(D1747,ca_name,0))&amp;"",""))</f>
        <v/>
      </c>
      <c r="I1747" s="58" t="str">
        <f>IF(COUNTA(A1747:E1747)=0,"",IF(N(A1747)&lt;=0,"Date manquante ou invalide",IF(B1747="","Équipe manquante",IF(ISNA(MATCH(B1747,eq_code,0)),"Équipe inconnue",IF(C1747="","Poste manquant",IF(ISNA(MATCH(C1747,po_code,0)),"Poste inconnu",IF(D1747="","Cause manquante",IF(ISNA(MATCH(D1747,ca_name,0)),"Cause inconnue",IF(H1747="","Cause à compléter dans Paramètres",IF(OR(NOT(ISNUMBER(E1747)),N(E1747)&lt;=0,N(E1747)&gt;1440),"Durée invalide",IF(COUNTIFS(sj_date,A1747,sj_eq,B1747,sj_po,C1747)=0,"Pas de saisie journalière ce jour-là","OK")))))))))))</f>
        <v/>
      </c>
      <c r="J1747">
        <f>IF(OR(I1747="OK",I1747="Pas de saisie journalière ce jour-là"),E1747,0)</f>
        <v>0.0</v>
      </c>
      <c r="K1747">
        <f>IF(AND(J1747&gt;0,A1747&gt;=p_from,A1747&lt;=p_to),1,0)</f>
        <v>0.0</v>
      </c>
      <c r="L1747">
        <f>IF(AND(K1747=1,OR(pa_po="",C1747=pa_po),OR(pa_eq="",B1747=pa_eq)),1,0)</f>
        <v>0.0</v>
      </c>
    </row>
    <row r="1748">
      <c r="A1748" s="51" t="n"/>
      <c r="B1748" s="52" t="n"/>
      <c r="C1748" s="52" t="n"/>
      <c r="D1748" s="53" t="n"/>
      <c r="E1748" s="60" t="n"/>
      <c r="F1748" s="53" t="n"/>
      <c r="G1748" s="61" t="str">
        <f>IF(OR(COUNTA(A1748:E1748)=0,D1748=""),"",IFERROR(INDEX(ca_fam,MATCH(D1748,ca_name,0))&amp;"",""))</f>
        <v/>
      </c>
      <c r="H1748" s="58" t="str">
        <f>IF(OR(COUNTA(A1748:E1748)=0,D1748=""),"",IFERROR(INDEX(ca_type,MATCH(D1748,ca_name,0))&amp;"",""))</f>
        <v/>
      </c>
      <c r="I1748" s="58" t="str">
        <f>IF(COUNTA(A1748:E1748)=0,"",IF(N(A1748)&lt;=0,"Date manquante ou invalide",IF(B1748="","Équipe manquante",IF(ISNA(MATCH(B1748,eq_code,0)),"Équipe inconnue",IF(C1748="","Poste manquant",IF(ISNA(MATCH(C1748,po_code,0)),"Poste inconnu",IF(D1748="","Cause manquante",IF(ISNA(MATCH(D1748,ca_name,0)),"Cause inconnue",IF(H1748="","Cause à compléter dans Paramètres",IF(OR(NOT(ISNUMBER(E1748)),N(E1748)&lt;=0,N(E1748)&gt;1440),"Durée invalide",IF(COUNTIFS(sj_date,A1748,sj_eq,B1748,sj_po,C1748)=0,"Pas de saisie journalière ce jour-là","OK")))))))))))</f>
        <v/>
      </c>
      <c r="J1748">
        <f>IF(OR(I1748="OK",I1748="Pas de saisie journalière ce jour-là"),E1748,0)</f>
        <v>0.0</v>
      </c>
      <c r="K1748">
        <f>IF(AND(J1748&gt;0,A1748&gt;=p_from,A1748&lt;=p_to),1,0)</f>
        <v>0.0</v>
      </c>
      <c r="L1748">
        <f>IF(AND(K1748=1,OR(pa_po="",C1748=pa_po),OR(pa_eq="",B1748=pa_eq)),1,0)</f>
        <v>0.0</v>
      </c>
    </row>
    <row r="1749">
      <c r="A1749" s="51" t="n"/>
      <c r="B1749" s="52" t="n"/>
      <c r="C1749" s="52" t="n"/>
      <c r="D1749" s="53" t="n"/>
      <c r="E1749" s="60" t="n"/>
      <c r="F1749" s="53" t="n"/>
      <c r="G1749" s="61" t="str">
        <f>IF(OR(COUNTA(A1749:E1749)=0,D1749=""),"",IFERROR(INDEX(ca_fam,MATCH(D1749,ca_name,0))&amp;"",""))</f>
        <v/>
      </c>
      <c r="H1749" s="58" t="str">
        <f>IF(OR(COUNTA(A1749:E1749)=0,D1749=""),"",IFERROR(INDEX(ca_type,MATCH(D1749,ca_name,0))&amp;"",""))</f>
        <v/>
      </c>
      <c r="I1749" s="58" t="str">
        <f>IF(COUNTA(A1749:E1749)=0,"",IF(N(A1749)&lt;=0,"Date manquante ou invalide",IF(B1749="","Équipe manquante",IF(ISNA(MATCH(B1749,eq_code,0)),"Équipe inconnue",IF(C1749="","Poste manquant",IF(ISNA(MATCH(C1749,po_code,0)),"Poste inconnu",IF(D1749="","Cause manquante",IF(ISNA(MATCH(D1749,ca_name,0)),"Cause inconnue",IF(H1749="","Cause à compléter dans Paramètres",IF(OR(NOT(ISNUMBER(E1749)),N(E1749)&lt;=0,N(E1749)&gt;1440),"Durée invalide",IF(COUNTIFS(sj_date,A1749,sj_eq,B1749,sj_po,C1749)=0,"Pas de saisie journalière ce jour-là","OK")))))))))))</f>
        <v/>
      </c>
      <c r="J1749">
        <f>IF(OR(I1749="OK",I1749="Pas de saisie journalière ce jour-là"),E1749,0)</f>
        <v>0.0</v>
      </c>
      <c r="K1749">
        <f>IF(AND(J1749&gt;0,A1749&gt;=p_from,A1749&lt;=p_to),1,0)</f>
        <v>0.0</v>
      </c>
      <c r="L1749">
        <f>IF(AND(K1749=1,OR(pa_po="",C1749=pa_po),OR(pa_eq="",B1749=pa_eq)),1,0)</f>
        <v>0.0</v>
      </c>
    </row>
    <row r="1750">
      <c r="A1750" s="51" t="n"/>
      <c r="B1750" s="52" t="n"/>
      <c r="C1750" s="52" t="n"/>
      <c r="D1750" s="53" t="n"/>
      <c r="E1750" s="60" t="n"/>
      <c r="F1750" s="53" t="n"/>
      <c r="G1750" s="61" t="str">
        <f>IF(OR(COUNTA(A1750:E1750)=0,D1750=""),"",IFERROR(INDEX(ca_fam,MATCH(D1750,ca_name,0))&amp;"",""))</f>
        <v/>
      </c>
      <c r="H1750" s="58" t="str">
        <f>IF(OR(COUNTA(A1750:E1750)=0,D1750=""),"",IFERROR(INDEX(ca_type,MATCH(D1750,ca_name,0))&amp;"",""))</f>
        <v/>
      </c>
      <c r="I1750" s="58" t="str">
        <f>IF(COUNTA(A1750:E1750)=0,"",IF(N(A1750)&lt;=0,"Date manquante ou invalide",IF(B1750="","Équipe manquante",IF(ISNA(MATCH(B1750,eq_code,0)),"Équipe inconnue",IF(C1750="","Poste manquant",IF(ISNA(MATCH(C1750,po_code,0)),"Poste inconnu",IF(D1750="","Cause manquante",IF(ISNA(MATCH(D1750,ca_name,0)),"Cause inconnue",IF(H1750="","Cause à compléter dans Paramètres",IF(OR(NOT(ISNUMBER(E1750)),N(E1750)&lt;=0,N(E1750)&gt;1440),"Durée invalide",IF(COUNTIFS(sj_date,A1750,sj_eq,B1750,sj_po,C1750)=0,"Pas de saisie journalière ce jour-là","OK")))))))))))</f>
        <v/>
      </c>
      <c r="J1750">
        <f>IF(OR(I1750="OK",I1750="Pas de saisie journalière ce jour-là"),E1750,0)</f>
        <v>0.0</v>
      </c>
      <c r="K1750">
        <f>IF(AND(J1750&gt;0,A1750&gt;=p_from,A1750&lt;=p_to),1,0)</f>
        <v>0.0</v>
      </c>
      <c r="L1750">
        <f>IF(AND(K1750=1,OR(pa_po="",C1750=pa_po),OR(pa_eq="",B1750=pa_eq)),1,0)</f>
        <v>0.0</v>
      </c>
    </row>
    <row r="1751">
      <c r="A1751" s="51" t="n"/>
      <c r="B1751" s="52" t="n"/>
      <c r="C1751" s="52" t="n"/>
      <c r="D1751" s="53" t="n"/>
      <c r="E1751" s="60" t="n"/>
      <c r="F1751" s="53" t="n"/>
      <c r="G1751" s="61" t="str">
        <f>IF(OR(COUNTA(A1751:E1751)=0,D1751=""),"",IFERROR(INDEX(ca_fam,MATCH(D1751,ca_name,0))&amp;"",""))</f>
        <v/>
      </c>
      <c r="H1751" s="58" t="str">
        <f>IF(OR(COUNTA(A1751:E1751)=0,D1751=""),"",IFERROR(INDEX(ca_type,MATCH(D1751,ca_name,0))&amp;"",""))</f>
        <v/>
      </c>
      <c r="I1751" s="58" t="str">
        <f>IF(COUNTA(A1751:E1751)=0,"",IF(N(A1751)&lt;=0,"Date manquante ou invalide",IF(B1751="","Équipe manquante",IF(ISNA(MATCH(B1751,eq_code,0)),"Équipe inconnue",IF(C1751="","Poste manquant",IF(ISNA(MATCH(C1751,po_code,0)),"Poste inconnu",IF(D1751="","Cause manquante",IF(ISNA(MATCH(D1751,ca_name,0)),"Cause inconnue",IF(H1751="","Cause à compléter dans Paramètres",IF(OR(NOT(ISNUMBER(E1751)),N(E1751)&lt;=0,N(E1751)&gt;1440),"Durée invalide",IF(COUNTIFS(sj_date,A1751,sj_eq,B1751,sj_po,C1751)=0,"Pas de saisie journalière ce jour-là","OK")))))))))))</f>
        <v/>
      </c>
      <c r="J1751">
        <f>IF(OR(I1751="OK",I1751="Pas de saisie journalière ce jour-là"),E1751,0)</f>
        <v>0.0</v>
      </c>
      <c r="K1751">
        <f>IF(AND(J1751&gt;0,A1751&gt;=p_from,A1751&lt;=p_to),1,0)</f>
        <v>0.0</v>
      </c>
      <c r="L1751">
        <f>IF(AND(K1751=1,OR(pa_po="",C1751=pa_po),OR(pa_eq="",B1751=pa_eq)),1,0)</f>
        <v>0.0</v>
      </c>
    </row>
    <row r="1752">
      <c r="A1752" s="51" t="n"/>
      <c r="B1752" s="52" t="n"/>
      <c r="C1752" s="52" t="n"/>
      <c r="D1752" s="53" t="n"/>
      <c r="E1752" s="60" t="n"/>
      <c r="F1752" s="53" t="n"/>
      <c r="G1752" s="61" t="str">
        <f>IF(OR(COUNTA(A1752:E1752)=0,D1752=""),"",IFERROR(INDEX(ca_fam,MATCH(D1752,ca_name,0))&amp;"",""))</f>
        <v/>
      </c>
      <c r="H1752" s="58" t="str">
        <f>IF(OR(COUNTA(A1752:E1752)=0,D1752=""),"",IFERROR(INDEX(ca_type,MATCH(D1752,ca_name,0))&amp;"",""))</f>
        <v/>
      </c>
      <c r="I1752" s="58" t="str">
        <f>IF(COUNTA(A1752:E1752)=0,"",IF(N(A1752)&lt;=0,"Date manquante ou invalide",IF(B1752="","Équipe manquante",IF(ISNA(MATCH(B1752,eq_code,0)),"Équipe inconnue",IF(C1752="","Poste manquant",IF(ISNA(MATCH(C1752,po_code,0)),"Poste inconnu",IF(D1752="","Cause manquante",IF(ISNA(MATCH(D1752,ca_name,0)),"Cause inconnue",IF(H1752="","Cause à compléter dans Paramètres",IF(OR(NOT(ISNUMBER(E1752)),N(E1752)&lt;=0,N(E1752)&gt;1440),"Durée invalide",IF(COUNTIFS(sj_date,A1752,sj_eq,B1752,sj_po,C1752)=0,"Pas de saisie journalière ce jour-là","OK")))))))))))</f>
        <v/>
      </c>
      <c r="J1752">
        <f>IF(OR(I1752="OK",I1752="Pas de saisie journalière ce jour-là"),E1752,0)</f>
        <v>0.0</v>
      </c>
      <c r="K1752">
        <f>IF(AND(J1752&gt;0,A1752&gt;=p_from,A1752&lt;=p_to),1,0)</f>
        <v>0.0</v>
      </c>
      <c r="L1752">
        <f>IF(AND(K1752=1,OR(pa_po="",C1752=pa_po),OR(pa_eq="",B1752=pa_eq)),1,0)</f>
        <v>0.0</v>
      </c>
    </row>
    <row r="1753">
      <c r="A1753" s="51" t="n"/>
      <c r="B1753" s="52" t="n"/>
      <c r="C1753" s="52" t="n"/>
      <c r="D1753" s="53" t="n"/>
      <c r="E1753" s="60" t="n"/>
      <c r="F1753" s="53" t="n"/>
      <c r="G1753" s="61" t="str">
        <f>IF(OR(COUNTA(A1753:E1753)=0,D1753=""),"",IFERROR(INDEX(ca_fam,MATCH(D1753,ca_name,0))&amp;"",""))</f>
        <v/>
      </c>
      <c r="H1753" s="58" t="str">
        <f>IF(OR(COUNTA(A1753:E1753)=0,D1753=""),"",IFERROR(INDEX(ca_type,MATCH(D1753,ca_name,0))&amp;"",""))</f>
        <v/>
      </c>
      <c r="I1753" s="58" t="str">
        <f>IF(COUNTA(A1753:E1753)=0,"",IF(N(A1753)&lt;=0,"Date manquante ou invalide",IF(B1753="","Équipe manquante",IF(ISNA(MATCH(B1753,eq_code,0)),"Équipe inconnue",IF(C1753="","Poste manquant",IF(ISNA(MATCH(C1753,po_code,0)),"Poste inconnu",IF(D1753="","Cause manquante",IF(ISNA(MATCH(D1753,ca_name,0)),"Cause inconnue",IF(H1753="","Cause à compléter dans Paramètres",IF(OR(NOT(ISNUMBER(E1753)),N(E1753)&lt;=0,N(E1753)&gt;1440),"Durée invalide",IF(COUNTIFS(sj_date,A1753,sj_eq,B1753,sj_po,C1753)=0,"Pas de saisie journalière ce jour-là","OK")))))))))))</f>
        <v/>
      </c>
      <c r="J1753">
        <f>IF(OR(I1753="OK",I1753="Pas de saisie journalière ce jour-là"),E1753,0)</f>
        <v>0.0</v>
      </c>
      <c r="K1753">
        <f>IF(AND(J1753&gt;0,A1753&gt;=p_from,A1753&lt;=p_to),1,0)</f>
        <v>0.0</v>
      </c>
      <c r="L1753">
        <f>IF(AND(K1753=1,OR(pa_po="",C1753=pa_po),OR(pa_eq="",B1753=pa_eq)),1,0)</f>
        <v>0.0</v>
      </c>
    </row>
    <row r="1754">
      <c r="A1754" s="51" t="n"/>
      <c r="B1754" s="52" t="n"/>
      <c r="C1754" s="52" t="n"/>
      <c r="D1754" s="53" t="n"/>
      <c r="E1754" s="60" t="n"/>
      <c r="F1754" s="53" t="n"/>
      <c r="G1754" s="61" t="str">
        <f>IF(OR(COUNTA(A1754:E1754)=0,D1754=""),"",IFERROR(INDEX(ca_fam,MATCH(D1754,ca_name,0))&amp;"",""))</f>
        <v/>
      </c>
      <c r="H1754" s="58" t="str">
        <f>IF(OR(COUNTA(A1754:E1754)=0,D1754=""),"",IFERROR(INDEX(ca_type,MATCH(D1754,ca_name,0))&amp;"",""))</f>
        <v/>
      </c>
      <c r="I1754" s="58" t="str">
        <f>IF(COUNTA(A1754:E1754)=0,"",IF(N(A1754)&lt;=0,"Date manquante ou invalide",IF(B1754="","Équipe manquante",IF(ISNA(MATCH(B1754,eq_code,0)),"Équipe inconnue",IF(C1754="","Poste manquant",IF(ISNA(MATCH(C1754,po_code,0)),"Poste inconnu",IF(D1754="","Cause manquante",IF(ISNA(MATCH(D1754,ca_name,0)),"Cause inconnue",IF(H1754="","Cause à compléter dans Paramètres",IF(OR(NOT(ISNUMBER(E1754)),N(E1754)&lt;=0,N(E1754)&gt;1440),"Durée invalide",IF(COUNTIFS(sj_date,A1754,sj_eq,B1754,sj_po,C1754)=0,"Pas de saisie journalière ce jour-là","OK")))))))))))</f>
        <v/>
      </c>
      <c r="J1754">
        <f>IF(OR(I1754="OK",I1754="Pas de saisie journalière ce jour-là"),E1754,0)</f>
        <v>0.0</v>
      </c>
      <c r="K1754">
        <f>IF(AND(J1754&gt;0,A1754&gt;=p_from,A1754&lt;=p_to),1,0)</f>
        <v>0.0</v>
      </c>
      <c r="L1754">
        <f>IF(AND(K1754=1,OR(pa_po="",C1754=pa_po),OR(pa_eq="",B1754=pa_eq)),1,0)</f>
        <v>0.0</v>
      </c>
    </row>
    <row r="1755">
      <c r="A1755" s="51" t="n"/>
      <c r="B1755" s="52" t="n"/>
      <c r="C1755" s="52" t="n"/>
      <c r="D1755" s="53" t="n"/>
      <c r="E1755" s="60" t="n"/>
      <c r="F1755" s="53" t="n"/>
      <c r="G1755" s="61" t="str">
        <f>IF(OR(COUNTA(A1755:E1755)=0,D1755=""),"",IFERROR(INDEX(ca_fam,MATCH(D1755,ca_name,0))&amp;"",""))</f>
        <v/>
      </c>
      <c r="H1755" s="58" t="str">
        <f>IF(OR(COUNTA(A1755:E1755)=0,D1755=""),"",IFERROR(INDEX(ca_type,MATCH(D1755,ca_name,0))&amp;"",""))</f>
        <v/>
      </c>
      <c r="I1755" s="58" t="str">
        <f>IF(COUNTA(A1755:E1755)=0,"",IF(N(A1755)&lt;=0,"Date manquante ou invalide",IF(B1755="","Équipe manquante",IF(ISNA(MATCH(B1755,eq_code,0)),"Équipe inconnue",IF(C1755="","Poste manquant",IF(ISNA(MATCH(C1755,po_code,0)),"Poste inconnu",IF(D1755="","Cause manquante",IF(ISNA(MATCH(D1755,ca_name,0)),"Cause inconnue",IF(H1755="","Cause à compléter dans Paramètres",IF(OR(NOT(ISNUMBER(E1755)),N(E1755)&lt;=0,N(E1755)&gt;1440),"Durée invalide",IF(COUNTIFS(sj_date,A1755,sj_eq,B1755,sj_po,C1755)=0,"Pas de saisie journalière ce jour-là","OK")))))))))))</f>
        <v/>
      </c>
      <c r="J1755">
        <f>IF(OR(I1755="OK",I1755="Pas de saisie journalière ce jour-là"),E1755,0)</f>
        <v>0.0</v>
      </c>
      <c r="K1755">
        <f>IF(AND(J1755&gt;0,A1755&gt;=p_from,A1755&lt;=p_to),1,0)</f>
        <v>0.0</v>
      </c>
      <c r="L1755">
        <f>IF(AND(K1755=1,OR(pa_po="",C1755=pa_po),OR(pa_eq="",B1755=pa_eq)),1,0)</f>
        <v>0.0</v>
      </c>
    </row>
    <row r="1756">
      <c r="A1756" s="51" t="n"/>
      <c r="B1756" s="52" t="n"/>
      <c r="C1756" s="52" t="n"/>
      <c r="D1756" s="53" t="n"/>
      <c r="E1756" s="60" t="n"/>
      <c r="F1756" s="53" t="n"/>
      <c r="G1756" s="61" t="str">
        <f>IF(OR(COUNTA(A1756:E1756)=0,D1756=""),"",IFERROR(INDEX(ca_fam,MATCH(D1756,ca_name,0))&amp;"",""))</f>
        <v/>
      </c>
      <c r="H1756" s="58" t="str">
        <f>IF(OR(COUNTA(A1756:E1756)=0,D1756=""),"",IFERROR(INDEX(ca_type,MATCH(D1756,ca_name,0))&amp;"",""))</f>
        <v/>
      </c>
      <c r="I1756" s="58" t="str">
        <f>IF(COUNTA(A1756:E1756)=0,"",IF(N(A1756)&lt;=0,"Date manquante ou invalide",IF(B1756="","Équipe manquante",IF(ISNA(MATCH(B1756,eq_code,0)),"Équipe inconnue",IF(C1756="","Poste manquant",IF(ISNA(MATCH(C1756,po_code,0)),"Poste inconnu",IF(D1756="","Cause manquante",IF(ISNA(MATCH(D1756,ca_name,0)),"Cause inconnue",IF(H1756="","Cause à compléter dans Paramètres",IF(OR(NOT(ISNUMBER(E1756)),N(E1756)&lt;=0,N(E1756)&gt;1440),"Durée invalide",IF(COUNTIFS(sj_date,A1756,sj_eq,B1756,sj_po,C1756)=0,"Pas de saisie journalière ce jour-là","OK")))))))))))</f>
        <v/>
      </c>
      <c r="J1756">
        <f>IF(OR(I1756="OK",I1756="Pas de saisie journalière ce jour-là"),E1756,0)</f>
        <v>0.0</v>
      </c>
      <c r="K1756">
        <f>IF(AND(J1756&gt;0,A1756&gt;=p_from,A1756&lt;=p_to),1,0)</f>
        <v>0.0</v>
      </c>
      <c r="L1756">
        <f>IF(AND(K1756=1,OR(pa_po="",C1756=pa_po),OR(pa_eq="",B1756=pa_eq)),1,0)</f>
        <v>0.0</v>
      </c>
    </row>
    <row r="1757">
      <c r="A1757" s="51" t="n"/>
      <c r="B1757" s="52" t="n"/>
      <c r="C1757" s="52" t="n"/>
      <c r="D1757" s="53" t="n"/>
      <c r="E1757" s="60" t="n"/>
      <c r="F1757" s="53" t="n"/>
      <c r="G1757" s="61" t="str">
        <f>IF(OR(COUNTA(A1757:E1757)=0,D1757=""),"",IFERROR(INDEX(ca_fam,MATCH(D1757,ca_name,0))&amp;"",""))</f>
        <v/>
      </c>
      <c r="H1757" s="58" t="str">
        <f>IF(OR(COUNTA(A1757:E1757)=0,D1757=""),"",IFERROR(INDEX(ca_type,MATCH(D1757,ca_name,0))&amp;"",""))</f>
        <v/>
      </c>
      <c r="I1757" s="58" t="str">
        <f>IF(COUNTA(A1757:E1757)=0,"",IF(N(A1757)&lt;=0,"Date manquante ou invalide",IF(B1757="","Équipe manquante",IF(ISNA(MATCH(B1757,eq_code,0)),"Équipe inconnue",IF(C1757="","Poste manquant",IF(ISNA(MATCH(C1757,po_code,0)),"Poste inconnu",IF(D1757="","Cause manquante",IF(ISNA(MATCH(D1757,ca_name,0)),"Cause inconnue",IF(H1757="","Cause à compléter dans Paramètres",IF(OR(NOT(ISNUMBER(E1757)),N(E1757)&lt;=0,N(E1757)&gt;1440),"Durée invalide",IF(COUNTIFS(sj_date,A1757,sj_eq,B1757,sj_po,C1757)=0,"Pas de saisie journalière ce jour-là","OK")))))))))))</f>
        <v/>
      </c>
      <c r="J1757">
        <f>IF(OR(I1757="OK",I1757="Pas de saisie journalière ce jour-là"),E1757,0)</f>
        <v>0.0</v>
      </c>
      <c r="K1757">
        <f>IF(AND(J1757&gt;0,A1757&gt;=p_from,A1757&lt;=p_to),1,0)</f>
        <v>0.0</v>
      </c>
      <c r="L1757">
        <f>IF(AND(K1757=1,OR(pa_po="",C1757=pa_po),OR(pa_eq="",B1757=pa_eq)),1,0)</f>
        <v>0.0</v>
      </c>
    </row>
    <row r="1758">
      <c r="A1758" s="51" t="n"/>
      <c r="B1758" s="52" t="n"/>
      <c r="C1758" s="52" t="n"/>
      <c r="D1758" s="53" t="n"/>
      <c r="E1758" s="60" t="n"/>
      <c r="F1758" s="53" t="n"/>
      <c r="G1758" s="61" t="str">
        <f>IF(OR(COUNTA(A1758:E1758)=0,D1758=""),"",IFERROR(INDEX(ca_fam,MATCH(D1758,ca_name,0))&amp;"",""))</f>
        <v/>
      </c>
      <c r="H1758" s="58" t="str">
        <f>IF(OR(COUNTA(A1758:E1758)=0,D1758=""),"",IFERROR(INDEX(ca_type,MATCH(D1758,ca_name,0))&amp;"",""))</f>
        <v/>
      </c>
      <c r="I1758" s="58" t="str">
        <f>IF(COUNTA(A1758:E1758)=0,"",IF(N(A1758)&lt;=0,"Date manquante ou invalide",IF(B1758="","Équipe manquante",IF(ISNA(MATCH(B1758,eq_code,0)),"Équipe inconnue",IF(C1758="","Poste manquant",IF(ISNA(MATCH(C1758,po_code,0)),"Poste inconnu",IF(D1758="","Cause manquante",IF(ISNA(MATCH(D1758,ca_name,0)),"Cause inconnue",IF(H1758="","Cause à compléter dans Paramètres",IF(OR(NOT(ISNUMBER(E1758)),N(E1758)&lt;=0,N(E1758)&gt;1440),"Durée invalide",IF(COUNTIFS(sj_date,A1758,sj_eq,B1758,sj_po,C1758)=0,"Pas de saisie journalière ce jour-là","OK")))))))))))</f>
        <v/>
      </c>
      <c r="J1758">
        <f>IF(OR(I1758="OK",I1758="Pas de saisie journalière ce jour-là"),E1758,0)</f>
        <v>0.0</v>
      </c>
      <c r="K1758">
        <f>IF(AND(J1758&gt;0,A1758&gt;=p_from,A1758&lt;=p_to),1,0)</f>
        <v>0.0</v>
      </c>
      <c r="L1758">
        <f>IF(AND(K1758=1,OR(pa_po="",C1758=pa_po),OR(pa_eq="",B1758=pa_eq)),1,0)</f>
        <v>0.0</v>
      </c>
    </row>
    <row r="1759">
      <c r="A1759" s="51" t="n"/>
      <c r="B1759" s="52" t="n"/>
      <c r="C1759" s="52" t="n"/>
      <c r="D1759" s="53" t="n"/>
      <c r="E1759" s="60" t="n"/>
      <c r="F1759" s="53" t="n"/>
      <c r="G1759" s="61" t="str">
        <f>IF(OR(COUNTA(A1759:E1759)=0,D1759=""),"",IFERROR(INDEX(ca_fam,MATCH(D1759,ca_name,0))&amp;"",""))</f>
        <v/>
      </c>
      <c r="H1759" s="58" t="str">
        <f>IF(OR(COUNTA(A1759:E1759)=0,D1759=""),"",IFERROR(INDEX(ca_type,MATCH(D1759,ca_name,0))&amp;"",""))</f>
        <v/>
      </c>
      <c r="I1759" s="58" t="str">
        <f>IF(COUNTA(A1759:E1759)=0,"",IF(N(A1759)&lt;=0,"Date manquante ou invalide",IF(B1759="","Équipe manquante",IF(ISNA(MATCH(B1759,eq_code,0)),"Équipe inconnue",IF(C1759="","Poste manquant",IF(ISNA(MATCH(C1759,po_code,0)),"Poste inconnu",IF(D1759="","Cause manquante",IF(ISNA(MATCH(D1759,ca_name,0)),"Cause inconnue",IF(H1759="","Cause à compléter dans Paramètres",IF(OR(NOT(ISNUMBER(E1759)),N(E1759)&lt;=0,N(E1759)&gt;1440),"Durée invalide",IF(COUNTIFS(sj_date,A1759,sj_eq,B1759,sj_po,C1759)=0,"Pas de saisie journalière ce jour-là","OK")))))))))))</f>
        <v/>
      </c>
      <c r="J1759">
        <f>IF(OR(I1759="OK",I1759="Pas de saisie journalière ce jour-là"),E1759,0)</f>
        <v>0.0</v>
      </c>
      <c r="K1759">
        <f>IF(AND(J1759&gt;0,A1759&gt;=p_from,A1759&lt;=p_to),1,0)</f>
        <v>0.0</v>
      </c>
      <c r="L1759">
        <f>IF(AND(K1759=1,OR(pa_po="",C1759=pa_po),OR(pa_eq="",B1759=pa_eq)),1,0)</f>
        <v>0.0</v>
      </c>
    </row>
    <row r="1760">
      <c r="A1760" s="51" t="n"/>
      <c r="B1760" s="52" t="n"/>
      <c r="C1760" s="52" t="n"/>
      <c r="D1760" s="53" t="n"/>
      <c r="E1760" s="60" t="n"/>
      <c r="F1760" s="53" t="n"/>
      <c r="G1760" s="61" t="str">
        <f>IF(OR(COUNTA(A1760:E1760)=0,D1760=""),"",IFERROR(INDEX(ca_fam,MATCH(D1760,ca_name,0))&amp;"",""))</f>
        <v/>
      </c>
      <c r="H1760" s="58" t="str">
        <f>IF(OR(COUNTA(A1760:E1760)=0,D1760=""),"",IFERROR(INDEX(ca_type,MATCH(D1760,ca_name,0))&amp;"",""))</f>
        <v/>
      </c>
      <c r="I1760" s="58" t="str">
        <f>IF(COUNTA(A1760:E1760)=0,"",IF(N(A1760)&lt;=0,"Date manquante ou invalide",IF(B1760="","Équipe manquante",IF(ISNA(MATCH(B1760,eq_code,0)),"Équipe inconnue",IF(C1760="","Poste manquant",IF(ISNA(MATCH(C1760,po_code,0)),"Poste inconnu",IF(D1760="","Cause manquante",IF(ISNA(MATCH(D1760,ca_name,0)),"Cause inconnue",IF(H1760="","Cause à compléter dans Paramètres",IF(OR(NOT(ISNUMBER(E1760)),N(E1760)&lt;=0,N(E1760)&gt;1440),"Durée invalide",IF(COUNTIFS(sj_date,A1760,sj_eq,B1760,sj_po,C1760)=0,"Pas de saisie journalière ce jour-là","OK")))))))))))</f>
        <v/>
      </c>
      <c r="J1760">
        <f>IF(OR(I1760="OK",I1760="Pas de saisie journalière ce jour-là"),E1760,0)</f>
        <v>0.0</v>
      </c>
      <c r="K1760">
        <f>IF(AND(J1760&gt;0,A1760&gt;=p_from,A1760&lt;=p_to),1,0)</f>
        <v>0.0</v>
      </c>
      <c r="L1760">
        <f>IF(AND(K1760=1,OR(pa_po="",C1760=pa_po),OR(pa_eq="",B1760=pa_eq)),1,0)</f>
        <v>0.0</v>
      </c>
    </row>
    <row r="1761">
      <c r="A1761" s="51" t="n"/>
      <c r="B1761" s="52" t="n"/>
      <c r="C1761" s="52" t="n"/>
      <c r="D1761" s="53" t="n"/>
      <c r="E1761" s="60" t="n"/>
      <c r="F1761" s="53" t="n"/>
      <c r="G1761" s="61" t="str">
        <f>IF(OR(COUNTA(A1761:E1761)=0,D1761=""),"",IFERROR(INDEX(ca_fam,MATCH(D1761,ca_name,0))&amp;"",""))</f>
        <v/>
      </c>
      <c r="H1761" s="58" t="str">
        <f>IF(OR(COUNTA(A1761:E1761)=0,D1761=""),"",IFERROR(INDEX(ca_type,MATCH(D1761,ca_name,0))&amp;"",""))</f>
        <v/>
      </c>
      <c r="I1761" s="58" t="str">
        <f>IF(COUNTA(A1761:E1761)=0,"",IF(N(A1761)&lt;=0,"Date manquante ou invalide",IF(B1761="","Équipe manquante",IF(ISNA(MATCH(B1761,eq_code,0)),"Équipe inconnue",IF(C1761="","Poste manquant",IF(ISNA(MATCH(C1761,po_code,0)),"Poste inconnu",IF(D1761="","Cause manquante",IF(ISNA(MATCH(D1761,ca_name,0)),"Cause inconnue",IF(H1761="","Cause à compléter dans Paramètres",IF(OR(NOT(ISNUMBER(E1761)),N(E1761)&lt;=0,N(E1761)&gt;1440),"Durée invalide",IF(COUNTIFS(sj_date,A1761,sj_eq,B1761,sj_po,C1761)=0,"Pas de saisie journalière ce jour-là","OK")))))))))))</f>
        <v/>
      </c>
      <c r="J1761">
        <f>IF(OR(I1761="OK",I1761="Pas de saisie journalière ce jour-là"),E1761,0)</f>
        <v>0.0</v>
      </c>
      <c r="K1761">
        <f>IF(AND(J1761&gt;0,A1761&gt;=p_from,A1761&lt;=p_to),1,0)</f>
        <v>0.0</v>
      </c>
      <c r="L1761">
        <f>IF(AND(K1761=1,OR(pa_po="",C1761=pa_po),OR(pa_eq="",B1761=pa_eq)),1,0)</f>
        <v>0.0</v>
      </c>
    </row>
    <row r="1762">
      <c r="A1762" s="51" t="n"/>
      <c r="B1762" s="52" t="n"/>
      <c r="C1762" s="52" t="n"/>
      <c r="D1762" s="53" t="n"/>
      <c r="E1762" s="60" t="n"/>
      <c r="F1762" s="53" t="n"/>
      <c r="G1762" s="61" t="str">
        <f>IF(OR(COUNTA(A1762:E1762)=0,D1762=""),"",IFERROR(INDEX(ca_fam,MATCH(D1762,ca_name,0))&amp;"",""))</f>
        <v/>
      </c>
      <c r="H1762" s="58" t="str">
        <f>IF(OR(COUNTA(A1762:E1762)=0,D1762=""),"",IFERROR(INDEX(ca_type,MATCH(D1762,ca_name,0))&amp;"",""))</f>
        <v/>
      </c>
      <c r="I1762" s="58" t="str">
        <f>IF(COUNTA(A1762:E1762)=0,"",IF(N(A1762)&lt;=0,"Date manquante ou invalide",IF(B1762="","Équipe manquante",IF(ISNA(MATCH(B1762,eq_code,0)),"Équipe inconnue",IF(C1762="","Poste manquant",IF(ISNA(MATCH(C1762,po_code,0)),"Poste inconnu",IF(D1762="","Cause manquante",IF(ISNA(MATCH(D1762,ca_name,0)),"Cause inconnue",IF(H1762="","Cause à compléter dans Paramètres",IF(OR(NOT(ISNUMBER(E1762)),N(E1762)&lt;=0,N(E1762)&gt;1440),"Durée invalide",IF(COUNTIFS(sj_date,A1762,sj_eq,B1762,sj_po,C1762)=0,"Pas de saisie journalière ce jour-là","OK")))))))))))</f>
        <v/>
      </c>
      <c r="J1762">
        <f>IF(OR(I1762="OK",I1762="Pas de saisie journalière ce jour-là"),E1762,0)</f>
        <v>0.0</v>
      </c>
      <c r="K1762">
        <f>IF(AND(J1762&gt;0,A1762&gt;=p_from,A1762&lt;=p_to),1,0)</f>
        <v>0.0</v>
      </c>
      <c r="L1762">
        <f>IF(AND(K1762=1,OR(pa_po="",C1762=pa_po),OR(pa_eq="",B1762=pa_eq)),1,0)</f>
        <v>0.0</v>
      </c>
    </row>
    <row r="1763">
      <c r="A1763" s="51" t="n"/>
      <c r="B1763" s="52" t="n"/>
      <c r="C1763" s="52" t="n"/>
      <c r="D1763" s="53" t="n"/>
      <c r="E1763" s="60" t="n"/>
      <c r="F1763" s="53" t="n"/>
      <c r="G1763" s="61" t="str">
        <f>IF(OR(COUNTA(A1763:E1763)=0,D1763=""),"",IFERROR(INDEX(ca_fam,MATCH(D1763,ca_name,0))&amp;"",""))</f>
        <v/>
      </c>
      <c r="H1763" s="58" t="str">
        <f>IF(OR(COUNTA(A1763:E1763)=0,D1763=""),"",IFERROR(INDEX(ca_type,MATCH(D1763,ca_name,0))&amp;"",""))</f>
        <v/>
      </c>
      <c r="I1763" s="58" t="str">
        <f>IF(COUNTA(A1763:E1763)=0,"",IF(N(A1763)&lt;=0,"Date manquante ou invalide",IF(B1763="","Équipe manquante",IF(ISNA(MATCH(B1763,eq_code,0)),"Équipe inconnue",IF(C1763="","Poste manquant",IF(ISNA(MATCH(C1763,po_code,0)),"Poste inconnu",IF(D1763="","Cause manquante",IF(ISNA(MATCH(D1763,ca_name,0)),"Cause inconnue",IF(H1763="","Cause à compléter dans Paramètres",IF(OR(NOT(ISNUMBER(E1763)),N(E1763)&lt;=0,N(E1763)&gt;1440),"Durée invalide",IF(COUNTIFS(sj_date,A1763,sj_eq,B1763,sj_po,C1763)=0,"Pas de saisie journalière ce jour-là","OK")))))))))))</f>
        <v/>
      </c>
      <c r="J1763">
        <f>IF(OR(I1763="OK",I1763="Pas de saisie journalière ce jour-là"),E1763,0)</f>
        <v>0.0</v>
      </c>
      <c r="K1763">
        <f>IF(AND(J1763&gt;0,A1763&gt;=p_from,A1763&lt;=p_to),1,0)</f>
        <v>0.0</v>
      </c>
      <c r="L1763">
        <f>IF(AND(K1763=1,OR(pa_po="",C1763=pa_po),OR(pa_eq="",B1763=pa_eq)),1,0)</f>
        <v>0.0</v>
      </c>
    </row>
    <row r="1764">
      <c r="A1764" s="51" t="n"/>
      <c r="B1764" s="52" t="n"/>
      <c r="C1764" s="52" t="n"/>
      <c r="D1764" s="53" t="n"/>
      <c r="E1764" s="60" t="n"/>
      <c r="F1764" s="53" t="n"/>
      <c r="G1764" s="61" t="str">
        <f>IF(OR(COUNTA(A1764:E1764)=0,D1764=""),"",IFERROR(INDEX(ca_fam,MATCH(D1764,ca_name,0))&amp;"",""))</f>
        <v/>
      </c>
      <c r="H1764" s="58" t="str">
        <f>IF(OR(COUNTA(A1764:E1764)=0,D1764=""),"",IFERROR(INDEX(ca_type,MATCH(D1764,ca_name,0))&amp;"",""))</f>
        <v/>
      </c>
      <c r="I1764" s="58" t="str">
        <f>IF(COUNTA(A1764:E1764)=0,"",IF(N(A1764)&lt;=0,"Date manquante ou invalide",IF(B1764="","Équipe manquante",IF(ISNA(MATCH(B1764,eq_code,0)),"Équipe inconnue",IF(C1764="","Poste manquant",IF(ISNA(MATCH(C1764,po_code,0)),"Poste inconnu",IF(D1764="","Cause manquante",IF(ISNA(MATCH(D1764,ca_name,0)),"Cause inconnue",IF(H1764="","Cause à compléter dans Paramètres",IF(OR(NOT(ISNUMBER(E1764)),N(E1764)&lt;=0,N(E1764)&gt;1440),"Durée invalide",IF(COUNTIFS(sj_date,A1764,sj_eq,B1764,sj_po,C1764)=0,"Pas de saisie journalière ce jour-là","OK")))))))))))</f>
        <v/>
      </c>
      <c r="J1764">
        <f>IF(OR(I1764="OK",I1764="Pas de saisie journalière ce jour-là"),E1764,0)</f>
        <v>0.0</v>
      </c>
      <c r="K1764">
        <f>IF(AND(J1764&gt;0,A1764&gt;=p_from,A1764&lt;=p_to),1,0)</f>
        <v>0.0</v>
      </c>
      <c r="L1764">
        <f>IF(AND(K1764=1,OR(pa_po="",C1764=pa_po),OR(pa_eq="",B1764=pa_eq)),1,0)</f>
        <v>0.0</v>
      </c>
    </row>
    <row r="1765">
      <c r="A1765" s="51" t="n"/>
      <c r="B1765" s="52" t="n"/>
      <c r="C1765" s="52" t="n"/>
      <c r="D1765" s="53" t="n"/>
      <c r="E1765" s="60" t="n"/>
      <c r="F1765" s="53" t="n"/>
      <c r="G1765" s="61" t="str">
        <f>IF(OR(COUNTA(A1765:E1765)=0,D1765=""),"",IFERROR(INDEX(ca_fam,MATCH(D1765,ca_name,0))&amp;"",""))</f>
        <v/>
      </c>
      <c r="H1765" s="58" t="str">
        <f>IF(OR(COUNTA(A1765:E1765)=0,D1765=""),"",IFERROR(INDEX(ca_type,MATCH(D1765,ca_name,0))&amp;"",""))</f>
        <v/>
      </c>
      <c r="I1765" s="58" t="str">
        <f>IF(COUNTA(A1765:E1765)=0,"",IF(N(A1765)&lt;=0,"Date manquante ou invalide",IF(B1765="","Équipe manquante",IF(ISNA(MATCH(B1765,eq_code,0)),"Équipe inconnue",IF(C1765="","Poste manquant",IF(ISNA(MATCH(C1765,po_code,0)),"Poste inconnu",IF(D1765="","Cause manquante",IF(ISNA(MATCH(D1765,ca_name,0)),"Cause inconnue",IF(H1765="","Cause à compléter dans Paramètres",IF(OR(NOT(ISNUMBER(E1765)),N(E1765)&lt;=0,N(E1765)&gt;1440),"Durée invalide",IF(COUNTIFS(sj_date,A1765,sj_eq,B1765,sj_po,C1765)=0,"Pas de saisie journalière ce jour-là","OK")))))))))))</f>
        <v/>
      </c>
      <c r="J1765">
        <f>IF(OR(I1765="OK",I1765="Pas de saisie journalière ce jour-là"),E1765,0)</f>
        <v>0.0</v>
      </c>
      <c r="K1765">
        <f>IF(AND(J1765&gt;0,A1765&gt;=p_from,A1765&lt;=p_to),1,0)</f>
        <v>0.0</v>
      </c>
      <c r="L1765">
        <f>IF(AND(K1765=1,OR(pa_po="",C1765=pa_po),OR(pa_eq="",B1765=pa_eq)),1,0)</f>
        <v>0.0</v>
      </c>
    </row>
    <row r="1766">
      <c r="A1766" s="51" t="n"/>
      <c r="B1766" s="52" t="n"/>
      <c r="C1766" s="52" t="n"/>
      <c r="D1766" s="53" t="n"/>
      <c r="E1766" s="60" t="n"/>
      <c r="F1766" s="53" t="n"/>
      <c r="G1766" s="61" t="str">
        <f>IF(OR(COUNTA(A1766:E1766)=0,D1766=""),"",IFERROR(INDEX(ca_fam,MATCH(D1766,ca_name,0))&amp;"",""))</f>
        <v/>
      </c>
      <c r="H1766" s="58" t="str">
        <f>IF(OR(COUNTA(A1766:E1766)=0,D1766=""),"",IFERROR(INDEX(ca_type,MATCH(D1766,ca_name,0))&amp;"",""))</f>
        <v/>
      </c>
      <c r="I1766" s="58" t="str">
        <f>IF(COUNTA(A1766:E1766)=0,"",IF(N(A1766)&lt;=0,"Date manquante ou invalide",IF(B1766="","Équipe manquante",IF(ISNA(MATCH(B1766,eq_code,0)),"Équipe inconnue",IF(C1766="","Poste manquant",IF(ISNA(MATCH(C1766,po_code,0)),"Poste inconnu",IF(D1766="","Cause manquante",IF(ISNA(MATCH(D1766,ca_name,0)),"Cause inconnue",IF(H1766="","Cause à compléter dans Paramètres",IF(OR(NOT(ISNUMBER(E1766)),N(E1766)&lt;=0,N(E1766)&gt;1440),"Durée invalide",IF(COUNTIFS(sj_date,A1766,sj_eq,B1766,sj_po,C1766)=0,"Pas de saisie journalière ce jour-là","OK")))))))))))</f>
        <v/>
      </c>
      <c r="J1766">
        <f>IF(OR(I1766="OK",I1766="Pas de saisie journalière ce jour-là"),E1766,0)</f>
        <v>0.0</v>
      </c>
      <c r="K1766">
        <f>IF(AND(J1766&gt;0,A1766&gt;=p_from,A1766&lt;=p_to),1,0)</f>
        <v>0.0</v>
      </c>
      <c r="L1766">
        <f>IF(AND(K1766=1,OR(pa_po="",C1766=pa_po),OR(pa_eq="",B1766=pa_eq)),1,0)</f>
        <v>0.0</v>
      </c>
    </row>
    <row r="1767">
      <c r="A1767" s="51" t="n"/>
      <c r="B1767" s="52" t="n"/>
      <c r="C1767" s="52" t="n"/>
      <c r="D1767" s="53" t="n"/>
      <c r="E1767" s="60" t="n"/>
      <c r="F1767" s="53" t="n"/>
      <c r="G1767" s="61" t="str">
        <f>IF(OR(COUNTA(A1767:E1767)=0,D1767=""),"",IFERROR(INDEX(ca_fam,MATCH(D1767,ca_name,0))&amp;"",""))</f>
        <v/>
      </c>
      <c r="H1767" s="58" t="str">
        <f>IF(OR(COUNTA(A1767:E1767)=0,D1767=""),"",IFERROR(INDEX(ca_type,MATCH(D1767,ca_name,0))&amp;"",""))</f>
        <v/>
      </c>
      <c r="I1767" s="58" t="str">
        <f>IF(COUNTA(A1767:E1767)=0,"",IF(N(A1767)&lt;=0,"Date manquante ou invalide",IF(B1767="","Équipe manquante",IF(ISNA(MATCH(B1767,eq_code,0)),"Équipe inconnue",IF(C1767="","Poste manquant",IF(ISNA(MATCH(C1767,po_code,0)),"Poste inconnu",IF(D1767="","Cause manquante",IF(ISNA(MATCH(D1767,ca_name,0)),"Cause inconnue",IF(H1767="","Cause à compléter dans Paramètres",IF(OR(NOT(ISNUMBER(E1767)),N(E1767)&lt;=0,N(E1767)&gt;1440),"Durée invalide",IF(COUNTIFS(sj_date,A1767,sj_eq,B1767,sj_po,C1767)=0,"Pas de saisie journalière ce jour-là","OK")))))))))))</f>
        <v/>
      </c>
      <c r="J1767">
        <f>IF(OR(I1767="OK",I1767="Pas de saisie journalière ce jour-là"),E1767,0)</f>
        <v>0.0</v>
      </c>
      <c r="K1767">
        <f>IF(AND(J1767&gt;0,A1767&gt;=p_from,A1767&lt;=p_to),1,0)</f>
        <v>0.0</v>
      </c>
      <c r="L1767">
        <f>IF(AND(K1767=1,OR(pa_po="",C1767=pa_po),OR(pa_eq="",B1767=pa_eq)),1,0)</f>
        <v>0.0</v>
      </c>
    </row>
    <row r="1768">
      <c r="A1768" s="51" t="n"/>
      <c r="B1768" s="52" t="n"/>
      <c r="C1768" s="52" t="n"/>
      <c r="D1768" s="53" t="n"/>
      <c r="E1768" s="60" t="n"/>
      <c r="F1768" s="53" t="n"/>
      <c r="G1768" s="61" t="str">
        <f>IF(OR(COUNTA(A1768:E1768)=0,D1768=""),"",IFERROR(INDEX(ca_fam,MATCH(D1768,ca_name,0))&amp;"",""))</f>
        <v/>
      </c>
      <c r="H1768" s="58" t="str">
        <f>IF(OR(COUNTA(A1768:E1768)=0,D1768=""),"",IFERROR(INDEX(ca_type,MATCH(D1768,ca_name,0))&amp;"",""))</f>
        <v/>
      </c>
      <c r="I1768" s="58" t="str">
        <f>IF(COUNTA(A1768:E1768)=0,"",IF(N(A1768)&lt;=0,"Date manquante ou invalide",IF(B1768="","Équipe manquante",IF(ISNA(MATCH(B1768,eq_code,0)),"Équipe inconnue",IF(C1768="","Poste manquant",IF(ISNA(MATCH(C1768,po_code,0)),"Poste inconnu",IF(D1768="","Cause manquante",IF(ISNA(MATCH(D1768,ca_name,0)),"Cause inconnue",IF(H1768="","Cause à compléter dans Paramètres",IF(OR(NOT(ISNUMBER(E1768)),N(E1768)&lt;=0,N(E1768)&gt;1440),"Durée invalide",IF(COUNTIFS(sj_date,A1768,sj_eq,B1768,sj_po,C1768)=0,"Pas de saisie journalière ce jour-là","OK")))))))))))</f>
        <v/>
      </c>
      <c r="J1768">
        <f>IF(OR(I1768="OK",I1768="Pas de saisie journalière ce jour-là"),E1768,0)</f>
        <v>0.0</v>
      </c>
      <c r="K1768">
        <f>IF(AND(J1768&gt;0,A1768&gt;=p_from,A1768&lt;=p_to),1,0)</f>
        <v>0.0</v>
      </c>
      <c r="L1768">
        <f>IF(AND(K1768=1,OR(pa_po="",C1768=pa_po),OR(pa_eq="",B1768=pa_eq)),1,0)</f>
        <v>0.0</v>
      </c>
    </row>
    <row r="1769">
      <c r="A1769" s="51" t="n"/>
      <c r="B1769" s="52" t="n"/>
      <c r="C1769" s="52" t="n"/>
      <c r="D1769" s="53" t="n"/>
      <c r="E1769" s="60" t="n"/>
      <c r="F1769" s="53" t="n"/>
      <c r="G1769" s="61" t="str">
        <f>IF(OR(COUNTA(A1769:E1769)=0,D1769=""),"",IFERROR(INDEX(ca_fam,MATCH(D1769,ca_name,0))&amp;"",""))</f>
        <v/>
      </c>
      <c r="H1769" s="58" t="str">
        <f>IF(OR(COUNTA(A1769:E1769)=0,D1769=""),"",IFERROR(INDEX(ca_type,MATCH(D1769,ca_name,0))&amp;"",""))</f>
        <v/>
      </c>
      <c r="I1769" s="58" t="str">
        <f>IF(COUNTA(A1769:E1769)=0,"",IF(N(A1769)&lt;=0,"Date manquante ou invalide",IF(B1769="","Équipe manquante",IF(ISNA(MATCH(B1769,eq_code,0)),"Équipe inconnue",IF(C1769="","Poste manquant",IF(ISNA(MATCH(C1769,po_code,0)),"Poste inconnu",IF(D1769="","Cause manquante",IF(ISNA(MATCH(D1769,ca_name,0)),"Cause inconnue",IF(H1769="","Cause à compléter dans Paramètres",IF(OR(NOT(ISNUMBER(E1769)),N(E1769)&lt;=0,N(E1769)&gt;1440),"Durée invalide",IF(COUNTIFS(sj_date,A1769,sj_eq,B1769,sj_po,C1769)=0,"Pas de saisie journalière ce jour-là","OK")))))))))))</f>
        <v/>
      </c>
      <c r="J1769">
        <f>IF(OR(I1769="OK",I1769="Pas de saisie journalière ce jour-là"),E1769,0)</f>
        <v>0.0</v>
      </c>
      <c r="K1769">
        <f>IF(AND(J1769&gt;0,A1769&gt;=p_from,A1769&lt;=p_to),1,0)</f>
        <v>0.0</v>
      </c>
      <c r="L1769">
        <f>IF(AND(K1769=1,OR(pa_po="",C1769=pa_po),OR(pa_eq="",B1769=pa_eq)),1,0)</f>
        <v>0.0</v>
      </c>
    </row>
    <row r="1770">
      <c r="A1770" s="51" t="n"/>
      <c r="B1770" s="52" t="n"/>
      <c r="C1770" s="52" t="n"/>
      <c r="D1770" s="53" t="n"/>
      <c r="E1770" s="60" t="n"/>
      <c r="F1770" s="53" t="n"/>
      <c r="G1770" s="61" t="str">
        <f>IF(OR(COUNTA(A1770:E1770)=0,D1770=""),"",IFERROR(INDEX(ca_fam,MATCH(D1770,ca_name,0))&amp;"",""))</f>
        <v/>
      </c>
      <c r="H1770" s="58" t="str">
        <f>IF(OR(COUNTA(A1770:E1770)=0,D1770=""),"",IFERROR(INDEX(ca_type,MATCH(D1770,ca_name,0))&amp;"",""))</f>
        <v/>
      </c>
      <c r="I1770" s="58" t="str">
        <f>IF(COUNTA(A1770:E1770)=0,"",IF(N(A1770)&lt;=0,"Date manquante ou invalide",IF(B1770="","Équipe manquante",IF(ISNA(MATCH(B1770,eq_code,0)),"Équipe inconnue",IF(C1770="","Poste manquant",IF(ISNA(MATCH(C1770,po_code,0)),"Poste inconnu",IF(D1770="","Cause manquante",IF(ISNA(MATCH(D1770,ca_name,0)),"Cause inconnue",IF(H1770="","Cause à compléter dans Paramètres",IF(OR(NOT(ISNUMBER(E1770)),N(E1770)&lt;=0,N(E1770)&gt;1440),"Durée invalide",IF(COUNTIFS(sj_date,A1770,sj_eq,B1770,sj_po,C1770)=0,"Pas de saisie journalière ce jour-là","OK")))))))))))</f>
        <v/>
      </c>
      <c r="J1770">
        <f>IF(OR(I1770="OK",I1770="Pas de saisie journalière ce jour-là"),E1770,0)</f>
        <v>0.0</v>
      </c>
      <c r="K1770">
        <f>IF(AND(J1770&gt;0,A1770&gt;=p_from,A1770&lt;=p_to),1,0)</f>
        <v>0.0</v>
      </c>
      <c r="L1770">
        <f>IF(AND(K1770=1,OR(pa_po="",C1770=pa_po),OR(pa_eq="",B1770=pa_eq)),1,0)</f>
        <v>0.0</v>
      </c>
    </row>
    <row r="1771">
      <c r="A1771" s="51" t="n"/>
      <c r="B1771" s="52" t="n"/>
      <c r="C1771" s="52" t="n"/>
      <c r="D1771" s="53" t="n"/>
      <c r="E1771" s="60" t="n"/>
      <c r="F1771" s="53" t="n"/>
      <c r="G1771" s="61" t="str">
        <f>IF(OR(COUNTA(A1771:E1771)=0,D1771=""),"",IFERROR(INDEX(ca_fam,MATCH(D1771,ca_name,0))&amp;"",""))</f>
        <v/>
      </c>
      <c r="H1771" s="58" t="str">
        <f>IF(OR(COUNTA(A1771:E1771)=0,D1771=""),"",IFERROR(INDEX(ca_type,MATCH(D1771,ca_name,0))&amp;"",""))</f>
        <v/>
      </c>
      <c r="I1771" s="58" t="str">
        <f>IF(COUNTA(A1771:E1771)=0,"",IF(N(A1771)&lt;=0,"Date manquante ou invalide",IF(B1771="","Équipe manquante",IF(ISNA(MATCH(B1771,eq_code,0)),"Équipe inconnue",IF(C1771="","Poste manquant",IF(ISNA(MATCH(C1771,po_code,0)),"Poste inconnu",IF(D1771="","Cause manquante",IF(ISNA(MATCH(D1771,ca_name,0)),"Cause inconnue",IF(H1771="","Cause à compléter dans Paramètres",IF(OR(NOT(ISNUMBER(E1771)),N(E1771)&lt;=0,N(E1771)&gt;1440),"Durée invalide",IF(COUNTIFS(sj_date,A1771,sj_eq,B1771,sj_po,C1771)=0,"Pas de saisie journalière ce jour-là","OK")))))))))))</f>
        <v/>
      </c>
      <c r="J1771">
        <f>IF(OR(I1771="OK",I1771="Pas de saisie journalière ce jour-là"),E1771,0)</f>
        <v>0.0</v>
      </c>
      <c r="K1771">
        <f>IF(AND(J1771&gt;0,A1771&gt;=p_from,A1771&lt;=p_to),1,0)</f>
        <v>0.0</v>
      </c>
      <c r="L1771">
        <f>IF(AND(K1771=1,OR(pa_po="",C1771=pa_po),OR(pa_eq="",B1771=pa_eq)),1,0)</f>
        <v>0.0</v>
      </c>
    </row>
    <row r="1772">
      <c r="A1772" s="51" t="n"/>
      <c r="B1772" s="52" t="n"/>
      <c r="C1772" s="52" t="n"/>
      <c r="D1772" s="53" t="n"/>
      <c r="E1772" s="60" t="n"/>
      <c r="F1772" s="53" t="n"/>
      <c r="G1772" s="61" t="str">
        <f>IF(OR(COUNTA(A1772:E1772)=0,D1772=""),"",IFERROR(INDEX(ca_fam,MATCH(D1772,ca_name,0))&amp;"",""))</f>
        <v/>
      </c>
      <c r="H1772" s="58" t="str">
        <f>IF(OR(COUNTA(A1772:E1772)=0,D1772=""),"",IFERROR(INDEX(ca_type,MATCH(D1772,ca_name,0))&amp;"",""))</f>
        <v/>
      </c>
      <c r="I1772" s="58" t="str">
        <f>IF(COUNTA(A1772:E1772)=0,"",IF(N(A1772)&lt;=0,"Date manquante ou invalide",IF(B1772="","Équipe manquante",IF(ISNA(MATCH(B1772,eq_code,0)),"Équipe inconnue",IF(C1772="","Poste manquant",IF(ISNA(MATCH(C1772,po_code,0)),"Poste inconnu",IF(D1772="","Cause manquante",IF(ISNA(MATCH(D1772,ca_name,0)),"Cause inconnue",IF(H1772="","Cause à compléter dans Paramètres",IF(OR(NOT(ISNUMBER(E1772)),N(E1772)&lt;=0,N(E1772)&gt;1440),"Durée invalide",IF(COUNTIFS(sj_date,A1772,sj_eq,B1772,sj_po,C1772)=0,"Pas de saisie journalière ce jour-là","OK")))))))))))</f>
        <v/>
      </c>
      <c r="J1772">
        <f>IF(OR(I1772="OK",I1772="Pas de saisie journalière ce jour-là"),E1772,0)</f>
        <v>0.0</v>
      </c>
      <c r="K1772">
        <f>IF(AND(J1772&gt;0,A1772&gt;=p_from,A1772&lt;=p_to),1,0)</f>
        <v>0.0</v>
      </c>
      <c r="L1772">
        <f>IF(AND(K1772=1,OR(pa_po="",C1772=pa_po),OR(pa_eq="",B1772=pa_eq)),1,0)</f>
        <v>0.0</v>
      </c>
    </row>
    <row r="1773">
      <c r="A1773" s="51" t="n"/>
      <c r="B1773" s="52" t="n"/>
      <c r="C1773" s="52" t="n"/>
      <c r="D1773" s="53" t="n"/>
      <c r="E1773" s="60" t="n"/>
      <c r="F1773" s="53" t="n"/>
      <c r="G1773" s="61" t="str">
        <f>IF(OR(COUNTA(A1773:E1773)=0,D1773=""),"",IFERROR(INDEX(ca_fam,MATCH(D1773,ca_name,0))&amp;"",""))</f>
        <v/>
      </c>
      <c r="H1773" s="58" t="str">
        <f>IF(OR(COUNTA(A1773:E1773)=0,D1773=""),"",IFERROR(INDEX(ca_type,MATCH(D1773,ca_name,0))&amp;"",""))</f>
        <v/>
      </c>
      <c r="I1773" s="58" t="str">
        <f>IF(COUNTA(A1773:E1773)=0,"",IF(N(A1773)&lt;=0,"Date manquante ou invalide",IF(B1773="","Équipe manquante",IF(ISNA(MATCH(B1773,eq_code,0)),"Équipe inconnue",IF(C1773="","Poste manquant",IF(ISNA(MATCH(C1773,po_code,0)),"Poste inconnu",IF(D1773="","Cause manquante",IF(ISNA(MATCH(D1773,ca_name,0)),"Cause inconnue",IF(H1773="","Cause à compléter dans Paramètres",IF(OR(NOT(ISNUMBER(E1773)),N(E1773)&lt;=0,N(E1773)&gt;1440),"Durée invalide",IF(COUNTIFS(sj_date,A1773,sj_eq,B1773,sj_po,C1773)=0,"Pas de saisie journalière ce jour-là","OK")))))))))))</f>
        <v/>
      </c>
      <c r="J1773">
        <f>IF(OR(I1773="OK",I1773="Pas de saisie journalière ce jour-là"),E1773,0)</f>
        <v>0.0</v>
      </c>
      <c r="K1773">
        <f>IF(AND(J1773&gt;0,A1773&gt;=p_from,A1773&lt;=p_to),1,0)</f>
        <v>0.0</v>
      </c>
      <c r="L1773">
        <f>IF(AND(K1773=1,OR(pa_po="",C1773=pa_po),OR(pa_eq="",B1773=pa_eq)),1,0)</f>
        <v>0.0</v>
      </c>
    </row>
    <row r="1774">
      <c r="A1774" s="51" t="n"/>
      <c r="B1774" s="52" t="n"/>
      <c r="C1774" s="52" t="n"/>
      <c r="D1774" s="53" t="n"/>
      <c r="E1774" s="60" t="n"/>
      <c r="F1774" s="53" t="n"/>
      <c r="G1774" s="61" t="str">
        <f>IF(OR(COUNTA(A1774:E1774)=0,D1774=""),"",IFERROR(INDEX(ca_fam,MATCH(D1774,ca_name,0))&amp;"",""))</f>
        <v/>
      </c>
      <c r="H1774" s="58" t="str">
        <f>IF(OR(COUNTA(A1774:E1774)=0,D1774=""),"",IFERROR(INDEX(ca_type,MATCH(D1774,ca_name,0))&amp;"",""))</f>
        <v/>
      </c>
      <c r="I1774" s="58" t="str">
        <f>IF(COUNTA(A1774:E1774)=0,"",IF(N(A1774)&lt;=0,"Date manquante ou invalide",IF(B1774="","Équipe manquante",IF(ISNA(MATCH(B1774,eq_code,0)),"Équipe inconnue",IF(C1774="","Poste manquant",IF(ISNA(MATCH(C1774,po_code,0)),"Poste inconnu",IF(D1774="","Cause manquante",IF(ISNA(MATCH(D1774,ca_name,0)),"Cause inconnue",IF(H1774="","Cause à compléter dans Paramètres",IF(OR(NOT(ISNUMBER(E1774)),N(E1774)&lt;=0,N(E1774)&gt;1440),"Durée invalide",IF(COUNTIFS(sj_date,A1774,sj_eq,B1774,sj_po,C1774)=0,"Pas de saisie journalière ce jour-là","OK")))))))))))</f>
        <v/>
      </c>
      <c r="J1774">
        <f>IF(OR(I1774="OK",I1774="Pas de saisie journalière ce jour-là"),E1774,0)</f>
        <v>0.0</v>
      </c>
      <c r="K1774">
        <f>IF(AND(J1774&gt;0,A1774&gt;=p_from,A1774&lt;=p_to),1,0)</f>
        <v>0.0</v>
      </c>
      <c r="L1774">
        <f>IF(AND(K1774=1,OR(pa_po="",C1774=pa_po),OR(pa_eq="",B1774=pa_eq)),1,0)</f>
        <v>0.0</v>
      </c>
    </row>
    <row r="1775">
      <c r="A1775" s="51" t="n"/>
      <c r="B1775" s="52" t="n"/>
      <c r="C1775" s="52" t="n"/>
      <c r="D1775" s="53" t="n"/>
      <c r="E1775" s="60" t="n"/>
      <c r="F1775" s="53" t="n"/>
      <c r="G1775" s="61" t="str">
        <f>IF(OR(COUNTA(A1775:E1775)=0,D1775=""),"",IFERROR(INDEX(ca_fam,MATCH(D1775,ca_name,0))&amp;"",""))</f>
        <v/>
      </c>
      <c r="H1775" s="58" t="str">
        <f>IF(OR(COUNTA(A1775:E1775)=0,D1775=""),"",IFERROR(INDEX(ca_type,MATCH(D1775,ca_name,0))&amp;"",""))</f>
        <v/>
      </c>
      <c r="I1775" s="58" t="str">
        <f>IF(COUNTA(A1775:E1775)=0,"",IF(N(A1775)&lt;=0,"Date manquante ou invalide",IF(B1775="","Équipe manquante",IF(ISNA(MATCH(B1775,eq_code,0)),"Équipe inconnue",IF(C1775="","Poste manquant",IF(ISNA(MATCH(C1775,po_code,0)),"Poste inconnu",IF(D1775="","Cause manquante",IF(ISNA(MATCH(D1775,ca_name,0)),"Cause inconnue",IF(H1775="","Cause à compléter dans Paramètres",IF(OR(NOT(ISNUMBER(E1775)),N(E1775)&lt;=0,N(E1775)&gt;1440),"Durée invalide",IF(COUNTIFS(sj_date,A1775,sj_eq,B1775,sj_po,C1775)=0,"Pas de saisie journalière ce jour-là","OK")))))))))))</f>
        <v/>
      </c>
      <c r="J1775">
        <f>IF(OR(I1775="OK",I1775="Pas de saisie journalière ce jour-là"),E1775,0)</f>
        <v>0.0</v>
      </c>
      <c r="K1775">
        <f>IF(AND(J1775&gt;0,A1775&gt;=p_from,A1775&lt;=p_to),1,0)</f>
        <v>0.0</v>
      </c>
      <c r="L1775">
        <f>IF(AND(K1775=1,OR(pa_po="",C1775=pa_po),OR(pa_eq="",B1775=pa_eq)),1,0)</f>
        <v>0.0</v>
      </c>
    </row>
    <row r="1776">
      <c r="A1776" s="51" t="n"/>
      <c r="B1776" s="52" t="n"/>
      <c r="C1776" s="52" t="n"/>
      <c r="D1776" s="53" t="n"/>
      <c r="E1776" s="60" t="n"/>
      <c r="F1776" s="53" t="n"/>
      <c r="G1776" s="61" t="str">
        <f>IF(OR(COUNTA(A1776:E1776)=0,D1776=""),"",IFERROR(INDEX(ca_fam,MATCH(D1776,ca_name,0))&amp;"",""))</f>
        <v/>
      </c>
      <c r="H1776" s="58" t="str">
        <f>IF(OR(COUNTA(A1776:E1776)=0,D1776=""),"",IFERROR(INDEX(ca_type,MATCH(D1776,ca_name,0))&amp;"",""))</f>
        <v/>
      </c>
      <c r="I1776" s="58" t="str">
        <f>IF(COUNTA(A1776:E1776)=0,"",IF(N(A1776)&lt;=0,"Date manquante ou invalide",IF(B1776="","Équipe manquante",IF(ISNA(MATCH(B1776,eq_code,0)),"Équipe inconnue",IF(C1776="","Poste manquant",IF(ISNA(MATCH(C1776,po_code,0)),"Poste inconnu",IF(D1776="","Cause manquante",IF(ISNA(MATCH(D1776,ca_name,0)),"Cause inconnue",IF(H1776="","Cause à compléter dans Paramètres",IF(OR(NOT(ISNUMBER(E1776)),N(E1776)&lt;=0,N(E1776)&gt;1440),"Durée invalide",IF(COUNTIFS(sj_date,A1776,sj_eq,B1776,sj_po,C1776)=0,"Pas de saisie journalière ce jour-là","OK")))))))))))</f>
        <v/>
      </c>
      <c r="J1776">
        <f>IF(OR(I1776="OK",I1776="Pas de saisie journalière ce jour-là"),E1776,0)</f>
        <v>0.0</v>
      </c>
      <c r="K1776">
        <f>IF(AND(J1776&gt;0,A1776&gt;=p_from,A1776&lt;=p_to),1,0)</f>
        <v>0.0</v>
      </c>
      <c r="L1776">
        <f>IF(AND(K1776=1,OR(pa_po="",C1776=pa_po),OR(pa_eq="",B1776=pa_eq)),1,0)</f>
        <v>0.0</v>
      </c>
    </row>
    <row r="1777">
      <c r="A1777" s="51" t="n"/>
      <c r="B1777" s="52" t="n"/>
      <c r="C1777" s="52" t="n"/>
      <c r="D1777" s="53" t="n"/>
      <c r="E1777" s="60" t="n"/>
      <c r="F1777" s="53" t="n"/>
      <c r="G1777" s="61" t="str">
        <f>IF(OR(COUNTA(A1777:E1777)=0,D1777=""),"",IFERROR(INDEX(ca_fam,MATCH(D1777,ca_name,0))&amp;"",""))</f>
        <v/>
      </c>
      <c r="H1777" s="58" t="str">
        <f>IF(OR(COUNTA(A1777:E1777)=0,D1777=""),"",IFERROR(INDEX(ca_type,MATCH(D1777,ca_name,0))&amp;"",""))</f>
        <v/>
      </c>
      <c r="I1777" s="58" t="str">
        <f>IF(COUNTA(A1777:E1777)=0,"",IF(N(A1777)&lt;=0,"Date manquante ou invalide",IF(B1777="","Équipe manquante",IF(ISNA(MATCH(B1777,eq_code,0)),"Équipe inconnue",IF(C1777="","Poste manquant",IF(ISNA(MATCH(C1777,po_code,0)),"Poste inconnu",IF(D1777="","Cause manquante",IF(ISNA(MATCH(D1777,ca_name,0)),"Cause inconnue",IF(H1777="","Cause à compléter dans Paramètres",IF(OR(NOT(ISNUMBER(E1777)),N(E1777)&lt;=0,N(E1777)&gt;1440),"Durée invalide",IF(COUNTIFS(sj_date,A1777,sj_eq,B1777,sj_po,C1777)=0,"Pas de saisie journalière ce jour-là","OK")))))))))))</f>
        <v/>
      </c>
      <c r="J1777">
        <f>IF(OR(I1777="OK",I1777="Pas de saisie journalière ce jour-là"),E1777,0)</f>
        <v>0.0</v>
      </c>
      <c r="K1777">
        <f>IF(AND(J1777&gt;0,A1777&gt;=p_from,A1777&lt;=p_to),1,0)</f>
        <v>0.0</v>
      </c>
      <c r="L1777">
        <f>IF(AND(K1777=1,OR(pa_po="",C1777=pa_po),OR(pa_eq="",B1777=pa_eq)),1,0)</f>
        <v>0.0</v>
      </c>
    </row>
    <row r="1778">
      <c r="A1778" s="51" t="n"/>
      <c r="B1778" s="52" t="n"/>
      <c r="C1778" s="52" t="n"/>
      <c r="D1778" s="53" t="n"/>
      <c r="E1778" s="60" t="n"/>
      <c r="F1778" s="53" t="n"/>
      <c r="G1778" s="61" t="str">
        <f>IF(OR(COUNTA(A1778:E1778)=0,D1778=""),"",IFERROR(INDEX(ca_fam,MATCH(D1778,ca_name,0))&amp;"",""))</f>
        <v/>
      </c>
      <c r="H1778" s="58" t="str">
        <f>IF(OR(COUNTA(A1778:E1778)=0,D1778=""),"",IFERROR(INDEX(ca_type,MATCH(D1778,ca_name,0))&amp;"",""))</f>
        <v/>
      </c>
      <c r="I1778" s="58" t="str">
        <f>IF(COUNTA(A1778:E1778)=0,"",IF(N(A1778)&lt;=0,"Date manquante ou invalide",IF(B1778="","Équipe manquante",IF(ISNA(MATCH(B1778,eq_code,0)),"Équipe inconnue",IF(C1778="","Poste manquant",IF(ISNA(MATCH(C1778,po_code,0)),"Poste inconnu",IF(D1778="","Cause manquante",IF(ISNA(MATCH(D1778,ca_name,0)),"Cause inconnue",IF(H1778="","Cause à compléter dans Paramètres",IF(OR(NOT(ISNUMBER(E1778)),N(E1778)&lt;=0,N(E1778)&gt;1440),"Durée invalide",IF(COUNTIFS(sj_date,A1778,sj_eq,B1778,sj_po,C1778)=0,"Pas de saisie journalière ce jour-là","OK")))))))))))</f>
        <v/>
      </c>
      <c r="J1778">
        <f>IF(OR(I1778="OK",I1778="Pas de saisie journalière ce jour-là"),E1778,0)</f>
        <v>0.0</v>
      </c>
      <c r="K1778">
        <f>IF(AND(J1778&gt;0,A1778&gt;=p_from,A1778&lt;=p_to),1,0)</f>
        <v>0.0</v>
      </c>
      <c r="L1778">
        <f>IF(AND(K1778=1,OR(pa_po="",C1778=pa_po),OR(pa_eq="",B1778=pa_eq)),1,0)</f>
        <v>0.0</v>
      </c>
    </row>
    <row r="1779">
      <c r="A1779" s="51" t="n"/>
      <c r="B1779" s="52" t="n"/>
      <c r="C1779" s="52" t="n"/>
      <c r="D1779" s="53" t="n"/>
      <c r="E1779" s="60" t="n"/>
      <c r="F1779" s="53" t="n"/>
      <c r="G1779" s="61" t="str">
        <f>IF(OR(COUNTA(A1779:E1779)=0,D1779=""),"",IFERROR(INDEX(ca_fam,MATCH(D1779,ca_name,0))&amp;"",""))</f>
        <v/>
      </c>
      <c r="H1779" s="58" t="str">
        <f>IF(OR(COUNTA(A1779:E1779)=0,D1779=""),"",IFERROR(INDEX(ca_type,MATCH(D1779,ca_name,0))&amp;"",""))</f>
        <v/>
      </c>
      <c r="I1779" s="58" t="str">
        <f>IF(COUNTA(A1779:E1779)=0,"",IF(N(A1779)&lt;=0,"Date manquante ou invalide",IF(B1779="","Équipe manquante",IF(ISNA(MATCH(B1779,eq_code,0)),"Équipe inconnue",IF(C1779="","Poste manquant",IF(ISNA(MATCH(C1779,po_code,0)),"Poste inconnu",IF(D1779="","Cause manquante",IF(ISNA(MATCH(D1779,ca_name,0)),"Cause inconnue",IF(H1779="","Cause à compléter dans Paramètres",IF(OR(NOT(ISNUMBER(E1779)),N(E1779)&lt;=0,N(E1779)&gt;1440),"Durée invalide",IF(COUNTIFS(sj_date,A1779,sj_eq,B1779,sj_po,C1779)=0,"Pas de saisie journalière ce jour-là","OK")))))))))))</f>
        <v/>
      </c>
      <c r="J1779">
        <f>IF(OR(I1779="OK",I1779="Pas de saisie journalière ce jour-là"),E1779,0)</f>
        <v>0.0</v>
      </c>
      <c r="K1779">
        <f>IF(AND(J1779&gt;0,A1779&gt;=p_from,A1779&lt;=p_to),1,0)</f>
        <v>0.0</v>
      </c>
      <c r="L1779">
        <f>IF(AND(K1779=1,OR(pa_po="",C1779=pa_po),OR(pa_eq="",B1779=pa_eq)),1,0)</f>
        <v>0.0</v>
      </c>
    </row>
    <row r="1780">
      <c r="A1780" s="51" t="n"/>
      <c r="B1780" s="52" t="n"/>
      <c r="C1780" s="52" t="n"/>
      <c r="D1780" s="53" t="n"/>
      <c r="E1780" s="60" t="n"/>
      <c r="F1780" s="53" t="n"/>
      <c r="G1780" s="61" t="str">
        <f>IF(OR(COUNTA(A1780:E1780)=0,D1780=""),"",IFERROR(INDEX(ca_fam,MATCH(D1780,ca_name,0))&amp;"",""))</f>
        <v/>
      </c>
      <c r="H1780" s="58" t="str">
        <f>IF(OR(COUNTA(A1780:E1780)=0,D1780=""),"",IFERROR(INDEX(ca_type,MATCH(D1780,ca_name,0))&amp;"",""))</f>
        <v/>
      </c>
      <c r="I1780" s="58" t="str">
        <f>IF(COUNTA(A1780:E1780)=0,"",IF(N(A1780)&lt;=0,"Date manquante ou invalide",IF(B1780="","Équipe manquante",IF(ISNA(MATCH(B1780,eq_code,0)),"Équipe inconnue",IF(C1780="","Poste manquant",IF(ISNA(MATCH(C1780,po_code,0)),"Poste inconnu",IF(D1780="","Cause manquante",IF(ISNA(MATCH(D1780,ca_name,0)),"Cause inconnue",IF(H1780="","Cause à compléter dans Paramètres",IF(OR(NOT(ISNUMBER(E1780)),N(E1780)&lt;=0,N(E1780)&gt;1440),"Durée invalide",IF(COUNTIFS(sj_date,A1780,sj_eq,B1780,sj_po,C1780)=0,"Pas de saisie journalière ce jour-là","OK")))))))))))</f>
        <v/>
      </c>
      <c r="J1780">
        <f>IF(OR(I1780="OK",I1780="Pas de saisie journalière ce jour-là"),E1780,0)</f>
        <v>0.0</v>
      </c>
      <c r="K1780">
        <f>IF(AND(J1780&gt;0,A1780&gt;=p_from,A1780&lt;=p_to),1,0)</f>
        <v>0.0</v>
      </c>
      <c r="L1780">
        <f>IF(AND(K1780=1,OR(pa_po="",C1780=pa_po),OR(pa_eq="",B1780=pa_eq)),1,0)</f>
        <v>0.0</v>
      </c>
    </row>
    <row r="1781">
      <c r="A1781" s="51" t="n"/>
      <c r="B1781" s="52" t="n"/>
      <c r="C1781" s="52" t="n"/>
      <c r="D1781" s="53" t="n"/>
      <c r="E1781" s="60" t="n"/>
      <c r="F1781" s="53" t="n"/>
      <c r="G1781" s="61" t="str">
        <f>IF(OR(COUNTA(A1781:E1781)=0,D1781=""),"",IFERROR(INDEX(ca_fam,MATCH(D1781,ca_name,0))&amp;"",""))</f>
        <v/>
      </c>
      <c r="H1781" s="58" t="str">
        <f>IF(OR(COUNTA(A1781:E1781)=0,D1781=""),"",IFERROR(INDEX(ca_type,MATCH(D1781,ca_name,0))&amp;"",""))</f>
        <v/>
      </c>
      <c r="I1781" s="58" t="str">
        <f>IF(COUNTA(A1781:E1781)=0,"",IF(N(A1781)&lt;=0,"Date manquante ou invalide",IF(B1781="","Équipe manquante",IF(ISNA(MATCH(B1781,eq_code,0)),"Équipe inconnue",IF(C1781="","Poste manquant",IF(ISNA(MATCH(C1781,po_code,0)),"Poste inconnu",IF(D1781="","Cause manquante",IF(ISNA(MATCH(D1781,ca_name,0)),"Cause inconnue",IF(H1781="","Cause à compléter dans Paramètres",IF(OR(NOT(ISNUMBER(E1781)),N(E1781)&lt;=0,N(E1781)&gt;1440),"Durée invalide",IF(COUNTIFS(sj_date,A1781,sj_eq,B1781,sj_po,C1781)=0,"Pas de saisie journalière ce jour-là","OK")))))))))))</f>
        <v/>
      </c>
      <c r="J1781">
        <f>IF(OR(I1781="OK",I1781="Pas de saisie journalière ce jour-là"),E1781,0)</f>
        <v>0.0</v>
      </c>
      <c r="K1781">
        <f>IF(AND(J1781&gt;0,A1781&gt;=p_from,A1781&lt;=p_to),1,0)</f>
        <v>0.0</v>
      </c>
      <c r="L1781">
        <f>IF(AND(K1781=1,OR(pa_po="",C1781=pa_po),OR(pa_eq="",B1781=pa_eq)),1,0)</f>
        <v>0.0</v>
      </c>
    </row>
    <row r="1782">
      <c r="A1782" s="51" t="n"/>
      <c r="B1782" s="52" t="n"/>
      <c r="C1782" s="52" t="n"/>
      <c r="D1782" s="53" t="n"/>
      <c r="E1782" s="60" t="n"/>
      <c r="F1782" s="53" t="n"/>
      <c r="G1782" s="61" t="str">
        <f>IF(OR(COUNTA(A1782:E1782)=0,D1782=""),"",IFERROR(INDEX(ca_fam,MATCH(D1782,ca_name,0))&amp;"",""))</f>
        <v/>
      </c>
      <c r="H1782" s="58" t="str">
        <f>IF(OR(COUNTA(A1782:E1782)=0,D1782=""),"",IFERROR(INDEX(ca_type,MATCH(D1782,ca_name,0))&amp;"",""))</f>
        <v/>
      </c>
      <c r="I1782" s="58" t="str">
        <f>IF(COUNTA(A1782:E1782)=0,"",IF(N(A1782)&lt;=0,"Date manquante ou invalide",IF(B1782="","Équipe manquante",IF(ISNA(MATCH(B1782,eq_code,0)),"Équipe inconnue",IF(C1782="","Poste manquant",IF(ISNA(MATCH(C1782,po_code,0)),"Poste inconnu",IF(D1782="","Cause manquante",IF(ISNA(MATCH(D1782,ca_name,0)),"Cause inconnue",IF(H1782="","Cause à compléter dans Paramètres",IF(OR(NOT(ISNUMBER(E1782)),N(E1782)&lt;=0,N(E1782)&gt;1440),"Durée invalide",IF(COUNTIFS(sj_date,A1782,sj_eq,B1782,sj_po,C1782)=0,"Pas de saisie journalière ce jour-là","OK")))))))))))</f>
        <v/>
      </c>
      <c r="J1782">
        <f>IF(OR(I1782="OK",I1782="Pas de saisie journalière ce jour-là"),E1782,0)</f>
        <v>0.0</v>
      </c>
      <c r="K1782">
        <f>IF(AND(J1782&gt;0,A1782&gt;=p_from,A1782&lt;=p_to),1,0)</f>
        <v>0.0</v>
      </c>
      <c r="L1782">
        <f>IF(AND(K1782=1,OR(pa_po="",C1782=pa_po),OR(pa_eq="",B1782=pa_eq)),1,0)</f>
        <v>0.0</v>
      </c>
    </row>
    <row r="1783">
      <c r="A1783" s="51" t="n"/>
      <c r="B1783" s="52" t="n"/>
      <c r="C1783" s="52" t="n"/>
      <c r="D1783" s="53" t="n"/>
      <c r="E1783" s="60" t="n"/>
      <c r="F1783" s="53" t="n"/>
      <c r="G1783" s="61" t="str">
        <f>IF(OR(COUNTA(A1783:E1783)=0,D1783=""),"",IFERROR(INDEX(ca_fam,MATCH(D1783,ca_name,0))&amp;"",""))</f>
        <v/>
      </c>
      <c r="H1783" s="58" t="str">
        <f>IF(OR(COUNTA(A1783:E1783)=0,D1783=""),"",IFERROR(INDEX(ca_type,MATCH(D1783,ca_name,0))&amp;"",""))</f>
        <v/>
      </c>
      <c r="I1783" s="58" t="str">
        <f>IF(COUNTA(A1783:E1783)=0,"",IF(N(A1783)&lt;=0,"Date manquante ou invalide",IF(B1783="","Équipe manquante",IF(ISNA(MATCH(B1783,eq_code,0)),"Équipe inconnue",IF(C1783="","Poste manquant",IF(ISNA(MATCH(C1783,po_code,0)),"Poste inconnu",IF(D1783="","Cause manquante",IF(ISNA(MATCH(D1783,ca_name,0)),"Cause inconnue",IF(H1783="","Cause à compléter dans Paramètres",IF(OR(NOT(ISNUMBER(E1783)),N(E1783)&lt;=0,N(E1783)&gt;1440),"Durée invalide",IF(COUNTIFS(sj_date,A1783,sj_eq,B1783,sj_po,C1783)=0,"Pas de saisie journalière ce jour-là","OK")))))))))))</f>
        <v/>
      </c>
      <c r="J1783">
        <f>IF(OR(I1783="OK",I1783="Pas de saisie journalière ce jour-là"),E1783,0)</f>
        <v>0.0</v>
      </c>
      <c r="K1783">
        <f>IF(AND(J1783&gt;0,A1783&gt;=p_from,A1783&lt;=p_to),1,0)</f>
        <v>0.0</v>
      </c>
      <c r="L1783">
        <f>IF(AND(K1783=1,OR(pa_po="",C1783=pa_po),OR(pa_eq="",B1783=pa_eq)),1,0)</f>
        <v>0.0</v>
      </c>
    </row>
    <row r="1784">
      <c r="A1784" s="51" t="n"/>
      <c r="B1784" s="52" t="n"/>
      <c r="C1784" s="52" t="n"/>
      <c r="D1784" s="53" t="n"/>
      <c r="E1784" s="60" t="n"/>
      <c r="F1784" s="53" t="n"/>
      <c r="G1784" s="61" t="str">
        <f>IF(OR(COUNTA(A1784:E1784)=0,D1784=""),"",IFERROR(INDEX(ca_fam,MATCH(D1784,ca_name,0))&amp;"",""))</f>
        <v/>
      </c>
      <c r="H1784" s="58" t="str">
        <f>IF(OR(COUNTA(A1784:E1784)=0,D1784=""),"",IFERROR(INDEX(ca_type,MATCH(D1784,ca_name,0))&amp;"",""))</f>
        <v/>
      </c>
      <c r="I1784" s="58" t="str">
        <f>IF(COUNTA(A1784:E1784)=0,"",IF(N(A1784)&lt;=0,"Date manquante ou invalide",IF(B1784="","Équipe manquante",IF(ISNA(MATCH(B1784,eq_code,0)),"Équipe inconnue",IF(C1784="","Poste manquant",IF(ISNA(MATCH(C1784,po_code,0)),"Poste inconnu",IF(D1784="","Cause manquante",IF(ISNA(MATCH(D1784,ca_name,0)),"Cause inconnue",IF(H1784="","Cause à compléter dans Paramètres",IF(OR(NOT(ISNUMBER(E1784)),N(E1784)&lt;=0,N(E1784)&gt;1440),"Durée invalide",IF(COUNTIFS(sj_date,A1784,sj_eq,B1784,sj_po,C1784)=0,"Pas de saisie journalière ce jour-là","OK")))))))))))</f>
        <v/>
      </c>
      <c r="J1784">
        <f>IF(OR(I1784="OK",I1784="Pas de saisie journalière ce jour-là"),E1784,0)</f>
        <v>0.0</v>
      </c>
      <c r="K1784">
        <f>IF(AND(J1784&gt;0,A1784&gt;=p_from,A1784&lt;=p_to),1,0)</f>
        <v>0.0</v>
      </c>
      <c r="L1784">
        <f>IF(AND(K1784=1,OR(pa_po="",C1784=pa_po),OR(pa_eq="",B1784=pa_eq)),1,0)</f>
        <v>0.0</v>
      </c>
    </row>
    <row r="1785">
      <c r="A1785" s="51" t="n"/>
      <c r="B1785" s="52" t="n"/>
      <c r="C1785" s="52" t="n"/>
      <c r="D1785" s="53" t="n"/>
      <c r="E1785" s="60" t="n"/>
      <c r="F1785" s="53" t="n"/>
      <c r="G1785" s="61" t="str">
        <f>IF(OR(COUNTA(A1785:E1785)=0,D1785=""),"",IFERROR(INDEX(ca_fam,MATCH(D1785,ca_name,0))&amp;"",""))</f>
        <v/>
      </c>
      <c r="H1785" s="58" t="str">
        <f>IF(OR(COUNTA(A1785:E1785)=0,D1785=""),"",IFERROR(INDEX(ca_type,MATCH(D1785,ca_name,0))&amp;"",""))</f>
        <v/>
      </c>
      <c r="I1785" s="58" t="str">
        <f>IF(COUNTA(A1785:E1785)=0,"",IF(N(A1785)&lt;=0,"Date manquante ou invalide",IF(B1785="","Équipe manquante",IF(ISNA(MATCH(B1785,eq_code,0)),"Équipe inconnue",IF(C1785="","Poste manquant",IF(ISNA(MATCH(C1785,po_code,0)),"Poste inconnu",IF(D1785="","Cause manquante",IF(ISNA(MATCH(D1785,ca_name,0)),"Cause inconnue",IF(H1785="","Cause à compléter dans Paramètres",IF(OR(NOT(ISNUMBER(E1785)),N(E1785)&lt;=0,N(E1785)&gt;1440),"Durée invalide",IF(COUNTIFS(sj_date,A1785,sj_eq,B1785,sj_po,C1785)=0,"Pas de saisie journalière ce jour-là","OK")))))))))))</f>
        <v/>
      </c>
      <c r="J1785">
        <f>IF(OR(I1785="OK",I1785="Pas de saisie journalière ce jour-là"),E1785,0)</f>
        <v>0.0</v>
      </c>
      <c r="K1785">
        <f>IF(AND(J1785&gt;0,A1785&gt;=p_from,A1785&lt;=p_to),1,0)</f>
        <v>0.0</v>
      </c>
      <c r="L1785">
        <f>IF(AND(K1785=1,OR(pa_po="",C1785=pa_po),OR(pa_eq="",B1785=pa_eq)),1,0)</f>
        <v>0.0</v>
      </c>
    </row>
    <row r="1786">
      <c r="A1786" s="51" t="n"/>
      <c r="B1786" s="52" t="n"/>
      <c r="C1786" s="52" t="n"/>
      <c r="D1786" s="53" t="n"/>
      <c r="E1786" s="60" t="n"/>
      <c r="F1786" s="53" t="n"/>
      <c r="G1786" s="61" t="str">
        <f>IF(OR(COUNTA(A1786:E1786)=0,D1786=""),"",IFERROR(INDEX(ca_fam,MATCH(D1786,ca_name,0))&amp;"",""))</f>
        <v/>
      </c>
      <c r="H1786" s="58" t="str">
        <f>IF(OR(COUNTA(A1786:E1786)=0,D1786=""),"",IFERROR(INDEX(ca_type,MATCH(D1786,ca_name,0))&amp;"",""))</f>
        <v/>
      </c>
      <c r="I1786" s="58" t="str">
        <f>IF(COUNTA(A1786:E1786)=0,"",IF(N(A1786)&lt;=0,"Date manquante ou invalide",IF(B1786="","Équipe manquante",IF(ISNA(MATCH(B1786,eq_code,0)),"Équipe inconnue",IF(C1786="","Poste manquant",IF(ISNA(MATCH(C1786,po_code,0)),"Poste inconnu",IF(D1786="","Cause manquante",IF(ISNA(MATCH(D1786,ca_name,0)),"Cause inconnue",IF(H1786="","Cause à compléter dans Paramètres",IF(OR(NOT(ISNUMBER(E1786)),N(E1786)&lt;=0,N(E1786)&gt;1440),"Durée invalide",IF(COUNTIFS(sj_date,A1786,sj_eq,B1786,sj_po,C1786)=0,"Pas de saisie journalière ce jour-là","OK")))))))))))</f>
        <v/>
      </c>
      <c r="J1786">
        <f>IF(OR(I1786="OK",I1786="Pas de saisie journalière ce jour-là"),E1786,0)</f>
        <v>0.0</v>
      </c>
      <c r="K1786">
        <f>IF(AND(J1786&gt;0,A1786&gt;=p_from,A1786&lt;=p_to),1,0)</f>
        <v>0.0</v>
      </c>
      <c r="L1786">
        <f>IF(AND(K1786=1,OR(pa_po="",C1786=pa_po),OR(pa_eq="",B1786=pa_eq)),1,0)</f>
        <v>0.0</v>
      </c>
    </row>
    <row r="1787">
      <c r="A1787" s="51" t="n"/>
      <c r="B1787" s="52" t="n"/>
      <c r="C1787" s="52" t="n"/>
      <c r="D1787" s="53" t="n"/>
      <c r="E1787" s="60" t="n"/>
      <c r="F1787" s="53" t="n"/>
      <c r="G1787" s="61" t="str">
        <f>IF(OR(COUNTA(A1787:E1787)=0,D1787=""),"",IFERROR(INDEX(ca_fam,MATCH(D1787,ca_name,0))&amp;"",""))</f>
        <v/>
      </c>
      <c r="H1787" s="58" t="str">
        <f>IF(OR(COUNTA(A1787:E1787)=0,D1787=""),"",IFERROR(INDEX(ca_type,MATCH(D1787,ca_name,0))&amp;"",""))</f>
        <v/>
      </c>
      <c r="I1787" s="58" t="str">
        <f>IF(COUNTA(A1787:E1787)=0,"",IF(N(A1787)&lt;=0,"Date manquante ou invalide",IF(B1787="","Équipe manquante",IF(ISNA(MATCH(B1787,eq_code,0)),"Équipe inconnue",IF(C1787="","Poste manquant",IF(ISNA(MATCH(C1787,po_code,0)),"Poste inconnu",IF(D1787="","Cause manquante",IF(ISNA(MATCH(D1787,ca_name,0)),"Cause inconnue",IF(H1787="","Cause à compléter dans Paramètres",IF(OR(NOT(ISNUMBER(E1787)),N(E1787)&lt;=0,N(E1787)&gt;1440),"Durée invalide",IF(COUNTIFS(sj_date,A1787,sj_eq,B1787,sj_po,C1787)=0,"Pas de saisie journalière ce jour-là","OK")))))))))))</f>
        <v/>
      </c>
      <c r="J1787">
        <f>IF(OR(I1787="OK",I1787="Pas de saisie journalière ce jour-là"),E1787,0)</f>
        <v>0.0</v>
      </c>
      <c r="K1787">
        <f>IF(AND(J1787&gt;0,A1787&gt;=p_from,A1787&lt;=p_to),1,0)</f>
        <v>0.0</v>
      </c>
      <c r="L1787">
        <f>IF(AND(K1787=1,OR(pa_po="",C1787=pa_po),OR(pa_eq="",B1787=pa_eq)),1,0)</f>
        <v>0.0</v>
      </c>
    </row>
    <row r="1788">
      <c r="A1788" s="51" t="n"/>
      <c r="B1788" s="52" t="n"/>
      <c r="C1788" s="52" t="n"/>
      <c r="D1788" s="53" t="n"/>
      <c r="E1788" s="60" t="n"/>
      <c r="F1788" s="53" t="n"/>
      <c r="G1788" s="61" t="str">
        <f>IF(OR(COUNTA(A1788:E1788)=0,D1788=""),"",IFERROR(INDEX(ca_fam,MATCH(D1788,ca_name,0))&amp;"",""))</f>
        <v/>
      </c>
      <c r="H1788" s="58" t="str">
        <f>IF(OR(COUNTA(A1788:E1788)=0,D1788=""),"",IFERROR(INDEX(ca_type,MATCH(D1788,ca_name,0))&amp;"",""))</f>
        <v/>
      </c>
      <c r="I1788" s="58" t="str">
        <f>IF(COUNTA(A1788:E1788)=0,"",IF(N(A1788)&lt;=0,"Date manquante ou invalide",IF(B1788="","Équipe manquante",IF(ISNA(MATCH(B1788,eq_code,0)),"Équipe inconnue",IF(C1788="","Poste manquant",IF(ISNA(MATCH(C1788,po_code,0)),"Poste inconnu",IF(D1788="","Cause manquante",IF(ISNA(MATCH(D1788,ca_name,0)),"Cause inconnue",IF(H1788="","Cause à compléter dans Paramètres",IF(OR(NOT(ISNUMBER(E1788)),N(E1788)&lt;=0,N(E1788)&gt;1440),"Durée invalide",IF(COUNTIFS(sj_date,A1788,sj_eq,B1788,sj_po,C1788)=0,"Pas de saisie journalière ce jour-là","OK")))))))))))</f>
        <v/>
      </c>
      <c r="J1788">
        <f>IF(OR(I1788="OK",I1788="Pas de saisie journalière ce jour-là"),E1788,0)</f>
        <v>0.0</v>
      </c>
      <c r="K1788">
        <f>IF(AND(J1788&gt;0,A1788&gt;=p_from,A1788&lt;=p_to),1,0)</f>
        <v>0.0</v>
      </c>
      <c r="L1788">
        <f>IF(AND(K1788=1,OR(pa_po="",C1788=pa_po),OR(pa_eq="",B1788=pa_eq)),1,0)</f>
        <v>0.0</v>
      </c>
    </row>
    <row r="1789">
      <c r="A1789" s="51" t="n"/>
      <c r="B1789" s="52" t="n"/>
      <c r="C1789" s="52" t="n"/>
      <c r="D1789" s="53" t="n"/>
      <c r="E1789" s="60" t="n"/>
      <c r="F1789" s="53" t="n"/>
      <c r="G1789" s="61" t="str">
        <f>IF(OR(COUNTA(A1789:E1789)=0,D1789=""),"",IFERROR(INDEX(ca_fam,MATCH(D1789,ca_name,0))&amp;"",""))</f>
        <v/>
      </c>
      <c r="H1789" s="58" t="str">
        <f>IF(OR(COUNTA(A1789:E1789)=0,D1789=""),"",IFERROR(INDEX(ca_type,MATCH(D1789,ca_name,0))&amp;"",""))</f>
        <v/>
      </c>
      <c r="I1789" s="58" t="str">
        <f>IF(COUNTA(A1789:E1789)=0,"",IF(N(A1789)&lt;=0,"Date manquante ou invalide",IF(B1789="","Équipe manquante",IF(ISNA(MATCH(B1789,eq_code,0)),"Équipe inconnue",IF(C1789="","Poste manquant",IF(ISNA(MATCH(C1789,po_code,0)),"Poste inconnu",IF(D1789="","Cause manquante",IF(ISNA(MATCH(D1789,ca_name,0)),"Cause inconnue",IF(H1789="","Cause à compléter dans Paramètres",IF(OR(NOT(ISNUMBER(E1789)),N(E1789)&lt;=0,N(E1789)&gt;1440),"Durée invalide",IF(COUNTIFS(sj_date,A1789,sj_eq,B1789,sj_po,C1789)=0,"Pas de saisie journalière ce jour-là","OK")))))))))))</f>
        <v/>
      </c>
      <c r="J1789">
        <f>IF(OR(I1789="OK",I1789="Pas de saisie journalière ce jour-là"),E1789,0)</f>
        <v>0.0</v>
      </c>
      <c r="K1789">
        <f>IF(AND(J1789&gt;0,A1789&gt;=p_from,A1789&lt;=p_to),1,0)</f>
        <v>0.0</v>
      </c>
      <c r="L1789">
        <f>IF(AND(K1789=1,OR(pa_po="",C1789=pa_po),OR(pa_eq="",B1789=pa_eq)),1,0)</f>
        <v>0.0</v>
      </c>
    </row>
    <row r="1790">
      <c r="A1790" s="51" t="n"/>
      <c r="B1790" s="52" t="n"/>
      <c r="C1790" s="52" t="n"/>
      <c r="D1790" s="53" t="n"/>
      <c r="E1790" s="60" t="n"/>
      <c r="F1790" s="53" t="n"/>
      <c r="G1790" s="61" t="str">
        <f>IF(OR(COUNTA(A1790:E1790)=0,D1790=""),"",IFERROR(INDEX(ca_fam,MATCH(D1790,ca_name,0))&amp;"",""))</f>
        <v/>
      </c>
      <c r="H1790" s="58" t="str">
        <f>IF(OR(COUNTA(A1790:E1790)=0,D1790=""),"",IFERROR(INDEX(ca_type,MATCH(D1790,ca_name,0))&amp;"",""))</f>
        <v/>
      </c>
      <c r="I1790" s="58" t="str">
        <f>IF(COUNTA(A1790:E1790)=0,"",IF(N(A1790)&lt;=0,"Date manquante ou invalide",IF(B1790="","Équipe manquante",IF(ISNA(MATCH(B1790,eq_code,0)),"Équipe inconnue",IF(C1790="","Poste manquant",IF(ISNA(MATCH(C1790,po_code,0)),"Poste inconnu",IF(D1790="","Cause manquante",IF(ISNA(MATCH(D1790,ca_name,0)),"Cause inconnue",IF(H1790="","Cause à compléter dans Paramètres",IF(OR(NOT(ISNUMBER(E1790)),N(E1790)&lt;=0,N(E1790)&gt;1440),"Durée invalide",IF(COUNTIFS(sj_date,A1790,sj_eq,B1790,sj_po,C1790)=0,"Pas de saisie journalière ce jour-là","OK")))))))))))</f>
        <v/>
      </c>
      <c r="J1790">
        <f>IF(OR(I1790="OK",I1790="Pas de saisie journalière ce jour-là"),E1790,0)</f>
        <v>0.0</v>
      </c>
      <c r="K1790">
        <f>IF(AND(J1790&gt;0,A1790&gt;=p_from,A1790&lt;=p_to),1,0)</f>
        <v>0.0</v>
      </c>
      <c r="L1790">
        <f>IF(AND(K1790=1,OR(pa_po="",C1790=pa_po),OR(pa_eq="",B1790=pa_eq)),1,0)</f>
        <v>0.0</v>
      </c>
    </row>
    <row r="1791">
      <c r="A1791" s="51" t="n"/>
      <c r="B1791" s="52" t="n"/>
      <c r="C1791" s="52" t="n"/>
      <c r="D1791" s="53" t="n"/>
      <c r="E1791" s="60" t="n"/>
      <c r="F1791" s="53" t="n"/>
      <c r="G1791" s="61" t="str">
        <f>IF(OR(COUNTA(A1791:E1791)=0,D1791=""),"",IFERROR(INDEX(ca_fam,MATCH(D1791,ca_name,0))&amp;"",""))</f>
        <v/>
      </c>
      <c r="H1791" s="58" t="str">
        <f>IF(OR(COUNTA(A1791:E1791)=0,D1791=""),"",IFERROR(INDEX(ca_type,MATCH(D1791,ca_name,0))&amp;"",""))</f>
        <v/>
      </c>
      <c r="I1791" s="58" t="str">
        <f>IF(COUNTA(A1791:E1791)=0,"",IF(N(A1791)&lt;=0,"Date manquante ou invalide",IF(B1791="","Équipe manquante",IF(ISNA(MATCH(B1791,eq_code,0)),"Équipe inconnue",IF(C1791="","Poste manquant",IF(ISNA(MATCH(C1791,po_code,0)),"Poste inconnu",IF(D1791="","Cause manquante",IF(ISNA(MATCH(D1791,ca_name,0)),"Cause inconnue",IF(H1791="","Cause à compléter dans Paramètres",IF(OR(NOT(ISNUMBER(E1791)),N(E1791)&lt;=0,N(E1791)&gt;1440),"Durée invalide",IF(COUNTIFS(sj_date,A1791,sj_eq,B1791,sj_po,C1791)=0,"Pas de saisie journalière ce jour-là","OK")))))))))))</f>
        <v/>
      </c>
      <c r="J1791">
        <f>IF(OR(I1791="OK",I1791="Pas de saisie journalière ce jour-là"),E1791,0)</f>
        <v>0.0</v>
      </c>
      <c r="K1791">
        <f>IF(AND(J1791&gt;0,A1791&gt;=p_from,A1791&lt;=p_to),1,0)</f>
        <v>0.0</v>
      </c>
      <c r="L1791">
        <f>IF(AND(K1791=1,OR(pa_po="",C1791=pa_po),OR(pa_eq="",B1791=pa_eq)),1,0)</f>
        <v>0.0</v>
      </c>
    </row>
    <row r="1792">
      <c r="A1792" s="51" t="n"/>
      <c r="B1792" s="52" t="n"/>
      <c r="C1792" s="52" t="n"/>
      <c r="D1792" s="53" t="n"/>
      <c r="E1792" s="60" t="n"/>
      <c r="F1792" s="53" t="n"/>
      <c r="G1792" s="61" t="str">
        <f>IF(OR(COUNTA(A1792:E1792)=0,D1792=""),"",IFERROR(INDEX(ca_fam,MATCH(D1792,ca_name,0))&amp;"",""))</f>
        <v/>
      </c>
      <c r="H1792" s="58" t="str">
        <f>IF(OR(COUNTA(A1792:E1792)=0,D1792=""),"",IFERROR(INDEX(ca_type,MATCH(D1792,ca_name,0))&amp;"",""))</f>
        <v/>
      </c>
      <c r="I1792" s="58" t="str">
        <f>IF(COUNTA(A1792:E1792)=0,"",IF(N(A1792)&lt;=0,"Date manquante ou invalide",IF(B1792="","Équipe manquante",IF(ISNA(MATCH(B1792,eq_code,0)),"Équipe inconnue",IF(C1792="","Poste manquant",IF(ISNA(MATCH(C1792,po_code,0)),"Poste inconnu",IF(D1792="","Cause manquante",IF(ISNA(MATCH(D1792,ca_name,0)),"Cause inconnue",IF(H1792="","Cause à compléter dans Paramètres",IF(OR(NOT(ISNUMBER(E1792)),N(E1792)&lt;=0,N(E1792)&gt;1440),"Durée invalide",IF(COUNTIFS(sj_date,A1792,sj_eq,B1792,sj_po,C1792)=0,"Pas de saisie journalière ce jour-là","OK")))))))))))</f>
        <v/>
      </c>
      <c r="J1792">
        <f>IF(OR(I1792="OK",I1792="Pas de saisie journalière ce jour-là"),E1792,0)</f>
        <v>0.0</v>
      </c>
      <c r="K1792">
        <f>IF(AND(J1792&gt;0,A1792&gt;=p_from,A1792&lt;=p_to),1,0)</f>
        <v>0.0</v>
      </c>
      <c r="L1792">
        <f>IF(AND(K1792=1,OR(pa_po="",C1792=pa_po),OR(pa_eq="",B1792=pa_eq)),1,0)</f>
        <v>0.0</v>
      </c>
    </row>
    <row r="1793">
      <c r="A1793" s="51" t="n"/>
      <c r="B1793" s="52" t="n"/>
      <c r="C1793" s="52" t="n"/>
      <c r="D1793" s="53" t="n"/>
      <c r="E1793" s="60" t="n"/>
      <c r="F1793" s="53" t="n"/>
      <c r="G1793" s="61" t="str">
        <f>IF(OR(COUNTA(A1793:E1793)=0,D1793=""),"",IFERROR(INDEX(ca_fam,MATCH(D1793,ca_name,0))&amp;"",""))</f>
        <v/>
      </c>
      <c r="H1793" s="58" t="str">
        <f>IF(OR(COUNTA(A1793:E1793)=0,D1793=""),"",IFERROR(INDEX(ca_type,MATCH(D1793,ca_name,0))&amp;"",""))</f>
        <v/>
      </c>
      <c r="I1793" s="58" t="str">
        <f>IF(COUNTA(A1793:E1793)=0,"",IF(N(A1793)&lt;=0,"Date manquante ou invalide",IF(B1793="","Équipe manquante",IF(ISNA(MATCH(B1793,eq_code,0)),"Équipe inconnue",IF(C1793="","Poste manquant",IF(ISNA(MATCH(C1793,po_code,0)),"Poste inconnu",IF(D1793="","Cause manquante",IF(ISNA(MATCH(D1793,ca_name,0)),"Cause inconnue",IF(H1793="","Cause à compléter dans Paramètres",IF(OR(NOT(ISNUMBER(E1793)),N(E1793)&lt;=0,N(E1793)&gt;1440),"Durée invalide",IF(COUNTIFS(sj_date,A1793,sj_eq,B1793,sj_po,C1793)=0,"Pas de saisie journalière ce jour-là","OK")))))))))))</f>
        <v/>
      </c>
      <c r="J1793">
        <f>IF(OR(I1793="OK",I1793="Pas de saisie journalière ce jour-là"),E1793,0)</f>
        <v>0.0</v>
      </c>
      <c r="K1793">
        <f>IF(AND(J1793&gt;0,A1793&gt;=p_from,A1793&lt;=p_to),1,0)</f>
        <v>0.0</v>
      </c>
      <c r="L1793">
        <f>IF(AND(K1793=1,OR(pa_po="",C1793=pa_po),OR(pa_eq="",B1793=pa_eq)),1,0)</f>
        <v>0.0</v>
      </c>
    </row>
    <row r="1794">
      <c r="A1794" s="51" t="n"/>
      <c r="B1794" s="52" t="n"/>
      <c r="C1794" s="52" t="n"/>
      <c r="D1794" s="53" t="n"/>
      <c r="E1794" s="60" t="n"/>
      <c r="F1794" s="53" t="n"/>
      <c r="G1794" s="61" t="str">
        <f>IF(OR(COUNTA(A1794:E1794)=0,D1794=""),"",IFERROR(INDEX(ca_fam,MATCH(D1794,ca_name,0))&amp;"",""))</f>
        <v/>
      </c>
      <c r="H1794" s="58" t="str">
        <f>IF(OR(COUNTA(A1794:E1794)=0,D1794=""),"",IFERROR(INDEX(ca_type,MATCH(D1794,ca_name,0))&amp;"",""))</f>
        <v/>
      </c>
      <c r="I1794" s="58" t="str">
        <f>IF(COUNTA(A1794:E1794)=0,"",IF(N(A1794)&lt;=0,"Date manquante ou invalide",IF(B1794="","Équipe manquante",IF(ISNA(MATCH(B1794,eq_code,0)),"Équipe inconnue",IF(C1794="","Poste manquant",IF(ISNA(MATCH(C1794,po_code,0)),"Poste inconnu",IF(D1794="","Cause manquante",IF(ISNA(MATCH(D1794,ca_name,0)),"Cause inconnue",IF(H1794="","Cause à compléter dans Paramètres",IF(OR(NOT(ISNUMBER(E1794)),N(E1794)&lt;=0,N(E1794)&gt;1440),"Durée invalide",IF(COUNTIFS(sj_date,A1794,sj_eq,B1794,sj_po,C1794)=0,"Pas de saisie journalière ce jour-là","OK")))))))))))</f>
        <v/>
      </c>
      <c r="J1794">
        <f>IF(OR(I1794="OK",I1794="Pas de saisie journalière ce jour-là"),E1794,0)</f>
        <v>0.0</v>
      </c>
      <c r="K1794">
        <f>IF(AND(J1794&gt;0,A1794&gt;=p_from,A1794&lt;=p_to),1,0)</f>
        <v>0.0</v>
      </c>
      <c r="L1794">
        <f>IF(AND(K1794=1,OR(pa_po="",C1794=pa_po),OR(pa_eq="",B1794=pa_eq)),1,0)</f>
        <v>0.0</v>
      </c>
    </row>
    <row r="1795">
      <c r="A1795" s="51" t="n"/>
      <c r="B1795" s="52" t="n"/>
      <c r="C1795" s="52" t="n"/>
      <c r="D1795" s="53" t="n"/>
      <c r="E1795" s="60" t="n"/>
      <c r="F1795" s="53" t="n"/>
      <c r="G1795" s="61" t="str">
        <f>IF(OR(COUNTA(A1795:E1795)=0,D1795=""),"",IFERROR(INDEX(ca_fam,MATCH(D1795,ca_name,0))&amp;"",""))</f>
        <v/>
      </c>
      <c r="H1795" s="58" t="str">
        <f>IF(OR(COUNTA(A1795:E1795)=0,D1795=""),"",IFERROR(INDEX(ca_type,MATCH(D1795,ca_name,0))&amp;"",""))</f>
        <v/>
      </c>
      <c r="I1795" s="58" t="str">
        <f>IF(COUNTA(A1795:E1795)=0,"",IF(N(A1795)&lt;=0,"Date manquante ou invalide",IF(B1795="","Équipe manquante",IF(ISNA(MATCH(B1795,eq_code,0)),"Équipe inconnue",IF(C1795="","Poste manquant",IF(ISNA(MATCH(C1795,po_code,0)),"Poste inconnu",IF(D1795="","Cause manquante",IF(ISNA(MATCH(D1795,ca_name,0)),"Cause inconnue",IF(H1795="","Cause à compléter dans Paramètres",IF(OR(NOT(ISNUMBER(E1795)),N(E1795)&lt;=0,N(E1795)&gt;1440),"Durée invalide",IF(COUNTIFS(sj_date,A1795,sj_eq,B1795,sj_po,C1795)=0,"Pas de saisie journalière ce jour-là","OK")))))))))))</f>
        <v/>
      </c>
      <c r="J1795">
        <f>IF(OR(I1795="OK",I1795="Pas de saisie journalière ce jour-là"),E1795,0)</f>
        <v>0.0</v>
      </c>
      <c r="K1795">
        <f>IF(AND(J1795&gt;0,A1795&gt;=p_from,A1795&lt;=p_to),1,0)</f>
        <v>0.0</v>
      </c>
      <c r="L1795">
        <f>IF(AND(K1795=1,OR(pa_po="",C1795=pa_po),OR(pa_eq="",B1795=pa_eq)),1,0)</f>
        <v>0.0</v>
      </c>
    </row>
    <row r="1796">
      <c r="A1796" s="51" t="n"/>
      <c r="B1796" s="52" t="n"/>
      <c r="C1796" s="52" t="n"/>
      <c r="D1796" s="53" t="n"/>
      <c r="E1796" s="60" t="n"/>
      <c r="F1796" s="53" t="n"/>
      <c r="G1796" s="61" t="str">
        <f>IF(OR(COUNTA(A1796:E1796)=0,D1796=""),"",IFERROR(INDEX(ca_fam,MATCH(D1796,ca_name,0))&amp;"",""))</f>
        <v/>
      </c>
      <c r="H1796" s="58" t="str">
        <f>IF(OR(COUNTA(A1796:E1796)=0,D1796=""),"",IFERROR(INDEX(ca_type,MATCH(D1796,ca_name,0))&amp;"",""))</f>
        <v/>
      </c>
      <c r="I1796" s="58" t="str">
        <f>IF(COUNTA(A1796:E1796)=0,"",IF(N(A1796)&lt;=0,"Date manquante ou invalide",IF(B1796="","Équipe manquante",IF(ISNA(MATCH(B1796,eq_code,0)),"Équipe inconnue",IF(C1796="","Poste manquant",IF(ISNA(MATCH(C1796,po_code,0)),"Poste inconnu",IF(D1796="","Cause manquante",IF(ISNA(MATCH(D1796,ca_name,0)),"Cause inconnue",IF(H1796="","Cause à compléter dans Paramètres",IF(OR(NOT(ISNUMBER(E1796)),N(E1796)&lt;=0,N(E1796)&gt;1440),"Durée invalide",IF(COUNTIFS(sj_date,A1796,sj_eq,B1796,sj_po,C1796)=0,"Pas de saisie journalière ce jour-là","OK")))))))))))</f>
        <v/>
      </c>
      <c r="J1796">
        <f>IF(OR(I1796="OK",I1796="Pas de saisie journalière ce jour-là"),E1796,0)</f>
        <v>0.0</v>
      </c>
      <c r="K1796">
        <f>IF(AND(J1796&gt;0,A1796&gt;=p_from,A1796&lt;=p_to),1,0)</f>
        <v>0.0</v>
      </c>
      <c r="L1796">
        <f>IF(AND(K1796=1,OR(pa_po="",C1796=pa_po),OR(pa_eq="",B1796=pa_eq)),1,0)</f>
        <v>0.0</v>
      </c>
    </row>
    <row r="1797">
      <c r="A1797" s="51" t="n"/>
      <c r="B1797" s="52" t="n"/>
      <c r="C1797" s="52" t="n"/>
      <c r="D1797" s="53" t="n"/>
      <c r="E1797" s="60" t="n"/>
      <c r="F1797" s="53" t="n"/>
      <c r="G1797" s="61" t="str">
        <f>IF(OR(COUNTA(A1797:E1797)=0,D1797=""),"",IFERROR(INDEX(ca_fam,MATCH(D1797,ca_name,0))&amp;"",""))</f>
        <v/>
      </c>
      <c r="H1797" s="58" t="str">
        <f>IF(OR(COUNTA(A1797:E1797)=0,D1797=""),"",IFERROR(INDEX(ca_type,MATCH(D1797,ca_name,0))&amp;"",""))</f>
        <v/>
      </c>
      <c r="I1797" s="58" t="str">
        <f>IF(COUNTA(A1797:E1797)=0,"",IF(N(A1797)&lt;=0,"Date manquante ou invalide",IF(B1797="","Équipe manquante",IF(ISNA(MATCH(B1797,eq_code,0)),"Équipe inconnue",IF(C1797="","Poste manquant",IF(ISNA(MATCH(C1797,po_code,0)),"Poste inconnu",IF(D1797="","Cause manquante",IF(ISNA(MATCH(D1797,ca_name,0)),"Cause inconnue",IF(H1797="","Cause à compléter dans Paramètres",IF(OR(NOT(ISNUMBER(E1797)),N(E1797)&lt;=0,N(E1797)&gt;1440),"Durée invalide",IF(COUNTIFS(sj_date,A1797,sj_eq,B1797,sj_po,C1797)=0,"Pas de saisie journalière ce jour-là","OK")))))))))))</f>
        <v/>
      </c>
      <c r="J1797">
        <f>IF(OR(I1797="OK",I1797="Pas de saisie journalière ce jour-là"),E1797,0)</f>
        <v>0.0</v>
      </c>
      <c r="K1797">
        <f>IF(AND(J1797&gt;0,A1797&gt;=p_from,A1797&lt;=p_to),1,0)</f>
        <v>0.0</v>
      </c>
      <c r="L1797">
        <f>IF(AND(K1797=1,OR(pa_po="",C1797=pa_po),OR(pa_eq="",B1797=pa_eq)),1,0)</f>
        <v>0.0</v>
      </c>
    </row>
    <row r="1798">
      <c r="A1798" s="51" t="n"/>
      <c r="B1798" s="52" t="n"/>
      <c r="C1798" s="52" t="n"/>
      <c r="D1798" s="53" t="n"/>
      <c r="E1798" s="60" t="n"/>
      <c r="F1798" s="53" t="n"/>
      <c r="G1798" s="61" t="str">
        <f>IF(OR(COUNTA(A1798:E1798)=0,D1798=""),"",IFERROR(INDEX(ca_fam,MATCH(D1798,ca_name,0))&amp;"",""))</f>
        <v/>
      </c>
      <c r="H1798" s="58" t="str">
        <f>IF(OR(COUNTA(A1798:E1798)=0,D1798=""),"",IFERROR(INDEX(ca_type,MATCH(D1798,ca_name,0))&amp;"",""))</f>
        <v/>
      </c>
      <c r="I1798" s="58" t="str">
        <f>IF(COUNTA(A1798:E1798)=0,"",IF(N(A1798)&lt;=0,"Date manquante ou invalide",IF(B1798="","Équipe manquante",IF(ISNA(MATCH(B1798,eq_code,0)),"Équipe inconnue",IF(C1798="","Poste manquant",IF(ISNA(MATCH(C1798,po_code,0)),"Poste inconnu",IF(D1798="","Cause manquante",IF(ISNA(MATCH(D1798,ca_name,0)),"Cause inconnue",IF(H1798="","Cause à compléter dans Paramètres",IF(OR(NOT(ISNUMBER(E1798)),N(E1798)&lt;=0,N(E1798)&gt;1440),"Durée invalide",IF(COUNTIFS(sj_date,A1798,sj_eq,B1798,sj_po,C1798)=0,"Pas de saisie journalière ce jour-là","OK")))))))))))</f>
        <v/>
      </c>
      <c r="J1798">
        <f>IF(OR(I1798="OK",I1798="Pas de saisie journalière ce jour-là"),E1798,0)</f>
        <v>0.0</v>
      </c>
      <c r="K1798">
        <f>IF(AND(J1798&gt;0,A1798&gt;=p_from,A1798&lt;=p_to),1,0)</f>
        <v>0.0</v>
      </c>
      <c r="L1798">
        <f>IF(AND(K1798=1,OR(pa_po="",C1798=pa_po),OR(pa_eq="",B1798=pa_eq)),1,0)</f>
        <v>0.0</v>
      </c>
    </row>
    <row r="1799">
      <c r="A1799" s="51" t="n"/>
      <c r="B1799" s="52" t="n"/>
      <c r="C1799" s="52" t="n"/>
      <c r="D1799" s="53" t="n"/>
      <c r="E1799" s="60" t="n"/>
      <c r="F1799" s="53" t="n"/>
      <c r="G1799" s="61" t="str">
        <f>IF(OR(COUNTA(A1799:E1799)=0,D1799=""),"",IFERROR(INDEX(ca_fam,MATCH(D1799,ca_name,0))&amp;"",""))</f>
        <v/>
      </c>
      <c r="H1799" s="58" t="str">
        <f>IF(OR(COUNTA(A1799:E1799)=0,D1799=""),"",IFERROR(INDEX(ca_type,MATCH(D1799,ca_name,0))&amp;"",""))</f>
        <v/>
      </c>
      <c r="I1799" s="58" t="str">
        <f>IF(COUNTA(A1799:E1799)=0,"",IF(N(A1799)&lt;=0,"Date manquante ou invalide",IF(B1799="","Équipe manquante",IF(ISNA(MATCH(B1799,eq_code,0)),"Équipe inconnue",IF(C1799="","Poste manquant",IF(ISNA(MATCH(C1799,po_code,0)),"Poste inconnu",IF(D1799="","Cause manquante",IF(ISNA(MATCH(D1799,ca_name,0)),"Cause inconnue",IF(H1799="","Cause à compléter dans Paramètres",IF(OR(NOT(ISNUMBER(E1799)),N(E1799)&lt;=0,N(E1799)&gt;1440),"Durée invalide",IF(COUNTIFS(sj_date,A1799,sj_eq,B1799,sj_po,C1799)=0,"Pas de saisie journalière ce jour-là","OK")))))))))))</f>
        <v/>
      </c>
      <c r="J1799">
        <f>IF(OR(I1799="OK",I1799="Pas de saisie journalière ce jour-là"),E1799,0)</f>
        <v>0.0</v>
      </c>
      <c r="K1799">
        <f>IF(AND(J1799&gt;0,A1799&gt;=p_from,A1799&lt;=p_to),1,0)</f>
        <v>0.0</v>
      </c>
      <c r="L1799">
        <f>IF(AND(K1799=1,OR(pa_po="",C1799=pa_po),OR(pa_eq="",B1799=pa_eq)),1,0)</f>
        <v>0.0</v>
      </c>
    </row>
    <row r="1800">
      <c r="A1800" s="51" t="n"/>
      <c r="B1800" s="52" t="n"/>
      <c r="C1800" s="52" t="n"/>
      <c r="D1800" s="53" t="n"/>
      <c r="E1800" s="60" t="n"/>
      <c r="F1800" s="53" t="n"/>
      <c r="G1800" s="61" t="str">
        <f>IF(OR(COUNTA(A1800:E1800)=0,D1800=""),"",IFERROR(INDEX(ca_fam,MATCH(D1800,ca_name,0))&amp;"",""))</f>
        <v/>
      </c>
      <c r="H1800" s="58" t="str">
        <f>IF(OR(COUNTA(A1800:E1800)=0,D1800=""),"",IFERROR(INDEX(ca_type,MATCH(D1800,ca_name,0))&amp;"",""))</f>
        <v/>
      </c>
      <c r="I1800" s="58" t="str">
        <f>IF(COUNTA(A1800:E1800)=0,"",IF(N(A1800)&lt;=0,"Date manquante ou invalide",IF(B1800="","Équipe manquante",IF(ISNA(MATCH(B1800,eq_code,0)),"Équipe inconnue",IF(C1800="","Poste manquant",IF(ISNA(MATCH(C1800,po_code,0)),"Poste inconnu",IF(D1800="","Cause manquante",IF(ISNA(MATCH(D1800,ca_name,0)),"Cause inconnue",IF(H1800="","Cause à compléter dans Paramètres",IF(OR(NOT(ISNUMBER(E1800)),N(E1800)&lt;=0,N(E1800)&gt;1440),"Durée invalide",IF(COUNTIFS(sj_date,A1800,sj_eq,B1800,sj_po,C1800)=0,"Pas de saisie journalière ce jour-là","OK")))))))))))</f>
        <v/>
      </c>
      <c r="J1800">
        <f>IF(OR(I1800="OK",I1800="Pas de saisie journalière ce jour-là"),E1800,0)</f>
        <v>0.0</v>
      </c>
      <c r="K1800">
        <f>IF(AND(J1800&gt;0,A1800&gt;=p_from,A1800&lt;=p_to),1,0)</f>
        <v>0.0</v>
      </c>
      <c r="L1800">
        <f>IF(AND(K1800=1,OR(pa_po="",C1800=pa_po),OR(pa_eq="",B1800=pa_eq)),1,0)</f>
        <v>0.0</v>
      </c>
    </row>
    <row r="1801">
      <c r="A1801" s="51" t="n"/>
      <c r="B1801" s="52" t="n"/>
      <c r="C1801" s="52" t="n"/>
      <c r="D1801" s="53" t="n"/>
      <c r="E1801" s="60" t="n"/>
      <c r="F1801" s="53" t="n"/>
      <c r="G1801" s="61" t="str">
        <f>IF(OR(COUNTA(A1801:E1801)=0,D1801=""),"",IFERROR(INDEX(ca_fam,MATCH(D1801,ca_name,0))&amp;"",""))</f>
        <v/>
      </c>
      <c r="H1801" s="58" t="str">
        <f>IF(OR(COUNTA(A1801:E1801)=0,D1801=""),"",IFERROR(INDEX(ca_type,MATCH(D1801,ca_name,0))&amp;"",""))</f>
        <v/>
      </c>
      <c r="I1801" s="58" t="str">
        <f>IF(COUNTA(A1801:E1801)=0,"",IF(N(A1801)&lt;=0,"Date manquante ou invalide",IF(B1801="","Équipe manquante",IF(ISNA(MATCH(B1801,eq_code,0)),"Équipe inconnue",IF(C1801="","Poste manquant",IF(ISNA(MATCH(C1801,po_code,0)),"Poste inconnu",IF(D1801="","Cause manquante",IF(ISNA(MATCH(D1801,ca_name,0)),"Cause inconnue",IF(H1801="","Cause à compléter dans Paramètres",IF(OR(NOT(ISNUMBER(E1801)),N(E1801)&lt;=0,N(E1801)&gt;1440),"Durée invalide",IF(COUNTIFS(sj_date,A1801,sj_eq,B1801,sj_po,C1801)=0,"Pas de saisie journalière ce jour-là","OK")))))))))))</f>
        <v/>
      </c>
      <c r="J1801">
        <f>IF(OR(I1801="OK",I1801="Pas de saisie journalière ce jour-là"),E1801,0)</f>
        <v>0.0</v>
      </c>
      <c r="K1801">
        <f>IF(AND(J1801&gt;0,A1801&gt;=p_from,A1801&lt;=p_to),1,0)</f>
        <v>0.0</v>
      </c>
      <c r="L1801">
        <f>IF(AND(K1801=1,OR(pa_po="",C1801=pa_po),OR(pa_eq="",B1801=pa_eq)),1,0)</f>
        <v>0.0</v>
      </c>
    </row>
    <row r="1802">
      <c r="A1802" s="51" t="n"/>
      <c r="B1802" s="52" t="n"/>
      <c r="C1802" s="52" t="n"/>
      <c r="D1802" s="53" t="n"/>
      <c r="E1802" s="60" t="n"/>
      <c r="F1802" s="53" t="n"/>
      <c r="G1802" s="61" t="str">
        <f>IF(OR(COUNTA(A1802:E1802)=0,D1802=""),"",IFERROR(INDEX(ca_fam,MATCH(D1802,ca_name,0))&amp;"",""))</f>
        <v/>
      </c>
      <c r="H1802" s="58" t="str">
        <f>IF(OR(COUNTA(A1802:E1802)=0,D1802=""),"",IFERROR(INDEX(ca_type,MATCH(D1802,ca_name,0))&amp;"",""))</f>
        <v/>
      </c>
      <c r="I1802" s="58" t="str">
        <f>IF(COUNTA(A1802:E1802)=0,"",IF(N(A1802)&lt;=0,"Date manquante ou invalide",IF(B1802="","Équipe manquante",IF(ISNA(MATCH(B1802,eq_code,0)),"Équipe inconnue",IF(C1802="","Poste manquant",IF(ISNA(MATCH(C1802,po_code,0)),"Poste inconnu",IF(D1802="","Cause manquante",IF(ISNA(MATCH(D1802,ca_name,0)),"Cause inconnue",IF(H1802="","Cause à compléter dans Paramètres",IF(OR(NOT(ISNUMBER(E1802)),N(E1802)&lt;=0,N(E1802)&gt;1440),"Durée invalide",IF(COUNTIFS(sj_date,A1802,sj_eq,B1802,sj_po,C1802)=0,"Pas de saisie journalière ce jour-là","OK")))))))))))</f>
        <v/>
      </c>
      <c r="J1802">
        <f>IF(OR(I1802="OK",I1802="Pas de saisie journalière ce jour-là"),E1802,0)</f>
        <v>0.0</v>
      </c>
      <c r="K1802">
        <f>IF(AND(J1802&gt;0,A1802&gt;=p_from,A1802&lt;=p_to),1,0)</f>
        <v>0.0</v>
      </c>
      <c r="L1802">
        <f>IF(AND(K1802=1,OR(pa_po="",C1802=pa_po),OR(pa_eq="",B1802=pa_eq)),1,0)</f>
        <v>0.0</v>
      </c>
    </row>
    <row r="1803">
      <c r="A1803" s="51" t="n"/>
      <c r="B1803" s="52" t="n"/>
      <c r="C1803" s="52" t="n"/>
      <c r="D1803" s="53" t="n"/>
      <c r="E1803" s="60" t="n"/>
      <c r="F1803" s="53" t="n"/>
      <c r="G1803" s="61" t="str">
        <f>IF(OR(COUNTA(A1803:E1803)=0,D1803=""),"",IFERROR(INDEX(ca_fam,MATCH(D1803,ca_name,0))&amp;"",""))</f>
        <v/>
      </c>
      <c r="H1803" s="58" t="str">
        <f>IF(OR(COUNTA(A1803:E1803)=0,D1803=""),"",IFERROR(INDEX(ca_type,MATCH(D1803,ca_name,0))&amp;"",""))</f>
        <v/>
      </c>
      <c r="I1803" s="58" t="str">
        <f>IF(COUNTA(A1803:E1803)=0,"",IF(N(A1803)&lt;=0,"Date manquante ou invalide",IF(B1803="","Équipe manquante",IF(ISNA(MATCH(B1803,eq_code,0)),"Équipe inconnue",IF(C1803="","Poste manquant",IF(ISNA(MATCH(C1803,po_code,0)),"Poste inconnu",IF(D1803="","Cause manquante",IF(ISNA(MATCH(D1803,ca_name,0)),"Cause inconnue",IF(H1803="","Cause à compléter dans Paramètres",IF(OR(NOT(ISNUMBER(E1803)),N(E1803)&lt;=0,N(E1803)&gt;1440),"Durée invalide",IF(COUNTIFS(sj_date,A1803,sj_eq,B1803,sj_po,C1803)=0,"Pas de saisie journalière ce jour-là","OK")))))))))))</f>
        <v/>
      </c>
      <c r="J1803">
        <f>IF(OR(I1803="OK",I1803="Pas de saisie journalière ce jour-là"),E1803,0)</f>
        <v>0.0</v>
      </c>
      <c r="K1803">
        <f>IF(AND(J1803&gt;0,A1803&gt;=p_from,A1803&lt;=p_to),1,0)</f>
        <v>0.0</v>
      </c>
      <c r="L1803">
        <f>IF(AND(K1803=1,OR(pa_po="",C1803=pa_po),OR(pa_eq="",B1803=pa_eq)),1,0)</f>
        <v>0.0</v>
      </c>
    </row>
    <row r="1804">
      <c r="A1804" s="51" t="n"/>
      <c r="B1804" s="52" t="n"/>
      <c r="C1804" s="52" t="n"/>
      <c r="D1804" s="53" t="n"/>
      <c r="E1804" s="60" t="n"/>
      <c r="F1804" s="53" t="n"/>
      <c r="G1804" s="61" t="str">
        <f>IF(OR(COUNTA(A1804:E1804)=0,D1804=""),"",IFERROR(INDEX(ca_fam,MATCH(D1804,ca_name,0))&amp;"",""))</f>
        <v/>
      </c>
      <c r="H1804" s="58" t="str">
        <f>IF(OR(COUNTA(A1804:E1804)=0,D1804=""),"",IFERROR(INDEX(ca_type,MATCH(D1804,ca_name,0))&amp;"",""))</f>
        <v/>
      </c>
      <c r="I1804" s="58" t="str">
        <f>IF(COUNTA(A1804:E1804)=0,"",IF(N(A1804)&lt;=0,"Date manquante ou invalide",IF(B1804="","Équipe manquante",IF(ISNA(MATCH(B1804,eq_code,0)),"Équipe inconnue",IF(C1804="","Poste manquant",IF(ISNA(MATCH(C1804,po_code,0)),"Poste inconnu",IF(D1804="","Cause manquante",IF(ISNA(MATCH(D1804,ca_name,0)),"Cause inconnue",IF(H1804="","Cause à compléter dans Paramètres",IF(OR(NOT(ISNUMBER(E1804)),N(E1804)&lt;=0,N(E1804)&gt;1440),"Durée invalide",IF(COUNTIFS(sj_date,A1804,sj_eq,B1804,sj_po,C1804)=0,"Pas de saisie journalière ce jour-là","OK")))))))))))</f>
        <v/>
      </c>
      <c r="J1804">
        <f>IF(OR(I1804="OK",I1804="Pas de saisie journalière ce jour-là"),E1804,0)</f>
        <v>0.0</v>
      </c>
      <c r="K1804">
        <f>IF(AND(J1804&gt;0,A1804&gt;=p_from,A1804&lt;=p_to),1,0)</f>
        <v>0.0</v>
      </c>
      <c r="L1804">
        <f>IF(AND(K1804=1,OR(pa_po="",C1804=pa_po),OR(pa_eq="",B1804=pa_eq)),1,0)</f>
        <v>0.0</v>
      </c>
    </row>
    <row r="1805">
      <c r="A1805" s="51" t="n"/>
      <c r="B1805" s="52" t="n"/>
      <c r="C1805" s="52" t="n"/>
      <c r="D1805" s="53" t="n"/>
      <c r="E1805" s="60" t="n"/>
      <c r="F1805" s="53" t="n"/>
      <c r="G1805" s="61" t="str">
        <f>IF(OR(COUNTA(A1805:E1805)=0,D1805=""),"",IFERROR(INDEX(ca_fam,MATCH(D1805,ca_name,0))&amp;"",""))</f>
        <v/>
      </c>
      <c r="H1805" s="58" t="str">
        <f>IF(OR(COUNTA(A1805:E1805)=0,D1805=""),"",IFERROR(INDEX(ca_type,MATCH(D1805,ca_name,0))&amp;"",""))</f>
        <v/>
      </c>
      <c r="I1805" s="58" t="str">
        <f>IF(COUNTA(A1805:E1805)=0,"",IF(N(A1805)&lt;=0,"Date manquante ou invalide",IF(B1805="","Équipe manquante",IF(ISNA(MATCH(B1805,eq_code,0)),"Équipe inconnue",IF(C1805="","Poste manquant",IF(ISNA(MATCH(C1805,po_code,0)),"Poste inconnu",IF(D1805="","Cause manquante",IF(ISNA(MATCH(D1805,ca_name,0)),"Cause inconnue",IF(H1805="","Cause à compléter dans Paramètres",IF(OR(NOT(ISNUMBER(E1805)),N(E1805)&lt;=0,N(E1805)&gt;1440),"Durée invalide",IF(COUNTIFS(sj_date,A1805,sj_eq,B1805,sj_po,C1805)=0,"Pas de saisie journalière ce jour-là","OK")))))))))))</f>
        <v/>
      </c>
      <c r="J1805">
        <f>IF(OR(I1805="OK",I1805="Pas de saisie journalière ce jour-là"),E1805,0)</f>
        <v>0.0</v>
      </c>
      <c r="K1805">
        <f>IF(AND(J1805&gt;0,A1805&gt;=p_from,A1805&lt;=p_to),1,0)</f>
        <v>0.0</v>
      </c>
      <c r="L1805">
        <f>IF(AND(K1805=1,OR(pa_po="",C1805=pa_po),OR(pa_eq="",B1805=pa_eq)),1,0)</f>
        <v>0.0</v>
      </c>
    </row>
    <row r="1806">
      <c r="A1806" s="51" t="n"/>
      <c r="B1806" s="52" t="n"/>
      <c r="C1806" s="52" t="n"/>
      <c r="D1806" s="53" t="n"/>
      <c r="E1806" s="60" t="n"/>
      <c r="F1806" s="53" t="n"/>
      <c r="G1806" s="61" t="str">
        <f>IF(OR(COUNTA(A1806:E1806)=0,D1806=""),"",IFERROR(INDEX(ca_fam,MATCH(D1806,ca_name,0))&amp;"",""))</f>
        <v/>
      </c>
      <c r="H1806" s="58" t="str">
        <f>IF(OR(COUNTA(A1806:E1806)=0,D1806=""),"",IFERROR(INDEX(ca_type,MATCH(D1806,ca_name,0))&amp;"",""))</f>
        <v/>
      </c>
      <c r="I1806" s="58" t="str">
        <f>IF(COUNTA(A1806:E1806)=0,"",IF(N(A1806)&lt;=0,"Date manquante ou invalide",IF(B1806="","Équipe manquante",IF(ISNA(MATCH(B1806,eq_code,0)),"Équipe inconnue",IF(C1806="","Poste manquant",IF(ISNA(MATCH(C1806,po_code,0)),"Poste inconnu",IF(D1806="","Cause manquante",IF(ISNA(MATCH(D1806,ca_name,0)),"Cause inconnue",IF(H1806="","Cause à compléter dans Paramètres",IF(OR(NOT(ISNUMBER(E1806)),N(E1806)&lt;=0,N(E1806)&gt;1440),"Durée invalide",IF(COUNTIFS(sj_date,A1806,sj_eq,B1806,sj_po,C1806)=0,"Pas de saisie journalière ce jour-là","OK")))))))))))</f>
        <v/>
      </c>
      <c r="J1806">
        <f>IF(OR(I1806="OK",I1806="Pas de saisie journalière ce jour-là"),E1806,0)</f>
        <v>0.0</v>
      </c>
      <c r="K1806">
        <f>IF(AND(J1806&gt;0,A1806&gt;=p_from,A1806&lt;=p_to),1,0)</f>
        <v>0.0</v>
      </c>
      <c r="L1806">
        <f>IF(AND(K1806=1,OR(pa_po="",C1806=pa_po),OR(pa_eq="",B1806=pa_eq)),1,0)</f>
        <v>0.0</v>
      </c>
    </row>
    <row r="1807">
      <c r="A1807" s="51" t="n"/>
      <c r="B1807" s="52" t="n"/>
      <c r="C1807" s="52" t="n"/>
      <c r="D1807" s="53" t="n"/>
      <c r="E1807" s="60" t="n"/>
      <c r="F1807" s="53" t="n"/>
      <c r="G1807" s="61" t="str">
        <f>IF(OR(COUNTA(A1807:E1807)=0,D1807=""),"",IFERROR(INDEX(ca_fam,MATCH(D1807,ca_name,0))&amp;"",""))</f>
        <v/>
      </c>
      <c r="H1807" s="58" t="str">
        <f>IF(OR(COUNTA(A1807:E1807)=0,D1807=""),"",IFERROR(INDEX(ca_type,MATCH(D1807,ca_name,0))&amp;"",""))</f>
        <v/>
      </c>
      <c r="I1807" s="58" t="str">
        <f>IF(COUNTA(A1807:E1807)=0,"",IF(N(A1807)&lt;=0,"Date manquante ou invalide",IF(B1807="","Équipe manquante",IF(ISNA(MATCH(B1807,eq_code,0)),"Équipe inconnue",IF(C1807="","Poste manquant",IF(ISNA(MATCH(C1807,po_code,0)),"Poste inconnu",IF(D1807="","Cause manquante",IF(ISNA(MATCH(D1807,ca_name,0)),"Cause inconnue",IF(H1807="","Cause à compléter dans Paramètres",IF(OR(NOT(ISNUMBER(E1807)),N(E1807)&lt;=0,N(E1807)&gt;1440),"Durée invalide",IF(COUNTIFS(sj_date,A1807,sj_eq,B1807,sj_po,C1807)=0,"Pas de saisie journalière ce jour-là","OK")))))))))))</f>
        <v/>
      </c>
      <c r="J1807">
        <f>IF(OR(I1807="OK",I1807="Pas de saisie journalière ce jour-là"),E1807,0)</f>
        <v>0.0</v>
      </c>
      <c r="K1807">
        <f>IF(AND(J1807&gt;0,A1807&gt;=p_from,A1807&lt;=p_to),1,0)</f>
        <v>0.0</v>
      </c>
      <c r="L1807">
        <f>IF(AND(K1807=1,OR(pa_po="",C1807=pa_po),OR(pa_eq="",B1807=pa_eq)),1,0)</f>
        <v>0.0</v>
      </c>
    </row>
    <row r="1808">
      <c r="A1808" s="51" t="n"/>
      <c r="B1808" s="52" t="n"/>
      <c r="C1808" s="52" t="n"/>
      <c r="D1808" s="53" t="n"/>
      <c r="E1808" s="60" t="n"/>
      <c r="F1808" s="53" t="n"/>
      <c r="G1808" s="61" t="str">
        <f>IF(OR(COUNTA(A1808:E1808)=0,D1808=""),"",IFERROR(INDEX(ca_fam,MATCH(D1808,ca_name,0))&amp;"",""))</f>
        <v/>
      </c>
      <c r="H1808" s="58" t="str">
        <f>IF(OR(COUNTA(A1808:E1808)=0,D1808=""),"",IFERROR(INDEX(ca_type,MATCH(D1808,ca_name,0))&amp;"",""))</f>
        <v/>
      </c>
      <c r="I1808" s="58" t="str">
        <f>IF(COUNTA(A1808:E1808)=0,"",IF(N(A1808)&lt;=0,"Date manquante ou invalide",IF(B1808="","Équipe manquante",IF(ISNA(MATCH(B1808,eq_code,0)),"Équipe inconnue",IF(C1808="","Poste manquant",IF(ISNA(MATCH(C1808,po_code,0)),"Poste inconnu",IF(D1808="","Cause manquante",IF(ISNA(MATCH(D1808,ca_name,0)),"Cause inconnue",IF(H1808="","Cause à compléter dans Paramètres",IF(OR(NOT(ISNUMBER(E1808)),N(E1808)&lt;=0,N(E1808)&gt;1440),"Durée invalide",IF(COUNTIFS(sj_date,A1808,sj_eq,B1808,sj_po,C1808)=0,"Pas de saisie journalière ce jour-là","OK")))))))))))</f>
        <v/>
      </c>
      <c r="J1808">
        <f>IF(OR(I1808="OK",I1808="Pas de saisie journalière ce jour-là"),E1808,0)</f>
        <v>0.0</v>
      </c>
      <c r="K1808">
        <f>IF(AND(J1808&gt;0,A1808&gt;=p_from,A1808&lt;=p_to),1,0)</f>
        <v>0.0</v>
      </c>
      <c r="L1808">
        <f>IF(AND(K1808=1,OR(pa_po="",C1808=pa_po),OR(pa_eq="",B1808=pa_eq)),1,0)</f>
        <v>0.0</v>
      </c>
    </row>
    <row r="1809">
      <c r="A1809" s="51" t="n"/>
      <c r="B1809" s="52" t="n"/>
      <c r="C1809" s="52" t="n"/>
      <c r="D1809" s="53" t="n"/>
      <c r="E1809" s="60" t="n"/>
      <c r="F1809" s="53" t="n"/>
      <c r="G1809" s="61" t="str">
        <f>IF(OR(COUNTA(A1809:E1809)=0,D1809=""),"",IFERROR(INDEX(ca_fam,MATCH(D1809,ca_name,0))&amp;"",""))</f>
        <v/>
      </c>
      <c r="H1809" s="58" t="str">
        <f>IF(OR(COUNTA(A1809:E1809)=0,D1809=""),"",IFERROR(INDEX(ca_type,MATCH(D1809,ca_name,0))&amp;"",""))</f>
        <v/>
      </c>
      <c r="I1809" s="58" t="str">
        <f>IF(COUNTA(A1809:E1809)=0,"",IF(N(A1809)&lt;=0,"Date manquante ou invalide",IF(B1809="","Équipe manquante",IF(ISNA(MATCH(B1809,eq_code,0)),"Équipe inconnue",IF(C1809="","Poste manquant",IF(ISNA(MATCH(C1809,po_code,0)),"Poste inconnu",IF(D1809="","Cause manquante",IF(ISNA(MATCH(D1809,ca_name,0)),"Cause inconnue",IF(H1809="","Cause à compléter dans Paramètres",IF(OR(NOT(ISNUMBER(E1809)),N(E1809)&lt;=0,N(E1809)&gt;1440),"Durée invalide",IF(COUNTIFS(sj_date,A1809,sj_eq,B1809,sj_po,C1809)=0,"Pas de saisie journalière ce jour-là","OK")))))))))))</f>
        <v/>
      </c>
      <c r="J1809">
        <f>IF(OR(I1809="OK",I1809="Pas de saisie journalière ce jour-là"),E1809,0)</f>
        <v>0.0</v>
      </c>
      <c r="K1809">
        <f>IF(AND(J1809&gt;0,A1809&gt;=p_from,A1809&lt;=p_to),1,0)</f>
        <v>0.0</v>
      </c>
      <c r="L1809">
        <f>IF(AND(K1809=1,OR(pa_po="",C1809=pa_po),OR(pa_eq="",B1809=pa_eq)),1,0)</f>
        <v>0.0</v>
      </c>
    </row>
    <row r="1810">
      <c r="A1810" s="51" t="n"/>
      <c r="B1810" s="52" t="n"/>
      <c r="C1810" s="52" t="n"/>
      <c r="D1810" s="53" t="n"/>
      <c r="E1810" s="60" t="n"/>
      <c r="F1810" s="53" t="n"/>
      <c r="G1810" s="61" t="str">
        <f>IF(OR(COUNTA(A1810:E1810)=0,D1810=""),"",IFERROR(INDEX(ca_fam,MATCH(D1810,ca_name,0))&amp;"",""))</f>
        <v/>
      </c>
      <c r="H1810" s="58" t="str">
        <f>IF(OR(COUNTA(A1810:E1810)=0,D1810=""),"",IFERROR(INDEX(ca_type,MATCH(D1810,ca_name,0))&amp;"",""))</f>
        <v/>
      </c>
      <c r="I1810" s="58" t="str">
        <f>IF(COUNTA(A1810:E1810)=0,"",IF(N(A1810)&lt;=0,"Date manquante ou invalide",IF(B1810="","Équipe manquante",IF(ISNA(MATCH(B1810,eq_code,0)),"Équipe inconnue",IF(C1810="","Poste manquant",IF(ISNA(MATCH(C1810,po_code,0)),"Poste inconnu",IF(D1810="","Cause manquante",IF(ISNA(MATCH(D1810,ca_name,0)),"Cause inconnue",IF(H1810="","Cause à compléter dans Paramètres",IF(OR(NOT(ISNUMBER(E1810)),N(E1810)&lt;=0,N(E1810)&gt;1440),"Durée invalide",IF(COUNTIFS(sj_date,A1810,sj_eq,B1810,sj_po,C1810)=0,"Pas de saisie journalière ce jour-là","OK")))))))))))</f>
        <v/>
      </c>
      <c r="J1810">
        <f>IF(OR(I1810="OK",I1810="Pas de saisie journalière ce jour-là"),E1810,0)</f>
        <v>0.0</v>
      </c>
      <c r="K1810">
        <f>IF(AND(J1810&gt;0,A1810&gt;=p_from,A1810&lt;=p_to),1,0)</f>
        <v>0.0</v>
      </c>
      <c r="L1810">
        <f>IF(AND(K1810=1,OR(pa_po="",C1810=pa_po),OR(pa_eq="",B1810=pa_eq)),1,0)</f>
        <v>0.0</v>
      </c>
    </row>
    <row r="1811">
      <c r="A1811" s="51" t="n"/>
      <c r="B1811" s="52" t="n"/>
      <c r="C1811" s="52" t="n"/>
      <c r="D1811" s="53" t="n"/>
      <c r="E1811" s="60" t="n"/>
      <c r="F1811" s="53" t="n"/>
      <c r="G1811" s="61" t="str">
        <f>IF(OR(COUNTA(A1811:E1811)=0,D1811=""),"",IFERROR(INDEX(ca_fam,MATCH(D1811,ca_name,0))&amp;"",""))</f>
        <v/>
      </c>
      <c r="H1811" s="58" t="str">
        <f>IF(OR(COUNTA(A1811:E1811)=0,D1811=""),"",IFERROR(INDEX(ca_type,MATCH(D1811,ca_name,0))&amp;"",""))</f>
        <v/>
      </c>
      <c r="I1811" s="58" t="str">
        <f>IF(COUNTA(A1811:E1811)=0,"",IF(N(A1811)&lt;=0,"Date manquante ou invalide",IF(B1811="","Équipe manquante",IF(ISNA(MATCH(B1811,eq_code,0)),"Équipe inconnue",IF(C1811="","Poste manquant",IF(ISNA(MATCH(C1811,po_code,0)),"Poste inconnu",IF(D1811="","Cause manquante",IF(ISNA(MATCH(D1811,ca_name,0)),"Cause inconnue",IF(H1811="","Cause à compléter dans Paramètres",IF(OR(NOT(ISNUMBER(E1811)),N(E1811)&lt;=0,N(E1811)&gt;1440),"Durée invalide",IF(COUNTIFS(sj_date,A1811,sj_eq,B1811,sj_po,C1811)=0,"Pas de saisie journalière ce jour-là","OK")))))))))))</f>
        <v/>
      </c>
      <c r="J1811">
        <f>IF(OR(I1811="OK",I1811="Pas de saisie journalière ce jour-là"),E1811,0)</f>
        <v>0.0</v>
      </c>
      <c r="K1811">
        <f>IF(AND(J1811&gt;0,A1811&gt;=p_from,A1811&lt;=p_to),1,0)</f>
        <v>0.0</v>
      </c>
      <c r="L1811">
        <f>IF(AND(K1811=1,OR(pa_po="",C1811=pa_po),OR(pa_eq="",B1811=pa_eq)),1,0)</f>
        <v>0.0</v>
      </c>
    </row>
    <row r="1812">
      <c r="A1812" s="51" t="n"/>
      <c r="B1812" s="52" t="n"/>
      <c r="C1812" s="52" t="n"/>
      <c r="D1812" s="53" t="n"/>
      <c r="E1812" s="60" t="n"/>
      <c r="F1812" s="53" t="n"/>
      <c r="G1812" s="61" t="str">
        <f>IF(OR(COUNTA(A1812:E1812)=0,D1812=""),"",IFERROR(INDEX(ca_fam,MATCH(D1812,ca_name,0))&amp;"",""))</f>
        <v/>
      </c>
      <c r="H1812" s="58" t="str">
        <f>IF(OR(COUNTA(A1812:E1812)=0,D1812=""),"",IFERROR(INDEX(ca_type,MATCH(D1812,ca_name,0))&amp;"",""))</f>
        <v/>
      </c>
      <c r="I1812" s="58" t="str">
        <f>IF(COUNTA(A1812:E1812)=0,"",IF(N(A1812)&lt;=0,"Date manquante ou invalide",IF(B1812="","Équipe manquante",IF(ISNA(MATCH(B1812,eq_code,0)),"Équipe inconnue",IF(C1812="","Poste manquant",IF(ISNA(MATCH(C1812,po_code,0)),"Poste inconnu",IF(D1812="","Cause manquante",IF(ISNA(MATCH(D1812,ca_name,0)),"Cause inconnue",IF(H1812="","Cause à compléter dans Paramètres",IF(OR(NOT(ISNUMBER(E1812)),N(E1812)&lt;=0,N(E1812)&gt;1440),"Durée invalide",IF(COUNTIFS(sj_date,A1812,sj_eq,B1812,sj_po,C1812)=0,"Pas de saisie journalière ce jour-là","OK")))))))))))</f>
        <v/>
      </c>
      <c r="J1812">
        <f>IF(OR(I1812="OK",I1812="Pas de saisie journalière ce jour-là"),E1812,0)</f>
        <v>0.0</v>
      </c>
      <c r="K1812">
        <f>IF(AND(J1812&gt;0,A1812&gt;=p_from,A1812&lt;=p_to),1,0)</f>
        <v>0.0</v>
      </c>
      <c r="L1812">
        <f>IF(AND(K1812=1,OR(pa_po="",C1812=pa_po),OR(pa_eq="",B1812=pa_eq)),1,0)</f>
        <v>0.0</v>
      </c>
    </row>
    <row r="1813">
      <c r="A1813" s="51" t="n"/>
      <c r="B1813" s="52" t="n"/>
      <c r="C1813" s="52" t="n"/>
      <c r="D1813" s="53" t="n"/>
      <c r="E1813" s="60" t="n"/>
      <c r="F1813" s="53" t="n"/>
      <c r="G1813" s="61" t="str">
        <f>IF(OR(COUNTA(A1813:E1813)=0,D1813=""),"",IFERROR(INDEX(ca_fam,MATCH(D1813,ca_name,0))&amp;"",""))</f>
        <v/>
      </c>
      <c r="H1813" s="58" t="str">
        <f>IF(OR(COUNTA(A1813:E1813)=0,D1813=""),"",IFERROR(INDEX(ca_type,MATCH(D1813,ca_name,0))&amp;"",""))</f>
        <v/>
      </c>
      <c r="I1813" s="58" t="str">
        <f>IF(COUNTA(A1813:E1813)=0,"",IF(N(A1813)&lt;=0,"Date manquante ou invalide",IF(B1813="","Équipe manquante",IF(ISNA(MATCH(B1813,eq_code,0)),"Équipe inconnue",IF(C1813="","Poste manquant",IF(ISNA(MATCH(C1813,po_code,0)),"Poste inconnu",IF(D1813="","Cause manquante",IF(ISNA(MATCH(D1813,ca_name,0)),"Cause inconnue",IF(H1813="","Cause à compléter dans Paramètres",IF(OR(NOT(ISNUMBER(E1813)),N(E1813)&lt;=0,N(E1813)&gt;1440),"Durée invalide",IF(COUNTIFS(sj_date,A1813,sj_eq,B1813,sj_po,C1813)=0,"Pas de saisie journalière ce jour-là","OK")))))))))))</f>
        <v/>
      </c>
      <c r="J1813">
        <f>IF(OR(I1813="OK",I1813="Pas de saisie journalière ce jour-là"),E1813,0)</f>
        <v>0.0</v>
      </c>
      <c r="K1813">
        <f>IF(AND(J1813&gt;0,A1813&gt;=p_from,A1813&lt;=p_to),1,0)</f>
        <v>0.0</v>
      </c>
      <c r="L1813">
        <f>IF(AND(K1813=1,OR(pa_po="",C1813=pa_po),OR(pa_eq="",B1813=pa_eq)),1,0)</f>
        <v>0.0</v>
      </c>
    </row>
    <row r="1814">
      <c r="A1814" s="51" t="n"/>
      <c r="B1814" s="52" t="n"/>
      <c r="C1814" s="52" t="n"/>
      <c r="D1814" s="53" t="n"/>
      <c r="E1814" s="60" t="n"/>
      <c r="F1814" s="53" t="n"/>
      <c r="G1814" s="61" t="str">
        <f>IF(OR(COUNTA(A1814:E1814)=0,D1814=""),"",IFERROR(INDEX(ca_fam,MATCH(D1814,ca_name,0))&amp;"",""))</f>
        <v/>
      </c>
      <c r="H1814" s="58" t="str">
        <f>IF(OR(COUNTA(A1814:E1814)=0,D1814=""),"",IFERROR(INDEX(ca_type,MATCH(D1814,ca_name,0))&amp;"",""))</f>
        <v/>
      </c>
      <c r="I1814" s="58" t="str">
        <f>IF(COUNTA(A1814:E1814)=0,"",IF(N(A1814)&lt;=0,"Date manquante ou invalide",IF(B1814="","Équipe manquante",IF(ISNA(MATCH(B1814,eq_code,0)),"Équipe inconnue",IF(C1814="","Poste manquant",IF(ISNA(MATCH(C1814,po_code,0)),"Poste inconnu",IF(D1814="","Cause manquante",IF(ISNA(MATCH(D1814,ca_name,0)),"Cause inconnue",IF(H1814="","Cause à compléter dans Paramètres",IF(OR(NOT(ISNUMBER(E1814)),N(E1814)&lt;=0,N(E1814)&gt;1440),"Durée invalide",IF(COUNTIFS(sj_date,A1814,sj_eq,B1814,sj_po,C1814)=0,"Pas de saisie journalière ce jour-là","OK")))))))))))</f>
        <v/>
      </c>
      <c r="J1814">
        <f>IF(OR(I1814="OK",I1814="Pas de saisie journalière ce jour-là"),E1814,0)</f>
        <v>0.0</v>
      </c>
      <c r="K1814">
        <f>IF(AND(J1814&gt;0,A1814&gt;=p_from,A1814&lt;=p_to),1,0)</f>
        <v>0.0</v>
      </c>
      <c r="L1814">
        <f>IF(AND(K1814=1,OR(pa_po="",C1814=pa_po),OR(pa_eq="",B1814=pa_eq)),1,0)</f>
        <v>0.0</v>
      </c>
    </row>
    <row r="1815">
      <c r="A1815" s="51" t="n"/>
      <c r="B1815" s="52" t="n"/>
      <c r="C1815" s="52" t="n"/>
      <c r="D1815" s="53" t="n"/>
      <c r="E1815" s="60" t="n"/>
      <c r="F1815" s="53" t="n"/>
      <c r="G1815" s="61" t="str">
        <f>IF(OR(COUNTA(A1815:E1815)=0,D1815=""),"",IFERROR(INDEX(ca_fam,MATCH(D1815,ca_name,0))&amp;"",""))</f>
        <v/>
      </c>
      <c r="H1815" s="58" t="str">
        <f>IF(OR(COUNTA(A1815:E1815)=0,D1815=""),"",IFERROR(INDEX(ca_type,MATCH(D1815,ca_name,0))&amp;"",""))</f>
        <v/>
      </c>
      <c r="I1815" s="58" t="str">
        <f>IF(COUNTA(A1815:E1815)=0,"",IF(N(A1815)&lt;=0,"Date manquante ou invalide",IF(B1815="","Équipe manquante",IF(ISNA(MATCH(B1815,eq_code,0)),"Équipe inconnue",IF(C1815="","Poste manquant",IF(ISNA(MATCH(C1815,po_code,0)),"Poste inconnu",IF(D1815="","Cause manquante",IF(ISNA(MATCH(D1815,ca_name,0)),"Cause inconnue",IF(H1815="","Cause à compléter dans Paramètres",IF(OR(NOT(ISNUMBER(E1815)),N(E1815)&lt;=0,N(E1815)&gt;1440),"Durée invalide",IF(COUNTIFS(sj_date,A1815,sj_eq,B1815,sj_po,C1815)=0,"Pas de saisie journalière ce jour-là","OK")))))))))))</f>
        <v/>
      </c>
      <c r="J1815">
        <f>IF(OR(I1815="OK",I1815="Pas de saisie journalière ce jour-là"),E1815,0)</f>
        <v>0.0</v>
      </c>
      <c r="K1815">
        <f>IF(AND(J1815&gt;0,A1815&gt;=p_from,A1815&lt;=p_to),1,0)</f>
        <v>0.0</v>
      </c>
      <c r="L1815">
        <f>IF(AND(K1815=1,OR(pa_po="",C1815=pa_po),OR(pa_eq="",B1815=pa_eq)),1,0)</f>
        <v>0.0</v>
      </c>
    </row>
    <row r="1816">
      <c r="A1816" s="51" t="n"/>
      <c r="B1816" s="52" t="n"/>
      <c r="C1816" s="52" t="n"/>
      <c r="D1816" s="53" t="n"/>
      <c r="E1816" s="60" t="n"/>
      <c r="F1816" s="53" t="n"/>
      <c r="G1816" s="61" t="str">
        <f>IF(OR(COUNTA(A1816:E1816)=0,D1816=""),"",IFERROR(INDEX(ca_fam,MATCH(D1816,ca_name,0))&amp;"",""))</f>
        <v/>
      </c>
      <c r="H1816" s="58" t="str">
        <f>IF(OR(COUNTA(A1816:E1816)=0,D1816=""),"",IFERROR(INDEX(ca_type,MATCH(D1816,ca_name,0))&amp;"",""))</f>
        <v/>
      </c>
      <c r="I1816" s="58" t="str">
        <f>IF(COUNTA(A1816:E1816)=0,"",IF(N(A1816)&lt;=0,"Date manquante ou invalide",IF(B1816="","Équipe manquante",IF(ISNA(MATCH(B1816,eq_code,0)),"Équipe inconnue",IF(C1816="","Poste manquant",IF(ISNA(MATCH(C1816,po_code,0)),"Poste inconnu",IF(D1816="","Cause manquante",IF(ISNA(MATCH(D1816,ca_name,0)),"Cause inconnue",IF(H1816="","Cause à compléter dans Paramètres",IF(OR(NOT(ISNUMBER(E1816)),N(E1816)&lt;=0,N(E1816)&gt;1440),"Durée invalide",IF(COUNTIFS(sj_date,A1816,sj_eq,B1816,sj_po,C1816)=0,"Pas de saisie journalière ce jour-là","OK")))))))))))</f>
        <v/>
      </c>
      <c r="J1816">
        <f>IF(OR(I1816="OK",I1816="Pas de saisie journalière ce jour-là"),E1816,0)</f>
        <v>0.0</v>
      </c>
      <c r="K1816">
        <f>IF(AND(J1816&gt;0,A1816&gt;=p_from,A1816&lt;=p_to),1,0)</f>
        <v>0.0</v>
      </c>
      <c r="L1816">
        <f>IF(AND(K1816=1,OR(pa_po="",C1816=pa_po),OR(pa_eq="",B1816=pa_eq)),1,0)</f>
        <v>0.0</v>
      </c>
    </row>
    <row r="1817">
      <c r="A1817" s="51" t="n"/>
      <c r="B1817" s="52" t="n"/>
      <c r="C1817" s="52" t="n"/>
      <c r="D1817" s="53" t="n"/>
      <c r="E1817" s="60" t="n"/>
      <c r="F1817" s="53" t="n"/>
      <c r="G1817" s="61" t="str">
        <f>IF(OR(COUNTA(A1817:E1817)=0,D1817=""),"",IFERROR(INDEX(ca_fam,MATCH(D1817,ca_name,0))&amp;"",""))</f>
        <v/>
      </c>
      <c r="H1817" s="58" t="str">
        <f>IF(OR(COUNTA(A1817:E1817)=0,D1817=""),"",IFERROR(INDEX(ca_type,MATCH(D1817,ca_name,0))&amp;"",""))</f>
        <v/>
      </c>
      <c r="I1817" s="58" t="str">
        <f>IF(COUNTA(A1817:E1817)=0,"",IF(N(A1817)&lt;=0,"Date manquante ou invalide",IF(B1817="","Équipe manquante",IF(ISNA(MATCH(B1817,eq_code,0)),"Équipe inconnue",IF(C1817="","Poste manquant",IF(ISNA(MATCH(C1817,po_code,0)),"Poste inconnu",IF(D1817="","Cause manquante",IF(ISNA(MATCH(D1817,ca_name,0)),"Cause inconnue",IF(H1817="","Cause à compléter dans Paramètres",IF(OR(NOT(ISNUMBER(E1817)),N(E1817)&lt;=0,N(E1817)&gt;1440),"Durée invalide",IF(COUNTIFS(sj_date,A1817,sj_eq,B1817,sj_po,C1817)=0,"Pas de saisie journalière ce jour-là","OK")))))))))))</f>
        <v/>
      </c>
      <c r="J1817">
        <f>IF(OR(I1817="OK",I1817="Pas de saisie journalière ce jour-là"),E1817,0)</f>
        <v>0.0</v>
      </c>
      <c r="K1817">
        <f>IF(AND(J1817&gt;0,A1817&gt;=p_from,A1817&lt;=p_to),1,0)</f>
        <v>0.0</v>
      </c>
      <c r="L1817">
        <f>IF(AND(K1817=1,OR(pa_po="",C1817=pa_po),OR(pa_eq="",B1817=pa_eq)),1,0)</f>
        <v>0.0</v>
      </c>
    </row>
    <row r="1818">
      <c r="A1818" s="51" t="n"/>
      <c r="B1818" s="52" t="n"/>
      <c r="C1818" s="52" t="n"/>
      <c r="D1818" s="53" t="n"/>
      <c r="E1818" s="60" t="n"/>
      <c r="F1818" s="53" t="n"/>
      <c r="G1818" s="61" t="str">
        <f>IF(OR(COUNTA(A1818:E1818)=0,D1818=""),"",IFERROR(INDEX(ca_fam,MATCH(D1818,ca_name,0))&amp;"",""))</f>
        <v/>
      </c>
      <c r="H1818" s="58" t="str">
        <f>IF(OR(COUNTA(A1818:E1818)=0,D1818=""),"",IFERROR(INDEX(ca_type,MATCH(D1818,ca_name,0))&amp;"",""))</f>
        <v/>
      </c>
      <c r="I1818" s="58" t="str">
        <f>IF(COUNTA(A1818:E1818)=0,"",IF(N(A1818)&lt;=0,"Date manquante ou invalide",IF(B1818="","Équipe manquante",IF(ISNA(MATCH(B1818,eq_code,0)),"Équipe inconnue",IF(C1818="","Poste manquant",IF(ISNA(MATCH(C1818,po_code,0)),"Poste inconnu",IF(D1818="","Cause manquante",IF(ISNA(MATCH(D1818,ca_name,0)),"Cause inconnue",IF(H1818="","Cause à compléter dans Paramètres",IF(OR(NOT(ISNUMBER(E1818)),N(E1818)&lt;=0,N(E1818)&gt;1440),"Durée invalide",IF(COUNTIFS(sj_date,A1818,sj_eq,B1818,sj_po,C1818)=0,"Pas de saisie journalière ce jour-là","OK")))))))))))</f>
        <v/>
      </c>
      <c r="J1818">
        <f>IF(OR(I1818="OK",I1818="Pas de saisie journalière ce jour-là"),E1818,0)</f>
        <v>0.0</v>
      </c>
      <c r="K1818">
        <f>IF(AND(J1818&gt;0,A1818&gt;=p_from,A1818&lt;=p_to),1,0)</f>
        <v>0.0</v>
      </c>
      <c r="L1818">
        <f>IF(AND(K1818=1,OR(pa_po="",C1818=pa_po),OR(pa_eq="",B1818=pa_eq)),1,0)</f>
        <v>0.0</v>
      </c>
    </row>
    <row r="1819">
      <c r="A1819" s="51" t="n"/>
      <c r="B1819" s="52" t="n"/>
      <c r="C1819" s="52" t="n"/>
      <c r="D1819" s="53" t="n"/>
      <c r="E1819" s="60" t="n"/>
      <c r="F1819" s="53" t="n"/>
      <c r="G1819" s="61" t="str">
        <f>IF(OR(COUNTA(A1819:E1819)=0,D1819=""),"",IFERROR(INDEX(ca_fam,MATCH(D1819,ca_name,0))&amp;"",""))</f>
        <v/>
      </c>
      <c r="H1819" s="58" t="str">
        <f>IF(OR(COUNTA(A1819:E1819)=0,D1819=""),"",IFERROR(INDEX(ca_type,MATCH(D1819,ca_name,0))&amp;"",""))</f>
        <v/>
      </c>
      <c r="I1819" s="58" t="str">
        <f>IF(COUNTA(A1819:E1819)=0,"",IF(N(A1819)&lt;=0,"Date manquante ou invalide",IF(B1819="","Équipe manquante",IF(ISNA(MATCH(B1819,eq_code,0)),"Équipe inconnue",IF(C1819="","Poste manquant",IF(ISNA(MATCH(C1819,po_code,0)),"Poste inconnu",IF(D1819="","Cause manquante",IF(ISNA(MATCH(D1819,ca_name,0)),"Cause inconnue",IF(H1819="","Cause à compléter dans Paramètres",IF(OR(NOT(ISNUMBER(E1819)),N(E1819)&lt;=0,N(E1819)&gt;1440),"Durée invalide",IF(COUNTIFS(sj_date,A1819,sj_eq,B1819,sj_po,C1819)=0,"Pas de saisie journalière ce jour-là","OK")))))))))))</f>
        <v/>
      </c>
      <c r="J1819">
        <f>IF(OR(I1819="OK",I1819="Pas de saisie journalière ce jour-là"),E1819,0)</f>
        <v>0.0</v>
      </c>
      <c r="K1819">
        <f>IF(AND(J1819&gt;0,A1819&gt;=p_from,A1819&lt;=p_to),1,0)</f>
        <v>0.0</v>
      </c>
      <c r="L1819">
        <f>IF(AND(K1819=1,OR(pa_po="",C1819=pa_po),OR(pa_eq="",B1819=pa_eq)),1,0)</f>
        <v>0.0</v>
      </c>
    </row>
    <row r="1820">
      <c r="A1820" s="51" t="n"/>
      <c r="B1820" s="52" t="n"/>
      <c r="C1820" s="52" t="n"/>
      <c r="D1820" s="53" t="n"/>
      <c r="E1820" s="60" t="n"/>
      <c r="F1820" s="53" t="n"/>
      <c r="G1820" s="61" t="str">
        <f>IF(OR(COUNTA(A1820:E1820)=0,D1820=""),"",IFERROR(INDEX(ca_fam,MATCH(D1820,ca_name,0))&amp;"",""))</f>
        <v/>
      </c>
      <c r="H1820" s="58" t="str">
        <f>IF(OR(COUNTA(A1820:E1820)=0,D1820=""),"",IFERROR(INDEX(ca_type,MATCH(D1820,ca_name,0))&amp;"",""))</f>
        <v/>
      </c>
      <c r="I1820" s="58" t="str">
        <f>IF(COUNTA(A1820:E1820)=0,"",IF(N(A1820)&lt;=0,"Date manquante ou invalide",IF(B1820="","Équipe manquante",IF(ISNA(MATCH(B1820,eq_code,0)),"Équipe inconnue",IF(C1820="","Poste manquant",IF(ISNA(MATCH(C1820,po_code,0)),"Poste inconnu",IF(D1820="","Cause manquante",IF(ISNA(MATCH(D1820,ca_name,0)),"Cause inconnue",IF(H1820="","Cause à compléter dans Paramètres",IF(OR(NOT(ISNUMBER(E1820)),N(E1820)&lt;=0,N(E1820)&gt;1440),"Durée invalide",IF(COUNTIFS(sj_date,A1820,sj_eq,B1820,sj_po,C1820)=0,"Pas de saisie journalière ce jour-là","OK")))))))))))</f>
        <v/>
      </c>
      <c r="J1820">
        <f>IF(OR(I1820="OK",I1820="Pas de saisie journalière ce jour-là"),E1820,0)</f>
        <v>0.0</v>
      </c>
      <c r="K1820">
        <f>IF(AND(J1820&gt;0,A1820&gt;=p_from,A1820&lt;=p_to),1,0)</f>
        <v>0.0</v>
      </c>
      <c r="L1820">
        <f>IF(AND(K1820=1,OR(pa_po="",C1820=pa_po),OR(pa_eq="",B1820=pa_eq)),1,0)</f>
        <v>0.0</v>
      </c>
    </row>
    <row r="1821">
      <c r="A1821" s="51" t="n"/>
      <c r="B1821" s="52" t="n"/>
      <c r="C1821" s="52" t="n"/>
      <c r="D1821" s="53" t="n"/>
      <c r="E1821" s="60" t="n"/>
      <c r="F1821" s="53" t="n"/>
      <c r="G1821" s="61" t="str">
        <f>IF(OR(COUNTA(A1821:E1821)=0,D1821=""),"",IFERROR(INDEX(ca_fam,MATCH(D1821,ca_name,0))&amp;"",""))</f>
        <v/>
      </c>
      <c r="H1821" s="58" t="str">
        <f>IF(OR(COUNTA(A1821:E1821)=0,D1821=""),"",IFERROR(INDEX(ca_type,MATCH(D1821,ca_name,0))&amp;"",""))</f>
        <v/>
      </c>
      <c r="I1821" s="58" t="str">
        <f>IF(COUNTA(A1821:E1821)=0,"",IF(N(A1821)&lt;=0,"Date manquante ou invalide",IF(B1821="","Équipe manquante",IF(ISNA(MATCH(B1821,eq_code,0)),"Équipe inconnue",IF(C1821="","Poste manquant",IF(ISNA(MATCH(C1821,po_code,0)),"Poste inconnu",IF(D1821="","Cause manquante",IF(ISNA(MATCH(D1821,ca_name,0)),"Cause inconnue",IF(H1821="","Cause à compléter dans Paramètres",IF(OR(NOT(ISNUMBER(E1821)),N(E1821)&lt;=0,N(E1821)&gt;1440),"Durée invalide",IF(COUNTIFS(sj_date,A1821,sj_eq,B1821,sj_po,C1821)=0,"Pas de saisie journalière ce jour-là","OK")))))))))))</f>
        <v/>
      </c>
      <c r="J1821">
        <f>IF(OR(I1821="OK",I1821="Pas de saisie journalière ce jour-là"),E1821,0)</f>
        <v>0.0</v>
      </c>
      <c r="K1821">
        <f>IF(AND(J1821&gt;0,A1821&gt;=p_from,A1821&lt;=p_to),1,0)</f>
        <v>0.0</v>
      </c>
      <c r="L1821">
        <f>IF(AND(K1821=1,OR(pa_po="",C1821=pa_po),OR(pa_eq="",B1821=pa_eq)),1,0)</f>
        <v>0.0</v>
      </c>
    </row>
    <row r="1822">
      <c r="A1822" s="51" t="n"/>
      <c r="B1822" s="52" t="n"/>
      <c r="C1822" s="52" t="n"/>
      <c r="D1822" s="53" t="n"/>
      <c r="E1822" s="60" t="n"/>
      <c r="F1822" s="53" t="n"/>
      <c r="G1822" s="61" t="str">
        <f>IF(OR(COUNTA(A1822:E1822)=0,D1822=""),"",IFERROR(INDEX(ca_fam,MATCH(D1822,ca_name,0))&amp;"",""))</f>
        <v/>
      </c>
      <c r="H1822" s="58" t="str">
        <f>IF(OR(COUNTA(A1822:E1822)=0,D1822=""),"",IFERROR(INDEX(ca_type,MATCH(D1822,ca_name,0))&amp;"",""))</f>
        <v/>
      </c>
      <c r="I1822" s="58" t="str">
        <f>IF(COUNTA(A1822:E1822)=0,"",IF(N(A1822)&lt;=0,"Date manquante ou invalide",IF(B1822="","Équipe manquante",IF(ISNA(MATCH(B1822,eq_code,0)),"Équipe inconnue",IF(C1822="","Poste manquant",IF(ISNA(MATCH(C1822,po_code,0)),"Poste inconnu",IF(D1822="","Cause manquante",IF(ISNA(MATCH(D1822,ca_name,0)),"Cause inconnue",IF(H1822="","Cause à compléter dans Paramètres",IF(OR(NOT(ISNUMBER(E1822)),N(E1822)&lt;=0,N(E1822)&gt;1440),"Durée invalide",IF(COUNTIFS(sj_date,A1822,sj_eq,B1822,sj_po,C1822)=0,"Pas de saisie journalière ce jour-là","OK")))))))))))</f>
        <v/>
      </c>
      <c r="J1822">
        <f>IF(OR(I1822="OK",I1822="Pas de saisie journalière ce jour-là"),E1822,0)</f>
        <v>0.0</v>
      </c>
      <c r="K1822">
        <f>IF(AND(J1822&gt;0,A1822&gt;=p_from,A1822&lt;=p_to),1,0)</f>
        <v>0.0</v>
      </c>
      <c r="L1822">
        <f>IF(AND(K1822=1,OR(pa_po="",C1822=pa_po),OR(pa_eq="",B1822=pa_eq)),1,0)</f>
        <v>0.0</v>
      </c>
    </row>
    <row r="1823">
      <c r="A1823" s="51" t="n"/>
      <c r="B1823" s="52" t="n"/>
      <c r="C1823" s="52" t="n"/>
      <c r="D1823" s="53" t="n"/>
      <c r="E1823" s="60" t="n"/>
      <c r="F1823" s="53" t="n"/>
      <c r="G1823" s="61" t="str">
        <f>IF(OR(COUNTA(A1823:E1823)=0,D1823=""),"",IFERROR(INDEX(ca_fam,MATCH(D1823,ca_name,0))&amp;"",""))</f>
        <v/>
      </c>
      <c r="H1823" s="58" t="str">
        <f>IF(OR(COUNTA(A1823:E1823)=0,D1823=""),"",IFERROR(INDEX(ca_type,MATCH(D1823,ca_name,0))&amp;"",""))</f>
        <v/>
      </c>
      <c r="I1823" s="58" t="str">
        <f>IF(COUNTA(A1823:E1823)=0,"",IF(N(A1823)&lt;=0,"Date manquante ou invalide",IF(B1823="","Équipe manquante",IF(ISNA(MATCH(B1823,eq_code,0)),"Équipe inconnue",IF(C1823="","Poste manquant",IF(ISNA(MATCH(C1823,po_code,0)),"Poste inconnu",IF(D1823="","Cause manquante",IF(ISNA(MATCH(D1823,ca_name,0)),"Cause inconnue",IF(H1823="","Cause à compléter dans Paramètres",IF(OR(NOT(ISNUMBER(E1823)),N(E1823)&lt;=0,N(E1823)&gt;1440),"Durée invalide",IF(COUNTIFS(sj_date,A1823,sj_eq,B1823,sj_po,C1823)=0,"Pas de saisie journalière ce jour-là","OK")))))))))))</f>
        <v/>
      </c>
      <c r="J1823">
        <f>IF(OR(I1823="OK",I1823="Pas de saisie journalière ce jour-là"),E1823,0)</f>
        <v>0.0</v>
      </c>
      <c r="K1823">
        <f>IF(AND(J1823&gt;0,A1823&gt;=p_from,A1823&lt;=p_to),1,0)</f>
        <v>0.0</v>
      </c>
      <c r="L1823">
        <f>IF(AND(K1823=1,OR(pa_po="",C1823=pa_po),OR(pa_eq="",B1823=pa_eq)),1,0)</f>
        <v>0.0</v>
      </c>
    </row>
    <row r="1824">
      <c r="A1824" s="51" t="n"/>
      <c r="B1824" s="52" t="n"/>
      <c r="C1824" s="52" t="n"/>
      <c r="D1824" s="53" t="n"/>
      <c r="E1824" s="60" t="n"/>
      <c r="F1824" s="53" t="n"/>
      <c r="G1824" s="61" t="str">
        <f>IF(OR(COUNTA(A1824:E1824)=0,D1824=""),"",IFERROR(INDEX(ca_fam,MATCH(D1824,ca_name,0))&amp;"",""))</f>
        <v/>
      </c>
      <c r="H1824" s="58" t="str">
        <f>IF(OR(COUNTA(A1824:E1824)=0,D1824=""),"",IFERROR(INDEX(ca_type,MATCH(D1824,ca_name,0))&amp;"",""))</f>
        <v/>
      </c>
      <c r="I1824" s="58" t="str">
        <f>IF(COUNTA(A1824:E1824)=0,"",IF(N(A1824)&lt;=0,"Date manquante ou invalide",IF(B1824="","Équipe manquante",IF(ISNA(MATCH(B1824,eq_code,0)),"Équipe inconnue",IF(C1824="","Poste manquant",IF(ISNA(MATCH(C1824,po_code,0)),"Poste inconnu",IF(D1824="","Cause manquante",IF(ISNA(MATCH(D1824,ca_name,0)),"Cause inconnue",IF(H1824="","Cause à compléter dans Paramètres",IF(OR(NOT(ISNUMBER(E1824)),N(E1824)&lt;=0,N(E1824)&gt;1440),"Durée invalide",IF(COUNTIFS(sj_date,A1824,sj_eq,B1824,sj_po,C1824)=0,"Pas de saisie journalière ce jour-là","OK")))))))))))</f>
        <v/>
      </c>
      <c r="J1824">
        <f>IF(OR(I1824="OK",I1824="Pas de saisie journalière ce jour-là"),E1824,0)</f>
        <v>0.0</v>
      </c>
      <c r="K1824">
        <f>IF(AND(J1824&gt;0,A1824&gt;=p_from,A1824&lt;=p_to),1,0)</f>
        <v>0.0</v>
      </c>
      <c r="L1824">
        <f>IF(AND(K1824=1,OR(pa_po="",C1824=pa_po),OR(pa_eq="",B1824=pa_eq)),1,0)</f>
        <v>0.0</v>
      </c>
    </row>
    <row r="1825">
      <c r="A1825" s="51" t="n"/>
      <c r="B1825" s="52" t="n"/>
      <c r="C1825" s="52" t="n"/>
      <c r="D1825" s="53" t="n"/>
      <c r="E1825" s="60" t="n"/>
      <c r="F1825" s="53" t="n"/>
      <c r="G1825" s="61" t="str">
        <f>IF(OR(COUNTA(A1825:E1825)=0,D1825=""),"",IFERROR(INDEX(ca_fam,MATCH(D1825,ca_name,0))&amp;"",""))</f>
        <v/>
      </c>
      <c r="H1825" s="58" t="str">
        <f>IF(OR(COUNTA(A1825:E1825)=0,D1825=""),"",IFERROR(INDEX(ca_type,MATCH(D1825,ca_name,0))&amp;"",""))</f>
        <v/>
      </c>
      <c r="I1825" s="58" t="str">
        <f>IF(COUNTA(A1825:E1825)=0,"",IF(N(A1825)&lt;=0,"Date manquante ou invalide",IF(B1825="","Équipe manquante",IF(ISNA(MATCH(B1825,eq_code,0)),"Équipe inconnue",IF(C1825="","Poste manquant",IF(ISNA(MATCH(C1825,po_code,0)),"Poste inconnu",IF(D1825="","Cause manquante",IF(ISNA(MATCH(D1825,ca_name,0)),"Cause inconnue",IF(H1825="","Cause à compléter dans Paramètres",IF(OR(NOT(ISNUMBER(E1825)),N(E1825)&lt;=0,N(E1825)&gt;1440),"Durée invalide",IF(COUNTIFS(sj_date,A1825,sj_eq,B1825,sj_po,C1825)=0,"Pas de saisie journalière ce jour-là","OK")))))))))))</f>
        <v/>
      </c>
      <c r="J1825">
        <f>IF(OR(I1825="OK",I1825="Pas de saisie journalière ce jour-là"),E1825,0)</f>
        <v>0.0</v>
      </c>
      <c r="K1825">
        <f>IF(AND(J1825&gt;0,A1825&gt;=p_from,A1825&lt;=p_to),1,0)</f>
        <v>0.0</v>
      </c>
      <c r="L1825">
        <f>IF(AND(K1825=1,OR(pa_po="",C1825=pa_po),OR(pa_eq="",B1825=pa_eq)),1,0)</f>
        <v>0.0</v>
      </c>
    </row>
    <row r="1826">
      <c r="A1826" s="51" t="n"/>
      <c r="B1826" s="52" t="n"/>
      <c r="C1826" s="52" t="n"/>
      <c r="D1826" s="53" t="n"/>
      <c r="E1826" s="60" t="n"/>
      <c r="F1826" s="53" t="n"/>
      <c r="G1826" s="61" t="str">
        <f>IF(OR(COUNTA(A1826:E1826)=0,D1826=""),"",IFERROR(INDEX(ca_fam,MATCH(D1826,ca_name,0))&amp;"",""))</f>
        <v/>
      </c>
      <c r="H1826" s="58" t="str">
        <f>IF(OR(COUNTA(A1826:E1826)=0,D1826=""),"",IFERROR(INDEX(ca_type,MATCH(D1826,ca_name,0))&amp;"",""))</f>
        <v/>
      </c>
      <c r="I1826" s="58" t="str">
        <f>IF(COUNTA(A1826:E1826)=0,"",IF(N(A1826)&lt;=0,"Date manquante ou invalide",IF(B1826="","Équipe manquante",IF(ISNA(MATCH(B1826,eq_code,0)),"Équipe inconnue",IF(C1826="","Poste manquant",IF(ISNA(MATCH(C1826,po_code,0)),"Poste inconnu",IF(D1826="","Cause manquante",IF(ISNA(MATCH(D1826,ca_name,0)),"Cause inconnue",IF(H1826="","Cause à compléter dans Paramètres",IF(OR(NOT(ISNUMBER(E1826)),N(E1826)&lt;=0,N(E1826)&gt;1440),"Durée invalide",IF(COUNTIFS(sj_date,A1826,sj_eq,B1826,sj_po,C1826)=0,"Pas de saisie journalière ce jour-là","OK")))))))))))</f>
        <v/>
      </c>
      <c r="J1826">
        <f>IF(OR(I1826="OK",I1826="Pas de saisie journalière ce jour-là"),E1826,0)</f>
        <v>0.0</v>
      </c>
      <c r="K1826">
        <f>IF(AND(J1826&gt;0,A1826&gt;=p_from,A1826&lt;=p_to),1,0)</f>
        <v>0.0</v>
      </c>
      <c r="L1826">
        <f>IF(AND(K1826=1,OR(pa_po="",C1826=pa_po),OR(pa_eq="",B1826=pa_eq)),1,0)</f>
        <v>0.0</v>
      </c>
    </row>
    <row r="1827">
      <c r="A1827" s="51" t="n"/>
      <c r="B1827" s="52" t="n"/>
      <c r="C1827" s="52" t="n"/>
      <c r="D1827" s="53" t="n"/>
      <c r="E1827" s="60" t="n"/>
      <c r="F1827" s="53" t="n"/>
      <c r="G1827" s="61" t="str">
        <f>IF(OR(COUNTA(A1827:E1827)=0,D1827=""),"",IFERROR(INDEX(ca_fam,MATCH(D1827,ca_name,0))&amp;"",""))</f>
        <v/>
      </c>
      <c r="H1827" s="58" t="str">
        <f>IF(OR(COUNTA(A1827:E1827)=0,D1827=""),"",IFERROR(INDEX(ca_type,MATCH(D1827,ca_name,0))&amp;"",""))</f>
        <v/>
      </c>
      <c r="I1827" s="58" t="str">
        <f>IF(COUNTA(A1827:E1827)=0,"",IF(N(A1827)&lt;=0,"Date manquante ou invalide",IF(B1827="","Équipe manquante",IF(ISNA(MATCH(B1827,eq_code,0)),"Équipe inconnue",IF(C1827="","Poste manquant",IF(ISNA(MATCH(C1827,po_code,0)),"Poste inconnu",IF(D1827="","Cause manquante",IF(ISNA(MATCH(D1827,ca_name,0)),"Cause inconnue",IF(H1827="","Cause à compléter dans Paramètres",IF(OR(NOT(ISNUMBER(E1827)),N(E1827)&lt;=0,N(E1827)&gt;1440),"Durée invalide",IF(COUNTIFS(sj_date,A1827,sj_eq,B1827,sj_po,C1827)=0,"Pas de saisie journalière ce jour-là","OK")))))))))))</f>
        <v/>
      </c>
      <c r="J1827">
        <f>IF(OR(I1827="OK",I1827="Pas de saisie journalière ce jour-là"),E1827,0)</f>
        <v>0.0</v>
      </c>
      <c r="K1827">
        <f>IF(AND(J1827&gt;0,A1827&gt;=p_from,A1827&lt;=p_to),1,0)</f>
        <v>0.0</v>
      </c>
      <c r="L1827">
        <f>IF(AND(K1827=1,OR(pa_po="",C1827=pa_po),OR(pa_eq="",B1827=pa_eq)),1,0)</f>
        <v>0.0</v>
      </c>
    </row>
    <row r="1828">
      <c r="A1828" s="51" t="n"/>
      <c r="B1828" s="52" t="n"/>
      <c r="C1828" s="52" t="n"/>
      <c r="D1828" s="53" t="n"/>
      <c r="E1828" s="60" t="n"/>
      <c r="F1828" s="53" t="n"/>
      <c r="G1828" s="61" t="str">
        <f>IF(OR(COUNTA(A1828:E1828)=0,D1828=""),"",IFERROR(INDEX(ca_fam,MATCH(D1828,ca_name,0))&amp;"",""))</f>
        <v/>
      </c>
      <c r="H1828" s="58" t="str">
        <f>IF(OR(COUNTA(A1828:E1828)=0,D1828=""),"",IFERROR(INDEX(ca_type,MATCH(D1828,ca_name,0))&amp;"",""))</f>
        <v/>
      </c>
      <c r="I1828" s="58" t="str">
        <f>IF(COUNTA(A1828:E1828)=0,"",IF(N(A1828)&lt;=0,"Date manquante ou invalide",IF(B1828="","Équipe manquante",IF(ISNA(MATCH(B1828,eq_code,0)),"Équipe inconnue",IF(C1828="","Poste manquant",IF(ISNA(MATCH(C1828,po_code,0)),"Poste inconnu",IF(D1828="","Cause manquante",IF(ISNA(MATCH(D1828,ca_name,0)),"Cause inconnue",IF(H1828="","Cause à compléter dans Paramètres",IF(OR(NOT(ISNUMBER(E1828)),N(E1828)&lt;=0,N(E1828)&gt;1440),"Durée invalide",IF(COUNTIFS(sj_date,A1828,sj_eq,B1828,sj_po,C1828)=0,"Pas de saisie journalière ce jour-là","OK")))))))))))</f>
        <v/>
      </c>
      <c r="J1828">
        <f>IF(OR(I1828="OK",I1828="Pas de saisie journalière ce jour-là"),E1828,0)</f>
        <v>0.0</v>
      </c>
      <c r="K1828">
        <f>IF(AND(J1828&gt;0,A1828&gt;=p_from,A1828&lt;=p_to),1,0)</f>
        <v>0.0</v>
      </c>
      <c r="L1828">
        <f>IF(AND(K1828=1,OR(pa_po="",C1828=pa_po),OR(pa_eq="",B1828=pa_eq)),1,0)</f>
        <v>0.0</v>
      </c>
    </row>
    <row r="1829">
      <c r="A1829" s="51" t="n"/>
      <c r="B1829" s="52" t="n"/>
      <c r="C1829" s="52" t="n"/>
      <c r="D1829" s="53" t="n"/>
      <c r="E1829" s="60" t="n"/>
      <c r="F1829" s="53" t="n"/>
      <c r="G1829" s="61" t="str">
        <f>IF(OR(COUNTA(A1829:E1829)=0,D1829=""),"",IFERROR(INDEX(ca_fam,MATCH(D1829,ca_name,0))&amp;"",""))</f>
        <v/>
      </c>
      <c r="H1829" s="58" t="str">
        <f>IF(OR(COUNTA(A1829:E1829)=0,D1829=""),"",IFERROR(INDEX(ca_type,MATCH(D1829,ca_name,0))&amp;"",""))</f>
        <v/>
      </c>
      <c r="I1829" s="58" t="str">
        <f>IF(COUNTA(A1829:E1829)=0,"",IF(N(A1829)&lt;=0,"Date manquante ou invalide",IF(B1829="","Équipe manquante",IF(ISNA(MATCH(B1829,eq_code,0)),"Équipe inconnue",IF(C1829="","Poste manquant",IF(ISNA(MATCH(C1829,po_code,0)),"Poste inconnu",IF(D1829="","Cause manquante",IF(ISNA(MATCH(D1829,ca_name,0)),"Cause inconnue",IF(H1829="","Cause à compléter dans Paramètres",IF(OR(NOT(ISNUMBER(E1829)),N(E1829)&lt;=0,N(E1829)&gt;1440),"Durée invalide",IF(COUNTIFS(sj_date,A1829,sj_eq,B1829,sj_po,C1829)=0,"Pas de saisie journalière ce jour-là","OK")))))))))))</f>
        <v/>
      </c>
      <c r="J1829">
        <f>IF(OR(I1829="OK",I1829="Pas de saisie journalière ce jour-là"),E1829,0)</f>
        <v>0.0</v>
      </c>
      <c r="K1829">
        <f>IF(AND(J1829&gt;0,A1829&gt;=p_from,A1829&lt;=p_to),1,0)</f>
        <v>0.0</v>
      </c>
      <c r="L1829">
        <f>IF(AND(K1829=1,OR(pa_po="",C1829=pa_po),OR(pa_eq="",B1829=pa_eq)),1,0)</f>
        <v>0.0</v>
      </c>
    </row>
    <row r="1830">
      <c r="A1830" s="51" t="n"/>
      <c r="B1830" s="52" t="n"/>
      <c r="C1830" s="52" t="n"/>
      <c r="D1830" s="53" t="n"/>
      <c r="E1830" s="60" t="n"/>
      <c r="F1830" s="53" t="n"/>
      <c r="G1830" s="61" t="str">
        <f>IF(OR(COUNTA(A1830:E1830)=0,D1830=""),"",IFERROR(INDEX(ca_fam,MATCH(D1830,ca_name,0))&amp;"",""))</f>
        <v/>
      </c>
      <c r="H1830" s="58" t="str">
        <f>IF(OR(COUNTA(A1830:E1830)=0,D1830=""),"",IFERROR(INDEX(ca_type,MATCH(D1830,ca_name,0))&amp;"",""))</f>
        <v/>
      </c>
      <c r="I1830" s="58" t="str">
        <f>IF(COUNTA(A1830:E1830)=0,"",IF(N(A1830)&lt;=0,"Date manquante ou invalide",IF(B1830="","Équipe manquante",IF(ISNA(MATCH(B1830,eq_code,0)),"Équipe inconnue",IF(C1830="","Poste manquant",IF(ISNA(MATCH(C1830,po_code,0)),"Poste inconnu",IF(D1830="","Cause manquante",IF(ISNA(MATCH(D1830,ca_name,0)),"Cause inconnue",IF(H1830="","Cause à compléter dans Paramètres",IF(OR(NOT(ISNUMBER(E1830)),N(E1830)&lt;=0,N(E1830)&gt;1440),"Durée invalide",IF(COUNTIFS(sj_date,A1830,sj_eq,B1830,sj_po,C1830)=0,"Pas de saisie journalière ce jour-là","OK")))))))))))</f>
        <v/>
      </c>
      <c r="J1830">
        <f>IF(OR(I1830="OK",I1830="Pas de saisie journalière ce jour-là"),E1830,0)</f>
        <v>0.0</v>
      </c>
      <c r="K1830">
        <f>IF(AND(J1830&gt;0,A1830&gt;=p_from,A1830&lt;=p_to),1,0)</f>
        <v>0.0</v>
      </c>
      <c r="L1830">
        <f>IF(AND(K1830=1,OR(pa_po="",C1830=pa_po),OR(pa_eq="",B1830=pa_eq)),1,0)</f>
        <v>0.0</v>
      </c>
    </row>
    <row r="1831">
      <c r="A1831" s="51" t="n"/>
      <c r="B1831" s="52" t="n"/>
      <c r="C1831" s="52" t="n"/>
      <c r="D1831" s="53" t="n"/>
      <c r="E1831" s="60" t="n"/>
      <c r="F1831" s="53" t="n"/>
      <c r="G1831" s="61" t="str">
        <f>IF(OR(COUNTA(A1831:E1831)=0,D1831=""),"",IFERROR(INDEX(ca_fam,MATCH(D1831,ca_name,0))&amp;"",""))</f>
        <v/>
      </c>
      <c r="H1831" s="58" t="str">
        <f>IF(OR(COUNTA(A1831:E1831)=0,D1831=""),"",IFERROR(INDEX(ca_type,MATCH(D1831,ca_name,0))&amp;"",""))</f>
        <v/>
      </c>
      <c r="I1831" s="58" t="str">
        <f>IF(COUNTA(A1831:E1831)=0,"",IF(N(A1831)&lt;=0,"Date manquante ou invalide",IF(B1831="","Équipe manquante",IF(ISNA(MATCH(B1831,eq_code,0)),"Équipe inconnue",IF(C1831="","Poste manquant",IF(ISNA(MATCH(C1831,po_code,0)),"Poste inconnu",IF(D1831="","Cause manquante",IF(ISNA(MATCH(D1831,ca_name,0)),"Cause inconnue",IF(H1831="","Cause à compléter dans Paramètres",IF(OR(NOT(ISNUMBER(E1831)),N(E1831)&lt;=0,N(E1831)&gt;1440),"Durée invalide",IF(COUNTIFS(sj_date,A1831,sj_eq,B1831,sj_po,C1831)=0,"Pas de saisie journalière ce jour-là","OK")))))))))))</f>
        <v/>
      </c>
      <c r="J1831">
        <f>IF(OR(I1831="OK",I1831="Pas de saisie journalière ce jour-là"),E1831,0)</f>
        <v>0.0</v>
      </c>
      <c r="K1831">
        <f>IF(AND(J1831&gt;0,A1831&gt;=p_from,A1831&lt;=p_to),1,0)</f>
        <v>0.0</v>
      </c>
      <c r="L1831">
        <f>IF(AND(K1831=1,OR(pa_po="",C1831=pa_po),OR(pa_eq="",B1831=pa_eq)),1,0)</f>
        <v>0.0</v>
      </c>
    </row>
    <row r="1832">
      <c r="A1832" s="51" t="n"/>
      <c r="B1832" s="52" t="n"/>
      <c r="C1832" s="52" t="n"/>
      <c r="D1832" s="53" t="n"/>
      <c r="E1832" s="60" t="n"/>
      <c r="F1832" s="53" t="n"/>
      <c r="G1832" s="61" t="str">
        <f>IF(OR(COUNTA(A1832:E1832)=0,D1832=""),"",IFERROR(INDEX(ca_fam,MATCH(D1832,ca_name,0))&amp;"",""))</f>
        <v/>
      </c>
      <c r="H1832" s="58" t="str">
        <f>IF(OR(COUNTA(A1832:E1832)=0,D1832=""),"",IFERROR(INDEX(ca_type,MATCH(D1832,ca_name,0))&amp;"",""))</f>
        <v/>
      </c>
      <c r="I1832" s="58" t="str">
        <f>IF(COUNTA(A1832:E1832)=0,"",IF(N(A1832)&lt;=0,"Date manquante ou invalide",IF(B1832="","Équipe manquante",IF(ISNA(MATCH(B1832,eq_code,0)),"Équipe inconnue",IF(C1832="","Poste manquant",IF(ISNA(MATCH(C1832,po_code,0)),"Poste inconnu",IF(D1832="","Cause manquante",IF(ISNA(MATCH(D1832,ca_name,0)),"Cause inconnue",IF(H1832="","Cause à compléter dans Paramètres",IF(OR(NOT(ISNUMBER(E1832)),N(E1832)&lt;=0,N(E1832)&gt;1440),"Durée invalide",IF(COUNTIFS(sj_date,A1832,sj_eq,B1832,sj_po,C1832)=0,"Pas de saisie journalière ce jour-là","OK")))))))))))</f>
        <v/>
      </c>
      <c r="J1832">
        <f>IF(OR(I1832="OK",I1832="Pas de saisie journalière ce jour-là"),E1832,0)</f>
        <v>0.0</v>
      </c>
      <c r="K1832">
        <f>IF(AND(J1832&gt;0,A1832&gt;=p_from,A1832&lt;=p_to),1,0)</f>
        <v>0.0</v>
      </c>
      <c r="L1832">
        <f>IF(AND(K1832=1,OR(pa_po="",C1832=pa_po),OR(pa_eq="",B1832=pa_eq)),1,0)</f>
        <v>0.0</v>
      </c>
    </row>
    <row r="1833">
      <c r="A1833" s="51" t="n"/>
      <c r="B1833" s="52" t="n"/>
      <c r="C1833" s="52" t="n"/>
      <c r="D1833" s="53" t="n"/>
      <c r="E1833" s="60" t="n"/>
      <c r="F1833" s="53" t="n"/>
      <c r="G1833" s="61" t="str">
        <f>IF(OR(COUNTA(A1833:E1833)=0,D1833=""),"",IFERROR(INDEX(ca_fam,MATCH(D1833,ca_name,0))&amp;"",""))</f>
        <v/>
      </c>
      <c r="H1833" s="58" t="str">
        <f>IF(OR(COUNTA(A1833:E1833)=0,D1833=""),"",IFERROR(INDEX(ca_type,MATCH(D1833,ca_name,0))&amp;"",""))</f>
        <v/>
      </c>
      <c r="I1833" s="58" t="str">
        <f>IF(COUNTA(A1833:E1833)=0,"",IF(N(A1833)&lt;=0,"Date manquante ou invalide",IF(B1833="","Équipe manquante",IF(ISNA(MATCH(B1833,eq_code,0)),"Équipe inconnue",IF(C1833="","Poste manquant",IF(ISNA(MATCH(C1833,po_code,0)),"Poste inconnu",IF(D1833="","Cause manquante",IF(ISNA(MATCH(D1833,ca_name,0)),"Cause inconnue",IF(H1833="","Cause à compléter dans Paramètres",IF(OR(NOT(ISNUMBER(E1833)),N(E1833)&lt;=0,N(E1833)&gt;1440),"Durée invalide",IF(COUNTIFS(sj_date,A1833,sj_eq,B1833,sj_po,C1833)=0,"Pas de saisie journalière ce jour-là","OK")))))))))))</f>
        <v/>
      </c>
      <c r="J1833">
        <f>IF(OR(I1833="OK",I1833="Pas de saisie journalière ce jour-là"),E1833,0)</f>
        <v>0.0</v>
      </c>
      <c r="K1833">
        <f>IF(AND(J1833&gt;0,A1833&gt;=p_from,A1833&lt;=p_to),1,0)</f>
        <v>0.0</v>
      </c>
      <c r="L1833">
        <f>IF(AND(K1833=1,OR(pa_po="",C1833=pa_po),OR(pa_eq="",B1833=pa_eq)),1,0)</f>
        <v>0.0</v>
      </c>
    </row>
    <row r="1834">
      <c r="A1834" s="51" t="n"/>
      <c r="B1834" s="52" t="n"/>
      <c r="C1834" s="52" t="n"/>
      <c r="D1834" s="53" t="n"/>
      <c r="E1834" s="60" t="n"/>
      <c r="F1834" s="53" t="n"/>
      <c r="G1834" s="61" t="str">
        <f>IF(OR(COUNTA(A1834:E1834)=0,D1834=""),"",IFERROR(INDEX(ca_fam,MATCH(D1834,ca_name,0))&amp;"",""))</f>
        <v/>
      </c>
      <c r="H1834" s="58" t="str">
        <f>IF(OR(COUNTA(A1834:E1834)=0,D1834=""),"",IFERROR(INDEX(ca_type,MATCH(D1834,ca_name,0))&amp;"",""))</f>
        <v/>
      </c>
      <c r="I1834" s="58" t="str">
        <f>IF(COUNTA(A1834:E1834)=0,"",IF(N(A1834)&lt;=0,"Date manquante ou invalide",IF(B1834="","Équipe manquante",IF(ISNA(MATCH(B1834,eq_code,0)),"Équipe inconnue",IF(C1834="","Poste manquant",IF(ISNA(MATCH(C1834,po_code,0)),"Poste inconnu",IF(D1834="","Cause manquante",IF(ISNA(MATCH(D1834,ca_name,0)),"Cause inconnue",IF(H1834="","Cause à compléter dans Paramètres",IF(OR(NOT(ISNUMBER(E1834)),N(E1834)&lt;=0,N(E1834)&gt;1440),"Durée invalide",IF(COUNTIFS(sj_date,A1834,sj_eq,B1834,sj_po,C1834)=0,"Pas de saisie journalière ce jour-là","OK")))))))))))</f>
        <v/>
      </c>
      <c r="J1834">
        <f>IF(OR(I1834="OK",I1834="Pas de saisie journalière ce jour-là"),E1834,0)</f>
        <v>0.0</v>
      </c>
      <c r="K1834">
        <f>IF(AND(J1834&gt;0,A1834&gt;=p_from,A1834&lt;=p_to),1,0)</f>
        <v>0.0</v>
      </c>
      <c r="L1834">
        <f>IF(AND(K1834=1,OR(pa_po="",C1834=pa_po),OR(pa_eq="",B1834=pa_eq)),1,0)</f>
        <v>0.0</v>
      </c>
    </row>
    <row r="1835">
      <c r="A1835" s="51" t="n"/>
      <c r="B1835" s="52" t="n"/>
      <c r="C1835" s="52" t="n"/>
      <c r="D1835" s="53" t="n"/>
      <c r="E1835" s="60" t="n"/>
      <c r="F1835" s="53" t="n"/>
      <c r="G1835" s="61" t="str">
        <f>IF(OR(COUNTA(A1835:E1835)=0,D1835=""),"",IFERROR(INDEX(ca_fam,MATCH(D1835,ca_name,0))&amp;"",""))</f>
        <v/>
      </c>
      <c r="H1835" s="58" t="str">
        <f>IF(OR(COUNTA(A1835:E1835)=0,D1835=""),"",IFERROR(INDEX(ca_type,MATCH(D1835,ca_name,0))&amp;"",""))</f>
        <v/>
      </c>
      <c r="I1835" s="58" t="str">
        <f>IF(COUNTA(A1835:E1835)=0,"",IF(N(A1835)&lt;=0,"Date manquante ou invalide",IF(B1835="","Équipe manquante",IF(ISNA(MATCH(B1835,eq_code,0)),"Équipe inconnue",IF(C1835="","Poste manquant",IF(ISNA(MATCH(C1835,po_code,0)),"Poste inconnu",IF(D1835="","Cause manquante",IF(ISNA(MATCH(D1835,ca_name,0)),"Cause inconnue",IF(H1835="","Cause à compléter dans Paramètres",IF(OR(NOT(ISNUMBER(E1835)),N(E1835)&lt;=0,N(E1835)&gt;1440),"Durée invalide",IF(COUNTIFS(sj_date,A1835,sj_eq,B1835,sj_po,C1835)=0,"Pas de saisie journalière ce jour-là","OK")))))))))))</f>
        <v/>
      </c>
      <c r="J1835">
        <f>IF(OR(I1835="OK",I1835="Pas de saisie journalière ce jour-là"),E1835,0)</f>
        <v>0.0</v>
      </c>
      <c r="K1835">
        <f>IF(AND(J1835&gt;0,A1835&gt;=p_from,A1835&lt;=p_to),1,0)</f>
        <v>0.0</v>
      </c>
      <c r="L1835">
        <f>IF(AND(K1835=1,OR(pa_po="",C1835=pa_po),OR(pa_eq="",B1835=pa_eq)),1,0)</f>
        <v>0.0</v>
      </c>
    </row>
    <row r="1836">
      <c r="A1836" s="51" t="n"/>
      <c r="B1836" s="52" t="n"/>
      <c r="C1836" s="52" t="n"/>
      <c r="D1836" s="53" t="n"/>
      <c r="E1836" s="60" t="n"/>
      <c r="F1836" s="53" t="n"/>
      <c r="G1836" s="61" t="str">
        <f>IF(OR(COUNTA(A1836:E1836)=0,D1836=""),"",IFERROR(INDEX(ca_fam,MATCH(D1836,ca_name,0))&amp;"",""))</f>
        <v/>
      </c>
      <c r="H1836" s="58" t="str">
        <f>IF(OR(COUNTA(A1836:E1836)=0,D1836=""),"",IFERROR(INDEX(ca_type,MATCH(D1836,ca_name,0))&amp;"",""))</f>
        <v/>
      </c>
      <c r="I1836" s="58" t="str">
        <f>IF(COUNTA(A1836:E1836)=0,"",IF(N(A1836)&lt;=0,"Date manquante ou invalide",IF(B1836="","Équipe manquante",IF(ISNA(MATCH(B1836,eq_code,0)),"Équipe inconnue",IF(C1836="","Poste manquant",IF(ISNA(MATCH(C1836,po_code,0)),"Poste inconnu",IF(D1836="","Cause manquante",IF(ISNA(MATCH(D1836,ca_name,0)),"Cause inconnue",IF(H1836="","Cause à compléter dans Paramètres",IF(OR(NOT(ISNUMBER(E1836)),N(E1836)&lt;=0,N(E1836)&gt;1440),"Durée invalide",IF(COUNTIFS(sj_date,A1836,sj_eq,B1836,sj_po,C1836)=0,"Pas de saisie journalière ce jour-là","OK")))))))))))</f>
        <v/>
      </c>
      <c r="J1836">
        <f>IF(OR(I1836="OK",I1836="Pas de saisie journalière ce jour-là"),E1836,0)</f>
        <v>0.0</v>
      </c>
      <c r="K1836">
        <f>IF(AND(J1836&gt;0,A1836&gt;=p_from,A1836&lt;=p_to),1,0)</f>
        <v>0.0</v>
      </c>
      <c r="L1836">
        <f>IF(AND(K1836=1,OR(pa_po="",C1836=pa_po),OR(pa_eq="",B1836=pa_eq)),1,0)</f>
        <v>0.0</v>
      </c>
    </row>
    <row r="1837">
      <c r="A1837" s="51" t="n"/>
      <c r="B1837" s="52" t="n"/>
      <c r="C1837" s="52" t="n"/>
      <c r="D1837" s="53" t="n"/>
      <c r="E1837" s="60" t="n"/>
      <c r="F1837" s="53" t="n"/>
      <c r="G1837" s="61" t="str">
        <f>IF(OR(COUNTA(A1837:E1837)=0,D1837=""),"",IFERROR(INDEX(ca_fam,MATCH(D1837,ca_name,0))&amp;"",""))</f>
        <v/>
      </c>
      <c r="H1837" s="58" t="str">
        <f>IF(OR(COUNTA(A1837:E1837)=0,D1837=""),"",IFERROR(INDEX(ca_type,MATCH(D1837,ca_name,0))&amp;"",""))</f>
        <v/>
      </c>
      <c r="I1837" s="58" t="str">
        <f>IF(COUNTA(A1837:E1837)=0,"",IF(N(A1837)&lt;=0,"Date manquante ou invalide",IF(B1837="","Équipe manquante",IF(ISNA(MATCH(B1837,eq_code,0)),"Équipe inconnue",IF(C1837="","Poste manquant",IF(ISNA(MATCH(C1837,po_code,0)),"Poste inconnu",IF(D1837="","Cause manquante",IF(ISNA(MATCH(D1837,ca_name,0)),"Cause inconnue",IF(H1837="","Cause à compléter dans Paramètres",IF(OR(NOT(ISNUMBER(E1837)),N(E1837)&lt;=0,N(E1837)&gt;1440),"Durée invalide",IF(COUNTIFS(sj_date,A1837,sj_eq,B1837,sj_po,C1837)=0,"Pas de saisie journalière ce jour-là","OK")))))))))))</f>
        <v/>
      </c>
      <c r="J1837">
        <f>IF(OR(I1837="OK",I1837="Pas de saisie journalière ce jour-là"),E1837,0)</f>
        <v>0.0</v>
      </c>
      <c r="K1837">
        <f>IF(AND(J1837&gt;0,A1837&gt;=p_from,A1837&lt;=p_to),1,0)</f>
        <v>0.0</v>
      </c>
      <c r="L1837">
        <f>IF(AND(K1837=1,OR(pa_po="",C1837=pa_po),OR(pa_eq="",B1837=pa_eq)),1,0)</f>
        <v>0.0</v>
      </c>
    </row>
    <row r="1838">
      <c r="A1838" s="51" t="n"/>
      <c r="B1838" s="52" t="n"/>
      <c r="C1838" s="52" t="n"/>
      <c r="D1838" s="53" t="n"/>
      <c r="E1838" s="60" t="n"/>
      <c r="F1838" s="53" t="n"/>
      <c r="G1838" s="61" t="str">
        <f>IF(OR(COUNTA(A1838:E1838)=0,D1838=""),"",IFERROR(INDEX(ca_fam,MATCH(D1838,ca_name,0))&amp;"",""))</f>
        <v/>
      </c>
      <c r="H1838" s="58" t="str">
        <f>IF(OR(COUNTA(A1838:E1838)=0,D1838=""),"",IFERROR(INDEX(ca_type,MATCH(D1838,ca_name,0))&amp;"",""))</f>
        <v/>
      </c>
      <c r="I1838" s="58" t="str">
        <f>IF(COUNTA(A1838:E1838)=0,"",IF(N(A1838)&lt;=0,"Date manquante ou invalide",IF(B1838="","Équipe manquante",IF(ISNA(MATCH(B1838,eq_code,0)),"Équipe inconnue",IF(C1838="","Poste manquant",IF(ISNA(MATCH(C1838,po_code,0)),"Poste inconnu",IF(D1838="","Cause manquante",IF(ISNA(MATCH(D1838,ca_name,0)),"Cause inconnue",IF(H1838="","Cause à compléter dans Paramètres",IF(OR(NOT(ISNUMBER(E1838)),N(E1838)&lt;=0,N(E1838)&gt;1440),"Durée invalide",IF(COUNTIFS(sj_date,A1838,sj_eq,B1838,sj_po,C1838)=0,"Pas de saisie journalière ce jour-là","OK")))))))))))</f>
        <v/>
      </c>
      <c r="J1838">
        <f>IF(OR(I1838="OK",I1838="Pas de saisie journalière ce jour-là"),E1838,0)</f>
        <v>0.0</v>
      </c>
      <c r="K1838">
        <f>IF(AND(J1838&gt;0,A1838&gt;=p_from,A1838&lt;=p_to),1,0)</f>
        <v>0.0</v>
      </c>
      <c r="L1838">
        <f>IF(AND(K1838=1,OR(pa_po="",C1838=pa_po),OR(pa_eq="",B1838=pa_eq)),1,0)</f>
        <v>0.0</v>
      </c>
    </row>
    <row r="1839">
      <c r="A1839" s="51" t="n"/>
      <c r="B1839" s="52" t="n"/>
      <c r="C1839" s="52" t="n"/>
      <c r="D1839" s="53" t="n"/>
      <c r="E1839" s="60" t="n"/>
      <c r="F1839" s="53" t="n"/>
      <c r="G1839" s="61" t="str">
        <f>IF(OR(COUNTA(A1839:E1839)=0,D1839=""),"",IFERROR(INDEX(ca_fam,MATCH(D1839,ca_name,0))&amp;"",""))</f>
        <v/>
      </c>
      <c r="H1839" s="58" t="str">
        <f>IF(OR(COUNTA(A1839:E1839)=0,D1839=""),"",IFERROR(INDEX(ca_type,MATCH(D1839,ca_name,0))&amp;"",""))</f>
        <v/>
      </c>
      <c r="I1839" s="58" t="str">
        <f>IF(COUNTA(A1839:E1839)=0,"",IF(N(A1839)&lt;=0,"Date manquante ou invalide",IF(B1839="","Équipe manquante",IF(ISNA(MATCH(B1839,eq_code,0)),"Équipe inconnue",IF(C1839="","Poste manquant",IF(ISNA(MATCH(C1839,po_code,0)),"Poste inconnu",IF(D1839="","Cause manquante",IF(ISNA(MATCH(D1839,ca_name,0)),"Cause inconnue",IF(H1839="","Cause à compléter dans Paramètres",IF(OR(NOT(ISNUMBER(E1839)),N(E1839)&lt;=0,N(E1839)&gt;1440),"Durée invalide",IF(COUNTIFS(sj_date,A1839,sj_eq,B1839,sj_po,C1839)=0,"Pas de saisie journalière ce jour-là","OK")))))))))))</f>
        <v/>
      </c>
      <c r="J1839">
        <f>IF(OR(I1839="OK",I1839="Pas de saisie journalière ce jour-là"),E1839,0)</f>
        <v>0.0</v>
      </c>
      <c r="K1839">
        <f>IF(AND(J1839&gt;0,A1839&gt;=p_from,A1839&lt;=p_to),1,0)</f>
        <v>0.0</v>
      </c>
      <c r="L1839">
        <f>IF(AND(K1839=1,OR(pa_po="",C1839=pa_po),OR(pa_eq="",B1839=pa_eq)),1,0)</f>
        <v>0.0</v>
      </c>
    </row>
    <row r="1840">
      <c r="A1840" s="51" t="n"/>
      <c r="B1840" s="52" t="n"/>
      <c r="C1840" s="52" t="n"/>
      <c r="D1840" s="53" t="n"/>
      <c r="E1840" s="60" t="n"/>
      <c r="F1840" s="53" t="n"/>
      <c r="G1840" s="61" t="str">
        <f>IF(OR(COUNTA(A1840:E1840)=0,D1840=""),"",IFERROR(INDEX(ca_fam,MATCH(D1840,ca_name,0))&amp;"",""))</f>
        <v/>
      </c>
      <c r="H1840" s="58" t="str">
        <f>IF(OR(COUNTA(A1840:E1840)=0,D1840=""),"",IFERROR(INDEX(ca_type,MATCH(D1840,ca_name,0))&amp;"",""))</f>
        <v/>
      </c>
      <c r="I1840" s="58" t="str">
        <f>IF(COUNTA(A1840:E1840)=0,"",IF(N(A1840)&lt;=0,"Date manquante ou invalide",IF(B1840="","Équipe manquante",IF(ISNA(MATCH(B1840,eq_code,0)),"Équipe inconnue",IF(C1840="","Poste manquant",IF(ISNA(MATCH(C1840,po_code,0)),"Poste inconnu",IF(D1840="","Cause manquante",IF(ISNA(MATCH(D1840,ca_name,0)),"Cause inconnue",IF(H1840="","Cause à compléter dans Paramètres",IF(OR(NOT(ISNUMBER(E1840)),N(E1840)&lt;=0,N(E1840)&gt;1440),"Durée invalide",IF(COUNTIFS(sj_date,A1840,sj_eq,B1840,sj_po,C1840)=0,"Pas de saisie journalière ce jour-là","OK")))))))))))</f>
        <v/>
      </c>
      <c r="J1840">
        <f>IF(OR(I1840="OK",I1840="Pas de saisie journalière ce jour-là"),E1840,0)</f>
        <v>0.0</v>
      </c>
      <c r="K1840">
        <f>IF(AND(J1840&gt;0,A1840&gt;=p_from,A1840&lt;=p_to),1,0)</f>
        <v>0.0</v>
      </c>
      <c r="L1840">
        <f>IF(AND(K1840=1,OR(pa_po="",C1840=pa_po),OR(pa_eq="",B1840=pa_eq)),1,0)</f>
        <v>0.0</v>
      </c>
    </row>
    <row r="1841">
      <c r="A1841" s="51" t="n"/>
      <c r="B1841" s="52" t="n"/>
      <c r="C1841" s="52" t="n"/>
      <c r="D1841" s="53" t="n"/>
      <c r="E1841" s="60" t="n"/>
      <c r="F1841" s="53" t="n"/>
      <c r="G1841" s="61" t="str">
        <f>IF(OR(COUNTA(A1841:E1841)=0,D1841=""),"",IFERROR(INDEX(ca_fam,MATCH(D1841,ca_name,0))&amp;"",""))</f>
        <v/>
      </c>
      <c r="H1841" s="58" t="str">
        <f>IF(OR(COUNTA(A1841:E1841)=0,D1841=""),"",IFERROR(INDEX(ca_type,MATCH(D1841,ca_name,0))&amp;"",""))</f>
        <v/>
      </c>
      <c r="I1841" s="58" t="str">
        <f>IF(COUNTA(A1841:E1841)=0,"",IF(N(A1841)&lt;=0,"Date manquante ou invalide",IF(B1841="","Équipe manquante",IF(ISNA(MATCH(B1841,eq_code,0)),"Équipe inconnue",IF(C1841="","Poste manquant",IF(ISNA(MATCH(C1841,po_code,0)),"Poste inconnu",IF(D1841="","Cause manquante",IF(ISNA(MATCH(D1841,ca_name,0)),"Cause inconnue",IF(H1841="","Cause à compléter dans Paramètres",IF(OR(NOT(ISNUMBER(E1841)),N(E1841)&lt;=0,N(E1841)&gt;1440),"Durée invalide",IF(COUNTIFS(sj_date,A1841,sj_eq,B1841,sj_po,C1841)=0,"Pas de saisie journalière ce jour-là","OK")))))))))))</f>
        <v/>
      </c>
      <c r="J1841">
        <f>IF(OR(I1841="OK",I1841="Pas de saisie journalière ce jour-là"),E1841,0)</f>
        <v>0.0</v>
      </c>
      <c r="K1841">
        <f>IF(AND(J1841&gt;0,A1841&gt;=p_from,A1841&lt;=p_to),1,0)</f>
        <v>0.0</v>
      </c>
      <c r="L1841">
        <f>IF(AND(K1841=1,OR(pa_po="",C1841=pa_po),OR(pa_eq="",B1841=pa_eq)),1,0)</f>
        <v>0.0</v>
      </c>
    </row>
    <row r="1842">
      <c r="A1842" s="51" t="n"/>
      <c r="B1842" s="52" t="n"/>
      <c r="C1842" s="52" t="n"/>
      <c r="D1842" s="53" t="n"/>
      <c r="E1842" s="60" t="n"/>
      <c r="F1842" s="53" t="n"/>
      <c r="G1842" s="61" t="str">
        <f>IF(OR(COUNTA(A1842:E1842)=0,D1842=""),"",IFERROR(INDEX(ca_fam,MATCH(D1842,ca_name,0))&amp;"",""))</f>
        <v/>
      </c>
      <c r="H1842" s="58" t="str">
        <f>IF(OR(COUNTA(A1842:E1842)=0,D1842=""),"",IFERROR(INDEX(ca_type,MATCH(D1842,ca_name,0))&amp;"",""))</f>
        <v/>
      </c>
      <c r="I1842" s="58" t="str">
        <f>IF(COUNTA(A1842:E1842)=0,"",IF(N(A1842)&lt;=0,"Date manquante ou invalide",IF(B1842="","Équipe manquante",IF(ISNA(MATCH(B1842,eq_code,0)),"Équipe inconnue",IF(C1842="","Poste manquant",IF(ISNA(MATCH(C1842,po_code,0)),"Poste inconnu",IF(D1842="","Cause manquante",IF(ISNA(MATCH(D1842,ca_name,0)),"Cause inconnue",IF(H1842="","Cause à compléter dans Paramètres",IF(OR(NOT(ISNUMBER(E1842)),N(E1842)&lt;=0,N(E1842)&gt;1440),"Durée invalide",IF(COUNTIFS(sj_date,A1842,sj_eq,B1842,sj_po,C1842)=0,"Pas de saisie journalière ce jour-là","OK")))))))))))</f>
        <v/>
      </c>
      <c r="J1842">
        <f>IF(OR(I1842="OK",I1842="Pas de saisie journalière ce jour-là"),E1842,0)</f>
        <v>0.0</v>
      </c>
      <c r="K1842">
        <f>IF(AND(J1842&gt;0,A1842&gt;=p_from,A1842&lt;=p_to),1,0)</f>
        <v>0.0</v>
      </c>
      <c r="L1842">
        <f>IF(AND(K1842=1,OR(pa_po="",C1842=pa_po),OR(pa_eq="",B1842=pa_eq)),1,0)</f>
        <v>0.0</v>
      </c>
    </row>
    <row r="1843">
      <c r="A1843" s="51" t="n"/>
      <c r="B1843" s="52" t="n"/>
      <c r="C1843" s="52" t="n"/>
      <c r="D1843" s="53" t="n"/>
      <c r="E1843" s="60" t="n"/>
      <c r="F1843" s="53" t="n"/>
      <c r="G1843" s="61" t="str">
        <f>IF(OR(COUNTA(A1843:E1843)=0,D1843=""),"",IFERROR(INDEX(ca_fam,MATCH(D1843,ca_name,0))&amp;"",""))</f>
        <v/>
      </c>
      <c r="H1843" s="58" t="str">
        <f>IF(OR(COUNTA(A1843:E1843)=0,D1843=""),"",IFERROR(INDEX(ca_type,MATCH(D1843,ca_name,0))&amp;"",""))</f>
        <v/>
      </c>
      <c r="I1843" s="58" t="str">
        <f>IF(COUNTA(A1843:E1843)=0,"",IF(N(A1843)&lt;=0,"Date manquante ou invalide",IF(B1843="","Équipe manquante",IF(ISNA(MATCH(B1843,eq_code,0)),"Équipe inconnue",IF(C1843="","Poste manquant",IF(ISNA(MATCH(C1843,po_code,0)),"Poste inconnu",IF(D1843="","Cause manquante",IF(ISNA(MATCH(D1843,ca_name,0)),"Cause inconnue",IF(H1843="","Cause à compléter dans Paramètres",IF(OR(NOT(ISNUMBER(E1843)),N(E1843)&lt;=0,N(E1843)&gt;1440),"Durée invalide",IF(COUNTIFS(sj_date,A1843,sj_eq,B1843,sj_po,C1843)=0,"Pas de saisie journalière ce jour-là","OK")))))))))))</f>
        <v/>
      </c>
      <c r="J1843">
        <f>IF(OR(I1843="OK",I1843="Pas de saisie journalière ce jour-là"),E1843,0)</f>
        <v>0.0</v>
      </c>
      <c r="K1843">
        <f>IF(AND(J1843&gt;0,A1843&gt;=p_from,A1843&lt;=p_to),1,0)</f>
        <v>0.0</v>
      </c>
      <c r="L1843">
        <f>IF(AND(K1843=1,OR(pa_po="",C1843=pa_po),OR(pa_eq="",B1843=pa_eq)),1,0)</f>
        <v>0.0</v>
      </c>
    </row>
    <row r="1844">
      <c r="A1844" s="51" t="n"/>
      <c r="B1844" s="52" t="n"/>
      <c r="C1844" s="52" t="n"/>
      <c r="D1844" s="53" t="n"/>
      <c r="E1844" s="60" t="n"/>
      <c r="F1844" s="53" t="n"/>
      <c r="G1844" s="61" t="str">
        <f>IF(OR(COUNTA(A1844:E1844)=0,D1844=""),"",IFERROR(INDEX(ca_fam,MATCH(D1844,ca_name,0))&amp;"",""))</f>
        <v/>
      </c>
      <c r="H1844" s="58" t="str">
        <f>IF(OR(COUNTA(A1844:E1844)=0,D1844=""),"",IFERROR(INDEX(ca_type,MATCH(D1844,ca_name,0))&amp;"",""))</f>
        <v/>
      </c>
      <c r="I1844" s="58" t="str">
        <f>IF(COUNTA(A1844:E1844)=0,"",IF(N(A1844)&lt;=0,"Date manquante ou invalide",IF(B1844="","Équipe manquante",IF(ISNA(MATCH(B1844,eq_code,0)),"Équipe inconnue",IF(C1844="","Poste manquant",IF(ISNA(MATCH(C1844,po_code,0)),"Poste inconnu",IF(D1844="","Cause manquante",IF(ISNA(MATCH(D1844,ca_name,0)),"Cause inconnue",IF(H1844="","Cause à compléter dans Paramètres",IF(OR(NOT(ISNUMBER(E1844)),N(E1844)&lt;=0,N(E1844)&gt;1440),"Durée invalide",IF(COUNTIFS(sj_date,A1844,sj_eq,B1844,sj_po,C1844)=0,"Pas de saisie journalière ce jour-là","OK")))))))))))</f>
        <v/>
      </c>
      <c r="J1844">
        <f>IF(OR(I1844="OK",I1844="Pas de saisie journalière ce jour-là"),E1844,0)</f>
        <v>0.0</v>
      </c>
      <c r="K1844">
        <f>IF(AND(J1844&gt;0,A1844&gt;=p_from,A1844&lt;=p_to),1,0)</f>
        <v>0.0</v>
      </c>
      <c r="L1844">
        <f>IF(AND(K1844=1,OR(pa_po="",C1844=pa_po),OR(pa_eq="",B1844=pa_eq)),1,0)</f>
        <v>0.0</v>
      </c>
    </row>
    <row r="1845">
      <c r="A1845" s="51" t="n"/>
      <c r="B1845" s="52" t="n"/>
      <c r="C1845" s="52" t="n"/>
      <c r="D1845" s="53" t="n"/>
      <c r="E1845" s="60" t="n"/>
      <c r="F1845" s="53" t="n"/>
      <c r="G1845" s="61" t="str">
        <f>IF(OR(COUNTA(A1845:E1845)=0,D1845=""),"",IFERROR(INDEX(ca_fam,MATCH(D1845,ca_name,0))&amp;"",""))</f>
        <v/>
      </c>
      <c r="H1845" s="58" t="str">
        <f>IF(OR(COUNTA(A1845:E1845)=0,D1845=""),"",IFERROR(INDEX(ca_type,MATCH(D1845,ca_name,0))&amp;"",""))</f>
        <v/>
      </c>
      <c r="I1845" s="58" t="str">
        <f>IF(COUNTA(A1845:E1845)=0,"",IF(N(A1845)&lt;=0,"Date manquante ou invalide",IF(B1845="","Équipe manquante",IF(ISNA(MATCH(B1845,eq_code,0)),"Équipe inconnue",IF(C1845="","Poste manquant",IF(ISNA(MATCH(C1845,po_code,0)),"Poste inconnu",IF(D1845="","Cause manquante",IF(ISNA(MATCH(D1845,ca_name,0)),"Cause inconnue",IF(H1845="","Cause à compléter dans Paramètres",IF(OR(NOT(ISNUMBER(E1845)),N(E1845)&lt;=0,N(E1845)&gt;1440),"Durée invalide",IF(COUNTIFS(sj_date,A1845,sj_eq,B1845,sj_po,C1845)=0,"Pas de saisie journalière ce jour-là","OK")))))))))))</f>
        <v/>
      </c>
      <c r="J1845">
        <f>IF(OR(I1845="OK",I1845="Pas de saisie journalière ce jour-là"),E1845,0)</f>
        <v>0.0</v>
      </c>
      <c r="K1845">
        <f>IF(AND(J1845&gt;0,A1845&gt;=p_from,A1845&lt;=p_to),1,0)</f>
        <v>0.0</v>
      </c>
      <c r="L1845">
        <f>IF(AND(K1845=1,OR(pa_po="",C1845=pa_po),OR(pa_eq="",B1845=pa_eq)),1,0)</f>
        <v>0.0</v>
      </c>
    </row>
    <row r="1846">
      <c r="A1846" s="51" t="n"/>
      <c r="B1846" s="52" t="n"/>
      <c r="C1846" s="52" t="n"/>
      <c r="D1846" s="53" t="n"/>
      <c r="E1846" s="60" t="n"/>
      <c r="F1846" s="53" t="n"/>
      <c r="G1846" s="61" t="str">
        <f>IF(OR(COUNTA(A1846:E1846)=0,D1846=""),"",IFERROR(INDEX(ca_fam,MATCH(D1846,ca_name,0))&amp;"",""))</f>
        <v/>
      </c>
      <c r="H1846" s="58" t="str">
        <f>IF(OR(COUNTA(A1846:E1846)=0,D1846=""),"",IFERROR(INDEX(ca_type,MATCH(D1846,ca_name,0))&amp;"",""))</f>
        <v/>
      </c>
      <c r="I1846" s="58" t="str">
        <f>IF(COUNTA(A1846:E1846)=0,"",IF(N(A1846)&lt;=0,"Date manquante ou invalide",IF(B1846="","Équipe manquante",IF(ISNA(MATCH(B1846,eq_code,0)),"Équipe inconnue",IF(C1846="","Poste manquant",IF(ISNA(MATCH(C1846,po_code,0)),"Poste inconnu",IF(D1846="","Cause manquante",IF(ISNA(MATCH(D1846,ca_name,0)),"Cause inconnue",IF(H1846="","Cause à compléter dans Paramètres",IF(OR(NOT(ISNUMBER(E1846)),N(E1846)&lt;=0,N(E1846)&gt;1440),"Durée invalide",IF(COUNTIFS(sj_date,A1846,sj_eq,B1846,sj_po,C1846)=0,"Pas de saisie journalière ce jour-là","OK")))))))))))</f>
        <v/>
      </c>
      <c r="J1846">
        <f>IF(OR(I1846="OK",I1846="Pas de saisie journalière ce jour-là"),E1846,0)</f>
        <v>0.0</v>
      </c>
      <c r="K1846">
        <f>IF(AND(J1846&gt;0,A1846&gt;=p_from,A1846&lt;=p_to),1,0)</f>
        <v>0.0</v>
      </c>
      <c r="L1846">
        <f>IF(AND(K1846=1,OR(pa_po="",C1846=pa_po),OR(pa_eq="",B1846=pa_eq)),1,0)</f>
        <v>0.0</v>
      </c>
    </row>
    <row r="1847">
      <c r="A1847" s="51" t="n"/>
      <c r="B1847" s="52" t="n"/>
      <c r="C1847" s="52" t="n"/>
      <c r="D1847" s="53" t="n"/>
      <c r="E1847" s="60" t="n"/>
      <c r="F1847" s="53" t="n"/>
      <c r="G1847" s="61" t="str">
        <f>IF(OR(COUNTA(A1847:E1847)=0,D1847=""),"",IFERROR(INDEX(ca_fam,MATCH(D1847,ca_name,0))&amp;"",""))</f>
        <v/>
      </c>
      <c r="H1847" s="58" t="str">
        <f>IF(OR(COUNTA(A1847:E1847)=0,D1847=""),"",IFERROR(INDEX(ca_type,MATCH(D1847,ca_name,0))&amp;"",""))</f>
        <v/>
      </c>
      <c r="I1847" s="58" t="str">
        <f>IF(COUNTA(A1847:E1847)=0,"",IF(N(A1847)&lt;=0,"Date manquante ou invalide",IF(B1847="","Équipe manquante",IF(ISNA(MATCH(B1847,eq_code,0)),"Équipe inconnue",IF(C1847="","Poste manquant",IF(ISNA(MATCH(C1847,po_code,0)),"Poste inconnu",IF(D1847="","Cause manquante",IF(ISNA(MATCH(D1847,ca_name,0)),"Cause inconnue",IF(H1847="","Cause à compléter dans Paramètres",IF(OR(NOT(ISNUMBER(E1847)),N(E1847)&lt;=0,N(E1847)&gt;1440),"Durée invalide",IF(COUNTIFS(sj_date,A1847,sj_eq,B1847,sj_po,C1847)=0,"Pas de saisie journalière ce jour-là","OK")))))))))))</f>
        <v/>
      </c>
      <c r="J1847">
        <f>IF(OR(I1847="OK",I1847="Pas de saisie journalière ce jour-là"),E1847,0)</f>
        <v>0.0</v>
      </c>
      <c r="K1847">
        <f>IF(AND(J1847&gt;0,A1847&gt;=p_from,A1847&lt;=p_to),1,0)</f>
        <v>0.0</v>
      </c>
      <c r="L1847">
        <f>IF(AND(K1847=1,OR(pa_po="",C1847=pa_po),OR(pa_eq="",B1847=pa_eq)),1,0)</f>
        <v>0.0</v>
      </c>
    </row>
    <row r="1848">
      <c r="A1848" s="51" t="n"/>
      <c r="B1848" s="52" t="n"/>
      <c r="C1848" s="52" t="n"/>
      <c r="D1848" s="53" t="n"/>
      <c r="E1848" s="60" t="n"/>
      <c r="F1848" s="53" t="n"/>
      <c r="G1848" s="61" t="str">
        <f>IF(OR(COUNTA(A1848:E1848)=0,D1848=""),"",IFERROR(INDEX(ca_fam,MATCH(D1848,ca_name,0))&amp;"",""))</f>
        <v/>
      </c>
      <c r="H1848" s="58" t="str">
        <f>IF(OR(COUNTA(A1848:E1848)=0,D1848=""),"",IFERROR(INDEX(ca_type,MATCH(D1848,ca_name,0))&amp;"",""))</f>
        <v/>
      </c>
      <c r="I1848" s="58" t="str">
        <f>IF(COUNTA(A1848:E1848)=0,"",IF(N(A1848)&lt;=0,"Date manquante ou invalide",IF(B1848="","Équipe manquante",IF(ISNA(MATCH(B1848,eq_code,0)),"Équipe inconnue",IF(C1848="","Poste manquant",IF(ISNA(MATCH(C1848,po_code,0)),"Poste inconnu",IF(D1848="","Cause manquante",IF(ISNA(MATCH(D1848,ca_name,0)),"Cause inconnue",IF(H1848="","Cause à compléter dans Paramètres",IF(OR(NOT(ISNUMBER(E1848)),N(E1848)&lt;=0,N(E1848)&gt;1440),"Durée invalide",IF(COUNTIFS(sj_date,A1848,sj_eq,B1848,sj_po,C1848)=0,"Pas de saisie journalière ce jour-là","OK")))))))))))</f>
        <v/>
      </c>
      <c r="J1848">
        <f>IF(OR(I1848="OK",I1848="Pas de saisie journalière ce jour-là"),E1848,0)</f>
        <v>0.0</v>
      </c>
      <c r="K1848">
        <f>IF(AND(J1848&gt;0,A1848&gt;=p_from,A1848&lt;=p_to),1,0)</f>
        <v>0.0</v>
      </c>
      <c r="L1848">
        <f>IF(AND(K1848=1,OR(pa_po="",C1848=pa_po),OR(pa_eq="",B1848=pa_eq)),1,0)</f>
        <v>0.0</v>
      </c>
    </row>
    <row r="1849">
      <c r="A1849" s="51" t="n"/>
      <c r="B1849" s="52" t="n"/>
      <c r="C1849" s="52" t="n"/>
      <c r="D1849" s="53" t="n"/>
      <c r="E1849" s="60" t="n"/>
      <c r="F1849" s="53" t="n"/>
      <c r="G1849" s="61" t="str">
        <f>IF(OR(COUNTA(A1849:E1849)=0,D1849=""),"",IFERROR(INDEX(ca_fam,MATCH(D1849,ca_name,0))&amp;"",""))</f>
        <v/>
      </c>
      <c r="H1849" s="58" t="str">
        <f>IF(OR(COUNTA(A1849:E1849)=0,D1849=""),"",IFERROR(INDEX(ca_type,MATCH(D1849,ca_name,0))&amp;"",""))</f>
        <v/>
      </c>
      <c r="I1849" s="58" t="str">
        <f>IF(COUNTA(A1849:E1849)=0,"",IF(N(A1849)&lt;=0,"Date manquante ou invalide",IF(B1849="","Équipe manquante",IF(ISNA(MATCH(B1849,eq_code,0)),"Équipe inconnue",IF(C1849="","Poste manquant",IF(ISNA(MATCH(C1849,po_code,0)),"Poste inconnu",IF(D1849="","Cause manquante",IF(ISNA(MATCH(D1849,ca_name,0)),"Cause inconnue",IF(H1849="","Cause à compléter dans Paramètres",IF(OR(NOT(ISNUMBER(E1849)),N(E1849)&lt;=0,N(E1849)&gt;1440),"Durée invalide",IF(COUNTIFS(sj_date,A1849,sj_eq,B1849,sj_po,C1849)=0,"Pas de saisie journalière ce jour-là","OK")))))))))))</f>
        <v/>
      </c>
      <c r="J1849">
        <f>IF(OR(I1849="OK",I1849="Pas de saisie journalière ce jour-là"),E1849,0)</f>
        <v>0.0</v>
      </c>
      <c r="K1849">
        <f>IF(AND(J1849&gt;0,A1849&gt;=p_from,A1849&lt;=p_to),1,0)</f>
        <v>0.0</v>
      </c>
      <c r="L1849">
        <f>IF(AND(K1849=1,OR(pa_po="",C1849=pa_po),OR(pa_eq="",B1849=pa_eq)),1,0)</f>
        <v>0.0</v>
      </c>
    </row>
    <row r="1850">
      <c r="A1850" s="51" t="n"/>
      <c r="B1850" s="52" t="n"/>
      <c r="C1850" s="52" t="n"/>
      <c r="D1850" s="53" t="n"/>
      <c r="E1850" s="60" t="n"/>
      <c r="F1850" s="53" t="n"/>
      <c r="G1850" s="61" t="str">
        <f>IF(OR(COUNTA(A1850:E1850)=0,D1850=""),"",IFERROR(INDEX(ca_fam,MATCH(D1850,ca_name,0))&amp;"",""))</f>
        <v/>
      </c>
      <c r="H1850" s="58" t="str">
        <f>IF(OR(COUNTA(A1850:E1850)=0,D1850=""),"",IFERROR(INDEX(ca_type,MATCH(D1850,ca_name,0))&amp;"",""))</f>
        <v/>
      </c>
      <c r="I1850" s="58" t="str">
        <f>IF(COUNTA(A1850:E1850)=0,"",IF(N(A1850)&lt;=0,"Date manquante ou invalide",IF(B1850="","Équipe manquante",IF(ISNA(MATCH(B1850,eq_code,0)),"Équipe inconnue",IF(C1850="","Poste manquant",IF(ISNA(MATCH(C1850,po_code,0)),"Poste inconnu",IF(D1850="","Cause manquante",IF(ISNA(MATCH(D1850,ca_name,0)),"Cause inconnue",IF(H1850="","Cause à compléter dans Paramètres",IF(OR(NOT(ISNUMBER(E1850)),N(E1850)&lt;=0,N(E1850)&gt;1440),"Durée invalide",IF(COUNTIFS(sj_date,A1850,sj_eq,B1850,sj_po,C1850)=0,"Pas de saisie journalière ce jour-là","OK")))))))))))</f>
        <v/>
      </c>
      <c r="J1850">
        <f>IF(OR(I1850="OK",I1850="Pas de saisie journalière ce jour-là"),E1850,0)</f>
        <v>0.0</v>
      </c>
      <c r="K1850">
        <f>IF(AND(J1850&gt;0,A1850&gt;=p_from,A1850&lt;=p_to),1,0)</f>
        <v>0.0</v>
      </c>
      <c r="L1850">
        <f>IF(AND(K1850=1,OR(pa_po="",C1850=pa_po),OR(pa_eq="",B1850=pa_eq)),1,0)</f>
        <v>0.0</v>
      </c>
    </row>
    <row r="1851">
      <c r="A1851" s="51" t="n"/>
      <c r="B1851" s="52" t="n"/>
      <c r="C1851" s="52" t="n"/>
      <c r="D1851" s="53" t="n"/>
      <c r="E1851" s="60" t="n"/>
      <c r="F1851" s="53" t="n"/>
      <c r="G1851" s="61" t="str">
        <f>IF(OR(COUNTA(A1851:E1851)=0,D1851=""),"",IFERROR(INDEX(ca_fam,MATCH(D1851,ca_name,0))&amp;"",""))</f>
        <v/>
      </c>
      <c r="H1851" s="58" t="str">
        <f>IF(OR(COUNTA(A1851:E1851)=0,D1851=""),"",IFERROR(INDEX(ca_type,MATCH(D1851,ca_name,0))&amp;"",""))</f>
        <v/>
      </c>
      <c r="I1851" s="58" t="str">
        <f>IF(COUNTA(A1851:E1851)=0,"",IF(N(A1851)&lt;=0,"Date manquante ou invalide",IF(B1851="","Équipe manquante",IF(ISNA(MATCH(B1851,eq_code,0)),"Équipe inconnue",IF(C1851="","Poste manquant",IF(ISNA(MATCH(C1851,po_code,0)),"Poste inconnu",IF(D1851="","Cause manquante",IF(ISNA(MATCH(D1851,ca_name,0)),"Cause inconnue",IF(H1851="","Cause à compléter dans Paramètres",IF(OR(NOT(ISNUMBER(E1851)),N(E1851)&lt;=0,N(E1851)&gt;1440),"Durée invalide",IF(COUNTIFS(sj_date,A1851,sj_eq,B1851,sj_po,C1851)=0,"Pas de saisie journalière ce jour-là","OK")))))))))))</f>
        <v/>
      </c>
      <c r="J1851">
        <f>IF(OR(I1851="OK",I1851="Pas de saisie journalière ce jour-là"),E1851,0)</f>
        <v>0.0</v>
      </c>
      <c r="K1851">
        <f>IF(AND(J1851&gt;0,A1851&gt;=p_from,A1851&lt;=p_to),1,0)</f>
        <v>0.0</v>
      </c>
      <c r="L1851">
        <f>IF(AND(K1851=1,OR(pa_po="",C1851=pa_po),OR(pa_eq="",B1851=pa_eq)),1,0)</f>
        <v>0.0</v>
      </c>
    </row>
    <row r="1852">
      <c r="A1852" s="51" t="n"/>
      <c r="B1852" s="52" t="n"/>
      <c r="C1852" s="52" t="n"/>
      <c r="D1852" s="53" t="n"/>
      <c r="E1852" s="60" t="n"/>
      <c r="F1852" s="53" t="n"/>
      <c r="G1852" s="61" t="str">
        <f>IF(OR(COUNTA(A1852:E1852)=0,D1852=""),"",IFERROR(INDEX(ca_fam,MATCH(D1852,ca_name,0))&amp;"",""))</f>
        <v/>
      </c>
      <c r="H1852" s="58" t="str">
        <f>IF(OR(COUNTA(A1852:E1852)=0,D1852=""),"",IFERROR(INDEX(ca_type,MATCH(D1852,ca_name,0))&amp;"",""))</f>
        <v/>
      </c>
      <c r="I1852" s="58" t="str">
        <f>IF(COUNTA(A1852:E1852)=0,"",IF(N(A1852)&lt;=0,"Date manquante ou invalide",IF(B1852="","Équipe manquante",IF(ISNA(MATCH(B1852,eq_code,0)),"Équipe inconnue",IF(C1852="","Poste manquant",IF(ISNA(MATCH(C1852,po_code,0)),"Poste inconnu",IF(D1852="","Cause manquante",IF(ISNA(MATCH(D1852,ca_name,0)),"Cause inconnue",IF(H1852="","Cause à compléter dans Paramètres",IF(OR(NOT(ISNUMBER(E1852)),N(E1852)&lt;=0,N(E1852)&gt;1440),"Durée invalide",IF(COUNTIFS(sj_date,A1852,sj_eq,B1852,sj_po,C1852)=0,"Pas de saisie journalière ce jour-là","OK")))))))))))</f>
        <v/>
      </c>
      <c r="J1852">
        <f>IF(OR(I1852="OK",I1852="Pas de saisie journalière ce jour-là"),E1852,0)</f>
        <v>0.0</v>
      </c>
      <c r="K1852">
        <f>IF(AND(J1852&gt;0,A1852&gt;=p_from,A1852&lt;=p_to),1,0)</f>
        <v>0.0</v>
      </c>
      <c r="L1852">
        <f>IF(AND(K1852=1,OR(pa_po="",C1852=pa_po),OR(pa_eq="",B1852=pa_eq)),1,0)</f>
        <v>0.0</v>
      </c>
    </row>
    <row r="1853">
      <c r="A1853" s="51" t="n"/>
      <c r="B1853" s="52" t="n"/>
      <c r="C1853" s="52" t="n"/>
      <c r="D1853" s="53" t="n"/>
      <c r="E1853" s="60" t="n"/>
      <c r="F1853" s="53" t="n"/>
      <c r="G1853" s="61" t="str">
        <f>IF(OR(COUNTA(A1853:E1853)=0,D1853=""),"",IFERROR(INDEX(ca_fam,MATCH(D1853,ca_name,0))&amp;"",""))</f>
        <v/>
      </c>
      <c r="H1853" s="58" t="str">
        <f>IF(OR(COUNTA(A1853:E1853)=0,D1853=""),"",IFERROR(INDEX(ca_type,MATCH(D1853,ca_name,0))&amp;"",""))</f>
        <v/>
      </c>
      <c r="I1853" s="58" t="str">
        <f>IF(COUNTA(A1853:E1853)=0,"",IF(N(A1853)&lt;=0,"Date manquante ou invalide",IF(B1853="","Équipe manquante",IF(ISNA(MATCH(B1853,eq_code,0)),"Équipe inconnue",IF(C1853="","Poste manquant",IF(ISNA(MATCH(C1853,po_code,0)),"Poste inconnu",IF(D1853="","Cause manquante",IF(ISNA(MATCH(D1853,ca_name,0)),"Cause inconnue",IF(H1853="","Cause à compléter dans Paramètres",IF(OR(NOT(ISNUMBER(E1853)),N(E1853)&lt;=0,N(E1853)&gt;1440),"Durée invalide",IF(COUNTIFS(sj_date,A1853,sj_eq,B1853,sj_po,C1853)=0,"Pas de saisie journalière ce jour-là","OK")))))))))))</f>
        <v/>
      </c>
      <c r="J1853">
        <f>IF(OR(I1853="OK",I1853="Pas de saisie journalière ce jour-là"),E1853,0)</f>
        <v>0.0</v>
      </c>
      <c r="K1853">
        <f>IF(AND(J1853&gt;0,A1853&gt;=p_from,A1853&lt;=p_to),1,0)</f>
        <v>0.0</v>
      </c>
      <c r="L1853">
        <f>IF(AND(K1853=1,OR(pa_po="",C1853=pa_po),OR(pa_eq="",B1853=pa_eq)),1,0)</f>
        <v>0.0</v>
      </c>
    </row>
    <row r="1854">
      <c r="A1854" s="51" t="n"/>
      <c r="B1854" s="52" t="n"/>
      <c r="C1854" s="52" t="n"/>
      <c r="D1854" s="53" t="n"/>
      <c r="E1854" s="60" t="n"/>
      <c r="F1854" s="53" t="n"/>
      <c r="G1854" s="61" t="str">
        <f>IF(OR(COUNTA(A1854:E1854)=0,D1854=""),"",IFERROR(INDEX(ca_fam,MATCH(D1854,ca_name,0))&amp;"",""))</f>
        <v/>
      </c>
      <c r="H1854" s="58" t="str">
        <f>IF(OR(COUNTA(A1854:E1854)=0,D1854=""),"",IFERROR(INDEX(ca_type,MATCH(D1854,ca_name,0))&amp;"",""))</f>
        <v/>
      </c>
      <c r="I1854" s="58" t="str">
        <f>IF(COUNTA(A1854:E1854)=0,"",IF(N(A1854)&lt;=0,"Date manquante ou invalide",IF(B1854="","Équipe manquante",IF(ISNA(MATCH(B1854,eq_code,0)),"Équipe inconnue",IF(C1854="","Poste manquant",IF(ISNA(MATCH(C1854,po_code,0)),"Poste inconnu",IF(D1854="","Cause manquante",IF(ISNA(MATCH(D1854,ca_name,0)),"Cause inconnue",IF(H1854="","Cause à compléter dans Paramètres",IF(OR(NOT(ISNUMBER(E1854)),N(E1854)&lt;=0,N(E1854)&gt;1440),"Durée invalide",IF(COUNTIFS(sj_date,A1854,sj_eq,B1854,sj_po,C1854)=0,"Pas de saisie journalière ce jour-là","OK")))))))))))</f>
        <v/>
      </c>
      <c r="J1854">
        <f>IF(OR(I1854="OK",I1854="Pas de saisie journalière ce jour-là"),E1854,0)</f>
        <v>0.0</v>
      </c>
      <c r="K1854">
        <f>IF(AND(J1854&gt;0,A1854&gt;=p_from,A1854&lt;=p_to),1,0)</f>
        <v>0.0</v>
      </c>
      <c r="L1854">
        <f>IF(AND(K1854=1,OR(pa_po="",C1854=pa_po),OR(pa_eq="",B1854=pa_eq)),1,0)</f>
        <v>0.0</v>
      </c>
    </row>
    <row r="1855">
      <c r="A1855" s="51" t="n"/>
      <c r="B1855" s="52" t="n"/>
      <c r="C1855" s="52" t="n"/>
      <c r="D1855" s="53" t="n"/>
      <c r="E1855" s="60" t="n"/>
      <c r="F1855" s="53" t="n"/>
      <c r="G1855" s="61" t="str">
        <f>IF(OR(COUNTA(A1855:E1855)=0,D1855=""),"",IFERROR(INDEX(ca_fam,MATCH(D1855,ca_name,0))&amp;"",""))</f>
        <v/>
      </c>
      <c r="H1855" s="58" t="str">
        <f>IF(OR(COUNTA(A1855:E1855)=0,D1855=""),"",IFERROR(INDEX(ca_type,MATCH(D1855,ca_name,0))&amp;"",""))</f>
        <v/>
      </c>
      <c r="I1855" s="58" t="str">
        <f>IF(COUNTA(A1855:E1855)=0,"",IF(N(A1855)&lt;=0,"Date manquante ou invalide",IF(B1855="","Équipe manquante",IF(ISNA(MATCH(B1855,eq_code,0)),"Équipe inconnue",IF(C1855="","Poste manquant",IF(ISNA(MATCH(C1855,po_code,0)),"Poste inconnu",IF(D1855="","Cause manquante",IF(ISNA(MATCH(D1855,ca_name,0)),"Cause inconnue",IF(H1855="","Cause à compléter dans Paramètres",IF(OR(NOT(ISNUMBER(E1855)),N(E1855)&lt;=0,N(E1855)&gt;1440),"Durée invalide",IF(COUNTIFS(sj_date,A1855,sj_eq,B1855,sj_po,C1855)=0,"Pas de saisie journalière ce jour-là","OK")))))))))))</f>
        <v/>
      </c>
      <c r="J1855">
        <f>IF(OR(I1855="OK",I1855="Pas de saisie journalière ce jour-là"),E1855,0)</f>
        <v>0.0</v>
      </c>
      <c r="K1855">
        <f>IF(AND(J1855&gt;0,A1855&gt;=p_from,A1855&lt;=p_to),1,0)</f>
        <v>0.0</v>
      </c>
      <c r="L1855">
        <f>IF(AND(K1855=1,OR(pa_po="",C1855=pa_po),OR(pa_eq="",B1855=pa_eq)),1,0)</f>
        <v>0.0</v>
      </c>
    </row>
    <row r="1856">
      <c r="A1856" s="51" t="n"/>
      <c r="B1856" s="52" t="n"/>
      <c r="C1856" s="52" t="n"/>
      <c r="D1856" s="53" t="n"/>
      <c r="E1856" s="60" t="n"/>
      <c r="F1856" s="53" t="n"/>
      <c r="G1856" s="61" t="str">
        <f>IF(OR(COUNTA(A1856:E1856)=0,D1856=""),"",IFERROR(INDEX(ca_fam,MATCH(D1856,ca_name,0))&amp;"",""))</f>
        <v/>
      </c>
      <c r="H1856" s="58" t="str">
        <f>IF(OR(COUNTA(A1856:E1856)=0,D1856=""),"",IFERROR(INDEX(ca_type,MATCH(D1856,ca_name,0))&amp;"",""))</f>
        <v/>
      </c>
      <c r="I1856" s="58" t="str">
        <f>IF(COUNTA(A1856:E1856)=0,"",IF(N(A1856)&lt;=0,"Date manquante ou invalide",IF(B1856="","Équipe manquante",IF(ISNA(MATCH(B1856,eq_code,0)),"Équipe inconnue",IF(C1856="","Poste manquant",IF(ISNA(MATCH(C1856,po_code,0)),"Poste inconnu",IF(D1856="","Cause manquante",IF(ISNA(MATCH(D1856,ca_name,0)),"Cause inconnue",IF(H1856="","Cause à compléter dans Paramètres",IF(OR(NOT(ISNUMBER(E1856)),N(E1856)&lt;=0,N(E1856)&gt;1440),"Durée invalide",IF(COUNTIFS(sj_date,A1856,sj_eq,B1856,sj_po,C1856)=0,"Pas de saisie journalière ce jour-là","OK")))))))))))</f>
        <v/>
      </c>
      <c r="J1856">
        <f>IF(OR(I1856="OK",I1856="Pas de saisie journalière ce jour-là"),E1856,0)</f>
        <v>0.0</v>
      </c>
      <c r="K1856">
        <f>IF(AND(J1856&gt;0,A1856&gt;=p_from,A1856&lt;=p_to),1,0)</f>
        <v>0.0</v>
      </c>
      <c r="L1856">
        <f>IF(AND(K1856=1,OR(pa_po="",C1856=pa_po),OR(pa_eq="",B1856=pa_eq)),1,0)</f>
        <v>0.0</v>
      </c>
    </row>
    <row r="1857">
      <c r="A1857" s="51" t="n"/>
      <c r="B1857" s="52" t="n"/>
      <c r="C1857" s="52" t="n"/>
      <c r="D1857" s="53" t="n"/>
      <c r="E1857" s="60" t="n"/>
      <c r="F1857" s="53" t="n"/>
      <c r="G1857" s="61" t="str">
        <f>IF(OR(COUNTA(A1857:E1857)=0,D1857=""),"",IFERROR(INDEX(ca_fam,MATCH(D1857,ca_name,0))&amp;"",""))</f>
        <v/>
      </c>
      <c r="H1857" s="58" t="str">
        <f>IF(OR(COUNTA(A1857:E1857)=0,D1857=""),"",IFERROR(INDEX(ca_type,MATCH(D1857,ca_name,0))&amp;"",""))</f>
        <v/>
      </c>
      <c r="I1857" s="58" t="str">
        <f>IF(COUNTA(A1857:E1857)=0,"",IF(N(A1857)&lt;=0,"Date manquante ou invalide",IF(B1857="","Équipe manquante",IF(ISNA(MATCH(B1857,eq_code,0)),"Équipe inconnue",IF(C1857="","Poste manquant",IF(ISNA(MATCH(C1857,po_code,0)),"Poste inconnu",IF(D1857="","Cause manquante",IF(ISNA(MATCH(D1857,ca_name,0)),"Cause inconnue",IF(H1857="","Cause à compléter dans Paramètres",IF(OR(NOT(ISNUMBER(E1857)),N(E1857)&lt;=0,N(E1857)&gt;1440),"Durée invalide",IF(COUNTIFS(sj_date,A1857,sj_eq,B1857,sj_po,C1857)=0,"Pas de saisie journalière ce jour-là","OK")))))))))))</f>
        <v/>
      </c>
      <c r="J1857">
        <f>IF(OR(I1857="OK",I1857="Pas de saisie journalière ce jour-là"),E1857,0)</f>
        <v>0.0</v>
      </c>
      <c r="K1857">
        <f>IF(AND(J1857&gt;0,A1857&gt;=p_from,A1857&lt;=p_to),1,0)</f>
        <v>0.0</v>
      </c>
      <c r="L1857">
        <f>IF(AND(K1857=1,OR(pa_po="",C1857=pa_po),OR(pa_eq="",B1857=pa_eq)),1,0)</f>
        <v>0.0</v>
      </c>
    </row>
    <row r="1858">
      <c r="A1858" s="51" t="n"/>
      <c r="B1858" s="52" t="n"/>
      <c r="C1858" s="52" t="n"/>
      <c r="D1858" s="53" t="n"/>
      <c r="E1858" s="60" t="n"/>
      <c r="F1858" s="53" t="n"/>
      <c r="G1858" s="61" t="str">
        <f>IF(OR(COUNTA(A1858:E1858)=0,D1858=""),"",IFERROR(INDEX(ca_fam,MATCH(D1858,ca_name,0))&amp;"",""))</f>
        <v/>
      </c>
      <c r="H1858" s="58" t="str">
        <f>IF(OR(COUNTA(A1858:E1858)=0,D1858=""),"",IFERROR(INDEX(ca_type,MATCH(D1858,ca_name,0))&amp;"",""))</f>
        <v/>
      </c>
      <c r="I1858" s="58" t="str">
        <f>IF(COUNTA(A1858:E1858)=0,"",IF(N(A1858)&lt;=0,"Date manquante ou invalide",IF(B1858="","Équipe manquante",IF(ISNA(MATCH(B1858,eq_code,0)),"Équipe inconnue",IF(C1858="","Poste manquant",IF(ISNA(MATCH(C1858,po_code,0)),"Poste inconnu",IF(D1858="","Cause manquante",IF(ISNA(MATCH(D1858,ca_name,0)),"Cause inconnue",IF(H1858="","Cause à compléter dans Paramètres",IF(OR(NOT(ISNUMBER(E1858)),N(E1858)&lt;=0,N(E1858)&gt;1440),"Durée invalide",IF(COUNTIFS(sj_date,A1858,sj_eq,B1858,sj_po,C1858)=0,"Pas de saisie journalière ce jour-là","OK")))))))))))</f>
        <v/>
      </c>
      <c r="J1858">
        <f>IF(OR(I1858="OK",I1858="Pas de saisie journalière ce jour-là"),E1858,0)</f>
        <v>0.0</v>
      </c>
      <c r="K1858">
        <f>IF(AND(J1858&gt;0,A1858&gt;=p_from,A1858&lt;=p_to),1,0)</f>
        <v>0.0</v>
      </c>
      <c r="L1858">
        <f>IF(AND(K1858=1,OR(pa_po="",C1858=pa_po),OR(pa_eq="",B1858=pa_eq)),1,0)</f>
        <v>0.0</v>
      </c>
    </row>
    <row r="1859">
      <c r="A1859" s="51" t="n"/>
      <c r="B1859" s="52" t="n"/>
      <c r="C1859" s="52" t="n"/>
      <c r="D1859" s="53" t="n"/>
      <c r="E1859" s="60" t="n"/>
      <c r="F1859" s="53" t="n"/>
      <c r="G1859" s="61" t="str">
        <f>IF(OR(COUNTA(A1859:E1859)=0,D1859=""),"",IFERROR(INDEX(ca_fam,MATCH(D1859,ca_name,0))&amp;"",""))</f>
        <v/>
      </c>
      <c r="H1859" s="58" t="str">
        <f>IF(OR(COUNTA(A1859:E1859)=0,D1859=""),"",IFERROR(INDEX(ca_type,MATCH(D1859,ca_name,0))&amp;"",""))</f>
        <v/>
      </c>
      <c r="I1859" s="58" t="str">
        <f>IF(COUNTA(A1859:E1859)=0,"",IF(N(A1859)&lt;=0,"Date manquante ou invalide",IF(B1859="","Équipe manquante",IF(ISNA(MATCH(B1859,eq_code,0)),"Équipe inconnue",IF(C1859="","Poste manquant",IF(ISNA(MATCH(C1859,po_code,0)),"Poste inconnu",IF(D1859="","Cause manquante",IF(ISNA(MATCH(D1859,ca_name,0)),"Cause inconnue",IF(H1859="","Cause à compléter dans Paramètres",IF(OR(NOT(ISNUMBER(E1859)),N(E1859)&lt;=0,N(E1859)&gt;1440),"Durée invalide",IF(COUNTIFS(sj_date,A1859,sj_eq,B1859,sj_po,C1859)=0,"Pas de saisie journalière ce jour-là","OK")))))))))))</f>
        <v/>
      </c>
      <c r="J1859">
        <f>IF(OR(I1859="OK",I1859="Pas de saisie journalière ce jour-là"),E1859,0)</f>
        <v>0.0</v>
      </c>
      <c r="K1859">
        <f>IF(AND(J1859&gt;0,A1859&gt;=p_from,A1859&lt;=p_to),1,0)</f>
        <v>0.0</v>
      </c>
      <c r="L1859">
        <f>IF(AND(K1859=1,OR(pa_po="",C1859=pa_po),OR(pa_eq="",B1859=pa_eq)),1,0)</f>
        <v>0.0</v>
      </c>
    </row>
    <row r="1860">
      <c r="A1860" s="51" t="n"/>
      <c r="B1860" s="52" t="n"/>
      <c r="C1860" s="52" t="n"/>
      <c r="D1860" s="53" t="n"/>
      <c r="E1860" s="60" t="n"/>
      <c r="F1860" s="53" t="n"/>
      <c r="G1860" s="61" t="str">
        <f>IF(OR(COUNTA(A1860:E1860)=0,D1860=""),"",IFERROR(INDEX(ca_fam,MATCH(D1860,ca_name,0))&amp;"",""))</f>
        <v/>
      </c>
      <c r="H1860" s="58" t="str">
        <f>IF(OR(COUNTA(A1860:E1860)=0,D1860=""),"",IFERROR(INDEX(ca_type,MATCH(D1860,ca_name,0))&amp;"",""))</f>
        <v/>
      </c>
      <c r="I1860" s="58" t="str">
        <f>IF(COUNTA(A1860:E1860)=0,"",IF(N(A1860)&lt;=0,"Date manquante ou invalide",IF(B1860="","Équipe manquante",IF(ISNA(MATCH(B1860,eq_code,0)),"Équipe inconnue",IF(C1860="","Poste manquant",IF(ISNA(MATCH(C1860,po_code,0)),"Poste inconnu",IF(D1860="","Cause manquante",IF(ISNA(MATCH(D1860,ca_name,0)),"Cause inconnue",IF(H1860="","Cause à compléter dans Paramètres",IF(OR(NOT(ISNUMBER(E1860)),N(E1860)&lt;=0,N(E1860)&gt;1440),"Durée invalide",IF(COUNTIFS(sj_date,A1860,sj_eq,B1860,sj_po,C1860)=0,"Pas de saisie journalière ce jour-là","OK")))))))))))</f>
        <v/>
      </c>
      <c r="J1860">
        <f>IF(OR(I1860="OK",I1860="Pas de saisie journalière ce jour-là"),E1860,0)</f>
        <v>0.0</v>
      </c>
      <c r="K1860">
        <f>IF(AND(J1860&gt;0,A1860&gt;=p_from,A1860&lt;=p_to),1,0)</f>
        <v>0.0</v>
      </c>
      <c r="L1860">
        <f>IF(AND(K1860=1,OR(pa_po="",C1860=pa_po),OR(pa_eq="",B1860=pa_eq)),1,0)</f>
        <v>0.0</v>
      </c>
    </row>
    <row r="1861">
      <c r="A1861" s="51" t="n"/>
      <c r="B1861" s="52" t="n"/>
      <c r="C1861" s="52" t="n"/>
      <c r="D1861" s="53" t="n"/>
      <c r="E1861" s="60" t="n"/>
      <c r="F1861" s="53" t="n"/>
      <c r="G1861" s="61" t="str">
        <f>IF(OR(COUNTA(A1861:E1861)=0,D1861=""),"",IFERROR(INDEX(ca_fam,MATCH(D1861,ca_name,0))&amp;"",""))</f>
        <v/>
      </c>
      <c r="H1861" s="58" t="str">
        <f>IF(OR(COUNTA(A1861:E1861)=0,D1861=""),"",IFERROR(INDEX(ca_type,MATCH(D1861,ca_name,0))&amp;"",""))</f>
        <v/>
      </c>
      <c r="I1861" s="58" t="str">
        <f>IF(COUNTA(A1861:E1861)=0,"",IF(N(A1861)&lt;=0,"Date manquante ou invalide",IF(B1861="","Équipe manquante",IF(ISNA(MATCH(B1861,eq_code,0)),"Équipe inconnue",IF(C1861="","Poste manquant",IF(ISNA(MATCH(C1861,po_code,0)),"Poste inconnu",IF(D1861="","Cause manquante",IF(ISNA(MATCH(D1861,ca_name,0)),"Cause inconnue",IF(H1861="","Cause à compléter dans Paramètres",IF(OR(NOT(ISNUMBER(E1861)),N(E1861)&lt;=0,N(E1861)&gt;1440),"Durée invalide",IF(COUNTIFS(sj_date,A1861,sj_eq,B1861,sj_po,C1861)=0,"Pas de saisie journalière ce jour-là","OK")))))))))))</f>
        <v/>
      </c>
      <c r="J1861">
        <f>IF(OR(I1861="OK",I1861="Pas de saisie journalière ce jour-là"),E1861,0)</f>
        <v>0.0</v>
      </c>
      <c r="K1861">
        <f>IF(AND(J1861&gt;0,A1861&gt;=p_from,A1861&lt;=p_to),1,0)</f>
        <v>0.0</v>
      </c>
      <c r="L1861">
        <f>IF(AND(K1861=1,OR(pa_po="",C1861=pa_po),OR(pa_eq="",B1861=pa_eq)),1,0)</f>
        <v>0.0</v>
      </c>
    </row>
    <row r="1862">
      <c r="A1862" s="51" t="n"/>
      <c r="B1862" s="52" t="n"/>
      <c r="C1862" s="52" t="n"/>
      <c r="D1862" s="53" t="n"/>
      <c r="E1862" s="60" t="n"/>
      <c r="F1862" s="53" t="n"/>
      <c r="G1862" s="61" t="str">
        <f>IF(OR(COUNTA(A1862:E1862)=0,D1862=""),"",IFERROR(INDEX(ca_fam,MATCH(D1862,ca_name,0))&amp;"",""))</f>
        <v/>
      </c>
      <c r="H1862" s="58" t="str">
        <f>IF(OR(COUNTA(A1862:E1862)=0,D1862=""),"",IFERROR(INDEX(ca_type,MATCH(D1862,ca_name,0))&amp;"",""))</f>
        <v/>
      </c>
      <c r="I1862" s="58" t="str">
        <f>IF(COUNTA(A1862:E1862)=0,"",IF(N(A1862)&lt;=0,"Date manquante ou invalide",IF(B1862="","Équipe manquante",IF(ISNA(MATCH(B1862,eq_code,0)),"Équipe inconnue",IF(C1862="","Poste manquant",IF(ISNA(MATCH(C1862,po_code,0)),"Poste inconnu",IF(D1862="","Cause manquante",IF(ISNA(MATCH(D1862,ca_name,0)),"Cause inconnue",IF(H1862="","Cause à compléter dans Paramètres",IF(OR(NOT(ISNUMBER(E1862)),N(E1862)&lt;=0,N(E1862)&gt;1440),"Durée invalide",IF(COUNTIFS(sj_date,A1862,sj_eq,B1862,sj_po,C1862)=0,"Pas de saisie journalière ce jour-là","OK")))))))))))</f>
        <v/>
      </c>
      <c r="J1862">
        <f>IF(OR(I1862="OK",I1862="Pas de saisie journalière ce jour-là"),E1862,0)</f>
        <v>0.0</v>
      </c>
      <c r="K1862">
        <f>IF(AND(J1862&gt;0,A1862&gt;=p_from,A1862&lt;=p_to),1,0)</f>
        <v>0.0</v>
      </c>
      <c r="L1862">
        <f>IF(AND(K1862=1,OR(pa_po="",C1862=pa_po),OR(pa_eq="",B1862=pa_eq)),1,0)</f>
        <v>0.0</v>
      </c>
    </row>
    <row r="1863">
      <c r="A1863" s="51" t="n"/>
      <c r="B1863" s="52" t="n"/>
      <c r="C1863" s="52" t="n"/>
      <c r="D1863" s="53" t="n"/>
      <c r="E1863" s="60" t="n"/>
      <c r="F1863" s="53" t="n"/>
      <c r="G1863" s="61" t="str">
        <f>IF(OR(COUNTA(A1863:E1863)=0,D1863=""),"",IFERROR(INDEX(ca_fam,MATCH(D1863,ca_name,0))&amp;"",""))</f>
        <v/>
      </c>
      <c r="H1863" s="58" t="str">
        <f>IF(OR(COUNTA(A1863:E1863)=0,D1863=""),"",IFERROR(INDEX(ca_type,MATCH(D1863,ca_name,0))&amp;"",""))</f>
        <v/>
      </c>
      <c r="I1863" s="58" t="str">
        <f>IF(COUNTA(A1863:E1863)=0,"",IF(N(A1863)&lt;=0,"Date manquante ou invalide",IF(B1863="","Équipe manquante",IF(ISNA(MATCH(B1863,eq_code,0)),"Équipe inconnue",IF(C1863="","Poste manquant",IF(ISNA(MATCH(C1863,po_code,0)),"Poste inconnu",IF(D1863="","Cause manquante",IF(ISNA(MATCH(D1863,ca_name,0)),"Cause inconnue",IF(H1863="","Cause à compléter dans Paramètres",IF(OR(NOT(ISNUMBER(E1863)),N(E1863)&lt;=0,N(E1863)&gt;1440),"Durée invalide",IF(COUNTIFS(sj_date,A1863,sj_eq,B1863,sj_po,C1863)=0,"Pas de saisie journalière ce jour-là","OK")))))))))))</f>
        <v/>
      </c>
      <c r="J1863">
        <f>IF(OR(I1863="OK",I1863="Pas de saisie journalière ce jour-là"),E1863,0)</f>
        <v>0.0</v>
      </c>
      <c r="K1863">
        <f>IF(AND(J1863&gt;0,A1863&gt;=p_from,A1863&lt;=p_to),1,0)</f>
        <v>0.0</v>
      </c>
      <c r="L1863">
        <f>IF(AND(K1863=1,OR(pa_po="",C1863=pa_po),OR(pa_eq="",B1863=pa_eq)),1,0)</f>
        <v>0.0</v>
      </c>
    </row>
    <row r="1864">
      <c r="A1864" s="51" t="n"/>
      <c r="B1864" s="52" t="n"/>
      <c r="C1864" s="52" t="n"/>
      <c r="D1864" s="53" t="n"/>
      <c r="E1864" s="60" t="n"/>
      <c r="F1864" s="53" t="n"/>
      <c r="G1864" s="61" t="str">
        <f>IF(OR(COUNTA(A1864:E1864)=0,D1864=""),"",IFERROR(INDEX(ca_fam,MATCH(D1864,ca_name,0))&amp;"",""))</f>
        <v/>
      </c>
      <c r="H1864" s="58" t="str">
        <f>IF(OR(COUNTA(A1864:E1864)=0,D1864=""),"",IFERROR(INDEX(ca_type,MATCH(D1864,ca_name,0))&amp;"",""))</f>
        <v/>
      </c>
      <c r="I1864" s="58" t="str">
        <f>IF(COUNTA(A1864:E1864)=0,"",IF(N(A1864)&lt;=0,"Date manquante ou invalide",IF(B1864="","Équipe manquante",IF(ISNA(MATCH(B1864,eq_code,0)),"Équipe inconnue",IF(C1864="","Poste manquant",IF(ISNA(MATCH(C1864,po_code,0)),"Poste inconnu",IF(D1864="","Cause manquante",IF(ISNA(MATCH(D1864,ca_name,0)),"Cause inconnue",IF(H1864="","Cause à compléter dans Paramètres",IF(OR(NOT(ISNUMBER(E1864)),N(E1864)&lt;=0,N(E1864)&gt;1440),"Durée invalide",IF(COUNTIFS(sj_date,A1864,sj_eq,B1864,sj_po,C1864)=0,"Pas de saisie journalière ce jour-là","OK")))))))))))</f>
        <v/>
      </c>
      <c r="J1864">
        <f>IF(OR(I1864="OK",I1864="Pas de saisie journalière ce jour-là"),E1864,0)</f>
        <v>0.0</v>
      </c>
      <c r="K1864">
        <f>IF(AND(J1864&gt;0,A1864&gt;=p_from,A1864&lt;=p_to),1,0)</f>
        <v>0.0</v>
      </c>
      <c r="L1864">
        <f>IF(AND(K1864=1,OR(pa_po="",C1864=pa_po),OR(pa_eq="",B1864=pa_eq)),1,0)</f>
        <v>0.0</v>
      </c>
    </row>
    <row r="1865">
      <c r="A1865" s="51" t="n"/>
      <c r="B1865" s="52" t="n"/>
      <c r="C1865" s="52" t="n"/>
      <c r="D1865" s="53" t="n"/>
      <c r="E1865" s="60" t="n"/>
      <c r="F1865" s="53" t="n"/>
      <c r="G1865" s="61" t="str">
        <f>IF(OR(COUNTA(A1865:E1865)=0,D1865=""),"",IFERROR(INDEX(ca_fam,MATCH(D1865,ca_name,0))&amp;"",""))</f>
        <v/>
      </c>
      <c r="H1865" s="58" t="str">
        <f>IF(OR(COUNTA(A1865:E1865)=0,D1865=""),"",IFERROR(INDEX(ca_type,MATCH(D1865,ca_name,0))&amp;"",""))</f>
        <v/>
      </c>
      <c r="I1865" s="58" t="str">
        <f>IF(COUNTA(A1865:E1865)=0,"",IF(N(A1865)&lt;=0,"Date manquante ou invalide",IF(B1865="","Équipe manquante",IF(ISNA(MATCH(B1865,eq_code,0)),"Équipe inconnue",IF(C1865="","Poste manquant",IF(ISNA(MATCH(C1865,po_code,0)),"Poste inconnu",IF(D1865="","Cause manquante",IF(ISNA(MATCH(D1865,ca_name,0)),"Cause inconnue",IF(H1865="","Cause à compléter dans Paramètres",IF(OR(NOT(ISNUMBER(E1865)),N(E1865)&lt;=0,N(E1865)&gt;1440),"Durée invalide",IF(COUNTIFS(sj_date,A1865,sj_eq,B1865,sj_po,C1865)=0,"Pas de saisie journalière ce jour-là","OK")))))))))))</f>
        <v/>
      </c>
      <c r="J1865">
        <f>IF(OR(I1865="OK",I1865="Pas de saisie journalière ce jour-là"),E1865,0)</f>
        <v>0.0</v>
      </c>
      <c r="K1865">
        <f>IF(AND(J1865&gt;0,A1865&gt;=p_from,A1865&lt;=p_to),1,0)</f>
        <v>0.0</v>
      </c>
      <c r="L1865">
        <f>IF(AND(K1865=1,OR(pa_po="",C1865=pa_po),OR(pa_eq="",B1865=pa_eq)),1,0)</f>
        <v>0.0</v>
      </c>
    </row>
    <row r="1866">
      <c r="A1866" s="51" t="n"/>
      <c r="B1866" s="52" t="n"/>
      <c r="C1866" s="52" t="n"/>
      <c r="D1866" s="53" t="n"/>
      <c r="E1866" s="60" t="n"/>
      <c r="F1866" s="53" t="n"/>
      <c r="G1866" s="61" t="str">
        <f>IF(OR(COUNTA(A1866:E1866)=0,D1866=""),"",IFERROR(INDEX(ca_fam,MATCH(D1866,ca_name,0))&amp;"",""))</f>
        <v/>
      </c>
      <c r="H1866" s="58" t="str">
        <f>IF(OR(COUNTA(A1866:E1866)=0,D1866=""),"",IFERROR(INDEX(ca_type,MATCH(D1866,ca_name,0))&amp;"",""))</f>
        <v/>
      </c>
      <c r="I1866" s="58" t="str">
        <f>IF(COUNTA(A1866:E1866)=0,"",IF(N(A1866)&lt;=0,"Date manquante ou invalide",IF(B1866="","Équipe manquante",IF(ISNA(MATCH(B1866,eq_code,0)),"Équipe inconnue",IF(C1866="","Poste manquant",IF(ISNA(MATCH(C1866,po_code,0)),"Poste inconnu",IF(D1866="","Cause manquante",IF(ISNA(MATCH(D1866,ca_name,0)),"Cause inconnue",IF(H1866="","Cause à compléter dans Paramètres",IF(OR(NOT(ISNUMBER(E1866)),N(E1866)&lt;=0,N(E1866)&gt;1440),"Durée invalide",IF(COUNTIFS(sj_date,A1866,sj_eq,B1866,sj_po,C1866)=0,"Pas de saisie journalière ce jour-là","OK")))))))))))</f>
        <v/>
      </c>
      <c r="J1866">
        <f>IF(OR(I1866="OK",I1866="Pas de saisie journalière ce jour-là"),E1866,0)</f>
        <v>0.0</v>
      </c>
      <c r="K1866">
        <f>IF(AND(J1866&gt;0,A1866&gt;=p_from,A1866&lt;=p_to),1,0)</f>
        <v>0.0</v>
      </c>
      <c r="L1866">
        <f>IF(AND(K1866=1,OR(pa_po="",C1866=pa_po),OR(pa_eq="",B1866=pa_eq)),1,0)</f>
        <v>0.0</v>
      </c>
    </row>
    <row r="1867">
      <c r="A1867" s="51" t="n"/>
      <c r="B1867" s="52" t="n"/>
      <c r="C1867" s="52" t="n"/>
      <c r="D1867" s="53" t="n"/>
      <c r="E1867" s="60" t="n"/>
      <c r="F1867" s="53" t="n"/>
      <c r="G1867" s="61" t="str">
        <f>IF(OR(COUNTA(A1867:E1867)=0,D1867=""),"",IFERROR(INDEX(ca_fam,MATCH(D1867,ca_name,0))&amp;"",""))</f>
        <v/>
      </c>
      <c r="H1867" s="58" t="str">
        <f>IF(OR(COUNTA(A1867:E1867)=0,D1867=""),"",IFERROR(INDEX(ca_type,MATCH(D1867,ca_name,0))&amp;"",""))</f>
        <v/>
      </c>
      <c r="I1867" s="58" t="str">
        <f>IF(COUNTA(A1867:E1867)=0,"",IF(N(A1867)&lt;=0,"Date manquante ou invalide",IF(B1867="","Équipe manquante",IF(ISNA(MATCH(B1867,eq_code,0)),"Équipe inconnue",IF(C1867="","Poste manquant",IF(ISNA(MATCH(C1867,po_code,0)),"Poste inconnu",IF(D1867="","Cause manquante",IF(ISNA(MATCH(D1867,ca_name,0)),"Cause inconnue",IF(H1867="","Cause à compléter dans Paramètres",IF(OR(NOT(ISNUMBER(E1867)),N(E1867)&lt;=0,N(E1867)&gt;1440),"Durée invalide",IF(COUNTIFS(sj_date,A1867,sj_eq,B1867,sj_po,C1867)=0,"Pas de saisie journalière ce jour-là","OK")))))))))))</f>
        <v/>
      </c>
      <c r="J1867">
        <f>IF(OR(I1867="OK",I1867="Pas de saisie journalière ce jour-là"),E1867,0)</f>
        <v>0.0</v>
      </c>
      <c r="K1867">
        <f>IF(AND(J1867&gt;0,A1867&gt;=p_from,A1867&lt;=p_to),1,0)</f>
        <v>0.0</v>
      </c>
      <c r="L1867">
        <f>IF(AND(K1867=1,OR(pa_po="",C1867=pa_po),OR(pa_eq="",B1867=pa_eq)),1,0)</f>
        <v>0.0</v>
      </c>
    </row>
    <row r="1868">
      <c r="A1868" s="51" t="n"/>
      <c r="B1868" s="52" t="n"/>
      <c r="C1868" s="52" t="n"/>
      <c r="D1868" s="53" t="n"/>
      <c r="E1868" s="60" t="n"/>
      <c r="F1868" s="53" t="n"/>
      <c r="G1868" s="61" t="str">
        <f>IF(OR(COUNTA(A1868:E1868)=0,D1868=""),"",IFERROR(INDEX(ca_fam,MATCH(D1868,ca_name,0))&amp;"",""))</f>
        <v/>
      </c>
      <c r="H1868" s="58" t="str">
        <f>IF(OR(COUNTA(A1868:E1868)=0,D1868=""),"",IFERROR(INDEX(ca_type,MATCH(D1868,ca_name,0))&amp;"",""))</f>
        <v/>
      </c>
      <c r="I1868" s="58" t="str">
        <f>IF(COUNTA(A1868:E1868)=0,"",IF(N(A1868)&lt;=0,"Date manquante ou invalide",IF(B1868="","Équipe manquante",IF(ISNA(MATCH(B1868,eq_code,0)),"Équipe inconnue",IF(C1868="","Poste manquant",IF(ISNA(MATCH(C1868,po_code,0)),"Poste inconnu",IF(D1868="","Cause manquante",IF(ISNA(MATCH(D1868,ca_name,0)),"Cause inconnue",IF(H1868="","Cause à compléter dans Paramètres",IF(OR(NOT(ISNUMBER(E1868)),N(E1868)&lt;=0,N(E1868)&gt;1440),"Durée invalide",IF(COUNTIFS(sj_date,A1868,sj_eq,B1868,sj_po,C1868)=0,"Pas de saisie journalière ce jour-là","OK")))))))))))</f>
        <v/>
      </c>
      <c r="J1868">
        <f>IF(OR(I1868="OK",I1868="Pas de saisie journalière ce jour-là"),E1868,0)</f>
        <v>0.0</v>
      </c>
      <c r="K1868">
        <f>IF(AND(J1868&gt;0,A1868&gt;=p_from,A1868&lt;=p_to),1,0)</f>
        <v>0.0</v>
      </c>
      <c r="L1868">
        <f>IF(AND(K1868=1,OR(pa_po="",C1868=pa_po),OR(pa_eq="",B1868=pa_eq)),1,0)</f>
        <v>0.0</v>
      </c>
    </row>
    <row r="1869">
      <c r="A1869" s="51" t="n"/>
      <c r="B1869" s="52" t="n"/>
      <c r="C1869" s="52" t="n"/>
      <c r="D1869" s="53" t="n"/>
      <c r="E1869" s="60" t="n"/>
      <c r="F1869" s="53" t="n"/>
      <c r="G1869" s="61" t="str">
        <f>IF(OR(COUNTA(A1869:E1869)=0,D1869=""),"",IFERROR(INDEX(ca_fam,MATCH(D1869,ca_name,0))&amp;"",""))</f>
        <v/>
      </c>
      <c r="H1869" s="58" t="str">
        <f>IF(OR(COUNTA(A1869:E1869)=0,D1869=""),"",IFERROR(INDEX(ca_type,MATCH(D1869,ca_name,0))&amp;"",""))</f>
        <v/>
      </c>
      <c r="I1869" s="58" t="str">
        <f>IF(COUNTA(A1869:E1869)=0,"",IF(N(A1869)&lt;=0,"Date manquante ou invalide",IF(B1869="","Équipe manquante",IF(ISNA(MATCH(B1869,eq_code,0)),"Équipe inconnue",IF(C1869="","Poste manquant",IF(ISNA(MATCH(C1869,po_code,0)),"Poste inconnu",IF(D1869="","Cause manquante",IF(ISNA(MATCH(D1869,ca_name,0)),"Cause inconnue",IF(H1869="","Cause à compléter dans Paramètres",IF(OR(NOT(ISNUMBER(E1869)),N(E1869)&lt;=0,N(E1869)&gt;1440),"Durée invalide",IF(COUNTIFS(sj_date,A1869,sj_eq,B1869,sj_po,C1869)=0,"Pas de saisie journalière ce jour-là","OK")))))))))))</f>
        <v/>
      </c>
      <c r="J1869">
        <f>IF(OR(I1869="OK",I1869="Pas de saisie journalière ce jour-là"),E1869,0)</f>
        <v>0.0</v>
      </c>
      <c r="K1869">
        <f>IF(AND(J1869&gt;0,A1869&gt;=p_from,A1869&lt;=p_to),1,0)</f>
        <v>0.0</v>
      </c>
      <c r="L1869">
        <f>IF(AND(K1869=1,OR(pa_po="",C1869=pa_po),OR(pa_eq="",B1869=pa_eq)),1,0)</f>
        <v>0.0</v>
      </c>
    </row>
    <row r="1870">
      <c r="A1870" s="51" t="n"/>
      <c r="B1870" s="52" t="n"/>
      <c r="C1870" s="52" t="n"/>
      <c r="D1870" s="53" t="n"/>
      <c r="E1870" s="60" t="n"/>
      <c r="F1870" s="53" t="n"/>
      <c r="G1870" s="61" t="str">
        <f>IF(OR(COUNTA(A1870:E1870)=0,D1870=""),"",IFERROR(INDEX(ca_fam,MATCH(D1870,ca_name,0))&amp;"",""))</f>
        <v/>
      </c>
      <c r="H1870" s="58" t="str">
        <f>IF(OR(COUNTA(A1870:E1870)=0,D1870=""),"",IFERROR(INDEX(ca_type,MATCH(D1870,ca_name,0))&amp;"",""))</f>
        <v/>
      </c>
      <c r="I1870" s="58" t="str">
        <f>IF(COUNTA(A1870:E1870)=0,"",IF(N(A1870)&lt;=0,"Date manquante ou invalide",IF(B1870="","Équipe manquante",IF(ISNA(MATCH(B1870,eq_code,0)),"Équipe inconnue",IF(C1870="","Poste manquant",IF(ISNA(MATCH(C1870,po_code,0)),"Poste inconnu",IF(D1870="","Cause manquante",IF(ISNA(MATCH(D1870,ca_name,0)),"Cause inconnue",IF(H1870="","Cause à compléter dans Paramètres",IF(OR(NOT(ISNUMBER(E1870)),N(E1870)&lt;=0,N(E1870)&gt;1440),"Durée invalide",IF(COUNTIFS(sj_date,A1870,sj_eq,B1870,sj_po,C1870)=0,"Pas de saisie journalière ce jour-là","OK")))))))))))</f>
        <v/>
      </c>
      <c r="J1870">
        <f>IF(OR(I1870="OK",I1870="Pas de saisie journalière ce jour-là"),E1870,0)</f>
        <v>0.0</v>
      </c>
      <c r="K1870">
        <f>IF(AND(J1870&gt;0,A1870&gt;=p_from,A1870&lt;=p_to),1,0)</f>
        <v>0.0</v>
      </c>
      <c r="L1870">
        <f>IF(AND(K1870=1,OR(pa_po="",C1870=pa_po),OR(pa_eq="",B1870=pa_eq)),1,0)</f>
        <v>0.0</v>
      </c>
    </row>
    <row r="1871">
      <c r="A1871" s="51" t="n"/>
      <c r="B1871" s="52" t="n"/>
      <c r="C1871" s="52" t="n"/>
      <c r="D1871" s="53" t="n"/>
      <c r="E1871" s="60" t="n"/>
      <c r="F1871" s="53" t="n"/>
      <c r="G1871" s="61" t="str">
        <f>IF(OR(COUNTA(A1871:E1871)=0,D1871=""),"",IFERROR(INDEX(ca_fam,MATCH(D1871,ca_name,0))&amp;"",""))</f>
        <v/>
      </c>
      <c r="H1871" s="58" t="str">
        <f>IF(OR(COUNTA(A1871:E1871)=0,D1871=""),"",IFERROR(INDEX(ca_type,MATCH(D1871,ca_name,0))&amp;"",""))</f>
        <v/>
      </c>
      <c r="I1871" s="58" t="str">
        <f>IF(COUNTA(A1871:E1871)=0,"",IF(N(A1871)&lt;=0,"Date manquante ou invalide",IF(B1871="","Équipe manquante",IF(ISNA(MATCH(B1871,eq_code,0)),"Équipe inconnue",IF(C1871="","Poste manquant",IF(ISNA(MATCH(C1871,po_code,0)),"Poste inconnu",IF(D1871="","Cause manquante",IF(ISNA(MATCH(D1871,ca_name,0)),"Cause inconnue",IF(H1871="","Cause à compléter dans Paramètres",IF(OR(NOT(ISNUMBER(E1871)),N(E1871)&lt;=0,N(E1871)&gt;1440),"Durée invalide",IF(COUNTIFS(sj_date,A1871,sj_eq,B1871,sj_po,C1871)=0,"Pas de saisie journalière ce jour-là","OK")))))))))))</f>
        <v/>
      </c>
      <c r="J1871">
        <f>IF(OR(I1871="OK",I1871="Pas de saisie journalière ce jour-là"),E1871,0)</f>
        <v>0.0</v>
      </c>
      <c r="K1871">
        <f>IF(AND(J1871&gt;0,A1871&gt;=p_from,A1871&lt;=p_to),1,0)</f>
        <v>0.0</v>
      </c>
      <c r="L1871">
        <f>IF(AND(K1871=1,OR(pa_po="",C1871=pa_po),OR(pa_eq="",B1871=pa_eq)),1,0)</f>
        <v>0.0</v>
      </c>
    </row>
    <row r="1872">
      <c r="A1872" s="51" t="n"/>
      <c r="B1872" s="52" t="n"/>
      <c r="C1872" s="52" t="n"/>
      <c r="D1872" s="53" t="n"/>
      <c r="E1872" s="60" t="n"/>
      <c r="F1872" s="53" t="n"/>
      <c r="G1872" s="61" t="str">
        <f>IF(OR(COUNTA(A1872:E1872)=0,D1872=""),"",IFERROR(INDEX(ca_fam,MATCH(D1872,ca_name,0))&amp;"",""))</f>
        <v/>
      </c>
      <c r="H1872" s="58" t="str">
        <f>IF(OR(COUNTA(A1872:E1872)=0,D1872=""),"",IFERROR(INDEX(ca_type,MATCH(D1872,ca_name,0))&amp;"",""))</f>
        <v/>
      </c>
      <c r="I1872" s="58" t="str">
        <f>IF(COUNTA(A1872:E1872)=0,"",IF(N(A1872)&lt;=0,"Date manquante ou invalide",IF(B1872="","Équipe manquante",IF(ISNA(MATCH(B1872,eq_code,0)),"Équipe inconnue",IF(C1872="","Poste manquant",IF(ISNA(MATCH(C1872,po_code,0)),"Poste inconnu",IF(D1872="","Cause manquante",IF(ISNA(MATCH(D1872,ca_name,0)),"Cause inconnue",IF(H1872="","Cause à compléter dans Paramètres",IF(OR(NOT(ISNUMBER(E1872)),N(E1872)&lt;=0,N(E1872)&gt;1440),"Durée invalide",IF(COUNTIFS(sj_date,A1872,sj_eq,B1872,sj_po,C1872)=0,"Pas de saisie journalière ce jour-là","OK")))))))))))</f>
        <v/>
      </c>
      <c r="J1872">
        <f>IF(OR(I1872="OK",I1872="Pas de saisie journalière ce jour-là"),E1872,0)</f>
        <v>0.0</v>
      </c>
      <c r="K1872">
        <f>IF(AND(J1872&gt;0,A1872&gt;=p_from,A1872&lt;=p_to),1,0)</f>
        <v>0.0</v>
      </c>
      <c r="L1872">
        <f>IF(AND(K1872=1,OR(pa_po="",C1872=pa_po),OR(pa_eq="",B1872=pa_eq)),1,0)</f>
        <v>0.0</v>
      </c>
    </row>
    <row r="1873">
      <c r="A1873" s="51" t="n"/>
      <c r="B1873" s="52" t="n"/>
      <c r="C1873" s="52" t="n"/>
      <c r="D1873" s="53" t="n"/>
      <c r="E1873" s="60" t="n"/>
      <c r="F1873" s="53" t="n"/>
      <c r="G1873" s="61" t="str">
        <f>IF(OR(COUNTA(A1873:E1873)=0,D1873=""),"",IFERROR(INDEX(ca_fam,MATCH(D1873,ca_name,0))&amp;"",""))</f>
        <v/>
      </c>
      <c r="H1873" s="58" t="str">
        <f>IF(OR(COUNTA(A1873:E1873)=0,D1873=""),"",IFERROR(INDEX(ca_type,MATCH(D1873,ca_name,0))&amp;"",""))</f>
        <v/>
      </c>
      <c r="I1873" s="58" t="str">
        <f>IF(COUNTA(A1873:E1873)=0,"",IF(N(A1873)&lt;=0,"Date manquante ou invalide",IF(B1873="","Équipe manquante",IF(ISNA(MATCH(B1873,eq_code,0)),"Équipe inconnue",IF(C1873="","Poste manquant",IF(ISNA(MATCH(C1873,po_code,0)),"Poste inconnu",IF(D1873="","Cause manquante",IF(ISNA(MATCH(D1873,ca_name,0)),"Cause inconnue",IF(H1873="","Cause à compléter dans Paramètres",IF(OR(NOT(ISNUMBER(E1873)),N(E1873)&lt;=0,N(E1873)&gt;1440),"Durée invalide",IF(COUNTIFS(sj_date,A1873,sj_eq,B1873,sj_po,C1873)=0,"Pas de saisie journalière ce jour-là","OK")))))))))))</f>
        <v/>
      </c>
      <c r="J1873">
        <f>IF(OR(I1873="OK",I1873="Pas de saisie journalière ce jour-là"),E1873,0)</f>
        <v>0.0</v>
      </c>
      <c r="K1873">
        <f>IF(AND(J1873&gt;0,A1873&gt;=p_from,A1873&lt;=p_to),1,0)</f>
        <v>0.0</v>
      </c>
      <c r="L1873">
        <f>IF(AND(K1873=1,OR(pa_po="",C1873=pa_po),OR(pa_eq="",B1873=pa_eq)),1,0)</f>
        <v>0.0</v>
      </c>
    </row>
    <row r="1874">
      <c r="A1874" s="51" t="n"/>
      <c r="B1874" s="52" t="n"/>
      <c r="C1874" s="52" t="n"/>
      <c r="D1874" s="53" t="n"/>
      <c r="E1874" s="60" t="n"/>
      <c r="F1874" s="53" t="n"/>
      <c r="G1874" s="61" t="str">
        <f>IF(OR(COUNTA(A1874:E1874)=0,D1874=""),"",IFERROR(INDEX(ca_fam,MATCH(D1874,ca_name,0))&amp;"",""))</f>
        <v/>
      </c>
      <c r="H1874" s="58" t="str">
        <f>IF(OR(COUNTA(A1874:E1874)=0,D1874=""),"",IFERROR(INDEX(ca_type,MATCH(D1874,ca_name,0))&amp;"",""))</f>
        <v/>
      </c>
      <c r="I1874" s="58" t="str">
        <f>IF(COUNTA(A1874:E1874)=0,"",IF(N(A1874)&lt;=0,"Date manquante ou invalide",IF(B1874="","Équipe manquante",IF(ISNA(MATCH(B1874,eq_code,0)),"Équipe inconnue",IF(C1874="","Poste manquant",IF(ISNA(MATCH(C1874,po_code,0)),"Poste inconnu",IF(D1874="","Cause manquante",IF(ISNA(MATCH(D1874,ca_name,0)),"Cause inconnue",IF(H1874="","Cause à compléter dans Paramètres",IF(OR(NOT(ISNUMBER(E1874)),N(E1874)&lt;=0,N(E1874)&gt;1440),"Durée invalide",IF(COUNTIFS(sj_date,A1874,sj_eq,B1874,sj_po,C1874)=0,"Pas de saisie journalière ce jour-là","OK")))))))))))</f>
        <v/>
      </c>
      <c r="J1874">
        <f>IF(OR(I1874="OK",I1874="Pas de saisie journalière ce jour-là"),E1874,0)</f>
        <v>0.0</v>
      </c>
      <c r="K1874">
        <f>IF(AND(J1874&gt;0,A1874&gt;=p_from,A1874&lt;=p_to),1,0)</f>
        <v>0.0</v>
      </c>
      <c r="L1874">
        <f>IF(AND(K1874=1,OR(pa_po="",C1874=pa_po),OR(pa_eq="",B1874=pa_eq)),1,0)</f>
        <v>0.0</v>
      </c>
    </row>
    <row r="1875">
      <c r="A1875" s="51" t="n"/>
      <c r="B1875" s="52" t="n"/>
      <c r="C1875" s="52" t="n"/>
      <c r="D1875" s="53" t="n"/>
      <c r="E1875" s="60" t="n"/>
      <c r="F1875" s="53" t="n"/>
      <c r="G1875" s="61" t="str">
        <f>IF(OR(COUNTA(A1875:E1875)=0,D1875=""),"",IFERROR(INDEX(ca_fam,MATCH(D1875,ca_name,0))&amp;"",""))</f>
        <v/>
      </c>
      <c r="H1875" s="58" t="str">
        <f>IF(OR(COUNTA(A1875:E1875)=0,D1875=""),"",IFERROR(INDEX(ca_type,MATCH(D1875,ca_name,0))&amp;"",""))</f>
        <v/>
      </c>
      <c r="I1875" s="58" t="str">
        <f>IF(COUNTA(A1875:E1875)=0,"",IF(N(A1875)&lt;=0,"Date manquante ou invalide",IF(B1875="","Équipe manquante",IF(ISNA(MATCH(B1875,eq_code,0)),"Équipe inconnue",IF(C1875="","Poste manquant",IF(ISNA(MATCH(C1875,po_code,0)),"Poste inconnu",IF(D1875="","Cause manquante",IF(ISNA(MATCH(D1875,ca_name,0)),"Cause inconnue",IF(H1875="","Cause à compléter dans Paramètres",IF(OR(NOT(ISNUMBER(E1875)),N(E1875)&lt;=0,N(E1875)&gt;1440),"Durée invalide",IF(COUNTIFS(sj_date,A1875,sj_eq,B1875,sj_po,C1875)=0,"Pas de saisie journalière ce jour-là","OK")))))))))))</f>
        <v/>
      </c>
      <c r="J1875">
        <f>IF(OR(I1875="OK",I1875="Pas de saisie journalière ce jour-là"),E1875,0)</f>
        <v>0.0</v>
      </c>
      <c r="K1875">
        <f>IF(AND(J1875&gt;0,A1875&gt;=p_from,A1875&lt;=p_to),1,0)</f>
        <v>0.0</v>
      </c>
      <c r="L1875">
        <f>IF(AND(K1875=1,OR(pa_po="",C1875=pa_po),OR(pa_eq="",B1875=pa_eq)),1,0)</f>
        <v>0.0</v>
      </c>
    </row>
    <row r="1876">
      <c r="A1876" s="51" t="n"/>
      <c r="B1876" s="52" t="n"/>
      <c r="C1876" s="52" t="n"/>
      <c r="D1876" s="53" t="n"/>
      <c r="E1876" s="60" t="n"/>
      <c r="F1876" s="53" t="n"/>
      <c r="G1876" s="61" t="str">
        <f>IF(OR(COUNTA(A1876:E1876)=0,D1876=""),"",IFERROR(INDEX(ca_fam,MATCH(D1876,ca_name,0))&amp;"",""))</f>
        <v/>
      </c>
      <c r="H1876" s="58" t="str">
        <f>IF(OR(COUNTA(A1876:E1876)=0,D1876=""),"",IFERROR(INDEX(ca_type,MATCH(D1876,ca_name,0))&amp;"",""))</f>
        <v/>
      </c>
      <c r="I1876" s="58" t="str">
        <f>IF(COUNTA(A1876:E1876)=0,"",IF(N(A1876)&lt;=0,"Date manquante ou invalide",IF(B1876="","Équipe manquante",IF(ISNA(MATCH(B1876,eq_code,0)),"Équipe inconnue",IF(C1876="","Poste manquant",IF(ISNA(MATCH(C1876,po_code,0)),"Poste inconnu",IF(D1876="","Cause manquante",IF(ISNA(MATCH(D1876,ca_name,0)),"Cause inconnue",IF(H1876="","Cause à compléter dans Paramètres",IF(OR(NOT(ISNUMBER(E1876)),N(E1876)&lt;=0,N(E1876)&gt;1440),"Durée invalide",IF(COUNTIFS(sj_date,A1876,sj_eq,B1876,sj_po,C1876)=0,"Pas de saisie journalière ce jour-là","OK")))))))))))</f>
        <v/>
      </c>
      <c r="J1876">
        <f>IF(OR(I1876="OK",I1876="Pas de saisie journalière ce jour-là"),E1876,0)</f>
        <v>0.0</v>
      </c>
      <c r="K1876">
        <f>IF(AND(J1876&gt;0,A1876&gt;=p_from,A1876&lt;=p_to),1,0)</f>
        <v>0.0</v>
      </c>
      <c r="L1876">
        <f>IF(AND(K1876=1,OR(pa_po="",C1876=pa_po),OR(pa_eq="",B1876=pa_eq)),1,0)</f>
        <v>0.0</v>
      </c>
    </row>
    <row r="1877">
      <c r="A1877" s="51" t="n"/>
      <c r="B1877" s="52" t="n"/>
      <c r="C1877" s="52" t="n"/>
      <c r="D1877" s="53" t="n"/>
      <c r="E1877" s="60" t="n"/>
      <c r="F1877" s="53" t="n"/>
      <c r="G1877" s="61" t="str">
        <f>IF(OR(COUNTA(A1877:E1877)=0,D1877=""),"",IFERROR(INDEX(ca_fam,MATCH(D1877,ca_name,0))&amp;"",""))</f>
        <v/>
      </c>
      <c r="H1877" s="58" t="str">
        <f>IF(OR(COUNTA(A1877:E1877)=0,D1877=""),"",IFERROR(INDEX(ca_type,MATCH(D1877,ca_name,0))&amp;"",""))</f>
        <v/>
      </c>
      <c r="I1877" s="58" t="str">
        <f>IF(COUNTA(A1877:E1877)=0,"",IF(N(A1877)&lt;=0,"Date manquante ou invalide",IF(B1877="","Équipe manquante",IF(ISNA(MATCH(B1877,eq_code,0)),"Équipe inconnue",IF(C1877="","Poste manquant",IF(ISNA(MATCH(C1877,po_code,0)),"Poste inconnu",IF(D1877="","Cause manquante",IF(ISNA(MATCH(D1877,ca_name,0)),"Cause inconnue",IF(H1877="","Cause à compléter dans Paramètres",IF(OR(NOT(ISNUMBER(E1877)),N(E1877)&lt;=0,N(E1877)&gt;1440),"Durée invalide",IF(COUNTIFS(sj_date,A1877,sj_eq,B1877,sj_po,C1877)=0,"Pas de saisie journalière ce jour-là","OK")))))))))))</f>
        <v/>
      </c>
      <c r="J1877">
        <f>IF(OR(I1877="OK",I1877="Pas de saisie journalière ce jour-là"),E1877,0)</f>
        <v>0.0</v>
      </c>
      <c r="K1877">
        <f>IF(AND(J1877&gt;0,A1877&gt;=p_from,A1877&lt;=p_to),1,0)</f>
        <v>0.0</v>
      </c>
      <c r="L1877">
        <f>IF(AND(K1877=1,OR(pa_po="",C1877=pa_po),OR(pa_eq="",B1877=pa_eq)),1,0)</f>
        <v>0.0</v>
      </c>
    </row>
    <row r="1878">
      <c r="A1878" s="51" t="n"/>
      <c r="B1878" s="52" t="n"/>
      <c r="C1878" s="52" t="n"/>
      <c r="D1878" s="53" t="n"/>
      <c r="E1878" s="60" t="n"/>
      <c r="F1878" s="53" t="n"/>
      <c r="G1878" s="61" t="str">
        <f>IF(OR(COUNTA(A1878:E1878)=0,D1878=""),"",IFERROR(INDEX(ca_fam,MATCH(D1878,ca_name,0))&amp;"",""))</f>
        <v/>
      </c>
      <c r="H1878" s="58" t="str">
        <f>IF(OR(COUNTA(A1878:E1878)=0,D1878=""),"",IFERROR(INDEX(ca_type,MATCH(D1878,ca_name,0))&amp;"",""))</f>
        <v/>
      </c>
      <c r="I1878" s="58" t="str">
        <f>IF(COUNTA(A1878:E1878)=0,"",IF(N(A1878)&lt;=0,"Date manquante ou invalide",IF(B1878="","Équipe manquante",IF(ISNA(MATCH(B1878,eq_code,0)),"Équipe inconnue",IF(C1878="","Poste manquant",IF(ISNA(MATCH(C1878,po_code,0)),"Poste inconnu",IF(D1878="","Cause manquante",IF(ISNA(MATCH(D1878,ca_name,0)),"Cause inconnue",IF(H1878="","Cause à compléter dans Paramètres",IF(OR(NOT(ISNUMBER(E1878)),N(E1878)&lt;=0,N(E1878)&gt;1440),"Durée invalide",IF(COUNTIFS(sj_date,A1878,sj_eq,B1878,sj_po,C1878)=0,"Pas de saisie journalière ce jour-là","OK")))))))))))</f>
        <v/>
      </c>
      <c r="J1878">
        <f>IF(OR(I1878="OK",I1878="Pas de saisie journalière ce jour-là"),E1878,0)</f>
        <v>0.0</v>
      </c>
      <c r="K1878">
        <f>IF(AND(J1878&gt;0,A1878&gt;=p_from,A1878&lt;=p_to),1,0)</f>
        <v>0.0</v>
      </c>
      <c r="L1878">
        <f>IF(AND(K1878=1,OR(pa_po="",C1878=pa_po),OR(pa_eq="",B1878=pa_eq)),1,0)</f>
        <v>0.0</v>
      </c>
    </row>
    <row r="1879">
      <c r="A1879" s="51" t="n"/>
      <c r="B1879" s="52" t="n"/>
      <c r="C1879" s="52" t="n"/>
      <c r="D1879" s="53" t="n"/>
      <c r="E1879" s="60" t="n"/>
      <c r="F1879" s="53" t="n"/>
      <c r="G1879" s="61" t="str">
        <f>IF(OR(COUNTA(A1879:E1879)=0,D1879=""),"",IFERROR(INDEX(ca_fam,MATCH(D1879,ca_name,0))&amp;"",""))</f>
        <v/>
      </c>
      <c r="H1879" s="58" t="str">
        <f>IF(OR(COUNTA(A1879:E1879)=0,D1879=""),"",IFERROR(INDEX(ca_type,MATCH(D1879,ca_name,0))&amp;"",""))</f>
        <v/>
      </c>
      <c r="I1879" s="58" t="str">
        <f>IF(COUNTA(A1879:E1879)=0,"",IF(N(A1879)&lt;=0,"Date manquante ou invalide",IF(B1879="","Équipe manquante",IF(ISNA(MATCH(B1879,eq_code,0)),"Équipe inconnue",IF(C1879="","Poste manquant",IF(ISNA(MATCH(C1879,po_code,0)),"Poste inconnu",IF(D1879="","Cause manquante",IF(ISNA(MATCH(D1879,ca_name,0)),"Cause inconnue",IF(H1879="","Cause à compléter dans Paramètres",IF(OR(NOT(ISNUMBER(E1879)),N(E1879)&lt;=0,N(E1879)&gt;1440),"Durée invalide",IF(COUNTIFS(sj_date,A1879,sj_eq,B1879,sj_po,C1879)=0,"Pas de saisie journalière ce jour-là","OK")))))))))))</f>
        <v/>
      </c>
      <c r="J1879">
        <f>IF(OR(I1879="OK",I1879="Pas de saisie journalière ce jour-là"),E1879,0)</f>
        <v>0.0</v>
      </c>
      <c r="K1879">
        <f>IF(AND(J1879&gt;0,A1879&gt;=p_from,A1879&lt;=p_to),1,0)</f>
        <v>0.0</v>
      </c>
      <c r="L1879">
        <f>IF(AND(K1879=1,OR(pa_po="",C1879=pa_po),OR(pa_eq="",B1879=pa_eq)),1,0)</f>
        <v>0.0</v>
      </c>
    </row>
    <row r="1880">
      <c r="A1880" s="51" t="n"/>
      <c r="B1880" s="52" t="n"/>
      <c r="C1880" s="52" t="n"/>
      <c r="D1880" s="53" t="n"/>
      <c r="E1880" s="60" t="n"/>
      <c r="F1880" s="53" t="n"/>
      <c r="G1880" s="61" t="str">
        <f>IF(OR(COUNTA(A1880:E1880)=0,D1880=""),"",IFERROR(INDEX(ca_fam,MATCH(D1880,ca_name,0))&amp;"",""))</f>
        <v/>
      </c>
      <c r="H1880" s="58" t="str">
        <f>IF(OR(COUNTA(A1880:E1880)=0,D1880=""),"",IFERROR(INDEX(ca_type,MATCH(D1880,ca_name,0))&amp;"",""))</f>
        <v/>
      </c>
      <c r="I1880" s="58" t="str">
        <f>IF(COUNTA(A1880:E1880)=0,"",IF(N(A1880)&lt;=0,"Date manquante ou invalide",IF(B1880="","Équipe manquante",IF(ISNA(MATCH(B1880,eq_code,0)),"Équipe inconnue",IF(C1880="","Poste manquant",IF(ISNA(MATCH(C1880,po_code,0)),"Poste inconnu",IF(D1880="","Cause manquante",IF(ISNA(MATCH(D1880,ca_name,0)),"Cause inconnue",IF(H1880="","Cause à compléter dans Paramètres",IF(OR(NOT(ISNUMBER(E1880)),N(E1880)&lt;=0,N(E1880)&gt;1440),"Durée invalide",IF(COUNTIFS(sj_date,A1880,sj_eq,B1880,sj_po,C1880)=0,"Pas de saisie journalière ce jour-là","OK")))))))))))</f>
        <v/>
      </c>
      <c r="J1880">
        <f>IF(OR(I1880="OK",I1880="Pas de saisie journalière ce jour-là"),E1880,0)</f>
        <v>0.0</v>
      </c>
      <c r="K1880">
        <f>IF(AND(J1880&gt;0,A1880&gt;=p_from,A1880&lt;=p_to),1,0)</f>
        <v>0.0</v>
      </c>
      <c r="L1880">
        <f>IF(AND(K1880=1,OR(pa_po="",C1880=pa_po),OR(pa_eq="",B1880=pa_eq)),1,0)</f>
        <v>0.0</v>
      </c>
    </row>
    <row r="1881">
      <c r="A1881" s="51" t="n"/>
      <c r="B1881" s="52" t="n"/>
      <c r="C1881" s="52" t="n"/>
      <c r="D1881" s="53" t="n"/>
      <c r="E1881" s="60" t="n"/>
      <c r="F1881" s="53" t="n"/>
      <c r="G1881" s="61" t="str">
        <f>IF(OR(COUNTA(A1881:E1881)=0,D1881=""),"",IFERROR(INDEX(ca_fam,MATCH(D1881,ca_name,0))&amp;"",""))</f>
        <v/>
      </c>
      <c r="H1881" s="58" t="str">
        <f>IF(OR(COUNTA(A1881:E1881)=0,D1881=""),"",IFERROR(INDEX(ca_type,MATCH(D1881,ca_name,0))&amp;"",""))</f>
        <v/>
      </c>
      <c r="I1881" s="58" t="str">
        <f>IF(COUNTA(A1881:E1881)=0,"",IF(N(A1881)&lt;=0,"Date manquante ou invalide",IF(B1881="","Équipe manquante",IF(ISNA(MATCH(B1881,eq_code,0)),"Équipe inconnue",IF(C1881="","Poste manquant",IF(ISNA(MATCH(C1881,po_code,0)),"Poste inconnu",IF(D1881="","Cause manquante",IF(ISNA(MATCH(D1881,ca_name,0)),"Cause inconnue",IF(H1881="","Cause à compléter dans Paramètres",IF(OR(NOT(ISNUMBER(E1881)),N(E1881)&lt;=0,N(E1881)&gt;1440),"Durée invalide",IF(COUNTIFS(sj_date,A1881,sj_eq,B1881,sj_po,C1881)=0,"Pas de saisie journalière ce jour-là","OK")))))))))))</f>
        <v/>
      </c>
      <c r="J1881">
        <f>IF(OR(I1881="OK",I1881="Pas de saisie journalière ce jour-là"),E1881,0)</f>
        <v>0.0</v>
      </c>
      <c r="K1881">
        <f>IF(AND(J1881&gt;0,A1881&gt;=p_from,A1881&lt;=p_to),1,0)</f>
        <v>0.0</v>
      </c>
      <c r="L1881">
        <f>IF(AND(K1881=1,OR(pa_po="",C1881=pa_po),OR(pa_eq="",B1881=pa_eq)),1,0)</f>
        <v>0.0</v>
      </c>
    </row>
    <row r="1882">
      <c r="A1882" s="51" t="n"/>
      <c r="B1882" s="52" t="n"/>
      <c r="C1882" s="52" t="n"/>
      <c r="D1882" s="53" t="n"/>
      <c r="E1882" s="60" t="n"/>
      <c r="F1882" s="53" t="n"/>
      <c r="G1882" s="61" t="str">
        <f>IF(OR(COUNTA(A1882:E1882)=0,D1882=""),"",IFERROR(INDEX(ca_fam,MATCH(D1882,ca_name,0))&amp;"",""))</f>
        <v/>
      </c>
      <c r="H1882" s="58" t="str">
        <f>IF(OR(COUNTA(A1882:E1882)=0,D1882=""),"",IFERROR(INDEX(ca_type,MATCH(D1882,ca_name,0))&amp;"",""))</f>
        <v/>
      </c>
      <c r="I1882" s="58" t="str">
        <f>IF(COUNTA(A1882:E1882)=0,"",IF(N(A1882)&lt;=0,"Date manquante ou invalide",IF(B1882="","Équipe manquante",IF(ISNA(MATCH(B1882,eq_code,0)),"Équipe inconnue",IF(C1882="","Poste manquant",IF(ISNA(MATCH(C1882,po_code,0)),"Poste inconnu",IF(D1882="","Cause manquante",IF(ISNA(MATCH(D1882,ca_name,0)),"Cause inconnue",IF(H1882="","Cause à compléter dans Paramètres",IF(OR(NOT(ISNUMBER(E1882)),N(E1882)&lt;=0,N(E1882)&gt;1440),"Durée invalide",IF(COUNTIFS(sj_date,A1882,sj_eq,B1882,sj_po,C1882)=0,"Pas de saisie journalière ce jour-là","OK")))))))))))</f>
        <v/>
      </c>
      <c r="J1882">
        <f>IF(OR(I1882="OK",I1882="Pas de saisie journalière ce jour-là"),E1882,0)</f>
        <v>0.0</v>
      </c>
      <c r="K1882">
        <f>IF(AND(J1882&gt;0,A1882&gt;=p_from,A1882&lt;=p_to),1,0)</f>
        <v>0.0</v>
      </c>
      <c r="L1882">
        <f>IF(AND(K1882=1,OR(pa_po="",C1882=pa_po),OR(pa_eq="",B1882=pa_eq)),1,0)</f>
        <v>0.0</v>
      </c>
    </row>
    <row r="1883">
      <c r="A1883" s="51" t="n"/>
      <c r="B1883" s="52" t="n"/>
      <c r="C1883" s="52" t="n"/>
      <c r="D1883" s="53" t="n"/>
      <c r="E1883" s="60" t="n"/>
      <c r="F1883" s="53" t="n"/>
      <c r="G1883" s="61" t="str">
        <f>IF(OR(COUNTA(A1883:E1883)=0,D1883=""),"",IFERROR(INDEX(ca_fam,MATCH(D1883,ca_name,0))&amp;"",""))</f>
        <v/>
      </c>
      <c r="H1883" s="58" t="str">
        <f>IF(OR(COUNTA(A1883:E1883)=0,D1883=""),"",IFERROR(INDEX(ca_type,MATCH(D1883,ca_name,0))&amp;"",""))</f>
        <v/>
      </c>
      <c r="I1883" s="58" t="str">
        <f>IF(COUNTA(A1883:E1883)=0,"",IF(N(A1883)&lt;=0,"Date manquante ou invalide",IF(B1883="","Équipe manquante",IF(ISNA(MATCH(B1883,eq_code,0)),"Équipe inconnue",IF(C1883="","Poste manquant",IF(ISNA(MATCH(C1883,po_code,0)),"Poste inconnu",IF(D1883="","Cause manquante",IF(ISNA(MATCH(D1883,ca_name,0)),"Cause inconnue",IF(H1883="","Cause à compléter dans Paramètres",IF(OR(NOT(ISNUMBER(E1883)),N(E1883)&lt;=0,N(E1883)&gt;1440),"Durée invalide",IF(COUNTIFS(sj_date,A1883,sj_eq,B1883,sj_po,C1883)=0,"Pas de saisie journalière ce jour-là","OK")))))))))))</f>
        <v/>
      </c>
      <c r="J1883">
        <f>IF(OR(I1883="OK",I1883="Pas de saisie journalière ce jour-là"),E1883,0)</f>
        <v>0.0</v>
      </c>
      <c r="K1883">
        <f>IF(AND(J1883&gt;0,A1883&gt;=p_from,A1883&lt;=p_to),1,0)</f>
        <v>0.0</v>
      </c>
      <c r="L1883">
        <f>IF(AND(K1883=1,OR(pa_po="",C1883=pa_po),OR(pa_eq="",B1883=pa_eq)),1,0)</f>
        <v>0.0</v>
      </c>
    </row>
    <row r="1884">
      <c r="A1884" s="51" t="n"/>
      <c r="B1884" s="52" t="n"/>
      <c r="C1884" s="52" t="n"/>
      <c r="D1884" s="53" t="n"/>
      <c r="E1884" s="60" t="n"/>
      <c r="F1884" s="53" t="n"/>
      <c r="G1884" s="61" t="str">
        <f>IF(OR(COUNTA(A1884:E1884)=0,D1884=""),"",IFERROR(INDEX(ca_fam,MATCH(D1884,ca_name,0))&amp;"",""))</f>
        <v/>
      </c>
      <c r="H1884" s="58" t="str">
        <f>IF(OR(COUNTA(A1884:E1884)=0,D1884=""),"",IFERROR(INDEX(ca_type,MATCH(D1884,ca_name,0))&amp;"",""))</f>
        <v/>
      </c>
      <c r="I1884" s="58" t="str">
        <f>IF(COUNTA(A1884:E1884)=0,"",IF(N(A1884)&lt;=0,"Date manquante ou invalide",IF(B1884="","Équipe manquante",IF(ISNA(MATCH(B1884,eq_code,0)),"Équipe inconnue",IF(C1884="","Poste manquant",IF(ISNA(MATCH(C1884,po_code,0)),"Poste inconnu",IF(D1884="","Cause manquante",IF(ISNA(MATCH(D1884,ca_name,0)),"Cause inconnue",IF(H1884="","Cause à compléter dans Paramètres",IF(OR(NOT(ISNUMBER(E1884)),N(E1884)&lt;=0,N(E1884)&gt;1440),"Durée invalide",IF(COUNTIFS(sj_date,A1884,sj_eq,B1884,sj_po,C1884)=0,"Pas de saisie journalière ce jour-là","OK")))))))))))</f>
        <v/>
      </c>
      <c r="J1884">
        <f>IF(OR(I1884="OK",I1884="Pas de saisie journalière ce jour-là"),E1884,0)</f>
        <v>0.0</v>
      </c>
      <c r="K1884">
        <f>IF(AND(J1884&gt;0,A1884&gt;=p_from,A1884&lt;=p_to),1,0)</f>
        <v>0.0</v>
      </c>
      <c r="L1884">
        <f>IF(AND(K1884=1,OR(pa_po="",C1884=pa_po),OR(pa_eq="",B1884=pa_eq)),1,0)</f>
        <v>0.0</v>
      </c>
    </row>
    <row r="1885">
      <c r="A1885" s="51" t="n"/>
      <c r="B1885" s="52" t="n"/>
      <c r="C1885" s="52" t="n"/>
      <c r="D1885" s="53" t="n"/>
      <c r="E1885" s="60" t="n"/>
      <c r="F1885" s="53" t="n"/>
      <c r="G1885" s="61" t="str">
        <f>IF(OR(COUNTA(A1885:E1885)=0,D1885=""),"",IFERROR(INDEX(ca_fam,MATCH(D1885,ca_name,0))&amp;"",""))</f>
        <v/>
      </c>
      <c r="H1885" s="58" t="str">
        <f>IF(OR(COUNTA(A1885:E1885)=0,D1885=""),"",IFERROR(INDEX(ca_type,MATCH(D1885,ca_name,0))&amp;"",""))</f>
        <v/>
      </c>
      <c r="I1885" s="58" t="str">
        <f>IF(COUNTA(A1885:E1885)=0,"",IF(N(A1885)&lt;=0,"Date manquante ou invalide",IF(B1885="","Équipe manquante",IF(ISNA(MATCH(B1885,eq_code,0)),"Équipe inconnue",IF(C1885="","Poste manquant",IF(ISNA(MATCH(C1885,po_code,0)),"Poste inconnu",IF(D1885="","Cause manquante",IF(ISNA(MATCH(D1885,ca_name,0)),"Cause inconnue",IF(H1885="","Cause à compléter dans Paramètres",IF(OR(NOT(ISNUMBER(E1885)),N(E1885)&lt;=0,N(E1885)&gt;1440),"Durée invalide",IF(COUNTIFS(sj_date,A1885,sj_eq,B1885,sj_po,C1885)=0,"Pas de saisie journalière ce jour-là","OK")))))))))))</f>
        <v/>
      </c>
      <c r="J1885">
        <f>IF(OR(I1885="OK",I1885="Pas de saisie journalière ce jour-là"),E1885,0)</f>
        <v>0.0</v>
      </c>
      <c r="K1885">
        <f>IF(AND(J1885&gt;0,A1885&gt;=p_from,A1885&lt;=p_to),1,0)</f>
        <v>0.0</v>
      </c>
      <c r="L1885">
        <f>IF(AND(K1885=1,OR(pa_po="",C1885=pa_po),OR(pa_eq="",B1885=pa_eq)),1,0)</f>
        <v>0.0</v>
      </c>
    </row>
    <row r="1886">
      <c r="A1886" s="51" t="n"/>
      <c r="B1886" s="52" t="n"/>
      <c r="C1886" s="52" t="n"/>
      <c r="D1886" s="53" t="n"/>
      <c r="E1886" s="60" t="n"/>
      <c r="F1886" s="53" t="n"/>
      <c r="G1886" s="61" t="str">
        <f>IF(OR(COUNTA(A1886:E1886)=0,D1886=""),"",IFERROR(INDEX(ca_fam,MATCH(D1886,ca_name,0))&amp;"",""))</f>
        <v/>
      </c>
      <c r="H1886" s="58" t="str">
        <f>IF(OR(COUNTA(A1886:E1886)=0,D1886=""),"",IFERROR(INDEX(ca_type,MATCH(D1886,ca_name,0))&amp;"",""))</f>
        <v/>
      </c>
      <c r="I1886" s="58" t="str">
        <f>IF(COUNTA(A1886:E1886)=0,"",IF(N(A1886)&lt;=0,"Date manquante ou invalide",IF(B1886="","Équipe manquante",IF(ISNA(MATCH(B1886,eq_code,0)),"Équipe inconnue",IF(C1886="","Poste manquant",IF(ISNA(MATCH(C1886,po_code,0)),"Poste inconnu",IF(D1886="","Cause manquante",IF(ISNA(MATCH(D1886,ca_name,0)),"Cause inconnue",IF(H1886="","Cause à compléter dans Paramètres",IF(OR(NOT(ISNUMBER(E1886)),N(E1886)&lt;=0,N(E1886)&gt;1440),"Durée invalide",IF(COUNTIFS(sj_date,A1886,sj_eq,B1886,sj_po,C1886)=0,"Pas de saisie journalière ce jour-là","OK")))))))))))</f>
        <v/>
      </c>
      <c r="J1886">
        <f>IF(OR(I1886="OK",I1886="Pas de saisie journalière ce jour-là"),E1886,0)</f>
        <v>0.0</v>
      </c>
      <c r="K1886">
        <f>IF(AND(J1886&gt;0,A1886&gt;=p_from,A1886&lt;=p_to),1,0)</f>
        <v>0.0</v>
      </c>
      <c r="L1886">
        <f>IF(AND(K1886=1,OR(pa_po="",C1886=pa_po),OR(pa_eq="",B1886=pa_eq)),1,0)</f>
        <v>0.0</v>
      </c>
    </row>
    <row r="1887">
      <c r="A1887" s="51" t="n"/>
      <c r="B1887" s="52" t="n"/>
      <c r="C1887" s="52" t="n"/>
      <c r="D1887" s="53" t="n"/>
      <c r="E1887" s="60" t="n"/>
      <c r="F1887" s="53" t="n"/>
      <c r="G1887" s="61" t="str">
        <f>IF(OR(COUNTA(A1887:E1887)=0,D1887=""),"",IFERROR(INDEX(ca_fam,MATCH(D1887,ca_name,0))&amp;"",""))</f>
        <v/>
      </c>
      <c r="H1887" s="58" t="str">
        <f>IF(OR(COUNTA(A1887:E1887)=0,D1887=""),"",IFERROR(INDEX(ca_type,MATCH(D1887,ca_name,0))&amp;"",""))</f>
        <v/>
      </c>
      <c r="I1887" s="58" t="str">
        <f>IF(COUNTA(A1887:E1887)=0,"",IF(N(A1887)&lt;=0,"Date manquante ou invalide",IF(B1887="","Équipe manquante",IF(ISNA(MATCH(B1887,eq_code,0)),"Équipe inconnue",IF(C1887="","Poste manquant",IF(ISNA(MATCH(C1887,po_code,0)),"Poste inconnu",IF(D1887="","Cause manquante",IF(ISNA(MATCH(D1887,ca_name,0)),"Cause inconnue",IF(H1887="","Cause à compléter dans Paramètres",IF(OR(NOT(ISNUMBER(E1887)),N(E1887)&lt;=0,N(E1887)&gt;1440),"Durée invalide",IF(COUNTIFS(sj_date,A1887,sj_eq,B1887,sj_po,C1887)=0,"Pas de saisie journalière ce jour-là","OK")))))))))))</f>
        <v/>
      </c>
      <c r="J1887">
        <f>IF(OR(I1887="OK",I1887="Pas de saisie journalière ce jour-là"),E1887,0)</f>
        <v>0.0</v>
      </c>
      <c r="K1887">
        <f>IF(AND(J1887&gt;0,A1887&gt;=p_from,A1887&lt;=p_to),1,0)</f>
        <v>0.0</v>
      </c>
      <c r="L1887">
        <f>IF(AND(K1887=1,OR(pa_po="",C1887=pa_po),OR(pa_eq="",B1887=pa_eq)),1,0)</f>
        <v>0.0</v>
      </c>
    </row>
    <row r="1888">
      <c r="A1888" s="51" t="n"/>
      <c r="B1888" s="52" t="n"/>
      <c r="C1888" s="52" t="n"/>
      <c r="D1888" s="53" t="n"/>
      <c r="E1888" s="60" t="n"/>
      <c r="F1888" s="53" t="n"/>
      <c r="G1888" s="61" t="str">
        <f>IF(OR(COUNTA(A1888:E1888)=0,D1888=""),"",IFERROR(INDEX(ca_fam,MATCH(D1888,ca_name,0))&amp;"",""))</f>
        <v/>
      </c>
      <c r="H1888" s="58" t="str">
        <f>IF(OR(COUNTA(A1888:E1888)=0,D1888=""),"",IFERROR(INDEX(ca_type,MATCH(D1888,ca_name,0))&amp;"",""))</f>
        <v/>
      </c>
      <c r="I1888" s="58" t="str">
        <f>IF(COUNTA(A1888:E1888)=0,"",IF(N(A1888)&lt;=0,"Date manquante ou invalide",IF(B1888="","Équipe manquante",IF(ISNA(MATCH(B1888,eq_code,0)),"Équipe inconnue",IF(C1888="","Poste manquant",IF(ISNA(MATCH(C1888,po_code,0)),"Poste inconnu",IF(D1888="","Cause manquante",IF(ISNA(MATCH(D1888,ca_name,0)),"Cause inconnue",IF(H1888="","Cause à compléter dans Paramètres",IF(OR(NOT(ISNUMBER(E1888)),N(E1888)&lt;=0,N(E1888)&gt;1440),"Durée invalide",IF(COUNTIFS(sj_date,A1888,sj_eq,B1888,sj_po,C1888)=0,"Pas de saisie journalière ce jour-là","OK")))))))))))</f>
        <v/>
      </c>
      <c r="J1888">
        <f>IF(OR(I1888="OK",I1888="Pas de saisie journalière ce jour-là"),E1888,0)</f>
        <v>0.0</v>
      </c>
      <c r="K1888">
        <f>IF(AND(J1888&gt;0,A1888&gt;=p_from,A1888&lt;=p_to),1,0)</f>
        <v>0.0</v>
      </c>
      <c r="L1888">
        <f>IF(AND(K1888=1,OR(pa_po="",C1888=pa_po),OR(pa_eq="",B1888=pa_eq)),1,0)</f>
        <v>0.0</v>
      </c>
    </row>
    <row r="1889">
      <c r="A1889" s="51" t="n"/>
      <c r="B1889" s="52" t="n"/>
      <c r="C1889" s="52" t="n"/>
      <c r="D1889" s="53" t="n"/>
      <c r="E1889" s="60" t="n"/>
      <c r="F1889" s="53" t="n"/>
      <c r="G1889" s="61" t="str">
        <f>IF(OR(COUNTA(A1889:E1889)=0,D1889=""),"",IFERROR(INDEX(ca_fam,MATCH(D1889,ca_name,0))&amp;"",""))</f>
        <v/>
      </c>
      <c r="H1889" s="58" t="str">
        <f>IF(OR(COUNTA(A1889:E1889)=0,D1889=""),"",IFERROR(INDEX(ca_type,MATCH(D1889,ca_name,0))&amp;"",""))</f>
        <v/>
      </c>
      <c r="I1889" s="58" t="str">
        <f>IF(COUNTA(A1889:E1889)=0,"",IF(N(A1889)&lt;=0,"Date manquante ou invalide",IF(B1889="","Équipe manquante",IF(ISNA(MATCH(B1889,eq_code,0)),"Équipe inconnue",IF(C1889="","Poste manquant",IF(ISNA(MATCH(C1889,po_code,0)),"Poste inconnu",IF(D1889="","Cause manquante",IF(ISNA(MATCH(D1889,ca_name,0)),"Cause inconnue",IF(H1889="","Cause à compléter dans Paramètres",IF(OR(NOT(ISNUMBER(E1889)),N(E1889)&lt;=0,N(E1889)&gt;1440),"Durée invalide",IF(COUNTIFS(sj_date,A1889,sj_eq,B1889,sj_po,C1889)=0,"Pas de saisie journalière ce jour-là","OK")))))))))))</f>
        <v/>
      </c>
      <c r="J1889">
        <f>IF(OR(I1889="OK",I1889="Pas de saisie journalière ce jour-là"),E1889,0)</f>
        <v>0.0</v>
      </c>
      <c r="K1889">
        <f>IF(AND(J1889&gt;0,A1889&gt;=p_from,A1889&lt;=p_to),1,0)</f>
        <v>0.0</v>
      </c>
      <c r="L1889">
        <f>IF(AND(K1889=1,OR(pa_po="",C1889=pa_po),OR(pa_eq="",B1889=pa_eq)),1,0)</f>
        <v>0.0</v>
      </c>
    </row>
    <row r="1890">
      <c r="A1890" s="51" t="n"/>
      <c r="B1890" s="52" t="n"/>
      <c r="C1890" s="52" t="n"/>
      <c r="D1890" s="53" t="n"/>
      <c r="E1890" s="60" t="n"/>
      <c r="F1890" s="53" t="n"/>
      <c r="G1890" s="61" t="str">
        <f>IF(OR(COUNTA(A1890:E1890)=0,D1890=""),"",IFERROR(INDEX(ca_fam,MATCH(D1890,ca_name,0))&amp;"",""))</f>
        <v/>
      </c>
      <c r="H1890" s="58" t="str">
        <f>IF(OR(COUNTA(A1890:E1890)=0,D1890=""),"",IFERROR(INDEX(ca_type,MATCH(D1890,ca_name,0))&amp;"",""))</f>
        <v/>
      </c>
      <c r="I1890" s="58" t="str">
        <f>IF(COUNTA(A1890:E1890)=0,"",IF(N(A1890)&lt;=0,"Date manquante ou invalide",IF(B1890="","Équipe manquante",IF(ISNA(MATCH(B1890,eq_code,0)),"Équipe inconnue",IF(C1890="","Poste manquant",IF(ISNA(MATCH(C1890,po_code,0)),"Poste inconnu",IF(D1890="","Cause manquante",IF(ISNA(MATCH(D1890,ca_name,0)),"Cause inconnue",IF(H1890="","Cause à compléter dans Paramètres",IF(OR(NOT(ISNUMBER(E1890)),N(E1890)&lt;=0,N(E1890)&gt;1440),"Durée invalide",IF(COUNTIFS(sj_date,A1890,sj_eq,B1890,sj_po,C1890)=0,"Pas de saisie journalière ce jour-là","OK")))))))))))</f>
        <v/>
      </c>
      <c r="J1890">
        <f>IF(OR(I1890="OK",I1890="Pas de saisie journalière ce jour-là"),E1890,0)</f>
        <v>0.0</v>
      </c>
      <c r="K1890">
        <f>IF(AND(J1890&gt;0,A1890&gt;=p_from,A1890&lt;=p_to),1,0)</f>
        <v>0.0</v>
      </c>
      <c r="L1890">
        <f>IF(AND(K1890=1,OR(pa_po="",C1890=pa_po),OR(pa_eq="",B1890=pa_eq)),1,0)</f>
        <v>0.0</v>
      </c>
    </row>
    <row r="1891">
      <c r="A1891" s="51" t="n"/>
      <c r="B1891" s="52" t="n"/>
      <c r="C1891" s="52" t="n"/>
      <c r="D1891" s="53" t="n"/>
      <c r="E1891" s="60" t="n"/>
      <c r="F1891" s="53" t="n"/>
      <c r="G1891" s="61" t="str">
        <f>IF(OR(COUNTA(A1891:E1891)=0,D1891=""),"",IFERROR(INDEX(ca_fam,MATCH(D1891,ca_name,0))&amp;"",""))</f>
        <v/>
      </c>
      <c r="H1891" s="58" t="str">
        <f>IF(OR(COUNTA(A1891:E1891)=0,D1891=""),"",IFERROR(INDEX(ca_type,MATCH(D1891,ca_name,0))&amp;"",""))</f>
        <v/>
      </c>
      <c r="I1891" s="58" t="str">
        <f>IF(COUNTA(A1891:E1891)=0,"",IF(N(A1891)&lt;=0,"Date manquante ou invalide",IF(B1891="","Équipe manquante",IF(ISNA(MATCH(B1891,eq_code,0)),"Équipe inconnue",IF(C1891="","Poste manquant",IF(ISNA(MATCH(C1891,po_code,0)),"Poste inconnu",IF(D1891="","Cause manquante",IF(ISNA(MATCH(D1891,ca_name,0)),"Cause inconnue",IF(H1891="","Cause à compléter dans Paramètres",IF(OR(NOT(ISNUMBER(E1891)),N(E1891)&lt;=0,N(E1891)&gt;1440),"Durée invalide",IF(COUNTIFS(sj_date,A1891,sj_eq,B1891,sj_po,C1891)=0,"Pas de saisie journalière ce jour-là","OK")))))))))))</f>
        <v/>
      </c>
      <c r="J1891">
        <f>IF(OR(I1891="OK",I1891="Pas de saisie journalière ce jour-là"),E1891,0)</f>
        <v>0.0</v>
      </c>
      <c r="K1891">
        <f>IF(AND(J1891&gt;0,A1891&gt;=p_from,A1891&lt;=p_to),1,0)</f>
        <v>0.0</v>
      </c>
      <c r="L1891">
        <f>IF(AND(K1891=1,OR(pa_po="",C1891=pa_po),OR(pa_eq="",B1891=pa_eq)),1,0)</f>
        <v>0.0</v>
      </c>
    </row>
    <row r="1892">
      <c r="A1892" s="51" t="n"/>
      <c r="B1892" s="52" t="n"/>
      <c r="C1892" s="52" t="n"/>
      <c r="D1892" s="53" t="n"/>
      <c r="E1892" s="60" t="n"/>
      <c r="F1892" s="53" t="n"/>
      <c r="G1892" s="61" t="str">
        <f>IF(OR(COUNTA(A1892:E1892)=0,D1892=""),"",IFERROR(INDEX(ca_fam,MATCH(D1892,ca_name,0))&amp;"",""))</f>
        <v/>
      </c>
      <c r="H1892" s="58" t="str">
        <f>IF(OR(COUNTA(A1892:E1892)=0,D1892=""),"",IFERROR(INDEX(ca_type,MATCH(D1892,ca_name,0))&amp;"",""))</f>
        <v/>
      </c>
      <c r="I1892" s="58" t="str">
        <f>IF(COUNTA(A1892:E1892)=0,"",IF(N(A1892)&lt;=0,"Date manquante ou invalide",IF(B1892="","Équipe manquante",IF(ISNA(MATCH(B1892,eq_code,0)),"Équipe inconnue",IF(C1892="","Poste manquant",IF(ISNA(MATCH(C1892,po_code,0)),"Poste inconnu",IF(D1892="","Cause manquante",IF(ISNA(MATCH(D1892,ca_name,0)),"Cause inconnue",IF(H1892="","Cause à compléter dans Paramètres",IF(OR(NOT(ISNUMBER(E1892)),N(E1892)&lt;=0,N(E1892)&gt;1440),"Durée invalide",IF(COUNTIFS(sj_date,A1892,sj_eq,B1892,sj_po,C1892)=0,"Pas de saisie journalière ce jour-là","OK")))))))))))</f>
        <v/>
      </c>
      <c r="J1892">
        <f>IF(OR(I1892="OK",I1892="Pas de saisie journalière ce jour-là"),E1892,0)</f>
        <v>0.0</v>
      </c>
      <c r="K1892">
        <f>IF(AND(J1892&gt;0,A1892&gt;=p_from,A1892&lt;=p_to),1,0)</f>
        <v>0.0</v>
      </c>
      <c r="L1892">
        <f>IF(AND(K1892=1,OR(pa_po="",C1892=pa_po),OR(pa_eq="",B1892=pa_eq)),1,0)</f>
        <v>0.0</v>
      </c>
    </row>
    <row r="1893">
      <c r="A1893" s="51" t="n"/>
      <c r="B1893" s="52" t="n"/>
      <c r="C1893" s="52" t="n"/>
      <c r="D1893" s="53" t="n"/>
      <c r="E1893" s="60" t="n"/>
      <c r="F1893" s="53" t="n"/>
      <c r="G1893" s="61" t="str">
        <f>IF(OR(COUNTA(A1893:E1893)=0,D1893=""),"",IFERROR(INDEX(ca_fam,MATCH(D1893,ca_name,0))&amp;"",""))</f>
        <v/>
      </c>
      <c r="H1893" s="58" t="str">
        <f>IF(OR(COUNTA(A1893:E1893)=0,D1893=""),"",IFERROR(INDEX(ca_type,MATCH(D1893,ca_name,0))&amp;"",""))</f>
        <v/>
      </c>
      <c r="I1893" s="58" t="str">
        <f>IF(COUNTA(A1893:E1893)=0,"",IF(N(A1893)&lt;=0,"Date manquante ou invalide",IF(B1893="","Équipe manquante",IF(ISNA(MATCH(B1893,eq_code,0)),"Équipe inconnue",IF(C1893="","Poste manquant",IF(ISNA(MATCH(C1893,po_code,0)),"Poste inconnu",IF(D1893="","Cause manquante",IF(ISNA(MATCH(D1893,ca_name,0)),"Cause inconnue",IF(H1893="","Cause à compléter dans Paramètres",IF(OR(NOT(ISNUMBER(E1893)),N(E1893)&lt;=0,N(E1893)&gt;1440),"Durée invalide",IF(COUNTIFS(sj_date,A1893,sj_eq,B1893,sj_po,C1893)=0,"Pas de saisie journalière ce jour-là","OK")))))))))))</f>
        <v/>
      </c>
      <c r="J1893">
        <f>IF(OR(I1893="OK",I1893="Pas de saisie journalière ce jour-là"),E1893,0)</f>
        <v>0.0</v>
      </c>
      <c r="K1893">
        <f>IF(AND(J1893&gt;0,A1893&gt;=p_from,A1893&lt;=p_to),1,0)</f>
        <v>0.0</v>
      </c>
      <c r="L1893">
        <f>IF(AND(K1893=1,OR(pa_po="",C1893=pa_po),OR(pa_eq="",B1893=pa_eq)),1,0)</f>
        <v>0.0</v>
      </c>
    </row>
    <row r="1894">
      <c r="A1894" s="51" t="n"/>
      <c r="B1894" s="52" t="n"/>
      <c r="C1894" s="52" t="n"/>
      <c r="D1894" s="53" t="n"/>
      <c r="E1894" s="60" t="n"/>
      <c r="F1894" s="53" t="n"/>
      <c r="G1894" s="61" t="str">
        <f>IF(OR(COUNTA(A1894:E1894)=0,D1894=""),"",IFERROR(INDEX(ca_fam,MATCH(D1894,ca_name,0))&amp;"",""))</f>
        <v/>
      </c>
      <c r="H1894" s="58" t="str">
        <f>IF(OR(COUNTA(A1894:E1894)=0,D1894=""),"",IFERROR(INDEX(ca_type,MATCH(D1894,ca_name,0))&amp;"",""))</f>
        <v/>
      </c>
      <c r="I1894" s="58" t="str">
        <f>IF(COUNTA(A1894:E1894)=0,"",IF(N(A1894)&lt;=0,"Date manquante ou invalide",IF(B1894="","Équipe manquante",IF(ISNA(MATCH(B1894,eq_code,0)),"Équipe inconnue",IF(C1894="","Poste manquant",IF(ISNA(MATCH(C1894,po_code,0)),"Poste inconnu",IF(D1894="","Cause manquante",IF(ISNA(MATCH(D1894,ca_name,0)),"Cause inconnue",IF(H1894="","Cause à compléter dans Paramètres",IF(OR(NOT(ISNUMBER(E1894)),N(E1894)&lt;=0,N(E1894)&gt;1440),"Durée invalide",IF(COUNTIFS(sj_date,A1894,sj_eq,B1894,sj_po,C1894)=0,"Pas de saisie journalière ce jour-là","OK")))))))))))</f>
        <v/>
      </c>
      <c r="J1894">
        <f>IF(OR(I1894="OK",I1894="Pas de saisie journalière ce jour-là"),E1894,0)</f>
        <v>0.0</v>
      </c>
      <c r="K1894">
        <f>IF(AND(J1894&gt;0,A1894&gt;=p_from,A1894&lt;=p_to),1,0)</f>
        <v>0.0</v>
      </c>
      <c r="L1894">
        <f>IF(AND(K1894=1,OR(pa_po="",C1894=pa_po),OR(pa_eq="",B1894=pa_eq)),1,0)</f>
        <v>0.0</v>
      </c>
    </row>
    <row r="1895">
      <c r="A1895" s="51" t="n"/>
      <c r="B1895" s="52" t="n"/>
      <c r="C1895" s="52" t="n"/>
      <c r="D1895" s="53" t="n"/>
      <c r="E1895" s="60" t="n"/>
      <c r="F1895" s="53" t="n"/>
      <c r="G1895" s="61" t="str">
        <f>IF(OR(COUNTA(A1895:E1895)=0,D1895=""),"",IFERROR(INDEX(ca_fam,MATCH(D1895,ca_name,0))&amp;"",""))</f>
        <v/>
      </c>
      <c r="H1895" s="58" t="str">
        <f>IF(OR(COUNTA(A1895:E1895)=0,D1895=""),"",IFERROR(INDEX(ca_type,MATCH(D1895,ca_name,0))&amp;"",""))</f>
        <v/>
      </c>
      <c r="I1895" s="58" t="str">
        <f>IF(COUNTA(A1895:E1895)=0,"",IF(N(A1895)&lt;=0,"Date manquante ou invalide",IF(B1895="","Équipe manquante",IF(ISNA(MATCH(B1895,eq_code,0)),"Équipe inconnue",IF(C1895="","Poste manquant",IF(ISNA(MATCH(C1895,po_code,0)),"Poste inconnu",IF(D1895="","Cause manquante",IF(ISNA(MATCH(D1895,ca_name,0)),"Cause inconnue",IF(H1895="","Cause à compléter dans Paramètres",IF(OR(NOT(ISNUMBER(E1895)),N(E1895)&lt;=0,N(E1895)&gt;1440),"Durée invalide",IF(COUNTIFS(sj_date,A1895,sj_eq,B1895,sj_po,C1895)=0,"Pas de saisie journalière ce jour-là","OK")))))))))))</f>
        <v/>
      </c>
      <c r="J1895">
        <f>IF(OR(I1895="OK",I1895="Pas de saisie journalière ce jour-là"),E1895,0)</f>
        <v>0.0</v>
      </c>
      <c r="K1895">
        <f>IF(AND(J1895&gt;0,A1895&gt;=p_from,A1895&lt;=p_to),1,0)</f>
        <v>0.0</v>
      </c>
      <c r="L1895">
        <f>IF(AND(K1895=1,OR(pa_po="",C1895=pa_po),OR(pa_eq="",B1895=pa_eq)),1,0)</f>
        <v>0.0</v>
      </c>
    </row>
    <row r="1896">
      <c r="A1896" s="51" t="n"/>
      <c r="B1896" s="52" t="n"/>
      <c r="C1896" s="52" t="n"/>
      <c r="D1896" s="53" t="n"/>
      <c r="E1896" s="60" t="n"/>
      <c r="F1896" s="53" t="n"/>
      <c r="G1896" s="61" t="str">
        <f>IF(OR(COUNTA(A1896:E1896)=0,D1896=""),"",IFERROR(INDEX(ca_fam,MATCH(D1896,ca_name,0))&amp;"",""))</f>
        <v/>
      </c>
      <c r="H1896" s="58" t="str">
        <f>IF(OR(COUNTA(A1896:E1896)=0,D1896=""),"",IFERROR(INDEX(ca_type,MATCH(D1896,ca_name,0))&amp;"",""))</f>
        <v/>
      </c>
      <c r="I1896" s="58" t="str">
        <f>IF(COUNTA(A1896:E1896)=0,"",IF(N(A1896)&lt;=0,"Date manquante ou invalide",IF(B1896="","Équipe manquante",IF(ISNA(MATCH(B1896,eq_code,0)),"Équipe inconnue",IF(C1896="","Poste manquant",IF(ISNA(MATCH(C1896,po_code,0)),"Poste inconnu",IF(D1896="","Cause manquante",IF(ISNA(MATCH(D1896,ca_name,0)),"Cause inconnue",IF(H1896="","Cause à compléter dans Paramètres",IF(OR(NOT(ISNUMBER(E1896)),N(E1896)&lt;=0,N(E1896)&gt;1440),"Durée invalide",IF(COUNTIFS(sj_date,A1896,sj_eq,B1896,sj_po,C1896)=0,"Pas de saisie journalière ce jour-là","OK")))))))))))</f>
        <v/>
      </c>
      <c r="J1896">
        <f>IF(OR(I1896="OK",I1896="Pas de saisie journalière ce jour-là"),E1896,0)</f>
        <v>0.0</v>
      </c>
      <c r="K1896">
        <f>IF(AND(J1896&gt;0,A1896&gt;=p_from,A1896&lt;=p_to),1,0)</f>
        <v>0.0</v>
      </c>
      <c r="L1896">
        <f>IF(AND(K1896=1,OR(pa_po="",C1896=pa_po),OR(pa_eq="",B1896=pa_eq)),1,0)</f>
        <v>0.0</v>
      </c>
    </row>
    <row r="1897">
      <c r="A1897" s="51" t="n"/>
      <c r="B1897" s="52" t="n"/>
      <c r="C1897" s="52" t="n"/>
      <c r="D1897" s="53" t="n"/>
      <c r="E1897" s="60" t="n"/>
      <c r="F1897" s="53" t="n"/>
      <c r="G1897" s="61" t="str">
        <f>IF(OR(COUNTA(A1897:E1897)=0,D1897=""),"",IFERROR(INDEX(ca_fam,MATCH(D1897,ca_name,0))&amp;"",""))</f>
        <v/>
      </c>
      <c r="H1897" s="58" t="str">
        <f>IF(OR(COUNTA(A1897:E1897)=0,D1897=""),"",IFERROR(INDEX(ca_type,MATCH(D1897,ca_name,0))&amp;"",""))</f>
        <v/>
      </c>
      <c r="I1897" s="58" t="str">
        <f>IF(COUNTA(A1897:E1897)=0,"",IF(N(A1897)&lt;=0,"Date manquante ou invalide",IF(B1897="","Équipe manquante",IF(ISNA(MATCH(B1897,eq_code,0)),"Équipe inconnue",IF(C1897="","Poste manquant",IF(ISNA(MATCH(C1897,po_code,0)),"Poste inconnu",IF(D1897="","Cause manquante",IF(ISNA(MATCH(D1897,ca_name,0)),"Cause inconnue",IF(H1897="","Cause à compléter dans Paramètres",IF(OR(NOT(ISNUMBER(E1897)),N(E1897)&lt;=0,N(E1897)&gt;1440),"Durée invalide",IF(COUNTIFS(sj_date,A1897,sj_eq,B1897,sj_po,C1897)=0,"Pas de saisie journalière ce jour-là","OK")))))))))))</f>
        <v/>
      </c>
      <c r="J1897">
        <f>IF(OR(I1897="OK",I1897="Pas de saisie journalière ce jour-là"),E1897,0)</f>
        <v>0.0</v>
      </c>
      <c r="K1897">
        <f>IF(AND(J1897&gt;0,A1897&gt;=p_from,A1897&lt;=p_to),1,0)</f>
        <v>0.0</v>
      </c>
      <c r="L1897">
        <f>IF(AND(K1897=1,OR(pa_po="",C1897=pa_po),OR(pa_eq="",B1897=pa_eq)),1,0)</f>
        <v>0.0</v>
      </c>
    </row>
    <row r="1898">
      <c r="A1898" s="51" t="n"/>
      <c r="B1898" s="52" t="n"/>
      <c r="C1898" s="52" t="n"/>
      <c r="D1898" s="53" t="n"/>
      <c r="E1898" s="60" t="n"/>
      <c r="F1898" s="53" t="n"/>
      <c r="G1898" s="61" t="str">
        <f>IF(OR(COUNTA(A1898:E1898)=0,D1898=""),"",IFERROR(INDEX(ca_fam,MATCH(D1898,ca_name,0))&amp;"",""))</f>
        <v/>
      </c>
      <c r="H1898" s="58" t="str">
        <f>IF(OR(COUNTA(A1898:E1898)=0,D1898=""),"",IFERROR(INDEX(ca_type,MATCH(D1898,ca_name,0))&amp;"",""))</f>
        <v/>
      </c>
      <c r="I1898" s="58" t="str">
        <f>IF(COUNTA(A1898:E1898)=0,"",IF(N(A1898)&lt;=0,"Date manquante ou invalide",IF(B1898="","Équipe manquante",IF(ISNA(MATCH(B1898,eq_code,0)),"Équipe inconnue",IF(C1898="","Poste manquant",IF(ISNA(MATCH(C1898,po_code,0)),"Poste inconnu",IF(D1898="","Cause manquante",IF(ISNA(MATCH(D1898,ca_name,0)),"Cause inconnue",IF(H1898="","Cause à compléter dans Paramètres",IF(OR(NOT(ISNUMBER(E1898)),N(E1898)&lt;=0,N(E1898)&gt;1440),"Durée invalide",IF(COUNTIFS(sj_date,A1898,sj_eq,B1898,sj_po,C1898)=0,"Pas de saisie journalière ce jour-là","OK")))))))))))</f>
        <v/>
      </c>
      <c r="J1898">
        <f>IF(OR(I1898="OK",I1898="Pas de saisie journalière ce jour-là"),E1898,0)</f>
        <v>0.0</v>
      </c>
      <c r="K1898">
        <f>IF(AND(J1898&gt;0,A1898&gt;=p_from,A1898&lt;=p_to),1,0)</f>
        <v>0.0</v>
      </c>
      <c r="L1898">
        <f>IF(AND(K1898=1,OR(pa_po="",C1898=pa_po),OR(pa_eq="",B1898=pa_eq)),1,0)</f>
        <v>0.0</v>
      </c>
    </row>
    <row r="1899">
      <c r="A1899" s="51" t="n"/>
      <c r="B1899" s="52" t="n"/>
      <c r="C1899" s="52" t="n"/>
      <c r="D1899" s="53" t="n"/>
      <c r="E1899" s="60" t="n"/>
      <c r="F1899" s="53" t="n"/>
      <c r="G1899" s="61" t="str">
        <f>IF(OR(COUNTA(A1899:E1899)=0,D1899=""),"",IFERROR(INDEX(ca_fam,MATCH(D1899,ca_name,0))&amp;"",""))</f>
        <v/>
      </c>
      <c r="H1899" s="58" t="str">
        <f>IF(OR(COUNTA(A1899:E1899)=0,D1899=""),"",IFERROR(INDEX(ca_type,MATCH(D1899,ca_name,0))&amp;"",""))</f>
        <v/>
      </c>
      <c r="I1899" s="58" t="str">
        <f>IF(COUNTA(A1899:E1899)=0,"",IF(N(A1899)&lt;=0,"Date manquante ou invalide",IF(B1899="","Équipe manquante",IF(ISNA(MATCH(B1899,eq_code,0)),"Équipe inconnue",IF(C1899="","Poste manquant",IF(ISNA(MATCH(C1899,po_code,0)),"Poste inconnu",IF(D1899="","Cause manquante",IF(ISNA(MATCH(D1899,ca_name,0)),"Cause inconnue",IF(H1899="","Cause à compléter dans Paramètres",IF(OR(NOT(ISNUMBER(E1899)),N(E1899)&lt;=0,N(E1899)&gt;1440),"Durée invalide",IF(COUNTIFS(sj_date,A1899,sj_eq,B1899,sj_po,C1899)=0,"Pas de saisie journalière ce jour-là","OK")))))))))))</f>
        <v/>
      </c>
      <c r="J1899">
        <f>IF(OR(I1899="OK",I1899="Pas de saisie journalière ce jour-là"),E1899,0)</f>
        <v>0.0</v>
      </c>
      <c r="K1899">
        <f>IF(AND(J1899&gt;0,A1899&gt;=p_from,A1899&lt;=p_to),1,0)</f>
        <v>0.0</v>
      </c>
      <c r="L1899">
        <f>IF(AND(K1899=1,OR(pa_po="",C1899=pa_po),OR(pa_eq="",B1899=pa_eq)),1,0)</f>
        <v>0.0</v>
      </c>
    </row>
    <row r="1900">
      <c r="A1900" s="51" t="n"/>
      <c r="B1900" s="52" t="n"/>
      <c r="C1900" s="52" t="n"/>
      <c r="D1900" s="53" t="n"/>
      <c r="E1900" s="60" t="n"/>
      <c r="F1900" s="53" t="n"/>
      <c r="G1900" s="61" t="str">
        <f>IF(OR(COUNTA(A1900:E1900)=0,D1900=""),"",IFERROR(INDEX(ca_fam,MATCH(D1900,ca_name,0))&amp;"",""))</f>
        <v/>
      </c>
      <c r="H1900" s="58" t="str">
        <f>IF(OR(COUNTA(A1900:E1900)=0,D1900=""),"",IFERROR(INDEX(ca_type,MATCH(D1900,ca_name,0))&amp;"",""))</f>
        <v/>
      </c>
      <c r="I1900" s="58" t="str">
        <f>IF(COUNTA(A1900:E1900)=0,"",IF(N(A1900)&lt;=0,"Date manquante ou invalide",IF(B1900="","Équipe manquante",IF(ISNA(MATCH(B1900,eq_code,0)),"Équipe inconnue",IF(C1900="","Poste manquant",IF(ISNA(MATCH(C1900,po_code,0)),"Poste inconnu",IF(D1900="","Cause manquante",IF(ISNA(MATCH(D1900,ca_name,0)),"Cause inconnue",IF(H1900="","Cause à compléter dans Paramètres",IF(OR(NOT(ISNUMBER(E1900)),N(E1900)&lt;=0,N(E1900)&gt;1440),"Durée invalide",IF(COUNTIFS(sj_date,A1900,sj_eq,B1900,sj_po,C1900)=0,"Pas de saisie journalière ce jour-là","OK")))))))))))</f>
        <v/>
      </c>
      <c r="J1900">
        <f>IF(OR(I1900="OK",I1900="Pas de saisie journalière ce jour-là"),E1900,0)</f>
        <v>0.0</v>
      </c>
      <c r="K1900">
        <f>IF(AND(J1900&gt;0,A1900&gt;=p_from,A1900&lt;=p_to),1,0)</f>
        <v>0.0</v>
      </c>
      <c r="L1900">
        <f>IF(AND(K1900=1,OR(pa_po="",C1900=pa_po),OR(pa_eq="",B1900=pa_eq)),1,0)</f>
        <v>0.0</v>
      </c>
    </row>
    <row r="1901">
      <c r="A1901" s="51" t="n"/>
      <c r="B1901" s="52" t="n"/>
      <c r="C1901" s="52" t="n"/>
      <c r="D1901" s="53" t="n"/>
      <c r="E1901" s="60" t="n"/>
      <c r="F1901" s="53" t="n"/>
      <c r="G1901" s="61" t="str">
        <f>IF(OR(COUNTA(A1901:E1901)=0,D1901=""),"",IFERROR(INDEX(ca_fam,MATCH(D1901,ca_name,0))&amp;"",""))</f>
        <v/>
      </c>
      <c r="H1901" s="58" t="str">
        <f>IF(OR(COUNTA(A1901:E1901)=0,D1901=""),"",IFERROR(INDEX(ca_type,MATCH(D1901,ca_name,0))&amp;"",""))</f>
        <v/>
      </c>
      <c r="I1901" s="58" t="str">
        <f>IF(COUNTA(A1901:E1901)=0,"",IF(N(A1901)&lt;=0,"Date manquante ou invalide",IF(B1901="","Équipe manquante",IF(ISNA(MATCH(B1901,eq_code,0)),"Équipe inconnue",IF(C1901="","Poste manquant",IF(ISNA(MATCH(C1901,po_code,0)),"Poste inconnu",IF(D1901="","Cause manquante",IF(ISNA(MATCH(D1901,ca_name,0)),"Cause inconnue",IF(H1901="","Cause à compléter dans Paramètres",IF(OR(NOT(ISNUMBER(E1901)),N(E1901)&lt;=0,N(E1901)&gt;1440),"Durée invalide",IF(COUNTIFS(sj_date,A1901,sj_eq,B1901,sj_po,C1901)=0,"Pas de saisie journalière ce jour-là","OK")))))))))))</f>
        <v/>
      </c>
      <c r="J1901">
        <f>IF(OR(I1901="OK",I1901="Pas de saisie journalière ce jour-là"),E1901,0)</f>
        <v>0.0</v>
      </c>
      <c r="K1901">
        <f>IF(AND(J1901&gt;0,A1901&gt;=p_from,A1901&lt;=p_to),1,0)</f>
        <v>0.0</v>
      </c>
      <c r="L1901">
        <f>IF(AND(K1901=1,OR(pa_po="",C1901=pa_po),OR(pa_eq="",B1901=pa_eq)),1,0)</f>
        <v>0.0</v>
      </c>
    </row>
    <row r="1902">
      <c r="A1902" s="51" t="n"/>
      <c r="B1902" s="52" t="n"/>
      <c r="C1902" s="52" t="n"/>
      <c r="D1902" s="53" t="n"/>
      <c r="E1902" s="60" t="n"/>
      <c r="F1902" s="53" t="n"/>
      <c r="G1902" s="61" t="str">
        <f>IF(OR(COUNTA(A1902:E1902)=0,D1902=""),"",IFERROR(INDEX(ca_fam,MATCH(D1902,ca_name,0))&amp;"",""))</f>
        <v/>
      </c>
      <c r="H1902" s="58" t="str">
        <f>IF(OR(COUNTA(A1902:E1902)=0,D1902=""),"",IFERROR(INDEX(ca_type,MATCH(D1902,ca_name,0))&amp;"",""))</f>
        <v/>
      </c>
      <c r="I1902" s="58" t="str">
        <f>IF(COUNTA(A1902:E1902)=0,"",IF(N(A1902)&lt;=0,"Date manquante ou invalide",IF(B1902="","Équipe manquante",IF(ISNA(MATCH(B1902,eq_code,0)),"Équipe inconnue",IF(C1902="","Poste manquant",IF(ISNA(MATCH(C1902,po_code,0)),"Poste inconnu",IF(D1902="","Cause manquante",IF(ISNA(MATCH(D1902,ca_name,0)),"Cause inconnue",IF(H1902="","Cause à compléter dans Paramètres",IF(OR(NOT(ISNUMBER(E1902)),N(E1902)&lt;=0,N(E1902)&gt;1440),"Durée invalide",IF(COUNTIFS(sj_date,A1902,sj_eq,B1902,sj_po,C1902)=0,"Pas de saisie journalière ce jour-là","OK")))))))))))</f>
        <v/>
      </c>
      <c r="J1902">
        <f>IF(OR(I1902="OK",I1902="Pas de saisie journalière ce jour-là"),E1902,0)</f>
        <v>0.0</v>
      </c>
      <c r="K1902">
        <f>IF(AND(J1902&gt;0,A1902&gt;=p_from,A1902&lt;=p_to),1,0)</f>
        <v>0.0</v>
      </c>
      <c r="L1902">
        <f>IF(AND(K1902=1,OR(pa_po="",C1902=pa_po),OR(pa_eq="",B1902=pa_eq)),1,0)</f>
        <v>0.0</v>
      </c>
    </row>
    <row r="1903">
      <c r="A1903" s="51" t="n"/>
      <c r="B1903" s="52" t="n"/>
      <c r="C1903" s="52" t="n"/>
      <c r="D1903" s="53" t="n"/>
      <c r="E1903" s="60" t="n"/>
      <c r="F1903" s="53" t="n"/>
      <c r="G1903" s="61" t="str">
        <f>IF(OR(COUNTA(A1903:E1903)=0,D1903=""),"",IFERROR(INDEX(ca_fam,MATCH(D1903,ca_name,0))&amp;"",""))</f>
        <v/>
      </c>
      <c r="H1903" s="58" t="str">
        <f>IF(OR(COUNTA(A1903:E1903)=0,D1903=""),"",IFERROR(INDEX(ca_type,MATCH(D1903,ca_name,0))&amp;"",""))</f>
        <v/>
      </c>
      <c r="I1903" s="58" t="str">
        <f>IF(COUNTA(A1903:E1903)=0,"",IF(N(A1903)&lt;=0,"Date manquante ou invalide",IF(B1903="","Équipe manquante",IF(ISNA(MATCH(B1903,eq_code,0)),"Équipe inconnue",IF(C1903="","Poste manquant",IF(ISNA(MATCH(C1903,po_code,0)),"Poste inconnu",IF(D1903="","Cause manquante",IF(ISNA(MATCH(D1903,ca_name,0)),"Cause inconnue",IF(H1903="","Cause à compléter dans Paramètres",IF(OR(NOT(ISNUMBER(E1903)),N(E1903)&lt;=0,N(E1903)&gt;1440),"Durée invalide",IF(COUNTIFS(sj_date,A1903,sj_eq,B1903,sj_po,C1903)=0,"Pas de saisie journalière ce jour-là","OK")))))))))))</f>
        <v/>
      </c>
      <c r="J1903">
        <f>IF(OR(I1903="OK",I1903="Pas de saisie journalière ce jour-là"),E1903,0)</f>
        <v>0.0</v>
      </c>
      <c r="K1903">
        <f>IF(AND(J1903&gt;0,A1903&gt;=p_from,A1903&lt;=p_to),1,0)</f>
        <v>0.0</v>
      </c>
      <c r="L1903">
        <f>IF(AND(K1903=1,OR(pa_po="",C1903=pa_po),OR(pa_eq="",B1903=pa_eq)),1,0)</f>
        <v>0.0</v>
      </c>
    </row>
    <row r="1904">
      <c r="A1904" s="51" t="n"/>
      <c r="B1904" s="52" t="n"/>
      <c r="C1904" s="52" t="n"/>
      <c r="D1904" s="53" t="n"/>
      <c r="E1904" s="60" t="n"/>
      <c r="F1904" s="53" t="n"/>
      <c r="G1904" s="61" t="str">
        <f>IF(OR(COUNTA(A1904:E1904)=0,D1904=""),"",IFERROR(INDEX(ca_fam,MATCH(D1904,ca_name,0))&amp;"",""))</f>
        <v/>
      </c>
      <c r="H1904" s="58" t="str">
        <f>IF(OR(COUNTA(A1904:E1904)=0,D1904=""),"",IFERROR(INDEX(ca_type,MATCH(D1904,ca_name,0))&amp;"",""))</f>
        <v/>
      </c>
      <c r="I1904" s="58" t="str">
        <f>IF(COUNTA(A1904:E1904)=0,"",IF(N(A1904)&lt;=0,"Date manquante ou invalide",IF(B1904="","Équipe manquante",IF(ISNA(MATCH(B1904,eq_code,0)),"Équipe inconnue",IF(C1904="","Poste manquant",IF(ISNA(MATCH(C1904,po_code,0)),"Poste inconnu",IF(D1904="","Cause manquante",IF(ISNA(MATCH(D1904,ca_name,0)),"Cause inconnue",IF(H1904="","Cause à compléter dans Paramètres",IF(OR(NOT(ISNUMBER(E1904)),N(E1904)&lt;=0,N(E1904)&gt;1440),"Durée invalide",IF(COUNTIFS(sj_date,A1904,sj_eq,B1904,sj_po,C1904)=0,"Pas de saisie journalière ce jour-là","OK")))))))))))</f>
        <v/>
      </c>
      <c r="J1904">
        <f>IF(OR(I1904="OK",I1904="Pas de saisie journalière ce jour-là"),E1904,0)</f>
        <v>0.0</v>
      </c>
      <c r="K1904">
        <f>IF(AND(J1904&gt;0,A1904&gt;=p_from,A1904&lt;=p_to),1,0)</f>
        <v>0.0</v>
      </c>
      <c r="L1904">
        <f>IF(AND(K1904=1,OR(pa_po="",C1904=pa_po),OR(pa_eq="",B1904=pa_eq)),1,0)</f>
        <v>0.0</v>
      </c>
    </row>
    <row r="1905">
      <c r="A1905" s="51" t="n"/>
      <c r="B1905" s="52" t="n"/>
      <c r="C1905" s="52" t="n"/>
      <c r="D1905" s="53" t="n"/>
      <c r="E1905" s="60" t="n"/>
      <c r="F1905" s="53" t="n"/>
      <c r="G1905" s="61" t="str">
        <f>IF(OR(COUNTA(A1905:E1905)=0,D1905=""),"",IFERROR(INDEX(ca_fam,MATCH(D1905,ca_name,0))&amp;"",""))</f>
        <v/>
      </c>
      <c r="H1905" s="58" t="str">
        <f>IF(OR(COUNTA(A1905:E1905)=0,D1905=""),"",IFERROR(INDEX(ca_type,MATCH(D1905,ca_name,0))&amp;"",""))</f>
        <v/>
      </c>
      <c r="I1905" s="58" t="str">
        <f>IF(COUNTA(A1905:E1905)=0,"",IF(N(A1905)&lt;=0,"Date manquante ou invalide",IF(B1905="","Équipe manquante",IF(ISNA(MATCH(B1905,eq_code,0)),"Équipe inconnue",IF(C1905="","Poste manquant",IF(ISNA(MATCH(C1905,po_code,0)),"Poste inconnu",IF(D1905="","Cause manquante",IF(ISNA(MATCH(D1905,ca_name,0)),"Cause inconnue",IF(H1905="","Cause à compléter dans Paramètres",IF(OR(NOT(ISNUMBER(E1905)),N(E1905)&lt;=0,N(E1905)&gt;1440),"Durée invalide",IF(COUNTIFS(sj_date,A1905,sj_eq,B1905,sj_po,C1905)=0,"Pas de saisie journalière ce jour-là","OK")))))))))))</f>
        <v/>
      </c>
      <c r="J1905">
        <f>IF(OR(I1905="OK",I1905="Pas de saisie journalière ce jour-là"),E1905,0)</f>
        <v>0.0</v>
      </c>
      <c r="K1905">
        <f>IF(AND(J1905&gt;0,A1905&gt;=p_from,A1905&lt;=p_to),1,0)</f>
        <v>0.0</v>
      </c>
      <c r="L1905">
        <f>IF(AND(K1905=1,OR(pa_po="",C1905=pa_po),OR(pa_eq="",B1905=pa_eq)),1,0)</f>
        <v>0.0</v>
      </c>
    </row>
    <row r="1906">
      <c r="A1906" s="51" t="n"/>
      <c r="B1906" s="52" t="n"/>
      <c r="C1906" s="52" t="n"/>
      <c r="D1906" s="53" t="n"/>
      <c r="E1906" s="60" t="n"/>
      <c r="F1906" s="53" t="n"/>
      <c r="G1906" s="61" t="str">
        <f>IF(OR(COUNTA(A1906:E1906)=0,D1906=""),"",IFERROR(INDEX(ca_fam,MATCH(D1906,ca_name,0))&amp;"",""))</f>
        <v/>
      </c>
      <c r="H1906" s="58" t="str">
        <f>IF(OR(COUNTA(A1906:E1906)=0,D1906=""),"",IFERROR(INDEX(ca_type,MATCH(D1906,ca_name,0))&amp;"",""))</f>
        <v/>
      </c>
      <c r="I1906" s="58" t="str">
        <f>IF(COUNTA(A1906:E1906)=0,"",IF(N(A1906)&lt;=0,"Date manquante ou invalide",IF(B1906="","Équipe manquante",IF(ISNA(MATCH(B1906,eq_code,0)),"Équipe inconnue",IF(C1906="","Poste manquant",IF(ISNA(MATCH(C1906,po_code,0)),"Poste inconnu",IF(D1906="","Cause manquante",IF(ISNA(MATCH(D1906,ca_name,0)),"Cause inconnue",IF(H1906="","Cause à compléter dans Paramètres",IF(OR(NOT(ISNUMBER(E1906)),N(E1906)&lt;=0,N(E1906)&gt;1440),"Durée invalide",IF(COUNTIFS(sj_date,A1906,sj_eq,B1906,sj_po,C1906)=0,"Pas de saisie journalière ce jour-là","OK")))))))))))</f>
        <v/>
      </c>
      <c r="J1906">
        <f>IF(OR(I1906="OK",I1906="Pas de saisie journalière ce jour-là"),E1906,0)</f>
        <v>0.0</v>
      </c>
      <c r="K1906">
        <f>IF(AND(J1906&gt;0,A1906&gt;=p_from,A1906&lt;=p_to),1,0)</f>
        <v>0.0</v>
      </c>
      <c r="L1906">
        <f>IF(AND(K1906=1,OR(pa_po="",C1906=pa_po),OR(pa_eq="",B1906=pa_eq)),1,0)</f>
        <v>0.0</v>
      </c>
    </row>
    <row r="1907">
      <c r="A1907" s="51" t="n"/>
      <c r="B1907" s="52" t="n"/>
      <c r="C1907" s="52" t="n"/>
      <c r="D1907" s="53" t="n"/>
      <c r="E1907" s="60" t="n"/>
      <c r="F1907" s="53" t="n"/>
      <c r="G1907" s="61" t="str">
        <f>IF(OR(COUNTA(A1907:E1907)=0,D1907=""),"",IFERROR(INDEX(ca_fam,MATCH(D1907,ca_name,0))&amp;"",""))</f>
        <v/>
      </c>
      <c r="H1907" s="58" t="str">
        <f>IF(OR(COUNTA(A1907:E1907)=0,D1907=""),"",IFERROR(INDEX(ca_type,MATCH(D1907,ca_name,0))&amp;"",""))</f>
        <v/>
      </c>
      <c r="I1907" s="58" t="str">
        <f>IF(COUNTA(A1907:E1907)=0,"",IF(N(A1907)&lt;=0,"Date manquante ou invalide",IF(B1907="","Équipe manquante",IF(ISNA(MATCH(B1907,eq_code,0)),"Équipe inconnue",IF(C1907="","Poste manquant",IF(ISNA(MATCH(C1907,po_code,0)),"Poste inconnu",IF(D1907="","Cause manquante",IF(ISNA(MATCH(D1907,ca_name,0)),"Cause inconnue",IF(H1907="","Cause à compléter dans Paramètres",IF(OR(NOT(ISNUMBER(E1907)),N(E1907)&lt;=0,N(E1907)&gt;1440),"Durée invalide",IF(COUNTIFS(sj_date,A1907,sj_eq,B1907,sj_po,C1907)=0,"Pas de saisie journalière ce jour-là","OK")))))))))))</f>
        <v/>
      </c>
      <c r="J1907">
        <f>IF(OR(I1907="OK",I1907="Pas de saisie journalière ce jour-là"),E1907,0)</f>
        <v>0.0</v>
      </c>
      <c r="K1907">
        <f>IF(AND(J1907&gt;0,A1907&gt;=p_from,A1907&lt;=p_to),1,0)</f>
        <v>0.0</v>
      </c>
      <c r="L1907">
        <f>IF(AND(K1907=1,OR(pa_po="",C1907=pa_po),OR(pa_eq="",B1907=pa_eq)),1,0)</f>
        <v>0.0</v>
      </c>
    </row>
    <row r="1908">
      <c r="A1908" s="51" t="n"/>
      <c r="B1908" s="52" t="n"/>
      <c r="C1908" s="52" t="n"/>
      <c r="D1908" s="53" t="n"/>
      <c r="E1908" s="60" t="n"/>
      <c r="F1908" s="53" t="n"/>
      <c r="G1908" s="61" t="str">
        <f>IF(OR(COUNTA(A1908:E1908)=0,D1908=""),"",IFERROR(INDEX(ca_fam,MATCH(D1908,ca_name,0))&amp;"",""))</f>
        <v/>
      </c>
      <c r="H1908" s="58" t="str">
        <f>IF(OR(COUNTA(A1908:E1908)=0,D1908=""),"",IFERROR(INDEX(ca_type,MATCH(D1908,ca_name,0))&amp;"",""))</f>
        <v/>
      </c>
      <c r="I1908" s="58" t="str">
        <f>IF(COUNTA(A1908:E1908)=0,"",IF(N(A1908)&lt;=0,"Date manquante ou invalide",IF(B1908="","Équipe manquante",IF(ISNA(MATCH(B1908,eq_code,0)),"Équipe inconnue",IF(C1908="","Poste manquant",IF(ISNA(MATCH(C1908,po_code,0)),"Poste inconnu",IF(D1908="","Cause manquante",IF(ISNA(MATCH(D1908,ca_name,0)),"Cause inconnue",IF(H1908="","Cause à compléter dans Paramètres",IF(OR(NOT(ISNUMBER(E1908)),N(E1908)&lt;=0,N(E1908)&gt;1440),"Durée invalide",IF(COUNTIFS(sj_date,A1908,sj_eq,B1908,sj_po,C1908)=0,"Pas de saisie journalière ce jour-là","OK")))))))))))</f>
        <v/>
      </c>
      <c r="J1908">
        <f>IF(OR(I1908="OK",I1908="Pas de saisie journalière ce jour-là"),E1908,0)</f>
        <v>0.0</v>
      </c>
      <c r="K1908">
        <f>IF(AND(J1908&gt;0,A1908&gt;=p_from,A1908&lt;=p_to),1,0)</f>
        <v>0.0</v>
      </c>
      <c r="L1908">
        <f>IF(AND(K1908=1,OR(pa_po="",C1908=pa_po),OR(pa_eq="",B1908=pa_eq)),1,0)</f>
        <v>0.0</v>
      </c>
    </row>
    <row r="1909">
      <c r="A1909" s="51" t="n"/>
      <c r="B1909" s="52" t="n"/>
      <c r="C1909" s="52" t="n"/>
      <c r="D1909" s="53" t="n"/>
      <c r="E1909" s="60" t="n"/>
      <c r="F1909" s="53" t="n"/>
      <c r="G1909" s="61" t="str">
        <f>IF(OR(COUNTA(A1909:E1909)=0,D1909=""),"",IFERROR(INDEX(ca_fam,MATCH(D1909,ca_name,0))&amp;"",""))</f>
        <v/>
      </c>
      <c r="H1909" s="58" t="str">
        <f>IF(OR(COUNTA(A1909:E1909)=0,D1909=""),"",IFERROR(INDEX(ca_type,MATCH(D1909,ca_name,0))&amp;"",""))</f>
        <v/>
      </c>
      <c r="I1909" s="58" t="str">
        <f>IF(COUNTA(A1909:E1909)=0,"",IF(N(A1909)&lt;=0,"Date manquante ou invalide",IF(B1909="","Équipe manquante",IF(ISNA(MATCH(B1909,eq_code,0)),"Équipe inconnue",IF(C1909="","Poste manquant",IF(ISNA(MATCH(C1909,po_code,0)),"Poste inconnu",IF(D1909="","Cause manquante",IF(ISNA(MATCH(D1909,ca_name,0)),"Cause inconnue",IF(H1909="","Cause à compléter dans Paramètres",IF(OR(NOT(ISNUMBER(E1909)),N(E1909)&lt;=0,N(E1909)&gt;1440),"Durée invalide",IF(COUNTIFS(sj_date,A1909,sj_eq,B1909,sj_po,C1909)=0,"Pas de saisie journalière ce jour-là","OK")))))))))))</f>
        <v/>
      </c>
      <c r="J1909">
        <f>IF(OR(I1909="OK",I1909="Pas de saisie journalière ce jour-là"),E1909,0)</f>
        <v>0.0</v>
      </c>
      <c r="K1909">
        <f>IF(AND(J1909&gt;0,A1909&gt;=p_from,A1909&lt;=p_to),1,0)</f>
        <v>0.0</v>
      </c>
      <c r="L1909">
        <f>IF(AND(K1909=1,OR(pa_po="",C1909=pa_po),OR(pa_eq="",B1909=pa_eq)),1,0)</f>
        <v>0.0</v>
      </c>
    </row>
    <row r="1910">
      <c r="A1910" s="51" t="n"/>
      <c r="B1910" s="52" t="n"/>
      <c r="C1910" s="52" t="n"/>
      <c r="D1910" s="53" t="n"/>
      <c r="E1910" s="60" t="n"/>
      <c r="F1910" s="53" t="n"/>
      <c r="G1910" s="61" t="str">
        <f>IF(OR(COUNTA(A1910:E1910)=0,D1910=""),"",IFERROR(INDEX(ca_fam,MATCH(D1910,ca_name,0))&amp;"",""))</f>
        <v/>
      </c>
      <c r="H1910" s="58" t="str">
        <f>IF(OR(COUNTA(A1910:E1910)=0,D1910=""),"",IFERROR(INDEX(ca_type,MATCH(D1910,ca_name,0))&amp;"",""))</f>
        <v/>
      </c>
      <c r="I1910" s="58" t="str">
        <f>IF(COUNTA(A1910:E1910)=0,"",IF(N(A1910)&lt;=0,"Date manquante ou invalide",IF(B1910="","Équipe manquante",IF(ISNA(MATCH(B1910,eq_code,0)),"Équipe inconnue",IF(C1910="","Poste manquant",IF(ISNA(MATCH(C1910,po_code,0)),"Poste inconnu",IF(D1910="","Cause manquante",IF(ISNA(MATCH(D1910,ca_name,0)),"Cause inconnue",IF(H1910="","Cause à compléter dans Paramètres",IF(OR(NOT(ISNUMBER(E1910)),N(E1910)&lt;=0,N(E1910)&gt;1440),"Durée invalide",IF(COUNTIFS(sj_date,A1910,sj_eq,B1910,sj_po,C1910)=0,"Pas de saisie journalière ce jour-là","OK")))))))))))</f>
        <v/>
      </c>
      <c r="J1910">
        <f>IF(OR(I1910="OK",I1910="Pas de saisie journalière ce jour-là"),E1910,0)</f>
        <v>0.0</v>
      </c>
      <c r="K1910">
        <f>IF(AND(J1910&gt;0,A1910&gt;=p_from,A1910&lt;=p_to),1,0)</f>
        <v>0.0</v>
      </c>
      <c r="L1910">
        <f>IF(AND(K1910=1,OR(pa_po="",C1910=pa_po),OR(pa_eq="",B1910=pa_eq)),1,0)</f>
        <v>0.0</v>
      </c>
    </row>
    <row r="1911">
      <c r="A1911" s="51" t="n"/>
      <c r="B1911" s="52" t="n"/>
      <c r="C1911" s="52" t="n"/>
      <c r="D1911" s="53" t="n"/>
      <c r="E1911" s="60" t="n"/>
      <c r="F1911" s="53" t="n"/>
      <c r="G1911" s="61" t="str">
        <f>IF(OR(COUNTA(A1911:E1911)=0,D1911=""),"",IFERROR(INDEX(ca_fam,MATCH(D1911,ca_name,0))&amp;"",""))</f>
        <v/>
      </c>
      <c r="H1911" s="58" t="str">
        <f>IF(OR(COUNTA(A1911:E1911)=0,D1911=""),"",IFERROR(INDEX(ca_type,MATCH(D1911,ca_name,0))&amp;"",""))</f>
        <v/>
      </c>
      <c r="I1911" s="58" t="str">
        <f>IF(COUNTA(A1911:E1911)=0,"",IF(N(A1911)&lt;=0,"Date manquante ou invalide",IF(B1911="","Équipe manquante",IF(ISNA(MATCH(B1911,eq_code,0)),"Équipe inconnue",IF(C1911="","Poste manquant",IF(ISNA(MATCH(C1911,po_code,0)),"Poste inconnu",IF(D1911="","Cause manquante",IF(ISNA(MATCH(D1911,ca_name,0)),"Cause inconnue",IF(H1911="","Cause à compléter dans Paramètres",IF(OR(NOT(ISNUMBER(E1911)),N(E1911)&lt;=0,N(E1911)&gt;1440),"Durée invalide",IF(COUNTIFS(sj_date,A1911,sj_eq,B1911,sj_po,C1911)=0,"Pas de saisie journalière ce jour-là","OK")))))))))))</f>
        <v/>
      </c>
      <c r="J1911">
        <f>IF(OR(I1911="OK",I1911="Pas de saisie journalière ce jour-là"),E1911,0)</f>
        <v>0.0</v>
      </c>
      <c r="K1911">
        <f>IF(AND(J1911&gt;0,A1911&gt;=p_from,A1911&lt;=p_to),1,0)</f>
        <v>0.0</v>
      </c>
      <c r="L1911">
        <f>IF(AND(K1911=1,OR(pa_po="",C1911=pa_po),OR(pa_eq="",B1911=pa_eq)),1,0)</f>
        <v>0.0</v>
      </c>
    </row>
    <row r="1912">
      <c r="A1912" s="51" t="n"/>
      <c r="B1912" s="52" t="n"/>
      <c r="C1912" s="52" t="n"/>
      <c r="D1912" s="53" t="n"/>
      <c r="E1912" s="60" t="n"/>
      <c r="F1912" s="53" t="n"/>
      <c r="G1912" s="61" t="str">
        <f>IF(OR(COUNTA(A1912:E1912)=0,D1912=""),"",IFERROR(INDEX(ca_fam,MATCH(D1912,ca_name,0))&amp;"",""))</f>
        <v/>
      </c>
      <c r="H1912" s="58" t="str">
        <f>IF(OR(COUNTA(A1912:E1912)=0,D1912=""),"",IFERROR(INDEX(ca_type,MATCH(D1912,ca_name,0))&amp;"",""))</f>
        <v/>
      </c>
      <c r="I1912" s="58" t="str">
        <f>IF(COUNTA(A1912:E1912)=0,"",IF(N(A1912)&lt;=0,"Date manquante ou invalide",IF(B1912="","Équipe manquante",IF(ISNA(MATCH(B1912,eq_code,0)),"Équipe inconnue",IF(C1912="","Poste manquant",IF(ISNA(MATCH(C1912,po_code,0)),"Poste inconnu",IF(D1912="","Cause manquante",IF(ISNA(MATCH(D1912,ca_name,0)),"Cause inconnue",IF(H1912="","Cause à compléter dans Paramètres",IF(OR(NOT(ISNUMBER(E1912)),N(E1912)&lt;=0,N(E1912)&gt;1440),"Durée invalide",IF(COUNTIFS(sj_date,A1912,sj_eq,B1912,sj_po,C1912)=0,"Pas de saisie journalière ce jour-là","OK")))))))))))</f>
        <v/>
      </c>
      <c r="J1912">
        <f>IF(OR(I1912="OK",I1912="Pas de saisie journalière ce jour-là"),E1912,0)</f>
        <v>0.0</v>
      </c>
      <c r="K1912">
        <f>IF(AND(J1912&gt;0,A1912&gt;=p_from,A1912&lt;=p_to),1,0)</f>
        <v>0.0</v>
      </c>
      <c r="L1912">
        <f>IF(AND(K1912=1,OR(pa_po="",C1912=pa_po),OR(pa_eq="",B1912=pa_eq)),1,0)</f>
        <v>0.0</v>
      </c>
    </row>
    <row r="1913">
      <c r="A1913" s="51" t="n"/>
      <c r="B1913" s="52" t="n"/>
      <c r="C1913" s="52" t="n"/>
      <c r="D1913" s="53" t="n"/>
      <c r="E1913" s="60" t="n"/>
      <c r="F1913" s="53" t="n"/>
      <c r="G1913" s="61" t="str">
        <f>IF(OR(COUNTA(A1913:E1913)=0,D1913=""),"",IFERROR(INDEX(ca_fam,MATCH(D1913,ca_name,0))&amp;"",""))</f>
        <v/>
      </c>
      <c r="H1913" s="58" t="str">
        <f>IF(OR(COUNTA(A1913:E1913)=0,D1913=""),"",IFERROR(INDEX(ca_type,MATCH(D1913,ca_name,0))&amp;"",""))</f>
        <v/>
      </c>
      <c r="I1913" s="58" t="str">
        <f>IF(COUNTA(A1913:E1913)=0,"",IF(N(A1913)&lt;=0,"Date manquante ou invalide",IF(B1913="","Équipe manquante",IF(ISNA(MATCH(B1913,eq_code,0)),"Équipe inconnue",IF(C1913="","Poste manquant",IF(ISNA(MATCH(C1913,po_code,0)),"Poste inconnu",IF(D1913="","Cause manquante",IF(ISNA(MATCH(D1913,ca_name,0)),"Cause inconnue",IF(H1913="","Cause à compléter dans Paramètres",IF(OR(NOT(ISNUMBER(E1913)),N(E1913)&lt;=0,N(E1913)&gt;1440),"Durée invalide",IF(COUNTIFS(sj_date,A1913,sj_eq,B1913,sj_po,C1913)=0,"Pas de saisie journalière ce jour-là","OK")))))))))))</f>
        <v/>
      </c>
      <c r="J1913">
        <f>IF(OR(I1913="OK",I1913="Pas de saisie journalière ce jour-là"),E1913,0)</f>
        <v>0.0</v>
      </c>
      <c r="K1913">
        <f>IF(AND(J1913&gt;0,A1913&gt;=p_from,A1913&lt;=p_to),1,0)</f>
        <v>0.0</v>
      </c>
      <c r="L1913">
        <f>IF(AND(K1913=1,OR(pa_po="",C1913=pa_po),OR(pa_eq="",B1913=pa_eq)),1,0)</f>
        <v>0.0</v>
      </c>
    </row>
    <row r="1914">
      <c r="A1914" s="51" t="n"/>
      <c r="B1914" s="52" t="n"/>
      <c r="C1914" s="52" t="n"/>
      <c r="D1914" s="53" t="n"/>
      <c r="E1914" s="60" t="n"/>
      <c r="F1914" s="53" t="n"/>
      <c r="G1914" s="61" t="str">
        <f>IF(OR(COUNTA(A1914:E1914)=0,D1914=""),"",IFERROR(INDEX(ca_fam,MATCH(D1914,ca_name,0))&amp;"",""))</f>
        <v/>
      </c>
      <c r="H1914" s="58" t="str">
        <f>IF(OR(COUNTA(A1914:E1914)=0,D1914=""),"",IFERROR(INDEX(ca_type,MATCH(D1914,ca_name,0))&amp;"",""))</f>
        <v/>
      </c>
      <c r="I1914" s="58" t="str">
        <f>IF(COUNTA(A1914:E1914)=0,"",IF(N(A1914)&lt;=0,"Date manquante ou invalide",IF(B1914="","Équipe manquante",IF(ISNA(MATCH(B1914,eq_code,0)),"Équipe inconnue",IF(C1914="","Poste manquant",IF(ISNA(MATCH(C1914,po_code,0)),"Poste inconnu",IF(D1914="","Cause manquante",IF(ISNA(MATCH(D1914,ca_name,0)),"Cause inconnue",IF(H1914="","Cause à compléter dans Paramètres",IF(OR(NOT(ISNUMBER(E1914)),N(E1914)&lt;=0,N(E1914)&gt;1440),"Durée invalide",IF(COUNTIFS(sj_date,A1914,sj_eq,B1914,sj_po,C1914)=0,"Pas de saisie journalière ce jour-là","OK")))))))))))</f>
        <v/>
      </c>
      <c r="J1914">
        <f>IF(OR(I1914="OK",I1914="Pas de saisie journalière ce jour-là"),E1914,0)</f>
        <v>0.0</v>
      </c>
      <c r="K1914">
        <f>IF(AND(J1914&gt;0,A1914&gt;=p_from,A1914&lt;=p_to),1,0)</f>
        <v>0.0</v>
      </c>
      <c r="L1914">
        <f>IF(AND(K1914=1,OR(pa_po="",C1914=pa_po),OR(pa_eq="",B1914=pa_eq)),1,0)</f>
        <v>0.0</v>
      </c>
    </row>
    <row r="1915">
      <c r="A1915" s="51" t="n"/>
      <c r="B1915" s="52" t="n"/>
      <c r="C1915" s="52" t="n"/>
      <c r="D1915" s="53" t="n"/>
      <c r="E1915" s="60" t="n"/>
      <c r="F1915" s="53" t="n"/>
      <c r="G1915" s="61" t="str">
        <f>IF(OR(COUNTA(A1915:E1915)=0,D1915=""),"",IFERROR(INDEX(ca_fam,MATCH(D1915,ca_name,0))&amp;"",""))</f>
        <v/>
      </c>
      <c r="H1915" s="58" t="str">
        <f>IF(OR(COUNTA(A1915:E1915)=0,D1915=""),"",IFERROR(INDEX(ca_type,MATCH(D1915,ca_name,0))&amp;"",""))</f>
        <v/>
      </c>
      <c r="I1915" s="58" t="str">
        <f>IF(COUNTA(A1915:E1915)=0,"",IF(N(A1915)&lt;=0,"Date manquante ou invalide",IF(B1915="","Équipe manquante",IF(ISNA(MATCH(B1915,eq_code,0)),"Équipe inconnue",IF(C1915="","Poste manquant",IF(ISNA(MATCH(C1915,po_code,0)),"Poste inconnu",IF(D1915="","Cause manquante",IF(ISNA(MATCH(D1915,ca_name,0)),"Cause inconnue",IF(H1915="","Cause à compléter dans Paramètres",IF(OR(NOT(ISNUMBER(E1915)),N(E1915)&lt;=0,N(E1915)&gt;1440),"Durée invalide",IF(COUNTIFS(sj_date,A1915,sj_eq,B1915,sj_po,C1915)=0,"Pas de saisie journalière ce jour-là","OK")))))))))))</f>
        <v/>
      </c>
      <c r="J1915">
        <f>IF(OR(I1915="OK",I1915="Pas de saisie journalière ce jour-là"),E1915,0)</f>
        <v>0.0</v>
      </c>
      <c r="K1915">
        <f>IF(AND(J1915&gt;0,A1915&gt;=p_from,A1915&lt;=p_to),1,0)</f>
        <v>0.0</v>
      </c>
      <c r="L1915">
        <f>IF(AND(K1915=1,OR(pa_po="",C1915=pa_po),OR(pa_eq="",B1915=pa_eq)),1,0)</f>
        <v>0.0</v>
      </c>
    </row>
    <row r="1916">
      <c r="A1916" s="51" t="n"/>
      <c r="B1916" s="52" t="n"/>
      <c r="C1916" s="52" t="n"/>
      <c r="D1916" s="53" t="n"/>
      <c r="E1916" s="60" t="n"/>
      <c r="F1916" s="53" t="n"/>
      <c r="G1916" s="61" t="str">
        <f>IF(OR(COUNTA(A1916:E1916)=0,D1916=""),"",IFERROR(INDEX(ca_fam,MATCH(D1916,ca_name,0))&amp;"",""))</f>
        <v/>
      </c>
      <c r="H1916" s="58" t="str">
        <f>IF(OR(COUNTA(A1916:E1916)=0,D1916=""),"",IFERROR(INDEX(ca_type,MATCH(D1916,ca_name,0))&amp;"",""))</f>
        <v/>
      </c>
      <c r="I1916" s="58" t="str">
        <f>IF(COUNTA(A1916:E1916)=0,"",IF(N(A1916)&lt;=0,"Date manquante ou invalide",IF(B1916="","Équipe manquante",IF(ISNA(MATCH(B1916,eq_code,0)),"Équipe inconnue",IF(C1916="","Poste manquant",IF(ISNA(MATCH(C1916,po_code,0)),"Poste inconnu",IF(D1916="","Cause manquante",IF(ISNA(MATCH(D1916,ca_name,0)),"Cause inconnue",IF(H1916="","Cause à compléter dans Paramètres",IF(OR(NOT(ISNUMBER(E1916)),N(E1916)&lt;=0,N(E1916)&gt;1440),"Durée invalide",IF(COUNTIFS(sj_date,A1916,sj_eq,B1916,sj_po,C1916)=0,"Pas de saisie journalière ce jour-là","OK")))))))))))</f>
        <v/>
      </c>
      <c r="J1916">
        <f>IF(OR(I1916="OK",I1916="Pas de saisie journalière ce jour-là"),E1916,0)</f>
        <v>0.0</v>
      </c>
      <c r="K1916">
        <f>IF(AND(J1916&gt;0,A1916&gt;=p_from,A1916&lt;=p_to),1,0)</f>
        <v>0.0</v>
      </c>
      <c r="L1916">
        <f>IF(AND(K1916=1,OR(pa_po="",C1916=pa_po),OR(pa_eq="",B1916=pa_eq)),1,0)</f>
        <v>0.0</v>
      </c>
    </row>
    <row r="1917">
      <c r="A1917" s="51" t="n"/>
      <c r="B1917" s="52" t="n"/>
      <c r="C1917" s="52" t="n"/>
      <c r="D1917" s="53" t="n"/>
      <c r="E1917" s="60" t="n"/>
      <c r="F1917" s="53" t="n"/>
      <c r="G1917" s="61" t="str">
        <f>IF(OR(COUNTA(A1917:E1917)=0,D1917=""),"",IFERROR(INDEX(ca_fam,MATCH(D1917,ca_name,0))&amp;"",""))</f>
        <v/>
      </c>
      <c r="H1917" s="58" t="str">
        <f>IF(OR(COUNTA(A1917:E1917)=0,D1917=""),"",IFERROR(INDEX(ca_type,MATCH(D1917,ca_name,0))&amp;"",""))</f>
        <v/>
      </c>
      <c r="I1917" s="58" t="str">
        <f>IF(COUNTA(A1917:E1917)=0,"",IF(N(A1917)&lt;=0,"Date manquante ou invalide",IF(B1917="","Équipe manquante",IF(ISNA(MATCH(B1917,eq_code,0)),"Équipe inconnue",IF(C1917="","Poste manquant",IF(ISNA(MATCH(C1917,po_code,0)),"Poste inconnu",IF(D1917="","Cause manquante",IF(ISNA(MATCH(D1917,ca_name,0)),"Cause inconnue",IF(H1917="","Cause à compléter dans Paramètres",IF(OR(NOT(ISNUMBER(E1917)),N(E1917)&lt;=0,N(E1917)&gt;1440),"Durée invalide",IF(COUNTIFS(sj_date,A1917,sj_eq,B1917,sj_po,C1917)=0,"Pas de saisie journalière ce jour-là","OK")))))))))))</f>
        <v/>
      </c>
      <c r="J1917">
        <f>IF(OR(I1917="OK",I1917="Pas de saisie journalière ce jour-là"),E1917,0)</f>
        <v>0.0</v>
      </c>
      <c r="K1917">
        <f>IF(AND(J1917&gt;0,A1917&gt;=p_from,A1917&lt;=p_to),1,0)</f>
        <v>0.0</v>
      </c>
      <c r="L1917">
        <f>IF(AND(K1917=1,OR(pa_po="",C1917=pa_po),OR(pa_eq="",B1917=pa_eq)),1,0)</f>
        <v>0.0</v>
      </c>
    </row>
    <row r="1918">
      <c r="A1918" s="51" t="n"/>
      <c r="B1918" s="52" t="n"/>
      <c r="C1918" s="52" t="n"/>
      <c r="D1918" s="53" t="n"/>
      <c r="E1918" s="60" t="n"/>
      <c r="F1918" s="53" t="n"/>
      <c r="G1918" s="61" t="str">
        <f>IF(OR(COUNTA(A1918:E1918)=0,D1918=""),"",IFERROR(INDEX(ca_fam,MATCH(D1918,ca_name,0))&amp;"",""))</f>
        <v/>
      </c>
      <c r="H1918" s="58" t="str">
        <f>IF(OR(COUNTA(A1918:E1918)=0,D1918=""),"",IFERROR(INDEX(ca_type,MATCH(D1918,ca_name,0))&amp;"",""))</f>
        <v/>
      </c>
      <c r="I1918" s="58" t="str">
        <f>IF(COUNTA(A1918:E1918)=0,"",IF(N(A1918)&lt;=0,"Date manquante ou invalide",IF(B1918="","Équipe manquante",IF(ISNA(MATCH(B1918,eq_code,0)),"Équipe inconnue",IF(C1918="","Poste manquant",IF(ISNA(MATCH(C1918,po_code,0)),"Poste inconnu",IF(D1918="","Cause manquante",IF(ISNA(MATCH(D1918,ca_name,0)),"Cause inconnue",IF(H1918="","Cause à compléter dans Paramètres",IF(OR(NOT(ISNUMBER(E1918)),N(E1918)&lt;=0,N(E1918)&gt;1440),"Durée invalide",IF(COUNTIFS(sj_date,A1918,sj_eq,B1918,sj_po,C1918)=0,"Pas de saisie journalière ce jour-là","OK")))))))))))</f>
        <v/>
      </c>
      <c r="J1918">
        <f>IF(OR(I1918="OK",I1918="Pas de saisie journalière ce jour-là"),E1918,0)</f>
        <v>0.0</v>
      </c>
      <c r="K1918">
        <f>IF(AND(J1918&gt;0,A1918&gt;=p_from,A1918&lt;=p_to),1,0)</f>
        <v>0.0</v>
      </c>
      <c r="L1918">
        <f>IF(AND(K1918=1,OR(pa_po="",C1918=pa_po),OR(pa_eq="",B1918=pa_eq)),1,0)</f>
        <v>0.0</v>
      </c>
    </row>
    <row r="1919">
      <c r="A1919" s="51" t="n"/>
      <c r="B1919" s="52" t="n"/>
      <c r="C1919" s="52" t="n"/>
      <c r="D1919" s="53" t="n"/>
      <c r="E1919" s="60" t="n"/>
      <c r="F1919" s="53" t="n"/>
      <c r="G1919" s="61" t="str">
        <f>IF(OR(COUNTA(A1919:E1919)=0,D1919=""),"",IFERROR(INDEX(ca_fam,MATCH(D1919,ca_name,0))&amp;"",""))</f>
        <v/>
      </c>
      <c r="H1919" s="58" t="str">
        <f>IF(OR(COUNTA(A1919:E1919)=0,D1919=""),"",IFERROR(INDEX(ca_type,MATCH(D1919,ca_name,0))&amp;"",""))</f>
        <v/>
      </c>
      <c r="I1919" s="58" t="str">
        <f>IF(COUNTA(A1919:E1919)=0,"",IF(N(A1919)&lt;=0,"Date manquante ou invalide",IF(B1919="","Équipe manquante",IF(ISNA(MATCH(B1919,eq_code,0)),"Équipe inconnue",IF(C1919="","Poste manquant",IF(ISNA(MATCH(C1919,po_code,0)),"Poste inconnu",IF(D1919="","Cause manquante",IF(ISNA(MATCH(D1919,ca_name,0)),"Cause inconnue",IF(H1919="","Cause à compléter dans Paramètres",IF(OR(NOT(ISNUMBER(E1919)),N(E1919)&lt;=0,N(E1919)&gt;1440),"Durée invalide",IF(COUNTIFS(sj_date,A1919,sj_eq,B1919,sj_po,C1919)=0,"Pas de saisie journalière ce jour-là","OK")))))))))))</f>
        <v/>
      </c>
      <c r="J1919">
        <f>IF(OR(I1919="OK",I1919="Pas de saisie journalière ce jour-là"),E1919,0)</f>
        <v>0.0</v>
      </c>
      <c r="K1919">
        <f>IF(AND(J1919&gt;0,A1919&gt;=p_from,A1919&lt;=p_to),1,0)</f>
        <v>0.0</v>
      </c>
      <c r="L1919">
        <f>IF(AND(K1919=1,OR(pa_po="",C1919=pa_po),OR(pa_eq="",B1919=pa_eq)),1,0)</f>
        <v>0.0</v>
      </c>
    </row>
    <row r="1920">
      <c r="A1920" s="51" t="n"/>
      <c r="B1920" s="52" t="n"/>
      <c r="C1920" s="52" t="n"/>
      <c r="D1920" s="53" t="n"/>
      <c r="E1920" s="60" t="n"/>
      <c r="F1920" s="53" t="n"/>
      <c r="G1920" s="61" t="str">
        <f>IF(OR(COUNTA(A1920:E1920)=0,D1920=""),"",IFERROR(INDEX(ca_fam,MATCH(D1920,ca_name,0))&amp;"",""))</f>
        <v/>
      </c>
      <c r="H1920" s="58" t="str">
        <f>IF(OR(COUNTA(A1920:E1920)=0,D1920=""),"",IFERROR(INDEX(ca_type,MATCH(D1920,ca_name,0))&amp;"",""))</f>
        <v/>
      </c>
      <c r="I1920" s="58" t="str">
        <f>IF(COUNTA(A1920:E1920)=0,"",IF(N(A1920)&lt;=0,"Date manquante ou invalide",IF(B1920="","Équipe manquante",IF(ISNA(MATCH(B1920,eq_code,0)),"Équipe inconnue",IF(C1920="","Poste manquant",IF(ISNA(MATCH(C1920,po_code,0)),"Poste inconnu",IF(D1920="","Cause manquante",IF(ISNA(MATCH(D1920,ca_name,0)),"Cause inconnue",IF(H1920="","Cause à compléter dans Paramètres",IF(OR(NOT(ISNUMBER(E1920)),N(E1920)&lt;=0,N(E1920)&gt;1440),"Durée invalide",IF(COUNTIFS(sj_date,A1920,sj_eq,B1920,sj_po,C1920)=0,"Pas de saisie journalière ce jour-là","OK")))))))))))</f>
        <v/>
      </c>
      <c r="J1920">
        <f>IF(OR(I1920="OK",I1920="Pas de saisie journalière ce jour-là"),E1920,0)</f>
        <v>0.0</v>
      </c>
      <c r="K1920">
        <f>IF(AND(J1920&gt;0,A1920&gt;=p_from,A1920&lt;=p_to),1,0)</f>
        <v>0.0</v>
      </c>
      <c r="L1920">
        <f>IF(AND(K1920=1,OR(pa_po="",C1920=pa_po),OR(pa_eq="",B1920=pa_eq)),1,0)</f>
        <v>0.0</v>
      </c>
    </row>
    <row r="1921">
      <c r="A1921" s="51" t="n"/>
      <c r="B1921" s="52" t="n"/>
      <c r="C1921" s="52" t="n"/>
      <c r="D1921" s="53" t="n"/>
      <c r="E1921" s="60" t="n"/>
      <c r="F1921" s="53" t="n"/>
      <c r="G1921" s="61" t="str">
        <f>IF(OR(COUNTA(A1921:E1921)=0,D1921=""),"",IFERROR(INDEX(ca_fam,MATCH(D1921,ca_name,0))&amp;"",""))</f>
        <v/>
      </c>
      <c r="H1921" s="58" t="str">
        <f>IF(OR(COUNTA(A1921:E1921)=0,D1921=""),"",IFERROR(INDEX(ca_type,MATCH(D1921,ca_name,0))&amp;"",""))</f>
        <v/>
      </c>
      <c r="I1921" s="58" t="str">
        <f>IF(COUNTA(A1921:E1921)=0,"",IF(N(A1921)&lt;=0,"Date manquante ou invalide",IF(B1921="","Équipe manquante",IF(ISNA(MATCH(B1921,eq_code,0)),"Équipe inconnue",IF(C1921="","Poste manquant",IF(ISNA(MATCH(C1921,po_code,0)),"Poste inconnu",IF(D1921="","Cause manquante",IF(ISNA(MATCH(D1921,ca_name,0)),"Cause inconnue",IF(H1921="","Cause à compléter dans Paramètres",IF(OR(NOT(ISNUMBER(E1921)),N(E1921)&lt;=0,N(E1921)&gt;1440),"Durée invalide",IF(COUNTIFS(sj_date,A1921,sj_eq,B1921,sj_po,C1921)=0,"Pas de saisie journalière ce jour-là","OK")))))))))))</f>
        <v/>
      </c>
      <c r="J1921">
        <f>IF(OR(I1921="OK",I1921="Pas de saisie journalière ce jour-là"),E1921,0)</f>
        <v>0.0</v>
      </c>
      <c r="K1921">
        <f>IF(AND(J1921&gt;0,A1921&gt;=p_from,A1921&lt;=p_to),1,0)</f>
        <v>0.0</v>
      </c>
      <c r="L1921">
        <f>IF(AND(K1921=1,OR(pa_po="",C1921=pa_po),OR(pa_eq="",B1921=pa_eq)),1,0)</f>
        <v>0.0</v>
      </c>
    </row>
    <row r="1922">
      <c r="A1922" s="51" t="n"/>
      <c r="B1922" s="52" t="n"/>
      <c r="C1922" s="52" t="n"/>
      <c r="D1922" s="53" t="n"/>
      <c r="E1922" s="60" t="n"/>
      <c r="F1922" s="53" t="n"/>
      <c r="G1922" s="61" t="str">
        <f>IF(OR(COUNTA(A1922:E1922)=0,D1922=""),"",IFERROR(INDEX(ca_fam,MATCH(D1922,ca_name,0))&amp;"",""))</f>
        <v/>
      </c>
      <c r="H1922" s="58" t="str">
        <f>IF(OR(COUNTA(A1922:E1922)=0,D1922=""),"",IFERROR(INDEX(ca_type,MATCH(D1922,ca_name,0))&amp;"",""))</f>
        <v/>
      </c>
      <c r="I1922" s="58" t="str">
        <f>IF(COUNTA(A1922:E1922)=0,"",IF(N(A1922)&lt;=0,"Date manquante ou invalide",IF(B1922="","Équipe manquante",IF(ISNA(MATCH(B1922,eq_code,0)),"Équipe inconnue",IF(C1922="","Poste manquant",IF(ISNA(MATCH(C1922,po_code,0)),"Poste inconnu",IF(D1922="","Cause manquante",IF(ISNA(MATCH(D1922,ca_name,0)),"Cause inconnue",IF(H1922="","Cause à compléter dans Paramètres",IF(OR(NOT(ISNUMBER(E1922)),N(E1922)&lt;=0,N(E1922)&gt;1440),"Durée invalide",IF(COUNTIFS(sj_date,A1922,sj_eq,B1922,sj_po,C1922)=0,"Pas de saisie journalière ce jour-là","OK")))))))))))</f>
        <v/>
      </c>
      <c r="J1922">
        <f>IF(OR(I1922="OK",I1922="Pas de saisie journalière ce jour-là"),E1922,0)</f>
        <v>0.0</v>
      </c>
      <c r="K1922">
        <f>IF(AND(J1922&gt;0,A1922&gt;=p_from,A1922&lt;=p_to),1,0)</f>
        <v>0.0</v>
      </c>
      <c r="L1922">
        <f>IF(AND(K1922=1,OR(pa_po="",C1922=pa_po),OR(pa_eq="",B1922=pa_eq)),1,0)</f>
        <v>0.0</v>
      </c>
    </row>
    <row r="1923">
      <c r="A1923" s="51" t="n"/>
      <c r="B1923" s="52" t="n"/>
      <c r="C1923" s="52" t="n"/>
      <c r="D1923" s="53" t="n"/>
      <c r="E1923" s="60" t="n"/>
      <c r="F1923" s="53" t="n"/>
      <c r="G1923" s="61" t="str">
        <f>IF(OR(COUNTA(A1923:E1923)=0,D1923=""),"",IFERROR(INDEX(ca_fam,MATCH(D1923,ca_name,0))&amp;"",""))</f>
        <v/>
      </c>
      <c r="H1923" s="58" t="str">
        <f>IF(OR(COUNTA(A1923:E1923)=0,D1923=""),"",IFERROR(INDEX(ca_type,MATCH(D1923,ca_name,0))&amp;"",""))</f>
        <v/>
      </c>
      <c r="I1923" s="58" t="str">
        <f>IF(COUNTA(A1923:E1923)=0,"",IF(N(A1923)&lt;=0,"Date manquante ou invalide",IF(B1923="","Équipe manquante",IF(ISNA(MATCH(B1923,eq_code,0)),"Équipe inconnue",IF(C1923="","Poste manquant",IF(ISNA(MATCH(C1923,po_code,0)),"Poste inconnu",IF(D1923="","Cause manquante",IF(ISNA(MATCH(D1923,ca_name,0)),"Cause inconnue",IF(H1923="","Cause à compléter dans Paramètres",IF(OR(NOT(ISNUMBER(E1923)),N(E1923)&lt;=0,N(E1923)&gt;1440),"Durée invalide",IF(COUNTIFS(sj_date,A1923,sj_eq,B1923,sj_po,C1923)=0,"Pas de saisie journalière ce jour-là","OK")))))))))))</f>
        <v/>
      </c>
      <c r="J1923">
        <f>IF(OR(I1923="OK",I1923="Pas de saisie journalière ce jour-là"),E1923,0)</f>
        <v>0.0</v>
      </c>
      <c r="K1923">
        <f>IF(AND(J1923&gt;0,A1923&gt;=p_from,A1923&lt;=p_to),1,0)</f>
        <v>0.0</v>
      </c>
      <c r="L1923">
        <f>IF(AND(K1923=1,OR(pa_po="",C1923=pa_po),OR(pa_eq="",B1923=pa_eq)),1,0)</f>
        <v>0.0</v>
      </c>
    </row>
    <row r="1924">
      <c r="A1924" s="51" t="n"/>
      <c r="B1924" s="52" t="n"/>
      <c r="C1924" s="52" t="n"/>
      <c r="D1924" s="53" t="n"/>
      <c r="E1924" s="60" t="n"/>
      <c r="F1924" s="53" t="n"/>
      <c r="G1924" s="61" t="str">
        <f>IF(OR(COUNTA(A1924:E1924)=0,D1924=""),"",IFERROR(INDEX(ca_fam,MATCH(D1924,ca_name,0))&amp;"",""))</f>
        <v/>
      </c>
      <c r="H1924" s="58" t="str">
        <f>IF(OR(COUNTA(A1924:E1924)=0,D1924=""),"",IFERROR(INDEX(ca_type,MATCH(D1924,ca_name,0))&amp;"",""))</f>
        <v/>
      </c>
      <c r="I1924" s="58" t="str">
        <f>IF(COUNTA(A1924:E1924)=0,"",IF(N(A1924)&lt;=0,"Date manquante ou invalide",IF(B1924="","Équipe manquante",IF(ISNA(MATCH(B1924,eq_code,0)),"Équipe inconnue",IF(C1924="","Poste manquant",IF(ISNA(MATCH(C1924,po_code,0)),"Poste inconnu",IF(D1924="","Cause manquante",IF(ISNA(MATCH(D1924,ca_name,0)),"Cause inconnue",IF(H1924="","Cause à compléter dans Paramètres",IF(OR(NOT(ISNUMBER(E1924)),N(E1924)&lt;=0,N(E1924)&gt;1440),"Durée invalide",IF(COUNTIFS(sj_date,A1924,sj_eq,B1924,sj_po,C1924)=0,"Pas de saisie journalière ce jour-là","OK")))))))))))</f>
        <v/>
      </c>
      <c r="J1924">
        <f>IF(OR(I1924="OK",I1924="Pas de saisie journalière ce jour-là"),E1924,0)</f>
        <v>0.0</v>
      </c>
      <c r="K1924">
        <f>IF(AND(J1924&gt;0,A1924&gt;=p_from,A1924&lt;=p_to),1,0)</f>
        <v>0.0</v>
      </c>
      <c r="L1924">
        <f>IF(AND(K1924=1,OR(pa_po="",C1924=pa_po),OR(pa_eq="",B1924=pa_eq)),1,0)</f>
        <v>0.0</v>
      </c>
    </row>
    <row r="1925">
      <c r="A1925" s="51" t="n"/>
      <c r="B1925" s="52" t="n"/>
      <c r="C1925" s="52" t="n"/>
      <c r="D1925" s="53" t="n"/>
      <c r="E1925" s="60" t="n"/>
      <c r="F1925" s="53" t="n"/>
      <c r="G1925" s="61" t="str">
        <f>IF(OR(COUNTA(A1925:E1925)=0,D1925=""),"",IFERROR(INDEX(ca_fam,MATCH(D1925,ca_name,0))&amp;"",""))</f>
        <v/>
      </c>
      <c r="H1925" s="58" t="str">
        <f>IF(OR(COUNTA(A1925:E1925)=0,D1925=""),"",IFERROR(INDEX(ca_type,MATCH(D1925,ca_name,0))&amp;"",""))</f>
        <v/>
      </c>
      <c r="I1925" s="58" t="str">
        <f>IF(COUNTA(A1925:E1925)=0,"",IF(N(A1925)&lt;=0,"Date manquante ou invalide",IF(B1925="","Équipe manquante",IF(ISNA(MATCH(B1925,eq_code,0)),"Équipe inconnue",IF(C1925="","Poste manquant",IF(ISNA(MATCH(C1925,po_code,0)),"Poste inconnu",IF(D1925="","Cause manquante",IF(ISNA(MATCH(D1925,ca_name,0)),"Cause inconnue",IF(H1925="","Cause à compléter dans Paramètres",IF(OR(NOT(ISNUMBER(E1925)),N(E1925)&lt;=0,N(E1925)&gt;1440),"Durée invalide",IF(COUNTIFS(sj_date,A1925,sj_eq,B1925,sj_po,C1925)=0,"Pas de saisie journalière ce jour-là","OK")))))))))))</f>
        <v/>
      </c>
      <c r="J1925">
        <f>IF(OR(I1925="OK",I1925="Pas de saisie journalière ce jour-là"),E1925,0)</f>
        <v>0.0</v>
      </c>
      <c r="K1925">
        <f>IF(AND(J1925&gt;0,A1925&gt;=p_from,A1925&lt;=p_to),1,0)</f>
        <v>0.0</v>
      </c>
      <c r="L1925">
        <f>IF(AND(K1925=1,OR(pa_po="",C1925=pa_po),OR(pa_eq="",B1925=pa_eq)),1,0)</f>
        <v>0.0</v>
      </c>
    </row>
    <row r="1926">
      <c r="A1926" s="51" t="n"/>
      <c r="B1926" s="52" t="n"/>
      <c r="C1926" s="52" t="n"/>
      <c r="D1926" s="53" t="n"/>
      <c r="E1926" s="60" t="n"/>
      <c r="F1926" s="53" t="n"/>
      <c r="G1926" s="61" t="str">
        <f>IF(OR(COUNTA(A1926:E1926)=0,D1926=""),"",IFERROR(INDEX(ca_fam,MATCH(D1926,ca_name,0))&amp;"",""))</f>
        <v/>
      </c>
      <c r="H1926" s="58" t="str">
        <f>IF(OR(COUNTA(A1926:E1926)=0,D1926=""),"",IFERROR(INDEX(ca_type,MATCH(D1926,ca_name,0))&amp;"",""))</f>
        <v/>
      </c>
      <c r="I1926" s="58" t="str">
        <f>IF(COUNTA(A1926:E1926)=0,"",IF(N(A1926)&lt;=0,"Date manquante ou invalide",IF(B1926="","Équipe manquante",IF(ISNA(MATCH(B1926,eq_code,0)),"Équipe inconnue",IF(C1926="","Poste manquant",IF(ISNA(MATCH(C1926,po_code,0)),"Poste inconnu",IF(D1926="","Cause manquante",IF(ISNA(MATCH(D1926,ca_name,0)),"Cause inconnue",IF(H1926="","Cause à compléter dans Paramètres",IF(OR(NOT(ISNUMBER(E1926)),N(E1926)&lt;=0,N(E1926)&gt;1440),"Durée invalide",IF(COUNTIFS(sj_date,A1926,sj_eq,B1926,sj_po,C1926)=0,"Pas de saisie journalière ce jour-là","OK")))))))))))</f>
        <v/>
      </c>
      <c r="J1926">
        <f>IF(OR(I1926="OK",I1926="Pas de saisie journalière ce jour-là"),E1926,0)</f>
        <v>0.0</v>
      </c>
      <c r="K1926">
        <f>IF(AND(J1926&gt;0,A1926&gt;=p_from,A1926&lt;=p_to),1,0)</f>
        <v>0.0</v>
      </c>
      <c r="L1926">
        <f>IF(AND(K1926=1,OR(pa_po="",C1926=pa_po),OR(pa_eq="",B1926=pa_eq)),1,0)</f>
        <v>0.0</v>
      </c>
    </row>
    <row r="1927">
      <c r="A1927" s="51" t="n"/>
      <c r="B1927" s="52" t="n"/>
      <c r="C1927" s="52" t="n"/>
      <c r="D1927" s="53" t="n"/>
      <c r="E1927" s="60" t="n"/>
      <c r="F1927" s="53" t="n"/>
      <c r="G1927" s="61" t="str">
        <f>IF(OR(COUNTA(A1927:E1927)=0,D1927=""),"",IFERROR(INDEX(ca_fam,MATCH(D1927,ca_name,0))&amp;"",""))</f>
        <v/>
      </c>
      <c r="H1927" s="58" t="str">
        <f>IF(OR(COUNTA(A1927:E1927)=0,D1927=""),"",IFERROR(INDEX(ca_type,MATCH(D1927,ca_name,0))&amp;"",""))</f>
        <v/>
      </c>
      <c r="I1927" s="58" t="str">
        <f>IF(COUNTA(A1927:E1927)=0,"",IF(N(A1927)&lt;=0,"Date manquante ou invalide",IF(B1927="","Équipe manquante",IF(ISNA(MATCH(B1927,eq_code,0)),"Équipe inconnue",IF(C1927="","Poste manquant",IF(ISNA(MATCH(C1927,po_code,0)),"Poste inconnu",IF(D1927="","Cause manquante",IF(ISNA(MATCH(D1927,ca_name,0)),"Cause inconnue",IF(H1927="","Cause à compléter dans Paramètres",IF(OR(NOT(ISNUMBER(E1927)),N(E1927)&lt;=0,N(E1927)&gt;1440),"Durée invalide",IF(COUNTIFS(sj_date,A1927,sj_eq,B1927,sj_po,C1927)=0,"Pas de saisie journalière ce jour-là","OK")))))))))))</f>
        <v/>
      </c>
      <c r="J1927">
        <f>IF(OR(I1927="OK",I1927="Pas de saisie journalière ce jour-là"),E1927,0)</f>
        <v>0.0</v>
      </c>
      <c r="K1927">
        <f>IF(AND(J1927&gt;0,A1927&gt;=p_from,A1927&lt;=p_to),1,0)</f>
        <v>0.0</v>
      </c>
      <c r="L1927">
        <f>IF(AND(K1927=1,OR(pa_po="",C1927=pa_po),OR(pa_eq="",B1927=pa_eq)),1,0)</f>
        <v>0.0</v>
      </c>
    </row>
    <row r="1928">
      <c r="A1928" s="51" t="n"/>
      <c r="B1928" s="52" t="n"/>
      <c r="C1928" s="52" t="n"/>
      <c r="D1928" s="53" t="n"/>
      <c r="E1928" s="60" t="n"/>
      <c r="F1928" s="53" t="n"/>
      <c r="G1928" s="61" t="str">
        <f>IF(OR(COUNTA(A1928:E1928)=0,D1928=""),"",IFERROR(INDEX(ca_fam,MATCH(D1928,ca_name,0))&amp;"",""))</f>
        <v/>
      </c>
      <c r="H1928" s="58" t="str">
        <f>IF(OR(COUNTA(A1928:E1928)=0,D1928=""),"",IFERROR(INDEX(ca_type,MATCH(D1928,ca_name,0))&amp;"",""))</f>
        <v/>
      </c>
      <c r="I1928" s="58" t="str">
        <f>IF(COUNTA(A1928:E1928)=0,"",IF(N(A1928)&lt;=0,"Date manquante ou invalide",IF(B1928="","Équipe manquante",IF(ISNA(MATCH(B1928,eq_code,0)),"Équipe inconnue",IF(C1928="","Poste manquant",IF(ISNA(MATCH(C1928,po_code,0)),"Poste inconnu",IF(D1928="","Cause manquante",IF(ISNA(MATCH(D1928,ca_name,0)),"Cause inconnue",IF(H1928="","Cause à compléter dans Paramètres",IF(OR(NOT(ISNUMBER(E1928)),N(E1928)&lt;=0,N(E1928)&gt;1440),"Durée invalide",IF(COUNTIFS(sj_date,A1928,sj_eq,B1928,sj_po,C1928)=0,"Pas de saisie journalière ce jour-là","OK")))))))))))</f>
        <v/>
      </c>
      <c r="J1928">
        <f>IF(OR(I1928="OK",I1928="Pas de saisie journalière ce jour-là"),E1928,0)</f>
        <v>0.0</v>
      </c>
      <c r="K1928">
        <f>IF(AND(J1928&gt;0,A1928&gt;=p_from,A1928&lt;=p_to),1,0)</f>
        <v>0.0</v>
      </c>
      <c r="L1928">
        <f>IF(AND(K1928=1,OR(pa_po="",C1928=pa_po),OR(pa_eq="",B1928=pa_eq)),1,0)</f>
        <v>0.0</v>
      </c>
    </row>
    <row r="1929">
      <c r="A1929" s="51" t="n"/>
      <c r="B1929" s="52" t="n"/>
      <c r="C1929" s="52" t="n"/>
      <c r="D1929" s="53" t="n"/>
      <c r="E1929" s="60" t="n"/>
      <c r="F1929" s="53" t="n"/>
      <c r="G1929" s="61" t="str">
        <f>IF(OR(COUNTA(A1929:E1929)=0,D1929=""),"",IFERROR(INDEX(ca_fam,MATCH(D1929,ca_name,0))&amp;"",""))</f>
        <v/>
      </c>
      <c r="H1929" s="58" t="str">
        <f>IF(OR(COUNTA(A1929:E1929)=0,D1929=""),"",IFERROR(INDEX(ca_type,MATCH(D1929,ca_name,0))&amp;"",""))</f>
        <v/>
      </c>
      <c r="I1929" s="58" t="str">
        <f>IF(COUNTA(A1929:E1929)=0,"",IF(N(A1929)&lt;=0,"Date manquante ou invalide",IF(B1929="","Équipe manquante",IF(ISNA(MATCH(B1929,eq_code,0)),"Équipe inconnue",IF(C1929="","Poste manquant",IF(ISNA(MATCH(C1929,po_code,0)),"Poste inconnu",IF(D1929="","Cause manquante",IF(ISNA(MATCH(D1929,ca_name,0)),"Cause inconnue",IF(H1929="","Cause à compléter dans Paramètres",IF(OR(NOT(ISNUMBER(E1929)),N(E1929)&lt;=0,N(E1929)&gt;1440),"Durée invalide",IF(COUNTIFS(sj_date,A1929,sj_eq,B1929,sj_po,C1929)=0,"Pas de saisie journalière ce jour-là","OK")))))))))))</f>
        <v/>
      </c>
      <c r="J1929">
        <f>IF(OR(I1929="OK",I1929="Pas de saisie journalière ce jour-là"),E1929,0)</f>
        <v>0.0</v>
      </c>
      <c r="K1929">
        <f>IF(AND(J1929&gt;0,A1929&gt;=p_from,A1929&lt;=p_to),1,0)</f>
        <v>0.0</v>
      </c>
      <c r="L1929">
        <f>IF(AND(K1929=1,OR(pa_po="",C1929=pa_po),OR(pa_eq="",B1929=pa_eq)),1,0)</f>
        <v>0.0</v>
      </c>
    </row>
    <row r="1930">
      <c r="A1930" s="51" t="n"/>
      <c r="B1930" s="52" t="n"/>
      <c r="C1930" s="52" t="n"/>
      <c r="D1930" s="53" t="n"/>
      <c r="E1930" s="60" t="n"/>
      <c r="F1930" s="53" t="n"/>
      <c r="G1930" s="61" t="str">
        <f>IF(OR(COUNTA(A1930:E1930)=0,D1930=""),"",IFERROR(INDEX(ca_fam,MATCH(D1930,ca_name,0))&amp;"",""))</f>
        <v/>
      </c>
      <c r="H1930" s="58" t="str">
        <f>IF(OR(COUNTA(A1930:E1930)=0,D1930=""),"",IFERROR(INDEX(ca_type,MATCH(D1930,ca_name,0))&amp;"",""))</f>
        <v/>
      </c>
      <c r="I1930" s="58" t="str">
        <f>IF(COUNTA(A1930:E1930)=0,"",IF(N(A1930)&lt;=0,"Date manquante ou invalide",IF(B1930="","Équipe manquante",IF(ISNA(MATCH(B1930,eq_code,0)),"Équipe inconnue",IF(C1930="","Poste manquant",IF(ISNA(MATCH(C1930,po_code,0)),"Poste inconnu",IF(D1930="","Cause manquante",IF(ISNA(MATCH(D1930,ca_name,0)),"Cause inconnue",IF(H1930="","Cause à compléter dans Paramètres",IF(OR(NOT(ISNUMBER(E1930)),N(E1930)&lt;=0,N(E1930)&gt;1440),"Durée invalide",IF(COUNTIFS(sj_date,A1930,sj_eq,B1930,sj_po,C1930)=0,"Pas de saisie journalière ce jour-là","OK")))))))))))</f>
        <v/>
      </c>
      <c r="J1930">
        <f>IF(OR(I1930="OK",I1930="Pas de saisie journalière ce jour-là"),E1930,0)</f>
        <v>0.0</v>
      </c>
      <c r="K1930">
        <f>IF(AND(J1930&gt;0,A1930&gt;=p_from,A1930&lt;=p_to),1,0)</f>
        <v>0.0</v>
      </c>
      <c r="L1930">
        <f>IF(AND(K1930=1,OR(pa_po="",C1930=pa_po),OR(pa_eq="",B1930=pa_eq)),1,0)</f>
        <v>0.0</v>
      </c>
    </row>
    <row r="1931">
      <c r="A1931" s="51" t="n"/>
      <c r="B1931" s="52" t="n"/>
      <c r="C1931" s="52" t="n"/>
      <c r="D1931" s="53" t="n"/>
      <c r="E1931" s="60" t="n"/>
      <c r="F1931" s="53" t="n"/>
      <c r="G1931" s="61" t="str">
        <f>IF(OR(COUNTA(A1931:E1931)=0,D1931=""),"",IFERROR(INDEX(ca_fam,MATCH(D1931,ca_name,0))&amp;"",""))</f>
        <v/>
      </c>
      <c r="H1931" s="58" t="str">
        <f>IF(OR(COUNTA(A1931:E1931)=0,D1931=""),"",IFERROR(INDEX(ca_type,MATCH(D1931,ca_name,0))&amp;"",""))</f>
        <v/>
      </c>
      <c r="I1931" s="58" t="str">
        <f>IF(COUNTA(A1931:E1931)=0,"",IF(N(A1931)&lt;=0,"Date manquante ou invalide",IF(B1931="","Équipe manquante",IF(ISNA(MATCH(B1931,eq_code,0)),"Équipe inconnue",IF(C1931="","Poste manquant",IF(ISNA(MATCH(C1931,po_code,0)),"Poste inconnu",IF(D1931="","Cause manquante",IF(ISNA(MATCH(D1931,ca_name,0)),"Cause inconnue",IF(H1931="","Cause à compléter dans Paramètres",IF(OR(NOT(ISNUMBER(E1931)),N(E1931)&lt;=0,N(E1931)&gt;1440),"Durée invalide",IF(COUNTIFS(sj_date,A1931,sj_eq,B1931,sj_po,C1931)=0,"Pas de saisie journalière ce jour-là","OK")))))))))))</f>
        <v/>
      </c>
      <c r="J1931">
        <f>IF(OR(I1931="OK",I1931="Pas de saisie journalière ce jour-là"),E1931,0)</f>
        <v>0.0</v>
      </c>
      <c r="K1931">
        <f>IF(AND(J1931&gt;0,A1931&gt;=p_from,A1931&lt;=p_to),1,0)</f>
        <v>0.0</v>
      </c>
      <c r="L1931">
        <f>IF(AND(K1931=1,OR(pa_po="",C1931=pa_po),OR(pa_eq="",B1931=pa_eq)),1,0)</f>
        <v>0.0</v>
      </c>
    </row>
    <row r="1932">
      <c r="A1932" s="51" t="n"/>
      <c r="B1932" s="52" t="n"/>
      <c r="C1932" s="52" t="n"/>
      <c r="D1932" s="53" t="n"/>
      <c r="E1932" s="60" t="n"/>
      <c r="F1932" s="53" t="n"/>
      <c r="G1932" s="61" t="str">
        <f>IF(OR(COUNTA(A1932:E1932)=0,D1932=""),"",IFERROR(INDEX(ca_fam,MATCH(D1932,ca_name,0))&amp;"",""))</f>
        <v/>
      </c>
      <c r="H1932" s="58" t="str">
        <f>IF(OR(COUNTA(A1932:E1932)=0,D1932=""),"",IFERROR(INDEX(ca_type,MATCH(D1932,ca_name,0))&amp;"",""))</f>
        <v/>
      </c>
      <c r="I1932" s="58" t="str">
        <f>IF(COUNTA(A1932:E1932)=0,"",IF(N(A1932)&lt;=0,"Date manquante ou invalide",IF(B1932="","Équipe manquante",IF(ISNA(MATCH(B1932,eq_code,0)),"Équipe inconnue",IF(C1932="","Poste manquant",IF(ISNA(MATCH(C1932,po_code,0)),"Poste inconnu",IF(D1932="","Cause manquante",IF(ISNA(MATCH(D1932,ca_name,0)),"Cause inconnue",IF(H1932="","Cause à compléter dans Paramètres",IF(OR(NOT(ISNUMBER(E1932)),N(E1932)&lt;=0,N(E1932)&gt;1440),"Durée invalide",IF(COUNTIFS(sj_date,A1932,sj_eq,B1932,sj_po,C1932)=0,"Pas de saisie journalière ce jour-là","OK")))))))))))</f>
        <v/>
      </c>
      <c r="J1932">
        <f>IF(OR(I1932="OK",I1932="Pas de saisie journalière ce jour-là"),E1932,0)</f>
        <v>0.0</v>
      </c>
      <c r="K1932">
        <f>IF(AND(J1932&gt;0,A1932&gt;=p_from,A1932&lt;=p_to),1,0)</f>
        <v>0.0</v>
      </c>
      <c r="L1932">
        <f>IF(AND(K1932=1,OR(pa_po="",C1932=pa_po),OR(pa_eq="",B1932=pa_eq)),1,0)</f>
        <v>0.0</v>
      </c>
    </row>
    <row r="1933">
      <c r="A1933" s="51" t="n"/>
      <c r="B1933" s="52" t="n"/>
      <c r="C1933" s="52" t="n"/>
      <c r="D1933" s="53" t="n"/>
      <c r="E1933" s="60" t="n"/>
      <c r="F1933" s="53" t="n"/>
      <c r="G1933" s="61" t="str">
        <f>IF(OR(COUNTA(A1933:E1933)=0,D1933=""),"",IFERROR(INDEX(ca_fam,MATCH(D1933,ca_name,0))&amp;"",""))</f>
        <v/>
      </c>
      <c r="H1933" s="58" t="str">
        <f>IF(OR(COUNTA(A1933:E1933)=0,D1933=""),"",IFERROR(INDEX(ca_type,MATCH(D1933,ca_name,0))&amp;"",""))</f>
        <v/>
      </c>
      <c r="I1933" s="58" t="str">
        <f>IF(COUNTA(A1933:E1933)=0,"",IF(N(A1933)&lt;=0,"Date manquante ou invalide",IF(B1933="","Équipe manquante",IF(ISNA(MATCH(B1933,eq_code,0)),"Équipe inconnue",IF(C1933="","Poste manquant",IF(ISNA(MATCH(C1933,po_code,0)),"Poste inconnu",IF(D1933="","Cause manquante",IF(ISNA(MATCH(D1933,ca_name,0)),"Cause inconnue",IF(H1933="","Cause à compléter dans Paramètres",IF(OR(NOT(ISNUMBER(E1933)),N(E1933)&lt;=0,N(E1933)&gt;1440),"Durée invalide",IF(COUNTIFS(sj_date,A1933,sj_eq,B1933,sj_po,C1933)=0,"Pas de saisie journalière ce jour-là","OK")))))))))))</f>
        <v/>
      </c>
      <c r="J1933">
        <f>IF(OR(I1933="OK",I1933="Pas de saisie journalière ce jour-là"),E1933,0)</f>
        <v>0.0</v>
      </c>
      <c r="K1933">
        <f>IF(AND(J1933&gt;0,A1933&gt;=p_from,A1933&lt;=p_to),1,0)</f>
        <v>0.0</v>
      </c>
      <c r="L1933">
        <f>IF(AND(K1933=1,OR(pa_po="",C1933=pa_po),OR(pa_eq="",B1933=pa_eq)),1,0)</f>
        <v>0.0</v>
      </c>
    </row>
    <row r="1934">
      <c r="A1934" s="51" t="n"/>
      <c r="B1934" s="52" t="n"/>
      <c r="C1934" s="52" t="n"/>
      <c r="D1934" s="53" t="n"/>
      <c r="E1934" s="60" t="n"/>
      <c r="F1934" s="53" t="n"/>
      <c r="G1934" s="61" t="str">
        <f>IF(OR(COUNTA(A1934:E1934)=0,D1934=""),"",IFERROR(INDEX(ca_fam,MATCH(D1934,ca_name,0))&amp;"",""))</f>
        <v/>
      </c>
      <c r="H1934" s="58" t="str">
        <f>IF(OR(COUNTA(A1934:E1934)=0,D1934=""),"",IFERROR(INDEX(ca_type,MATCH(D1934,ca_name,0))&amp;"",""))</f>
        <v/>
      </c>
      <c r="I1934" s="58" t="str">
        <f>IF(COUNTA(A1934:E1934)=0,"",IF(N(A1934)&lt;=0,"Date manquante ou invalide",IF(B1934="","Équipe manquante",IF(ISNA(MATCH(B1934,eq_code,0)),"Équipe inconnue",IF(C1934="","Poste manquant",IF(ISNA(MATCH(C1934,po_code,0)),"Poste inconnu",IF(D1934="","Cause manquante",IF(ISNA(MATCH(D1934,ca_name,0)),"Cause inconnue",IF(H1934="","Cause à compléter dans Paramètres",IF(OR(NOT(ISNUMBER(E1934)),N(E1934)&lt;=0,N(E1934)&gt;1440),"Durée invalide",IF(COUNTIFS(sj_date,A1934,sj_eq,B1934,sj_po,C1934)=0,"Pas de saisie journalière ce jour-là","OK")))))))))))</f>
        <v/>
      </c>
      <c r="J1934">
        <f>IF(OR(I1934="OK",I1934="Pas de saisie journalière ce jour-là"),E1934,0)</f>
        <v>0.0</v>
      </c>
      <c r="K1934">
        <f>IF(AND(J1934&gt;0,A1934&gt;=p_from,A1934&lt;=p_to),1,0)</f>
        <v>0.0</v>
      </c>
      <c r="L1934">
        <f>IF(AND(K1934=1,OR(pa_po="",C1934=pa_po),OR(pa_eq="",B1934=pa_eq)),1,0)</f>
        <v>0.0</v>
      </c>
    </row>
    <row r="1935">
      <c r="A1935" s="51" t="n"/>
      <c r="B1935" s="52" t="n"/>
      <c r="C1935" s="52" t="n"/>
      <c r="D1935" s="53" t="n"/>
      <c r="E1935" s="60" t="n"/>
      <c r="F1935" s="53" t="n"/>
      <c r="G1935" s="61" t="str">
        <f>IF(OR(COUNTA(A1935:E1935)=0,D1935=""),"",IFERROR(INDEX(ca_fam,MATCH(D1935,ca_name,0))&amp;"",""))</f>
        <v/>
      </c>
      <c r="H1935" s="58" t="str">
        <f>IF(OR(COUNTA(A1935:E1935)=0,D1935=""),"",IFERROR(INDEX(ca_type,MATCH(D1935,ca_name,0))&amp;"",""))</f>
        <v/>
      </c>
      <c r="I1935" s="58" t="str">
        <f>IF(COUNTA(A1935:E1935)=0,"",IF(N(A1935)&lt;=0,"Date manquante ou invalide",IF(B1935="","Équipe manquante",IF(ISNA(MATCH(B1935,eq_code,0)),"Équipe inconnue",IF(C1935="","Poste manquant",IF(ISNA(MATCH(C1935,po_code,0)),"Poste inconnu",IF(D1935="","Cause manquante",IF(ISNA(MATCH(D1935,ca_name,0)),"Cause inconnue",IF(H1935="","Cause à compléter dans Paramètres",IF(OR(NOT(ISNUMBER(E1935)),N(E1935)&lt;=0,N(E1935)&gt;1440),"Durée invalide",IF(COUNTIFS(sj_date,A1935,sj_eq,B1935,sj_po,C1935)=0,"Pas de saisie journalière ce jour-là","OK")))))))))))</f>
        <v/>
      </c>
      <c r="J1935">
        <f>IF(OR(I1935="OK",I1935="Pas de saisie journalière ce jour-là"),E1935,0)</f>
        <v>0.0</v>
      </c>
      <c r="K1935">
        <f>IF(AND(J1935&gt;0,A1935&gt;=p_from,A1935&lt;=p_to),1,0)</f>
        <v>0.0</v>
      </c>
      <c r="L1935">
        <f>IF(AND(K1935=1,OR(pa_po="",C1935=pa_po),OR(pa_eq="",B1935=pa_eq)),1,0)</f>
        <v>0.0</v>
      </c>
    </row>
    <row r="1936">
      <c r="A1936" s="51" t="n"/>
      <c r="B1936" s="52" t="n"/>
      <c r="C1936" s="52" t="n"/>
      <c r="D1936" s="53" t="n"/>
      <c r="E1936" s="60" t="n"/>
      <c r="F1936" s="53" t="n"/>
      <c r="G1936" s="61" t="str">
        <f>IF(OR(COUNTA(A1936:E1936)=0,D1936=""),"",IFERROR(INDEX(ca_fam,MATCH(D1936,ca_name,0))&amp;"",""))</f>
        <v/>
      </c>
      <c r="H1936" s="58" t="str">
        <f>IF(OR(COUNTA(A1936:E1936)=0,D1936=""),"",IFERROR(INDEX(ca_type,MATCH(D1936,ca_name,0))&amp;"",""))</f>
        <v/>
      </c>
      <c r="I1936" s="58" t="str">
        <f>IF(COUNTA(A1936:E1936)=0,"",IF(N(A1936)&lt;=0,"Date manquante ou invalide",IF(B1936="","Équipe manquante",IF(ISNA(MATCH(B1936,eq_code,0)),"Équipe inconnue",IF(C1936="","Poste manquant",IF(ISNA(MATCH(C1936,po_code,0)),"Poste inconnu",IF(D1936="","Cause manquante",IF(ISNA(MATCH(D1936,ca_name,0)),"Cause inconnue",IF(H1936="","Cause à compléter dans Paramètres",IF(OR(NOT(ISNUMBER(E1936)),N(E1936)&lt;=0,N(E1936)&gt;1440),"Durée invalide",IF(COUNTIFS(sj_date,A1936,sj_eq,B1936,sj_po,C1936)=0,"Pas de saisie journalière ce jour-là","OK")))))))))))</f>
        <v/>
      </c>
      <c r="J1936">
        <f>IF(OR(I1936="OK",I1936="Pas de saisie journalière ce jour-là"),E1936,0)</f>
        <v>0.0</v>
      </c>
      <c r="K1936">
        <f>IF(AND(J1936&gt;0,A1936&gt;=p_from,A1936&lt;=p_to),1,0)</f>
        <v>0.0</v>
      </c>
      <c r="L1936">
        <f>IF(AND(K1936=1,OR(pa_po="",C1936=pa_po),OR(pa_eq="",B1936=pa_eq)),1,0)</f>
        <v>0.0</v>
      </c>
    </row>
    <row r="1937">
      <c r="A1937" s="51" t="n"/>
      <c r="B1937" s="52" t="n"/>
      <c r="C1937" s="52" t="n"/>
      <c r="D1937" s="53" t="n"/>
      <c r="E1937" s="60" t="n"/>
      <c r="F1937" s="53" t="n"/>
      <c r="G1937" s="61" t="str">
        <f>IF(OR(COUNTA(A1937:E1937)=0,D1937=""),"",IFERROR(INDEX(ca_fam,MATCH(D1937,ca_name,0))&amp;"",""))</f>
        <v/>
      </c>
      <c r="H1937" s="58" t="str">
        <f>IF(OR(COUNTA(A1937:E1937)=0,D1937=""),"",IFERROR(INDEX(ca_type,MATCH(D1937,ca_name,0))&amp;"",""))</f>
        <v/>
      </c>
      <c r="I1937" s="58" t="str">
        <f>IF(COUNTA(A1937:E1937)=0,"",IF(N(A1937)&lt;=0,"Date manquante ou invalide",IF(B1937="","Équipe manquante",IF(ISNA(MATCH(B1937,eq_code,0)),"Équipe inconnue",IF(C1937="","Poste manquant",IF(ISNA(MATCH(C1937,po_code,0)),"Poste inconnu",IF(D1937="","Cause manquante",IF(ISNA(MATCH(D1937,ca_name,0)),"Cause inconnue",IF(H1937="","Cause à compléter dans Paramètres",IF(OR(NOT(ISNUMBER(E1937)),N(E1937)&lt;=0,N(E1937)&gt;1440),"Durée invalide",IF(COUNTIFS(sj_date,A1937,sj_eq,B1937,sj_po,C1937)=0,"Pas de saisie journalière ce jour-là","OK")))))))))))</f>
        <v/>
      </c>
      <c r="J1937">
        <f>IF(OR(I1937="OK",I1937="Pas de saisie journalière ce jour-là"),E1937,0)</f>
        <v>0.0</v>
      </c>
      <c r="K1937">
        <f>IF(AND(J1937&gt;0,A1937&gt;=p_from,A1937&lt;=p_to),1,0)</f>
        <v>0.0</v>
      </c>
      <c r="L1937">
        <f>IF(AND(K1937=1,OR(pa_po="",C1937=pa_po),OR(pa_eq="",B1937=pa_eq)),1,0)</f>
        <v>0.0</v>
      </c>
    </row>
    <row r="1938">
      <c r="A1938" s="51" t="n"/>
      <c r="B1938" s="52" t="n"/>
      <c r="C1938" s="52" t="n"/>
      <c r="D1938" s="53" t="n"/>
      <c r="E1938" s="60" t="n"/>
      <c r="F1938" s="53" t="n"/>
      <c r="G1938" s="61" t="str">
        <f>IF(OR(COUNTA(A1938:E1938)=0,D1938=""),"",IFERROR(INDEX(ca_fam,MATCH(D1938,ca_name,0))&amp;"",""))</f>
        <v/>
      </c>
      <c r="H1938" s="58" t="str">
        <f>IF(OR(COUNTA(A1938:E1938)=0,D1938=""),"",IFERROR(INDEX(ca_type,MATCH(D1938,ca_name,0))&amp;"",""))</f>
        <v/>
      </c>
      <c r="I1938" s="58" t="str">
        <f>IF(COUNTA(A1938:E1938)=0,"",IF(N(A1938)&lt;=0,"Date manquante ou invalide",IF(B1938="","Équipe manquante",IF(ISNA(MATCH(B1938,eq_code,0)),"Équipe inconnue",IF(C1938="","Poste manquant",IF(ISNA(MATCH(C1938,po_code,0)),"Poste inconnu",IF(D1938="","Cause manquante",IF(ISNA(MATCH(D1938,ca_name,0)),"Cause inconnue",IF(H1938="","Cause à compléter dans Paramètres",IF(OR(NOT(ISNUMBER(E1938)),N(E1938)&lt;=0,N(E1938)&gt;1440),"Durée invalide",IF(COUNTIFS(sj_date,A1938,sj_eq,B1938,sj_po,C1938)=0,"Pas de saisie journalière ce jour-là","OK")))))))))))</f>
        <v/>
      </c>
      <c r="J1938">
        <f>IF(OR(I1938="OK",I1938="Pas de saisie journalière ce jour-là"),E1938,0)</f>
        <v>0.0</v>
      </c>
      <c r="K1938">
        <f>IF(AND(J1938&gt;0,A1938&gt;=p_from,A1938&lt;=p_to),1,0)</f>
        <v>0.0</v>
      </c>
      <c r="L1938">
        <f>IF(AND(K1938=1,OR(pa_po="",C1938=pa_po),OR(pa_eq="",B1938=pa_eq)),1,0)</f>
        <v>0.0</v>
      </c>
    </row>
    <row r="1939">
      <c r="A1939" s="51" t="n"/>
      <c r="B1939" s="52" t="n"/>
      <c r="C1939" s="52" t="n"/>
      <c r="D1939" s="53" t="n"/>
      <c r="E1939" s="60" t="n"/>
      <c r="F1939" s="53" t="n"/>
      <c r="G1939" s="61" t="str">
        <f>IF(OR(COUNTA(A1939:E1939)=0,D1939=""),"",IFERROR(INDEX(ca_fam,MATCH(D1939,ca_name,0))&amp;"",""))</f>
        <v/>
      </c>
      <c r="H1939" s="58" t="str">
        <f>IF(OR(COUNTA(A1939:E1939)=0,D1939=""),"",IFERROR(INDEX(ca_type,MATCH(D1939,ca_name,0))&amp;"",""))</f>
        <v/>
      </c>
      <c r="I1939" s="58" t="str">
        <f>IF(COUNTA(A1939:E1939)=0,"",IF(N(A1939)&lt;=0,"Date manquante ou invalide",IF(B1939="","Équipe manquante",IF(ISNA(MATCH(B1939,eq_code,0)),"Équipe inconnue",IF(C1939="","Poste manquant",IF(ISNA(MATCH(C1939,po_code,0)),"Poste inconnu",IF(D1939="","Cause manquante",IF(ISNA(MATCH(D1939,ca_name,0)),"Cause inconnue",IF(H1939="","Cause à compléter dans Paramètres",IF(OR(NOT(ISNUMBER(E1939)),N(E1939)&lt;=0,N(E1939)&gt;1440),"Durée invalide",IF(COUNTIFS(sj_date,A1939,sj_eq,B1939,sj_po,C1939)=0,"Pas de saisie journalière ce jour-là","OK")))))))))))</f>
        <v/>
      </c>
      <c r="J1939">
        <f>IF(OR(I1939="OK",I1939="Pas de saisie journalière ce jour-là"),E1939,0)</f>
        <v>0.0</v>
      </c>
      <c r="K1939">
        <f>IF(AND(J1939&gt;0,A1939&gt;=p_from,A1939&lt;=p_to),1,0)</f>
        <v>0.0</v>
      </c>
      <c r="L1939">
        <f>IF(AND(K1939=1,OR(pa_po="",C1939=pa_po),OR(pa_eq="",B1939=pa_eq)),1,0)</f>
        <v>0.0</v>
      </c>
    </row>
    <row r="1940">
      <c r="A1940" s="51" t="n"/>
      <c r="B1940" s="52" t="n"/>
      <c r="C1940" s="52" t="n"/>
      <c r="D1940" s="53" t="n"/>
      <c r="E1940" s="60" t="n"/>
      <c r="F1940" s="53" t="n"/>
      <c r="G1940" s="61" t="str">
        <f>IF(OR(COUNTA(A1940:E1940)=0,D1940=""),"",IFERROR(INDEX(ca_fam,MATCH(D1940,ca_name,0))&amp;"",""))</f>
        <v/>
      </c>
      <c r="H1940" s="58" t="str">
        <f>IF(OR(COUNTA(A1940:E1940)=0,D1940=""),"",IFERROR(INDEX(ca_type,MATCH(D1940,ca_name,0))&amp;"",""))</f>
        <v/>
      </c>
      <c r="I1940" s="58" t="str">
        <f>IF(COUNTA(A1940:E1940)=0,"",IF(N(A1940)&lt;=0,"Date manquante ou invalide",IF(B1940="","Équipe manquante",IF(ISNA(MATCH(B1940,eq_code,0)),"Équipe inconnue",IF(C1940="","Poste manquant",IF(ISNA(MATCH(C1940,po_code,0)),"Poste inconnu",IF(D1940="","Cause manquante",IF(ISNA(MATCH(D1940,ca_name,0)),"Cause inconnue",IF(H1940="","Cause à compléter dans Paramètres",IF(OR(NOT(ISNUMBER(E1940)),N(E1940)&lt;=0,N(E1940)&gt;1440),"Durée invalide",IF(COUNTIFS(sj_date,A1940,sj_eq,B1940,sj_po,C1940)=0,"Pas de saisie journalière ce jour-là","OK")))))))))))</f>
        <v/>
      </c>
      <c r="J1940">
        <f>IF(OR(I1940="OK",I1940="Pas de saisie journalière ce jour-là"),E1940,0)</f>
        <v>0.0</v>
      </c>
      <c r="K1940">
        <f>IF(AND(J1940&gt;0,A1940&gt;=p_from,A1940&lt;=p_to),1,0)</f>
        <v>0.0</v>
      </c>
      <c r="L1940">
        <f>IF(AND(K1940=1,OR(pa_po="",C1940=pa_po),OR(pa_eq="",B1940=pa_eq)),1,0)</f>
        <v>0.0</v>
      </c>
    </row>
    <row r="1941">
      <c r="A1941" s="51" t="n"/>
      <c r="B1941" s="52" t="n"/>
      <c r="C1941" s="52" t="n"/>
      <c r="D1941" s="53" t="n"/>
      <c r="E1941" s="60" t="n"/>
      <c r="F1941" s="53" t="n"/>
      <c r="G1941" s="61" t="str">
        <f>IF(OR(COUNTA(A1941:E1941)=0,D1941=""),"",IFERROR(INDEX(ca_fam,MATCH(D1941,ca_name,0))&amp;"",""))</f>
        <v/>
      </c>
      <c r="H1941" s="58" t="str">
        <f>IF(OR(COUNTA(A1941:E1941)=0,D1941=""),"",IFERROR(INDEX(ca_type,MATCH(D1941,ca_name,0))&amp;"",""))</f>
        <v/>
      </c>
      <c r="I1941" s="58" t="str">
        <f>IF(COUNTA(A1941:E1941)=0,"",IF(N(A1941)&lt;=0,"Date manquante ou invalide",IF(B1941="","Équipe manquante",IF(ISNA(MATCH(B1941,eq_code,0)),"Équipe inconnue",IF(C1941="","Poste manquant",IF(ISNA(MATCH(C1941,po_code,0)),"Poste inconnu",IF(D1941="","Cause manquante",IF(ISNA(MATCH(D1941,ca_name,0)),"Cause inconnue",IF(H1941="","Cause à compléter dans Paramètres",IF(OR(NOT(ISNUMBER(E1941)),N(E1941)&lt;=0,N(E1941)&gt;1440),"Durée invalide",IF(COUNTIFS(sj_date,A1941,sj_eq,B1941,sj_po,C1941)=0,"Pas de saisie journalière ce jour-là","OK")))))))))))</f>
        <v/>
      </c>
      <c r="J1941">
        <f>IF(OR(I1941="OK",I1941="Pas de saisie journalière ce jour-là"),E1941,0)</f>
        <v>0.0</v>
      </c>
      <c r="K1941">
        <f>IF(AND(J1941&gt;0,A1941&gt;=p_from,A1941&lt;=p_to),1,0)</f>
        <v>0.0</v>
      </c>
      <c r="L1941">
        <f>IF(AND(K1941=1,OR(pa_po="",C1941=pa_po),OR(pa_eq="",B1941=pa_eq)),1,0)</f>
        <v>0.0</v>
      </c>
    </row>
    <row r="1942">
      <c r="A1942" s="51" t="n"/>
      <c r="B1942" s="52" t="n"/>
      <c r="C1942" s="52" t="n"/>
      <c r="D1942" s="53" t="n"/>
      <c r="E1942" s="60" t="n"/>
      <c r="F1942" s="53" t="n"/>
      <c r="G1942" s="61" t="str">
        <f>IF(OR(COUNTA(A1942:E1942)=0,D1942=""),"",IFERROR(INDEX(ca_fam,MATCH(D1942,ca_name,0))&amp;"",""))</f>
        <v/>
      </c>
      <c r="H1942" s="58" t="str">
        <f>IF(OR(COUNTA(A1942:E1942)=0,D1942=""),"",IFERROR(INDEX(ca_type,MATCH(D1942,ca_name,0))&amp;"",""))</f>
        <v/>
      </c>
      <c r="I1942" s="58" t="str">
        <f>IF(COUNTA(A1942:E1942)=0,"",IF(N(A1942)&lt;=0,"Date manquante ou invalide",IF(B1942="","Équipe manquante",IF(ISNA(MATCH(B1942,eq_code,0)),"Équipe inconnue",IF(C1942="","Poste manquant",IF(ISNA(MATCH(C1942,po_code,0)),"Poste inconnu",IF(D1942="","Cause manquante",IF(ISNA(MATCH(D1942,ca_name,0)),"Cause inconnue",IF(H1942="","Cause à compléter dans Paramètres",IF(OR(NOT(ISNUMBER(E1942)),N(E1942)&lt;=0,N(E1942)&gt;1440),"Durée invalide",IF(COUNTIFS(sj_date,A1942,sj_eq,B1942,sj_po,C1942)=0,"Pas de saisie journalière ce jour-là","OK")))))))))))</f>
        <v/>
      </c>
      <c r="J1942">
        <f>IF(OR(I1942="OK",I1942="Pas de saisie journalière ce jour-là"),E1942,0)</f>
        <v>0.0</v>
      </c>
      <c r="K1942">
        <f>IF(AND(J1942&gt;0,A1942&gt;=p_from,A1942&lt;=p_to),1,0)</f>
        <v>0.0</v>
      </c>
      <c r="L1942">
        <f>IF(AND(K1942=1,OR(pa_po="",C1942=pa_po),OR(pa_eq="",B1942=pa_eq)),1,0)</f>
        <v>0.0</v>
      </c>
    </row>
    <row r="1943">
      <c r="A1943" s="51" t="n"/>
      <c r="B1943" s="52" t="n"/>
      <c r="C1943" s="52" t="n"/>
      <c r="D1943" s="53" t="n"/>
      <c r="E1943" s="60" t="n"/>
      <c r="F1943" s="53" t="n"/>
      <c r="G1943" s="61" t="str">
        <f>IF(OR(COUNTA(A1943:E1943)=0,D1943=""),"",IFERROR(INDEX(ca_fam,MATCH(D1943,ca_name,0))&amp;"",""))</f>
        <v/>
      </c>
      <c r="H1943" s="58" t="str">
        <f>IF(OR(COUNTA(A1943:E1943)=0,D1943=""),"",IFERROR(INDEX(ca_type,MATCH(D1943,ca_name,0))&amp;"",""))</f>
        <v/>
      </c>
      <c r="I1943" s="58" t="str">
        <f>IF(COUNTA(A1943:E1943)=0,"",IF(N(A1943)&lt;=0,"Date manquante ou invalide",IF(B1943="","Équipe manquante",IF(ISNA(MATCH(B1943,eq_code,0)),"Équipe inconnue",IF(C1943="","Poste manquant",IF(ISNA(MATCH(C1943,po_code,0)),"Poste inconnu",IF(D1943="","Cause manquante",IF(ISNA(MATCH(D1943,ca_name,0)),"Cause inconnue",IF(H1943="","Cause à compléter dans Paramètres",IF(OR(NOT(ISNUMBER(E1943)),N(E1943)&lt;=0,N(E1943)&gt;1440),"Durée invalide",IF(COUNTIFS(sj_date,A1943,sj_eq,B1943,sj_po,C1943)=0,"Pas de saisie journalière ce jour-là","OK")))))))))))</f>
        <v/>
      </c>
      <c r="J1943">
        <f>IF(OR(I1943="OK",I1943="Pas de saisie journalière ce jour-là"),E1943,0)</f>
        <v>0.0</v>
      </c>
      <c r="K1943">
        <f>IF(AND(J1943&gt;0,A1943&gt;=p_from,A1943&lt;=p_to),1,0)</f>
        <v>0.0</v>
      </c>
      <c r="L1943">
        <f>IF(AND(K1943=1,OR(pa_po="",C1943=pa_po),OR(pa_eq="",B1943=pa_eq)),1,0)</f>
        <v>0.0</v>
      </c>
    </row>
    <row r="1944">
      <c r="A1944" s="51" t="n"/>
      <c r="B1944" s="52" t="n"/>
      <c r="C1944" s="52" t="n"/>
      <c r="D1944" s="53" t="n"/>
      <c r="E1944" s="60" t="n"/>
      <c r="F1944" s="53" t="n"/>
      <c r="G1944" s="61" t="str">
        <f>IF(OR(COUNTA(A1944:E1944)=0,D1944=""),"",IFERROR(INDEX(ca_fam,MATCH(D1944,ca_name,0))&amp;"",""))</f>
        <v/>
      </c>
      <c r="H1944" s="58" t="str">
        <f>IF(OR(COUNTA(A1944:E1944)=0,D1944=""),"",IFERROR(INDEX(ca_type,MATCH(D1944,ca_name,0))&amp;"",""))</f>
        <v/>
      </c>
      <c r="I1944" s="58" t="str">
        <f>IF(COUNTA(A1944:E1944)=0,"",IF(N(A1944)&lt;=0,"Date manquante ou invalide",IF(B1944="","Équipe manquante",IF(ISNA(MATCH(B1944,eq_code,0)),"Équipe inconnue",IF(C1944="","Poste manquant",IF(ISNA(MATCH(C1944,po_code,0)),"Poste inconnu",IF(D1944="","Cause manquante",IF(ISNA(MATCH(D1944,ca_name,0)),"Cause inconnue",IF(H1944="","Cause à compléter dans Paramètres",IF(OR(NOT(ISNUMBER(E1944)),N(E1944)&lt;=0,N(E1944)&gt;1440),"Durée invalide",IF(COUNTIFS(sj_date,A1944,sj_eq,B1944,sj_po,C1944)=0,"Pas de saisie journalière ce jour-là","OK")))))))))))</f>
        <v/>
      </c>
      <c r="J1944">
        <f>IF(OR(I1944="OK",I1944="Pas de saisie journalière ce jour-là"),E1944,0)</f>
        <v>0.0</v>
      </c>
      <c r="K1944">
        <f>IF(AND(J1944&gt;0,A1944&gt;=p_from,A1944&lt;=p_to),1,0)</f>
        <v>0.0</v>
      </c>
      <c r="L1944">
        <f>IF(AND(K1944=1,OR(pa_po="",C1944=pa_po),OR(pa_eq="",B1944=pa_eq)),1,0)</f>
        <v>0.0</v>
      </c>
    </row>
    <row r="1945">
      <c r="A1945" s="51" t="n"/>
      <c r="B1945" s="52" t="n"/>
      <c r="C1945" s="52" t="n"/>
      <c r="D1945" s="53" t="n"/>
      <c r="E1945" s="60" t="n"/>
      <c r="F1945" s="53" t="n"/>
      <c r="G1945" s="61" t="str">
        <f>IF(OR(COUNTA(A1945:E1945)=0,D1945=""),"",IFERROR(INDEX(ca_fam,MATCH(D1945,ca_name,0))&amp;"",""))</f>
        <v/>
      </c>
      <c r="H1945" s="58" t="str">
        <f>IF(OR(COUNTA(A1945:E1945)=0,D1945=""),"",IFERROR(INDEX(ca_type,MATCH(D1945,ca_name,0))&amp;"",""))</f>
        <v/>
      </c>
      <c r="I1945" s="58" t="str">
        <f>IF(COUNTA(A1945:E1945)=0,"",IF(N(A1945)&lt;=0,"Date manquante ou invalide",IF(B1945="","Équipe manquante",IF(ISNA(MATCH(B1945,eq_code,0)),"Équipe inconnue",IF(C1945="","Poste manquant",IF(ISNA(MATCH(C1945,po_code,0)),"Poste inconnu",IF(D1945="","Cause manquante",IF(ISNA(MATCH(D1945,ca_name,0)),"Cause inconnue",IF(H1945="","Cause à compléter dans Paramètres",IF(OR(NOT(ISNUMBER(E1945)),N(E1945)&lt;=0,N(E1945)&gt;1440),"Durée invalide",IF(COUNTIFS(sj_date,A1945,sj_eq,B1945,sj_po,C1945)=0,"Pas de saisie journalière ce jour-là","OK")))))))))))</f>
        <v/>
      </c>
      <c r="J1945">
        <f>IF(OR(I1945="OK",I1945="Pas de saisie journalière ce jour-là"),E1945,0)</f>
        <v>0.0</v>
      </c>
      <c r="K1945">
        <f>IF(AND(J1945&gt;0,A1945&gt;=p_from,A1945&lt;=p_to),1,0)</f>
        <v>0.0</v>
      </c>
      <c r="L1945">
        <f>IF(AND(K1945=1,OR(pa_po="",C1945=pa_po),OR(pa_eq="",B1945=pa_eq)),1,0)</f>
        <v>0.0</v>
      </c>
    </row>
    <row r="1946">
      <c r="A1946" s="51" t="n"/>
      <c r="B1946" s="52" t="n"/>
      <c r="C1946" s="52" t="n"/>
      <c r="D1946" s="53" t="n"/>
      <c r="E1946" s="60" t="n"/>
      <c r="F1946" s="53" t="n"/>
      <c r="G1946" s="61" t="str">
        <f>IF(OR(COUNTA(A1946:E1946)=0,D1946=""),"",IFERROR(INDEX(ca_fam,MATCH(D1946,ca_name,0))&amp;"",""))</f>
        <v/>
      </c>
      <c r="H1946" s="58" t="str">
        <f>IF(OR(COUNTA(A1946:E1946)=0,D1946=""),"",IFERROR(INDEX(ca_type,MATCH(D1946,ca_name,0))&amp;"",""))</f>
        <v/>
      </c>
      <c r="I1946" s="58" t="str">
        <f>IF(COUNTA(A1946:E1946)=0,"",IF(N(A1946)&lt;=0,"Date manquante ou invalide",IF(B1946="","Équipe manquante",IF(ISNA(MATCH(B1946,eq_code,0)),"Équipe inconnue",IF(C1946="","Poste manquant",IF(ISNA(MATCH(C1946,po_code,0)),"Poste inconnu",IF(D1946="","Cause manquante",IF(ISNA(MATCH(D1946,ca_name,0)),"Cause inconnue",IF(H1946="","Cause à compléter dans Paramètres",IF(OR(NOT(ISNUMBER(E1946)),N(E1946)&lt;=0,N(E1946)&gt;1440),"Durée invalide",IF(COUNTIFS(sj_date,A1946,sj_eq,B1946,sj_po,C1946)=0,"Pas de saisie journalière ce jour-là","OK")))))))))))</f>
        <v/>
      </c>
      <c r="J1946">
        <f>IF(OR(I1946="OK",I1946="Pas de saisie journalière ce jour-là"),E1946,0)</f>
        <v>0.0</v>
      </c>
      <c r="K1946">
        <f>IF(AND(J1946&gt;0,A1946&gt;=p_from,A1946&lt;=p_to),1,0)</f>
        <v>0.0</v>
      </c>
      <c r="L1946">
        <f>IF(AND(K1946=1,OR(pa_po="",C1946=pa_po),OR(pa_eq="",B1946=pa_eq)),1,0)</f>
        <v>0.0</v>
      </c>
    </row>
    <row r="1947">
      <c r="A1947" s="51" t="n"/>
      <c r="B1947" s="52" t="n"/>
      <c r="C1947" s="52" t="n"/>
      <c r="D1947" s="53" t="n"/>
      <c r="E1947" s="60" t="n"/>
      <c r="F1947" s="53" t="n"/>
      <c r="G1947" s="61" t="str">
        <f>IF(OR(COUNTA(A1947:E1947)=0,D1947=""),"",IFERROR(INDEX(ca_fam,MATCH(D1947,ca_name,0))&amp;"",""))</f>
        <v/>
      </c>
      <c r="H1947" s="58" t="str">
        <f>IF(OR(COUNTA(A1947:E1947)=0,D1947=""),"",IFERROR(INDEX(ca_type,MATCH(D1947,ca_name,0))&amp;"",""))</f>
        <v/>
      </c>
      <c r="I1947" s="58" t="str">
        <f>IF(COUNTA(A1947:E1947)=0,"",IF(N(A1947)&lt;=0,"Date manquante ou invalide",IF(B1947="","Équipe manquante",IF(ISNA(MATCH(B1947,eq_code,0)),"Équipe inconnue",IF(C1947="","Poste manquant",IF(ISNA(MATCH(C1947,po_code,0)),"Poste inconnu",IF(D1947="","Cause manquante",IF(ISNA(MATCH(D1947,ca_name,0)),"Cause inconnue",IF(H1947="","Cause à compléter dans Paramètres",IF(OR(NOT(ISNUMBER(E1947)),N(E1947)&lt;=0,N(E1947)&gt;1440),"Durée invalide",IF(COUNTIFS(sj_date,A1947,sj_eq,B1947,sj_po,C1947)=0,"Pas de saisie journalière ce jour-là","OK")))))))))))</f>
        <v/>
      </c>
      <c r="J1947">
        <f>IF(OR(I1947="OK",I1947="Pas de saisie journalière ce jour-là"),E1947,0)</f>
        <v>0.0</v>
      </c>
      <c r="K1947">
        <f>IF(AND(J1947&gt;0,A1947&gt;=p_from,A1947&lt;=p_to),1,0)</f>
        <v>0.0</v>
      </c>
      <c r="L1947">
        <f>IF(AND(K1947=1,OR(pa_po="",C1947=pa_po),OR(pa_eq="",B1947=pa_eq)),1,0)</f>
        <v>0.0</v>
      </c>
    </row>
    <row r="1948">
      <c r="A1948" s="51" t="n"/>
      <c r="B1948" s="52" t="n"/>
      <c r="C1948" s="52" t="n"/>
      <c r="D1948" s="53" t="n"/>
      <c r="E1948" s="60" t="n"/>
      <c r="F1948" s="53" t="n"/>
      <c r="G1948" s="61" t="str">
        <f>IF(OR(COUNTA(A1948:E1948)=0,D1948=""),"",IFERROR(INDEX(ca_fam,MATCH(D1948,ca_name,0))&amp;"",""))</f>
        <v/>
      </c>
      <c r="H1948" s="58" t="str">
        <f>IF(OR(COUNTA(A1948:E1948)=0,D1948=""),"",IFERROR(INDEX(ca_type,MATCH(D1948,ca_name,0))&amp;"",""))</f>
        <v/>
      </c>
      <c r="I1948" s="58" t="str">
        <f>IF(COUNTA(A1948:E1948)=0,"",IF(N(A1948)&lt;=0,"Date manquante ou invalide",IF(B1948="","Équipe manquante",IF(ISNA(MATCH(B1948,eq_code,0)),"Équipe inconnue",IF(C1948="","Poste manquant",IF(ISNA(MATCH(C1948,po_code,0)),"Poste inconnu",IF(D1948="","Cause manquante",IF(ISNA(MATCH(D1948,ca_name,0)),"Cause inconnue",IF(H1948="","Cause à compléter dans Paramètres",IF(OR(NOT(ISNUMBER(E1948)),N(E1948)&lt;=0,N(E1948)&gt;1440),"Durée invalide",IF(COUNTIFS(sj_date,A1948,sj_eq,B1948,sj_po,C1948)=0,"Pas de saisie journalière ce jour-là","OK")))))))))))</f>
        <v/>
      </c>
      <c r="J1948">
        <f>IF(OR(I1948="OK",I1948="Pas de saisie journalière ce jour-là"),E1948,0)</f>
        <v>0.0</v>
      </c>
      <c r="K1948">
        <f>IF(AND(J1948&gt;0,A1948&gt;=p_from,A1948&lt;=p_to),1,0)</f>
        <v>0.0</v>
      </c>
      <c r="L1948">
        <f>IF(AND(K1948=1,OR(pa_po="",C1948=pa_po),OR(pa_eq="",B1948=pa_eq)),1,0)</f>
        <v>0.0</v>
      </c>
    </row>
    <row r="1949">
      <c r="A1949" s="51" t="n"/>
      <c r="B1949" s="52" t="n"/>
      <c r="C1949" s="52" t="n"/>
      <c r="D1949" s="53" t="n"/>
      <c r="E1949" s="60" t="n"/>
      <c r="F1949" s="53" t="n"/>
      <c r="G1949" s="61" t="str">
        <f>IF(OR(COUNTA(A1949:E1949)=0,D1949=""),"",IFERROR(INDEX(ca_fam,MATCH(D1949,ca_name,0))&amp;"",""))</f>
        <v/>
      </c>
      <c r="H1949" s="58" t="str">
        <f>IF(OR(COUNTA(A1949:E1949)=0,D1949=""),"",IFERROR(INDEX(ca_type,MATCH(D1949,ca_name,0))&amp;"",""))</f>
        <v/>
      </c>
      <c r="I1949" s="58" t="str">
        <f>IF(COUNTA(A1949:E1949)=0,"",IF(N(A1949)&lt;=0,"Date manquante ou invalide",IF(B1949="","Équipe manquante",IF(ISNA(MATCH(B1949,eq_code,0)),"Équipe inconnue",IF(C1949="","Poste manquant",IF(ISNA(MATCH(C1949,po_code,0)),"Poste inconnu",IF(D1949="","Cause manquante",IF(ISNA(MATCH(D1949,ca_name,0)),"Cause inconnue",IF(H1949="","Cause à compléter dans Paramètres",IF(OR(NOT(ISNUMBER(E1949)),N(E1949)&lt;=0,N(E1949)&gt;1440),"Durée invalide",IF(COUNTIFS(sj_date,A1949,sj_eq,B1949,sj_po,C1949)=0,"Pas de saisie journalière ce jour-là","OK")))))))))))</f>
        <v/>
      </c>
      <c r="J1949">
        <f>IF(OR(I1949="OK",I1949="Pas de saisie journalière ce jour-là"),E1949,0)</f>
        <v>0.0</v>
      </c>
      <c r="K1949">
        <f>IF(AND(J1949&gt;0,A1949&gt;=p_from,A1949&lt;=p_to),1,0)</f>
        <v>0.0</v>
      </c>
      <c r="L1949">
        <f>IF(AND(K1949=1,OR(pa_po="",C1949=pa_po),OR(pa_eq="",B1949=pa_eq)),1,0)</f>
        <v>0.0</v>
      </c>
    </row>
    <row r="1950">
      <c r="A1950" s="51" t="n"/>
      <c r="B1950" s="52" t="n"/>
      <c r="C1950" s="52" t="n"/>
      <c r="D1950" s="53" t="n"/>
      <c r="E1950" s="60" t="n"/>
      <c r="F1950" s="53" t="n"/>
      <c r="G1950" s="61" t="str">
        <f>IF(OR(COUNTA(A1950:E1950)=0,D1950=""),"",IFERROR(INDEX(ca_fam,MATCH(D1950,ca_name,0))&amp;"",""))</f>
        <v/>
      </c>
      <c r="H1950" s="58" t="str">
        <f>IF(OR(COUNTA(A1950:E1950)=0,D1950=""),"",IFERROR(INDEX(ca_type,MATCH(D1950,ca_name,0))&amp;"",""))</f>
        <v/>
      </c>
      <c r="I1950" s="58" t="str">
        <f>IF(COUNTA(A1950:E1950)=0,"",IF(N(A1950)&lt;=0,"Date manquante ou invalide",IF(B1950="","Équipe manquante",IF(ISNA(MATCH(B1950,eq_code,0)),"Équipe inconnue",IF(C1950="","Poste manquant",IF(ISNA(MATCH(C1950,po_code,0)),"Poste inconnu",IF(D1950="","Cause manquante",IF(ISNA(MATCH(D1950,ca_name,0)),"Cause inconnue",IF(H1950="","Cause à compléter dans Paramètres",IF(OR(NOT(ISNUMBER(E1950)),N(E1950)&lt;=0,N(E1950)&gt;1440),"Durée invalide",IF(COUNTIFS(sj_date,A1950,sj_eq,B1950,sj_po,C1950)=0,"Pas de saisie journalière ce jour-là","OK")))))))))))</f>
        <v/>
      </c>
      <c r="J1950">
        <f>IF(OR(I1950="OK",I1950="Pas de saisie journalière ce jour-là"),E1950,0)</f>
        <v>0.0</v>
      </c>
      <c r="K1950">
        <f>IF(AND(J1950&gt;0,A1950&gt;=p_from,A1950&lt;=p_to),1,0)</f>
        <v>0.0</v>
      </c>
      <c r="L1950">
        <f>IF(AND(K1950=1,OR(pa_po="",C1950=pa_po),OR(pa_eq="",B1950=pa_eq)),1,0)</f>
        <v>0.0</v>
      </c>
    </row>
    <row r="1951">
      <c r="A1951" s="51" t="n"/>
      <c r="B1951" s="52" t="n"/>
      <c r="C1951" s="52" t="n"/>
      <c r="D1951" s="53" t="n"/>
      <c r="E1951" s="60" t="n"/>
      <c r="F1951" s="53" t="n"/>
      <c r="G1951" s="61" t="str">
        <f>IF(OR(COUNTA(A1951:E1951)=0,D1951=""),"",IFERROR(INDEX(ca_fam,MATCH(D1951,ca_name,0))&amp;"",""))</f>
        <v/>
      </c>
      <c r="H1951" s="58" t="str">
        <f>IF(OR(COUNTA(A1951:E1951)=0,D1951=""),"",IFERROR(INDEX(ca_type,MATCH(D1951,ca_name,0))&amp;"",""))</f>
        <v/>
      </c>
      <c r="I1951" s="58" t="str">
        <f>IF(COUNTA(A1951:E1951)=0,"",IF(N(A1951)&lt;=0,"Date manquante ou invalide",IF(B1951="","Équipe manquante",IF(ISNA(MATCH(B1951,eq_code,0)),"Équipe inconnue",IF(C1951="","Poste manquant",IF(ISNA(MATCH(C1951,po_code,0)),"Poste inconnu",IF(D1951="","Cause manquante",IF(ISNA(MATCH(D1951,ca_name,0)),"Cause inconnue",IF(H1951="","Cause à compléter dans Paramètres",IF(OR(NOT(ISNUMBER(E1951)),N(E1951)&lt;=0,N(E1951)&gt;1440),"Durée invalide",IF(COUNTIFS(sj_date,A1951,sj_eq,B1951,sj_po,C1951)=0,"Pas de saisie journalière ce jour-là","OK")))))))))))</f>
        <v/>
      </c>
      <c r="J1951">
        <f>IF(OR(I1951="OK",I1951="Pas de saisie journalière ce jour-là"),E1951,0)</f>
        <v>0.0</v>
      </c>
      <c r="K1951">
        <f>IF(AND(J1951&gt;0,A1951&gt;=p_from,A1951&lt;=p_to),1,0)</f>
        <v>0.0</v>
      </c>
      <c r="L1951">
        <f>IF(AND(K1951=1,OR(pa_po="",C1951=pa_po),OR(pa_eq="",B1951=pa_eq)),1,0)</f>
        <v>0.0</v>
      </c>
    </row>
    <row r="1952">
      <c r="A1952" s="51" t="n"/>
      <c r="B1952" s="52" t="n"/>
      <c r="C1952" s="52" t="n"/>
      <c r="D1952" s="53" t="n"/>
      <c r="E1952" s="60" t="n"/>
      <c r="F1952" s="53" t="n"/>
      <c r="G1952" s="61" t="str">
        <f>IF(OR(COUNTA(A1952:E1952)=0,D1952=""),"",IFERROR(INDEX(ca_fam,MATCH(D1952,ca_name,0))&amp;"",""))</f>
        <v/>
      </c>
      <c r="H1952" s="58" t="str">
        <f>IF(OR(COUNTA(A1952:E1952)=0,D1952=""),"",IFERROR(INDEX(ca_type,MATCH(D1952,ca_name,0))&amp;"",""))</f>
        <v/>
      </c>
      <c r="I1952" s="58" t="str">
        <f>IF(COUNTA(A1952:E1952)=0,"",IF(N(A1952)&lt;=0,"Date manquante ou invalide",IF(B1952="","Équipe manquante",IF(ISNA(MATCH(B1952,eq_code,0)),"Équipe inconnue",IF(C1952="","Poste manquant",IF(ISNA(MATCH(C1952,po_code,0)),"Poste inconnu",IF(D1952="","Cause manquante",IF(ISNA(MATCH(D1952,ca_name,0)),"Cause inconnue",IF(H1952="","Cause à compléter dans Paramètres",IF(OR(NOT(ISNUMBER(E1952)),N(E1952)&lt;=0,N(E1952)&gt;1440),"Durée invalide",IF(COUNTIFS(sj_date,A1952,sj_eq,B1952,sj_po,C1952)=0,"Pas de saisie journalière ce jour-là","OK")))))))))))</f>
        <v/>
      </c>
      <c r="J1952">
        <f>IF(OR(I1952="OK",I1952="Pas de saisie journalière ce jour-là"),E1952,0)</f>
        <v>0.0</v>
      </c>
      <c r="K1952">
        <f>IF(AND(J1952&gt;0,A1952&gt;=p_from,A1952&lt;=p_to),1,0)</f>
        <v>0.0</v>
      </c>
      <c r="L1952">
        <f>IF(AND(K1952=1,OR(pa_po="",C1952=pa_po),OR(pa_eq="",B1952=pa_eq)),1,0)</f>
        <v>0.0</v>
      </c>
    </row>
    <row r="1953">
      <c r="A1953" s="51" t="n"/>
      <c r="B1953" s="52" t="n"/>
      <c r="C1953" s="52" t="n"/>
      <c r="D1953" s="53" t="n"/>
      <c r="E1953" s="60" t="n"/>
      <c r="F1953" s="53" t="n"/>
      <c r="G1953" s="61" t="str">
        <f>IF(OR(COUNTA(A1953:E1953)=0,D1953=""),"",IFERROR(INDEX(ca_fam,MATCH(D1953,ca_name,0))&amp;"",""))</f>
        <v/>
      </c>
      <c r="H1953" s="58" t="str">
        <f>IF(OR(COUNTA(A1953:E1953)=0,D1953=""),"",IFERROR(INDEX(ca_type,MATCH(D1953,ca_name,0))&amp;"",""))</f>
        <v/>
      </c>
      <c r="I1953" s="58" t="str">
        <f>IF(COUNTA(A1953:E1953)=0,"",IF(N(A1953)&lt;=0,"Date manquante ou invalide",IF(B1953="","Équipe manquante",IF(ISNA(MATCH(B1953,eq_code,0)),"Équipe inconnue",IF(C1953="","Poste manquant",IF(ISNA(MATCH(C1953,po_code,0)),"Poste inconnu",IF(D1953="","Cause manquante",IF(ISNA(MATCH(D1953,ca_name,0)),"Cause inconnue",IF(H1953="","Cause à compléter dans Paramètres",IF(OR(NOT(ISNUMBER(E1953)),N(E1953)&lt;=0,N(E1953)&gt;1440),"Durée invalide",IF(COUNTIFS(sj_date,A1953,sj_eq,B1953,sj_po,C1953)=0,"Pas de saisie journalière ce jour-là","OK")))))))))))</f>
        <v/>
      </c>
      <c r="J1953">
        <f>IF(OR(I1953="OK",I1953="Pas de saisie journalière ce jour-là"),E1953,0)</f>
        <v>0.0</v>
      </c>
      <c r="K1953">
        <f>IF(AND(J1953&gt;0,A1953&gt;=p_from,A1953&lt;=p_to),1,0)</f>
        <v>0.0</v>
      </c>
      <c r="L1953">
        <f>IF(AND(K1953=1,OR(pa_po="",C1953=pa_po),OR(pa_eq="",B1953=pa_eq)),1,0)</f>
        <v>0.0</v>
      </c>
    </row>
    <row r="1954">
      <c r="A1954" s="51" t="n"/>
      <c r="B1954" s="52" t="n"/>
      <c r="C1954" s="52" t="n"/>
      <c r="D1954" s="53" t="n"/>
      <c r="E1954" s="60" t="n"/>
      <c r="F1954" s="53" t="n"/>
      <c r="G1954" s="61" t="str">
        <f>IF(OR(COUNTA(A1954:E1954)=0,D1954=""),"",IFERROR(INDEX(ca_fam,MATCH(D1954,ca_name,0))&amp;"",""))</f>
        <v/>
      </c>
      <c r="H1954" s="58" t="str">
        <f>IF(OR(COUNTA(A1954:E1954)=0,D1954=""),"",IFERROR(INDEX(ca_type,MATCH(D1954,ca_name,0))&amp;"",""))</f>
        <v/>
      </c>
      <c r="I1954" s="58" t="str">
        <f>IF(COUNTA(A1954:E1954)=0,"",IF(N(A1954)&lt;=0,"Date manquante ou invalide",IF(B1954="","Équipe manquante",IF(ISNA(MATCH(B1954,eq_code,0)),"Équipe inconnue",IF(C1954="","Poste manquant",IF(ISNA(MATCH(C1954,po_code,0)),"Poste inconnu",IF(D1954="","Cause manquante",IF(ISNA(MATCH(D1954,ca_name,0)),"Cause inconnue",IF(H1954="","Cause à compléter dans Paramètres",IF(OR(NOT(ISNUMBER(E1954)),N(E1954)&lt;=0,N(E1954)&gt;1440),"Durée invalide",IF(COUNTIFS(sj_date,A1954,sj_eq,B1954,sj_po,C1954)=0,"Pas de saisie journalière ce jour-là","OK")))))))))))</f>
        <v/>
      </c>
      <c r="J1954">
        <f>IF(OR(I1954="OK",I1954="Pas de saisie journalière ce jour-là"),E1954,0)</f>
        <v>0.0</v>
      </c>
      <c r="K1954">
        <f>IF(AND(J1954&gt;0,A1954&gt;=p_from,A1954&lt;=p_to),1,0)</f>
        <v>0.0</v>
      </c>
      <c r="L1954">
        <f>IF(AND(K1954=1,OR(pa_po="",C1954=pa_po),OR(pa_eq="",B1954=pa_eq)),1,0)</f>
        <v>0.0</v>
      </c>
    </row>
    <row r="1955">
      <c r="A1955" s="51" t="n"/>
      <c r="B1955" s="52" t="n"/>
      <c r="C1955" s="52" t="n"/>
      <c r="D1955" s="53" t="n"/>
      <c r="E1955" s="60" t="n"/>
      <c r="F1955" s="53" t="n"/>
      <c r="G1955" s="61" t="str">
        <f>IF(OR(COUNTA(A1955:E1955)=0,D1955=""),"",IFERROR(INDEX(ca_fam,MATCH(D1955,ca_name,0))&amp;"",""))</f>
        <v/>
      </c>
      <c r="H1955" s="58" t="str">
        <f>IF(OR(COUNTA(A1955:E1955)=0,D1955=""),"",IFERROR(INDEX(ca_type,MATCH(D1955,ca_name,0))&amp;"",""))</f>
        <v/>
      </c>
      <c r="I1955" s="58" t="str">
        <f>IF(COUNTA(A1955:E1955)=0,"",IF(N(A1955)&lt;=0,"Date manquante ou invalide",IF(B1955="","Équipe manquante",IF(ISNA(MATCH(B1955,eq_code,0)),"Équipe inconnue",IF(C1955="","Poste manquant",IF(ISNA(MATCH(C1955,po_code,0)),"Poste inconnu",IF(D1955="","Cause manquante",IF(ISNA(MATCH(D1955,ca_name,0)),"Cause inconnue",IF(H1955="","Cause à compléter dans Paramètres",IF(OR(NOT(ISNUMBER(E1955)),N(E1955)&lt;=0,N(E1955)&gt;1440),"Durée invalide",IF(COUNTIFS(sj_date,A1955,sj_eq,B1955,sj_po,C1955)=0,"Pas de saisie journalière ce jour-là","OK")))))))))))</f>
        <v/>
      </c>
      <c r="J1955">
        <f>IF(OR(I1955="OK",I1955="Pas de saisie journalière ce jour-là"),E1955,0)</f>
        <v>0.0</v>
      </c>
      <c r="K1955">
        <f>IF(AND(J1955&gt;0,A1955&gt;=p_from,A1955&lt;=p_to),1,0)</f>
        <v>0.0</v>
      </c>
      <c r="L1955">
        <f>IF(AND(K1955=1,OR(pa_po="",C1955=pa_po),OR(pa_eq="",B1955=pa_eq)),1,0)</f>
        <v>0.0</v>
      </c>
    </row>
    <row r="1956">
      <c r="A1956" s="51" t="n"/>
      <c r="B1956" s="52" t="n"/>
      <c r="C1956" s="52" t="n"/>
      <c r="D1956" s="53" t="n"/>
      <c r="E1956" s="60" t="n"/>
      <c r="F1956" s="53" t="n"/>
      <c r="G1956" s="61" t="str">
        <f>IF(OR(COUNTA(A1956:E1956)=0,D1956=""),"",IFERROR(INDEX(ca_fam,MATCH(D1956,ca_name,0))&amp;"",""))</f>
        <v/>
      </c>
      <c r="H1956" s="58" t="str">
        <f>IF(OR(COUNTA(A1956:E1956)=0,D1956=""),"",IFERROR(INDEX(ca_type,MATCH(D1956,ca_name,0))&amp;"",""))</f>
        <v/>
      </c>
      <c r="I1956" s="58" t="str">
        <f>IF(COUNTA(A1956:E1956)=0,"",IF(N(A1956)&lt;=0,"Date manquante ou invalide",IF(B1956="","Équipe manquante",IF(ISNA(MATCH(B1956,eq_code,0)),"Équipe inconnue",IF(C1956="","Poste manquant",IF(ISNA(MATCH(C1956,po_code,0)),"Poste inconnu",IF(D1956="","Cause manquante",IF(ISNA(MATCH(D1956,ca_name,0)),"Cause inconnue",IF(H1956="","Cause à compléter dans Paramètres",IF(OR(NOT(ISNUMBER(E1956)),N(E1956)&lt;=0,N(E1956)&gt;1440),"Durée invalide",IF(COUNTIFS(sj_date,A1956,sj_eq,B1956,sj_po,C1956)=0,"Pas de saisie journalière ce jour-là","OK")))))))))))</f>
        <v/>
      </c>
      <c r="J1956">
        <f>IF(OR(I1956="OK",I1956="Pas de saisie journalière ce jour-là"),E1956,0)</f>
        <v>0.0</v>
      </c>
      <c r="K1956">
        <f>IF(AND(J1956&gt;0,A1956&gt;=p_from,A1956&lt;=p_to),1,0)</f>
        <v>0.0</v>
      </c>
      <c r="L1956">
        <f>IF(AND(K1956=1,OR(pa_po="",C1956=pa_po),OR(pa_eq="",B1956=pa_eq)),1,0)</f>
        <v>0.0</v>
      </c>
    </row>
    <row r="1957">
      <c r="A1957" s="51" t="n"/>
      <c r="B1957" s="52" t="n"/>
      <c r="C1957" s="52" t="n"/>
      <c r="D1957" s="53" t="n"/>
      <c r="E1957" s="60" t="n"/>
      <c r="F1957" s="53" t="n"/>
      <c r="G1957" s="61" t="str">
        <f>IF(OR(COUNTA(A1957:E1957)=0,D1957=""),"",IFERROR(INDEX(ca_fam,MATCH(D1957,ca_name,0))&amp;"",""))</f>
        <v/>
      </c>
      <c r="H1957" s="58" t="str">
        <f>IF(OR(COUNTA(A1957:E1957)=0,D1957=""),"",IFERROR(INDEX(ca_type,MATCH(D1957,ca_name,0))&amp;"",""))</f>
        <v/>
      </c>
      <c r="I1957" s="58" t="str">
        <f>IF(COUNTA(A1957:E1957)=0,"",IF(N(A1957)&lt;=0,"Date manquante ou invalide",IF(B1957="","Équipe manquante",IF(ISNA(MATCH(B1957,eq_code,0)),"Équipe inconnue",IF(C1957="","Poste manquant",IF(ISNA(MATCH(C1957,po_code,0)),"Poste inconnu",IF(D1957="","Cause manquante",IF(ISNA(MATCH(D1957,ca_name,0)),"Cause inconnue",IF(H1957="","Cause à compléter dans Paramètres",IF(OR(NOT(ISNUMBER(E1957)),N(E1957)&lt;=0,N(E1957)&gt;1440),"Durée invalide",IF(COUNTIFS(sj_date,A1957,sj_eq,B1957,sj_po,C1957)=0,"Pas de saisie journalière ce jour-là","OK")))))))))))</f>
        <v/>
      </c>
      <c r="J1957">
        <f>IF(OR(I1957="OK",I1957="Pas de saisie journalière ce jour-là"),E1957,0)</f>
        <v>0.0</v>
      </c>
      <c r="K1957">
        <f>IF(AND(J1957&gt;0,A1957&gt;=p_from,A1957&lt;=p_to),1,0)</f>
        <v>0.0</v>
      </c>
      <c r="L1957">
        <f>IF(AND(K1957=1,OR(pa_po="",C1957=pa_po),OR(pa_eq="",B1957=pa_eq)),1,0)</f>
        <v>0.0</v>
      </c>
    </row>
    <row r="1958">
      <c r="A1958" s="51" t="n"/>
      <c r="B1958" s="52" t="n"/>
      <c r="C1958" s="52" t="n"/>
      <c r="D1958" s="53" t="n"/>
      <c r="E1958" s="60" t="n"/>
      <c r="F1958" s="53" t="n"/>
      <c r="G1958" s="61" t="str">
        <f>IF(OR(COUNTA(A1958:E1958)=0,D1958=""),"",IFERROR(INDEX(ca_fam,MATCH(D1958,ca_name,0))&amp;"",""))</f>
        <v/>
      </c>
      <c r="H1958" s="58" t="str">
        <f>IF(OR(COUNTA(A1958:E1958)=0,D1958=""),"",IFERROR(INDEX(ca_type,MATCH(D1958,ca_name,0))&amp;"",""))</f>
        <v/>
      </c>
      <c r="I1958" s="58" t="str">
        <f>IF(COUNTA(A1958:E1958)=0,"",IF(N(A1958)&lt;=0,"Date manquante ou invalide",IF(B1958="","Équipe manquante",IF(ISNA(MATCH(B1958,eq_code,0)),"Équipe inconnue",IF(C1958="","Poste manquant",IF(ISNA(MATCH(C1958,po_code,0)),"Poste inconnu",IF(D1958="","Cause manquante",IF(ISNA(MATCH(D1958,ca_name,0)),"Cause inconnue",IF(H1958="","Cause à compléter dans Paramètres",IF(OR(NOT(ISNUMBER(E1958)),N(E1958)&lt;=0,N(E1958)&gt;1440),"Durée invalide",IF(COUNTIFS(sj_date,A1958,sj_eq,B1958,sj_po,C1958)=0,"Pas de saisie journalière ce jour-là","OK")))))))))))</f>
        <v/>
      </c>
      <c r="J1958">
        <f>IF(OR(I1958="OK",I1958="Pas de saisie journalière ce jour-là"),E1958,0)</f>
        <v>0.0</v>
      </c>
      <c r="K1958">
        <f>IF(AND(J1958&gt;0,A1958&gt;=p_from,A1958&lt;=p_to),1,0)</f>
        <v>0.0</v>
      </c>
      <c r="L1958">
        <f>IF(AND(K1958=1,OR(pa_po="",C1958=pa_po),OR(pa_eq="",B1958=pa_eq)),1,0)</f>
        <v>0.0</v>
      </c>
    </row>
    <row r="1959">
      <c r="A1959" s="51" t="n"/>
      <c r="B1959" s="52" t="n"/>
      <c r="C1959" s="52" t="n"/>
      <c r="D1959" s="53" t="n"/>
      <c r="E1959" s="60" t="n"/>
      <c r="F1959" s="53" t="n"/>
      <c r="G1959" s="61" t="str">
        <f>IF(OR(COUNTA(A1959:E1959)=0,D1959=""),"",IFERROR(INDEX(ca_fam,MATCH(D1959,ca_name,0))&amp;"",""))</f>
        <v/>
      </c>
      <c r="H1959" s="58" t="str">
        <f>IF(OR(COUNTA(A1959:E1959)=0,D1959=""),"",IFERROR(INDEX(ca_type,MATCH(D1959,ca_name,0))&amp;"",""))</f>
        <v/>
      </c>
      <c r="I1959" s="58" t="str">
        <f>IF(COUNTA(A1959:E1959)=0,"",IF(N(A1959)&lt;=0,"Date manquante ou invalide",IF(B1959="","Équipe manquante",IF(ISNA(MATCH(B1959,eq_code,0)),"Équipe inconnue",IF(C1959="","Poste manquant",IF(ISNA(MATCH(C1959,po_code,0)),"Poste inconnu",IF(D1959="","Cause manquante",IF(ISNA(MATCH(D1959,ca_name,0)),"Cause inconnue",IF(H1959="","Cause à compléter dans Paramètres",IF(OR(NOT(ISNUMBER(E1959)),N(E1959)&lt;=0,N(E1959)&gt;1440),"Durée invalide",IF(COUNTIFS(sj_date,A1959,sj_eq,B1959,sj_po,C1959)=0,"Pas de saisie journalière ce jour-là","OK")))))))))))</f>
        <v/>
      </c>
      <c r="J1959">
        <f>IF(OR(I1959="OK",I1959="Pas de saisie journalière ce jour-là"),E1959,0)</f>
        <v>0.0</v>
      </c>
      <c r="K1959">
        <f>IF(AND(J1959&gt;0,A1959&gt;=p_from,A1959&lt;=p_to),1,0)</f>
        <v>0.0</v>
      </c>
      <c r="L1959">
        <f>IF(AND(K1959=1,OR(pa_po="",C1959=pa_po),OR(pa_eq="",B1959=pa_eq)),1,0)</f>
        <v>0.0</v>
      </c>
    </row>
    <row r="1960">
      <c r="A1960" s="51" t="n"/>
      <c r="B1960" s="52" t="n"/>
      <c r="C1960" s="52" t="n"/>
      <c r="D1960" s="53" t="n"/>
      <c r="E1960" s="60" t="n"/>
      <c r="F1960" s="53" t="n"/>
      <c r="G1960" s="61" t="str">
        <f>IF(OR(COUNTA(A1960:E1960)=0,D1960=""),"",IFERROR(INDEX(ca_fam,MATCH(D1960,ca_name,0))&amp;"",""))</f>
        <v/>
      </c>
      <c r="H1960" s="58" t="str">
        <f>IF(OR(COUNTA(A1960:E1960)=0,D1960=""),"",IFERROR(INDEX(ca_type,MATCH(D1960,ca_name,0))&amp;"",""))</f>
        <v/>
      </c>
      <c r="I1960" s="58" t="str">
        <f>IF(COUNTA(A1960:E1960)=0,"",IF(N(A1960)&lt;=0,"Date manquante ou invalide",IF(B1960="","Équipe manquante",IF(ISNA(MATCH(B1960,eq_code,0)),"Équipe inconnue",IF(C1960="","Poste manquant",IF(ISNA(MATCH(C1960,po_code,0)),"Poste inconnu",IF(D1960="","Cause manquante",IF(ISNA(MATCH(D1960,ca_name,0)),"Cause inconnue",IF(H1960="","Cause à compléter dans Paramètres",IF(OR(NOT(ISNUMBER(E1960)),N(E1960)&lt;=0,N(E1960)&gt;1440),"Durée invalide",IF(COUNTIFS(sj_date,A1960,sj_eq,B1960,sj_po,C1960)=0,"Pas de saisie journalière ce jour-là","OK")))))))))))</f>
        <v/>
      </c>
      <c r="J1960">
        <f>IF(OR(I1960="OK",I1960="Pas de saisie journalière ce jour-là"),E1960,0)</f>
        <v>0.0</v>
      </c>
      <c r="K1960">
        <f>IF(AND(J1960&gt;0,A1960&gt;=p_from,A1960&lt;=p_to),1,0)</f>
        <v>0.0</v>
      </c>
      <c r="L1960">
        <f>IF(AND(K1960=1,OR(pa_po="",C1960=pa_po),OR(pa_eq="",B1960=pa_eq)),1,0)</f>
        <v>0.0</v>
      </c>
    </row>
    <row r="1961">
      <c r="A1961" s="51" t="n"/>
      <c r="B1961" s="52" t="n"/>
      <c r="C1961" s="52" t="n"/>
      <c r="D1961" s="53" t="n"/>
      <c r="E1961" s="60" t="n"/>
      <c r="F1961" s="53" t="n"/>
      <c r="G1961" s="61" t="str">
        <f>IF(OR(COUNTA(A1961:E1961)=0,D1961=""),"",IFERROR(INDEX(ca_fam,MATCH(D1961,ca_name,0))&amp;"",""))</f>
        <v/>
      </c>
      <c r="H1961" s="58" t="str">
        <f>IF(OR(COUNTA(A1961:E1961)=0,D1961=""),"",IFERROR(INDEX(ca_type,MATCH(D1961,ca_name,0))&amp;"",""))</f>
        <v/>
      </c>
      <c r="I1961" s="58" t="str">
        <f>IF(COUNTA(A1961:E1961)=0,"",IF(N(A1961)&lt;=0,"Date manquante ou invalide",IF(B1961="","Équipe manquante",IF(ISNA(MATCH(B1961,eq_code,0)),"Équipe inconnue",IF(C1961="","Poste manquant",IF(ISNA(MATCH(C1961,po_code,0)),"Poste inconnu",IF(D1961="","Cause manquante",IF(ISNA(MATCH(D1961,ca_name,0)),"Cause inconnue",IF(H1961="","Cause à compléter dans Paramètres",IF(OR(NOT(ISNUMBER(E1961)),N(E1961)&lt;=0,N(E1961)&gt;1440),"Durée invalide",IF(COUNTIFS(sj_date,A1961,sj_eq,B1961,sj_po,C1961)=0,"Pas de saisie journalière ce jour-là","OK")))))))))))</f>
        <v/>
      </c>
      <c r="J1961">
        <f>IF(OR(I1961="OK",I1961="Pas de saisie journalière ce jour-là"),E1961,0)</f>
        <v>0.0</v>
      </c>
      <c r="K1961">
        <f>IF(AND(J1961&gt;0,A1961&gt;=p_from,A1961&lt;=p_to),1,0)</f>
        <v>0.0</v>
      </c>
      <c r="L1961">
        <f>IF(AND(K1961=1,OR(pa_po="",C1961=pa_po),OR(pa_eq="",B1961=pa_eq)),1,0)</f>
        <v>0.0</v>
      </c>
    </row>
    <row r="1962">
      <c r="A1962" s="51" t="n"/>
      <c r="B1962" s="52" t="n"/>
      <c r="C1962" s="52" t="n"/>
      <c r="D1962" s="53" t="n"/>
      <c r="E1962" s="60" t="n"/>
      <c r="F1962" s="53" t="n"/>
      <c r="G1962" s="61" t="str">
        <f>IF(OR(COUNTA(A1962:E1962)=0,D1962=""),"",IFERROR(INDEX(ca_fam,MATCH(D1962,ca_name,0))&amp;"",""))</f>
        <v/>
      </c>
      <c r="H1962" s="58" t="str">
        <f>IF(OR(COUNTA(A1962:E1962)=0,D1962=""),"",IFERROR(INDEX(ca_type,MATCH(D1962,ca_name,0))&amp;"",""))</f>
        <v/>
      </c>
      <c r="I1962" s="58" t="str">
        <f>IF(COUNTA(A1962:E1962)=0,"",IF(N(A1962)&lt;=0,"Date manquante ou invalide",IF(B1962="","Équipe manquante",IF(ISNA(MATCH(B1962,eq_code,0)),"Équipe inconnue",IF(C1962="","Poste manquant",IF(ISNA(MATCH(C1962,po_code,0)),"Poste inconnu",IF(D1962="","Cause manquante",IF(ISNA(MATCH(D1962,ca_name,0)),"Cause inconnue",IF(H1962="","Cause à compléter dans Paramètres",IF(OR(NOT(ISNUMBER(E1962)),N(E1962)&lt;=0,N(E1962)&gt;1440),"Durée invalide",IF(COUNTIFS(sj_date,A1962,sj_eq,B1962,sj_po,C1962)=0,"Pas de saisie journalière ce jour-là","OK")))))))))))</f>
        <v/>
      </c>
      <c r="J1962">
        <f>IF(OR(I1962="OK",I1962="Pas de saisie journalière ce jour-là"),E1962,0)</f>
        <v>0.0</v>
      </c>
      <c r="K1962">
        <f>IF(AND(J1962&gt;0,A1962&gt;=p_from,A1962&lt;=p_to),1,0)</f>
        <v>0.0</v>
      </c>
      <c r="L1962">
        <f>IF(AND(K1962=1,OR(pa_po="",C1962=pa_po),OR(pa_eq="",B1962=pa_eq)),1,0)</f>
        <v>0.0</v>
      </c>
    </row>
    <row r="1963">
      <c r="A1963" s="51" t="n"/>
      <c r="B1963" s="52" t="n"/>
      <c r="C1963" s="52" t="n"/>
      <c r="D1963" s="53" t="n"/>
      <c r="E1963" s="60" t="n"/>
      <c r="F1963" s="53" t="n"/>
      <c r="G1963" s="61" t="str">
        <f>IF(OR(COUNTA(A1963:E1963)=0,D1963=""),"",IFERROR(INDEX(ca_fam,MATCH(D1963,ca_name,0))&amp;"",""))</f>
        <v/>
      </c>
      <c r="H1963" s="58" t="str">
        <f>IF(OR(COUNTA(A1963:E1963)=0,D1963=""),"",IFERROR(INDEX(ca_type,MATCH(D1963,ca_name,0))&amp;"",""))</f>
        <v/>
      </c>
      <c r="I1963" s="58" t="str">
        <f>IF(COUNTA(A1963:E1963)=0,"",IF(N(A1963)&lt;=0,"Date manquante ou invalide",IF(B1963="","Équipe manquante",IF(ISNA(MATCH(B1963,eq_code,0)),"Équipe inconnue",IF(C1963="","Poste manquant",IF(ISNA(MATCH(C1963,po_code,0)),"Poste inconnu",IF(D1963="","Cause manquante",IF(ISNA(MATCH(D1963,ca_name,0)),"Cause inconnue",IF(H1963="","Cause à compléter dans Paramètres",IF(OR(NOT(ISNUMBER(E1963)),N(E1963)&lt;=0,N(E1963)&gt;1440),"Durée invalide",IF(COUNTIFS(sj_date,A1963,sj_eq,B1963,sj_po,C1963)=0,"Pas de saisie journalière ce jour-là","OK")))))))))))</f>
        <v/>
      </c>
      <c r="J1963">
        <f>IF(OR(I1963="OK",I1963="Pas de saisie journalière ce jour-là"),E1963,0)</f>
        <v>0.0</v>
      </c>
      <c r="K1963">
        <f>IF(AND(J1963&gt;0,A1963&gt;=p_from,A1963&lt;=p_to),1,0)</f>
        <v>0.0</v>
      </c>
      <c r="L1963">
        <f>IF(AND(K1963=1,OR(pa_po="",C1963=pa_po),OR(pa_eq="",B1963=pa_eq)),1,0)</f>
        <v>0.0</v>
      </c>
    </row>
    <row r="1964">
      <c r="A1964" s="51" t="n"/>
      <c r="B1964" s="52" t="n"/>
      <c r="C1964" s="52" t="n"/>
      <c r="D1964" s="53" t="n"/>
      <c r="E1964" s="60" t="n"/>
      <c r="F1964" s="53" t="n"/>
      <c r="G1964" s="61" t="str">
        <f>IF(OR(COUNTA(A1964:E1964)=0,D1964=""),"",IFERROR(INDEX(ca_fam,MATCH(D1964,ca_name,0))&amp;"",""))</f>
        <v/>
      </c>
      <c r="H1964" s="58" t="str">
        <f>IF(OR(COUNTA(A1964:E1964)=0,D1964=""),"",IFERROR(INDEX(ca_type,MATCH(D1964,ca_name,0))&amp;"",""))</f>
        <v/>
      </c>
      <c r="I1964" s="58" t="str">
        <f>IF(COUNTA(A1964:E1964)=0,"",IF(N(A1964)&lt;=0,"Date manquante ou invalide",IF(B1964="","Équipe manquante",IF(ISNA(MATCH(B1964,eq_code,0)),"Équipe inconnue",IF(C1964="","Poste manquant",IF(ISNA(MATCH(C1964,po_code,0)),"Poste inconnu",IF(D1964="","Cause manquante",IF(ISNA(MATCH(D1964,ca_name,0)),"Cause inconnue",IF(H1964="","Cause à compléter dans Paramètres",IF(OR(NOT(ISNUMBER(E1964)),N(E1964)&lt;=0,N(E1964)&gt;1440),"Durée invalide",IF(COUNTIFS(sj_date,A1964,sj_eq,B1964,sj_po,C1964)=0,"Pas de saisie journalière ce jour-là","OK")))))))))))</f>
        <v/>
      </c>
      <c r="J1964">
        <f>IF(OR(I1964="OK",I1964="Pas de saisie journalière ce jour-là"),E1964,0)</f>
        <v>0.0</v>
      </c>
      <c r="K1964">
        <f>IF(AND(J1964&gt;0,A1964&gt;=p_from,A1964&lt;=p_to),1,0)</f>
        <v>0.0</v>
      </c>
      <c r="L1964">
        <f>IF(AND(K1964=1,OR(pa_po="",C1964=pa_po),OR(pa_eq="",B1964=pa_eq)),1,0)</f>
        <v>0.0</v>
      </c>
    </row>
    <row r="1965">
      <c r="A1965" s="51" t="n"/>
      <c r="B1965" s="52" t="n"/>
      <c r="C1965" s="52" t="n"/>
      <c r="D1965" s="53" t="n"/>
      <c r="E1965" s="60" t="n"/>
      <c r="F1965" s="53" t="n"/>
      <c r="G1965" s="61" t="str">
        <f>IF(OR(COUNTA(A1965:E1965)=0,D1965=""),"",IFERROR(INDEX(ca_fam,MATCH(D1965,ca_name,0))&amp;"",""))</f>
        <v/>
      </c>
      <c r="H1965" s="58" t="str">
        <f>IF(OR(COUNTA(A1965:E1965)=0,D1965=""),"",IFERROR(INDEX(ca_type,MATCH(D1965,ca_name,0))&amp;"",""))</f>
        <v/>
      </c>
      <c r="I1965" s="58" t="str">
        <f>IF(COUNTA(A1965:E1965)=0,"",IF(N(A1965)&lt;=0,"Date manquante ou invalide",IF(B1965="","Équipe manquante",IF(ISNA(MATCH(B1965,eq_code,0)),"Équipe inconnue",IF(C1965="","Poste manquant",IF(ISNA(MATCH(C1965,po_code,0)),"Poste inconnu",IF(D1965="","Cause manquante",IF(ISNA(MATCH(D1965,ca_name,0)),"Cause inconnue",IF(H1965="","Cause à compléter dans Paramètres",IF(OR(NOT(ISNUMBER(E1965)),N(E1965)&lt;=0,N(E1965)&gt;1440),"Durée invalide",IF(COUNTIFS(sj_date,A1965,sj_eq,B1965,sj_po,C1965)=0,"Pas de saisie journalière ce jour-là","OK")))))))))))</f>
        <v/>
      </c>
      <c r="J1965">
        <f>IF(OR(I1965="OK",I1965="Pas de saisie journalière ce jour-là"),E1965,0)</f>
        <v>0.0</v>
      </c>
      <c r="K1965">
        <f>IF(AND(J1965&gt;0,A1965&gt;=p_from,A1965&lt;=p_to),1,0)</f>
        <v>0.0</v>
      </c>
      <c r="L1965">
        <f>IF(AND(K1965=1,OR(pa_po="",C1965=pa_po),OR(pa_eq="",B1965=pa_eq)),1,0)</f>
        <v>0.0</v>
      </c>
    </row>
    <row r="1966">
      <c r="A1966" s="51" t="n"/>
      <c r="B1966" s="52" t="n"/>
      <c r="C1966" s="52" t="n"/>
      <c r="D1966" s="53" t="n"/>
      <c r="E1966" s="60" t="n"/>
      <c r="F1966" s="53" t="n"/>
      <c r="G1966" s="61" t="str">
        <f>IF(OR(COUNTA(A1966:E1966)=0,D1966=""),"",IFERROR(INDEX(ca_fam,MATCH(D1966,ca_name,0))&amp;"",""))</f>
        <v/>
      </c>
      <c r="H1966" s="58" t="str">
        <f>IF(OR(COUNTA(A1966:E1966)=0,D1966=""),"",IFERROR(INDEX(ca_type,MATCH(D1966,ca_name,0))&amp;"",""))</f>
        <v/>
      </c>
      <c r="I1966" s="58" t="str">
        <f>IF(COUNTA(A1966:E1966)=0,"",IF(N(A1966)&lt;=0,"Date manquante ou invalide",IF(B1966="","Équipe manquante",IF(ISNA(MATCH(B1966,eq_code,0)),"Équipe inconnue",IF(C1966="","Poste manquant",IF(ISNA(MATCH(C1966,po_code,0)),"Poste inconnu",IF(D1966="","Cause manquante",IF(ISNA(MATCH(D1966,ca_name,0)),"Cause inconnue",IF(H1966="","Cause à compléter dans Paramètres",IF(OR(NOT(ISNUMBER(E1966)),N(E1966)&lt;=0,N(E1966)&gt;1440),"Durée invalide",IF(COUNTIFS(sj_date,A1966,sj_eq,B1966,sj_po,C1966)=0,"Pas de saisie journalière ce jour-là","OK")))))))))))</f>
        <v/>
      </c>
      <c r="J1966">
        <f>IF(OR(I1966="OK",I1966="Pas de saisie journalière ce jour-là"),E1966,0)</f>
        <v>0.0</v>
      </c>
      <c r="K1966">
        <f>IF(AND(J1966&gt;0,A1966&gt;=p_from,A1966&lt;=p_to),1,0)</f>
        <v>0.0</v>
      </c>
      <c r="L1966">
        <f>IF(AND(K1966=1,OR(pa_po="",C1966=pa_po),OR(pa_eq="",B1966=pa_eq)),1,0)</f>
        <v>0.0</v>
      </c>
    </row>
    <row r="1967">
      <c r="A1967" s="51" t="n"/>
      <c r="B1967" s="52" t="n"/>
      <c r="C1967" s="52" t="n"/>
      <c r="D1967" s="53" t="n"/>
      <c r="E1967" s="60" t="n"/>
      <c r="F1967" s="53" t="n"/>
      <c r="G1967" s="61" t="str">
        <f>IF(OR(COUNTA(A1967:E1967)=0,D1967=""),"",IFERROR(INDEX(ca_fam,MATCH(D1967,ca_name,0))&amp;"",""))</f>
        <v/>
      </c>
      <c r="H1967" s="58" t="str">
        <f>IF(OR(COUNTA(A1967:E1967)=0,D1967=""),"",IFERROR(INDEX(ca_type,MATCH(D1967,ca_name,0))&amp;"",""))</f>
        <v/>
      </c>
      <c r="I1967" s="58" t="str">
        <f>IF(COUNTA(A1967:E1967)=0,"",IF(N(A1967)&lt;=0,"Date manquante ou invalide",IF(B1967="","Équipe manquante",IF(ISNA(MATCH(B1967,eq_code,0)),"Équipe inconnue",IF(C1967="","Poste manquant",IF(ISNA(MATCH(C1967,po_code,0)),"Poste inconnu",IF(D1967="","Cause manquante",IF(ISNA(MATCH(D1967,ca_name,0)),"Cause inconnue",IF(H1967="","Cause à compléter dans Paramètres",IF(OR(NOT(ISNUMBER(E1967)),N(E1967)&lt;=0,N(E1967)&gt;1440),"Durée invalide",IF(COUNTIFS(sj_date,A1967,sj_eq,B1967,sj_po,C1967)=0,"Pas de saisie journalière ce jour-là","OK")))))))))))</f>
        <v/>
      </c>
      <c r="J1967">
        <f>IF(OR(I1967="OK",I1967="Pas de saisie journalière ce jour-là"),E1967,0)</f>
        <v>0.0</v>
      </c>
      <c r="K1967">
        <f>IF(AND(J1967&gt;0,A1967&gt;=p_from,A1967&lt;=p_to),1,0)</f>
        <v>0.0</v>
      </c>
      <c r="L1967">
        <f>IF(AND(K1967=1,OR(pa_po="",C1967=pa_po),OR(pa_eq="",B1967=pa_eq)),1,0)</f>
        <v>0.0</v>
      </c>
    </row>
    <row r="1968">
      <c r="A1968" s="51" t="n"/>
      <c r="B1968" s="52" t="n"/>
      <c r="C1968" s="52" t="n"/>
      <c r="D1968" s="53" t="n"/>
      <c r="E1968" s="60" t="n"/>
      <c r="F1968" s="53" t="n"/>
      <c r="G1968" s="61" t="str">
        <f>IF(OR(COUNTA(A1968:E1968)=0,D1968=""),"",IFERROR(INDEX(ca_fam,MATCH(D1968,ca_name,0))&amp;"",""))</f>
        <v/>
      </c>
      <c r="H1968" s="58" t="str">
        <f>IF(OR(COUNTA(A1968:E1968)=0,D1968=""),"",IFERROR(INDEX(ca_type,MATCH(D1968,ca_name,0))&amp;"",""))</f>
        <v/>
      </c>
      <c r="I1968" s="58" t="str">
        <f>IF(COUNTA(A1968:E1968)=0,"",IF(N(A1968)&lt;=0,"Date manquante ou invalide",IF(B1968="","Équipe manquante",IF(ISNA(MATCH(B1968,eq_code,0)),"Équipe inconnue",IF(C1968="","Poste manquant",IF(ISNA(MATCH(C1968,po_code,0)),"Poste inconnu",IF(D1968="","Cause manquante",IF(ISNA(MATCH(D1968,ca_name,0)),"Cause inconnue",IF(H1968="","Cause à compléter dans Paramètres",IF(OR(NOT(ISNUMBER(E1968)),N(E1968)&lt;=0,N(E1968)&gt;1440),"Durée invalide",IF(COUNTIFS(sj_date,A1968,sj_eq,B1968,sj_po,C1968)=0,"Pas de saisie journalière ce jour-là","OK")))))))))))</f>
        <v/>
      </c>
      <c r="J1968">
        <f>IF(OR(I1968="OK",I1968="Pas de saisie journalière ce jour-là"),E1968,0)</f>
        <v>0.0</v>
      </c>
      <c r="K1968">
        <f>IF(AND(J1968&gt;0,A1968&gt;=p_from,A1968&lt;=p_to),1,0)</f>
        <v>0.0</v>
      </c>
      <c r="L1968">
        <f>IF(AND(K1968=1,OR(pa_po="",C1968=pa_po),OR(pa_eq="",B1968=pa_eq)),1,0)</f>
        <v>0.0</v>
      </c>
    </row>
    <row r="1969">
      <c r="A1969" s="51" t="n"/>
      <c r="B1969" s="52" t="n"/>
      <c r="C1969" s="52" t="n"/>
      <c r="D1969" s="53" t="n"/>
      <c r="E1969" s="60" t="n"/>
      <c r="F1969" s="53" t="n"/>
      <c r="G1969" s="61" t="str">
        <f>IF(OR(COUNTA(A1969:E1969)=0,D1969=""),"",IFERROR(INDEX(ca_fam,MATCH(D1969,ca_name,0))&amp;"",""))</f>
        <v/>
      </c>
      <c r="H1969" s="58" t="str">
        <f>IF(OR(COUNTA(A1969:E1969)=0,D1969=""),"",IFERROR(INDEX(ca_type,MATCH(D1969,ca_name,0))&amp;"",""))</f>
        <v/>
      </c>
      <c r="I1969" s="58" t="str">
        <f>IF(COUNTA(A1969:E1969)=0,"",IF(N(A1969)&lt;=0,"Date manquante ou invalide",IF(B1969="","Équipe manquante",IF(ISNA(MATCH(B1969,eq_code,0)),"Équipe inconnue",IF(C1969="","Poste manquant",IF(ISNA(MATCH(C1969,po_code,0)),"Poste inconnu",IF(D1969="","Cause manquante",IF(ISNA(MATCH(D1969,ca_name,0)),"Cause inconnue",IF(H1969="","Cause à compléter dans Paramètres",IF(OR(NOT(ISNUMBER(E1969)),N(E1969)&lt;=0,N(E1969)&gt;1440),"Durée invalide",IF(COUNTIFS(sj_date,A1969,sj_eq,B1969,sj_po,C1969)=0,"Pas de saisie journalière ce jour-là","OK")))))))))))</f>
        <v/>
      </c>
      <c r="J1969">
        <f>IF(OR(I1969="OK",I1969="Pas de saisie journalière ce jour-là"),E1969,0)</f>
        <v>0.0</v>
      </c>
      <c r="K1969">
        <f>IF(AND(J1969&gt;0,A1969&gt;=p_from,A1969&lt;=p_to),1,0)</f>
        <v>0.0</v>
      </c>
      <c r="L1969">
        <f>IF(AND(K1969=1,OR(pa_po="",C1969=pa_po),OR(pa_eq="",B1969=pa_eq)),1,0)</f>
        <v>0.0</v>
      </c>
    </row>
    <row r="1970">
      <c r="A1970" s="51" t="n"/>
      <c r="B1970" s="52" t="n"/>
      <c r="C1970" s="52" t="n"/>
      <c r="D1970" s="53" t="n"/>
      <c r="E1970" s="60" t="n"/>
      <c r="F1970" s="53" t="n"/>
      <c r="G1970" s="61" t="str">
        <f>IF(OR(COUNTA(A1970:E1970)=0,D1970=""),"",IFERROR(INDEX(ca_fam,MATCH(D1970,ca_name,0))&amp;"",""))</f>
        <v/>
      </c>
      <c r="H1970" s="58" t="str">
        <f>IF(OR(COUNTA(A1970:E1970)=0,D1970=""),"",IFERROR(INDEX(ca_type,MATCH(D1970,ca_name,0))&amp;"",""))</f>
        <v/>
      </c>
      <c r="I1970" s="58" t="str">
        <f>IF(COUNTA(A1970:E1970)=0,"",IF(N(A1970)&lt;=0,"Date manquante ou invalide",IF(B1970="","Équipe manquante",IF(ISNA(MATCH(B1970,eq_code,0)),"Équipe inconnue",IF(C1970="","Poste manquant",IF(ISNA(MATCH(C1970,po_code,0)),"Poste inconnu",IF(D1970="","Cause manquante",IF(ISNA(MATCH(D1970,ca_name,0)),"Cause inconnue",IF(H1970="","Cause à compléter dans Paramètres",IF(OR(NOT(ISNUMBER(E1970)),N(E1970)&lt;=0,N(E1970)&gt;1440),"Durée invalide",IF(COUNTIFS(sj_date,A1970,sj_eq,B1970,sj_po,C1970)=0,"Pas de saisie journalière ce jour-là","OK")))))))))))</f>
        <v/>
      </c>
      <c r="J1970">
        <f>IF(OR(I1970="OK",I1970="Pas de saisie journalière ce jour-là"),E1970,0)</f>
        <v>0.0</v>
      </c>
      <c r="K1970">
        <f>IF(AND(J1970&gt;0,A1970&gt;=p_from,A1970&lt;=p_to),1,0)</f>
        <v>0.0</v>
      </c>
      <c r="L1970">
        <f>IF(AND(K1970=1,OR(pa_po="",C1970=pa_po),OR(pa_eq="",B1970=pa_eq)),1,0)</f>
        <v>0.0</v>
      </c>
    </row>
    <row r="1971">
      <c r="A1971" s="51" t="n"/>
      <c r="B1971" s="52" t="n"/>
      <c r="C1971" s="52" t="n"/>
      <c r="D1971" s="53" t="n"/>
      <c r="E1971" s="60" t="n"/>
      <c r="F1971" s="53" t="n"/>
      <c r="G1971" s="61" t="str">
        <f>IF(OR(COUNTA(A1971:E1971)=0,D1971=""),"",IFERROR(INDEX(ca_fam,MATCH(D1971,ca_name,0))&amp;"",""))</f>
        <v/>
      </c>
      <c r="H1971" s="58" t="str">
        <f>IF(OR(COUNTA(A1971:E1971)=0,D1971=""),"",IFERROR(INDEX(ca_type,MATCH(D1971,ca_name,0))&amp;"",""))</f>
        <v/>
      </c>
      <c r="I1971" s="58" t="str">
        <f>IF(COUNTA(A1971:E1971)=0,"",IF(N(A1971)&lt;=0,"Date manquante ou invalide",IF(B1971="","Équipe manquante",IF(ISNA(MATCH(B1971,eq_code,0)),"Équipe inconnue",IF(C1971="","Poste manquant",IF(ISNA(MATCH(C1971,po_code,0)),"Poste inconnu",IF(D1971="","Cause manquante",IF(ISNA(MATCH(D1971,ca_name,0)),"Cause inconnue",IF(H1971="","Cause à compléter dans Paramètres",IF(OR(NOT(ISNUMBER(E1971)),N(E1971)&lt;=0,N(E1971)&gt;1440),"Durée invalide",IF(COUNTIFS(sj_date,A1971,sj_eq,B1971,sj_po,C1971)=0,"Pas de saisie journalière ce jour-là","OK")))))))))))</f>
        <v/>
      </c>
      <c r="J1971">
        <f>IF(OR(I1971="OK",I1971="Pas de saisie journalière ce jour-là"),E1971,0)</f>
        <v>0.0</v>
      </c>
      <c r="K1971">
        <f>IF(AND(J1971&gt;0,A1971&gt;=p_from,A1971&lt;=p_to),1,0)</f>
        <v>0.0</v>
      </c>
      <c r="L1971">
        <f>IF(AND(K1971=1,OR(pa_po="",C1971=pa_po),OR(pa_eq="",B1971=pa_eq)),1,0)</f>
        <v>0.0</v>
      </c>
    </row>
    <row r="1972">
      <c r="A1972" s="51" t="n"/>
      <c r="B1972" s="52" t="n"/>
      <c r="C1972" s="52" t="n"/>
      <c r="D1972" s="53" t="n"/>
      <c r="E1972" s="60" t="n"/>
      <c r="F1972" s="53" t="n"/>
      <c r="G1972" s="61" t="str">
        <f>IF(OR(COUNTA(A1972:E1972)=0,D1972=""),"",IFERROR(INDEX(ca_fam,MATCH(D1972,ca_name,0))&amp;"",""))</f>
        <v/>
      </c>
      <c r="H1972" s="58" t="str">
        <f>IF(OR(COUNTA(A1972:E1972)=0,D1972=""),"",IFERROR(INDEX(ca_type,MATCH(D1972,ca_name,0))&amp;"",""))</f>
        <v/>
      </c>
      <c r="I1972" s="58" t="str">
        <f>IF(COUNTA(A1972:E1972)=0,"",IF(N(A1972)&lt;=0,"Date manquante ou invalide",IF(B1972="","Équipe manquante",IF(ISNA(MATCH(B1972,eq_code,0)),"Équipe inconnue",IF(C1972="","Poste manquant",IF(ISNA(MATCH(C1972,po_code,0)),"Poste inconnu",IF(D1972="","Cause manquante",IF(ISNA(MATCH(D1972,ca_name,0)),"Cause inconnue",IF(H1972="","Cause à compléter dans Paramètres",IF(OR(NOT(ISNUMBER(E1972)),N(E1972)&lt;=0,N(E1972)&gt;1440),"Durée invalide",IF(COUNTIFS(sj_date,A1972,sj_eq,B1972,sj_po,C1972)=0,"Pas de saisie journalière ce jour-là","OK")))))))))))</f>
        <v/>
      </c>
      <c r="J1972">
        <f>IF(OR(I1972="OK",I1972="Pas de saisie journalière ce jour-là"),E1972,0)</f>
        <v>0.0</v>
      </c>
      <c r="K1972">
        <f>IF(AND(J1972&gt;0,A1972&gt;=p_from,A1972&lt;=p_to),1,0)</f>
        <v>0.0</v>
      </c>
      <c r="L1972">
        <f>IF(AND(K1972=1,OR(pa_po="",C1972=pa_po),OR(pa_eq="",B1972=pa_eq)),1,0)</f>
        <v>0.0</v>
      </c>
    </row>
    <row r="1973">
      <c r="A1973" s="51" t="n"/>
      <c r="B1973" s="52" t="n"/>
      <c r="C1973" s="52" t="n"/>
      <c r="D1973" s="53" t="n"/>
      <c r="E1973" s="60" t="n"/>
      <c r="F1973" s="53" t="n"/>
      <c r="G1973" s="61" t="str">
        <f>IF(OR(COUNTA(A1973:E1973)=0,D1973=""),"",IFERROR(INDEX(ca_fam,MATCH(D1973,ca_name,0))&amp;"",""))</f>
        <v/>
      </c>
      <c r="H1973" s="58" t="str">
        <f>IF(OR(COUNTA(A1973:E1973)=0,D1973=""),"",IFERROR(INDEX(ca_type,MATCH(D1973,ca_name,0))&amp;"",""))</f>
        <v/>
      </c>
      <c r="I1973" s="58" t="str">
        <f>IF(COUNTA(A1973:E1973)=0,"",IF(N(A1973)&lt;=0,"Date manquante ou invalide",IF(B1973="","Équipe manquante",IF(ISNA(MATCH(B1973,eq_code,0)),"Équipe inconnue",IF(C1973="","Poste manquant",IF(ISNA(MATCH(C1973,po_code,0)),"Poste inconnu",IF(D1973="","Cause manquante",IF(ISNA(MATCH(D1973,ca_name,0)),"Cause inconnue",IF(H1973="","Cause à compléter dans Paramètres",IF(OR(NOT(ISNUMBER(E1973)),N(E1973)&lt;=0,N(E1973)&gt;1440),"Durée invalide",IF(COUNTIFS(sj_date,A1973,sj_eq,B1973,sj_po,C1973)=0,"Pas de saisie journalière ce jour-là","OK")))))))))))</f>
        <v/>
      </c>
      <c r="J1973">
        <f>IF(OR(I1973="OK",I1973="Pas de saisie journalière ce jour-là"),E1973,0)</f>
        <v>0.0</v>
      </c>
      <c r="K1973">
        <f>IF(AND(J1973&gt;0,A1973&gt;=p_from,A1973&lt;=p_to),1,0)</f>
        <v>0.0</v>
      </c>
      <c r="L1973">
        <f>IF(AND(K1973=1,OR(pa_po="",C1973=pa_po),OR(pa_eq="",B1973=pa_eq)),1,0)</f>
        <v>0.0</v>
      </c>
    </row>
    <row r="1974">
      <c r="A1974" s="51" t="n"/>
      <c r="B1974" s="52" t="n"/>
      <c r="C1974" s="52" t="n"/>
      <c r="D1974" s="53" t="n"/>
      <c r="E1974" s="60" t="n"/>
      <c r="F1974" s="53" t="n"/>
      <c r="G1974" s="61" t="str">
        <f>IF(OR(COUNTA(A1974:E1974)=0,D1974=""),"",IFERROR(INDEX(ca_fam,MATCH(D1974,ca_name,0))&amp;"",""))</f>
        <v/>
      </c>
      <c r="H1974" s="58" t="str">
        <f>IF(OR(COUNTA(A1974:E1974)=0,D1974=""),"",IFERROR(INDEX(ca_type,MATCH(D1974,ca_name,0))&amp;"",""))</f>
        <v/>
      </c>
      <c r="I1974" s="58" t="str">
        <f>IF(COUNTA(A1974:E1974)=0,"",IF(N(A1974)&lt;=0,"Date manquante ou invalide",IF(B1974="","Équipe manquante",IF(ISNA(MATCH(B1974,eq_code,0)),"Équipe inconnue",IF(C1974="","Poste manquant",IF(ISNA(MATCH(C1974,po_code,0)),"Poste inconnu",IF(D1974="","Cause manquante",IF(ISNA(MATCH(D1974,ca_name,0)),"Cause inconnue",IF(H1974="","Cause à compléter dans Paramètres",IF(OR(NOT(ISNUMBER(E1974)),N(E1974)&lt;=0,N(E1974)&gt;1440),"Durée invalide",IF(COUNTIFS(sj_date,A1974,sj_eq,B1974,sj_po,C1974)=0,"Pas de saisie journalière ce jour-là","OK")))))))))))</f>
        <v/>
      </c>
      <c r="J1974">
        <f>IF(OR(I1974="OK",I1974="Pas de saisie journalière ce jour-là"),E1974,0)</f>
        <v>0.0</v>
      </c>
      <c r="K1974">
        <f>IF(AND(J1974&gt;0,A1974&gt;=p_from,A1974&lt;=p_to),1,0)</f>
        <v>0.0</v>
      </c>
      <c r="L1974">
        <f>IF(AND(K1974=1,OR(pa_po="",C1974=pa_po),OR(pa_eq="",B1974=pa_eq)),1,0)</f>
        <v>0.0</v>
      </c>
    </row>
    <row r="1975">
      <c r="A1975" s="51" t="n"/>
      <c r="B1975" s="52" t="n"/>
      <c r="C1975" s="52" t="n"/>
      <c r="D1975" s="53" t="n"/>
      <c r="E1975" s="60" t="n"/>
      <c r="F1975" s="53" t="n"/>
      <c r="G1975" s="61" t="str">
        <f>IF(OR(COUNTA(A1975:E1975)=0,D1975=""),"",IFERROR(INDEX(ca_fam,MATCH(D1975,ca_name,0))&amp;"",""))</f>
        <v/>
      </c>
      <c r="H1975" s="58" t="str">
        <f>IF(OR(COUNTA(A1975:E1975)=0,D1975=""),"",IFERROR(INDEX(ca_type,MATCH(D1975,ca_name,0))&amp;"",""))</f>
        <v/>
      </c>
      <c r="I1975" s="58" t="str">
        <f>IF(COUNTA(A1975:E1975)=0,"",IF(N(A1975)&lt;=0,"Date manquante ou invalide",IF(B1975="","Équipe manquante",IF(ISNA(MATCH(B1975,eq_code,0)),"Équipe inconnue",IF(C1975="","Poste manquant",IF(ISNA(MATCH(C1975,po_code,0)),"Poste inconnu",IF(D1975="","Cause manquante",IF(ISNA(MATCH(D1975,ca_name,0)),"Cause inconnue",IF(H1975="","Cause à compléter dans Paramètres",IF(OR(NOT(ISNUMBER(E1975)),N(E1975)&lt;=0,N(E1975)&gt;1440),"Durée invalide",IF(COUNTIFS(sj_date,A1975,sj_eq,B1975,sj_po,C1975)=0,"Pas de saisie journalière ce jour-là","OK")))))))))))</f>
        <v/>
      </c>
      <c r="J1975">
        <f>IF(OR(I1975="OK",I1975="Pas de saisie journalière ce jour-là"),E1975,0)</f>
        <v>0.0</v>
      </c>
      <c r="K1975">
        <f>IF(AND(J1975&gt;0,A1975&gt;=p_from,A1975&lt;=p_to),1,0)</f>
        <v>0.0</v>
      </c>
      <c r="L1975">
        <f>IF(AND(K1975=1,OR(pa_po="",C1975=pa_po),OR(pa_eq="",B1975=pa_eq)),1,0)</f>
        <v>0.0</v>
      </c>
    </row>
    <row r="1976">
      <c r="A1976" s="51" t="n"/>
      <c r="B1976" s="52" t="n"/>
      <c r="C1976" s="52" t="n"/>
      <c r="D1976" s="53" t="n"/>
      <c r="E1976" s="60" t="n"/>
      <c r="F1976" s="53" t="n"/>
      <c r="G1976" s="61" t="str">
        <f>IF(OR(COUNTA(A1976:E1976)=0,D1976=""),"",IFERROR(INDEX(ca_fam,MATCH(D1976,ca_name,0))&amp;"",""))</f>
        <v/>
      </c>
      <c r="H1976" s="58" t="str">
        <f>IF(OR(COUNTA(A1976:E1976)=0,D1976=""),"",IFERROR(INDEX(ca_type,MATCH(D1976,ca_name,0))&amp;"",""))</f>
        <v/>
      </c>
      <c r="I1976" s="58" t="str">
        <f>IF(COUNTA(A1976:E1976)=0,"",IF(N(A1976)&lt;=0,"Date manquante ou invalide",IF(B1976="","Équipe manquante",IF(ISNA(MATCH(B1976,eq_code,0)),"Équipe inconnue",IF(C1976="","Poste manquant",IF(ISNA(MATCH(C1976,po_code,0)),"Poste inconnu",IF(D1976="","Cause manquante",IF(ISNA(MATCH(D1976,ca_name,0)),"Cause inconnue",IF(H1976="","Cause à compléter dans Paramètres",IF(OR(NOT(ISNUMBER(E1976)),N(E1976)&lt;=0,N(E1976)&gt;1440),"Durée invalide",IF(COUNTIFS(sj_date,A1976,sj_eq,B1976,sj_po,C1976)=0,"Pas de saisie journalière ce jour-là","OK")))))))))))</f>
        <v/>
      </c>
      <c r="J1976">
        <f>IF(OR(I1976="OK",I1976="Pas de saisie journalière ce jour-là"),E1976,0)</f>
        <v>0.0</v>
      </c>
      <c r="K1976">
        <f>IF(AND(J1976&gt;0,A1976&gt;=p_from,A1976&lt;=p_to),1,0)</f>
        <v>0.0</v>
      </c>
      <c r="L1976">
        <f>IF(AND(K1976=1,OR(pa_po="",C1976=pa_po),OR(pa_eq="",B1976=pa_eq)),1,0)</f>
        <v>0.0</v>
      </c>
    </row>
    <row r="1977">
      <c r="A1977" s="51" t="n"/>
      <c r="B1977" s="52" t="n"/>
      <c r="C1977" s="52" t="n"/>
      <c r="D1977" s="53" t="n"/>
      <c r="E1977" s="60" t="n"/>
      <c r="F1977" s="53" t="n"/>
      <c r="G1977" s="61" t="str">
        <f>IF(OR(COUNTA(A1977:E1977)=0,D1977=""),"",IFERROR(INDEX(ca_fam,MATCH(D1977,ca_name,0))&amp;"",""))</f>
        <v/>
      </c>
      <c r="H1977" s="58" t="str">
        <f>IF(OR(COUNTA(A1977:E1977)=0,D1977=""),"",IFERROR(INDEX(ca_type,MATCH(D1977,ca_name,0))&amp;"",""))</f>
        <v/>
      </c>
      <c r="I1977" s="58" t="str">
        <f>IF(COUNTA(A1977:E1977)=0,"",IF(N(A1977)&lt;=0,"Date manquante ou invalide",IF(B1977="","Équipe manquante",IF(ISNA(MATCH(B1977,eq_code,0)),"Équipe inconnue",IF(C1977="","Poste manquant",IF(ISNA(MATCH(C1977,po_code,0)),"Poste inconnu",IF(D1977="","Cause manquante",IF(ISNA(MATCH(D1977,ca_name,0)),"Cause inconnue",IF(H1977="","Cause à compléter dans Paramètres",IF(OR(NOT(ISNUMBER(E1977)),N(E1977)&lt;=0,N(E1977)&gt;1440),"Durée invalide",IF(COUNTIFS(sj_date,A1977,sj_eq,B1977,sj_po,C1977)=0,"Pas de saisie journalière ce jour-là","OK")))))))))))</f>
        <v/>
      </c>
      <c r="J1977">
        <f>IF(OR(I1977="OK",I1977="Pas de saisie journalière ce jour-là"),E1977,0)</f>
        <v>0.0</v>
      </c>
      <c r="K1977">
        <f>IF(AND(J1977&gt;0,A1977&gt;=p_from,A1977&lt;=p_to),1,0)</f>
        <v>0.0</v>
      </c>
      <c r="L1977">
        <f>IF(AND(K1977=1,OR(pa_po="",C1977=pa_po),OR(pa_eq="",B1977=pa_eq)),1,0)</f>
        <v>0.0</v>
      </c>
    </row>
    <row r="1978">
      <c r="A1978" s="51" t="n"/>
      <c r="B1978" s="52" t="n"/>
      <c r="C1978" s="52" t="n"/>
      <c r="D1978" s="53" t="n"/>
      <c r="E1978" s="60" t="n"/>
      <c r="F1978" s="53" t="n"/>
      <c r="G1978" s="61" t="str">
        <f>IF(OR(COUNTA(A1978:E1978)=0,D1978=""),"",IFERROR(INDEX(ca_fam,MATCH(D1978,ca_name,0))&amp;"",""))</f>
        <v/>
      </c>
      <c r="H1978" s="58" t="str">
        <f>IF(OR(COUNTA(A1978:E1978)=0,D1978=""),"",IFERROR(INDEX(ca_type,MATCH(D1978,ca_name,0))&amp;"",""))</f>
        <v/>
      </c>
      <c r="I1978" s="58" t="str">
        <f>IF(COUNTA(A1978:E1978)=0,"",IF(N(A1978)&lt;=0,"Date manquante ou invalide",IF(B1978="","Équipe manquante",IF(ISNA(MATCH(B1978,eq_code,0)),"Équipe inconnue",IF(C1978="","Poste manquant",IF(ISNA(MATCH(C1978,po_code,0)),"Poste inconnu",IF(D1978="","Cause manquante",IF(ISNA(MATCH(D1978,ca_name,0)),"Cause inconnue",IF(H1978="","Cause à compléter dans Paramètres",IF(OR(NOT(ISNUMBER(E1978)),N(E1978)&lt;=0,N(E1978)&gt;1440),"Durée invalide",IF(COUNTIFS(sj_date,A1978,sj_eq,B1978,sj_po,C1978)=0,"Pas de saisie journalière ce jour-là","OK")))))))))))</f>
        <v/>
      </c>
      <c r="J1978">
        <f>IF(OR(I1978="OK",I1978="Pas de saisie journalière ce jour-là"),E1978,0)</f>
        <v>0.0</v>
      </c>
      <c r="K1978">
        <f>IF(AND(J1978&gt;0,A1978&gt;=p_from,A1978&lt;=p_to),1,0)</f>
        <v>0.0</v>
      </c>
      <c r="L1978">
        <f>IF(AND(K1978=1,OR(pa_po="",C1978=pa_po),OR(pa_eq="",B1978=pa_eq)),1,0)</f>
        <v>0.0</v>
      </c>
    </row>
    <row r="1979">
      <c r="A1979" s="51" t="n"/>
      <c r="B1979" s="52" t="n"/>
      <c r="C1979" s="52" t="n"/>
      <c r="D1979" s="53" t="n"/>
      <c r="E1979" s="60" t="n"/>
      <c r="F1979" s="53" t="n"/>
      <c r="G1979" s="61" t="str">
        <f>IF(OR(COUNTA(A1979:E1979)=0,D1979=""),"",IFERROR(INDEX(ca_fam,MATCH(D1979,ca_name,0))&amp;"",""))</f>
        <v/>
      </c>
      <c r="H1979" s="58" t="str">
        <f>IF(OR(COUNTA(A1979:E1979)=0,D1979=""),"",IFERROR(INDEX(ca_type,MATCH(D1979,ca_name,0))&amp;"",""))</f>
        <v/>
      </c>
      <c r="I1979" s="58" t="str">
        <f>IF(COUNTA(A1979:E1979)=0,"",IF(N(A1979)&lt;=0,"Date manquante ou invalide",IF(B1979="","Équipe manquante",IF(ISNA(MATCH(B1979,eq_code,0)),"Équipe inconnue",IF(C1979="","Poste manquant",IF(ISNA(MATCH(C1979,po_code,0)),"Poste inconnu",IF(D1979="","Cause manquante",IF(ISNA(MATCH(D1979,ca_name,0)),"Cause inconnue",IF(H1979="","Cause à compléter dans Paramètres",IF(OR(NOT(ISNUMBER(E1979)),N(E1979)&lt;=0,N(E1979)&gt;1440),"Durée invalide",IF(COUNTIFS(sj_date,A1979,sj_eq,B1979,sj_po,C1979)=0,"Pas de saisie journalière ce jour-là","OK")))))))))))</f>
        <v/>
      </c>
      <c r="J1979">
        <f>IF(OR(I1979="OK",I1979="Pas de saisie journalière ce jour-là"),E1979,0)</f>
        <v>0.0</v>
      </c>
      <c r="K1979">
        <f>IF(AND(J1979&gt;0,A1979&gt;=p_from,A1979&lt;=p_to),1,0)</f>
        <v>0.0</v>
      </c>
      <c r="L1979">
        <f>IF(AND(K1979=1,OR(pa_po="",C1979=pa_po),OR(pa_eq="",B1979=pa_eq)),1,0)</f>
        <v>0.0</v>
      </c>
    </row>
    <row r="1980">
      <c r="A1980" s="51" t="n"/>
      <c r="B1980" s="52" t="n"/>
      <c r="C1980" s="52" t="n"/>
      <c r="D1980" s="53" t="n"/>
      <c r="E1980" s="60" t="n"/>
      <c r="F1980" s="53" t="n"/>
      <c r="G1980" s="61" t="str">
        <f>IF(OR(COUNTA(A1980:E1980)=0,D1980=""),"",IFERROR(INDEX(ca_fam,MATCH(D1980,ca_name,0))&amp;"",""))</f>
        <v/>
      </c>
      <c r="H1980" s="58" t="str">
        <f>IF(OR(COUNTA(A1980:E1980)=0,D1980=""),"",IFERROR(INDEX(ca_type,MATCH(D1980,ca_name,0))&amp;"",""))</f>
        <v/>
      </c>
      <c r="I1980" s="58" t="str">
        <f>IF(COUNTA(A1980:E1980)=0,"",IF(N(A1980)&lt;=0,"Date manquante ou invalide",IF(B1980="","Équipe manquante",IF(ISNA(MATCH(B1980,eq_code,0)),"Équipe inconnue",IF(C1980="","Poste manquant",IF(ISNA(MATCH(C1980,po_code,0)),"Poste inconnu",IF(D1980="","Cause manquante",IF(ISNA(MATCH(D1980,ca_name,0)),"Cause inconnue",IF(H1980="","Cause à compléter dans Paramètres",IF(OR(NOT(ISNUMBER(E1980)),N(E1980)&lt;=0,N(E1980)&gt;1440),"Durée invalide",IF(COUNTIFS(sj_date,A1980,sj_eq,B1980,sj_po,C1980)=0,"Pas de saisie journalière ce jour-là","OK")))))))))))</f>
        <v/>
      </c>
      <c r="J1980">
        <f>IF(OR(I1980="OK",I1980="Pas de saisie journalière ce jour-là"),E1980,0)</f>
        <v>0.0</v>
      </c>
      <c r="K1980">
        <f>IF(AND(J1980&gt;0,A1980&gt;=p_from,A1980&lt;=p_to),1,0)</f>
        <v>0.0</v>
      </c>
      <c r="L1980">
        <f>IF(AND(K1980=1,OR(pa_po="",C1980=pa_po),OR(pa_eq="",B1980=pa_eq)),1,0)</f>
        <v>0.0</v>
      </c>
    </row>
    <row r="1981">
      <c r="A1981" s="51" t="n"/>
      <c r="B1981" s="52" t="n"/>
      <c r="C1981" s="52" t="n"/>
      <c r="D1981" s="53" t="n"/>
      <c r="E1981" s="60" t="n"/>
      <c r="F1981" s="53" t="n"/>
      <c r="G1981" s="61" t="str">
        <f>IF(OR(COUNTA(A1981:E1981)=0,D1981=""),"",IFERROR(INDEX(ca_fam,MATCH(D1981,ca_name,0))&amp;"",""))</f>
        <v/>
      </c>
      <c r="H1981" s="58" t="str">
        <f>IF(OR(COUNTA(A1981:E1981)=0,D1981=""),"",IFERROR(INDEX(ca_type,MATCH(D1981,ca_name,0))&amp;"",""))</f>
        <v/>
      </c>
      <c r="I1981" s="58" t="str">
        <f>IF(COUNTA(A1981:E1981)=0,"",IF(N(A1981)&lt;=0,"Date manquante ou invalide",IF(B1981="","Équipe manquante",IF(ISNA(MATCH(B1981,eq_code,0)),"Équipe inconnue",IF(C1981="","Poste manquant",IF(ISNA(MATCH(C1981,po_code,0)),"Poste inconnu",IF(D1981="","Cause manquante",IF(ISNA(MATCH(D1981,ca_name,0)),"Cause inconnue",IF(H1981="","Cause à compléter dans Paramètres",IF(OR(NOT(ISNUMBER(E1981)),N(E1981)&lt;=0,N(E1981)&gt;1440),"Durée invalide",IF(COUNTIFS(sj_date,A1981,sj_eq,B1981,sj_po,C1981)=0,"Pas de saisie journalière ce jour-là","OK")))))))))))</f>
        <v/>
      </c>
      <c r="J1981">
        <f>IF(OR(I1981="OK",I1981="Pas de saisie journalière ce jour-là"),E1981,0)</f>
        <v>0.0</v>
      </c>
      <c r="K1981">
        <f>IF(AND(J1981&gt;0,A1981&gt;=p_from,A1981&lt;=p_to),1,0)</f>
        <v>0.0</v>
      </c>
      <c r="L1981">
        <f>IF(AND(K1981=1,OR(pa_po="",C1981=pa_po),OR(pa_eq="",B1981=pa_eq)),1,0)</f>
        <v>0.0</v>
      </c>
    </row>
    <row r="1982">
      <c r="A1982" s="51" t="n"/>
      <c r="B1982" s="52" t="n"/>
      <c r="C1982" s="52" t="n"/>
      <c r="D1982" s="53" t="n"/>
      <c r="E1982" s="60" t="n"/>
      <c r="F1982" s="53" t="n"/>
      <c r="G1982" s="61" t="str">
        <f>IF(OR(COUNTA(A1982:E1982)=0,D1982=""),"",IFERROR(INDEX(ca_fam,MATCH(D1982,ca_name,0))&amp;"",""))</f>
        <v/>
      </c>
      <c r="H1982" s="58" t="str">
        <f>IF(OR(COUNTA(A1982:E1982)=0,D1982=""),"",IFERROR(INDEX(ca_type,MATCH(D1982,ca_name,0))&amp;"",""))</f>
        <v/>
      </c>
      <c r="I1982" s="58" t="str">
        <f>IF(COUNTA(A1982:E1982)=0,"",IF(N(A1982)&lt;=0,"Date manquante ou invalide",IF(B1982="","Équipe manquante",IF(ISNA(MATCH(B1982,eq_code,0)),"Équipe inconnue",IF(C1982="","Poste manquant",IF(ISNA(MATCH(C1982,po_code,0)),"Poste inconnu",IF(D1982="","Cause manquante",IF(ISNA(MATCH(D1982,ca_name,0)),"Cause inconnue",IF(H1982="","Cause à compléter dans Paramètres",IF(OR(NOT(ISNUMBER(E1982)),N(E1982)&lt;=0,N(E1982)&gt;1440),"Durée invalide",IF(COUNTIFS(sj_date,A1982,sj_eq,B1982,sj_po,C1982)=0,"Pas de saisie journalière ce jour-là","OK")))))))))))</f>
        <v/>
      </c>
      <c r="J1982">
        <f>IF(OR(I1982="OK",I1982="Pas de saisie journalière ce jour-là"),E1982,0)</f>
        <v>0.0</v>
      </c>
      <c r="K1982">
        <f>IF(AND(J1982&gt;0,A1982&gt;=p_from,A1982&lt;=p_to),1,0)</f>
        <v>0.0</v>
      </c>
      <c r="L1982">
        <f>IF(AND(K1982=1,OR(pa_po="",C1982=pa_po),OR(pa_eq="",B1982=pa_eq)),1,0)</f>
        <v>0.0</v>
      </c>
    </row>
    <row r="1983">
      <c r="A1983" s="51" t="n"/>
      <c r="B1983" s="52" t="n"/>
      <c r="C1983" s="52" t="n"/>
      <c r="D1983" s="53" t="n"/>
      <c r="E1983" s="60" t="n"/>
      <c r="F1983" s="53" t="n"/>
      <c r="G1983" s="61" t="str">
        <f>IF(OR(COUNTA(A1983:E1983)=0,D1983=""),"",IFERROR(INDEX(ca_fam,MATCH(D1983,ca_name,0))&amp;"",""))</f>
        <v/>
      </c>
      <c r="H1983" s="58" t="str">
        <f>IF(OR(COUNTA(A1983:E1983)=0,D1983=""),"",IFERROR(INDEX(ca_type,MATCH(D1983,ca_name,0))&amp;"",""))</f>
        <v/>
      </c>
      <c r="I1983" s="58" t="str">
        <f>IF(COUNTA(A1983:E1983)=0,"",IF(N(A1983)&lt;=0,"Date manquante ou invalide",IF(B1983="","Équipe manquante",IF(ISNA(MATCH(B1983,eq_code,0)),"Équipe inconnue",IF(C1983="","Poste manquant",IF(ISNA(MATCH(C1983,po_code,0)),"Poste inconnu",IF(D1983="","Cause manquante",IF(ISNA(MATCH(D1983,ca_name,0)),"Cause inconnue",IF(H1983="","Cause à compléter dans Paramètres",IF(OR(NOT(ISNUMBER(E1983)),N(E1983)&lt;=0,N(E1983)&gt;1440),"Durée invalide",IF(COUNTIFS(sj_date,A1983,sj_eq,B1983,sj_po,C1983)=0,"Pas de saisie journalière ce jour-là","OK")))))))))))</f>
        <v/>
      </c>
      <c r="J1983">
        <f>IF(OR(I1983="OK",I1983="Pas de saisie journalière ce jour-là"),E1983,0)</f>
        <v>0.0</v>
      </c>
      <c r="K1983">
        <f>IF(AND(J1983&gt;0,A1983&gt;=p_from,A1983&lt;=p_to),1,0)</f>
        <v>0.0</v>
      </c>
      <c r="L1983">
        <f>IF(AND(K1983=1,OR(pa_po="",C1983=pa_po),OR(pa_eq="",B1983=pa_eq)),1,0)</f>
        <v>0.0</v>
      </c>
    </row>
    <row r="1984">
      <c r="A1984" s="51" t="n"/>
      <c r="B1984" s="52" t="n"/>
      <c r="C1984" s="52" t="n"/>
      <c r="D1984" s="53" t="n"/>
      <c r="E1984" s="60" t="n"/>
      <c r="F1984" s="53" t="n"/>
      <c r="G1984" s="61" t="str">
        <f>IF(OR(COUNTA(A1984:E1984)=0,D1984=""),"",IFERROR(INDEX(ca_fam,MATCH(D1984,ca_name,0))&amp;"",""))</f>
        <v/>
      </c>
      <c r="H1984" s="58" t="str">
        <f>IF(OR(COUNTA(A1984:E1984)=0,D1984=""),"",IFERROR(INDEX(ca_type,MATCH(D1984,ca_name,0))&amp;"",""))</f>
        <v/>
      </c>
      <c r="I1984" s="58" t="str">
        <f>IF(COUNTA(A1984:E1984)=0,"",IF(N(A1984)&lt;=0,"Date manquante ou invalide",IF(B1984="","Équipe manquante",IF(ISNA(MATCH(B1984,eq_code,0)),"Équipe inconnue",IF(C1984="","Poste manquant",IF(ISNA(MATCH(C1984,po_code,0)),"Poste inconnu",IF(D1984="","Cause manquante",IF(ISNA(MATCH(D1984,ca_name,0)),"Cause inconnue",IF(H1984="","Cause à compléter dans Paramètres",IF(OR(NOT(ISNUMBER(E1984)),N(E1984)&lt;=0,N(E1984)&gt;1440),"Durée invalide",IF(COUNTIFS(sj_date,A1984,sj_eq,B1984,sj_po,C1984)=0,"Pas de saisie journalière ce jour-là","OK")))))))))))</f>
        <v/>
      </c>
      <c r="J1984">
        <f>IF(OR(I1984="OK",I1984="Pas de saisie journalière ce jour-là"),E1984,0)</f>
        <v>0.0</v>
      </c>
      <c r="K1984">
        <f>IF(AND(J1984&gt;0,A1984&gt;=p_from,A1984&lt;=p_to),1,0)</f>
        <v>0.0</v>
      </c>
      <c r="L1984">
        <f>IF(AND(K1984=1,OR(pa_po="",C1984=pa_po),OR(pa_eq="",B1984=pa_eq)),1,0)</f>
        <v>0.0</v>
      </c>
    </row>
    <row r="1985">
      <c r="A1985" s="51" t="n"/>
      <c r="B1985" s="52" t="n"/>
      <c r="C1985" s="52" t="n"/>
      <c r="D1985" s="53" t="n"/>
      <c r="E1985" s="60" t="n"/>
      <c r="F1985" s="53" t="n"/>
      <c r="G1985" s="61" t="str">
        <f>IF(OR(COUNTA(A1985:E1985)=0,D1985=""),"",IFERROR(INDEX(ca_fam,MATCH(D1985,ca_name,0))&amp;"",""))</f>
        <v/>
      </c>
      <c r="H1985" s="58" t="str">
        <f>IF(OR(COUNTA(A1985:E1985)=0,D1985=""),"",IFERROR(INDEX(ca_type,MATCH(D1985,ca_name,0))&amp;"",""))</f>
        <v/>
      </c>
      <c r="I1985" s="58" t="str">
        <f>IF(COUNTA(A1985:E1985)=0,"",IF(N(A1985)&lt;=0,"Date manquante ou invalide",IF(B1985="","Équipe manquante",IF(ISNA(MATCH(B1985,eq_code,0)),"Équipe inconnue",IF(C1985="","Poste manquant",IF(ISNA(MATCH(C1985,po_code,0)),"Poste inconnu",IF(D1985="","Cause manquante",IF(ISNA(MATCH(D1985,ca_name,0)),"Cause inconnue",IF(H1985="","Cause à compléter dans Paramètres",IF(OR(NOT(ISNUMBER(E1985)),N(E1985)&lt;=0,N(E1985)&gt;1440),"Durée invalide",IF(COUNTIFS(sj_date,A1985,sj_eq,B1985,sj_po,C1985)=0,"Pas de saisie journalière ce jour-là","OK")))))))))))</f>
        <v/>
      </c>
      <c r="J1985">
        <f>IF(OR(I1985="OK",I1985="Pas de saisie journalière ce jour-là"),E1985,0)</f>
        <v>0.0</v>
      </c>
      <c r="K1985">
        <f>IF(AND(J1985&gt;0,A1985&gt;=p_from,A1985&lt;=p_to),1,0)</f>
        <v>0.0</v>
      </c>
      <c r="L1985">
        <f>IF(AND(K1985=1,OR(pa_po="",C1985=pa_po),OR(pa_eq="",B1985=pa_eq)),1,0)</f>
        <v>0.0</v>
      </c>
    </row>
    <row r="1986">
      <c r="A1986" s="51" t="n"/>
      <c r="B1986" s="52" t="n"/>
      <c r="C1986" s="52" t="n"/>
      <c r="D1986" s="53" t="n"/>
      <c r="E1986" s="60" t="n"/>
      <c r="F1986" s="53" t="n"/>
      <c r="G1986" s="61" t="str">
        <f>IF(OR(COUNTA(A1986:E1986)=0,D1986=""),"",IFERROR(INDEX(ca_fam,MATCH(D1986,ca_name,0))&amp;"",""))</f>
        <v/>
      </c>
      <c r="H1986" s="58" t="str">
        <f>IF(OR(COUNTA(A1986:E1986)=0,D1986=""),"",IFERROR(INDEX(ca_type,MATCH(D1986,ca_name,0))&amp;"",""))</f>
        <v/>
      </c>
      <c r="I1986" s="58" t="str">
        <f>IF(COUNTA(A1986:E1986)=0,"",IF(N(A1986)&lt;=0,"Date manquante ou invalide",IF(B1986="","Équipe manquante",IF(ISNA(MATCH(B1986,eq_code,0)),"Équipe inconnue",IF(C1986="","Poste manquant",IF(ISNA(MATCH(C1986,po_code,0)),"Poste inconnu",IF(D1986="","Cause manquante",IF(ISNA(MATCH(D1986,ca_name,0)),"Cause inconnue",IF(H1986="","Cause à compléter dans Paramètres",IF(OR(NOT(ISNUMBER(E1986)),N(E1986)&lt;=0,N(E1986)&gt;1440),"Durée invalide",IF(COUNTIFS(sj_date,A1986,sj_eq,B1986,sj_po,C1986)=0,"Pas de saisie journalière ce jour-là","OK")))))))))))</f>
        <v/>
      </c>
      <c r="J1986">
        <f>IF(OR(I1986="OK",I1986="Pas de saisie journalière ce jour-là"),E1986,0)</f>
        <v>0.0</v>
      </c>
      <c r="K1986">
        <f>IF(AND(J1986&gt;0,A1986&gt;=p_from,A1986&lt;=p_to),1,0)</f>
        <v>0.0</v>
      </c>
      <c r="L1986">
        <f>IF(AND(K1986=1,OR(pa_po="",C1986=pa_po),OR(pa_eq="",B1986=pa_eq)),1,0)</f>
        <v>0.0</v>
      </c>
    </row>
    <row r="1987">
      <c r="A1987" s="51" t="n"/>
      <c r="B1987" s="52" t="n"/>
      <c r="C1987" s="52" t="n"/>
      <c r="D1987" s="53" t="n"/>
      <c r="E1987" s="60" t="n"/>
      <c r="F1987" s="53" t="n"/>
      <c r="G1987" s="61" t="str">
        <f>IF(OR(COUNTA(A1987:E1987)=0,D1987=""),"",IFERROR(INDEX(ca_fam,MATCH(D1987,ca_name,0))&amp;"",""))</f>
        <v/>
      </c>
      <c r="H1987" s="58" t="str">
        <f>IF(OR(COUNTA(A1987:E1987)=0,D1987=""),"",IFERROR(INDEX(ca_type,MATCH(D1987,ca_name,0))&amp;"",""))</f>
        <v/>
      </c>
      <c r="I1987" s="58" t="str">
        <f>IF(COUNTA(A1987:E1987)=0,"",IF(N(A1987)&lt;=0,"Date manquante ou invalide",IF(B1987="","Équipe manquante",IF(ISNA(MATCH(B1987,eq_code,0)),"Équipe inconnue",IF(C1987="","Poste manquant",IF(ISNA(MATCH(C1987,po_code,0)),"Poste inconnu",IF(D1987="","Cause manquante",IF(ISNA(MATCH(D1987,ca_name,0)),"Cause inconnue",IF(H1987="","Cause à compléter dans Paramètres",IF(OR(NOT(ISNUMBER(E1987)),N(E1987)&lt;=0,N(E1987)&gt;1440),"Durée invalide",IF(COUNTIFS(sj_date,A1987,sj_eq,B1987,sj_po,C1987)=0,"Pas de saisie journalière ce jour-là","OK")))))))))))</f>
        <v/>
      </c>
      <c r="J1987">
        <f>IF(OR(I1987="OK",I1987="Pas de saisie journalière ce jour-là"),E1987,0)</f>
        <v>0.0</v>
      </c>
      <c r="K1987">
        <f>IF(AND(J1987&gt;0,A1987&gt;=p_from,A1987&lt;=p_to),1,0)</f>
        <v>0.0</v>
      </c>
      <c r="L1987">
        <f>IF(AND(K1987=1,OR(pa_po="",C1987=pa_po),OR(pa_eq="",B1987=pa_eq)),1,0)</f>
        <v>0.0</v>
      </c>
    </row>
    <row r="1988">
      <c r="A1988" s="51" t="n"/>
      <c r="B1988" s="52" t="n"/>
      <c r="C1988" s="52" t="n"/>
      <c r="D1988" s="53" t="n"/>
      <c r="E1988" s="60" t="n"/>
      <c r="F1988" s="53" t="n"/>
      <c r="G1988" s="61" t="str">
        <f>IF(OR(COUNTA(A1988:E1988)=0,D1988=""),"",IFERROR(INDEX(ca_fam,MATCH(D1988,ca_name,0))&amp;"",""))</f>
        <v/>
      </c>
      <c r="H1988" s="58" t="str">
        <f>IF(OR(COUNTA(A1988:E1988)=0,D1988=""),"",IFERROR(INDEX(ca_type,MATCH(D1988,ca_name,0))&amp;"",""))</f>
        <v/>
      </c>
      <c r="I1988" s="58" t="str">
        <f>IF(COUNTA(A1988:E1988)=0,"",IF(N(A1988)&lt;=0,"Date manquante ou invalide",IF(B1988="","Équipe manquante",IF(ISNA(MATCH(B1988,eq_code,0)),"Équipe inconnue",IF(C1988="","Poste manquant",IF(ISNA(MATCH(C1988,po_code,0)),"Poste inconnu",IF(D1988="","Cause manquante",IF(ISNA(MATCH(D1988,ca_name,0)),"Cause inconnue",IF(H1988="","Cause à compléter dans Paramètres",IF(OR(NOT(ISNUMBER(E1988)),N(E1988)&lt;=0,N(E1988)&gt;1440),"Durée invalide",IF(COUNTIFS(sj_date,A1988,sj_eq,B1988,sj_po,C1988)=0,"Pas de saisie journalière ce jour-là","OK")))))))))))</f>
        <v/>
      </c>
      <c r="J1988">
        <f>IF(OR(I1988="OK",I1988="Pas de saisie journalière ce jour-là"),E1988,0)</f>
        <v>0.0</v>
      </c>
      <c r="K1988">
        <f>IF(AND(J1988&gt;0,A1988&gt;=p_from,A1988&lt;=p_to),1,0)</f>
        <v>0.0</v>
      </c>
      <c r="L1988">
        <f>IF(AND(K1988=1,OR(pa_po="",C1988=pa_po),OR(pa_eq="",B1988=pa_eq)),1,0)</f>
        <v>0.0</v>
      </c>
    </row>
    <row r="1989">
      <c r="A1989" s="51" t="n"/>
      <c r="B1989" s="52" t="n"/>
      <c r="C1989" s="52" t="n"/>
      <c r="D1989" s="53" t="n"/>
      <c r="E1989" s="60" t="n"/>
      <c r="F1989" s="53" t="n"/>
      <c r="G1989" s="61" t="str">
        <f>IF(OR(COUNTA(A1989:E1989)=0,D1989=""),"",IFERROR(INDEX(ca_fam,MATCH(D1989,ca_name,0))&amp;"",""))</f>
        <v/>
      </c>
      <c r="H1989" s="58" t="str">
        <f>IF(OR(COUNTA(A1989:E1989)=0,D1989=""),"",IFERROR(INDEX(ca_type,MATCH(D1989,ca_name,0))&amp;"",""))</f>
        <v/>
      </c>
      <c r="I1989" s="58" t="str">
        <f>IF(COUNTA(A1989:E1989)=0,"",IF(N(A1989)&lt;=0,"Date manquante ou invalide",IF(B1989="","Équipe manquante",IF(ISNA(MATCH(B1989,eq_code,0)),"Équipe inconnue",IF(C1989="","Poste manquant",IF(ISNA(MATCH(C1989,po_code,0)),"Poste inconnu",IF(D1989="","Cause manquante",IF(ISNA(MATCH(D1989,ca_name,0)),"Cause inconnue",IF(H1989="","Cause à compléter dans Paramètres",IF(OR(NOT(ISNUMBER(E1989)),N(E1989)&lt;=0,N(E1989)&gt;1440),"Durée invalide",IF(COUNTIFS(sj_date,A1989,sj_eq,B1989,sj_po,C1989)=0,"Pas de saisie journalière ce jour-là","OK")))))))))))</f>
        <v/>
      </c>
      <c r="J1989">
        <f>IF(OR(I1989="OK",I1989="Pas de saisie journalière ce jour-là"),E1989,0)</f>
        <v>0.0</v>
      </c>
      <c r="K1989">
        <f>IF(AND(J1989&gt;0,A1989&gt;=p_from,A1989&lt;=p_to),1,0)</f>
        <v>0.0</v>
      </c>
      <c r="L1989">
        <f>IF(AND(K1989=1,OR(pa_po="",C1989=pa_po),OR(pa_eq="",B1989=pa_eq)),1,0)</f>
        <v>0.0</v>
      </c>
    </row>
    <row r="1990">
      <c r="A1990" s="51" t="n"/>
      <c r="B1990" s="52" t="n"/>
      <c r="C1990" s="52" t="n"/>
      <c r="D1990" s="53" t="n"/>
      <c r="E1990" s="60" t="n"/>
      <c r="F1990" s="53" t="n"/>
      <c r="G1990" s="61" t="str">
        <f>IF(OR(COUNTA(A1990:E1990)=0,D1990=""),"",IFERROR(INDEX(ca_fam,MATCH(D1990,ca_name,0))&amp;"",""))</f>
        <v/>
      </c>
      <c r="H1990" s="58" t="str">
        <f>IF(OR(COUNTA(A1990:E1990)=0,D1990=""),"",IFERROR(INDEX(ca_type,MATCH(D1990,ca_name,0))&amp;"",""))</f>
        <v/>
      </c>
      <c r="I1990" s="58" t="str">
        <f>IF(COUNTA(A1990:E1990)=0,"",IF(N(A1990)&lt;=0,"Date manquante ou invalide",IF(B1990="","Équipe manquante",IF(ISNA(MATCH(B1990,eq_code,0)),"Équipe inconnue",IF(C1990="","Poste manquant",IF(ISNA(MATCH(C1990,po_code,0)),"Poste inconnu",IF(D1990="","Cause manquante",IF(ISNA(MATCH(D1990,ca_name,0)),"Cause inconnue",IF(H1990="","Cause à compléter dans Paramètres",IF(OR(NOT(ISNUMBER(E1990)),N(E1990)&lt;=0,N(E1990)&gt;1440),"Durée invalide",IF(COUNTIFS(sj_date,A1990,sj_eq,B1990,sj_po,C1990)=0,"Pas de saisie journalière ce jour-là","OK")))))))))))</f>
        <v/>
      </c>
      <c r="J1990">
        <f>IF(OR(I1990="OK",I1990="Pas de saisie journalière ce jour-là"),E1990,0)</f>
        <v>0.0</v>
      </c>
      <c r="K1990">
        <f>IF(AND(J1990&gt;0,A1990&gt;=p_from,A1990&lt;=p_to),1,0)</f>
        <v>0.0</v>
      </c>
      <c r="L1990">
        <f>IF(AND(K1990=1,OR(pa_po="",C1990=pa_po),OR(pa_eq="",B1990=pa_eq)),1,0)</f>
        <v>0.0</v>
      </c>
    </row>
    <row r="1991">
      <c r="A1991" s="51" t="n"/>
      <c r="B1991" s="52" t="n"/>
      <c r="C1991" s="52" t="n"/>
      <c r="D1991" s="53" t="n"/>
      <c r="E1991" s="60" t="n"/>
      <c r="F1991" s="53" t="n"/>
      <c r="G1991" s="61" t="str">
        <f>IF(OR(COUNTA(A1991:E1991)=0,D1991=""),"",IFERROR(INDEX(ca_fam,MATCH(D1991,ca_name,0))&amp;"",""))</f>
        <v/>
      </c>
      <c r="H1991" s="58" t="str">
        <f>IF(OR(COUNTA(A1991:E1991)=0,D1991=""),"",IFERROR(INDEX(ca_type,MATCH(D1991,ca_name,0))&amp;"",""))</f>
        <v/>
      </c>
      <c r="I1991" s="58" t="str">
        <f>IF(COUNTA(A1991:E1991)=0,"",IF(N(A1991)&lt;=0,"Date manquante ou invalide",IF(B1991="","Équipe manquante",IF(ISNA(MATCH(B1991,eq_code,0)),"Équipe inconnue",IF(C1991="","Poste manquant",IF(ISNA(MATCH(C1991,po_code,0)),"Poste inconnu",IF(D1991="","Cause manquante",IF(ISNA(MATCH(D1991,ca_name,0)),"Cause inconnue",IF(H1991="","Cause à compléter dans Paramètres",IF(OR(NOT(ISNUMBER(E1991)),N(E1991)&lt;=0,N(E1991)&gt;1440),"Durée invalide",IF(COUNTIFS(sj_date,A1991,sj_eq,B1991,sj_po,C1991)=0,"Pas de saisie journalière ce jour-là","OK")))))))))))</f>
        <v/>
      </c>
      <c r="J1991">
        <f>IF(OR(I1991="OK",I1991="Pas de saisie journalière ce jour-là"),E1991,0)</f>
        <v>0.0</v>
      </c>
      <c r="K1991">
        <f>IF(AND(J1991&gt;0,A1991&gt;=p_from,A1991&lt;=p_to),1,0)</f>
        <v>0.0</v>
      </c>
      <c r="L1991">
        <f>IF(AND(K1991=1,OR(pa_po="",C1991=pa_po),OR(pa_eq="",B1991=pa_eq)),1,0)</f>
        <v>0.0</v>
      </c>
    </row>
    <row r="1992">
      <c r="A1992" s="51" t="n"/>
      <c r="B1992" s="52" t="n"/>
      <c r="C1992" s="52" t="n"/>
      <c r="D1992" s="53" t="n"/>
      <c r="E1992" s="60" t="n"/>
      <c r="F1992" s="53" t="n"/>
      <c r="G1992" s="61" t="str">
        <f>IF(OR(COUNTA(A1992:E1992)=0,D1992=""),"",IFERROR(INDEX(ca_fam,MATCH(D1992,ca_name,0))&amp;"",""))</f>
        <v/>
      </c>
      <c r="H1992" s="58" t="str">
        <f>IF(OR(COUNTA(A1992:E1992)=0,D1992=""),"",IFERROR(INDEX(ca_type,MATCH(D1992,ca_name,0))&amp;"",""))</f>
        <v/>
      </c>
      <c r="I1992" s="58" t="str">
        <f>IF(COUNTA(A1992:E1992)=0,"",IF(N(A1992)&lt;=0,"Date manquante ou invalide",IF(B1992="","Équipe manquante",IF(ISNA(MATCH(B1992,eq_code,0)),"Équipe inconnue",IF(C1992="","Poste manquant",IF(ISNA(MATCH(C1992,po_code,0)),"Poste inconnu",IF(D1992="","Cause manquante",IF(ISNA(MATCH(D1992,ca_name,0)),"Cause inconnue",IF(H1992="","Cause à compléter dans Paramètres",IF(OR(NOT(ISNUMBER(E1992)),N(E1992)&lt;=0,N(E1992)&gt;1440),"Durée invalide",IF(COUNTIFS(sj_date,A1992,sj_eq,B1992,sj_po,C1992)=0,"Pas de saisie journalière ce jour-là","OK")))))))))))</f>
        <v/>
      </c>
      <c r="J1992">
        <f>IF(OR(I1992="OK",I1992="Pas de saisie journalière ce jour-là"),E1992,0)</f>
        <v>0.0</v>
      </c>
      <c r="K1992">
        <f>IF(AND(J1992&gt;0,A1992&gt;=p_from,A1992&lt;=p_to),1,0)</f>
        <v>0.0</v>
      </c>
      <c r="L1992">
        <f>IF(AND(K1992=1,OR(pa_po="",C1992=pa_po),OR(pa_eq="",B1992=pa_eq)),1,0)</f>
        <v>0.0</v>
      </c>
    </row>
    <row r="1993">
      <c r="A1993" s="51" t="n"/>
      <c r="B1993" s="52" t="n"/>
      <c r="C1993" s="52" t="n"/>
      <c r="D1993" s="53" t="n"/>
      <c r="E1993" s="60" t="n"/>
      <c r="F1993" s="53" t="n"/>
      <c r="G1993" s="61" t="str">
        <f>IF(OR(COUNTA(A1993:E1993)=0,D1993=""),"",IFERROR(INDEX(ca_fam,MATCH(D1993,ca_name,0))&amp;"",""))</f>
        <v/>
      </c>
      <c r="H1993" s="58" t="str">
        <f>IF(OR(COUNTA(A1993:E1993)=0,D1993=""),"",IFERROR(INDEX(ca_type,MATCH(D1993,ca_name,0))&amp;"",""))</f>
        <v/>
      </c>
      <c r="I1993" s="58" t="str">
        <f>IF(COUNTA(A1993:E1993)=0,"",IF(N(A1993)&lt;=0,"Date manquante ou invalide",IF(B1993="","Équipe manquante",IF(ISNA(MATCH(B1993,eq_code,0)),"Équipe inconnue",IF(C1993="","Poste manquant",IF(ISNA(MATCH(C1993,po_code,0)),"Poste inconnu",IF(D1993="","Cause manquante",IF(ISNA(MATCH(D1993,ca_name,0)),"Cause inconnue",IF(H1993="","Cause à compléter dans Paramètres",IF(OR(NOT(ISNUMBER(E1993)),N(E1993)&lt;=0,N(E1993)&gt;1440),"Durée invalide",IF(COUNTIFS(sj_date,A1993,sj_eq,B1993,sj_po,C1993)=0,"Pas de saisie journalière ce jour-là","OK")))))))))))</f>
        <v/>
      </c>
      <c r="J1993">
        <f>IF(OR(I1993="OK",I1993="Pas de saisie journalière ce jour-là"),E1993,0)</f>
        <v>0.0</v>
      </c>
      <c r="K1993">
        <f>IF(AND(J1993&gt;0,A1993&gt;=p_from,A1993&lt;=p_to),1,0)</f>
        <v>0.0</v>
      </c>
      <c r="L1993">
        <f>IF(AND(K1993=1,OR(pa_po="",C1993=pa_po),OR(pa_eq="",B1993=pa_eq)),1,0)</f>
        <v>0.0</v>
      </c>
    </row>
    <row r="1994">
      <c r="A1994" s="51" t="n"/>
      <c r="B1994" s="52" t="n"/>
      <c r="C1994" s="52" t="n"/>
      <c r="D1994" s="53" t="n"/>
      <c r="E1994" s="60" t="n"/>
      <c r="F1994" s="53" t="n"/>
      <c r="G1994" s="61" t="str">
        <f>IF(OR(COUNTA(A1994:E1994)=0,D1994=""),"",IFERROR(INDEX(ca_fam,MATCH(D1994,ca_name,0))&amp;"",""))</f>
        <v/>
      </c>
      <c r="H1994" s="58" t="str">
        <f>IF(OR(COUNTA(A1994:E1994)=0,D1994=""),"",IFERROR(INDEX(ca_type,MATCH(D1994,ca_name,0))&amp;"",""))</f>
        <v/>
      </c>
      <c r="I1994" s="58" t="str">
        <f>IF(COUNTA(A1994:E1994)=0,"",IF(N(A1994)&lt;=0,"Date manquante ou invalide",IF(B1994="","Équipe manquante",IF(ISNA(MATCH(B1994,eq_code,0)),"Équipe inconnue",IF(C1994="","Poste manquant",IF(ISNA(MATCH(C1994,po_code,0)),"Poste inconnu",IF(D1994="","Cause manquante",IF(ISNA(MATCH(D1994,ca_name,0)),"Cause inconnue",IF(H1994="","Cause à compléter dans Paramètres",IF(OR(NOT(ISNUMBER(E1994)),N(E1994)&lt;=0,N(E1994)&gt;1440),"Durée invalide",IF(COUNTIFS(sj_date,A1994,sj_eq,B1994,sj_po,C1994)=0,"Pas de saisie journalière ce jour-là","OK")))))))))))</f>
        <v/>
      </c>
      <c r="J1994">
        <f>IF(OR(I1994="OK",I1994="Pas de saisie journalière ce jour-là"),E1994,0)</f>
        <v>0.0</v>
      </c>
      <c r="K1994">
        <f>IF(AND(J1994&gt;0,A1994&gt;=p_from,A1994&lt;=p_to),1,0)</f>
        <v>0.0</v>
      </c>
      <c r="L1994">
        <f>IF(AND(K1994=1,OR(pa_po="",C1994=pa_po),OR(pa_eq="",B1994=pa_eq)),1,0)</f>
        <v>0.0</v>
      </c>
    </row>
    <row r="1995">
      <c r="A1995" s="51" t="n"/>
      <c r="B1995" s="52" t="n"/>
      <c r="C1995" s="52" t="n"/>
      <c r="D1995" s="53" t="n"/>
      <c r="E1995" s="60" t="n"/>
      <c r="F1995" s="53" t="n"/>
      <c r="G1995" s="61" t="str">
        <f>IF(OR(COUNTA(A1995:E1995)=0,D1995=""),"",IFERROR(INDEX(ca_fam,MATCH(D1995,ca_name,0))&amp;"",""))</f>
        <v/>
      </c>
      <c r="H1995" s="58" t="str">
        <f>IF(OR(COUNTA(A1995:E1995)=0,D1995=""),"",IFERROR(INDEX(ca_type,MATCH(D1995,ca_name,0))&amp;"",""))</f>
        <v/>
      </c>
      <c r="I1995" s="58" t="str">
        <f>IF(COUNTA(A1995:E1995)=0,"",IF(N(A1995)&lt;=0,"Date manquante ou invalide",IF(B1995="","Équipe manquante",IF(ISNA(MATCH(B1995,eq_code,0)),"Équipe inconnue",IF(C1995="","Poste manquant",IF(ISNA(MATCH(C1995,po_code,0)),"Poste inconnu",IF(D1995="","Cause manquante",IF(ISNA(MATCH(D1995,ca_name,0)),"Cause inconnue",IF(H1995="","Cause à compléter dans Paramètres",IF(OR(NOT(ISNUMBER(E1995)),N(E1995)&lt;=0,N(E1995)&gt;1440),"Durée invalide",IF(COUNTIFS(sj_date,A1995,sj_eq,B1995,sj_po,C1995)=0,"Pas de saisie journalière ce jour-là","OK")))))))))))</f>
        <v/>
      </c>
      <c r="J1995">
        <f>IF(OR(I1995="OK",I1995="Pas de saisie journalière ce jour-là"),E1995,0)</f>
        <v>0.0</v>
      </c>
      <c r="K1995">
        <f>IF(AND(J1995&gt;0,A1995&gt;=p_from,A1995&lt;=p_to),1,0)</f>
        <v>0.0</v>
      </c>
      <c r="L1995">
        <f>IF(AND(K1995=1,OR(pa_po="",C1995=pa_po),OR(pa_eq="",B1995=pa_eq)),1,0)</f>
        <v>0.0</v>
      </c>
    </row>
    <row r="1996">
      <c r="A1996" s="51" t="n"/>
      <c r="B1996" s="52" t="n"/>
      <c r="C1996" s="52" t="n"/>
      <c r="D1996" s="53" t="n"/>
      <c r="E1996" s="60" t="n"/>
      <c r="F1996" s="53" t="n"/>
      <c r="G1996" s="61" t="str">
        <f>IF(OR(COUNTA(A1996:E1996)=0,D1996=""),"",IFERROR(INDEX(ca_fam,MATCH(D1996,ca_name,0))&amp;"",""))</f>
        <v/>
      </c>
      <c r="H1996" s="58" t="str">
        <f>IF(OR(COUNTA(A1996:E1996)=0,D1996=""),"",IFERROR(INDEX(ca_type,MATCH(D1996,ca_name,0))&amp;"",""))</f>
        <v/>
      </c>
      <c r="I1996" s="58" t="str">
        <f>IF(COUNTA(A1996:E1996)=0,"",IF(N(A1996)&lt;=0,"Date manquante ou invalide",IF(B1996="","Équipe manquante",IF(ISNA(MATCH(B1996,eq_code,0)),"Équipe inconnue",IF(C1996="","Poste manquant",IF(ISNA(MATCH(C1996,po_code,0)),"Poste inconnu",IF(D1996="","Cause manquante",IF(ISNA(MATCH(D1996,ca_name,0)),"Cause inconnue",IF(H1996="","Cause à compléter dans Paramètres",IF(OR(NOT(ISNUMBER(E1996)),N(E1996)&lt;=0,N(E1996)&gt;1440),"Durée invalide",IF(COUNTIFS(sj_date,A1996,sj_eq,B1996,sj_po,C1996)=0,"Pas de saisie journalière ce jour-là","OK")))))))))))</f>
        <v/>
      </c>
      <c r="J1996">
        <f>IF(OR(I1996="OK",I1996="Pas de saisie journalière ce jour-là"),E1996,0)</f>
        <v>0.0</v>
      </c>
      <c r="K1996">
        <f>IF(AND(J1996&gt;0,A1996&gt;=p_from,A1996&lt;=p_to),1,0)</f>
        <v>0.0</v>
      </c>
      <c r="L1996">
        <f>IF(AND(K1996=1,OR(pa_po="",C1996=pa_po),OR(pa_eq="",B1996=pa_eq)),1,0)</f>
        <v>0.0</v>
      </c>
    </row>
    <row r="1997">
      <c r="A1997" s="51" t="n"/>
      <c r="B1997" s="52" t="n"/>
      <c r="C1997" s="52" t="n"/>
      <c r="D1997" s="53" t="n"/>
      <c r="E1997" s="60" t="n"/>
      <c r="F1997" s="53" t="n"/>
      <c r="G1997" s="61" t="str">
        <f>IF(OR(COUNTA(A1997:E1997)=0,D1997=""),"",IFERROR(INDEX(ca_fam,MATCH(D1997,ca_name,0))&amp;"",""))</f>
        <v/>
      </c>
      <c r="H1997" s="58" t="str">
        <f>IF(OR(COUNTA(A1997:E1997)=0,D1997=""),"",IFERROR(INDEX(ca_type,MATCH(D1997,ca_name,0))&amp;"",""))</f>
        <v/>
      </c>
      <c r="I1997" s="58" t="str">
        <f>IF(COUNTA(A1997:E1997)=0,"",IF(N(A1997)&lt;=0,"Date manquante ou invalide",IF(B1997="","Équipe manquante",IF(ISNA(MATCH(B1997,eq_code,0)),"Équipe inconnue",IF(C1997="","Poste manquant",IF(ISNA(MATCH(C1997,po_code,0)),"Poste inconnu",IF(D1997="","Cause manquante",IF(ISNA(MATCH(D1997,ca_name,0)),"Cause inconnue",IF(H1997="","Cause à compléter dans Paramètres",IF(OR(NOT(ISNUMBER(E1997)),N(E1997)&lt;=0,N(E1997)&gt;1440),"Durée invalide",IF(COUNTIFS(sj_date,A1997,sj_eq,B1997,sj_po,C1997)=0,"Pas de saisie journalière ce jour-là","OK")))))))))))</f>
        <v/>
      </c>
      <c r="J1997">
        <f>IF(OR(I1997="OK",I1997="Pas de saisie journalière ce jour-là"),E1997,0)</f>
        <v>0.0</v>
      </c>
      <c r="K1997">
        <f>IF(AND(J1997&gt;0,A1997&gt;=p_from,A1997&lt;=p_to),1,0)</f>
        <v>0.0</v>
      </c>
      <c r="L1997">
        <f>IF(AND(K1997=1,OR(pa_po="",C1997=pa_po),OR(pa_eq="",B1997=pa_eq)),1,0)</f>
        <v>0.0</v>
      </c>
    </row>
    <row r="1998">
      <c r="A1998" s="51" t="n"/>
      <c r="B1998" s="52" t="n"/>
      <c r="C1998" s="52" t="n"/>
      <c r="D1998" s="53" t="n"/>
      <c r="E1998" s="60" t="n"/>
      <c r="F1998" s="53" t="n"/>
      <c r="G1998" s="61" t="str">
        <f>IF(OR(COUNTA(A1998:E1998)=0,D1998=""),"",IFERROR(INDEX(ca_fam,MATCH(D1998,ca_name,0))&amp;"",""))</f>
        <v/>
      </c>
      <c r="H1998" s="58" t="str">
        <f>IF(OR(COUNTA(A1998:E1998)=0,D1998=""),"",IFERROR(INDEX(ca_type,MATCH(D1998,ca_name,0))&amp;"",""))</f>
        <v/>
      </c>
      <c r="I1998" s="58" t="str">
        <f>IF(COUNTA(A1998:E1998)=0,"",IF(N(A1998)&lt;=0,"Date manquante ou invalide",IF(B1998="","Équipe manquante",IF(ISNA(MATCH(B1998,eq_code,0)),"Équipe inconnue",IF(C1998="","Poste manquant",IF(ISNA(MATCH(C1998,po_code,0)),"Poste inconnu",IF(D1998="","Cause manquante",IF(ISNA(MATCH(D1998,ca_name,0)),"Cause inconnue",IF(H1998="","Cause à compléter dans Paramètres",IF(OR(NOT(ISNUMBER(E1998)),N(E1998)&lt;=0,N(E1998)&gt;1440),"Durée invalide",IF(COUNTIFS(sj_date,A1998,sj_eq,B1998,sj_po,C1998)=0,"Pas de saisie journalière ce jour-là","OK")))))))))))</f>
        <v/>
      </c>
      <c r="J1998">
        <f>IF(OR(I1998="OK",I1998="Pas de saisie journalière ce jour-là"),E1998,0)</f>
        <v>0.0</v>
      </c>
      <c r="K1998">
        <f>IF(AND(J1998&gt;0,A1998&gt;=p_from,A1998&lt;=p_to),1,0)</f>
        <v>0.0</v>
      </c>
      <c r="L1998">
        <f>IF(AND(K1998=1,OR(pa_po="",C1998=pa_po),OR(pa_eq="",B1998=pa_eq)),1,0)</f>
        <v>0.0</v>
      </c>
    </row>
    <row r="1999">
      <c r="A1999" s="51" t="n"/>
      <c r="B1999" s="52" t="n"/>
      <c r="C1999" s="52" t="n"/>
      <c r="D1999" s="53" t="n"/>
      <c r="E1999" s="60" t="n"/>
      <c r="F1999" s="53" t="n"/>
      <c r="G1999" s="61" t="str">
        <f>IF(OR(COUNTA(A1999:E1999)=0,D1999=""),"",IFERROR(INDEX(ca_fam,MATCH(D1999,ca_name,0))&amp;"",""))</f>
        <v/>
      </c>
      <c r="H1999" s="58" t="str">
        <f>IF(OR(COUNTA(A1999:E1999)=0,D1999=""),"",IFERROR(INDEX(ca_type,MATCH(D1999,ca_name,0))&amp;"",""))</f>
        <v/>
      </c>
      <c r="I1999" s="58" t="str">
        <f>IF(COUNTA(A1999:E1999)=0,"",IF(N(A1999)&lt;=0,"Date manquante ou invalide",IF(B1999="","Équipe manquante",IF(ISNA(MATCH(B1999,eq_code,0)),"Équipe inconnue",IF(C1999="","Poste manquant",IF(ISNA(MATCH(C1999,po_code,0)),"Poste inconnu",IF(D1999="","Cause manquante",IF(ISNA(MATCH(D1999,ca_name,0)),"Cause inconnue",IF(H1999="","Cause à compléter dans Paramètres",IF(OR(NOT(ISNUMBER(E1999)),N(E1999)&lt;=0,N(E1999)&gt;1440),"Durée invalide",IF(COUNTIFS(sj_date,A1999,sj_eq,B1999,sj_po,C1999)=0,"Pas de saisie journalière ce jour-là","OK")))))))))))</f>
        <v/>
      </c>
      <c r="J1999">
        <f>IF(OR(I1999="OK",I1999="Pas de saisie journalière ce jour-là"),E1999,0)</f>
        <v>0.0</v>
      </c>
      <c r="K1999">
        <f>IF(AND(J1999&gt;0,A1999&gt;=p_from,A1999&lt;=p_to),1,0)</f>
        <v>0.0</v>
      </c>
      <c r="L1999">
        <f>IF(AND(K1999=1,OR(pa_po="",C1999=pa_po),OR(pa_eq="",B1999=pa_eq)),1,0)</f>
        <v>0.0</v>
      </c>
    </row>
    <row r="2000">
      <c r="A2000" s="51" t="n"/>
      <c r="B2000" s="52" t="n"/>
      <c r="C2000" s="52" t="n"/>
      <c r="D2000" s="53" t="n"/>
      <c r="E2000" s="60" t="n"/>
      <c r="F2000" s="53" t="n"/>
      <c r="G2000" s="61" t="str">
        <f>IF(OR(COUNTA(A2000:E2000)=0,D2000=""),"",IFERROR(INDEX(ca_fam,MATCH(D2000,ca_name,0))&amp;"",""))</f>
        <v/>
      </c>
      <c r="H2000" s="58" t="str">
        <f>IF(OR(COUNTA(A2000:E2000)=0,D2000=""),"",IFERROR(INDEX(ca_type,MATCH(D2000,ca_name,0))&amp;"",""))</f>
        <v/>
      </c>
      <c r="I2000" s="58" t="str">
        <f>IF(COUNTA(A2000:E2000)=0,"",IF(N(A2000)&lt;=0,"Date manquante ou invalide",IF(B2000="","Équipe manquante",IF(ISNA(MATCH(B2000,eq_code,0)),"Équipe inconnue",IF(C2000="","Poste manquant",IF(ISNA(MATCH(C2000,po_code,0)),"Poste inconnu",IF(D2000="","Cause manquante",IF(ISNA(MATCH(D2000,ca_name,0)),"Cause inconnue",IF(H2000="","Cause à compléter dans Paramètres",IF(OR(NOT(ISNUMBER(E2000)),N(E2000)&lt;=0,N(E2000)&gt;1440),"Durée invalide",IF(COUNTIFS(sj_date,A2000,sj_eq,B2000,sj_po,C2000)=0,"Pas de saisie journalière ce jour-là","OK")))))))))))</f>
        <v/>
      </c>
      <c r="J2000">
        <f>IF(OR(I2000="OK",I2000="Pas de saisie journalière ce jour-là"),E2000,0)</f>
        <v>0.0</v>
      </c>
      <c r="K2000">
        <f>IF(AND(J2000&gt;0,A2000&gt;=p_from,A2000&lt;=p_to),1,0)</f>
        <v>0.0</v>
      </c>
      <c r="L2000">
        <f>IF(AND(K2000=1,OR(pa_po="",C2000=pa_po),OR(pa_eq="",B2000=pa_eq)),1,0)</f>
        <v>0.0</v>
      </c>
    </row>
    <row r="2001">
      <c r="A2001" s="51" t="n"/>
      <c r="B2001" s="52" t="n"/>
      <c r="C2001" s="52" t="n"/>
      <c r="D2001" s="53" t="n"/>
      <c r="E2001" s="60" t="n"/>
      <c r="F2001" s="53" t="n"/>
      <c r="G2001" s="61" t="str">
        <f>IF(OR(COUNTA(A2001:E2001)=0,D2001=""),"",IFERROR(INDEX(ca_fam,MATCH(D2001,ca_name,0))&amp;"",""))</f>
        <v/>
      </c>
      <c r="H2001" s="58" t="str">
        <f>IF(OR(COUNTA(A2001:E2001)=0,D2001=""),"",IFERROR(INDEX(ca_type,MATCH(D2001,ca_name,0))&amp;"",""))</f>
        <v/>
      </c>
      <c r="I2001" s="58" t="str">
        <f>IF(COUNTA(A2001:E2001)=0,"",IF(N(A2001)&lt;=0,"Date manquante ou invalide",IF(B2001="","Équipe manquante",IF(ISNA(MATCH(B2001,eq_code,0)),"Équipe inconnue",IF(C2001="","Poste manquant",IF(ISNA(MATCH(C2001,po_code,0)),"Poste inconnu",IF(D2001="","Cause manquante",IF(ISNA(MATCH(D2001,ca_name,0)),"Cause inconnue",IF(H2001="","Cause à compléter dans Paramètres",IF(OR(NOT(ISNUMBER(E2001)),N(E2001)&lt;=0,N(E2001)&gt;1440),"Durée invalide",IF(COUNTIFS(sj_date,A2001,sj_eq,B2001,sj_po,C2001)=0,"Pas de saisie journalière ce jour-là","OK")))))))))))</f>
        <v/>
      </c>
      <c r="J2001">
        <f>IF(OR(I2001="OK",I2001="Pas de saisie journalière ce jour-là"),E2001,0)</f>
        <v>0.0</v>
      </c>
      <c r="K2001">
        <f>IF(AND(J2001&gt;0,A2001&gt;=p_from,A2001&lt;=p_to),1,0)</f>
        <v>0.0</v>
      </c>
      <c r="L2001">
        <f>IF(AND(K2001=1,OR(pa_po="",C2001=pa_po),OR(pa_eq="",B2001=pa_eq)),1,0)</f>
        <v>0.0</v>
      </c>
    </row>
    <row r="2002">
      <c r="A2002" s="51" t="n"/>
      <c r="B2002" s="52" t="n"/>
      <c r="C2002" s="52" t="n"/>
      <c r="D2002" s="53" t="n"/>
      <c r="E2002" s="60" t="n"/>
      <c r="F2002" s="53" t="n"/>
      <c r="G2002" s="61" t="str">
        <f>IF(OR(COUNTA(A2002:E2002)=0,D2002=""),"",IFERROR(INDEX(ca_fam,MATCH(D2002,ca_name,0))&amp;"",""))</f>
        <v/>
      </c>
      <c r="H2002" s="58" t="str">
        <f>IF(OR(COUNTA(A2002:E2002)=0,D2002=""),"",IFERROR(INDEX(ca_type,MATCH(D2002,ca_name,0))&amp;"",""))</f>
        <v/>
      </c>
      <c r="I2002" s="58" t="str">
        <f>IF(COUNTA(A2002:E2002)=0,"",IF(N(A2002)&lt;=0,"Date manquante ou invalide",IF(B2002="","Équipe manquante",IF(ISNA(MATCH(B2002,eq_code,0)),"Équipe inconnue",IF(C2002="","Poste manquant",IF(ISNA(MATCH(C2002,po_code,0)),"Poste inconnu",IF(D2002="","Cause manquante",IF(ISNA(MATCH(D2002,ca_name,0)),"Cause inconnue",IF(H2002="","Cause à compléter dans Paramètres",IF(OR(NOT(ISNUMBER(E2002)),N(E2002)&lt;=0,N(E2002)&gt;1440),"Durée invalide",IF(COUNTIFS(sj_date,A2002,sj_eq,B2002,sj_po,C2002)=0,"Pas de saisie journalière ce jour-là","OK")))))))))))</f>
        <v/>
      </c>
      <c r="J2002">
        <f>IF(OR(I2002="OK",I2002="Pas de saisie journalière ce jour-là"),E2002,0)</f>
        <v>0.0</v>
      </c>
      <c r="K2002">
        <f>IF(AND(J2002&gt;0,A2002&gt;=p_from,A2002&lt;=p_to),1,0)</f>
        <v>0.0</v>
      </c>
      <c r="L2002">
        <f>IF(AND(K2002=1,OR(pa_po="",C2002=pa_po),OR(pa_eq="",B2002=pa_eq)),1,0)</f>
        <v>0.0</v>
      </c>
    </row>
    <row r="2003">
      <c r="A2003" s="51" t="n"/>
      <c r="B2003" s="52" t="n"/>
      <c r="C2003" s="52" t="n"/>
      <c r="D2003" s="53" t="n"/>
      <c r="E2003" s="60" t="n"/>
      <c r="F2003" s="53" t="n"/>
      <c r="G2003" s="61" t="str">
        <f>IF(OR(COUNTA(A2003:E2003)=0,D2003=""),"",IFERROR(INDEX(ca_fam,MATCH(D2003,ca_name,0))&amp;"",""))</f>
        <v/>
      </c>
      <c r="H2003" s="58" t="str">
        <f>IF(OR(COUNTA(A2003:E2003)=0,D2003=""),"",IFERROR(INDEX(ca_type,MATCH(D2003,ca_name,0))&amp;"",""))</f>
        <v/>
      </c>
      <c r="I2003" s="58" t="str">
        <f>IF(COUNTA(A2003:E2003)=0,"",IF(N(A2003)&lt;=0,"Date manquante ou invalide",IF(B2003="","Équipe manquante",IF(ISNA(MATCH(B2003,eq_code,0)),"Équipe inconnue",IF(C2003="","Poste manquant",IF(ISNA(MATCH(C2003,po_code,0)),"Poste inconnu",IF(D2003="","Cause manquante",IF(ISNA(MATCH(D2003,ca_name,0)),"Cause inconnue",IF(H2003="","Cause à compléter dans Paramètres",IF(OR(NOT(ISNUMBER(E2003)),N(E2003)&lt;=0,N(E2003)&gt;1440),"Durée invalide",IF(COUNTIFS(sj_date,A2003,sj_eq,B2003,sj_po,C2003)=0,"Pas de saisie journalière ce jour-là","OK")))))))))))</f>
        <v/>
      </c>
      <c r="J2003">
        <f>IF(OR(I2003="OK",I2003="Pas de saisie journalière ce jour-là"),E2003,0)</f>
        <v>0.0</v>
      </c>
      <c r="K2003">
        <f>IF(AND(J2003&gt;0,A2003&gt;=p_from,A2003&lt;=p_to),1,0)</f>
        <v>0.0</v>
      </c>
      <c r="L2003">
        <f>IF(AND(K2003=1,OR(pa_po="",C2003=pa_po),OR(pa_eq="",B2003=pa_eq)),1,0)</f>
        <v>0.0</v>
      </c>
    </row>
    <row r="2004">
      <c r="A2004" s="51" t="n"/>
      <c r="B2004" s="52" t="n"/>
      <c r="C2004" s="52" t="n"/>
      <c r="D2004" s="53" t="n"/>
      <c r="E2004" s="60" t="n"/>
      <c r="F2004" s="53" t="n"/>
      <c r="G2004" s="61" t="str">
        <f>IF(OR(COUNTA(A2004:E2004)=0,D2004=""),"",IFERROR(INDEX(ca_fam,MATCH(D2004,ca_name,0))&amp;"",""))</f>
        <v/>
      </c>
      <c r="H2004" s="58" t="str">
        <f>IF(OR(COUNTA(A2004:E2004)=0,D2004=""),"",IFERROR(INDEX(ca_type,MATCH(D2004,ca_name,0))&amp;"",""))</f>
        <v/>
      </c>
      <c r="I2004" s="58" t="str">
        <f>IF(COUNTA(A2004:E2004)=0,"",IF(N(A2004)&lt;=0,"Date manquante ou invalide",IF(B2004="","Équipe manquante",IF(ISNA(MATCH(B2004,eq_code,0)),"Équipe inconnue",IF(C2004="","Poste manquant",IF(ISNA(MATCH(C2004,po_code,0)),"Poste inconnu",IF(D2004="","Cause manquante",IF(ISNA(MATCH(D2004,ca_name,0)),"Cause inconnue",IF(H2004="","Cause à compléter dans Paramètres",IF(OR(NOT(ISNUMBER(E2004)),N(E2004)&lt;=0,N(E2004)&gt;1440),"Durée invalide",IF(COUNTIFS(sj_date,A2004,sj_eq,B2004,sj_po,C2004)=0,"Pas de saisie journalière ce jour-là","OK")))))))))))</f>
        <v/>
      </c>
      <c r="J2004">
        <f>IF(OR(I2004="OK",I2004="Pas de saisie journalière ce jour-là"),E2004,0)</f>
        <v>0.0</v>
      </c>
      <c r="K2004">
        <f>IF(AND(J2004&gt;0,A2004&gt;=p_from,A2004&lt;=p_to),1,0)</f>
        <v>0.0</v>
      </c>
      <c r="L2004">
        <f>IF(AND(K2004=1,OR(pa_po="",C2004=pa_po),OR(pa_eq="",B2004=pa_eq)),1,0)</f>
        <v>0.0</v>
      </c>
    </row>
    <row r="2005">
      <c r="A2005" s="51" t="n"/>
      <c r="B2005" s="52" t="n"/>
      <c r="C2005" s="52" t="n"/>
      <c r="D2005" s="53" t="n"/>
      <c r="E2005" s="60" t="n"/>
      <c r="F2005" s="53" t="n"/>
      <c r="G2005" s="61" t="str">
        <f>IF(OR(COUNTA(A2005:E2005)=0,D2005=""),"",IFERROR(INDEX(ca_fam,MATCH(D2005,ca_name,0))&amp;"",""))</f>
        <v/>
      </c>
      <c r="H2005" s="58" t="str">
        <f>IF(OR(COUNTA(A2005:E2005)=0,D2005=""),"",IFERROR(INDEX(ca_type,MATCH(D2005,ca_name,0))&amp;"",""))</f>
        <v/>
      </c>
      <c r="I2005" s="58" t="str">
        <f>IF(COUNTA(A2005:E2005)=0,"",IF(N(A2005)&lt;=0,"Date manquante ou invalide",IF(B2005="","Équipe manquante",IF(ISNA(MATCH(B2005,eq_code,0)),"Équipe inconnue",IF(C2005="","Poste manquant",IF(ISNA(MATCH(C2005,po_code,0)),"Poste inconnu",IF(D2005="","Cause manquante",IF(ISNA(MATCH(D2005,ca_name,0)),"Cause inconnue",IF(H2005="","Cause à compléter dans Paramètres",IF(OR(NOT(ISNUMBER(E2005)),N(E2005)&lt;=0,N(E2005)&gt;1440),"Durée invalide",IF(COUNTIFS(sj_date,A2005,sj_eq,B2005,sj_po,C2005)=0,"Pas de saisie journalière ce jour-là","OK")))))))))))</f>
        <v/>
      </c>
      <c r="J2005">
        <f>IF(OR(I2005="OK",I2005="Pas de saisie journalière ce jour-là"),E2005,0)</f>
        <v>0.0</v>
      </c>
      <c r="K2005">
        <f>IF(AND(J2005&gt;0,A2005&gt;=p_from,A2005&lt;=p_to),1,0)</f>
        <v>0.0</v>
      </c>
      <c r="L2005">
        <f>IF(AND(K2005=1,OR(pa_po="",C2005=pa_po),OR(pa_eq="",B2005=pa_eq)),1,0)</f>
        <v>0.0</v>
      </c>
    </row>
    <row r="2006">
      <c r="A2006" s="51" t="n"/>
      <c r="B2006" s="52" t="n"/>
      <c r="C2006" s="52" t="n"/>
      <c r="D2006" s="53" t="n"/>
      <c r="E2006" s="60" t="n"/>
      <c r="F2006" s="53" t="n"/>
      <c r="G2006" s="61" t="str">
        <f>IF(OR(COUNTA(A2006:E2006)=0,D2006=""),"",IFERROR(INDEX(ca_fam,MATCH(D2006,ca_name,0))&amp;"",""))</f>
        <v/>
      </c>
      <c r="H2006" s="58" t="str">
        <f>IF(OR(COUNTA(A2006:E2006)=0,D2006=""),"",IFERROR(INDEX(ca_type,MATCH(D2006,ca_name,0))&amp;"",""))</f>
        <v/>
      </c>
      <c r="I2006" s="58" t="str">
        <f>IF(COUNTA(A2006:E2006)=0,"",IF(N(A2006)&lt;=0,"Date manquante ou invalide",IF(B2006="","Équipe manquante",IF(ISNA(MATCH(B2006,eq_code,0)),"Équipe inconnue",IF(C2006="","Poste manquant",IF(ISNA(MATCH(C2006,po_code,0)),"Poste inconnu",IF(D2006="","Cause manquante",IF(ISNA(MATCH(D2006,ca_name,0)),"Cause inconnue",IF(H2006="","Cause à compléter dans Paramètres",IF(OR(NOT(ISNUMBER(E2006)),N(E2006)&lt;=0,N(E2006)&gt;1440),"Durée invalide",IF(COUNTIFS(sj_date,A2006,sj_eq,B2006,sj_po,C2006)=0,"Pas de saisie journalière ce jour-là","OK")))))))))))</f>
        <v/>
      </c>
      <c r="J2006">
        <f>IF(OR(I2006="OK",I2006="Pas de saisie journalière ce jour-là"),E2006,0)</f>
        <v>0.0</v>
      </c>
      <c r="K2006">
        <f>IF(AND(J2006&gt;0,A2006&gt;=p_from,A2006&lt;=p_to),1,0)</f>
        <v>0.0</v>
      </c>
      <c r="L2006">
        <f>IF(AND(K2006=1,OR(pa_po="",C2006=pa_po),OR(pa_eq="",B2006=pa_eq)),1,0)</f>
        <v>0.0</v>
      </c>
    </row>
    <row r="2007">
      <c r="A2007" s="51" t="n"/>
      <c r="B2007" s="52" t="n"/>
      <c r="C2007" s="52" t="n"/>
      <c r="D2007" s="53" t="n"/>
      <c r="E2007" s="60" t="n"/>
      <c r="F2007" s="53" t="n"/>
      <c r="G2007" s="61" t="str">
        <f>IF(OR(COUNTA(A2007:E2007)=0,D2007=""),"",IFERROR(INDEX(ca_fam,MATCH(D2007,ca_name,0))&amp;"",""))</f>
        <v/>
      </c>
      <c r="H2007" s="58" t="str">
        <f>IF(OR(COUNTA(A2007:E2007)=0,D2007=""),"",IFERROR(INDEX(ca_type,MATCH(D2007,ca_name,0))&amp;"",""))</f>
        <v/>
      </c>
      <c r="I2007" s="58" t="str">
        <f>IF(COUNTA(A2007:E2007)=0,"",IF(N(A2007)&lt;=0,"Date manquante ou invalide",IF(B2007="","Équipe manquante",IF(ISNA(MATCH(B2007,eq_code,0)),"Équipe inconnue",IF(C2007="","Poste manquant",IF(ISNA(MATCH(C2007,po_code,0)),"Poste inconnu",IF(D2007="","Cause manquante",IF(ISNA(MATCH(D2007,ca_name,0)),"Cause inconnue",IF(H2007="","Cause à compléter dans Paramètres",IF(OR(NOT(ISNUMBER(E2007)),N(E2007)&lt;=0,N(E2007)&gt;1440),"Durée invalide",IF(COUNTIFS(sj_date,A2007,sj_eq,B2007,sj_po,C2007)=0,"Pas de saisie journalière ce jour-là","OK")))))))))))</f>
        <v/>
      </c>
      <c r="J2007">
        <f>IF(OR(I2007="OK",I2007="Pas de saisie journalière ce jour-là"),E2007,0)</f>
        <v>0.0</v>
      </c>
      <c r="K2007">
        <f>IF(AND(J2007&gt;0,A2007&gt;=p_from,A2007&lt;=p_to),1,0)</f>
        <v>0.0</v>
      </c>
      <c r="L2007">
        <f>IF(AND(K2007=1,OR(pa_po="",C2007=pa_po),OR(pa_eq="",B2007=pa_eq)),1,0)</f>
        <v>0.0</v>
      </c>
    </row>
    <row r="2008">
      <c r="A2008" s="51" t="n"/>
      <c r="B2008" s="52" t="n"/>
      <c r="C2008" s="52" t="n"/>
      <c r="D2008" s="53" t="n"/>
      <c r="E2008" s="60" t="n"/>
      <c r="F2008" s="53" t="n"/>
      <c r="G2008" s="61" t="str">
        <f>IF(OR(COUNTA(A2008:E2008)=0,D2008=""),"",IFERROR(INDEX(ca_fam,MATCH(D2008,ca_name,0))&amp;"",""))</f>
        <v/>
      </c>
      <c r="H2008" s="58" t="str">
        <f>IF(OR(COUNTA(A2008:E2008)=0,D2008=""),"",IFERROR(INDEX(ca_type,MATCH(D2008,ca_name,0))&amp;"",""))</f>
        <v/>
      </c>
      <c r="I2008" s="58" t="str">
        <f>IF(COUNTA(A2008:E2008)=0,"",IF(N(A2008)&lt;=0,"Date manquante ou invalide",IF(B2008="","Équipe manquante",IF(ISNA(MATCH(B2008,eq_code,0)),"Équipe inconnue",IF(C2008="","Poste manquant",IF(ISNA(MATCH(C2008,po_code,0)),"Poste inconnu",IF(D2008="","Cause manquante",IF(ISNA(MATCH(D2008,ca_name,0)),"Cause inconnue",IF(H2008="","Cause à compléter dans Paramètres",IF(OR(NOT(ISNUMBER(E2008)),N(E2008)&lt;=0,N(E2008)&gt;1440),"Durée invalide",IF(COUNTIFS(sj_date,A2008,sj_eq,B2008,sj_po,C2008)=0,"Pas de saisie journalière ce jour-là","OK")))))))))))</f>
        <v/>
      </c>
      <c r="J2008">
        <f>IF(OR(I2008="OK",I2008="Pas de saisie journalière ce jour-là"),E2008,0)</f>
        <v>0.0</v>
      </c>
      <c r="K2008">
        <f>IF(AND(J2008&gt;0,A2008&gt;=p_from,A2008&lt;=p_to),1,0)</f>
        <v>0.0</v>
      </c>
      <c r="L2008">
        <f>IF(AND(K2008=1,OR(pa_po="",C2008=pa_po),OR(pa_eq="",B2008=pa_eq)),1,0)</f>
        <v>0.0</v>
      </c>
    </row>
    <row r="2009">
      <c r="A2009" s="51" t="n"/>
      <c r="B2009" s="52" t="n"/>
      <c r="C2009" s="52" t="n"/>
      <c r="D2009" s="53" t="n"/>
      <c r="E2009" s="60" t="n"/>
      <c r="F2009" s="53" t="n"/>
      <c r="G2009" s="61" t="str">
        <f>IF(OR(COUNTA(A2009:E2009)=0,D2009=""),"",IFERROR(INDEX(ca_fam,MATCH(D2009,ca_name,0))&amp;"",""))</f>
        <v/>
      </c>
      <c r="H2009" s="58" t="str">
        <f>IF(OR(COUNTA(A2009:E2009)=0,D2009=""),"",IFERROR(INDEX(ca_type,MATCH(D2009,ca_name,0))&amp;"",""))</f>
        <v/>
      </c>
      <c r="I2009" s="58" t="str">
        <f>IF(COUNTA(A2009:E2009)=0,"",IF(N(A2009)&lt;=0,"Date manquante ou invalide",IF(B2009="","Équipe manquante",IF(ISNA(MATCH(B2009,eq_code,0)),"Équipe inconnue",IF(C2009="","Poste manquant",IF(ISNA(MATCH(C2009,po_code,0)),"Poste inconnu",IF(D2009="","Cause manquante",IF(ISNA(MATCH(D2009,ca_name,0)),"Cause inconnue",IF(H2009="","Cause à compléter dans Paramètres",IF(OR(NOT(ISNUMBER(E2009)),N(E2009)&lt;=0,N(E2009)&gt;1440),"Durée invalide",IF(COUNTIFS(sj_date,A2009,sj_eq,B2009,sj_po,C2009)=0,"Pas de saisie journalière ce jour-là","OK")))))))))))</f>
        <v/>
      </c>
      <c r="J2009">
        <f>IF(OR(I2009="OK",I2009="Pas de saisie journalière ce jour-là"),E2009,0)</f>
        <v>0.0</v>
      </c>
      <c r="K2009">
        <f>IF(AND(J2009&gt;0,A2009&gt;=p_from,A2009&lt;=p_to),1,0)</f>
        <v>0.0</v>
      </c>
      <c r="L2009">
        <f>IF(AND(K2009=1,OR(pa_po="",C2009=pa_po),OR(pa_eq="",B2009=pa_eq)),1,0)</f>
        <v>0.0</v>
      </c>
    </row>
    <row r="2010">
      <c r="A2010" s="51" t="n"/>
      <c r="B2010" s="52" t="n"/>
      <c r="C2010" s="52" t="n"/>
      <c r="D2010" s="53" t="n"/>
      <c r="E2010" s="60" t="n"/>
      <c r="F2010" s="53" t="n"/>
      <c r="G2010" s="61" t="str">
        <f>IF(OR(COUNTA(A2010:E2010)=0,D2010=""),"",IFERROR(INDEX(ca_fam,MATCH(D2010,ca_name,0))&amp;"",""))</f>
        <v/>
      </c>
      <c r="H2010" s="58" t="str">
        <f>IF(OR(COUNTA(A2010:E2010)=0,D2010=""),"",IFERROR(INDEX(ca_type,MATCH(D2010,ca_name,0))&amp;"",""))</f>
        <v/>
      </c>
      <c r="I2010" s="58" t="str">
        <f>IF(COUNTA(A2010:E2010)=0,"",IF(N(A2010)&lt;=0,"Date manquante ou invalide",IF(B2010="","Équipe manquante",IF(ISNA(MATCH(B2010,eq_code,0)),"Équipe inconnue",IF(C2010="","Poste manquant",IF(ISNA(MATCH(C2010,po_code,0)),"Poste inconnu",IF(D2010="","Cause manquante",IF(ISNA(MATCH(D2010,ca_name,0)),"Cause inconnue",IF(H2010="","Cause à compléter dans Paramètres",IF(OR(NOT(ISNUMBER(E2010)),N(E2010)&lt;=0,N(E2010)&gt;1440),"Durée invalide",IF(COUNTIFS(sj_date,A2010,sj_eq,B2010,sj_po,C2010)=0,"Pas de saisie journalière ce jour-là","OK")))))))))))</f>
        <v/>
      </c>
      <c r="J2010">
        <f>IF(OR(I2010="OK",I2010="Pas de saisie journalière ce jour-là"),E2010,0)</f>
        <v>0.0</v>
      </c>
      <c r="K2010">
        <f>IF(AND(J2010&gt;0,A2010&gt;=p_from,A2010&lt;=p_to),1,0)</f>
        <v>0.0</v>
      </c>
      <c r="L2010">
        <f>IF(AND(K2010=1,OR(pa_po="",C2010=pa_po),OR(pa_eq="",B2010=pa_eq)),1,0)</f>
        <v>0.0</v>
      </c>
    </row>
    <row r="2011">
      <c r="A2011" s="51" t="n"/>
      <c r="B2011" s="52" t="n"/>
      <c r="C2011" s="52" t="n"/>
      <c r="D2011" s="53" t="n"/>
      <c r="E2011" s="60" t="n"/>
      <c r="F2011" s="53" t="n"/>
      <c r="G2011" s="61" t="str">
        <f>IF(OR(COUNTA(A2011:E2011)=0,D2011=""),"",IFERROR(INDEX(ca_fam,MATCH(D2011,ca_name,0))&amp;"",""))</f>
        <v/>
      </c>
      <c r="H2011" s="58" t="str">
        <f>IF(OR(COUNTA(A2011:E2011)=0,D2011=""),"",IFERROR(INDEX(ca_type,MATCH(D2011,ca_name,0))&amp;"",""))</f>
        <v/>
      </c>
      <c r="I2011" s="58" t="str">
        <f>IF(COUNTA(A2011:E2011)=0,"",IF(N(A2011)&lt;=0,"Date manquante ou invalide",IF(B2011="","Équipe manquante",IF(ISNA(MATCH(B2011,eq_code,0)),"Équipe inconnue",IF(C2011="","Poste manquant",IF(ISNA(MATCH(C2011,po_code,0)),"Poste inconnu",IF(D2011="","Cause manquante",IF(ISNA(MATCH(D2011,ca_name,0)),"Cause inconnue",IF(H2011="","Cause à compléter dans Paramètres",IF(OR(NOT(ISNUMBER(E2011)),N(E2011)&lt;=0,N(E2011)&gt;1440),"Durée invalide",IF(COUNTIFS(sj_date,A2011,sj_eq,B2011,sj_po,C2011)=0,"Pas de saisie journalière ce jour-là","OK")))))))))))</f>
        <v/>
      </c>
      <c r="J2011">
        <f>IF(OR(I2011="OK",I2011="Pas de saisie journalière ce jour-là"),E2011,0)</f>
        <v>0.0</v>
      </c>
      <c r="K2011">
        <f>IF(AND(J2011&gt;0,A2011&gt;=p_from,A2011&lt;=p_to),1,0)</f>
        <v>0.0</v>
      </c>
      <c r="L2011">
        <f>IF(AND(K2011=1,OR(pa_po="",C2011=pa_po),OR(pa_eq="",B2011=pa_eq)),1,0)</f>
        <v>0.0</v>
      </c>
    </row>
    <row r="2012">
      <c r="A2012" s="51" t="n"/>
      <c r="B2012" s="52" t="n"/>
      <c r="C2012" s="52" t="n"/>
      <c r="D2012" s="53" t="n"/>
      <c r="E2012" s="60" t="n"/>
      <c r="F2012" s="53" t="n"/>
      <c r="G2012" s="61" t="str">
        <f>IF(OR(COUNTA(A2012:E2012)=0,D2012=""),"",IFERROR(INDEX(ca_fam,MATCH(D2012,ca_name,0))&amp;"",""))</f>
        <v/>
      </c>
      <c r="H2012" s="58" t="str">
        <f>IF(OR(COUNTA(A2012:E2012)=0,D2012=""),"",IFERROR(INDEX(ca_type,MATCH(D2012,ca_name,0))&amp;"",""))</f>
        <v/>
      </c>
      <c r="I2012" s="58" t="str">
        <f>IF(COUNTA(A2012:E2012)=0,"",IF(N(A2012)&lt;=0,"Date manquante ou invalide",IF(B2012="","Équipe manquante",IF(ISNA(MATCH(B2012,eq_code,0)),"Équipe inconnue",IF(C2012="","Poste manquant",IF(ISNA(MATCH(C2012,po_code,0)),"Poste inconnu",IF(D2012="","Cause manquante",IF(ISNA(MATCH(D2012,ca_name,0)),"Cause inconnue",IF(H2012="","Cause à compléter dans Paramètres",IF(OR(NOT(ISNUMBER(E2012)),N(E2012)&lt;=0,N(E2012)&gt;1440),"Durée invalide",IF(COUNTIFS(sj_date,A2012,sj_eq,B2012,sj_po,C2012)=0,"Pas de saisie journalière ce jour-là","OK")))))))))))</f>
        <v/>
      </c>
      <c r="J2012">
        <f>IF(OR(I2012="OK",I2012="Pas de saisie journalière ce jour-là"),E2012,0)</f>
        <v>0.0</v>
      </c>
      <c r="K2012">
        <f>IF(AND(J2012&gt;0,A2012&gt;=p_from,A2012&lt;=p_to),1,0)</f>
        <v>0.0</v>
      </c>
      <c r="L2012">
        <f>IF(AND(K2012=1,OR(pa_po="",C2012=pa_po),OR(pa_eq="",B2012=pa_eq)),1,0)</f>
        <v>0.0</v>
      </c>
    </row>
    <row r="2013">
      <c r="A2013" s="51" t="n"/>
      <c r="B2013" s="52" t="n"/>
      <c r="C2013" s="52" t="n"/>
      <c r="D2013" s="53" t="n"/>
      <c r="E2013" s="60" t="n"/>
      <c r="F2013" s="53" t="n"/>
      <c r="G2013" s="61" t="str">
        <f>IF(OR(COUNTA(A2013:E2013)=0,D2013=""),"",IFERROR(INDEX(ca_fam,MATCH(D2013,ca_name,0))&amp;"",""))</f>
        <v/>
      </c>
      <c r="H2013" s="58" t="str">
        <f>IF(OR(COUNTA(A2013:E2013)=0,D2013=""),"",IFERROR(INDEX(ca_type,MATCH(D2013,ca_name,0))&amp;"",""))</f>
        <v/>
      </c>
      <c r="I2013" s="58" t="str">
        <f>IF(COUNTA(A2013:E2013)=0,"",IF(N(A2013)&lt;=0,"Date manquante ou invalide",IF(B2013="","Équipe manquante",IF(ISNA(MATCH(B2013,eq_code,0)),"Équipe inconnue",IF(C2013="","Poste manquant",IF(ISNA(MATCH(C2013,po_code,0)),"Poste inconnu",IF(D2013="","Cause manquante",IF(ISNA(MATCH(D2013,ca_name,0)),"Cause inconnue",IF(H2013="","Cause à compléter dans Paramètres",IF(OR(NOT(ISNUMBER(E2013)),N(E2013)&lt;=0,N(E2013)&gt;1440),"Durée invalide",IF(COUNTIFS(sj_date,A2013,sj_eq,B2013,sj_po,C2013)=0,"Pas de saisie journalière ce jour-là","OK")))))))))))</f>
        <v/>
      </c>
      <c r="J2013">
        <f>IF(OR(I2013="OK",I2013="Pas de saisie journalière ce jour-là"),E2013,0)</f>
        <v>0.0</v>
      </c>
      <c r="K2013">
        <f>IF(AND(J2013&gt;0,A2013&gt;=p_from,A2013&lt;=p_to),1,0)</f>
        <v>0.0</v>
      </c>
      <c r="L2013">
        <f>IF(AND(K2013=1,OR(pa_po="",C2013=pa_po),OR(pa_eq="",B2013=pa_eq)),1,0)</f>
        <v>0.0</v>
      </c>
    </row>
    <row r="2014">
      <c r="A2014" s="51" t="n"/>
      <c r="B2014" s="52" t="n"/>
      <c r="C2014" s="52" t="n"/>
      <c r="D2014" s="53" t="n"/>
      <c r="E2014" s="60" t="n"/>
      <c r="F2014" s="53" t="n"/>
      <c r="G2014" s="61" t="str">
        <f>IF(OR(COUNTA(A2014:E2014)=0,D2014=""),"",IFERROR(INDEX(ca_fam,MATCH(D2014,ca_name,0))&amp;"",""))</f>
        <v/>
      </c>
      <c r="H2014" s="58" t="str">
        <f>IF(OR(COUNTA(A2014:E2014)=0,D2014=""),"",IFERROR(INDEX(ca_type,MATCH(D2014,ca_name,0))&amp;"",""))</f>
        <v/>
      </c>
      <c r="I2014" s="58" t="str">
        <f>IF(COUNTA(A2014:E2014)=0,"",IF(N(A2014)&lt;=0,"Date manquante ou invalide",IF(B2014="","Équipe manquante",IF(ISNA(MATCH(B2014,eq_code,0)),"Équipe inconnue",IF(C2014="","Poste manquant",IF(ISNA(MATCH(C2014,po_code,0)),"Poste inconnu",IF(D2014="","Cause manquante",IF(ISNA(MATCH(D2014,ca_name,0)),"Cause inconnue",IF(H2014="","Cause à compléter dans Paramètres",IF(OR(NOT(ISNUMBER(E2014)),N(E2014)&lt;=0,N(E2014)&gt;1440),"Durée invalide",IF(COUNTIFS(sj_date,A2014,sj_eq,B2014,sj_po,C2014)=0,"Pas de saisie journalière ce jour-là","OK")))))))))))</f>
        <v/>
      </c>
      <c r="J2014">
        <f>IF(OR(I2014="OK",I2014="Pas de saisie journalière ce jour-là"),E2014,0)</f>
        <v>0.0</v>
      </c>
      <c r="K2014">
        <f>IF(AND(J2014&gt;0,A2014&gt;=p_from,A2014&lt;=p_to),1,0)</f>
        <v>0.0</v>
      </c>
      <c r="L2014">
        <f>IF(AND(K2014=1,OR(pa_po="",C2014=pa_po),OR(pa_eq="",B2014=pa_eq)),1,0)</f>
        <v>0.0</v>
      </c>
    </row>
    <row r="2015">
      <c r="A2015" s="51" t="n"/>
      <c r="B2015" s="52" t="n"/>
      <c r="C2015" s="52" t="n"/>
      <c r="D2015" s="53" t="n"/>
      <c r="E2015" s="60" t="n"/>
      <c r="F2015" s="53" t="n"/>
      <c r="G2015" s="61" t="str">
        <f>IF(OR(COUNTA(A2015:E2015)=0,D2015=""),"",IFERROR(INDEX(ca_fam,MATCH(D2015,ca_name,0))&amp;"",""))</f>
        <v/>
      </c>
      <c r="H2015" s="58" t="str">
        <f>IF(OR(COUNTA(A2015:E2015)=0,D2015=""),"",IFERROR(INDEX(ca_type,MATCH(D2015,ca_name,0))&amp;"",""))</f>
        <v/>
      </c>
      <c r="I2015" s="58" t="str">
        <f>IF(COUNTA(A2015:E2015)=0,"",IF(N(A2015)&lt;=0,"Date manquante ou invalide",IF(B2015="","Équipe manquante",IF(ISNA(MATCH(B2015,eq_code,0)),"Équipe inconnue",IF(C2015="","Poste manquant",IF(ISNA(MATCH(C2015,po_code,0)),"Poste inconnu",IF(D2015="","Cause manquante",IF(ISNA(MATCH(D2015,ca_name,0)),"Cause inconnue",IF(H2015="","Cause à compléter dans Paramètres",IF(OR(NOT(ISNUMBER(E2015)),N(E2015)&lt;=0,N(E2015)&gt;1440),"Durée invalide",IF(COUNTIFS(sj_date,A2015,sj_eq,B2015,sj_po,C2015)=0,"Pas de saisie journalière ce jour-là","OK")))))))))))</f>
        <v/>
      </c>
      <c r="J2015">
        <f>IF(OR(I2015="OK",I2015="Pas de saisie journalière ce jour-là"),E2015,0)</f>
        <v>0.0</v>
      </c>
      <c r="K2015">
        <f>IF(AND(J2015&gt;0,A2015&gt;=p_from,A2015&lt;=p_to),1,0)</f>
        <v>0.0</v>
      </c>
      <c r="L2015">
        <f>IF(AND(K2015=1,OR(pa_po="",C2015=pa_po),OR(pa_eq="",B2015=pa_eq)),1,0)</f>
        <v>0.0</v>
      </c>
    </row>
    <row r="2016">
      <c r="A2016" s="51" t="n"/>
      <c r="B2016" s="52" t="n"/>
      <c r="C2016" s="52" t="n"/>
      <c r="D2016" s="53" t="n"/>
      <c r="E2016" s="60" t="n"/>
      <c r="F2016" s="53" t="n"/>
      <c r="G2016" s="61" t="str">
        <f>IF(OR(COUNTA(A2016:E2016)=0,D2016=""),"",IFERROR(INDEX(ca_fam,MATCH(D2016,ca_name,0))&amp;"",""))</f>
        <v/>
      </c>
      <c r="H2016" s="58" t="str">
        <f>IF(OR(COUNTA(A2016:E2016)=0,D2016=""),"",IFERROR(INDEX(ca_type,MATCH(D2016,ca_name,0))&amp;"",""))</f>
        <v/>
      </c>
      <c r="I2016" s="58" t="str">
        <f>IF(COUNTA(A2016:E2016)=0,"",IF(N(A2016)&lt;=0,"Date manquante ou invalide",IF(B2016="","Équipe manquante",IF(ISNA(MATCH(B2016,eq_code,0)),"Équipe inconnue",IF(C2016="","Poste manquant",IF(ISNA(MATCH(C2016,po_code,0)),"Poste inconnu",IF(D2016="","Cause manquante",IF(ISNA(MATCH(D2016,ca_name,0)),"Cause inconnue",IF(H2016="","Cause à compléter dans Paramètres",IF(OR(NOT(ISNUMBER(E2016)),N(E2016)&lt;=0,N(E2016)&gt;1440),"Durée invalide",IF(COUNTIFS(sj_date,A2016,sj_eq,B2016,sj_po,C2016)=0,"Pas de saisie journalière ce jour-là","OK")))))))))))</f>
        <v/>
      </c>
      <c r="J2016">
        <f>IF(OR(I2016="OK",I2016="Pas de saisie journalière ce jour-là"),E2016,0)</f>
        <v>0.0</v>
      </c>
      <c r="K2016">
        <f>IF(AND(J2016&gt;0,A2016&gt;=p_from,A2016&lt;=p_to),1,0)</f>
        <v>0.0</v>
      </c>
      <c r="L2016">
        <f>IF(AND(K2016=1,OR(pa_po="",C2016=pa_po),OR(pa_eq="",B2016=pa_eq)),1,0)</f>
        <v>0.0</v>
      </c>
    </row>
    <row r="2017">
      <c r="A2017" s="51" t="n"/>
      <c r="B2017" s="52" t="n"/>
      <c r="C2017" s="52" t="n"/>
      <c r="D2017" s="53" t="n"/>
      <c r="E2017" s="60" t="n"/>
      <c r="F2017" s="53" t="n"/>
      <c r="G2017" s="61" t="str">
        <f>IF(OR(COUNTA(A2017:E2017)=0,D2017=""),"",IFERROR(INDEX(ca_fam,MATCH(D2017,ca_name,0))&amp;"",""))</f>
        <v/>
      </c>
      <c r="H2017" s="58" t="str">
        <f>IF(OR(COUNTA(A2017:E2017)=0,D2017=""),"",IFERROR(INDEX(ca_type,MATCH(D2017,ca_name,0))&amp;"",""))</f>
        <v/>
      </c>
      <c r="I2017" s="58" t="str">
        <f>IF(COUNTA(A2017:E2017)=0,"",IF(N(A2017)&lt;=0,"Date manquante ou invalide",IF(B2017="","Équipe manquante",IF(ISNA(MATCH(B2017,eq_code,0)),"Équipe inconnue",IF(C2017="","Poste manquant",IF(ISNA(MATCH(C2017,po_code,0)),"Poste inconnu",IF(D2017="","Cause manquante",IF(ISNA(MATCH(D2017,ca_name,0)),"Cause inconnue",IF(H2017="","Cause à compléter dans Paramètres",IF(OR(NOT(ISNUMBER(E2017)),N(E2017)&lt;=0,N(E2017)&gt;1440),"Durée invalide",IF(COUNTIFS(sj_date,A2017,sj_eq,B2017,sj_po,C2017)=0,"Pas de saisie journalière ce jour-là","OK")))))))))))</f>
        <v/>
      </c>
      <c r="J2017">
        <f>IF(OR(I2017="OK",I2017="Pas de saisie journalière ce jour-là"),E2017,0)</f>
        <v>0.0</v>
      </c>
      <c r="K2017">
        <f>IF(AND(J2017&gt;0,A2017&gt;=p_from,A2017&lt;=p_to),1,0)</f>
        <v>0.0</v>
      </c>
      <c r="L2017">
        <f>IF(AND(K2017=1,OR(pa_po="",C2017=pa_po),OR(pa_eq="",B2017=pa_eq)),1,0)</f>
        <v>0.0</v>
      </c>
    </row>
    <row r="2018">
      <c r="A2018" s="51" t="n"/>
      <c r="B2018" s="52" t="n"/>
      <c r="C2018" s="52" t="n"/>
      <c r="D2018" s="53" t="n"/>
      <c r="E2018" s="60" t="n"/>
      <c r="F2018" s="53" t="n"/>
      <c r="G2018" s="61" t="str">
        <f>IF(OR(COUNTA(A2018:E2018)=0,D2018=""),"",IFERROR(INDEX(ca_fam,MATCH(D2018,ca_name,0))&amp;"",""))</f>
        <v/>
      </c>
      <c r="H2018" s="58" t="str">
        <f>IF(OR(COUNTA(A2018:E2018)=0,D2018=""),"",IFERROR(INDEX(ca_type,MATCH(D2018,ca_name,0))&amp;"",""))</f>
        <v/>
      </c>
      <c r="I2018" s="58" t="str">
        <f>IF(COUNTA(A2018:E2018)=0,"",IF(N(A2018)&lt;=0,"Date manquante ou invalide",IF(B2018="","Équipe manquante",IF(ISNA(MATCH(B2018,eq_code,0)),"Équipe inconnue",IF(C2018="","Poste manquant",IF(ISNA(MATCH(C2018,po_code,0)),"Poste inconnu",IF(D2018="","Cause manquante",IF(ISNA(MATCH(D2018,ca_name,0)),"Cause inconnue",IF(H2018="","Cause à compléter dans Paramètres",IF(OR(NOT(ISNUMBER(E2018)),N(E2018)&lt;=0,N(E2018)&gt;1440),"Durée invalide",IF(COUNTIFS(sj_date,A2018,sj_eq,B2018,sj_po,C2018)=0,"Pas de saisie journalière ce jour-là","OK")))))))))))</f>
        <v/>
      </c>
      <c r="J2018">
        <f>IF(OR(I2018="OK",I2018="Pas de saisie journalière ce jour-là"),E2018,0)</f>
        <v>0.0</v>
      </c>
      <c r="K2018">
        <f>IF(AND(J2018&gt;0,A2018&gt;=p_from,A2018&lt;=p_to),1,0)</f>
        <v>0.0</v>
      </c>
      <c r="L2018">
        <f>IF(AND(K2018=1,OR(pa_po="",C2018=pa_po),OR(pa_eq="",B2018=pa_eq)),1,0)</f>
        <v>0.0</v>
      </c>
    </row>
    <row r="2019">
      <c r="A2019" s="51" t="n"/>
      <c r="B2019" s="52" t="n"/>
      <c r="C2019" s="52" t="n"/>
      <c r="D2019" s="53" t="n"/>
      <c r="E2019" s="60" t="n"/>
      <c r="F2019" s="53" t="n"/>
      <c r="G2019" s="61" t="str">
        <f>IF(OR(COUNTA(A2019:E2019)=0,D2019=""),"",IFERROR(INDEX(ca_fam,MATCH(D2019,ca_name,0))&amp;"",""))</f>
        <v/>
      </c>
      <c r="H2019" s="58" t="str">
        <f>IF(OR(COUNTA(A2019:E2019)=0,D2019=""),"",IFERROR(INDEX(ca_type,MATCH(D2019,ca_name,0))&amp;"",""))</f>
        <v/>
      </c>
      <c r="I2019" s="58" t="str">
        <f>IF(COUNTA(A2019:E2019)=0,"",IF(N(A2019)&lt;=0,"Date manquante ou invalide",IF(B2019="","Équipe manquante",IF(ISNA(MATCH(B2019,eq_code,0)),"Équipe inconnue",IF(C2019="","Poste manquant",IF(ISNA(MATCH(C2019,po_code,0)),"Poste inconnu",IF(D2019="","Cause manquante",IF(ISNA(MATCH(D2019,ca_name,0)),"Cause inconnue",IF(H2019="","Cause à compléter dans Paramètres",IF(OR(NOT(ISNUMBER(E2019)),N(E2019)&lt;=0,N(E2019)&gt;1440),"Durée invalide",IF(COUNTIFS(sj_date,A2019,sj_eq,B2019,sj_po,C2019)=0,"Pas de saisie journalière ce jour-là","OK")))))))))))</f>
        <v/>
      </c>
      <c r="J2019">
        <f>IF(OR(I2019="OK",I2019="Pas de saisie journalière ce jour-là"),E2019,0)</f>
        <v>0.0</v>
      </c>
      <c r="K2019">
        <f>IF(AND(J2019&gt;0,A2019&gt;=p_from,A2019&lt;=p_to),1,0)</f>
        <v>0.0</v>
      </c>
      <c r="L2019">
        <f>IF(AND(K2019=1,OR(pa_po="",C2019=pa_po),OR(pa_eq="",B2019=pa_eq)),1,0)</f>
        <v>0.0</v>
      </c>
    </row>
    <row r="2020">
      <c r="A2020" s="51" t="n"/>
      <c r="B2020" s="52" t="n"/>
      <c r="C2020" s="52" t="n"/>
      <c r="D2020" s="53" t="n"/>
      <c r="E2020" s="60" t="n"/>
      <c r="F2020" s="53" t="n"/>
      <c r="G2020" s="61" t="str">
        <f>IF(OR(COUNTA(A2020:E2020)=0,D2020=""),"",IFERROR(INDEX(ca_fam,MATCH(D2020,ca_name,0))&amp;"",""))</f>
        <v/>
      </c>
      <c r="H2020" s="58" t="str">
        <f>IF(OR(COUNTA(A2020:E2020)=0,D2020=""),"",IFERROR(INDEX(ca_type,MATCH(D2020,ca_name,0))&amp;"",""))</f>
        <v/>
      </c>
      <c r="I2020" s="58" t="str">
        <f>IF(COUNTA(A2020:E2020)=0,"",IF(N(A2020)&lt;=0,"Date manquante ou invalide",IF(B2020="","Équipe manquante",IF(ISNA(MATCH(B2020,eq_code,0)),"Équipe inconnue",IF(C2020="","Poste manquant",IF(ISNA(MATCH(C2020,po_code,0)),"Poste inconnu",IF(D2020="","Cause manquante",IF(ISNA(MATCH(D2020,ca_name,0)),"Cause inconnue",IF(H2020="","Cause à compléter dans Paramètres",IF(OR(NOT(ISNUMBER(E2020)),N(E2020)&lt;=0,N(E2020)&gt;1440),"Durée invalide",IF(COUNTIFS(sj_date,A2020,sj_eq,B2020,sj_po,C2020)=0,"Pas de saisie journalière ce jour-là","OK")))))))))))</f>
        <v/>
      </c>
      <c r="J2020">
        <f>IF(OR(I2020="OK",I2020="Pas de saisie journalière ce jour-là"),E2020,0)</f>
        <v>0.0</v>
      </c>
      <c r="K2020">
        <f>IF(AND(J2020&gt;0,A2020&gt;=p_from,A2020&lt;=p_to),1,0)</f>
        <v>0.0</v>
      </c>
      <c r="L2020">
        <f>IF(AND(K2020=1,OR(pa_po="",C2020=pa_po),OR(pa_eq="",B2020=pa_eq)),1,0)</f>
        <v>0.0</v>
      </c>
    </row>
    <row r="2021">
      <c r="A2021" s="51" t="n"/>
      <c r="B2021" s="52" t="n"/>
      <c r="C2021" s="52" t="n"/>
      <c r="D2021" s="53" t="n"/>
      <c r="E2021" s="60" t="n"/>
      <c r="F2021" s="53" t="n"/>
      <c r="G2021" s="61" t="str">
        <f>IF(OR(COUNTA(A2021:E2021)=0,D2021=""),"",IFERROR(INDEX(ca_fam,MATCH(D2021,ca_name,0))&amp;"",""))</f>
        <v/>
      </c>
      <c r="H2021" s="58" t="str">
        <f>IF(OR(COUNTA(A2021:E2021)=0,D2021=""),"",IFERROR(INDEX(ca_type,MATCH(D2021,ca_name,0))&amp;"",""))</f>
        <v/>
      </c>
      <c r="I2021" s="58" t="str">
        <f>IF(COUNTA(A2021:E2021)=0,"",IF(N(A2021)&lt;=0,"Date manquante ou invalide",IF(B2021="","Équipe manquante",IF(ISNA(MATCH(B2021,eq_code,0)),"Équipe inconnue",IF(C2021="","Poste manquant",IF(ISNA(MATCH(C2021,po_code,0)),"Poste inconnu",IF(D2021="","Cause manquante",IF(ISNA(MATCH(D2021,ca_name,0)),"Cause inconnue",IF(H2021="","Cause à compléter dans Paramètres",IF(OR(NOT(ISNUMBER(E2021)),N(E2021)&lt;=0,N(E2021)&gt;1440),"Durée invalide",IF(COUNTIFS(sj_date,A2021,sj_eq,B2021,sj_po,C2021)=0,"Pas de saisie journalière ce jour-là","OK")))))))))))</f>
        <v/>
      </c>
      <c r="J2021">
        <f>IF(OR(I2021="OK",I2021="Pas de saisie journalière ce jour-là"),E2021,0)</f>
        <v>0.0</v>
      </c>
      <c r="K2021">
        <f>IF(AND(J2021&gt;0,A2021&gt;=p_from,A2021&lt;=p_to),1,0)</f>
        <v>0.0</v>
      </c>
      <c r="L2021">
        <f>IF(AND(K2021=1,OR(pa_po="",C2021=pa_po),OR(pa_eq="",B2021=pa_eq)),1,0)</f>
        <v>0.0</v>
      </c>
    </row>
    <row r="2022">
      <c r="A2022" s="51" t="n"/>
      <c r="B2022" s="52" t="n"/>
      <c r="C2022" s="52" t="n"/>
      <c r="D2022" s="53" t="n"/>
      <c r="E2022" s="60" t="n"/>
      <c r="F2022" s="53" t="n"/>
      <c r="G2022" s="61" t="str">
        <f>IF(OR(COUNTA(A2022:E2022)=0,D2022=""),"",IFERROR(INDEX(ca_fam,MATCH(D2022,ca_name,0))&amp;"",""))</f>
        <v/>
      </c>
      <c r="H2022" s="58" t="str">
        <f>IF(OR(COUNTA(A2022:E2022)=0,D2022=""),"",IFERROR(INDEX(ca_type,MATCH(D2022,ca_name,0))&amp;"",""))</f>
        <v/>
      </c>
      <c r="I2022" s="58" t="str">
        <f>IF(COUNTA(A2022:E2022)=0,"",IF(N(A2022)&lt;=0,"Date manquante ou invalide",IF(B2022="","Équipe manquante",IF(ISNA(MATCH(B2022,eq_code,0)),"Équipe inconnue",IF(C2022="","Poste manquant",IF(ISNA(MATCH(C2022,po_code,0)),"Poste inconnu",IF(D2022="","Cause manquante",IF(ISNA(MATCH(D2022,ca_name,0)),"Cause inconnue",IF(H2022="","Cause à compléter dans Paramètres",IF(OR(NOT(ISNUMBER(E2022)),N(E2022)&lt;=0,N(E2022)&gt;1440),"Durée invalide",IF(COUNTIFS(sj_date,A2022,sj_eq,B2022,sj_po,C2022)=0,"Pas de saisie journalière ce jour-là","OK")))))))))))</f>
        <v/>
      </c>
      <c r="J2022">
        <f>IF(OR(I2022="OK",I2022="Pas de saisie journalière ce jour-là"),E2022,0)</f>
        <v>0.0</v>
      </c>
      <c r="K2022">
        <f>IF(AND(J2022&gt;0,A2022&gt;=p_from,A2022&lt;=p_to),1,0)</f>
        <v>0.0</v>
      </c>
      <c r="L2022">
        <f>IF(AND(K2022=1,OR(pa_po="",C2022=pa_po),OR(pa_eq="",B2022=pa_eq)),1,0)</f>
        <v>0.0</v>
      </c>
    </row>
    <row r="2023">
      <c r="A2023" s="51" t="n"/>
      <c r="B2023" s="52" t="n"/>
      <c r="C2023" s="52" t="n"/>
      <c r="D2023" s="53" t="n"/>
      <c r="E2023" s="60" t="n"/>
      <c r="F2023" s="53" t="n"/>
      <c r="G2023" s="61" t="str">
        <f>IF(OR(COUNTA(A2023:E2023)=0,D2023=""),"",IFERROR(INDEX(ca_fam,MATCH(D2023,ca_name,0))&amp;"",""))</f>
        <v/>
      </c>
      <c r="H2023" s="58" t="str">
        <f>IF(OR(COUNTA(A2023:E2023)=0,D2023=""),"",IFERROR(INDEX(ca_type,MATCH(D2023,ca_name,0))&amp;"",""))</f>
        <v/>
      </c>
      <c r="I2023" s="58" t="str">
        <f>IF(COUNTA(A2023:E2023)=0,"",IF(N(A2023)&lt;=0,"Date manquante ou invalide",IF(B2023="","Équipe manquante",IF(ISNA(MATCH(B2023,eq_code,0)),"Équipe inconnue",IF(C2023="","Poste manquant",IF(ISNA(MATCH(C2023,po_code,0)),"Poste inconnu",IF(D2023="","Cause manquante",IF(ISNA(MATCH(D2023,ca_name,0)),"Cause inconnue",IF(H2023="","Cause à compléter dans Paramètres",IF(OR(NOT(ISNUMBER(E2023)),N(E2023)&lt;=0,N(E2023)&gt;1440),"Durée invalide",IF(COUNTIFS(sj_date,A2023,sj_eq,B2023,sj_po,C2023)=0,"Pas de saisie journalière ce jour-là","OK")))))))))))</f>
        <v/>
      </c>
      <c r="J2023">
        <f>IF(OR(I2023="OK",I2023="Pas de saisie journalière ce jour-là"),E2023,0)</f>
        <v>0.0</v>
      </c>
      <c r="K2023">
        <f>IF(AND(J2023&gt;0,A2023&gt;=p_from,A2023&lt;=p_to),1,0)</f>
        <v>0.0</v>
      </c>
      <c r="L2023">
        <f>IF(AND(K2023=1,OR(pa_po="",C2023=pa_po),OR(pa_eq="",B2023=pa_eq)),1,0)</f>
        <v>0.0</v>
      </c>
    </row>
    <row r="2024">
      <c r="A2024" s="51" t="n"/>
      <c r="B2024" s="52" t="n"/>
      <c r="C2024" s="52" t="n"/>
      <c r="D2024" s="53" t="n"/>
      <c r="E2024" s="60" t="n"/>
      <c r="F2024" s="53" t="n"/>
      <c r="G2024" s="61" t="str">
        <f>IF(OR(COUNTA(A2024:E2024)=0,D2024=""),"",IFERROR(INDEX(ca_fam,MATCH(D2024,ca_name,0))&amp;"",""))</f>
        <v/>
      </c>
      <c r="H2024" s="58" t="str">
        <f>IF(OR(COUNTA(A2024:E2024)=0,D2024=""),"",IFERROR(INDEX(ca_type,MATCH(D2024,ca_name,0))&amp;"",""))</f>
        <v/>
      </c>
      <c r="I2024" s="58" t="str">
        <f>IF(COUNTA(A2024:E2024)=0,"",IF(N(A2024)&lt;=0,"Date manquante ou invalide",IF(B2024="","Équipe manquante",IF(ISNA(MATCH(B2024,eq_code,0)),"Équipe inconnue",IF(C2024="","Poste manquant",IF(ISNA(MATCH(C2024,po_code,0)),"Poste inconnu",IF(D2024="","Cause manquante",IF(ISNA(MATCH(D2024,ca_name,0)),"Cause inconnue",IF(H2024="","Cause à compléter dans Paramètres",IF(OR(NOT(ISNUMBER(E2024)),N(E2024)&lt;=0,N(E2024)&gt;1440),"Durée invalide",IF(COUNTIFS(sj_date,A2024,sj_eq,B2024,sj_po,C2024)=0,"Pas de saisie journalière ce jour-là","OK")))))))))))</f>
        <v/>
      </c>
      <c r="J2024">
        <f>IF(OR(I2024="OK",I2024="Pas de saisie journalière ce jour-là"),E2024,0)</f>
        <v>0.0</v>
      </c>
      <c r="K2024">
        <f>IF(AND(J2024&gt;0,A2024&gt;=p_from,A2024&lt;=p_to),1,0)</f>
        <v>0.0</v>
      </c>
      <c r="L2024">
        <f>IF(AND(K2024=1,OR(pa_po="",C2024=pa_po),OR(pa_eq="",B2024=pa_eq)),1,0)</f>
        <v>0.0</v>
      </c>
    </row>
    <row r="2025">
      <c r="A2025" s="51" t="n"/>
      <c r="B2025" s="52" t="n"/>
      <c r="C2025" s="52" t="n"/>
      <c r="D2025" s="53" t="n"/>
      <c r="E2025" s="60" t="n"/>
      <c r="F2025" s="53" t="n"/>
      <c r="G2025" s="61" t="str">
        <f>IF(OR(COUNTA(A2025:E2025)=0,D2025=""),"",IFERROR(INDEX(ca_fam,MATCH(D2025,ca_name,0))&amp;"",""))</f>
        <v/>
      </c>
      <c r="H2025" s="58" t="str">
        <f>IF(OR(COUNTA(A2025:E2025)=0,D2025=""),"",IFERROR(INDEX(ca_type,MATCH(D2025,ca_name,0))&amp;"",""))</f>
        <v/>
      </c>
      <c r="I2025" s="58" t="str">
        <f>IF(COUNTA(A2025:E2025)=0,"",IF(N(A2025)&lt;=0,"Date manquante ou invalide",IF(B2025="","Équipe manquante",IF(ISNA(MATCH(B2025,eq_code,0)),"Équipe inconnue",IF(C2025="","Poste manquant",IF(ISNA(MATCH(C2025,po_code,0)),"Poste inconnu",IF(D2025="","Cause manquante",IF(ISNA(MATCH(D2025,ca_name,0)),"Cause inconnue",IF(H2025="","Cause à compléter dans Paramètres",IF(OR(NOT(ISNUMBER(E2025)),N(E2025)&lt;=0,N(E2025)&gt;1440),"Durée invalide",IF(COUNTIFS(sj_date,A2025,sj_eq,B2025,sj_po,C2025)=0,"Pas de saisie journalière ce jour-là","OK")))))))))))</f>
        <v/>
      </c>
      <c r="J2025">
        <f>IF(OR(I2025="OK",I2025="Pas de saisie journalière ce jour-là"),E2025,0)</f>
        <v>0.0</v>
      </c>
      <c r="K2025">
        <f>IF(AND(J2025&gt;0,A2025&gt;=p_from,A2025&lt;=p_to),1,0)</f>
        <v>0.0</v>
      </c>
      <c r="L2025">
        <f>IF(AND(K2025=1,OR(pa_po="",C2025=pa_po),OR(pa_eq="",B2025=pa_eq)),1,0)</f>
        <v>0.0</v>
      </c>
    </row>
    <row r="2026">
      <c r="A2026" s="51" t="n"/>
      <c r="B2026" s="52" t="n"/>
      <c r="C2026" s="52" t="n"/>
      <c r="D2026" s="53" t="n"/>
      <c r="E2026" s="60" t="n"/>
      <c r="F2026" s="53" t="n"/>
      <c r="G2026" s="61" t="str">
        <f>IF(OR(COUNTA(A2026:E2026)=0,D2026=""),"",IFERROR(INDEX(ca_fam,MATCH(D2026,ca_name,0))&amp;"",""))</f>
        <v/>
      </c>
      <c r="H2026" s="58" t="str">
        <f>IF(OR(COUNTA(A2026:E2026)=0,D2026=""),"",IFERROR(INDEX(ca_type,MATCH(D2026,ca_name,0))&amp;"",""))</f>
        <v/>
      </c>
      <c r="I2026" s="58" t="str">
        <f>IF(COUNTA(A2026:E2026)=0,"",IF(N(A2026)&lt;=0,"Date manquante ou invalide",IF(B2026="","Équipe manquante",IF(ISNA(MATCH(B2026,eq_code,0)),"Équipe inconnue",IF(C2026="","Poste manquant",IF(ISNA(MATCH(C2026,po_code,0)),"Poste inconnu",IF(D2026="","Cause manquante",IF(ISNA(MATCH(D2026,ca_name,0)),"Cause inconnue",IF(H2026="","Cause à compléter dans Paramètres",IF(OR(NOT(ISNUMBER(E2026)),N(E2026)&lt;=0,N(E2026)&gt;1440),"Durée invalide",IF(COUNTIFS(sj_date,A2026,sj_eq,B2026,sj_po,C2026)=0,"Pas de saisie journalière ce jour-là","OK")))))))))))</f>
        <v/>
      </c>
      <c r="J2026">
        <f>IF(OR(I2026="OK",I2026="Pas de saisie journalière ce jour-là"),E2026,0)</f>
        <v>0.0</v>
      </c>
      <c r="K2026">
        <f>IF(AND(J2026&gt;0,A2026&gt;=p_from,A2026&lt;=p_to),1,0)</f>
        <v>0.0</v>
      </c>
      <c r="L2026">
        <f>IF(AND(K2026=1,OR(pa_po="",C2026=pa_po),OR(pa_eq="",B2026=pa_eq)),1,0)</f>
        <v>0.0</v>
      </c>
    </row>
    <row r="2027">
      <c r="A2027" s="51" t="n"/>
      <c r="B2027" s="52" t="n"/>
      <c r="C2027" s="52" t="n"/>
      <c r="D2027" s="53" t="n"/>
      <c r="E2027" s="60" t="n"/>
      <c r="F2027" s="53" t="n"/>
      <c r="G2027" s="61" t="str">
        <f>IF(OR(COUNTA(A2027:E2027)=0,D2027=""),"",IFERROR(INDEX(ca_fam,MATCH(D2027,ca_name,0))&amp;"",""))</f>
        <v/>
      </c>
      <c r="H2027" s="58" t="str">
        <f>IF(OR(COUNTA(A2027:E2027)=0,D2027=""),"",IFERROR(INDEX(ca_type,MATCH(D2027,ca_name,0))&amp;"",""))</f>
        <v/>
      </c>
      <c r="I2027" s="58" t="str">
        <f>IF(COUNTA(A2027:E2027)=0,"",IF(N(A2027)&lt;=0,"Date manquante ou invalide",IF(B2027="","Équipe manquante",IF(ISNA(MATCH(B2027,eq_code,0)),"Équipe inconnue",IF(C2027="","Poste manquant",IF(ISNA(MATCH(C2027,po_code,0)),"Poste inconnu",IF(D2027="","Cause manquante",IF(ISNA(MATCH(D2027,ca_name,0)),"Cause inconnue",IF(H2027="","Cause à compléter dans Paramètres",IF(OR(NOT(ISNUMBER(E2027)),N(E2027)&lt;=0,N(E2027)&gt;1440),"Durée invalide",IF(COUNTIFS(sj_date,A2027,sj_eq,B2027,sj_po,C2027)=0,"Pas de saisie journalière ce jour-là","OK")))))))))))</f>
        <v/>
      </c>
      <c r="J2027">
        <f>IF(OR(I2027="OK",I2027="Pas de saisie journalière ce jour-là"),E2027,0)</f>
        <v>0.0</v>
      </c>
      <c r="K2027">
        <f>IF(AND(J2027&gt;0,A2027&gt;=p_from,A2027&lt;=p_to),1,0)</f>
        <v>0.0</v>
      </c>
      <c r="L2027">
        <f>IF(AND(K2027=1,OR(pa_po="",C2027=pa_po),OR(pa_eq="",B2027=pa_eq)),1,0)</f>
        <v>0.0</v>
      </c>
    </row>
    <row r="2028">
      <c r="A2028" s="51" t="n"/>
      <c r="B2028" s="52" t="n"/>
      <c r="C2028" s="52" t="n"/>
      <c r="D2028" s="53" t="n"/>
      <c r="E2028" s="60" t="n"/>
      <c r="F2028" s="53" t="n"/>
      <c r="G2028" s="61" t="str">
        <f>IF(OR(COUNTA(A2028:E2028)=0,D2028=""),"",IFERROR(INDEX(ca_fam,MATCH(D2028,ca_name,0))&amp;"",""))</f>
        <v/>
      </c>
      <c r="H2028" s="58" t="str">
        <f>IF(OR(COUNTA(A2028:E2028)=0,D2028=""),"",IFERROR(INDEX(ca_type,MATCH(D2028,ca_name,0))&amp;"",""))</f>
        <v/>
      </c>
      <c r="I2028" s="58" t="str">
        <f>IF(COUNTA(A2028:E2028)=0,"",IF(N(A2028)&lt;=0,"Date manquante ou invalide",IF(B2028="","Équipe manquante",IF(ISNA(MATCH(B2028,eq_code,0)),"Équipe inconnue",IF(C2028="","Poste manquant",IF(ISNA(MATCH(C2028,po_code,0)),"Poste inconnu",IF(D2028="","Cause manquante",IF(ISNA(MATCH(D2028,ca_name,0)),"Cause inconnue",IF(H2028="","Cause à compléter dans Paramètres",IF(OR(NOT(ISNUMBER(E2028)),N(E2028)&lt;=0,N(E2028)&gt;1440),"Durée invalide",IF(COUNTIFS(sj_date,A2028,sj_eq,B2028,sj_po,C2028)=0,"Pas de saisie journalière ce jour-là","OK")))))))))))</f>
        <v/>
      </c>
      <c r="J2028">
        <f>IF(OR(I2028="OK",I2028="Pas de saisie journalière ce jour-là"),E2028,0)</f>
        <v>0.0</v>
      </c>
      <c r="K2028">
        <f>IF(AND(J2028&gt;0,A2028&gt;=p_from,A2028&lt;=p_to),1,0)</f>
        <v>0.0</v>
      </c>
      <c r="L2028">
        <f>IF(AND(K2028=1,OR(pa_po="",C2028=pa_po),OR(pa_eq="",B2028=pa_eq)),1,0)</f>
        <v>0.0</v>
      </c>
    </row>
    <row r="2029">
      <c r="A2029" s="51" t="n"/>
      <c r="B2029" s="52" t="n"/>
      <c r="C2029" s="52" t="n"/>
      <c r="D2029" s="53" t="n"/>
      <c r="E2029" s="60" t="n"/>
      <c r="F2029" s="53" t="n"/>
      <c r="G2029" s="61" t="str">
        <f>IF(OR(COUNTA(A2029:E2029)=0,D2029=""),"",IFERROR(INDEX(ca_fam,MATCH(D2029,ca_name,0))&amp;"",""))</f>
        <v/>
      </c>
      <c r="H2029" s="58" t="str">
        <f>IF(OR(COUNTA(A2029:E2029)=0,D2029=""),"",IFERROR(INDEX(ca_type,MATCH(D2029,ca_name,0))&amp;"",""))</f>
        <v/>
      </c>
      <c r="I2029" s="58" t="str">
        <f>IF(COUNTA(A2029:E2029)=0,"",IF(N(A2029)&lt;=0,"Date manquante ou invalide",IF(B2029="","Équipe manquante",IF(ISNA(MATCH(B2029,eq_code,0)),"Équipe inconnue",IF(C2029="","Poste manquant",IF(ISNA(MATCH(C2029,po_code,0)),"Poste inconnu",IF(D2029="","Cause manquante",IF(ISNA(MATCH(D2029,ca_name,0)),"Cause inconnue",IF(H2029="","Cause à compléter dans Paramètres",IF(OR(NOT(ISNUMBER(E2029)),N(E2029)&lt;=0,N(E2029)&gt;1440),"Durée invalide",IF(COUNTIFS(sj_date,A2029,sj_eq,B2029,sj_po,C2029)=0,"Pas de saisie journalière ce jour-là","OK")))))))))))</f>
        <v/>
      </c>
      <c r="J2029">
        <f>IF(OR(I2029="OK",I2029="Pas de saisie journalière ce jour-là"),E2029,0)</f>
        <v>0.0</v>
      </c>
      <c r="K2029">
        <f>IF(AND(J2029&gt;0,A2029&gt;=p_from,A2029&lt;=p_to),1,0)</f>
        <v>0.0</v>
      </c>
      <c r="L2029">
        <f>IF(AND(K2029=1,OR(pa_po="",C2029=pa_po),OR(pa_eq="",B2029=pa_eq)),1,0)</f>
        <v>0.0</v>
      </c>
    </row>
    <row r="2030">
      <c r="A2030" s="51" t="n"/>
      <c r="B2030" s="52" t="n"/>
      <c r="C2030" s="52" t="n"/>
      <c r="D2030" s="53" t="n"/>
      <c r="E2030" s="60" t="n"/>
      <c r="F2030" s="53" t="n"/>
      <c r="G2030" s="61" t="str">
        <f>IF(OR(COUNTA(A2030:E2030)=0,D2030=""),"",IFERROR(INDEX(ca_fam,MATCH(D2030,ca_name,0))&amp;"",""))</f>
        <v/>
      </c>
      <c r="H2030" s="58" t="str">
        <f>IF(OR(COUNTA(A2030:E2030)=0,D2030=""),"",IFERROR(INDEX(ca_type,MATCH(D2030,ca_name,0))&amp;"",""))</f>
        <v/>
      </c>
      <c r="I2030" s="58" t="str">
        <f>IF(COUNTA(A2030:E2030)=0,"",IF(N(A2030)&lt;=0,"Date manquante ou invalide",IF(B2030="","Équipe manquante",IF(ISNA(MATCH(B2030,eq_code,0)),"Équipe inconnue",IF(C2030="","Poste manquant",IF(ISNA(MATCH(C2030,po_code,0)),"Poste inconnu",IF(D2030="","Cause manquante",IF(ISNA(MATCH(D2030,ca_name,0)),"Cause inconnue",IF(H2030="","Cause à compléter dans Paramètres",IF(OR(NOT(ISNUMBER(E2030)),N(E2030)&lt;=0,N(E2030)&gt;1440),"Durée invalide",IF(COUNTIFS(sj_date,A2030,sj_eq,B2030,sj_po,C2030)=0,"Pas de saisie journalière ce jour-là","OK")))))))))))</f>
        <v/>
      </c>
      <c r="J2030">
        <f>IF(OR(I2030="OK",I2030="Pas de saisie journalière ce jour-là"),E2030,0)</f>
        <v>0.0</v>
      </c>
      <c r="K2030">
        <f>IF(AND(J2030&gt;0,A2030&gt;=p_from,A2030&lt;=p_to),1,0)</f>
        <v>0.0</v>
      </c>
      <c r="L2030">
        <f>IF(AND(K2030=1,OR(pa_po="",C2030=pa_po),OR(pa_eq="",B2030=pa_eq)),1,0)</f>
        <v>0.0</v>
      </c>
    </row>
    <row r="2031">
      <c r="A2031" s="51" t="n"/>
      <c r="B2031" s="52" t="n"/>
      <c r="C2031" s="52" t="n"/>
      <c r="D2031" s="53" t="n"/>
      <c r="E2031" s="60" t="n"/>
      <c r="F2031" s="53" t="n"/>
      <c r="G2031" s="61" t="str">
        <f>IF(OR(COUNTA(A2031:E2031)=0,D2031=""),"",IFERROR(INDEX(ca_fam,MATCH(D2031,ca_name,0))&amp;"",""))</f>
        <v/>
      </c>
      <c r="H2031" s="58" t="str">
        <f>IF(OR(COUNTA(A2031:E2031)=0,D2031=""),"",IFERROR(INDEX(ca_type,MATCH(D2031,ca_name,0))&amp;"",""))</f>
        <v/>
      </c>
      <c r="I2031" s="58" t="str">
        <f>IF(COUNTA(A2031:E2031)=0,"",IF(N(A2031)&lt;=0,"Date manquante ou invalide",IF(B2031="","Équipe manquante",IF(ISNA(MATCH(B2031,eq_code,0)),"Équipe inconnue",IF(C2031="","Poste manquant",IF(ISNA(MATCH(C2031,po_code,0)),"Poste inconnu",IF(D2031="","Cause manquante",IF(ISNA(MATCH(D2031,ca_name,0)),"Cause inconnue",IF(H2031="","Cause à compléter dans Paramètres",IF(OR(NOT(ISNUMBER(E2031)),N(E2031)&lt;=0,N(E2031)&gt;1440),"Durée invalide",IF(COUNTIFS(sj_date,A2031,sj_eq,B2031,sj_po,C2031)=0,"Pas de saisie journalière ce jour-là","OK")))))))))))</f>
        <v/>
      </c>
      <c r="J2031">
        <f>IF(OR(I2031="OK",I2031="Pas de saisie journalière ce jour-là"),E2031,0)</f>
        <v>0.0</v>
      </c>
      <c r="K2031">
        <f>IF(AND(J2031&gt;0,A2031&gt;=p_from,A2031&lt;=p_to),1,0)</f>
        <v>0.0</v>
      </c>
      <c r="L2031">
        <f>IF(AND(K2031=1,OR(pa_po="",C2031=pa_po),OR(pa_eq="",B2031=pa_eq)),1,0)</f>
        <v>0.0</v>
      </c>
    </row>
    <row r="2032">
      <c r="A2032" s="51" t="n"/>
      <c r="B2032" s="52" t="n"/>
      <c r="C2032" s="52" t="n"/>
      <c r="D2032" s="53" t="n"/>
      <c r="E2032" s="60" t="n"/>
      <c r="F2032" s="53" t="n"/>
      <c r="G2032" s="61" t="str">
        <f>IF(OR(COUNTA(A2032:E2032)=0,D2032=""),"",IFERROR(INDEX(ca_fam,MATCH(D2032,ca_name,0))&amp;"",""))</f>
        <v/>
      </c>
      <c r="H2032" s="58" t="str">
        <f>IF(OR(COUNTA(A2032:E2032)=0,D2032=""),"",IFERROR(INDEX(ca_type,MATCH(D2032,ca_name,0))&amp;"",""))</f>
        <v/>
      </c>
      <c r="I2032" s="58" t="str">
        <f>IF(COUNTA(A2032:E2032)=0,"",IF(N(A2032)&lt;=0,"Date manquante ou invalide",IF(B2032="","Équipe manquante",IF(ISNA(MATCH(B2032,eq_code,0)),"Équipe inconnue",IF(C2032="","Poste manquant",IF(ISNA(MATCH(C2032,po_code,0)),"Poste inconnu",IF(D2032="","Cause manquante",IF(ISNA(MATCH(D2032,ca_name,0)),"Cause inconnue",IF(H2032="","Cause à compléter dans Paramètres",IF(OR(NOT(ISNUMBER(E2032)),N(E2032)&lt;=0,N(E2032)&gt;1440),"Durée invalide",IF(COUNTIFS(sj_date,A2032,sj_eq,B2032,sj_po,C2032)=0,"Pas de saisie journalière ce jour-là","OK")))))))))))</f>
        <v/>
      </c>
      <c r="J2032">
        <f>IF(OR(I2032="OK",I2032="Pas de saisie journalière ce jour-là"),E2032,0)</f>
        <v>0.0</v>
      </c>
      <c r="K2032">
        <f>IF(AND(J2032&gt;0,A2032&gt;=p_from,A2032&lt;=p_to),1,0)</f>
        <v>0.0</v>
      </c>
      <c r="L2032">
        <f>IF(AND(K2032=1,OR(pa_po="",C2032=pa_po),OR(pa_eq="",B2032=pa_eq)),1,0)</f>
        <v>0.0</v>
      </c>
    </row>
    <row r="2033">
      <c r="A2033" s="51" t="n"/>
      <c r="B2033" s="52" t="n"/>
      <c r="C2033" s="52" t="n"/>
      <c r="D2033" s="53" t="n"/>
      <c r="E2033" s="60" t="n"/>
      <c r="F2033" s="53" t="n"/>
      <c r="G2033" s="61" t="str">
        <f>IF(OR(COUNTA(A2033:E2033)=0,D2033=""),"",IFERROR(INDEX(ca_fam,MATCH(D2033,ca_name,0))&amp;"",""))</f>
        <v/>
      </c>
      <c r="H2033" s="58" t="str">
        <f>IF(OR(COUNTA(A2033:E2033)=0,D2033=""),"",IFERROR(INDEX(ca_type,MATCH(D2033,ca_name,0))&amp;"",""))</f>
        <v/>
      </c>
      <c r="I2033" s="58" t="str">
        <f>IF(COUNTA(A2033:E2033)=0,"",IF(N(A2033)&lt;=0,"Date manquante ou invalide",IF(B2033="","Équipe manquante",IF(ISNA(MATCH(B2033,eq_code,0)),"Équipe inconnue",IF(C2033="","Poste manquant",IF(ISNA(MATCH(C2033,po_code,0)),"Poste inconnu",IF(D2033="","Cause manquante",IF(ISNA(MATCH(D2033,ca_name,0)),"Cause inconnue",IF(H2033="","Cause à compléter dans Paramètres",IF(OR(NOT(ISNUMBER(E2033)),N(E2033)&lt;=0,N(E2033)&gt;1440),"Durée invalide",IF(COUNTIFS(sj_date,A2033,sj_eq,B2033,sj_po,C2033)=0,"Pas de saisie journalière ce jour-là","OK")))))))))))</f>
        <v/>
      </c>
      <c r="J2033">
        <f>IF(OR(I2033="OK",I2033="Pas de saisie journalière ce jour-là"),E2033,0)</f>
        <v>0.0</v>
      </c>
      <c r="K2033">
        <f>IF(AND(J2033&gt;0,A2033&gt;=p_from,A2033&lt;=p_to),1,0)</f>
        <v>0.0</v>
      </c>
      <c r="L2033">
        <f>IF(AND(K2033=1,OR(pa_po="",C2033=pa_po),OR(pa_eq="",B2033=pa_eq)),1,0)</f>
        <v>0.0</v>
      </c>
    </row>
    <row r="2034">
      <c r="A2034" s="51" t="n"/>
      <c r="B2034" s="52" t="n"/>
      <c r="C2034" s="52" t="n"/>
      <c r="D2034" s="53" t="n"/>
      <c r="E2034" s="60" t="n"/>
      <c r="F2034" s="53" t="n"/>
      <c r="G2034" s="61" t="str">
        <f>IF(OR(COUNTA(A2034:E2034)=0,D2034=""),"",IFERROR(INDEX(ca_fam,MATCH(D2034,ca_name,0))&amp;"",""))</f>
        <v/>
      </c>
      <c r="H2034" s="58" t="str">
        <f>IF(OR(COUNTA(A2034:E2034)=0,D2034=""),"",IFERROR(INDEX(ca_type,MATCH(D2034,ca_name,0))&amp;"",""))</f>
        <v/>
      </c>
      <c r="I2034" s="58" t="str">
        <f>IF(COUNTA(A2034:E2034)=0,"",IF(N(A2034)&lt;=0,"Date manquante ou invalide",IF(B2034="","Équipe manquante",IF(ISNA(MATCH(B2034,eq_code,0)),"Équipe inconnue",IF(C2034="","Poste manquant",IF(ISNA(MATCH(C2034,po_code,0)),"Poste inconnu",IF(D2034="","Cause manquante",IF(ISNA(MATCH(D2034,ca_name,0)),"Cause inconnue",IF(H2034="","Cause à compléter dans Paramètres",IF(OR(NOT(ISNUMBER(E2034)),N(E2034)&lt;=0,N(E2034)&gt;1440),"Durée invalide",IF(COUNTIFS(sj_date,A2034,sj_eq,B2034,sj_po,C2034)=0,"Pas de saisie journalière ce jour-là","OK")))))))))))</f>
        <v/>
      </c>
      <c r="J2034">
        <f>IF(OR(I2034="OK",I2034="Pas de saisie journalière ce jour-là"),E2034,0)</f>
        <v>0.0</v>
      </c>
      <c r="K2034">
        <f>IF(AND(J2034&gt;0,A2034&gt;=p_from,A2034&lt;=p_to),1,0)</f>
        <v>0.0</v>
      </c>
      <c r="L2034">
        <f>IF(AND(K2034=1,OR(pa_po="",C2034=pa_po),OR(pa_eq="",B2034=pa_eq)),1,0)</f>
        <v>0.0</v>
      </c>
    </row>
    <row r="2035">
      <c r="A2035" s="51" t="n"/>
      <c r="B2035" s="52" t="n"/>
      <c r="C2035" s="52" t="n"/>
      <c r="D2035" s="53" t="n"/>
      <c r="E2035" s="60" t="n"/>
      <c r="F2035" s="53" t="n"/>
      <c r="G2035" s="61" t="str">
        <f>IF(OR(COUNTA(A2035:E2035)=0,D2035=""),"",IFERROR(INDEX(ca_fam,MATCH(D2035,ca_name,0))&amp;"",""))</f>
        <v/>
      </c>
      <c r="H2035" s="58" t="str">
        <f>IF(OR(COUNTA(A2035:E2035)=0,D2035=""),"",IFERROR(INDEX(ca_type,MATCH(D2035,ca_name,0))&amp;"",""))</f>
        <v/>
      </c>
      <c r="I2035" s="58" t="str">
        <f>IF(COUNTA(A2035:E2035)=0,"",IF(N(A2035)&lt;=0,"Date manquante ou invalide",IF(B2035="","Équipe manquante",IF(ISNA(MATCH(B2035,eq_code,0)),"Équipe inconnue",IF(C2035="","Poste manquant",IF(ISNA(MATCH(C2035,po_code,0)),"Poste inconnu",IF(D2035="","Cause manquante",IF(ISNA(MATCH(D2035,ca_name,0)),"Cause inconnue",IF(H2035="","Cause à compléter dans Paramètres",IF(OR(NOT(ISNUMBER(E2035)),N(E2035)&lt;=0,N(E2035)&gt;1440),"Durée invalide",IF(COUNTIFS(sj_date,A2035,sj_eq,B2035,sj_po,C2035)=0,"Pas de saisie journalière ce jour-là","OK")))))))))))</f>
        <v/>
      </c>
      <c r="J2035">
        <f>IF(OR(I2035="OK",I2035="Pas de saisie journalière ce jour-là"),E2035,0)</f>
        <v>0.0</v>
      </c>
      <c r="K2035">
        <f>IF(AND(J2035&gt;0,A2035&gt;=p_from,A2035&lt;=p_to),1,0)</f>
        <v>0.0</v>
      </c>
      <c r="L2035">
        <f>IF(AND(K2035=1,OR(pa_po="",C2035=pa_po),OR(pa_eq="",B2035=pa_eq)),1,0)</f>
        <v>0.0</v>
      </c>
    </row>
    <row r="2036">
      <c r="A2036" s="51" t="n"/>
      <c r="B2036" s="52" t="n"/>
      <c r="C2036" s="52" t="n"/>
      <c r="D2036" s="53" t="n"/>
      <c r="E2036" s="60" t="n"/>
      <c r="F2036" s="53" t="n"/>
      <c r="G2036" s="61" t="str">
        <f>IF(OR(COUNTA(A2036:E2036)=0,D2036=""),"",IFERROR(INDEX(ca_fam,MATCH(D2036,ca_name,0))&amp;"",""))</f>
        <v/>
      </c>
      <c r="H2036" s="58" t="str">
        <f>IF(OR(COUNTA(A2036:E2036)=0,D2036=""),"",IFERROR(INDEX(ca_type,MATCH(D2036,ca_name,0))&amp;"",""))</f>
        <v/>
      </c>
      <c r="I2036" s="58" t="str">
        <f>IF(COUNTA(A2036:E2036)=0,"",IF(N(A2036)&lt;=0,"Date manquante ou invalide",IF(B2036="","Équipe manquante",IF(ISNA(MATCH(B2036,eq_code,0)),"Équipe inconnue",IF(C2036="","Poste manquant",IF(ISNA(MATCH(C2036,po_code,0)),"Poste inconnu",IF(D2036="","Cause manquante",IF(ISNA(MATCH(D2036,ca_name,0)),"Cause inconnue",IF(H2036="","Cause à compléter dans Paramètres",IF(OR(NOT(ISNUMBER(E2036)),N(E2036)&lt;=0,N(E2036)&gt;1440),"Durée invalide",IF(COUNTIFS(sj_date,A2036,sj_eq,B2036,sj_po,C2036)=0,"Pas de saisie journalière ce jour-là","OK")))))))))))</f>
        <v/>
      </c>
      <c r="J2036">
        <f>IF(OR(I2036="OK",I2036="Pas de saisie journalière ce jour-là"),E2036,0)</f>
        <v>0.0</v>
      </c>
      <c r="K2036">
        <f>IF(AND(J2036&gt;0,A2036&gt;=p_from,A2036&lt;=p_to),1,0)</f>
        <v>0.0</v>
      </c>
      <c r="L2036">
        <f>IF(AND(K2036=1,OR(pa_po="",C2036=pa_po),OR(pa_eq="",B2036=pa_eq)),1,0)</f>
        <v>0.0</v>
      </c>
    </row>
    <row r="2037">
      <c r="A2037" s="51" t="n"/>
      <c r="B2037" s="52" t="n"/>
      <c r="C2037" s="52" t="n"/>
      <c r="D2037" s="53" t="n"/>
      <c r="E2037" s="60" t="n"/>
      <c r="F2037" s="53" t="n"/>
      <c r="G2037" s="61" t="str">
        <f>IF(OR(COUNTA(A2037:E2037)=0,D2037=""),"",IFERROR(INDEX(ca_fam,MATCH(D2037,ca_name,0))&amp;"",""))</f>
        <v/>
      </c>
      <c r="H2037" s="58" t="str">
        <f>IF(OR(COUNTA(A2037:E2037)=0,D2037=""),"",IFERROR(INDEX(ca_type,MATCH(D2037,ca_name,0))&amp;"",""))</f>
        <v/>
      </c>
      <c r="I2037" s="58" t="str">
        <f>IF(COUNTA(A2037:E2037)=0,"",IF(N(A2037)&lt;=0,"Date manquante ou invalide",IF(B2037="","Équipe manquante",IF(ISNA(MATCH(B2037,eq_code,0)),"Équipe inconnue",IF(C2037="","Poste manquant",IF(ISNA(MATCH(C2037,po_code,0)),"Poste inconnu",IF(D2037="","Cause manquante",IF(ISNA(MATCH(D2037,ca_name,0)),"Cause inconnue",IF(H2037="","Cause à compléter dans Paramètres",IF(OR(NOT(ISNUMBER(E2037)),N(E2037)&lt;=0,N(E2037)&gt;1440),"Durée invalide",IF(COUNTIFS(sj_date,A2037,sj_eq,B2037,sj_po,C2037)=0,"Pas de saisie journalière ce jour-là","OK")))))))))))</f>
        <v/>
      </c>
      <c r="J2037">
        <f>IF(OR(I2037="OK",I2037="Pas de saisie journalière ce jour-là"),E2037,0)</f>
        <v>0.0</v>
      </c>
      <c r="K2037">
        <f>IF(AND(J2037&gt;0,A2037&gt;=p_from,A2037&lt;=p_to),1,0)</f>
        <v>0.0</v>
      </c>
      <c r="L2037">
        <f>IF(AND(K2037=1,OR(pa_po="",C2037=pa_po),OR(pa_eq="",B2037=pa_eq)),1,0)</f>
        <v>0.0</v>
      </c>
    </row>
    <row r="2038">
      <c r="A2038" s="51" t="n"/>
      <c r="B2038" s="52" t="n"/>
      <c r="C2038" s="52" t="n"/>
      <c r="D2038" s="53" t="n"/>
      <c r="E2038" s="60" t="n"/>
      <c r="F2038" s="53" t="n"/>
      <c r="G2038" s="61" t="str">
        <f>IF(OR(COUNTA(A2038:E2038)=0,D2038=""),"",IFERROR(INDEX(ca_fam,MATCH(D2038,ca_name,0))&amp;"",""))</f>
        <v/>
      </c>
      <c r="H2038" s="58" t="str">
        <f>IF(OR(COUNTA(A2038:E2038)=0,D2038=""),"",IFERROR(INDEX(ca_type,MATCH(D2038,ca_name,0))&amp;"",""))</f>
        <v/>
      </c>
      <c r="I2038" s="58" t="str">
        <f>IF(COUNTA(A2038:E2038)=0,"",IF(N(A2038)&lt;=0,"Date manquante ou invalide",IF(B2038="","Équipe manquante",IF(ISNA(MATCH(B2038,eq_code,0)),"Équipe inconnue",IF(C2038="","Poste manquant",IF(ISNA(MATCH(C2038,po_code,0)),"Poste inconnu",IF(D2038="","Cause manquante",IF(ISNA(MATCH(D2038,ca_name,0)),"Cause inconnue",IF(H2038="","Cause à compléter dans Paramètres",IF(OR(NOT(ISNUMBER(E2038)),N(E2038)&lt;=0,N(E2038)&gt;1440),"Durée invalide",IF(COUNTIFS(sj_date,A2038,sj_eq,B2038,sj_po,C2038)=0,"Pas de saisie journalière ce jour-là","OK")))))))))))</f>
        <v/>
      </c>
      <c r="J2038">
        <f>IF(OR(I2038="OK",I2038="Pas de saisie journalière ce jour-là"),E2038,0)</f>
        <v>0.0</v>
      </c>
      <c r="K2038">
        <f>IF(AND(J2038&gt;0,A2038&gt;=p_from,A2038&lt;=p_to),1,0)</f>
        <v>0.0</v>
      </c>
      <c r="L2038">
        <f>IF(AND(K2038=1,OR(pa_po="",C2038=pa_po),OR(pa_eq="",B2038=pa_eq)),1,0)</f>
        <v>0.0</v>
      </c>
    </row>
    <row r="2039">
      <c r="A2039" s="51" t="n"/>
      <c r="B2039" s="52" t="n"/>
      <c r="C2039" s="52" t="n"/>
      <c r="D2039" s="53" t="n"/>
      <c r="E2039" s="60" t="n"/>
      <c r="F2039" s="53" t="n"/>
      <c r="G2039" s="61" t="str">
        <f>IF(OR(COUNTA(A2039:E2039)=0,D2039=""),"",IFERROR(INDEX(ca_fam,MATCH(D2039,ca_name,0))&amp;"",""))</f>
        <v/>
      </c>
      <c r="H2039" s="58" t="str">
        <f>IF(OR(COUNTA(A2039:E2039)=0,D2039=""),"",IFERROR(INDEX(ca_type,MATCH(D2039,ca_name,0))&amp;"",""))</f>
        <v/>
      </c>
      <c r="I2039" s="58" t="str">
        <f>IF(COUNTA(A2039:E2039)=0,"",IF(N(A2039)&lt;=0,"Date manquante ou invalide",IF(B2039="","Équipe manquante",IF(ISNA(MATCH(B2039,eq_code,0)),"Équipe inconnue",IF(C2039="","Poste manquant",IF(ISNA(MATCH(C2039,po_code,0)),"Poste inconnu",IF(D2039="","Cause manquante",IF(ISNA(MATCH(D2039,ca_name,0)),"Cause inconnue",IF(H2039="","Cause à compléter dans Paramètres",IF(OR(NOT(ISNUMBER(E2039)),N(E2039)&lt;=0,N(E2039)&gt;1440),"Durée invalide",IF(COUNTIFS(sj_date,A2039,sj_eq,B2039,sj_po,C2039)=0,"Pas de saisie journalière ce jour-là","OK")))))))))))</f>
        <v/>
      </c>
      <c r="J2039">
        <f>IF(OR(I2039="OK",I2039="Pas de saisie journalière ce jour-là"),E2039,0)</f>
        <v>0.0</v>
      </c>
      <c r="K2039">
        <f>IF(AND(J2039&gt;0,A2039&gt;=p_from,A2039&lt;=p_to),1,0)</f>
        <v>0.0</v>
      </c>
      <c r="L2039">
        <f>IF(AND(K2039=1,OR(pa_po="",C2039=pa_po),OR(pa_eq="",B2039=pa_eq)),1,0)</f>
        <v>0.0</v>
      </c>
    </row>
    <row r="2040">
      <c r="A2040" s="51" t="n"/>
      <c r="B2040" s="52" t="n"/>
      <c r="C2040" s="52" t="n"/>
      <c r="D2040" s="53" t="n"/>
      <c r="E2040" s="60" t="n"/>
      <c r="F2040" s="53" t="n"/>
      <c r="G2040" s="61" t="str">
        <f>IF(OR(COUNTA(A2040:E2040)=0,D2040=""),"",IFERROR(INDEX(ca_fam,MATCH(D2040,ca_name,0))&amp;"",""))</f>
        <v/>
      </c>
      <c r="H2040" s="58" t="str">
        <f>IF(OR(COUNTA(A2040:E2040)=0,D2040=""),"",IFERROR(INDEX(ca_type,MATCH(D2040,ca_name,0))&amp;"",""))</f>
        <v/>
      </c>
      <c r="I2040" s="58" t="str">
        <f>IF(COUNTA(A2040:E2040)=0,"",IF(N(A2040)&lt;=0,"Date manquante ou invalide",IF(B2040="","Équipe manquante",IF(ISNA(MATCH(B2040,eq_code,0)),"Équipe inconnue",IF(C2040="","Poste manquant",IF(ISNA(MATCH(C2040,po_code,0)),"Poste inconnu",IF(D2040="","Cause manquante",IF(ISNA(MATCH(D2040,ca_name,0)),"Cause inconnue",IF(H2040="","Cause à compléter dans Paramètres",IF(OR(NOT(ISNUMBER(E2040)),N(E2040)&lt;=0,N(E2040)&gt;1440),"Durée invalide",IF(COUNTIFS(sj_date,A2040,sj_eq,B2040,sj_po,C2040)=0,"Pas de saisie journalière ce jour-là","OK")))))))))))</f>
        <v/>
      </c>
      <c r="J2040">
        <f>IF(OR(I2040="OK",I2040="Pas de saisie journalière ce jour-là"),E2040,0)</f>
        <v>0.0</v>
      </c>
      <c r="K2040">
        <f>IF(AND(J2040&gt;0,A2040&gt;=p_from,A2040&lt;=p_to),1,0)</f>
        <v>0.0</v>
      </c>
      <c r="L2040">
        <f>IF(AND(K2040=1,OR(pa_po="",C2040=pa_po),OR(pa_eq="",B2040=pa_eq)),1,0)</f>
        <v>0.0</v>
      </c>
    </row>
    <row r="2041">
      <c r="A2041" s="51" t="n"/>
      <c r="B2041" s="52" t="n"/>
      <c r="C2041" s="52" t="n"/>
      <c r="D2041" s="53" t="n"/>
      <c r="E2041" s="60" t="n"/>
      <c r="F2041" s="53" t="n"/>
      <c r="G2041" s="61" t="str">
        <f>IF(OR(COUNTA(A2041:E2041)=0,D2041=""),"",IFERROR(INDEX(ca_fam,MATCH(D2041,ca_name,0))&amp;"",""))</f>
        <v/>
      </c>
      <c r="H2041" s="58" t="str">
        <f>IF(OR(COUNTA(A2041:E2041)=0,D2041=""),"",IFERROR(INDEX(ca_type,MATCH(D2041,ca_name,0))&amp;"",""))</f>
        <v/>
      </c>
      <c r="I2041" s="58" t="str">
        <f>IF(COUNTA(A2041:E2041)=0,"",IF(N(A2041)&lt;=0,"Date manquante ou invalide",IF(B2041="","Équipe manquante",IF(ISNA(MATCH(B2041,eq_code,0)),"Équipe inconnue",IF(C2041="","Poste manquant",IF(ISNA(MATCH(C2041,po_code,0)),"Poste inconnu",IF(D2041="","Cause manquante",IF(ISNA(MATCH(D2041,ca_name,0)),"Cause inconnue",IF(H2041="","Cause à compléter dans Paramètres",IF(OR(NOT(ISNUMBER(E2041)),N(E2041)&lt;=0,N(E2041)&gt;1440),"Durée invalide",IF(COUNTIFS(sj_date,A2041,sj_eq,B2041,sj_po,C2041)=0,"Pas de saisie journalière ce jour-là","OK")))))))))))</f>
        <v/>
      </c>
      <c r="J2041">
        <f>IF(OR(I2041="OK",I2041="Pas de saisie journalière ce jour-là"),E2041,0)</f>
        <v>0.0</v>
      </c>
      <c r="K2041">
        <f>IF(AND(J2041&gt;0,A2041&gt;=p_from,A2041&lt;=p_to),1,0)</f>
        <v>0.0</v>
      </c>
      <c r="L2041">
        <f>IF(AND(K2041=1,OR(pa_po="",C2041=pa_po),OR(pa_eq="",B2041=pa_eq)),1,0)</f>
        <v>0.0</v>
      </c>
    </row>
    <row r="2042">
      <c r="A2042" s="51" t="n"/>
      <c r="B2042" s="52" t="n"/>
      <c r="C2042" s="52" t="n"/>
      <c r="D2042" s="53" t="n"/>
      <c r="E2042" s="60" t="n"/>
      <c r="F2042" s="53" t="n"/>
      <c r="G2042" s="61" t="str">
        <f>IF(OR(COUNTA(A2042:E2042)=0,D2042=""),"",IFERROR(INDEX(ca_fam,MATCH(D2042,ca_name,0))&amp;"",""))</f>
        <v/>
      </c>
      <c r="H2042" s="58" t="str">
        <f>IF(OR(COUNTA(A2042:E2042)=0,D2042=""),"",IFERROR(INDEX(ca_type,MATCH(D2042,ca_name,0))&amp;"",""))</f>
        <v/>
      </c>
      <c r="I2042" s="58" t="str">
        <f>IF(COUNTA(A2042:E2042)=0,"",IF(N(A2042)&lt;=0,"Date manquante ou invalide",IF(B2042="","Équipe manquante",IF(ISNA(MATCH(B2042,eq_code,0)),"Équipe inconnue",IF(C2042="","Poste manquant",IF(ISNA(MATCH(C2042,po_code,0)),"Poste inconnu",IF(D2042="","Cause manquante",IF(ISNA(MATCH(D2042,ca_name,0)),"Cause inconnue",IF(H2042="","Cause à compléter dans Paramètres",IF(OR(NOT(ISNUMBER(E2042)),N(E2042)&lt;=0,N(E2042)&gt;1440),"Durée invalide",IF(COUNTIFS(sj_date,A2042,sj_eq,B2042,sj_po,C2042)=0,"Pas de saisie journalière ce jour-là","OK")))))))))))</f>
        <v/>
      </c>
      <c r="J2042">
        <f>IF(OR(I2042="OK",I2042="Pas de saisie journalière ce jour-là"),E2042,0)</f>
        <v>0.0</v>
      </c>
      <c r="K2042">
        <f>IF(AND(J2042&gt;0,A2042&gt;=p_from,A2042&lt;=p_to),1,0)</f>
        <v>0.0</v>
      </c>
      <c r="L2042">
        <f>IF(AND(K2042=1,OR(pa_po="",C2042=pa_po),OR(pa_eq="",B2042=pa_eq)),1,0)</f>
        <v>0.0</v>
      </c>
    </row>
    <row r="2043">
      <c r="A2043" s="51" t="n"/>
      <c r="B2043" s="52" t="n"/>
      <c r="C2043" s="52" t="n"/>
      <c r="D2043" s="53" t="n"/>
      <c r="E2043" s="60" t="n"/>
      <c r="F2043" s="53" t="n"/>
      <c r="G2043" s="61" t="str">
        <f>IF(OR(COUNTA(A2043:E2043)=0,D2043=""),"",IFERROR(INDEX(ca_fam,MATCH(D2043,ca_name,0))&amp;"",""))</f>
        <v/>
      </c>
      <c r="H2043" s="58" t="str">
        <f>IF(OR(COUNTA(A2043:E2043)=0,D2043=""),"",IFERROR(INDEX(ca_type,MATCH(D2043,ca_name,0))&amp;"",""))</f>
        <v/>
      </c>
      <c r="I2043" s="58" t="str">
        <f>IF(COUNTA(A2043:E2043)=0,"",IF(N(A2043)&lt;=0,"Date manquante ou invalide",IF(B2043="","Équipe manquante",IF(ISNA(MATCH(B2043,eq_code,0)),"Équipe inconnue",IF(C2043="","Poste manquant",IF(ISNA(MATCH(C2043,po_code,0)),"Poste inconnu",IF(D2043="","Cause manquante",IF(ISNA(MATCH(D2043,ca_name,0)),"Cause inconnue",IF(H2043="","Cause à compléter dans Paramètres",IF(OR(NOT(ISNUMBER(E2043)),N(E2043)&lt;=0,N(E2043)&gt;1440),"Durée invalide",IF(COUNTIFS(sj_date,A2043,sj_eq,B2043,sj_po,C2043)=0,"Pas de saisie journalière ce jour-là","OK")))))))))))</f>
        <v/>
      </c>
      <c r="J2043">
        <f>IF(OR(I2043="OK",I2043="Pas de saisie journalière ce jour-là"),E2043,0)</f>
        <v>0.0</v>
      </c>
      <c r="K2043">
        <f>IF(AND(J2043&gt;0,A2043&gt;=p_from,A2043&lt;=p_to),1,0)</f>
        <v>0.0</v>
      </c>
      <c r="L2043">
        <f>IF(AND(K2043=1,OR(pa_po="",C2043=pa_po),OR(pa_eq="",B2043=pa_eq)),1,0)</f>
        <v>0.0</v>
      </c>
    </row>
    <row r="2044">
      <c r="A2044" s="51" t="n"/>
      <c r="B2044" s="52" t="n"/>
      <c r="C2044" s="52" t="n"/>
      <c r="D2044" s="53" t="n"/>
      <c r="E2044" s="60" t="n"/>
      <c r="F2044" s="53" t="n"/>
      <c r="G2044" s="61" t="str">
        <f>IF(OR(COUNTA(A2044:E2044)=0,D2044=""),"",IFERROR(INDEX(ca_fam,MATCH(D2044,ca_name,0))&amp;"",""))</f>
        <v/>
      </c>
      <c r="H2044" s="58" t="str">
        <f>IF(OR(COUNTA(A2044:E2044)=0,D2044=""),"",IFERROR(INDEX(ca_type,MATCH(D2044,ca_name,0))&amp;"",""))</f>
        <v/>
      </c>
      <c r="I2044" s="58" t="str">
        <f>IF(COUNTA(A2044:E2044)=0,"",IF(N(A2044)&lt;=0,"Date manquante ou invalide",IF(B2044="","Équipe manquante",IF(ISNA(MATCH(B2044,eq_code,0)),"Équipe inconnue",IF(C2044="","Poste manquant",IF(ISNA(MATCH(C2044,po_code,0)),"Poste inconnu",IF(D2044="","Cause manquante",IF(ISNA(MATCH(D2044,ca_name,0)),"Cause inconnue",IF(H2044="","Cause à compléter dans Paramètres",IF(OR(NOT(ISNUMBER(E2044)),N(E2044)&lt;=0,N(E2044)&gt;1440),"Durée invalide",IF(COUNTIFS(sj_date,A2044,sj_eq,B2044,sj_po,C2044)=0,"Pas de saisie journalière ce jour-là","OK")))))))))))</f>
        <v/>
      </c>
      <c r="J2044">
        <f>IF(OR(I2044="OK",I2044="Pas de saisie journalière ce jour-là"),E2044,0)</f>
        <v>0.0</v>
      </c>
      <c r="K2044">
        <f>IF(AND(J2044&gt;0,A2044&gt;=p_from,A2044&lt;=p_to),1,0)</f>
        <v>0.0</v>
      </c>
      <c r="L2044">
        <f>IF(AND(K2044=1,OR(pa_po="",C2044=pa_po),OR(pa_eq="",B2044=pa_eq)),1,0)</f>
        <v>0.0</v>
      </c>
    </row>
    <row r="2045">
      <c r="A2045" s="51" t="n"/>
      <c r="B2045" s="52" t="n"/>
      <c r="C2045" s="52" t="n"/>
      <c r="D2045" s="53" t="n"/>
      <c r="E2045" s="60" t="n"/>
      <c r="F2045" s="53" t="n"/>
      <c r="G2045" s="61" t="str">
        <f>IF(OR(COUNTA(A2045:E2045)=0,D2045=""),"",IFERROR(INDEX(ca_fam,MATCH(D2045,ca_name,0))&amp;"",""))</f>
        <v/>
      </c>
      <c r="H2045" s="58" t="str">
        <f>IF(OR(COUNTA(A2045:E2045)=0,D2045=""),"",IFERROR(INDEX(ca_type,MATCH(D2045,ca_name,0))&amp;"",""))</f>
        <v/>
      </c>
      <c r="I2045" s="58" t="str">
        <f>IF(COUNTA(A2045:E2045)=0,"",IF(N(A2045)&lt;=0,"Date manquante ou invalide",IF(B2045="","Équipe manquante",IF(ISNA(MATCH(B2045,eq_code,0)),"Équipe inconnue",IF(C2045="","Poste manquant",IF(ISNA(MATCH(C2045,po_code,0)),"Poste inconnu",IF(D2045="","Cause manquante",IF(ISNA(MATCH(D2045,ca_name,0)),"Cause inconnue",IF(H2045="","Cause à compléter dans Paramètres",IF(OR(NOT(ISNUMBER(E2045)),N(E2045)&lt;=0,N(E2045)&gt;1440),"Durée invalide",IF(COUNTIFS(sj_date,A2045,sj_eq,B2045,sj_po,C2045)=0,"Pas de saisie journalière ce jour-là","OK")))))))))))</f>
        <v/>
      </c>
      <c r="J2045">
        <f>IF(OR(I2045="OK",I2045="Pas de saisie journalière ce jour-là"),E2045,0)</f>
        <v>0.0</v>
      </c>
      <c r="K2045">
        <f>IF(AND(J2045&gt;0,A2045&gt;=p_from,A2045&lt;=p_to),1,0)</f>
        <v>0.0</v>
      </c>
      <c r="L2045">
        <f>IF(AND(K2045=1,OR(pa_po="",C2045=pa_po),OR(pa_eq="",B2045=pa_eq)),1,0)</f>
        <v>0.0</v>
      </c>
    </row>
    <row r="2046">
      <c r="A2046" s="51" t="n"/>
      <c r="B2046" s="52" t="n"/>
      <c r="C2046" s="52" t="n"/>
      <c r="D2046" s="53" t="n"/>
      <c r="E2046" s="60" t="n"/>
      <c r="F2046" s="53" t="n"/>
      <c r="G2046" s="61" t="str">
        <f>IF(OR(COUNTA(A2046:E2046)=0,D2046=""),"",IFERROR(INDEX(ca_fam,MATCH(D2046,ca_name,0))&amp;"",""))</f>
        <v/>
      </c>
      <c r="H2046" s="58" t="str">
        <f>IF(OR(COUNTA(A2046:E2046)=0,D2046=""),"",IFERROR(INDEX(ca_type,MATCH(D2046,ca_name,0))&amp;"",""))</f>
        <v/>
      </c>
      <c r="I2046" s="58" t="str">
        <f>IF(COUNTA(A2046:E2046)=0,"",IF(N(A2046)&lt;=0,"Date manquante ou invalide",IF(B2046="","Équipe manquante",IF(ISNA(MATCH(B2046,eq_code,0)),"Équipe inconnue",IF(C2046="","Poste manquant",IF(ISNA(MATCH(C2046,po_code,0)),"Poste inconnu",IF(D2046="","Cause manquante",IF(ISNA(MATCH(D2046,ca_name,0)),"Cause inconnue",IF(H2046="","Cause à compléter dans Paramètres",IF(OR(NOT(ISNUMBER(E2046)),N(E2046)&lt;=0,N(E2046)&gt;1440),"Durée invalide",IF(COUNTIFS(sj_date,A2046,sj_eq,B2046,sj_po,C2046)=0,"Pas de saisie journalière ce jour-là","OK")))))))))))</f>
        <v/>
      </c>
      <c r="J2046">
        <f>IF(OR(I2046="OK",I2046="Pas de saisie journalière ce jour-là"),E2046,0)</f>
        <v>0.0</v>
      </c>
      <c r="K2046">
        <f>IF(AND(J2046&gt;0,A2046&gt;=p_from,A2046&lt;=p_to),1,0)</f>
        <v>0.0</v>
      </c>
      <c r="L2046">
        <f>IF(AND(K2046=1,OR(pa_po="",C2046=pa_po),OR(pa_eq="",B2046=pa_eq)),1,0)</f>
        <v>0.0</v>
      </c>
    </row>
    <row r="2047">
      <c r="A2047" s="51" t="n"/>
      <c r="B2047" s="52" t="n"/>
      <c r="C2047" s="52" t="n"/>
      <c r="D2047" s="53" t="n"/>
      <c r="E2047" s="60" t="n"/>
      <c r="F2047" s="53" t="n"/>
      <c r="G2047" s="61" t="str">
        <f>IF(OR(COUNTA(A2047:E2047)=0,D2047=""),"",IFERROR(INDEX(ca_fam,MATCH(D2047,ca_name,0))&amp;"",""))</f>
        <v/>
      </c>
      <c r="H2047" s="58" t="str">
        <f>IF(OR(COUNTA(A2047:E2047)=0,D2047=""),"",IFERROR(INDEX(ca_type,MATCH(D2047,ca_name,0))&amp;"",""))</f>
        <v/>
      </c>
      <c r="I2047" s="58" t="str">
        <f>IF(COUNTA(A2047:E2047)=0,"",IF(N(A2047)&lt;=0,"Date manquante ou invalide",IF(B2047="","Équipe manquante",IF(ISNA(MATCH(B2047,eq_code,0)),"Équipe inconnue",IF(C2047="","Poste manquant",IF(ISNA(MATCH(C2047,po_code,0)),"Poste inconnu",IF(D2047="","Cause manquante",IF(ISNA(MATCH(D2047,ca_name,0)),"Cause inconnue",IF(H2047="","Cause à compléter dans Paramètres",IF(OR(NOT(ISNUMBER(E2047)),N(E2047)&lt;=0,N(E2047)&gt;1440),"Durée invalide",IF(COUNTIFS(sj_date,A2047,sj_eq,B2047,sj_po,C2047)=0,"Pas de saisie journalière ce jour-là","OK")))))))))))</f>
        <v/>
      </c>
      <c r="J2047">
        <f>IF(OR(I2047="OK",I2047="Pas de saisie journalière ce jour-là"),E2047,0)</f>
        <v>0.0</v>
      </c>
      <c r="K2047">
        <f>IF(AND(J2047&gt;0,A2047&gt;=p_from,A2047&lt;=p_to),1,0)</f>
        <v>0.0</v>
      </c>
      <c r="L2047">
        <f>IF(AND(K2047=1,OR(pa_po="",C2047=pa_po),OR(pa_eq="",B2047=pa_eq)),1,0)</f>
        <v>0.0</v>
      </c>
    </row>
    <row r="2048">
      <c r="A2048" s="51" t="n"/>
      <c r="B2048" s="52" t="n"/>
      <c r="C2048" s="52" t="n"/>
      <c r="D2048" s="53" t="n"/>
      <c r="E2048" s="60" t="n"/>
      <c r="F2048" s="53" t="n"/>
      <c r="G2048" s="61" t="str">
        <f>IF(OR(COUNTA(A2048:E2048)=0,D2048=""),"",IFERROR(INDEX(ca_fam,MATCH(D2048,ca_name,0))&amp;"",""))</f>
        <v/>
      </c>
      <c r="H2048" s="58" t="str">
        <f>IF(OR(COUNTA(A2048:E2048)=0,D2048=""),"",IFERROR(INDEX(ca_type,MATCH(D2048,ca_name,0))&amp;"",""))</f>
        <v/>
      </c>
      <c r="I2048" s="58" t="str">
        <f>IF(COUNTA(A2048:E2048)=0,"",IF(N(A2048)&lt;=0,"Date manquante ou invalide",IF(B2048="","Équipe manquante",IF(ISNA(MATCH(B2048,eq_code,0)),"Équipe inconnue",IF(C2048="","Poste manquant",IF(ISNA(MATCH(C2048,po_code,0)),"Poste inconnu",IF(D2048="","Cause manquante",IF(ISNA(MATCH(D2048,ca_name,0)),"Cause inconnue",IF(H2048="","Cause à compléter dans Paramètres",IF(OR(NOT(ISNUMBER(E2048)),N(E2048)&lt;=0,N(E2048)&gt;1440),"Durée invalide",IF(COUNTIFS(sj_date,A2048,sj_eq,B2048,sj_po,C2048)=0,"Pas de saisie journalière ce jour-là","OK")))))))))))</f>
        <v/>
      </c>
      <c r="J2048">
        <f>IF(OR(I2048="OK",I2048="Pas de saisie journalière ce jour-là"),E2048,0)</f>
        <v>0.0</v>
      </c>
      <c r="K2048">
        <f>IF(AND(J2048&gt;0,A2048&gt;=p_from,A2048&lt;=p_to),1,0)</f>
        <v>0.0</v>
      </c>
      <c r="L2048">
        <f>IF(AND(K2048=1,OR(pa_po="",C2048=pa_po),OR(pa_eq="",B2048=pa_eq)),1,0)</f>
        <v>0.0</v>
      </c>
    </row>
    <row r="2049">
      <c r="A2049" s="51" t="n"/>
      <c r="B2049" s="52" t="n"/>
      <c r="C2049" s="52" t="n"/>
      <c r="D2049" s="53" t="n"/>
      <c r="E2049" s="60" t="n"/>
      <c r="F2049" s="53" t="n"/>
      <c r="G2049" s="61" t="str">
        <f>IF(OR(COUNTA(A2049:E2049)=0,D2049=""),"",IFERROR(INDEX(ca_fam,MATCH(D2049,ca_name,0))&amp;"",""))</f>
        <v/>
      </c>
      <c r="H2049" s="58" t="str">
        <f>IF(OR(COUNTA(A2049:E2049)=0,D2049=""),"",IFERROR(INDEX(ca_type,MATCH(D2049,ca_name,0))&amp;"",""))</f>
        <v/>
      </c>
      <c r="I2049" s="58" t="str">
        <f>IF(COUNTA(A2049:E2049)=0,"",IF(N(A2049)&lt;=0,"Date manquante ou invalide",IF(B2049="","Équipe manquante",IF(ISNA(MATCH(B2049,eq_code,0)),"Équipe inconnue",IF(C2049="","Poste manquant",IF(ISNA(MATCH(C2049,po_code,0)),"Poste inconnu",IF(D2049="","Cause manquante",IF(ISNA(MATCH(D2049,ca_name,0)),"Cause inconnue",IF(H2049="","Cause à compléter dans Paramètres",IF(OR(NOT(ISNUMBER(E2049)),N(E2049)&lt;=0,N(E2049)&gt;1440),"Durée invalide",IF(COUNTIFS(sj_date,A2049,sj_eq,B2049,sj_po,C2049)=0,"Pas de saisie journalière ce jour-là","OK")))))))))))</f>
        <v/>
      </c>
      <c r="J2049">
        <f>IF(OR(I2049="OK",I2049="Pas de saisie journalière ce jour-là"),E2049,0)</f>
        <v>0.0</v>
      </c>
      <c r="K2049">
        <f>IF(AND(J2049&gt;0,A2049&gt;=p_from,A2049&lt;=p_to),1,0)</f>
        <v>0.0</v>
      </c>
      <c r="L2049">
        <f>IF(AND(K2049=1,OR(pa_po="",C2049=pa_po),OR(pa_eq="",B2049=pa_eq)),1,0)</f>
        <v>0.0</v>
      </c>
    </row>
    <row r="2050">
      <c r="A2050" s="51" t="n"/>
      <c r="B2050" s="52" t="n"/>
      <c r="C2050" s="52" t="n"/>
      <c r="D2050" s="53" t="n"/>
      <c r="E2050" s="60" t="n"/>
      <c r="F2050" s="53" t="n"/>
      <c r="G2050" s="61" t="str">
        <f>IF(OR(COUNTA(A2050:E2050)=0,D2050=""),"",IFERROR(INDEX(ca_fam,MATCH(D2050,ca_name,0))&amp;"",""))</f>
        <v/>
      </c>
      <c r="H2050" s="58" t="str">
        <f>IF(OR(COUNTA(A2050:E2050)=0,D2050=""),"",IFERROR(INDEX(ca_type,MATCH(D2050,ca_name,0))&amp;"",""))</f>
        <v/>
      </c>
      <c r="I2050" s="58" t="str">
        <f>IF(COUNTA(A2050:E2050)=0,"",IF(N(A2050)&lt;=0,"Date manquante ou invalide",IF(B2050="","Équipe manquante",IF(ISNA(MATCH(B2050,eq_code,0)),"Équipe inconnue",IF(C2050="","Poste manquant",IF(ISNA(MATCH(C2050,po_code,0)),"Poste inconnu",IF(D2050="","Cause manquante",IF(ISNA(MATCH(D2050,ca_name,0)),"Cause inconnue",IF(H2050="","Cause à compléter dans Paramètres",IF(OR(NOT(ISNUMBER(E2050)),N(E2050)&lt;=0,N(E2050)&gt;1440),"Durée invalide",IF(COUNTIFS(sj_date,A2050,sj_eq,B2050,sj_po,C2050)=0,"Pas de saisie journalière ce jour-là","OK")))))))))))</f>
        <v/>
      </c>
      <c r="J2050">
        <f>IF(OR(I2050="OK",I2050="Pas de saisie journalière ce jour-là"),E2050,0)</f>
        <v>0.0</v>
      </c>
      <c r="K2050">
        <f>IF(AND(J2050&gt;0,A2050&gt;=p_from,A2050&lt;=p_to),1,0)</f>
        <v>0.0</v>
      </c>
      <c r="L2050">
        <f>IF(AND(K2050=1,OR(pa_po="",C2050=pa_po),OR(pa_eq="",B2050=pa_eq)),1,0)</f>
        <v>0.0</v>
      </c>
    </row>
    <row r="2051">
      <c r="A2051" s="51" t="n"/>
      <c r="B2051" s="52" t="n"/>
      <c r="C2051" s="52" t="n"/>
      <c r="D2051" s="53" t="n"/>
      <c r="E2051" s="60" t="n"/>
      <c r="F2051" s="53" t="n"/>
      <c r="G2051" s="61" t="str">
        <f>IF(OR(COUNTA(A2051:E2051)=0,D2051=""),"",IFERROR(INDEX(ca_fam,MATCH(D2051,ca_name,0))&amp;"",""))</f>
        <v/>
      </c>
      <c r="H2051" s="58" t="str">
        <f>IF(OR(COUNTA(A2051:E2051)=0,D2051=""),"",IFERROR(INDEX(ca_type,MATCH(D2051,ca_name,0))&amp;"",""))</f>
        <v/>
      </c>
      <c r="I2051" s="58" t="str">
        <f>IF(COUNTA(A2051:E2051)=0,"",IF(N(A2051)&lt;=0,"Date manquante ou invalide",IF(B2051="","Équipe manquante",IF(ISNA(MATCH(B2051,eq_code,0)),"Équipe inconnue",IF(C2051="","Poste manquant",IF(ISNA(MATCH(C2051,po_code,0)),"Poste inconnu",IF(D2051="","Cause manquante",IF(ISNA(MATCH(D2051,ca_name,0)),"Cause inconnue",IF(H2051="","Cause à compléter dans Paramètres",IF(OR(NOT(ISNUMBER(E2051)),N(E2051)&lt;=0,N(E2051)&gt;1440),"Durée invalide",IF(COUNTIFS(sj_date,A2051,sj_eq,B2051,sj_po,C2051)=0,"Pas de saisie journalière ce jour-là","OK")))))))))))</f>
        <v/>
      </c>
      <c r="J2051">
        <f>IF(OR(I2051="OK",I2051="Pas de saisie journalière ce jour-là"),E2051,0)</f>
        <v>0.0</v>
      </c>
      <c r="K2051">
        <f>IF(AND(J2051&gt;0,A2051&gt;=p_from,A2051&lt;=p_to),1,0)</f>
        <v>0.0</v>
      </c>
      <c r="L2051">
        <f>IF(AND(K2051=1,OR(pa_po="",C2051=pa_po),OR(pa_eq="",B2051=pa_eq)),1,0)</f>
        <v>0.0</v>
      </c>
    </row>
    <row r="2052">
      <c r="A2052" s="51" t="n"/>
      <c r="B2052" s="52" t="n"/>
      <c r="C2052" s="52" t="n"/>
      <c r="D2052" s="53" t="n"/>
      <c r="E2052" s="60" t="n"/>
      <c r="F2052" s="53" t="n"/>
      <c r="G2052" s="61" t="str">
        <f>IF(OR(COUNTA(A2052:E2052)=0,D2052=""),"",IFERROR(INDEX(ca_fam,MATCH(D2052,ca_name,0))&amp;"",""))</f>
        <v/>
      </c>
      <c r="H2052" s="58" t="str">
        <f>IF(OR(COUNTA(A2052:E2052)=0,D2052=""),"",IFERROR(INDEX(ca_type,MATCH(D2052,ca_name,0))&amp;"",""))</f>
        <v/>
      </c>
      <c r="I2052" s="58" t="str">
        <f>IF(COUNTA(A2052:E2052)=0,"",IF(N(A2052)&lt;=0,"Date manquante ou invalide",IF(B2052="","Équipe manquante",IF(ISNA(MATCH(B2052,eq_code,0)),"Équipe inconnue",IF(C2052="","Poste manquant",IF(ISNA(MATCH(C2052,po_code,0)),"Poste inconnu",IF(D2052="","Cause manquante",IF(ISNA(MATCH(D2052,ca_name,0)),"Cause inconnue",IF(H2052="","Cause à compléter dans Paramètres",IF(OR(NOT(ISNUMBER(E2052)),N(E2052)&lt;=0,N(E2052)&gt;1440),"Durée invalide",IF(COUNTIFS(sj_date,A2052,sj_eq,B2052,sj_po,C2052)=0,"Pas de saisie journalière ce jour-là","OK")))))))))))</f>
        <v/>
      </c>
      <c r="J2052">
        <f>IF(OR(I2052="OK",I2052="Pas de saisie journalière ce jour-là"),E2052,0)</f>
        <v>0.0</v>
      </c>
      <c r="K2052">
        <f>IF(AND(J2052&gt;0,A2052&gt;=p_from,A2052&lt;=p_to),1,0)</f>
        <v>0.0</v>
      </c>
      <c r="L2052">
        <f>IF(AND(K2052=1,OR(pa_po="",C2052=pa_po),OR(pa_eq="",B2052=pa_eq)),1,0)</f>
        <v>0.0</v>
      </c>
    </row>
    <row r="2053">
      <c r="A2053" s="51" t="n"/>
      <c r="B2053" s="52" t="n"/>
      <c r="C2053" s="52" t="n"/>
      <c r="D2053" s="53" t="n"/>
      <c r="E2053" s="60" t="n"/>
      <c r="F2053" s="53" t="n"/>
      <c r="G2053" s="61" t="str">
        <f>IF(OR(COUNTA(A2053:E2053)=0,D2053=""),"",IFERROR(INDEX(ca_fam,MATCH(D2053,ca_name,0))&amp;"",""))</f>
        <v/>
      </c>
      <c r="H2053" s="58" t="str">
        <f>IF(OR(COUNTA(A2053:E2053)=0,D2053=""),"",IFERROR(INDEX(ca_type,MATCH(D2053,ca_name,0))&amp;"",""))</f>
        <v/>
      </c>
      <c r="I2053" s="58" t="str">
        <f>IF(COUNTA(A2053:E2053)=0,"",IF(N(A2053)&lt;=0,"Date manquante ou invalide",IF(B2053="","Équipe manquante",IF(ISNA(MATCH(B2053,eq_code,0)),"Équipe inconnue",IF(C2053="","Poste manquant",IF(ISNA(MATCH(C2053,po_code,0)),"Poste inconnu",IF(D2053="","Cause manquante",IF(ISNA(MATCH(D2053,ca_name,0)),"Cause inconnue",IF(H2053="","Cause à compléter dans Paramètres",IF(OR(NOT(ISNUMBER(E2053)),N(E2053)&lt;=0,N(E2053)&gt;1440),"Durée invalide",IF(COUNTIFS(sj_date,A2053,sj_eq,B2053,sj_po,C2053)=0,"Pas de saisie journalière ce jour-là","OK")))))))))))</f>
        <v/>
      </c>
      <c r="J2053">
        <f>IF(OR(I2053="OK",I2053="Pas de saisie journalière ce jour-là"),E2053,0)</f>
        <v>0.0</v>
      </c>
      <c r="K2053">
        <f>IF(AND(J2053&gt;0,A2053&gt;=p_from,A2053&lt;=p_to),1,0)</f>
        <v>0.0</v>
      </c>
      <c r="L2053">
        <f>IF(AND(K2053=1,OR(pa_po="",C2053=pa_po),OR(pa_eq="",B2053=pa_eq)),1,0)</f>
        <v>0.0</v>
      </c>
    </row>
    <row r="2054">
      <c r="A2054" s="51" t="n"/>
      <c r="B2054" s="52" t="n"/>
      <c r="C2054" s="52" t="n"/>
      <c r="D2054" s="53" t="n"/>
      <c r="E2054" s="60" t="n"/>
      <c r="F2054" s="53" t="n"/>
      <c r="G2054" s="61" t="str">
        <f>IF(OR(COUNTA(A2054:E2054)=0,D2054=""),"",IFERROR(INDEX(ca_fam,MATCH(D2054,ca_name,0))&amp;"",""))</f>
        <v/>
      </c>
      <c r="H2054" s="58" t="str">
        <f>IF(OR(COUNTA(A2054:E2054)=0,D2054=""),"",IFERROR(INDEX(ca_type,MATCH(D2054,ca_name,0))&amp;"",""))</f>
        <v/>
      </c>
      <c r="I2054" s="58" t="str">
        <f>IF(COUNTA(A2054:E2054)=0,"",IF(N(A2054)&lt;=0,"Date manquante ou invalide",IF(B2054="","Équipe manquante",IF(ISNA(MATCH(B2054,eq_code,0)),"Équipe inconnue",IF(C2054="","Poste manquant",IF(ISNA(MATCH(C2054,po_code,0)),"Poste inconnu",IF(D2054="","Cause manquante",IF(ISNA(MATCH(D2054,ca_name,0)),"Cause inconnue",IF(H2054="","Cause à compléter dans Paramètres",IF(OR(NOT(ISNUMBER(E2054)),N(E2054)&lt;=0,N(E2054)&gt;1440),"Durée invalide",IF(COUNTIFS(sj_date,A2054,sj_eq,B2054,sj_po,C2054)=0,"Pas de saisie journalière ce jour-là","OK")))))))))))</f>
        <v/>
      </c>
      <c r="J2054">
        <f>IF(OR(I2054="OK",I2054="Pas de saisie journalière ce jour-là"),E2054,0)</f>
        <v>0.0</v>
      </c>
      <c r="K2054">
        <f>IF(AND(J2054&gt;0,A2054&gt;=p_from,A2054&lt;=p_to),1,0)</f>
        <v>0.0</v>
      </c>
      <c r="L2054">
        <f>IF(AND(K2054=1,OR(pa_po="",C2054=pa_po),OR(pa_eq="",B2054=pa_eq)),1,0)</f>
        <v>0.0</v>
      </c>
    </row>
    <row r="2055">
      <c r="A2055" s="51" t="n"/>
      <c r="B2055" s="52" t="n"/>
      <c r="C2055" s="52" t="n"/>
      <c r="D2055" s="53" t="n"/>
      <c r="E2055" s="60" t="n"/>
      <c r="F2055" s="53" t="n"/>
      <c r="G2055" s="61" t="str">
        <f>IF(OR(COUNTA(A2055:E2055)=0,D2055=""),"",IFERROR(INDEX(ca_fam,MATCH(D2055,ca_name,0))&amp;"",""))</f>
        <v/>
      </c>
      <c r="H2055" s="58" t="str">
        <f>IF(OR(COUNTA(A2055:E2055)=0,D2055=""),"",IFERROR(INDEX(ca_type,MATCH(D2055,ca_name,0))&amp;"",""))</f>
        <v/>
      </c>
      <c r="I2055" s="58" t="str">
        <f>IF(COUNTA(A2055:E2055)=0,"",IF(N(A2055)&lt;=0,"Date manquante ou invalide",IF(B2055="","Équipe manquante",IF(ISNA(MATCH(B2055,eq_code,0)),"Équipe inconnue",IF(C2055="","Poste manquant",IF(ISNA(MATCH(C2055,po_code,0)),"Poste inconnu",IF(D2055="","Cause manquante",IF(ISNA(MATCH(D2055,ca_name,0)),"Cause inconnue",IF(H2055="","Cause à compléter dans Paramètres",IF(OR(NOT(ISNUMBER(E2055)),N(E2055)&lt;=0,N(E2055)&gt;1440),"Durée invalide",IF(COUNTIFS(sj_date,A2055,sj_eq,B2055,sj_po,C2055)=0,"Pas de saisie journalière ce jour-là","OK")))))))))))</f>
        <v/>
      </c>
      <c r="J2055">
        <f>IF(OR(I2055="OK",I2055="Pas de saisie journalière ce jour-là"),E2055,0)</f>
        <v>0.0</v>
      </c>
      <c r="K2055">
        <f>IF(AND(J2055&gt;0,A2055&gt;=p_from,A2055&lt;=p_to),1,0)</f>
        <v>0.0</v>
      </c>
      <c r="L2055">
        <f>IF(AND(K2055=1,OR(pa_po="",C2055=pa_po),OR(pa_eq="",B2055=pa_eq)),1,0)</f>
        <v>0.0</v>
      </c>
    </row>
    <row r="2056">
      <c r="A2056" s="51" t="n"/>
      <c r="B2056" s="52" t="n"/>
      <c r="C2056" s="52" t="n"/>
      <c r="D2056" s="53" t="n"/>
      <c r="E2056" s="60" t="n"/>
      <c r="F2056" s="53" t="n"/>
      <c r="G2056" s="61" t="str">
        <f>IF(OR(COUNTA(A2056:E2056)=0,D2056=""),"",IFERROR(INDEX(ca_fam,MATCH(D2056,ca_name,0))&amp;"",""))</f>
        <v/>
      </c>
      <c r="H2056" s="58" t="str">
        <f>IF(OR(COUNTA(A2056:E2056)=0,D2056=""),"",IFERROR(INDEX(ca_type,MATCH(D2056,ca_name,0))&amp;"",""))</f>
        <v/>
      </c>
      <c r="I2056" s="58" t="str">
        <f>IF(COUNTA(A2056:E2056)=0,"",IF(N(A2056)&lt;=0,"Date manquante ou invalide",IF(B2056="","Équipe manquante",IF(ISNA(MATCH(B2056,eq_code,0)),"Équipe inconnue",IF(C2056="","Poste manquant",IF(ISNA(MATCH(C2056,po_code,0)),"Poste inconnu",IF(D2056="","Cause manquante",IF(ISNA(MATCH(D2056,ca_name,0)),"Cause inconnue",IF(H2056="","Cause à compléter dans Paramètres",IF(OR(NOT(ISNUMBER(E2056)),N(E2056)&lt;=0,N(E2056)&gt;1440),"Durée invalide",IF(COUNTIFS(sj_date,A2056,sj_eq,B2056,sj_po,C2056)=0,"Pas de saisie journalière ce jour-là","OK")))))))))))</f>
        <v/>
      </c>
      <c r="J2056">
        <f>IF(OR(I2056="OK",I2056="Pas de saisie journalière ce jour-là"),E2056,0)</f>
        <v>0.0</v>
      </c>
      <c r="K2056">
        <f>IF(AND(J2056&gt;0,A2056&gt;=p_from,A2056&lt;=p_to),1,0)</f>
        <v>0.0</v>
      </c>
      <c r="L2056">
        <f>IF(AND(K2056=1,OR(pa_po="",C2056=pa_po),OR(pa_eq="",B2056=pa_eq)),1,0)</f>
        <v>0.0</v>
      </c>
    </row>
    <row r="2057">
      <c r="A2057" s="51" t="n"/>
      <c r="B2057" s="52" t="n"/>
      <c r="C2057" s="52" t="n"/>
      <c r="D2057" s="53" t="n"/>
      <c r="E2057" s="60" t="n"/>
      <c r="F2057" s="53" t="n"/>
      <c r="G2057" s="61" t="str">
        <f>IF(OR(COUNTA(A2057:E2057)=0,D2057=""),"",IFERROR(INDEX(ca_fam,MATCH(D2057,ca_name,0))&amp;"",""))</f>
        <v/>
      </c>
      <c r="H2057" s="58" t="str">
        <f>IF(OR(COUNTA(A2057:E2057)=0,D2057=""),"",IFERROR(INDEX(ca_type,MATCH(D2057,ca_name,0))&amp;"",""))</f>
        <v/>
      </c>
      <c r="I2057" s="58" t="str">
        <f>IF(COUNTA(A2057:E2057)=0,"",IF(N(A2057)&lt;=0,"Date manquante ou invalide",IF(B2057="","Équipe manquante",IF(ISNA(MATCH(B2057,eq_code,0)),"Équipe inconnue",IF(C2057="","Poste manquant",IF(ISNA(MATCH(C2057,po_code,0)),"Poste inconnu",IF(D2057="","Cause manquante",IF(ISNA(MATCH(D2057,ca_name,0)),"Cause inconnue",IF(H2057="","Cause à compléter dans Paramètres",IF(OR(NOT(ISNUMBER(E2057)),N(E2057)&lt;=0,N(E2057)&gt;1440),"Durée invalide",IF(COUNTIFS(sj_date,A2057,sj_eq,B2057,sj_po,C2057)=0,"Pas de saisie journalière ce jour-là","OK")))))))))))</f>
        <v/>
      </c>
      <c r="J2057">
        <f>IF(OR(I2057="OK",I2057="Pas de saisie journalière ce jour-là"),E2057,0)</f>
        <v>0.0</v>
      </c>
      <c r="K2057">
        <f>IF(AND(J2057&gt;0,A2057&gt;=p_from,A2057&lt;=p_to),1,0)</f>
        <v>0.0</v>
      </c>
      <c r="L2057">
        <f>IF(AND(K2057=1,OR(pa_po="",C2057=pa_po),OR(pa_eq="",B2057=pa_eq)),1,0)</f>
        <v>0.0</v>
      </c>
    </row>
    <row r="2058">
      <c r="A2058" s="51" t="n"/>
      <c r="B2058" s="52" t="n"/>
      <c r="C2058" s="52" t="n"/>
      <c r="D2058" s="53" t="n"/>
      <c r="E2058" s="60" t="n"/>
      <c r="F2058" s="53" t="n"/>
      <c r="G2058" s="61" t="str">
        <f>IF(OR(COUNTA(A2058:E2058)=0,D2058=""),"",IFERROR(INDEX(ca_fam,MATCH(D2058,ca_name,0))&amp;"",""))</f>
        <v/>
      </c>
      <c r="H2058" s="58" t="str">
        <f>IF(OR(COUNTA(A2058:E2058)=0,D2058=""),"",IFERROR(INDEX(ca_type,MATCH(D2058,ca_name,0))&amp;"",""))</f>
        <v/>
      </c>
      <c r="I2058" s="58" t="str">
        <f>IF(COUNTA(A2058:E2058)=0,"",IF(N(A2058)&lt;=0,"Date manquante ou invalide",IF(B2058="","Équipe manquante",IF(ISNA(MATCH(B2058,eq_code,0)),"Équipe inconnue",IF(C2058="","Poste manquant",IF(ISNA(MATCH(C2058,po_code,0)),"Poste inconnu",IF(D2058="","Cause manquante",IF(ISNA(MATCH(D2058,ca_name,0)),"Cause inconnue",IF(H2058="","Cause à compléter dans Paramètres",IF(OR(NOT(ISNUMBER(E2058)),N(E2058)&lt;=0,N(E2058)&gt;1440),"Durée invalide",IF(COUNTIFS(sj_date,A2058,sj_eq,B2058,sj_po,C2058)=0,"Pas de saisie journalière ce jour-là","OK")))))))))))</f>
        <v/>
      </c>
      <c r="J2058">
        <f>IF(OR(I2058="OK",I2058="Pas de saisie journalière ce jour-là"),E2058,0)</f>
        <v>0.0</v>
      </c>
      <c r="K2058">
        <f>IF(AND(J2058&gt;0,A2058&gt;=p_from,A2058&lt;=p_to),1,0)</f>
        <v>0.0</v>
      </c>
      <c r="L2058">
        <f>IF(AND(K2058=1,OR(pa_po="",C2058=pa_po),OR(pa_eq="",B2058=pa_eq)),1,0)</f>
        <v>0.0</v>
      </c>
    </row>
    <row r="2059">
      <c r="A2059" s="51" t="n"/>
      <c r="B2059" s="52" t="n"/>
      <c r="C2059" s="52" t="n"/>
      <c r="D2059" s="53" t="n"/>
      <c r="E2059" s="60" t="n"/>
      <c r="F2059" s="53" t="n"/>
      <c r="G2059" s="61" t="str">
        <f>IF(OR(COUNTA(A2059:E2059)=0,D2059=""),"",IFERROR(INDEX(ca_fam,MATCH(D2059,ca_name,0))&amp;"",""))</f>
        <v/>
      </c>
      <c r="H2059" s="58" t="str">
        <f>IF(OR(COUNTA(A2059:E2059)=0,D2059=""),"",IFERROR(INDEX(ca_type,MATCH(D2059,ca_name,0))&amp;"",""))</f>
        <v/>
      </c>
      <c r="I2059" s="58" t="str">
        <f>IF(COUNTA(A2059:E2059)=0,"",IF(N(A2059)&lt;=0,"Date manquante ou invalide",IF(B2059="","Équipe manquante",IF(ISNA(MATCH(B2059,eq_code,0)),"Équipe inconnue",IF(C2059="","Poste manquant",IF(ISNA(MATCH(C2059,po_code,0)),"Poste inconnu",IF(D2059="","Cause manquante",IF(ISNA(MATCH(D2059,ca_name,0)),"Cause inconnue",IF(H2059="","Cause à compléter dans Paramètres",IF(OR(NOT(ISNUMBER(E2059)),N(E2059)&lt;=0,N(E2059)&gt;1440),"Durée invalide",IF(COUNTIFS(sj_date,A2059,sj_eq,B2059,sj_po,C2059)=0,"Pas de saisie journalière ce jour-là","OK")))))))))))</f>
        <v/>
      </c>
      <c r="J2059">
        <f>IF(OR(I2059="OK",I2059="Pas de saisie journalière ce jour-là"),E2059,0)</f>
        <v>0.0</v>
      </c>
      <c r="K2059">
        <f>IF(AND(J2059&gt;0,A2059&gt;=p_from,A2059&lt;=p_to),1,0)</f>
        <v>0.0</v>
      </c>
      <c r="L2059">
        <f>IF(AND(K2059=1,OR(pa_po="",C2059=pa_po),OR(pa_eq="",B2059=pa_eq)),1,0)</f>
        <v>0.0</v>
      </c>
    </row>
    <row r="2060">
      <c r="A2060" s="51" t="n"/>
      <c r="B2060" s="52" t="n"/>
      <c r="C2060" s="52" t="n"/>
      <c r="D2060" s="53" t="n"/>
      <c r="E2060" s="60" t="n"/>
      <c r="F2060" s="53" t="n"/>
      <c r="G2060" s="61" t="str">
        <f>IF(OR(COUNTA(A2060:E2060)=0,D2060=""),"",IFERROR(INDEX(ca_fam,MATCH(D2060,ca_name,0))&amp;"",""))</f>
        <v/>
      </c>
      <c r="H2060" s="58" t="str">
        <f>IF(OR(COUNTA(A2060:E2060)=0,D2060=""),"",IFERROR(INDEX(ca_type,MATCH(D2060,ca_name,0))&amp;"",""))</f>
        <v/>
      </c>
      <c r="I2060" s="58" t="str">
        <f>IF(COUNTA(A2060:E2060)=0,"",IF(N(A2060)&lt;=0,"Date manquante ou invalide",IF(B2060="","Équipe manquante",IF(ISNA(MATCH(B2060,eq_code,0)),"Équipe inconnue",IF(C2060="","Poste manquant",IF(ISNA(MATCH(C2060,po_code,0)),"Poste inconnu",IF(D2060="","Cause manquante",IF(ISNA(MATCH(D2060,ca_name,0)),"Cause inconnue",IF(H2060="","Cause à compléter dans Paramètres",IF(OR(NOT(ISNUMBER(E2060)),N(E2060)&lt;=0,N(E2060)&gt;1440),"Durée invalide",IF(COUNTIFS(sj_date,A2060,sj_eq,B2060,sj_po,C2060)=0,"Pas de saisie journalière ce jour-là","OK")))))))))))</f>
        <v/>
      </c>
      <c r="J2060">
        <f>IF(OR(I2060="OK",I2060="Pas de saisie journalière ce jour-là"),E2060,0)</f>
        <v>0.0</v>
      </c>
      <c r="K2060">
        <f>IF(AND(J2060&gt;0,A2060&gt;=p_from,A2060&lt;=p_to),1,0)</f>
        <v>0.0</v>
      </c>
      <c r="L2060">
        <f>IF(AND(K2060=1,OR(pa_po="",C2060=pa_po),OR(pa_eq="",B2060=pa_eq)),1,0)</f>
        <v>0.0</v>
      </c>
    </row>
    <row r="2061">
      <c r="A2061" s="51" t="n"/>
      <c r="B2061" s="52" t="n"/>
      <c r="C2061" s="52" t="n"/>
      <c r="D2061" s="53" t="n"/>
      <c r="E2061" s="60" t="n"/>
      <c r="F2061" s="53" t="n"/>
      <c r="G2061" s="61" t="str">
        <f>IF(OR(COUNTA(A2061:E2061)=0,D2061=""),"",IFERROR(INDEX(ca_fam,MATCH(D2061,ca_name,0))&amp;"",""))</f>
        <v/>
      </c>
      <c r="H2061" s="58" t="str">
        <f>IF(OR(COUNTA(A2061:E2061)=0,D2061=""),"",IFERROR(INDEX(ca_type,MATCH(D2061,ca_name,0))&amp;"",""))</f>
        <v/>
      </c>
      <c r="I2061" s="58" t="str">
        <f>IF(COUNTA(A2061:E2061)=0,"",IF(N(A2061)&lt;=0,"Date manquante ou invalide",IF(B2061="","Équipe manquante",IF(ISNA(MATCH(B2061,eq_code,0)),"Équipe inconnue",IF(C2061="","Poste manquant",IF(ISNA(MATCH(C2061,po_code,0)),"Poste inconnu",IF(D2061="","Cause manquante",IF(ISNA(MATCH(D2061,ca_name,0)),"Cause inconnue",IF(H2061="","Cause à compléter dans Paramètres",IF(OR(NOT(ISNUMBER(E2061)),N(E2061)&lt;=0,N(E2061)&gt;1440),"Durée invalide",IF(COUNTIFS(sj_date,A2061,sj_eq,B2061,sj_po,C2061)=0,"Pas de saisie journalière ce jour-là","OK")))))))))))</f>
        <v/>
      </c>
      <c r="J2061">
        <f>IF(OR(I2061="OK",I2061="Pas de saisie journalière ce jour-là"),E2061,0)</f>
        <v>0.0</v>
      </c>
      <c r="K2061">
        <f>IF(AND(J2061&gt;0,A2061&gt;=p_from,A2061&lt;=p_to),1,0)</f>
        <v>0.0</v>
      </c>
      <c r="L2061">
        <f>IF(AND(K2061=1,OR(pa_po="",C2061=pa_po),OR(pa_eq="",B2061=pa_eq)),1,0)</f>
        <v>0.0</v>
      </c>
    </row>
    <row r="2062">
      <c r="A2062" s="51" t="n"/>
      <c r="B2062" s="52" t="n"/>
      <c r="C2062" s="52" t="n"/>
      <c r="D2062" s="53" t="n"/>
      <c r="E2062" s="60" t="n"/>
      <c r="F2062" s="53" t="n"/>
      <c r="G2062" s="61" t="str">
        <f>IF(OR(COUNTA(A2062:E2062)=0,D2062=""),"",IFERROR(INDEX(ca_fam,MATCH(D2062,ca_name,0))&amp;"",""))</f>
        <v/>
      </c>
      <c r="H2062" s="58" t="str">
        <f>IF(OR(COUNTA(A2062:E2062)=0,D2062=""),"",IFERROR(INDEX(ca_type,MATCH(D2062,ca_name,0))&amp;"",""))</f>
        <v/>
      </c>
      <c r="I2062" s="58" t="str">
        <f>IF(COUNTA(A2062:E2062)=0,"",IF(N(A2062)&lt;=0,"Date manquante ou invalide",IF(B2062="","Équipe manquante",IF(ISNA(MATCH(B2062,eq_code,0)),"Équipe inconnue",IF(C2062="","Poste manquant",IF(ISNA(MATCH(C2062,po_code,0)),"Poste inconnu",IF(D2062="","Cause manquante",IF(ISNA(MATCH(D2062,ca_name,0)),"Cause inconnue",IF(H2062="","Cause à compléter dans Paramètres",IF(OR(NOT(ISNUMBER(E2062)),N(E2062)&lt;=0,N(E2062)&gt;1440),"Durée invalide",IF(COUNTIFS(sj_date,A2062,sj_eq,B2062,sj_po,C2062)=0,"Pas de saisie journalière ce jour-là","OK")))))))))))</f>
        <v/>
      </c>
      <c r="J2062">
        <f>IF(OR(I2062="OK",I2062="Pas de saisie journalière ce jour-là"),E2062,0)</f>
        <v>0.0</v>
      </c>
      <c r="K2062">
        <f>IF(AND(J2062&gt;0,A2062&gt;=p_from,A2062&lt;=p_to),1,0)</f>
        <v>0.0</v>
      </c>
      <c r="L2062">
        <f>IF(AND(K2062=1,OR(pa_po="",C2062=pa_po),OR(pa_eq="",B2062=pa_eq)),1,0)</f>
        <v>0.0</v>
      </c>
    </row>
    <row r="2063">
      <c r="A2063" s="51" t="n"/>
      <c r="B2063" s="52" t="n"/>
      <c r="C2063" s="52" t="n"/>
      <c r="D2063" s="53" t="n"/>
      <c r="E2063" s="60" t="n"/>
      <c r="F2063" s="53" t="n"/>
      <c r="G2063" s="61" t="str">
        <f>IF(OR(COUNTA(A2063:E2063)=0,D2063=""),"",IFERROR(INDEX(ca_fam,MATCH(D2063,ca_name,0))&amp;"",""))</f>
        <v/>
      </c>
      <c r="H2063" s="58" t="str">
        <f>IF(OR(COUNTA(A2063:E2063)=0,D2063=""),"",IFERROR(INDEX(ca_type,MATCH(D2063,ca_name,0))&amp;"",""))</f>
        <v/>
      </c>
      <c r="I2063" s="58" t="str">
        <f>IF(COUNTA(A2063:E2063)=0,"",IF(N(A2063)&lt;=0,"Date manquante ou invalide",IF(B2063="","Équipe manquante",IF(ISNA(MATCH(B2063,eq_code,0)),"Équipe inconnue",IF(C2063="","Poste manquant",IF(ISNA(MATCH(C2063,po_code,0)),"Poste inconnu",IF(D2063="","Cause manquante",IF(ISNA(MATCH(D2063,ca_name,0)),"Cause inconnue",IF(H2063="","Cause à compléter dans Paramètres",IF(OR(NOT(ISNUMBER(E2063)),N(E2063)&lt;=0,N(E2063)&gt;1440),"Durée invalide",IF(COUNTIFS(sj_date,A2063,sj_eq,B2063,sj_po,C2063)=0,"Pas de saisie journalière ce jour-là","OK")))))))))))</f>
        <v/>
      </c>
      <c r="J2063">
        <f>IF(OR(I2063="OK",I2063="Pas de saisie journalière ce jour-là"),E2063,0)</f>
        <v>0.0</v>
      </c>
      <c r="K2063">
        <f>IF(AND(J2063&gt;0,A2063&gt;=p_from,A2063&lt;=p_to),1,0)</f>
        <v>0.0</v>
      </c>
      <c r="L2063">
        <f>IF(AND(K2063=1,OR(pa_po="",C2063=pa_po),OR(pa_eq="",B2063=pa_eq)),1,0)</f>
        <v>0.0</v>
      </c>
    </row>
    <row r="2064">
      <c r="A2064" s="51" t="n"/>
      <c r="B2064" s="52" t="n"/>
      <c r="C2064" s="52" t="n"/>
      <c r="D2064" s="53" t="n"/>
      <c r="E2064" s="60" t="n"/>
      <c r="F2064" s="53" t="n"/>
      <c r="G2064" s="61" t="str">
        <f>IF(OR(COUNTA(A2064:E2064)=0,D2064=""),"",IFERROR(INDEX(ca_fam,MATCH(D2064,ca_name,0))&amp;"",""))</f>
        <v/>
      </c>
      <c r="H2064" s="58" t="str">
        <f>IF(OR(COUNTA(A2064:E2064)=0,D2064=""),"",IFERROR(INDEX(ca_type,MATCH(D2064,ca_name,0))&amp;"",""))</f>
        <v/>
      </c>
      <c r="I2064" s="58" t="str">
        <f>IF(COUNTA(A2064:E2064)=0,"",IF(N(A2064)&lt;=0,"Date manquante ou invalide",IF(B2064="","Équipe manquante",IF(ISNA(MATCH(B2064,eq_code,0)),"Équipe inconnue",IF(C2064="","Poste manquant",IF(ISNA(MATCH(C2064,po_code,0)),"Poste inconnu",IF(D2064="","Cause manquante",IF(ISNA(MATCH(D2064,ca_name,0)),"Cause inconnue",IF(H2064="","Cause à compléter dans Paramètres",IF(OR(NOT(ISNUMBER(E2064)),N(E2064)&lt;=0,N(E2064)&gt;1440),"Durée invalide",IF(COUNTIFS(sj_date,A2064,sj_eq,B2064,sj_po,C2064)=0,"Pas de saisie journalière ce jour-là","OK")))))))))))</f>
        <v/>
      </c>
      <c r="J2064">
        <f>IF(OR(I2064="OK",I2064="Pas de saisie journalière ce jour-là"),E2064,0)</f>
        <v>0.0</v>
      </c>
      <c r="K2064">
        <f>IF(AND(J2064&gt;0,A2064&gt;=p_from,A2064&lt;=p_to),1,0)</f>
        <v>0.0</v>
      </c>
      <c r="L2064">
        <f>IF(AND(K2064=1,OR(pa_po="",C2064=pa_po),OR(pa_eq="",B2064=pa_eq)),1,0)</f>
        <v>0.0</v>
      </c>
    </row>
    <row r="2065">
      <c r="A2065" s="51" t="n"/>
      <c r="B2065" s="52" t="n"/>
      <c r="C2065" s="52" t="n"/>
      <c r="D2065" s="53" t="n"/>
      <c r="E2065" s="60" t="n"/>
      <c r="F2065" s="53" t="n"/>
      <c r="G2065" s="61" t="str">
        <f>IF(OR(COUNTA(A2065:E2065)=0,D2065=""),"",IFERROR(INDEX(ca_fam,MATCH(D2065,ca_name,0))&amp;"",""))</f>
        <v/>
      </c>
      <c r="H2065" s="58" t="str">
        <f>IF(OR(COUNTA(A2065:E2065)=0,D2065=""),"",IFERROR(INDEX(ca_type,MATCH(D2065,ca_name,0))&amp;"",""))</f>
        <v/>
      </c>
      <c r="I2065" s="58" t="str">
        <f>IF(COUNTA(A2065:E2065)=0,"",IF(N(A2065)&lt;=0,"Date manquante ou invalide",IF(B2065="","Équipe manquante",IF(ISNA(MATCH(B2065,eq_code,0)),"Équipe inconnue",IF(C2065="","Poste manquant",IF(ISNA(MATCH(C2065,po_code,0)),"Poste inconnu",IF(D2065="","Cause manquante",IF(ISNA(MATCH(D2065,ca_name,0)),"Cause inconnue",IF(H2065="","Cause à compléter dans Paramètres",IF(OR(NOT(ISNUMBER(E2065)),N(E2065)&lt;=0,N(E2065)&gt;1440),"Durée invalide",IF(COUNTIFS(sj_date,A2065,sj_eq,B2065,sj_po,C2065)=0,"Pas de saisie journalière ce jour-là","OK")))))))))))</f>
        <v/>
      </c>
      <c r="J2065">
        <f>IF(OR(I2065="OK",I2065="Pas de saisie journalière ce jour-là"),E2065,0)</f>
        <v>0.0</v>
      </c>
      <c r="K2065">
        <f>IF(AND(J2065&gt;0,A2065&gt;=p_from,A2065&lt;=p_to),1,0)</f>
        <v>0.0</v>
      </c>
      <c r="L2065">
        <f>IF(AND(K2065=1,OR(pa_po="",C2065=pa_po),OR(pa_eq="",B2065=pa_eq)),1,0)</f>
        <v>0.0</v>
      </c>
    </row>
    <row r="2066">
      <c r="A2066" s="51" t="n"/>
      <c r="B2066" s="52" t="n"/>
      <c r="C2066" s="52" t="n"/>
      <c r="D2066" s="53" t="n"/>
      <c r="E2066" s="60" t="n"/>
      <c r="F2066" s="53" t="n"/>
      <c r="G2066" s="61" t="str">
        <f>IF(OR(COUNTA(A2066:E2066)=0,D2066=""),"",IFERROR(INDEX(ca_fam,MATCH(D2066,ca_name,0))&amp;"",""))</f>
        <v/>
      </c>
      <c r="H2066" s="58" t="str">
        <f>IF(OR(COUNTA(A2066:E2066)=0,D2066=""),"",IFERROR(INDEX(ca_type,MATCH(D2066,ca_name,0))&amp;"",""))</f>
        <v/>
      </c>
      <c r="I2066" s="58" t="str">
        <f>IF(COUNTA(A2066:E2066)=0,"",IF(N(A2066)&lt;=0,"Date manquante ou invalide",IF(B2066="","Équipe manquante",IF(ISNA(MATCH(B2066,eq_code,0)),"Équipe inconnue",IF(C2066="","Poste manquant",IF(ISNA(MATCH(C2066,po_code,0)),"Poste inconnu",IF(D2066="","Cause manquante",IF(ISNA(MATCH(D2066,ca_name,0)),"Cause inconnue",IF(H2066="","Cause à compléter dans Paramètres",IF(OR(NOT(ISNUMBER(E2066)),N(E2066)&lt;=0,N(E2066)&gt;1440),"Durée invalide",IF(COUNTIFS(sj_date,A2066,sj_eq,B2066,sj_po,C2066)=0,"Pas de saisie journalière ce jour-là","OK")))))))))))</f>
        <v/>
      </c>
      <c r="J2066">
        <f>IF(OR(I2066="OK",I2066="Pas de saisie journalière ce jour-là"),E2066,0)</f>
        <v>0.0</v>
      </c>
      <c r="K2066">
        <f>IF(AND(J2066&gt;0,A2066&gt;=p_from,A2066&lt;=p_to),1,0)</f>
        <v>0.0</v>
      </c>
      <c r="L2066">
        <f>IF(AND(K2066=1,OR(pa_po="",C2066=pa_po),OR(pa_eq="",B2066=pa_eq)),1,0)</f>
        <v>0.0</v>
      </c>
    </row>
    <row r="2067">
      <c r="A2067" s="51" t="n"/>
      <c r="B2067" s="52" t="n"/>
      <c r="C2067" s="52" t="n"/>
      <c r="D2067" s="53" t="n"/>
      <c r="E2067" s="60" t="n"/>
      <c r="F2067" s="53" t="n"/>
      <c r="G2067" s="61" t="str">
        <f>IF(OR(COUNTA(A2067:E2067)=0,D2067=""),"",IFERROR(INDEX(ca_fam,MATCH(D2067,ca_name,0))&amp;"",""))</f>
        <v/>
      </c>
      <c r="H2067" s="58" t="str">
        <f>IF(OR(COUNTA(A2067:E2067)=0,D2067=""),"",IFERROR(INDEX(ca_type,MATCH(D2067,ca_name,0))&amp;"",""))</f>
        <v/>
      </c>
      <c r="I2067" s="58" t="str">
        <f>IF(COUNTA(A2067:E2067)=0,"",IF(N(A2067)&lt;=0,"Date manquante ou invalide",IF(B2067="","Équipe manquante",IF(ISNA(MATCH(B2067,eq_code,0)),"Équipe inconnue",IF(C2067="","Poste manquant",IF(ISNA(MATCH(C2067,po_code,0)),"Poste inconnu",IF(D2067="","Cause manquante",IF(ISNA(MATCH(D2067,ca_name,0)),"Cause inconnue",IF(H2067="","Cause à compléter dans Paramètres",IF(OR(NOT(ISNUMBER(E2067)),N(E2067)&lt;=0,N(E2067)&gt;1440),"Durée invalide",IF(COUNTIFS(sj_date,A2067,sj_eq,B2067,sj_po,C2067)=0,"Pas de saisie journalière ce jour-là","OK")))))))))))</f>
        <v/>
      </c>
      <c r="J2067">
        <f>IF(OR(I2067="OK",I2067="Pas de saisie journalière ce jour-là"),E2067,0)</f>
        <v>0.0</v>
      </c>
      <c r="K2067">
        <f>IF(AND(J2067&gt;0,A2067&gt;=p_from,A2067&lt;=p_to),1,0)</f>
        <v>0.0</v>
      </c>
      <c r="L2067">
        <f>IF(AND(K2067=1,OR(pa_po="",C2067=pa_po),OR(pa_eq="",B2067=pa_eq)),1,0)</f>
        <v>0.0</v>
      </c>
    </row>
    <row r="2068">
      <c r="A2068" s="51" t="n"/>
      <c r="B2068" s="52" t="n"/>
      <c r="C2068" s="52" t="n"/>
      <c r="D2068" s="53" t="n"/>
      <c r="E2068" s="60" t="n"/>
      <c r="F2068" s="53" t="n"/>
      <c r="G2068" s="61" t="str">
        <f>IF(OR(COUNTA(A2068:E2068)=0,D2068=""),"",IFERROR(INDEX(ca_fam,MATCH(D2068,ca_name,0))&amp;"",""))</f>
        <v/>
      </c>
      <c r="H2068" s="58" t="str">
        <f>IF(OR(COUNTA(A2068:E2068)=0,D2068=""),"",IFERROR(INDEX(ca_type,MATCH(D2068,ca_name,0))&amp;"",""))</f>
        <v/>
      </c>
      <c r="I2068" s="58" t="str">
        <f>IF(COUNTA(A2068:E2068)=0,"",IF(N(A2068)&lt;=0,"Date manquante ou invalide",IF(B2068="","Équipe manquante",IF(ISNA(MATCH(B2068,eq_code,0)),"Équipe inconnue",IF(C2068="","Poste manquant",IF(ISNA(MATCH(C2068,po_code,0)),"Poste inconnu",IF(D2068="","Cause manquante",IF(ISNA(MATCH(D2068,ca_name,0)),"Cause inconnue",IF(H2068="","Cause à compléter dans Paramètres",IF(OR(NOT(ISNUMBER(E2068)),N(E2068)&lt;=0,N(E2068)&gt;1440),"Durée invalide",IF(COUNTIFS(sj_date,A2068,sj_eq,B2068,sj_po,C2068)=0,"Pas de saisie journalière ce jour-là","OK")))))))))))</f>
        <v/>
      </c>
      <c r="J2068">
        <f>IF(OR(I2068="OK",I2068="Pas de saisie journalière ce jour-là"),E2068,0)</f>
        <v>0.0</v>
      </c>
      <c r="K2068">
        <f>IF(AND(J2068&gt;0,A2068&gt;=p_from,A2068&lt;=p_to),1,0)</f>
        <v>0.0</v>
      </c>
      <c r="L2068">
        <f>IF(AND(K2068=1,OR(pa_po="",C2068=pa_po),OR(pa_eq="",B2068=pa_eq)),1,0)</f>
        <v>0.0</v>
      </c>
    </row>
    <row r="2069">
      <c r="A2069" s="51" t="n"/>
      <c r="B2069" s="52" t="n"/>
      <c r="C2069" s="52" t="n"/>
      <c r="D2069" s="53" t="n"/>
      <c r="E2069" s="60" t="n"/>
      <c r="F2069" s="53" t="n"/>
      <c r="G2069" s="61" t="str">
        <f>IF(OR(COUNTA(A2069:E2069)=0,D2069=""),"",IFERROR(INDEX(ca_fam,MATCH(D2069,ca_name,0))&amp;"",""))</f>
        <v/>
      </c>
      <c r="H2069" s="58" t="str">
        <f>IF(OR(COUNTA(A2069:E2069)=0,D2069=""),"",IFERROR(INDEX(ca_type,MATCH(D2069,ca_name,0))&amp;"",""))</f>
        <v/>
      </c>
      <c r="I2069" s="58" t="str">
        <f>IF(COUNTA(A2069:E2069)=0,"",IF(N(A2069)&lt;=0,"Date manquante ou invalide",IF(B2069="","Équipe manquante",IF(ISNA(MATCH(B2069,eq_code,0)),"Équipe inconnue",IF(C2069="","Poste manquant",IF(ISNA(MATCH(C2069,po_code,0)),"Poste inconnu",IF(D2069="","Cause manquante",IF(ISNA(MATCH(D2069,ca_name,0)),"Cause inconnue",IF(H2069="","Cause à compléter dans Paramètres",IF(OR(NOT(ISNUMBER(E2069)),N(E2069)&lt;=0,N(E2069)&gt;1440),"Durée invalide",IF(COUNTIFS(sj_date,A2069,sj_eq,B2069,sj_po,C2069)=0,"Pas de saisie journalière ce jour-là","OK")))))))))))</f>
        <v/>
      </c>
      <c r="J2069">
        <f>IF(OR(I2069="OK",I2069="Pas de saisie journalière ce jour-là"),E2069,0)</f>
        <v>0.0</v>
      </c>
      <c r="K2069">
        <f>IF(AND(J2069&gt;0,A2069&gt;=p_from,A2069&lt;=p_to),1,0)</f>
        <v>0.0</v>
      </c>
      <c r="L2069">
        <f>IF(AND(K2069=1,OR(pa_po="",C2069=pa_po),OR(pa_eq="",B2069=pa_eq)),1,0)</f>
        <v>0.0</v>
      </c>
    </row>
    <row r="2070">
      <c r="A2070" s="51" t="n"/>
      <c r="B2070" s="52" t="n"/>
      <c r="C2070" s="52" t="n"/>
      <c r="D2070" s="53" t="n"/>
      <c r="E2070" s="60" t="n"/>
      <c r="F2070" s="53" t="n"/>
      <c r="G2070" s="61" t="str">
        <f>IF(OR(COUNTA(A2070:E2070)=0,D2070=""),"",IFERROR(INDEX(ca_fam,MATCH(D2070,ca_name,0))&amp;"",""))</f>
        <v/>
      </c>
      <c r="H2070" s="58" t="str">
        <f>IF(OR(COUNTA(A2070:E2070)=0,D2070=""),"",IFERROR(INDEX(ca_type,MATCH(D2070,ca_name,0))&amp;"",""))</f>
        <v/>
      </c>
      <c r="I2070" s="58" t="str">
        <f>IF(COUNTA(A2070:E2070)=0,"",IF(N(A2070)&lt;=0,"Date manquante ou invalide",IF(B2070="","Équipe manquante",IF(ISNA(MATCH(B2070,eq_code,0)),"Équipe inconnue",IF(C2070="","Poste manquant",IF(ISNA(MATCH(C2070,po_code,0)),"Poste inconnu",IF(D2070="","Cause manquante",IF(ISNA(MATCH(D2070,ca_name,0)),"Cause inconnue",IF(H2070="","Cause à compléter dans Paramètres",IF(OR(NOT(ISNUMBER(E2070)),N(E2070)&lt;=0,N(E2070)&gt;1440),"Durée invalide",IF(COUNTIFS(sj_date,A2070,sj_eq,B2070,sj_po,C2070)=0,"Pas de saisie journalière ce jour-là","OK")))))))))))</f>
        <v/>
      </c>
      <c r="J2070">
        <f>IF(OR(I2070="OK",I2070="Pas de saisie journalière ce jour-là"),E2070,0)</f>
        <v>0.0</v>
      </c>
      <c r="K2070">
        <f>IF(AND(J2070&gt;0,A2070&gt;=p_from,A2070&lt;=p_to),1,0)</f>
        <v>0.0</v>
      </c>
      <c r="L2070">
        <f>IF(AND(K2070=1,OR(pa_po="",C2070=pa_po),OR(pa_eq="",B2070=pa_eq)),1,0)</f>
        <v>0.0</v>
      </c>
    </row>
    <row r="2071">
      <c r="A2071" s="51" t="n"/>
      <c r="B2071" s="52" t="n"/>
      <c r="C2071" s="52" t="n"/>
      <c r="D2071" s="53" t="n"/>
      <c r="E2071" s="60" t="n"/>
      <c r="F2071" s="53" t="n"/>
      <c r="G2071" s="61" t="str">
        <f>IF(OR(COUNTA(A2071:E2071)=0,D2071=""),"",IFERROR(INDEX(ca_fam,MATCH(D2071,ca_name,0))&amp;"",""))</f>
        <v/>
      </c>
      <c r="H2071" s="58" t="str">
        <f>IF(OR(COUNTA(A2071:E2071)=0,D2071=""),"",IFERROR(INDEX(ca_type,MATCH(D2071,ca_name,0))&amp;"",""))</f>
        <v/>
      </c>
      <c r="I2071" s="58" t="str">
        <f>IF(COUNTA(A2071:E2071)=0,"",IF(N(A2071)&lt;=0,"Date manquante ou invalide",IF(B2071="","Équipe manquante",IF(ISNA(MATCH(B2071,eq_code,0)),"Équipe inconnue",IF(C2071="","Poste manquant",IF(ISNA(MATCH(C2071,po_code,0)),"Poste inconnu",IF(D2071="","Cause manquante",IF(ISNA(MATCH(D2071,ca_name,0)),"Cause inconnue",IF(H2071="","Cause à compléter dans Paramètres",IF(OR(NOT(ISNUMBER(E2071)),N(E2071)&lt;=0,N(E2071)&gt;1440),"Durée invalide",IF(COUNTIFS(sj_date,A2071,sj_eq,B2071,sj_po,C2071)=0,"Pas de saisie journalière ce jour-là","OK")))))))))))</f>
        <v/>
      </c>
      <c r="J2071">
        <f>IF(OR(I2071="OK",I2071="Pas de saisie journalière ce jour-là"),E2071,0)</f>
        <v>0.0</v>
      </c>
      <c r="K2071">
        <f>IF(AND(J2071&gt;0,A2071&gt;=p_from,A2071&lt;=p_to),1,0)</f>
        <v>0.0</v>
      </c>
      <c r="L2071">
        <f>IF(AND(K2071=1,OR(pa_po="",C2071=pa_po),OR(pa_eq="",B2071=pa_eq)),1,0)</f>
        <v>0.0</v>
      </c>
    </row>
    <row r="2072">
      <c r="A2072" s="51" t="n"/>
      <c r="B2072" s="52" t="n"/>
      <c r="C2072" s="52" t="n"/>
      <c r="D2072" s="53" t="n"/>
      <c r="E2072" s="60" t="n"/>
      <c r="F2072" s="53" t="n"/>
      <c r="G2072" s="61" t="str">
        <f>IF(OR(COUNTA(A2072:E2072)=0,D2072=""),"",IFERROR(INDEX(ca_fam,MATCH(D2072,ca_name,0))&amp;"",""))</f>
        <v/>
      </c>
      <c r="H2072" s="58" t="str">
        <f>IF(OR(COUNTA(A2072:E2072)=0,D2072=""),"",IFERROR(INDEX(ca_type,MATCH(D2072,ca_name,0))&amp;"",""))</f>
        <v/>
      </c>
      <c r="I2072" s="58" t="str">
        <f>IF(COUNTA(A2072:E2072)=0,"",IF(N(A2072)&lt;=0,"Date manquante ou invalide",IF(B2072="","Équipe manquante",IF(ISNA(MATCH(B2072,eq_code,0)),"Équipe inconnue",IF(C2072="","Poste manquant",IF(ISNA(MATCH(C2072,po_code,0)),"Poste inconnu",IF(D2072="","Cause manquante",IF(ISNA(MATCH(D2072,ca_name,0)),"Cause inconnue",IF(H2072="","Cause à compléter dans Paramètres",IF(OR(NOT(ISNUMBER(E2072)),N(E2072)&lt;=0,N(E2072)&gt;1440),"Durée invalide",IF(COUNTIFS(sj_date,A2072,sj_eq,B2072,sj_po,C2072)=0,"Pas de saisie journalière ce jour-là","OK")))))))))))</f>
        <v/>
      </c>
      <c r="J2072">
        <f>IF(OR(I2072="OK",I2072="Pas de saisie journalière ce jour-là"),E2072,0)</f>
        <v>0.0</v>
      </c>
      <c r="K2072">
        <f>IF(AND(J2072&gt;0,A2072&gt;=p_from,A2072&lt;=p_to),1,0)</f>
        <v>0.0</v>
      </c>
      <c r="L2072">
        <f>IF(AND(K2072=1,OR(pa_po="",C2072=pa_po),OR(pa_eq="",B2072=pa_eq)),1,0)</f>
        <v>0.0</v>
      </c>
    </row>
    <row r="2073">
      <c r="A2073" s="51" t="n"/>
      <c r="B2073" s="52" t="n"/>
      <c r="C2073" s="52" t="n"/>
      <c r="D2073" s="53" t="n"/>
      <c r="E2073" s="60" t="n"/>
      <c r="F2073" s="53" t="n"/>
      <c r="G2073" s="61" t="str">
        <f>IF(OR(COUNTA(A2073:E2073)=0,D2073=""),"",IFERROR(INDEX(ca_fam,MATCH(D2073,ca_name,0))&amp;"",""))</f>
        <v/>
      </c>
      <c r="H2073" s="58" t="str">
        <f>IF(OR(COUNTA(A2073:E2073)=0,D2073=""),"",IFERROR(INDEX(ca_type,MATCH(D2073,ca_name,0))&amp;"",""))</f>
        <v/>
      </c>
      <c r="I2073" s="58" t="str">
        <f>IF(COUNTA(A2073:E2073)=0,"",IF(N(A2073)&lt;=0,"Date manquante ou invalide",IF(B2073="","Équipe manquante",IF(ISNA(MATCH(B2073,eq_code,0)),"Équipe inconnue",IF(C2073="","Poste manquant",IF(ISNA(MATCH(C2073,po_code,0)),"Poste inconnu",IF(D2073="","Cause manquante",IF(ISNA(MATCH(D2073,ca_name,0)),"Cause inconnue",IF(H2073="","Cause à compléter dans Paramètres",IF(OR(NOT(ISNUMBER(E2073)),N(E2073)&lt;=0,N(E2073)&gt;1440),"Durée invalide",IF(COUNTIFS(sj_date,A2073,sj_eq,B2073,sj_po,C2073)=0,"Pas de saisie journalière ce jour-là","OK")))))))))))</f>
        <v/>
      </c>
      <c r="J2073">
        <f>IF(OR(I2073="OK",I2073="Pas de saisie journalière ce jour-là"),E2073,0)</f>
        <v>0.0</v>
      </c>
      <c r="K2073">
        <f>IF(AND(J2073&gt;0,A2073&gt;=p_from,A2073&lt;=p_to),1,0)</f>
        <v>0.0</v>
      </c>
      <c r="L2073">
        <f>IF(AND(K2073=1,OR(pa_po="",C2073=pa_po),OR(pa_eq="",B2073=pa_eq)),1,0)</f>
        <v>0.0</v>
      </c>
    </row>
    <row r="2074">
      <c r="A2074" s="51" t="n"/>
      <c r="B2074" s="52" t="n"/>
      <c r="C2074" s="52" t="n"/>
      <c r="D2074" s="53" t="n"/>
      <c r="E2074" s="60" t="n"/>
      <c r="F2074" s="53" t="n"/>
      <c r="G2074" s="61" t="str">
        <f>IF(OR(COUNTA(A2074:E2074)=0,D2074=""),"",IFERROR(INDEX(ca_fam,MATCH(D2074,ca_name,0))&amp;"",""))</f>
        <v/>
      </c>
      <c r="H2074" s="58" t="str">
        <f>IF(OR(COUNTA(A2074:E2074)=0,D2074=""),"",IFERROR(INDEX(ca_type,MATCH(D2074,ca_name,0))&amp;"",""))</f>
        <v/>
      </c>
      <c r="I2074" s="58" t="str">
        <f>IF(COUNTA(A2074:E2074)=0,"",IF(N(A2074)&lt;=0,"Date manquante ou invalide",IF(B2074="","Équipe manquante",IF(ISNA(MATCH(B2074,eq_code,0)),"Équipe inconnue",IF(C2074="","Poste manquant",IF(ISNA(MATCH(C2074,po_code,0)),"Poste inconnu",IF(D2074="","Cause manquante",IF(ISNA(MATCH(D2074,ca_name,0)),"Cause inconnue",IF(H2074="","Cause à compléter dans Paramètres",IF(OR(NOT(ISNUMBER(E2074)),N(E2074)&lt;=0,N(E2074)&gt;1440),"Durée invalide",IF(COUNTIFS(sj_date,A2074,sj_eq,B2074,sj_po,C2074)=0,"Pas de saisie journalière ce jour-là","OK")))))))))))</f>
        <v/>
      </c>
      <c r="J2074">
        <f>IF(OR(I2074="OK",I2074="Pas de saisie journalière ce jour-là"),E2074,0)</f>
        <v>0.0</v>
      </c>
      <c r="K2074">
        <f>IF(AND(J2074&gt;0,A2074&gt;=p_from,A2074&lt;=p_to),1,0)</f>
        <v>0.0</v>
      </c>
      <c r="L2074">
        <f>IF(AND(K2074=1,OR(pa_po="",C2074=pa_po),OR(pa_eq="",B2074=pa_eq)),1,0)</f>
        <v>0.0</v>
      </c>
    </row>
    <row r="2075">
      <c r="A2075" s="51" t="n"/>
      <c r="B2075" s="52" t="n"/>
      <c r="C2075" s="52" t="n"/>
      <c r="D2075" s="53" t="n"/>
      <c r="E2075" s="60" t="n"/>
      <c r="F2075" s="53" t="n"/>
      <c r="G2075" s="61" t="str">
        <f>IF(OR(COUNTA(A2075:E2075)=0,D2075=""),"",IFERROR(INDEX(ca_fam,MATCH(D2075,ca_name,0))&amp;"",""))</f>
        <v/>
      </c>
      <c r="H2075" s="58" t="str">
        <f>IF(OR(COUNTA(A2075:E2075)=0,D2075=""),"",IFERROR(INDEX(ca_type,MATCH(D2075,ca_name,0))&amp;"",""))</f>
        <v/>
      </c>
      <c r="I2075" s="58" t="str">
        <f>IF(COUNTA(A2075:E2075)=0,"",IF(N(A2075)&lt;=0,"Date manquante ou invalide",IF(B2075="","Équipe manquante",IF(ISNA(MATCH(B2075,eq_code,0)),"Équipe inconnue",IF(C2075="","Poste manquant",IF(ISNA(MATCH(C2075,po_code,0)),"Poste inconnu",IF(D2075="","Cause manquante",IF(ISNA(MATCH(D2075,ca_name,0)),"Cause inconnue",IF(H2075="","Cause à compléter dans Paramètres",IF(OR(NOT(ISNUMBER(E2075)),N(E2075)&lt;=0,N(E2075)&gt;1440),"Durée invalide",IF(COUNTIFS(sj_date,A2075,sj_eq,B2075,sj_po,C2075)=0,"Pas de saisie journalière ce jour-là","OK")))))))))))</f>
        <v/>
      </c>
      <c r="J2075">
        <f>IF(OR(I2075="OK",I2075="Pas de saisie journalière ce jour-là"),E2075,0)</f>
        <v>0.0</v>
      </c>
      <c r="K2075">
        <f>IF(AND(J2075&gt;0,A2075&gt;=p_from,A2075&lt;=p_to),1,0)</f>
        <v>0.0</v>
      </c>
      <c r="L2075">
        <f>IF(AND(K2075=1,OR(pa_po="",C2075=pa_po),OR(pa_eq="",B2075=pa_eq)),1,0)</f>
        <v>0.0</v>
      </c>
    </row>
    <row r="2076">
      <c r="A2076" s="51" t="n"/>
      <c r="B2076" s="52" t="n"/>
      <c r="C2076" s="52" t="n"/>
      <c r="D2076" s="53" t="n"/>
      <c r="E2076" s="60" t="n"/>
      <c r="F2076" s="53" t="n"/>
      <c r="G2076" s="61" t="str">
        <f>IF(OR(COUNTA(A2076:E2076)=0,D2076=""),"",IFERROR(INDEX(ca_fam,MATCH(D2076,ca_name,0))&amp;"",""))</f>
        <v/>
      </c>
      <c r="H2076" s="58" t="str">
        <f>IF(OR(COUNTA(A2076:E2076)=0,D2076=""),"",IFERROR(INDEX(ca_type,MATCH(D2076,ca_name,0))&amp;"",""))</f>
        <v/>
      </c>
      <c r="I2076" s="58" t="str">
        <f>IF(COUNTA(A2076:E2076)=0,"",IF(N(A2076)&lt;=0,"Date manquante ou invalide",IF(B2076="","Équipe manquante",IF(ISNA(MATCH(B2076,eq_code,0)),"Équipe inconnue",IF(C2076="","Poste manquant",IF(ISNA(MATCH(C2076,po_code,0)),"Poste inconnu",IF(D2076="","Cause manquante",IF(ISNA(MATCH(D2076,ca_name,0)),"Cause inconnue",IF(H2076="","Cause à compléter dans Paramètres",IF(OR(NOT(ISNUMBER(E2076)),N(E2076)&lt;=0,N(E2076)&gt;1440),"Durée invalide",IF(COUNTIFS(sj_date,A2076,sj_eq,B2076,sj_po,C2076)=0,"Pas de saisie journalière ce jour-là","OK")))))))))))</f>
        <v/>
      </c>
      <c r="J2076">
        <f>IF(OR(I2076="OK",I2076="Pas de saisie journalière ce jour-là"),E2076,0)</f>
        <v>0.0</v>
      </c>
      <c r="K2076">
        <f>IF(AND(J2076&gt;0,A2076&gt;=p_from,A2076&lt;=p_to),1,0)</f>
        <v>0.0</v>
      </c>
      <c r="L2076">
        <f>IF(AND(K2076=1,OR(pa_po="",C2076=pa_po),OR(pa_eq="",B2076=pa_eq)),1,0)</f>
        <v>0.0</v>
      </c>
    </row>
    <row r="2077">
      <c r="A2077" s="51" t="n"/>
      <c r="B2077" s="52" t="n"/>
      <c r="C2077" s="52" t="n"/>
      <c r="D2077" s="53" t="n"/>
      <c r="E2077" s="60" t="n"/>
      <c r="F2077" s="53" t="n"/>
      <c r="G2077" s="61" t="str">
        <f>IF(OR(COUNTA(A2077:E2077)=0,D2077=""),"",IFERROR(INDEX(ca_fam,MATCH(D2077,ca_name,0))&amp;"",""))</f>
        <v/>
      </c>
      <c r="H2077" s="58" t="str">
        <f>IF(OR(COUNTA(A2077:E2077)=0,D2077=""),"",IFERROR(INDEX(ca_type,MATCH(D2077,ca_name,0))&amp;"",""))</f>
        <v/>
      </c>
      <c r="I2077" s="58" t="str">
        <f>IF(COUNTA(A2077:E2077)=0,"",IF(N(A2077)&lt;=0,"Date manquante ou invalide",IF(B2077="","Équipe manquante",IF(ISNA(MATCH(B2077,eq_code,0)),"Équipe inconnue",IF(C2077="","Poste manquant",IF(ISNA(MATCH(C2077,po_code,0)),"Poste inconnu",IF(D2077="","Cause manquante",IF(ISNA(MATCH(D2077,ca_name,0)),"Cause inconnue",IF(H2077="","Cause à compléter dans Paramètres",IF(OR(NOT(ISNUMBER(E2077)),N(E2077)&lt;=0,N(E2077)&gt;1440),"Durée invalide",IF(COUNTIFS(sj_date,A2077,sj_eq,B2077,sj_po,C2077)=0,"Pas de saisie journalière ce jour-là","OK")))))))))))</f>
        <v/>
      </c>
      <c r="J2077">
        <f>IF(OR(I2077="OK",I2077="Pas de saisie journalière ce jour-là"),E2077,0)</f>
        <v>0.0</v>
      </c>
      <c r="K2077">
        <f>IF(AND(J2077&gt;0,A2077&gt;=p_from,A2077&lt;=p_to),1,0)</f>
        <v>0.0</v>
      </c>
      <c r="L2077">
        <f>IF(AND(K2077=1,OR(pa_po="",C2077=pa_po),OR(pa_eq="",B2077=pa_eq)),1,0)</f>
        <v>0.0</v>
      </c>
    </row>
    <row r="2078">
      <c r="A2078" s="51" t="n"/>
      <c r="B2078" s="52" t="n"/>
      <c r="C2078" s="52" t="n"/>
      <c r="D2078" s="53" t="n"/>
      <c r="E2078" s="60" t="n"/>
      <c r="F2078" s="53" t="n"/>
      <c r="G2078" s="61" t="str">
        <f>IF(OR(COUNTA(A2078:E2078)=0,D2078=""),"",IFERROR(INDEX(ca_fam,MATCH(D2078,ca_name,0))&amp;"",""))</f>
        <v/>
      </c>
      <c r="H2078" s="58" t="str">
        <f>IF(OR(COUNTA(A2078:E2078)=0,D2078=""),"",IFERROR(INDEX(ca_type,MATCH(D2078,ca_name,0))&amp;"",""))</f>
        <v/>
      </c>
      <c r="I2078" s="58" t="str">
        <f>IF(COUNTA(A2078:E2078)=0,"",IF(N(A2078)&lt;=0,"Date manquante ou invalide",IF(B2078="","Équipe manquante",IF(ISNA(MATCH(B2078,eq_code,0)),"Équipe inconnue",IF(C2078="","Poste manquant",IF(ISNA(MATCH(C2078,po_code,0)),"Poste inconnu",IF(D2078="","Cause manquante",IF(ISNA(MATCH(D2078,ca_name,0)),"Cause inconnue",IF(H2078="","Cause à compléter dans Paramètres",IF(OR(NOT(ISNUMBER(E2078)),N(E2078)&lt;=0,N(E2078)&gt;1440),"Durée invalide",IF(COUNTIFS(sj_date,A2078,sj_eq,B2078,sj_po,C2078)=0,"Pas de saisie journalière ce jour-là","OK")))))))))))</f>
        <v/>
      </c>
      <c r="J2078">
        <f>IF(OR(I2078="OK",I2078="Pas de saisie journalière ce jour-là"),E2078,0)</f>
        <v>0.0</v>
      </c>
      <c r="K2078">
        <f>IF(AND(J2078&gt;0,A2078&gt;=p_from,A2078&lt;=p_to),1,0)</f>
        <v>0.0</v>
      </c>
      <c r="L2078">
        <f>IF(AND(K2078=1,OR(pa_po="",C2078=pa_po),OR(pa_eq="",B2078=pa_eq)),1,0)</f>
        <v>0.0</v>
      </c>
    </row>
    <row r="2079">
      <c r="A2079" s="51" t="n"/>
      <c r="B2079" s="52" t="n"/>
      <c r="C2079" s="52" t="n"/>
      <c r="D2079" s="53" t="n"/>
      <c r="E2079" s="60" t="n"/>
      <c r="F2079" s="53" t="n"/>
      <c r="G2079" s="61" t="str">
        <f>IF(OR(COUNTA(A2079:E2079)=0,D2079=""),"",IFERROR(INDEX(ca_fam,MATCH(D2079,ca_name,0))&amp;"",""))</f>
        <v/>
      </c>
      <c r="H2079" s="58" t="str">
        <f>IF(OR(COUNTA(A2079:E2079)=0,D2079=""),"",IFERROR(INDEX(ca_type,MATCH(D2079,ca_name,0))&amp;"",""))</f>
        <v/>
      </c>
      <c r="I2079" s="58" t="str">
        <f>IF(COUNTA(A2079:E2079)=0,"",IF(N(A2079)&lt;=0,"Date manquante ou invalide",IF(B2079="","Équipe manquante",IF(ISNA(MATCH(B2079,eq_code,0)),"Équipe inconnue",IF(C2079="","Poste manquant",IF(ISNA(MATCH(C2079,po_code,0)),"Poste inconnu",IF(D2079="","Cause manquante",IF(ISNA(MATCH(D2079,ca_name,0)),"Cause inconnue",IF(H2079="","Cause à compléter dans Paramètres",IF(OR(NOT(ISNUMBER(E2079)),N(E2079)&lt;=0,N(E2079)&gt;1440),"Durée invalide",IF(COUNTIFS(sj_date,A2079,sj_eq,B2079,sj_po,C2079)=0,"Pas de saisie journalière ce jour-là","OK")))))))))))</f>
        <v/>
      </c>
      <c r="J2079">
        <f>IF(OR(I2079="OK",I2079="Pas de saisie journalière ce jour-là"),E2079,0)</f>
        <v>0.0</v>
      </c>
      <c r="K2079">
        <f>IF(AND(J2079&gt;0,A2079&gt;=p_from,A2079&lt;=p_to),1,0)</f>
        <v>0.0</v>
      </c>
      <c r="L2079">
        <f>IF(AND(K2079=1,OR(pa_po="",C2079=pa_po),OR(pa_eq="",B2079=pa_eq)),1,0)</f>
        <v>0.0</v>
      </c>
    </row>
    <row r="2080">
      <c r="A2080" s="51" t="n"/>
      <c r="B2080" s="52" t="n"/>
      <c r="C2080" s="52" t="n"/>
      <c r="D2080" s="53" t="n"/>
      <c r="E2080" s="60" t="n"/>
      <c r="F2080" s="53" t="n"/>
      <c r="G2080" s="61" t="str">
        <f>IF(OR(COUNTA(A2080:E2080)=0,D2080=""),"",IFERROR(INDEX(ca_fam,MATCH(D2080,ca_name,0))&amp;"",""))</f>
        <v/>
      </c>
      <c r="H2080" s="58" t="str">
        <f>IF(OR(COUNTA(A2080:E2080)=0,D2080=""),"",IFERROR(INDEX(ca_type,MATCH(D2080,ca_name,0))&amp;"",""))</f>
        <v/>
      </c>
      <c r="I2080" s="58" t="str">
        <f>IF(COUNTA(A2080:E2080)=0,"",IF(N(A2080)&lt;=0,"Date manquante ou invalide",IF(B2080="","Équipe manquante",IF(ISNA(MATCH(B2080,eq_code,0)),"Équipe inconnue",IF(C2080="","Poste manquant",IF(ISNA(MATCH(C2080,po_code,0)),"Poste inconnu",IF(D2080="","Cause manquante",IF(ISNA(MATCH(D2080,ca_name,0)),"Cause inconnue",IF(H2080="","Cause à compléter dans Paramètres",IF(OR(NOT(ISNUMBER(E2080)),N(E2080)&lt;=0,N(E2080)&gt;1440),"Durée invalide",IF(COUNTIFS(sj_date,A2080,sj_eq,B2080,sj_po,C2080)=0,"Pas de saisie journalière ce jour-là","OK")))))))))))</f>
        <v/>
      </c>
      <c r="J2080">
        <f>IF(OR(I2080="OK",I2080="Pas de saisie journalière ce jour-là"),E2080,0)</f>
        <v>0.0</v>
      </c>
      <c r="K2080">
        <f>IF(AND(J2080&gt;0,A2080&gt;=p_from,A2080&lt;=p_to),1,0)</f>
        <v>0.0</v>
      </c>
      <c r="L2080">
        <f>IF(AND(K2080=1,OR(pa_po="",C2080=pa_po),OR(pa_eq="",B2080=pa_eq)),1,0)</f>
        <v>0.0</v>
      </c>
    </row>
    <row r="2081">
      <c r="A2081" s="51" t="n"/>
      <c r="B2081" s="52" t="n"/>
      <c r="C2081" s="52" t="n"/>
      <c r="D2081" s="53" t="n"/>
      <c r="E2081" s="60" t="n"/>
      <c r="F2081" s="53" t="n"/>
      <c r="G2081" s="61" t="str">
        <f>IF(OR(COUNTA(A2081:E2081)=0,D2081=""),"",IFERROR(INDEX(ca_fam,MATCH(D2081,ca_name,0))&amp;"",""))</f>
        <v/>
      </c>
      <c r="H2081" s="58" t="str">
        <f>IF(OR(COUNTA(A2081:E2081)=0,D2081=""),"",IFERROR(INDEX(ca_type,MATCH(D2081,ca_name,0))&amp;"",""))</f>
        <v/>
      </c>
      <c r="I2081" s="58" t="str">
        <f>IF(COUNTA(A2081:E2081)=0,"",IF(N(A2081)&lt;=0,"Date manquante ou invalide",IF(B2081="","Équipe manquante",IF(ISNA(MATCH(B2081,eq_code,0)),"Équipe inconnue",IF(C2081="","Poste manquant",IF(ISNA(MATCH(C2081,po_code,0)),"Poste inconnu",IF(D2081="","Cause manquante",IF(ISNA(MATCH(D2081,ca_name,0)),"Cause inconnue",IF(H2081="","Cause à compléter dans Paramètres",IF(OR(NOT(ISNUMBER(E2081)),N(E2081)&lt;=0,N(E2081)&gt;1440),"Durée invalide",IF(COUNTIFS(sj_date,A2081,sj_eq,B2081,sj_po,C2081)=0,"Pas de saisie journalière ce jour-là","OK")))))))))))</f>
        <v/>
      </c>
      <c r="J2081">
        <f>IF(OR(I2081="OK",I2081="Pas de saisie journalière ce jour-là"),E2081,0)</f>
        <v>0.0</v>
      </c>
      <c r="K2081">
        <f>IF(AND(J2081&gt;0,A2081&gt;=p_from,A2081&lt;=p_to),1,0)</f>
        <v>0.0</v>
      </c>
      <c r="L2081">
        <f>IF(AND(K2081=1,OR(pa_po="",C2081=pa_po),OR(pa_eq="",B2081=pa_eq)),1,0)</f>
        <v>0.0</v>
      </c>
    </row>
    <row r="2082">
      <c r="A2082" s="51" t="n"/>
      <c r="B2082" s="52" t="n"/>
      <c r="C2082" s="52" t="n"/>
      <c r="D2082" s="53" t="n"/>
      <c r="E2082" s="60" t="n"/>
      <c r="F2082" s="53" t="n"/>
      <c r="G2082" s="61" t="str">
        <f>IF(OR(COUNTA(A2082:E2082)=0,D2082=""),"",IFERROR(INDEX(ca_fam,MATCH(D2082,ca_name,0))&amp;"",""))</f>
        <v/>
      </c>
      <c r="H2082" s="58" t="str">
        <f>IF(OR(COUNTA(A2082:E2082)=0,D2082=""),"",IFERROR(INDEX(ca_type,MATCH(D2082,ca_name,0))&amp;"",""))</f>
        <v/>
      </c>
      <c r="I2082" s="58" t="str">
        <f>IF(COUNTA(A2082:E2082)=0,"",IF(N(A2082)&lt;=0,"Date manquante ou invalide",IF(B2082="","Équipe manquante",IF(ISNA(MATCH(B2082,eq_code,0)),"Équipe inconnue",IF(C2082="","Poste manquant",IF(ISNA(MATCH(C2082,po_code,0)),"Poste inconnu",IF(D2082="","Cause manquante",IF(ISNA(MATCH(D2082,ca_name,0)),"Cause inconnue",IF(H2082="","Cause à compléter dans Paramètres",IF(OR(NOT(ISNUMBER(E2082)),N(E2082)&lt;=0,N(E2082)&gt;1440),"Durée invalide",IF(COUNTIFS(sj_date,A2082,sj_eq,B2082,sj_po,C2082)=0,"Pas de saisie journalière ce jour-là","OK")))))))))))</f>
        <v/>
      </c>
      <c r="J2082">
        <f>IF(OR(I2082="OK",I2082="Pas de saisie journalière ce jour-là"),E2082,0)</f>
        <v>0.0</v>
      </c>
      <c r="K2082">
        <f>IF(AND(J2082&gt;0,A2082&gt;=p_from,A2082&lt;=p_to),1,0)</f>
        <v>0.0</v>
      </c>
      <c r="L2082">
        <f>IF(AND(K2082=1,OR(pa_po="",C2082=pa_po),OR(pa_eq="",B2082=pa_eq)),1,0)</f>
        <v>0.0</v>
      </c>
    </row>
    <row r="2083">
      <c r="A2083" s="51" t="n"/>
      <c r="B2083" s="52" t="n"/>
      <c r="C2083" s="52" t="n"/>
      <c r="D2083" s="53" t="n"/>
      <c r="E2083" s="60" t="n"/>
      <c r="F2083" s="53" t="n"/>
      <c r="G2083" s="61" t="str">
        <f>IF(OR(COUNTA(A2083:E2083)=0,D2083=""),"",IFERROR(INDEX(ca_fam,MATCH(D2083,ca_name,0))&amp;"",""))</f>
        <v/>
      </c>
      <c r="H2083" s="58" t="str">
        <f>IF(OR(COUNTA(A2083:E2083)=0,D2083=""),"",IFERROR(INDEX(ca_type,MATCH(D2083,ca_name,0))&amp;"",""))</f>
        <v/>
      </c>
      <c r="I2083" s="58" t="str">
        <f>IF(COUNTA(A2083:E2083)=0,"",IF(N(A2083)&lt;=0,"Date manquante ou invalide",IF(B2083="","Équipe manquante",IF(ISNA(MATCH(B2083,eq_code,0)),"Équipe inconnue",IF(C2083="","Poste manquant",IF(ISNA(MATCH(C2083,po_code,0)),"Poste inconnu",IF(D2083="","Cause manquante",IF(ISNA(MATCH(D2083,ca_name,0)),"Cause inconnue",IF(H2083="","Cause à compléter dans Paramètres",IF(OR(NOT(ISNUMBER(E2083)),N(E2083)&lt;=0,N(E2083)&gt;1440),"Durée invalide",IF(COUNTIFS(sj_date,A2083,sj_eq,B2083,sj_po,C2083)=0,"Pas de saisie journalière ce jour-là","OK")))))))))))</f>
        <v/>
      </c>
      <c r="J2083">
        <f>IF(OR(I2083="OK",I2083="Pas de saisie journalière ce jour-là"),E2083,0)</f>
        <v>0.0</v>
      </c>
      <c r="K2083">
        <f>IF(AND(J2083&gt;0,A2083&gt;=p_from,A2083&lt;=p_to),1,0)</f>
        <v>0.0</v>
      </c>
      <c r="L2083">
        <f>IF(AND(K2083=1,OR(pa_po="",C2083=pa_po),OR(pa_eq="",B2083=pa_eq)),1,0)</f>
        <v>0.0</v>
      </c>
    </row>
    <row r="2084">
      <c r="A2084" s="51" t="n"/>
      <c r="B2084" s="52" t="n"/>
      <c r="C2084" s="52" t="n"/>
      <c r="D2084" s="53" t="n"/>
      <c r="E2084" s="60" t="n"/>
      <c r="F2084" s="53" t="n"/>
      <c r="G2084" s="61" t="str">
        <f>IF(OR(COUNTA(A2084:E2084)=0,D2084=""),"",IFERROR(INDEX(ca_fam,MATCH(D2084,ca_name,0))&amp;"",""))</f>
        <v/>
      </c>
      <c r="H2084" s="58" t="str">
        <f>IF(OR(COUNTA(A2084:E2084)=0,D2084=""),"",IFERROR(INDEX(ca_type,MATCH(D2084,ca_name,0))&amp;"",""))</f>
        <v/>
      </c>
      <c r="I2084" s="58" t="str">
        <f>IF(COUNTA(A2084:E2084)=0,"",IF(N(A2084)&lt;=0,"Date manquante ou invalide",IF(B2084="","Équipe manquante",IF(ISNA(MATCH(B2084,eq_code,0)),"Équipe inconnue",IF(C2084="","Poste manquant",IF(ISNA(MATCH(C2084,po_code,0)),"Poste inconnu",IF(D2084="","Cause manquante",IF(ISNA(MATCH(D2084,ca_name,0)),"Cause inconnue",IF(H2084="","Cause à compléter dans Paramètres",IF(OR(NOT(ISNUMBER(E2084)),N(E2084)&lt;=0,N(E2084)&gt;1440),"Durée invalide",IF(COUNTIFS(sj_date,A2084,sj_eq,B2084,sj_po,C2084)=0,"Pas de saisie journalière ce jour-là","OK")))))))))))</f>
        <v/>
      </c>
      <c r="J2084">
        <f>IF(OR(I2084="OK",I2084="Pas de saisie journalière ce jour-là"),E2084,0)</f>
        <v>0.0</v>
      </c>
      <c r="K2084">
        <f>IF(AND(J2084&gt;0,A2084&gt;=p_from,A2084&lt;=p_to),1,0)</f>
        <v>0.0</v>
      </c>
      <c r="L2084">
        <f>IF(AND(K2084=1,OR(pa_po="",C2084=pa_po),OR(pa_eq="",B2084=pa_eq)),1,0)</f>
        <v>0.0</v>
      </c>
    </row>
    <row r="2085">
      <c r="A2085" s="51" t="n"/>
      <c r="B2085" s="52" t="n"/>
      <c r="C2085" s="52" t="n"/>
      <c r="D2085" s="53" t="n"/>
      <c r="E2085" s="60" t="n"/>
      <c r="F2085" s="53" t="n"/>
      <c r="G2085" s="61" t="str">
        <f>IF(OR(COUNTA(A2085:E2085)=0,D2085=""),"",IFERROR(INDEX(ca_fam,MATCH(D2085,ca_name,0))&amp;"",""))</f>
        <v/>
      </c>
      <c r="H2085" s="58" t="str">
        <f>IF(OR(COUNTA(A2085:E2085)=0,D2085=""),"",IFERROR(INDEX(ca_type,MATCH(D2085,ca_name,0))&amp;"",""))</f>
        <v/>
      </c>
      <c r="I2085" s="58" t="str">
        <f>IF(COUNTA(A2085:E2085)=0,"",IF(N(A2085)&lt;=0,"Date manquante ou invalide",IF(B2085="","Équipe manquante",IF(ISNA(MATCH(B2085,eq_code,0)),"Équipe inconnue",IF(C2085="","Poste manquant",IF(ISNA(MATCH(C2085,po_code,0)),"Poste inconnu",IF(D2085="","Cause manquante",IF(ISNA(MATCH(D2085,ca_name,0)),"Cause inconnue",IF(H2085="","Cause à compléter dans Paramètres",IF(OR(NOT(ISNUMBER(E2085)),N(E2085)&lt;=0,N(E2085)&gt;1440),"Durée invalide",IF(COUNTIFS(sj_date,A2085,sj_eq,B2085,sj_po,C2085)=0,"Pas de saisie journalière ce jour-là","OK")))))))))))</f>
        <v/>
      </c>
      <c r="J2085">
        <f>IF(OR(I2085="OK",I2085="Pas de saisie journalière ce jour-là"),E2085,0)</f>
        <v>0.0</v>
      </c>
      <c r="K2085">
        <f>IF(AND(J2085&gt;0,A2085&gt;=p_from,A2085&lt;=p_to),1,0)</f>
        <v>0.0</v>
      </c>
      <c r="L2085">
        <f>IF(AND(K2085=1,OR(pa_po="",C2085=pa_po),OR(pa_eq="",B2085=pa_eq)),1,0)</f>
        <v>0.0</v>
      </c>
    </row>
    <row r="2086">
      <c r="A2086" s="51" t="n"/>
      <c r="B2086" s="52" t="n"/>
      <c r="C2086" s="52" t="n"/>
      <c r="D2086" s="53" t="n"/>
      <c r="E2086" s="60" t="n"/>
      <c r="F2086" s="53" t="n"/>
      <c r="G2086" s="61" t="str">
        <f>IF(OR(COUNTA(A2086:E2086)=0,D2086=""),"",IFERROR(INDEX(ca_fam,MATCH(D2086,ca_name,0))&amp;"",""))</f>
        <v/>
      </c>
      <c r="H2086" s="58" t="str">
        <f>IF(OR(COUNTA(A2086:E2086)=0,D2086=""),"",IFERROR(INDEX(ca_type,MATCH(D2086,ca_name,0))&amp;"",""))</f>
        <v/>
      </c>
      <c r="I2086" s="58" t="str">
        <f>IF(COUNTA(A2086:E2086)=0,"",IF(N(A2086)&lt;=0,"Date manquante ou invalide",IF(B2086="","Équipe manquante",IF(ISNA(MATCH(B2086,eq_code,0)),"Équipe inconnue",IF(C2086="","Poste manquant",IF(ISNA(MATCH(C2086,po_code,0)),"Poste inconnu",IF(D2086="","Cause manquante",IF(ISNA(MATCH(D2086,ca_name,0)),"Cause inconnue",IF(H2086="","Cause à compléter dans Paramètres",IF(OR(NOT(ISNUMBER(E2086)),N(E2086)&lt;=0,N(E2086)&gt;1440),"Durée invalide",IF(COUNTIFS(sj_date,A2086,sj_eq,B2086,sj_po,C2086)=0,"Pas de saisie journalière ce jour-là","OK")))))))))))</f>
        <v/>
      </c>
      <c r="J2086">
        <f>IF(OR(I2086="OK",I2086="Pas de saisie journalière ce jour-là"),E2086,0)</f>
        <v>0.0</v>
      </c>
      <c r="K2086">
        <f>IF(AND(J2086&gt;0,A2086&gt;=p_from,A2086&lt;=p_to),1,0)</f>
        <v>0.0</v>
      </c>
      <c r="L2086">
        <f>IF(AND(K2086=1,OR(pa_po="",C2086=pa_po),OR(pa_eq="",B2086=pa_eq)),1,0)</f>
        <v>0.0</v>
      </c>
    </row>
    <row r="2087">
      <c r="A2087" s="51" t="n"/>
      <c r="B2087" s="52" t="n"/>
      <c r="C2087" s="52" t="n"/>
      <c r="D2087" s="53" t="n"/>
      <c r="E2087" s="60" t="n"/>
      <c r="F2087" s="53" t="n"/>
      <c r="G2087" s="61" t="str">
        <f>IF(OR(COUNTA(A2087:E2087)=0,D2087=""),"",IFERROR(INDEX(ca_fam,MATCH(D2087,ca_name,0))&amp;"",""))</f>
        <v/>
      </c>
      <c r="H2087" s="58" t="str">
        <f>IF(OR(COUNTA(A2087:E2087)=0,D2087=""),"",IFERROR(INDEX(ca_type,MATCH(D2087,ca_name,0))&amp;"",""))</f>
        <v/>
      </c>
      <c r="I2087" s="58" t="str">
        <f>IF(COUNTA(A2087:E2087)=0,"",IF(N(A2087)&lt;=0,"Date manquante ou invalide",IF(B2087="","Équipe manquante",IF(ISNA(MATCH(B2087,eq_code,0)),"Équipe inconnue",IF(C2087="","Poste manquant",IF(ISNA(MATCH(C2087,po_code,0)),"Poste inconnu",IF(D2087="","Cause manquante",IF(ISNA(MATCH(D2087,ca_name,0)),"Cause inconnue",IF(H2087="","Cause à compléter dans Paramètres",IF(OR(NOT(ISNUMBER(E2087)),N(E2087)&lt;=0,N(E2087)&gt;1440),"Durée invalide",IF(COUNTIFS(sj_date,A2087,sj_eq,B2087,sj_po,C2087)=0,"Pas de saisie journalière ce jour-là","OK")))))))))))</f>
        <v/>
      </c>
      <c r="J2087">
        <f>IF(OR(I2087="OK",I2087="Pas de saisie journalière ce jour-là"),E2087,0)</f>
        <v>0.0</v>
      </c>
      <c r="K2087">
        <f>IF(AND(J2087&gt;0,A2087&gt;=p_from,A2087&lt;=p_to),1,0)</f>
        <v>0.0</v>
      </c>
      <c r="L2087">
        <f>IF(AND(K2087=1,OR(pa_po="",C2087=pa_po),OR(pa_eq="",B2087=pa_eq)),1,0)</f>
        <v>0.0</v>
      </c>
    </row>
    <row r="2088">
      <c r="A2088" s="51" t="n"/>
      <c r="B2088" s="52" t="n"/>
      <c r="C2088" s="52" t="n"/>
      <c r="D2088" s="53" t="n"/>
      <c r="E2088" s="60" t="n"/>
      <c r="F2088" s="53" t="n"/>
      <c r="G2088" s="61" t="str">
        <f>IF(OR(COUNTA(A2088:E2088)=0,D2088=""),"",IFERROR(INDEX(ca_fam,MATCH(D2088,ca_name,0))&amp;"",""))</f>
        <v/>
      </c>
      <c r="H2088" s="58" t="str">
        <f>IF(OR(COUNTA(A2088:E2088)=0,D2088=""),"",IFERROR(INDEX(ca_type,MATCH(D2088,ca_name,0))&amp;"",""))</f>
        <v/>
      </c>
      <c r="I2088" s="58" t="str">
        <f>IF(COUNTA(A2088:E2088)=0,"",IF(N(A2088)&lt;=0,"Date manquante ou invalide",IF(B2088="","Équipe manquante",IF(ISNA(MATCH(B2088,eq_code,0)),"Équipe inconnue",IF(C2088="","Poste manquant",IF(ISNA(MATCH(C2088,po_code,0)),"Poste inconnu",IF(D2088="","Cause manquante",IF(ISNA(MATCH(D2088,ca_name,0)),"Cause inconnue",IF(H2088="","Cause à compléter dans Paramètres",IF(OR(NOT(ISNUMBER(E2088)),N(E2088)&lt;=0,N(E2088)&gt;1440),"Durée invalide",IF(COUNTIFS(sj_date,A2088,sj_eq,B2088,sj_po,C2088)=0,"Pas de saisie journalière ce jour-là","OK")))))))))))</f>
        <v/>
      </c>
      <c r="J2088">
        <f>IF(OR(I2088="OK",I2088="Pas de saisie journalière ce jour-là"),E2088,0)</f>
        <v>0.0</v>
      </c>
      <c r="K2088">
        <f>IF(AND(J2088&gt;0,A2088&gt;=p_from,A2088&lt;=p_to),1,0)</f>
        <v>0.0</v>
      </c>
      <c r="L2088">
        <f>IF(AND(K2088=1,OR(pa_po="",C2088=pa_po),OR(pa_eq="",B2088=pa_eq)),1,0)</f>
        <v>0.0</v>
      </c>
    </row>
    <row r="2089">
      <c r="A2089" s="51" t="n"/>
      <c r="B2089" s="52" t="n"/>
      <c r="C2089" s="52" t="n"/>
      <c r="D2089" s="53" t="n"/>
      <c r="E2089" s="60" t="n"/>
      <c r="F2089" s="53" t="n"/>
      <c r="G2089" s="61" t="str">
        <f>IF(OR(COUNTA(A2089:E2089)=0,D2089=""),"",IFERROR(INDEX(ca_fam,MATCH(D2089,ca_name,0))&amp;"",""))</f>
        <v/>
      </c>
      <c r="H2089" s="58" t="str">
        <f>IF(OR(COUNTA(A2089:E2089)=0,D2089=""),"",IFERROR(INDEX(ca_type,MATCH(D2089,ca_name,0))&amp;"",""))</f>
        <v/>
      </c>
      <c r="I2089" s="58" t="str">
        <f>IF(COUNTA(A2089:E2089)=0,"",IF(N(A2089)&lt;=0,"Date manquante ou invalide",IF(B2089="","Équipe manquante",IF(ISNA(MATCH(B2089,eq_code,0)),"Équipe inconnue",IF(C2089="","Poste manquant",IF(ISNA(MATCH(C2089,po_code,0)),"Poste inconnu",IF(D2089="","Cause manquante",IF(ISNA(MATCH(D2089,ca_name,0)),"Cause inconnue",IF(H2089="","Cause à compléter dans Paramètres",IF(OR(NOT(ISNUMBER(E2089)),N(E2089)&lt;=0,N(E2089)&gt;1440),"Durée invalide",IF(COUNTIFS(sj_date,A2089,sj_eq,B2089,sj_po,C2089)=0,"Pas de saisie journalière ce jour-là","OK")))))))))))</f>
        <v/>
      </c>
      <c r="J2089">
        <f>IF(OR(I2089="OK",I2089="Pas de saisie journalière ce jour-là"),E2089,0)</f>
        <v>0.0</v>
      </c>
      <c r="K2089">
        <f>IF(AND(J2089&gt;0,A2089&gt;=p_from,A2089&lt;=p_to),1,0)</f>
        <v>0.0</v>
      </c>
      <c r="L2089">
        <f>IF(AND(K2089=1,OR(pa_po="",C2089=pa_po),OR(pa_eq="",B2089=pa_eq)),1,0)</f>
        <v>0.0</v>
      </c>
    </row>
    <row r="2090">
      <c r="A2090" s="51" t="n"/>
      <c r="B2090" s="52" t="n"/>
      <c r="C2090" s="52" t="n"/>
      <c r="D2090" s="53" t="n"/>
      <c r="E2090" s="60" t="n"/>
      <c r="F2090" s="53" t="n"/>
      <c r="G2090" s="61" t="str">
        <f>IF(OR(COUNTA(A2090:E2090)=0,D2090=""),"",IFERROR(INDEX(ca_fam,MATCH(D2090,ca_name,0))&amp;"",""))</f>
        <v/>
      </c>
      <c r="H2090" s="58" t="str">
        <f>IF(OR(COUNTA(A2090:E2090)=0,D2090=""),"",IFERROR(INDEX(ca_type,MATCH(D2090,ca_name,0))&amp;"",""))</f>
        <v/>
      </c>
      <c r="I2090" s="58" t="str">
        <f>IF(COUNTA(A2090:E2090)=0,"",IF(N(A2090)&lt;=0,"Date manquante ou invalide",IF(B2090="","Équipe manquante",IF(ISNA(MATCH(B2090,eq_code,0)),"Équipe inconnue",IF(C2090="","Poste manquant",IF(ISNA(MATCH(C2090,po_code,0)),"Poste inconnu",IF(D2090="","Cause manquante",IF(ISNA(MATCH(D2090,ca_name,0)),"Cause inconnue",IF(H2090="","Cause à compléter dans Paramètres",IF(OR(NOT(ISNUMBER(E2090)),N(E2090)&lt;=0,N(E2090)&gt;1440),"Durée invalide",IF(COUNTIFS(sj_date,A2090,sj_eq,B2090,sj_po,C2090)=0,"Pas de saisie journalière ce jour-là","OK")))))))))))</f>
        <v/>
      </c>
      <c r="J2090">
        <f>IF(OR(I2090="OK",I2090="Pas de saisie journalière ce jour-là"),E2090,0)</f>
        <v>0.0</v>
      </c>
      <c r="K2090">
        <f>IF(AND(J2090&gt;0,A2090&gt;=p_from,A2090&lt;=p_to),1,0)</f>
        <v>0.0</v>
      </c>
      <c r="L2090">
        <f>IF(AND(K2090=1,OR(pa_po="",C2090=pa_po),OR(pa_eq="",B2090=pa_eq)),1,0)</f>
        <v>0.0</v>
      </c>
    </row>
    <row r="2091">
      <c r="A2091" s="51" t="n"/>
      <c r="B2091" s="52" t="n"/>
      <c r="C2091" s="52" t="n"/>
      <c r="D2091" s="53" t="n"/>
      <c r="E2091" s="60" t="n"/>
      <c r="F2091" s="53" t="n"/>
      <c r="G2091" s="61" t="str">
        <f>IF(OR(COUNTA(A2091:E2091)=0,D2091=""),"",IFERROR(INDEX(ca_fam,MATCH(D2091,ca_name,0))&amp;"",""))</f>
        <v/>
      </c>
      <c r="H2091" s="58" t="str">
        <f>IF(OR(COUNTA(A2091:E2091)=0,D2091=""),"",IFERROR(INDEX(ca_type,MATCH(D2091,ca_name,0))&amp;"",""))</f>
        <v/>
      </c>
      <c r="I2091" s="58" t="str">
        <f>IF(COUNTA(A2091:E2091)=0,"",IF(N(A2091)&lt;=0,"Date manquante ou invalide",IF(B2091="","Équipe manquante",IF(ISNA(MATCH(B2091,eq_code,0)),"Équipe inconnue",IF(C2091="","Poste manquant",IF(ISNA(MATCH(C2091,po_code,0)),"Poste inconnu",IF(D2091="","Cause manquante",IF(ISNA(MATCH(D2091,ca_name,0)),"Cause inconnue",IF(H2091="","Cause à compléter dans Paramètres",IF(OR(NOT(ISNUMBER(E2091)),N(E2091)&lt;=0,N(E2091)&gt;1440),"Durée invalide",IF(COUNTIFS(sj_date,A2091,sj_eq,B2091,sj_po,C2091)=0,"Pas de saisie journalière ce jour-là","OK")))))))))))</f>
        <v/>
      </c>
      <c r="J2091">
        <f>IF(OR(I2091="OK",I2091="Pas de saisie journalière ce jour-là"),E2091,0)</f>
        <v>0.0</v>
      </c>
      <c r="K2091">
        <f>IF(AND(J2091&gt;0,A2091&gt;=p_from,A2091&lt;=p_to),1,0)</f>
        <v>0.0</v>
      </c>
      <c r="L2091">
        <f>IF(AND(K2091=1,OR(pa_po="",C2091=pa_po),OR(pa_eq="",B2091=pa_eq)),1,0)</f>
        <v>0.0</v>
      </c>
    </row>
    <row r="2092">
      <c r="A2092" s="51" t="n"/>
      <c r="B2092" s="52" t="n"/>
      <c r="C2092" s="52" t="n"/>
      <c r="D2092" s="53" t="n"/>
      <c r="E2092" s="60" t="n"/>
      <c r="F2092" s="53" t="n"/>
      <c r="G2092" s="61" t="str">
        <f>IF(OR(COUNTA(A2092:E2092)=0,D2092=""),"",IFERROR(INDEX(ca_fam,MATCH(D2092,ca_name,0))&amp;"",""))</f>
        <v/>
      </c>
      <c r="H2092" s="58" t="str">
        <f>IF(OR(COUNTA(A2092:E2092)=0,D2092=""),"",IFERROR(INDEX(ca_type,MATCH(D2092,ca_name,0))&amp;"",""))</f>
        <v/>
      </c>
      <c r="I2092" s="58" t="str">
        <f>IF(COUNTA(A2092:E2092)=0,"",IF(N(A2092)&lt;=0,"Date manquante ou invalide",IF(B2092="","Équipe manquante",IF(ISNA(MATCH(B2092,eq_code,0)),"Équipe inconnue",IF(C2092="","Poste manquant",IF(ISNA(MATCH(C2092,po_code,0)),"Poste inconnu",IF(D2092="","Cause manquante",IF(ISNA(MATCH(D2092,ca_name,0)),"Cause inconnue",IF(H2092="","Cause à compléter dans Paramètres",IF(OR(NOT(ISNUMBER(E2092)),N(E2092)&lt;=0,N(E2092)&gt;1440),"Durée invalide",IF(COUNTIFS(sj_date,A2092,sj_eq,B2092,sj_po,C2092)=0,"Pas de saisie journalière ce jour-là","OK")))))))))))</f>
        <v/>
      </c>
      <c r="J2092">
        <f>IF(OR(I2092="OK",I2092="Pas de saisie journalière ce jour-là"),E2092,0)</f>
        <v>0.0</v>
      </c>
      <c r="K2092">
        <f>IF(AND(J2092&gt;0,A2092&gt;=p_from,A2092&lt;=p_to),1,0)</f>
        <v>0.0</v>
      </c>
      <c r="L2092">
        <f>IF(AND(K2092=1,OR(pa_po="",C2092=pa_po),OR(pa_eq="",B2092=pa_eq)),1,0)</f>
        <v>0.0</v>
      </c>
    </row>
    <row r="2093">
      <c r="A2093" s="51" t="n"/>
      <c r="B2093" s="52" t="n"/>
      <c r="C2093" s="52" t="n"/>
      <c r="D2093" s="53" t="n"/>
      <c r="E2093" s="60" t="n"/>
      <c r="F2093" s="53" t="n"/>
      <c r="G2093" s="61" t="str">
        <f>IF(OR(COUNTA(A2093:E2093)=0,D2093=""),"",IFERROR(INDEX(ca_fam,MATCH(D2093,ca_name,0))&amp;"",""))</f>
        <v/>
      </c>
      <c r="H2093" s="58" t="str">
        <f>IF(OR(COUNTA(A2093:E2093)=0,D2093=""),"",IFERROR(INDEX(ca_type,MATCH(D2093,ca_name,0))&amp;"",""))</f>
        <v/>
      </c>
      <c r="I2093" s="58" t="str">
        <f>IF(COUNTA(A2093:E2093)=0,"",IF(N(A2093)&lt;=0,"Date manquante ou invalide",IF(B2093="","Équipe manquante",IF(ISNA(MATCH(B2093,eq_code,0)),"Équipe inconnue",IF(C2093="","Poste manquant",IF(ISNA(MATCH(C2093,po_code,0)),"Poste inconnu",IF(D2093="","Cause manquante",IF(ISNA(MATCH(D2093,ca_name,0)),"Cause inconnue",IF(H2093="","Cause à compléter dans Paramètres",IF(OR(NOT(ISNUMBER(E2093)),N(E2093)&lt;=0,N(E2093)&gt;1440),"Durée invalide",IF(COUNTIFS(sj_date,A2093,sj_eq,B2093,sj_po,C2093)=0,"Pas de saisie journalière ce jour-là","OK")))))))))))</f>
        <v/>
      </c>
      <c r="J2093">
        <f>IF(OR(I2093="OK",I2093="Pas de saisie journalière ce jour-là"),E2093,0)</f>
        <v>0.0</v>
      </c>
      <c r="K2093">
        <f>IF(AND(J2093&gt;0,A2093&gt;=p_from,A2093&lt;=p_to),1,0)</f>
        <v>0.0</v>
      </c>
      <c r="L2093">
        <f>IF(AND(K2093=1,OR(pa_po="",C2093=pa_po),OR(pa_eq="",B2093=pa_eq)),1,0)</f>
        <v>0.0</v>
      </c>
    </row>
    <row r="2094">
      <c r="A2094" s="51" t="n"/>
      <c r="B2094" s="52" t="n"/>
      <c r="C2094" s="52" t="n"/>
      <c r="D2094" s="53" t="n"/>
      <c r="E2094" s="60" t="n"/>
      <c r="F2094" s="53" t="n"/>
      <c r="G2094" s="61" t="str">
        <f>IF(OR(COUNTA(A2094:E2094)=0,D2094=""),"",IFERROR(INDEX(ca_fam,MATCH(D2094,ca_name,0))&amp;"",""))</f>
        <v/>
      </c>
      <c r="H2094" s="58" t="str">
        <f>IF(OR(COUNTA(A2094:E2094)=0,D2094=""),"",IFERROR(INDEX(ca_type,MATCH(D2094,ca_name,0))&amp;"",""))</f>
        <v/>
      </c>
      <c r="I2094" s="58" t="str">
        <f>IF(COUNTA(A2094:E2094)=0,"",IF(N(A2094)&lt;=0,"Date manquante ou invalide",IF(B2094="","Équipe manquante",IF(ISNA(MATCH(B2094,eq_code,0)),"Équipe inconnue",IF(C2094="","Poste manquant",IF(ISNA(MATCH(C2094,po_code,0)),"Poste inconnu",IF(D2094="","Cause manquante",IF(ISNA(MATCH(D2094,ca_name,0)),"Cause inconnue",IF(H2094="","Cause à compléter dans Paramètres",IF(OR(NOT(ISNUMBER(E2094)),N(E2094)&lt;=0,N(E2094)&gt;1440),"Durée invalide",IF(COUNTIFS(sj_date,A2094,sj_eq,B2094,sj_po,C2094)=0,"Pas de saisie journalière ce jour-là","OK")))))))))))</f>
        <v/>
      </c>
      <c r="J2094">
        <f>IF(OR(I2094="OK",I2094="Pas de saisie journalière ce jour-là"),E2094,0)</f>
        <v>0.0</v>
      </c>
      <c r="K2094">
        <f>IF(AND(J2094&gt;0,A2094&gt;=p_from,A2094&lt;=p_to),1,0)</f>
        <v>0.0</v>
      </c>
      <c r="L2094">
        <f>IF(AND(K2094=1,OR(pa_po="",C2094=pa_po),OR(pa_eq="",B2094=pa_eq)),1,0)</f>
        <v>0.0</v>
      </c>
    </row>
    <row r="2095">
      <c r="A2095" s="51" t="n"/>
      <c r="B2095" s="52" t="n"/>
      <c r="C2095" s="52" t="n"/>
      <c r="D2095" s="53" t="n"/>
      <c r="E2095" s="60" t="n"/>
      <c r="F2095" s="53" t="n"/>
      <c r="G2095" s="61" t="str">
        <f>IF(OR(COUNTA(A2095:E2095)=0,D2095=""),"",IFERROR(INDEX(ca_fam,MATCH(D2095,ca_name,0))&amp;"",""))</f>
        <v/>
      </c>
      <c r="H2095" s="58" t="str">
        <f>IF(OR(COUNTA(A2095:E2095)=0,D2095=""),"",IFERROR(INDEX(ca_type,MATCH(D2095,ca_name,0))&amp;"",""))</f>
        <v/>
      </c>
      <c r="I2095" s="58" t="str">
        <f>IF(COUNTA(A2095:E2095)=0,"",IF(N(A2095)&lt;=0,"Date manquante ou invalide",IF(B2095="","Équipe manquante",IF(ISNA(MATCH(B2095,eq_code,0)),"Équipe inconnue",IF(C2095="","Poste manquant",IF(ISNA(MATCH(C2095,po_code,0)),"Poste inconnu",IF(D2095="","Cause manquante",IF(ISNA(MATCH(D2095,ca_name,0)),"Cause inconnue",IF(H2095="","Cause à compléter dans Paramètres",IF(OR(NOT(ISNUMBER(E2095)),N(E2095)&lt;=0,N(E2095)&gt;1440),"Durée invalide",IF(COUNTIFS(sj_date,A2095,sj_eq,B2095,sj_po,C2095)=0,"Pas de saisie journalière ce jour-là","OK")))))))))))</f>
        <v/>
      </c>
      <c r="J2095">
        <f>IF(OR(I2095="OK",I2095="Pas de saisie journalière ce jour-là"),E2095,0)</f>
        <v>0.0</v>
      </c>
      <c r="K2095">
        <f>IF(AND(J2095&gt;0,A2095&gt;=p_from,A2095&lt;=p_to),1,0)</f>
        <v>0.0</v>
      </c>
      <c r="L2095">
        <f>IF(AND(K2095=1,OR(pa_po="",C2095=pa_po),OR(pa_eq="",B2095=pa_eq)),1,0)</f>
        <v>0.0</v>
      </c>
    </row>
    <row r="2096">
      <c r="A2096" s="51" t="n"/>
      <c r="B2096" s="52" t="n"/>
      <c r="C2096" s="52" t="n"/>
      <c r="D2096" s="53" t="n"/>
      <c r="E2096" s="60" t="n"/>
      <c r="F2096" s="53" t="n"/>
      <c r="G2096" s="61" t="str">
        <f>IF(OR(COUNTA(A2096:E2096)=0,D2096=""),"",IFERROR(INDEX(ca_fam,MATCH(D2096,ca_name,0))&amp;"",""))</f>
        <v/>
      </c>
      <c r="H2096" s="58" t="str">
        <f>IF(OR(COUNTA(A2096:E2096)=0,D2096=""),"",IFERROR(INDEX(ca_type,MATCH(D2096,ca_name,0))&amp;"",""))</f>
        <v/>
      </c>
      <c r="I2096" s="58" t="str">
        <f>IF(COUNTA(A2096:E2096)=0,"",IF(N(A2096)&lt;=0,"Date manquante ou invalide",IF(B2096="","Équipe manquante",IF(ISNA(MATCH(B2096,eq_code,0)),"Équipe inconnue",IF(C2096="","Poste manquant",IF(ISNA(MATCH(C2096,po_code,0)),"Poste inconnu",IF(D2096="","Cause manquante",IF(ISNA(MATCH(D2096,ca_name,0)),"Cause inconnue",IF(H2096="","Cause à compléter dans Paramètres",IF(OR(NOT(ISNUMBER(E2096)),N(E2096)&lt;=0,N(E2096)&gt;1440),"Durée invalide",IF(COUNTIFS(sj_date,A2096,sj_eq,B2096,sj_po,C2096)=0,"Pas de saisie journalière ce jour-là","OK")))))))))))</f>
        <v/>
      </c>
      <c r="J2096">
        <f>IF(OR(I2096="OK",I2096="Pas de saisie journalière ce jour-là"),E2096,0)</f>
        <v>0.0</v>
      </c>
      <c r="K2096">
        <f>IF(AND(J2096&gt;0,A2096&gt;=p_from,A2096&lt;=p_to),1,0)</f>
        <v>0.0</v>
      </c>
      <c r="L2096">
        <f>IF(AND(K2096=1,OR(pa_po="",C2096=pa_po),OR(pa_eq="",B2096=pa_eq)),1,0)</f>
        <v>0.0</v>
      </c>
    </row>
    <row r="2097">
      <c r="A2097" s="51" t="n"/>
      <c r="B2097" s="52" t="n"/>
      <c r="C2097" s="52" t="n"/>
      <c r="D2097" s="53" t="n"/>
      <c r="E2097" s="60" t="n"/>
      <c r="F2097" s="53" t="n"/>
      <c r="G2097" s="61" t="str">
        <f>IF(OR(COUNTA(A2097:E2097)=0,D2097=""),"",IFERROR(INDEX(ca_fam,MATCH(D2097,ca_name,0))&amp;"",""))</f>
        <v/>
      </c>
      <c r="H2097" s="58" t="str">
        <f>IF(OR(COUNTA(A2097:E2097)=0,D2097=""),"",IFERROR(INDEX(ca_type,MATCH(D2097,ca_name,0))&amp;"",""))</f>
        <v/>
      </c>
      <c r="I2097" s="58" t="str">
        <f>IF(COUNTA(A2097:E2097)=0,"",IF(N(A2097)&lt;=0,"Date manquante ou invalide",IF(B2097="","Équipe manquante",IF(ISNA(MATCH(B2097,eq_code,0)),"Équipe inconnue",IF(C2097="","Poste manquant",IF(ISNA(MATCH(C2097,po_code,0)),"Poste inconnu",IF(D2097="","Cause manquante",IF(ISNA(MATCH(D2097,ca_name,0)),"Cause inconnue",IF(H2097="","Cause à compléter dans Paramètres",IF(OR(NOT(ISNUMBER(E2097)),N(E2097)&lt;=0,N(E2097)&gt;1440),"Durée invalide",IF(COUNTIFS(sj_date,A2097,sj_eq,B2097,sj_po,C2097)=0,"Pas de saisie journalière ce jour-là","OK")))))))))))</f>
        <v/>
      </c>
      <c r="J2097">
        <f>IF(OR(I2097="OK",I2097="Pas de saisie journalière ce jour-là"),E2097,0)</f>
        <v>0.0</v>
      </c>
      <c r="K2097">
        <f>IF(AND(J2097&gt;0,A2097&gt;=p_from,A2097&lt;=p_to),1,0)</f>
        <v>0.0</v>
      </c>
      <c r="L2097">
        <f>IF(AND(K2097=1,OR(pa_po="",C2097=pa_po),OR(pa_eq="",B2097=pa_eq)),1,0)</f>
        <v>0.0</v>
      </c>
    </row>
    <row r="2098">
      <c r="A2098" s="51" t="n"/>
      <c r="B2098" s="52" t="n"/>
      <c r="C2098" s="52" t="n"/>
      <c r="D2098" s="53" t="n"/>
      <c r="E2098" s="60" t="n"/>
      <c r="F2098" s="53" t="n"/>
      <c r="G2098" s="61" t="str">
        <f>IF(OR(COUNTA(A2098:E2098)=0,D2098=""),"",IFERROR(INDEX(ca_fam,MATCH(D2098,ca_name,0))&amp;"",""))</f>
        <v/>
      </c>
      <c r="H2098" s="58" t="str">
        <f>IF(OR(COUNTA(A2098:E2098)=0,D2098=""),"",IFERROR(INDEX(ca_type,MATCH(D2098,ca_name,0))&amp;"",""))</f>
        <v/>
      </c>
      <c r="I2098" s="58" t="str">
        <f>IF(COUNTA(A2098:E2098)=0,"",IF(N(A2098)&lt;=0,"Date manquante ou invalide",IF(B2098="","Équipe manquante",IF(ISNA(MATCH(B2098,eq_code,0)),"Équipe inconnue",IF(C2098="","Poste manquant",IF(ISNA(MATCH(C2098,po_code,0)),"Poste inconnu",IF(D2098="","Cause manquante",IF(ISNA(MATCH(D2098,ca_name,0)),"Cause inconnue",IF(H2098="","Cause à compléter dans Paramètres",IF(OR(NOT(ISNUMBER(E2098)),N(E2098)&lt;=0,N(E2098)&gt;1440),"Durée invalide",IF(COUNTIFS(sj_date,A2098,sj_eq,B2098,sj_po,C2098)=0,"Pas de saisie journalière ce jour-là","OK")))))))))))</f>
        <v/>
      </c>
      <c r="J2098">
        <f>IF(OR(I2098="OK",I2098="Pas de saisie journalière ce jour-là"),E2098,0)</f>
        <v>0.0</v>
      </c>
      <c r="K2098">
        <f>IF(AND(J2098&gt;0,A2098&gt;=p_from,A2098&lt;=p_to),1,0)</f>
        <v>0.0</v>
      </c>
      <c r="L2098">
        <f>IF(AND(K2098=1,OR(pa_po="",C2098=pa_po),OR(pa_eq="",B2098=pa_eq)),1,0)</f>
        <v>0.0</v>
      </c>
    </row>
    <row r="2099">
      <c r="A2099" s="51" t="n"/>
      <c r="B2099" s="52" t="n"/>
      <c r="C2099" s="52" t="n"/>
      <c r="D2099" s="53" t="n"/>
      <c r="E2099" s="60" t="n"/>
      <c r="F2099" s="53" t="n"/>
      <c r="G2099" s="61" t="str">
        <f>IF(OR(COUNTA(A2099:E2099)=0,D2099=""),"",IFERROR(INDEX(ca_fam,MATCH(D2099,ca_name,0))&amp;"",""))</f>
        <v/>
      </c>
      <c r="H2099" s="58" t="str">
        <f>IF(OR(COUNTA(A2099:E2099)=0,D2099=""),"",IFERROR(INDEX(ca_type,MATCH(D2099,ca_name,0))&amp;"",""))</f>
        <v/>
      </c>
      <c r="I2099" s="58" t="str">
        <f>IF(COUNTA(A2099:E2099)=0,"",IF(N(A2099)&lt;=0,"Date manquante ou invalide",IF(B2099="","Équipe manquante",IF(ISNA(MATCH(B2099,eq_code,0)),"Équipe inconnue",IF(C2099="","Poste manquant",IF(ISNA(MATCH(C2099,po_code,0)),"Poste inconnu",IF(D2099="","Cause manquante",IF(ISNA(MATCH(D2099,ca_name,0)),"Cause inconnue",IF(H2099="","Cause à compléter dans Paramètres",IF(OR(NOT(ISNUMBER(E2099)),N(E2099)&lt;=0,N(E2099)&gt;1440),"Durée invalide",IF(COUNTIFS(sj_date,A2099,sj_eq,B2099,sj_po,C2099)=0,"Pas de saisie journalière ce jour-là","OK")))))))))))</f>
        <v/>
      </c>
      <c r="J2099">
        <f>IF(OR(I2099="OK",I2099="Pas de saisie journalière ce jour-là"),E2099,0)</f>
        <v>0.0</v>
      </c>
      <c r="K2099">
        <f>IF(AND(J2099&gt;0,A2099&gt;=p_from,A2099&lt;=p_to),1,0)</f>
        <v>0.0</v>
      </c>
      <c r="L2099">
        <f>IF(AND(K2099=1,OR(pa_po="",C2099=pa_po),OR(pa_eq="",B2099=pa_eq)),1,0)</f>
        <v>0.0</v>
      </c>
    </row>
    <row r="2100">
      <c r="A2100" s="51" t="n"/>
      <c r="B2100" s="52" t="n"/>
      <c r="C2100" s="52" t="n"/>
      <c r="D2100" s="53" t="n"/>
      <c r="E2100" s="60" t="n"/>
      <c r="F2100" s="53" t="n"/>
      <c r="G2100" s="61" t="str">
        <f>IF(OR(COUNTA(A2100:E2100)=0,D2100=""),"",IFERROR(INDEX(ca_fam,MATCH(D2100,ca_name,0))&amp;"",""))</f>
        <v/>
      </c>
      <c r="H2100" s="58" t="str">
        <f>IF(OR(COUNTA(A2100:E2100)=0,D2100=""),"",IFERROR(INDEX(ca_type,MATCH(D2100,ca_name,0))&amp;"",""))</f>
        <v/>
      </c>
      <c r="I2100" s="58" t="str">
        <f>IF(COUNTA(A2100:E2100)=0,"",IF(N(A2100)&lt;=0,"Date manquante ou invalide",IF(B2100="","Équipe manquante",IF(ISNA(MATCH(B2100,eq_code,0)),"Équipe inconnue",IF(C2100="","Poste manquant",IF(ISNA(MATCH(C2100,po_code,0)),"Poste inconnu",IF(D2100="","Cause manquante",IF(ISNA(MATCH(D2100,ca_name,0)),"Cause inconnue",IF(H2100="","Cause à compléter dans Paramètres",IF(OR(NOT(ISNUMBER(E2100)),N(E2100)&lt;=0,N(E2100)&gt;1440),"Durée invalide",IF(COUNTIFS(sj_date,A2100,sj_eq,B2100,sj_po,C2100)=0,"Pas de saisie journalière ce jour-là","OK")))))))))))</f>
        <v/>
      </c>
      <c r="J2100">
        <f>IF(OR(I2100="OK",I2100="Pas de saisie journalière ce jour-là"),E2100,0)</f>
        <v>0.0</v>
      </c>
      <c r="K2100">
        <f>IF(AND(J2100&gt;0,A2100&gt;=p_from,A2100&lt;=p_to),1,0)</f>
        <v>0.0</v>
      </c>
      <c r="L2100">
        <f>IF(AND(K2100=1,OR(pa_po="",C2100=pa_po),OR(pa_eq="",B2100=pa_eq)),1,0)</f>
        <v>0.0</v>
      </c>
    </row>
    <row r="2101">
      <c r="A2101" s="51" t="n"/>
      <c r="B2101" s="52" t="n"/>
      <c r="C2101" s="52" t="n"/>
      <c r="D2101" s="53" t="n"/>
      <c r="E2101" s="60" t="n"/>
      <c r="F2101" s="53" t="n"/>
      <c r="G2101" s="61" t="str">
        <f>IF(OR(COUNTA(A2101:E2101)=0,D2101=""),"",IFERROR(INDEX(ca_fam,MATCH(D2101,ca_name,0))&amp;"",""))</f>
        <v/>
      </c>
      <c r="H2101" s="58" t="str">
        <f>IF(OR(COUNTA(A2101:E2101)=0,D2101=""),"",IFERROR(INDEX(ca_type,MATCH(D2101,ca_name,0))&amp;"",""))</f>
        <v/>
      </c>
      <c r="I2101" s="58" t="str">
        <f>IF(COUNTA(A2101:E2101)=0,"",IF(N(A2101)&lt;=0,"Date manquante ou invalide",IF(B2101="","Équipe manquante",IF(ISNA(MATCH(B2101,eq_code,0)),"Équipe inconnue",IF(C2101="","Poste manquant",IF(ISNA(MATCH(C2101,po_code,0)),"Poste inconnu",IF(D2101="","Cause manquante",IF(ISNA(MATCH(D2101,ca_name,0)),"Cause inconnue",IF(H2101="","Cause à compléter dans Paramètres",IF(OR(NOT(ISNUMBER(E2101)),N(E2101)&lt;=0,N(E2101)&gt;1440),"Durée invalide",IF(COUNTIFS(sj_date,A2101,sj_eq,B2101,sj_po,C2101)=0,"Pas de saisie journalière ce jour-là","OK")))))))))))</f>
        <v/>
      </c>
      <c r="J2101">
        <f>IF(OR(I2101="OK",I2101="Pas de saisie journalière ce jour-là"),E2101,0)</f>
        <v>0.0</v>
      </c>
      <c r="K2101">
        <f>IF(AND(J2101&gt;0,A2101&gt;=p_from,A2101&lt;=p_to),1,0)</f>
        <v>0.0</v>
      </c>
      <c r="L2101">
        <f>IF(AND(K2101=1,OR(pa_po="",C2101=pa_po),OR(pa_eq="",B2101=pa_eq)),1,0)</f>
        <v>0.0</v>
      </c>
    </row>
    <row r="2102">
      <c r="A2102" s="51" t="n"/>
      <c r="B2102" s="52" t="n"/>
      <c r="C2102" s="52" t="n"/>
      <c r="D2102" s="53" t="n"/>
      <c r="E2102" s="60" t="n"/>
      <c r="F2102" s="53" t="n"/>
      <c r="G2102" s="61" t="str">
        <f>IF(OR(COUNTA(A2102:E2102)=0,D2102=""),"",IFERROR(INDEX(ca_fam,MATCH(D2102,ca_name,0))&amp;"",""))</f>
        <v/>
      </c>
      <c r="H2102" s="58" t="str">
        <f>IF(OR(COUNTA(A2102:E2102)=0,D2102=""),"",IFERROR(INDEX(ca_type,MATCH(D2102,ca_name,0))&amp;"",""))</f>
        <v/>
      </c>
      <c r="I2102" s="58" t="str">
        <f>IF(COUNTA(A2102:E2102)=0,"",IF(N(A2102)&lt;=0,"Date manquante ou invalide",IF(B2102="","Équipe manquante",IF(ISNA(MATCH(B2102,eq_code,0)),"Équipe inconnue",IF(C2102="","Poste manquant",IF(ISNA(MATCH(C2102,po_code,0)),"Poste inconnu",IF(D2102="","Cause manquante",IF(ISNA(MATCH(D2102,ca_name,0)),"Cause inconnue",IF(H2102="","Cause à compléter dans Paramètres",IF(OR(NOT(ISNUMBER(E2102)),N(E2102)&lt;=0,N(E2102)&gt;1440),"Durée invalide",IF(COUNTIFS(sj_date,A2102,sj_eq,B2102,sj_po,C2102)=0,"Pas de saisie journalière ce jour-là","OK")))))))))))</f>
        <v/>
      </c>
      <c r="J2102">
        <f>IF(OR(I2102="OK",I2102="Pas de saisie journalière ce jour-là"),E2102,0)</f>
        <v>0.0</v>
      </c>
      <c r="K2102">
        <f>IF(AND(J2102&gt;0,A2102&gt;=p_from,A2102&lt;=p_to),1,0)</f>
        <v>0.0</v>
      </c>
      <c r="L2102">
        <f>IF(AND(K2102=1,OR(pa_po="",C2102=pa_po),OR(pa_eq="",B2102=pa_eq)),1,0)</f>
        <v>0.0</v>
      </c>
    </row>
    <row r="2103">
      <c r="A2103" s="51" t="n"/>
      <c r="B2103" s="52" t="n"/>
      <c r="C2103" s="52" t="n"/>
      <c r="D2103" s="53" t="n"/>
      <c r="E2103" s="60" t="n"/>
      <c r="F2103" s="53" t="n"/>
      <c r="G2103" s="61" t="str">
        <f>IF(OR(COUNTA(A2103:E2103)=0,D2103=""),"",IFERROR(INDEX(ca_fam,MATCH(D2103,ca_name,0))&amp;"",""))</f>
        <v/>
      </c>
      <c r="H2103" s="58" t="str">
        <f>IF(OR(COUNTA(A2103:E2103)=0,D2103=""),"",IFERROR(INDEX(ca_type,MATCH(D2103,ca_name,0))&amp;"",""))</f>
        <v/>
      </c>
      <c r="I2103" s="58" t="str">
        <f>IF(COUNTA(A2103:E2103)=0,"",IF(N(A2103)&lt;=0,"Date manquante ou invalide",IF(B2103="","Équipe manquante",IF(ISNA(MATCH(B2103,eq_code,0)),"Équipe inconnue",IF(C2103="","Poste manquant",IF(ISNA(MATCH(C2103,po_code,0)),"Poste inconnu",IF(D2103="","Cause manquante",IF(ISNA(MATCH(D2103,ca_name,0)),"Cause inconnue",IF(H2103="","Cause à compléter dans Paramètres",IF(OR(NOT(ISNUMBER(E2103)),N(E2103)&lt;=0,N(E2103)&gt;1440),"Durée invalide",IF(COUNTIFS(sj_date,A2103,sj_eq,B2103,sj_po,C2103)=0,"Pas de saisie journalière ce jour-là","OK")))))))))))</f>
        <v/>
      </c>
      <c r="J2103">
        <f>IF(OR(I2103="OK",I2103="Pas de saisie journalière ce jour-là"),E2103,0)</f>
        <v>0.0</v>
      </c>
      <c r="K2103">
        <f>IF(AND(J2103&gt;0,A2103&gt;=p_from,A2103&lt;=p_to),1,0)</f>
        <v>0.0</v>
      </c>
      <c r="L2103">
        <f>IF(AND(K2103=1,OR(pa_po="",C2103=pa_po),OR(pa_eq="",B2103=pa_eq)),1,0)</f>
        <v>0.0</v>
      </c>
    </row>
    <row r="2104">
      <c r="A2104" s="51" t="n"/>
      <c r="B2104" s="52" t="n"/>
      <c r="C2104" s="52" t="n"/>
      <c r="D2104" s="53" t="n"/>
      <c r="E2104" s="60" t="n"/>
      <c r="F2104" s="53" t="n"/>
      <c r="G2104" s="61" t="str">
        <f>IF(OR(COUNTA(A2104:E2104)=0,D2104=""),"",IFERROR(INDEX(ca_fam,MATCH(D2104,ca_name,0))&amp;"",""))</f>
        <v/>
      </c>
      <c r="H2104" s="58" t="str">
        <f>IF(OR(COUNTA(A2104:E2104)=0,D2104=""),"",IFERROR(INDEX(ca_type,MATCH(D2104,ca_name,0))&amp;"",""))</f>
        <v/>
      </c>
      <c r="I2104" s="58" t="str">
        <f>IF(COUNTA(A2104:E2104)=0,"",IF(N(A2104)&lt;=0,"Date manquante ou invalide",IF(B2104="","Équipe manquante",IF(ISNA(MATCH(B2104,eq_code,0)),"Équipe inconnue",IF(C2104="","Poste manquant",IF(ISNA(MATCH(C2104,po_code,0)),"Poste inconnu",IF(D2104="","Cause manquante",IF(ISNA(MATCH(D2104,ca_name,0)),"Cause inconnue",IF(H2104="","Cause à compléter dans Paramètres",IF(OR(NOT(ISNUMBER(E2104)),N(E2104)&lt;=0,N(E2104)&gt;1440),"Durée invalide",IF(COUNTIFS(sj_date,A2104,sj_eq,B2104,sj_po,C2104)=0,"Pas de saisie journalière ce jour-là","OK")))))))))))</f>
        <v/>
      </c>
      <c r="J2104">
        <f>IF(OR(I2104="OK",I2104="Pas de saisie journalière ce jour-là"),E2104,0)</f>
        <v>0.0</v>
      </c>
      <c r="K2104">
        <f>IF(AND(J2104&gt;0,A2104&gt;=p_from,A2104&lt;=p_to),1,0)</f>
        <v>0.0</v>
      </c>
      <c r="L2104">
        <f>IF(AND(K2104=1,OR(pa_po="",C2104=pa_po),OR(pa_eq="",B2104=pa_eq)),1,0)</f>
        <v>0.0</v>
      </c>
    </row>
    <row r="2105">
      <c r="A2105" s="51" t="n"/>
      <c r="B2105" s="52" t="n"/>
      <c r="C2105" s="52" t="n"/>
      <c r="D2105" s="53" t="n"/>
      <c r="E2105" s="60" t="n"/>
      <c r="F2105" s="53" t="n"/>
      <c r="G2105" s="61" t="str">
        <f>IF(OR(COUNTA(A2105:E2105)=0,D2105=""),"",IFERROR(INDEX(ca_fam,MATCH(D2105,ca_name,0))&amp;"",""))</f>
        <v/>
      </c>
      <c r="H2105" s="58" t="str">
        <f>IF(OR(COUNTA(A2105:E2105)=0,D2105=""),"",IFERROR(INDEX(ca_type,MATCH(D2105,ca_name,0))&amp;"",""))</f>
        <v/>
      </c>
      <c r="I2105" s="58" t="str">
        <f>IF(COUNTA(A2105:E2105)=0,"",IF(N(A2105)&lt;=0,"Date manquante ou invalide",IF(B2105="","Équipe manquante",IF(ISNA(MATCH(B2105,eq_code,0)),"Équipe inconnue",IF(C2105="","Poste manquant",IF(ISNA(MATCH(C2105,po_code,0)),"Poste inconnu",IF(D2105="","Cause manquante",IF(ISNA(MATCH(D2105,ca_name,0)),"Cause inconnue",IF(H2105="","Cause à compléter dans Paramètres",IF(OR(NOT(ISNUMBER(E2105)),N(E2105)&lt;=0,N(E2105)&gt;1440),"Durée invalide",IF(COUNTIFS(sj_date,A2105,sj_eq,B2105,sj_po,C2105)=0,"Pas de saisie journalière ce jour-là","OK")))))))))))</f>
        <v/>
      </c>
      <c r="J2105">
        <f>IF(OR(I2105="OK",I2105="Pas de saisie journalière ce jour-là"),E2105,0)</f>
        <v>0.0</v>
      </c>
      <c r="K2105">
        <f>IF(AND(J2105&gt;0,A2105&gt;=p_from,A2105&lt;=p_to),1,0)</f>
        <v>0.0</v>
      </c>
      <c r="L2105">
        <f>IF(AND(K2105=1,OR(pa_po="",C2105=pa_po),OR(pa_eq="",B2105=pa_eq)),1,0)</f>
        <v>0.0</v>
      </c>
    </row>
    <row r="2106">
      <c r="A2106" s="51" t="n"/>
      <c r="B2106" s="52" t="n"/>
      <c r="C2106" s="52" t="n"/>
      <c r="D2106" s="53" t="n"/>
      <c r="E2106" s="60" t="n"/>
      <c r="F2106" s="53" t="n"/>
      <c r="G2106" s="61" t="str">
        <f>IF(OR(COUNTA(A2106:E2106)=0,D2106=""),"",IFERROR(INDEX(ca_fam,MATCH(D2106,ca_name,0))&amp;"",""))</f>
        <v/>
      </c>
      <c r="H2106" s="58" t="str">
        <f>IF(OR(COUNTA(A2106:E2106)=0,D2106=""),"",IFERROR(INDEX(ca_type,MATCH(D2106,ca_name,0))&amp;"",""))</f>
        <v/>
      </c>
      <c r="I2106" s="58" t="str">
        <f>IF(COUNTA(A2106:E2106)=0,"",IF(N(A2106)&lt;=0,"Date manquante ou invalide",IF(B2106="","Équipe manquante",IF(ISNA(MATCH(B2106,eq_code,0)),"Équipe inconnue",IF(C2106="","Poste manquant",IF(ISNA(MATCH(C2106,po_code,0)),"Poste inconnu",IF(D2106="","Cause manquante",IF(ISNA(MATCH(D2106,ca_name,0)),"Cause inconnue",IF(H2106="","Cause à compléter dans Paramètres",IF(OR(NOT(ISNUMBER(E2106)),N(E2106)&lt;=0,N(E2106)&gt;1440),"Durée invalide",IF(COUNTIFS(sj_date,A2106,sj_eq,B2106,sj_po,C2106)=0,"Pas de saisie journalière ce jour-là","OK")))))))))))</f>
        <v/>
      </c>
      <c r="J2106">
        <f>IF(OR(I2106="OK",I2106="Pas de saisie journalière ce jour-là"),E2106,0)</f>
        <v>0.0</v>
      </c>
      <c r="K2106">
        <f>IF(AND(J2106&gt;0,A2106&gt;=p_from,A2106&lt;=p_to),1,0)</f>
        <v>0.0</v>
      </c>
      <c r="L2106">
        <f>IF(AND(K2106=1,OR(pa_po="",C2106=pa_po),OR(pa_eq="",B2106=pa_eq)),1,0)</f>
        <v>0.0</v>
      </c>
    </row>
    <row r="2107">
      <c r="A2107" s="51" t="n"/>
      <c r="B2107" s="52" t="n"/>
      <c r="C2107" s="52" t="n"/>
      <c r="D2107" s="53" t="n"/>
      <c r="E2107" s="60" t="n"/>
      <c r="F2107" s="53" t="n"/>
      <c r="G2107" s="61" t="str">
        <f>IF(OR(COUNTA(A2107:E2107)=0,D2107=""),"",IFERROR(INDEX(ca_fam,MATCH(D2107,ca_name,0))&amp;"",""))</f>
        <v/>
      </c>
      <c r="H2107" s="58" t="str">
        <f>IF(OR(COUNTA(A2107:E2107)=0,D2107=""),"",IFERROR(INDEX(ca_type,MATCH(D2107,ca_name,0))&amp;"",""))</f>
        <v/>
      </c>
      <c r="I2107" s="58" t="str">
        <f>IF(COUNTA(A2107:E2107)=0,"",IF(N(A2107)&lt;=0,"Date manquante ou invalide",IF(B2107="","Équipe manquante",IF(ISNA(MATCH(B2107,eq_code,0)),"Équipe inconnue",IF(C2107="","Poste manquant",IF(ISNA(MATCH(C2107,po_code,0)),"Poste inconnu",IF(D2107="","Cause manquante",IF(ISNA(MATCH(D2107,ca_name,0)),"Cause inconnue",IF(H2107="","Cause à compléter dans Paramètres",IF(OR(NOT(ISNUMBER(E2107)),N(E2107)&lt;=0,N(E2107)&gt;1440),"Durée invalide",IF(COUNTIFS(sj_date,A2107,sj_eq,B2107,sj_po,C2107)=0,"Pas de saisie journalière ce jour-là","OK")))))))))))</f>
        <v/>
      </c>
      <c r="J2107">
        <f>IF(OR(I2107="OK",I2107="Pas de saisie journalière ce jour-là"),E2107,0)</f>
        <v>0.0</v>
      </c>
      <c r="K2107">
        <f>IF(AND(J2107&gt;0,A2107&gt;=p_from,A2107&lt;=p_to),1,0)</f>
        <v>0.0</v>
      </c>
      <c r="L2107">
        <f>IF(AND(K2107=1,OR(pa_po="",C2107=pa_po),OR(pa_eq="",B2107=pa_eq)),1,0)</f>
        <v>0.0</v>
      </c>
    </row>
    <row r="2108">
      <c r="A2108" s="51" t="n"/>
      <c r="B2108" s="52" t="n"/>
      <c r="C2108" s="52" t="n"/>
      <c r="D2108" s="53" t="n"/>
      <c r="E2108" s="60" t="n"/>
      <c r="F2108" s="53" t="n"/>
      <c r="G2108" s="61" t="str">
        <f>IF(OR(COUNTA(A2108:E2108)=0,D2108=""),"",IFERROR(INDEX(ca_fam,MATCH(D2108,ca_name,0))&amp;"",""))</f>
        <v/>
      </c>
      <c r="H2108" s="58" t="str">
        <f>IF(OR(COUNTA(A2108:E2108)=0,D2108=""),"",IFERROR(INDEX(ca_type,MATCH(D2108,ca_name,0))&amp;"",""))</f>
        <v/>
      </c>
      <c r="I2108" s="58" t="str">
        <f>IF(COUNTA(A2108:E2108)=0,"",IF(N(A2108)&lt;=0,"Date manquante ou invalide",IF(B2108="","Équipe manquante",IF(ISNA(MATCH(B2108,eq_code,0)),"Équipe inconnue",IF(C2108="","Poste manquant",IF(ISNA(MATCH(C2108,po_code,0)),"Poste inconnu",IF(D2108="","Cause manquante",IF(ISNA(MATCH(D2108,ca_name,0)),"Cause inconnue",IF(H2108="","Cause à compléter dans Paramètres",IF(OR(NOT(ISNUMBER(E2108)),N(E2108)&lt;=0,N(E2108)&gt;1440),"Durée invalide",IF(COUNTIFS(sj_date,A2108,sj_eq,B2108,sj_po,C2108)=0,"Pas de saisie journalière ce jour-là","OK")))))))))))</f>
        <v/>
      </c>
      <c r="J2108">
        <f>IF(OR(I2108="OK",I2108="Pas de saisie journalière ce jour-là"),E2108,0)</f>
        <v>0.0</v>
      </c>
      <c r="K2108">
        <f>IF(AND(J2108&gt;0,A2108&gt;=p_from,A2108&lt;=p_to),1,0)</f>
        <v>0.0</v>
      </c>
      <c r="L2108">
        <f>IF(AND(K2108=1,OR(pa_po="",C2108=pa_po),OR(pa_eq="",B2108=pa_eq)),1,0)</f>
        <v>0.0</v>
      </c>
    </row>
    <row r="2109">
      <c r="A2109" s="51" t="n"/>
      <c r="B2109" s="52" t="n"/>
      <c r="C2109" s="52" t="n"/>
      <c r="D2109" s="53" t="n"/>
      <c r="E2109" s="60" t="n"/>
      <c r="F2109" s="53" t="n"/>
      <c r="G2109" s="61" t="str">
        <f>IF(OR(COUNTA(A2109:E2109)=0,D2109=""),"",IFERROR(INDEX(ca_fam,MATCH(D2109,ca_name,0))&amp;"",""))</f>
        <v/>
      </c>
      <c r="H2109" s="58" t="str">
        <f>IF(OR(COUNTA(A2109:E2109)=0,D2109=""),"",IFERROR(INDEX(ca_type,MATCH(D2109,ca_name,0))&amp;"",""))</f>
        <v/>
      </c>
      <c r="I2109" s="58" t="str">
        <f>IF(COUNTA(A2109:E2109)=0,"",IF(N(A2109)&lt;=0,"Date manquante ou invalide",IF(B2109="","Équipe manquante",IF(ISNA(MATCH(B2109,eq_code,0)),"Équipe inconnue",IF(C2109="","Poste manquant",IF(ISNA(MATCH(C2109,po_code,0)),"Poste inconnu",IF(D2109="","Cause manquante",IF(ISNA(MATCH(D2109,ca_name,0)),"Cause inconnue",IF(H2109="","Cause à compléter dans Paramètres",IF(OR(NOT(ISNUMBER(E2109)),N(E2109)&lt;=0,N(E2109)&gt;1440),"Durée invalide",IF(COUNTIFS(sj_date,A2109,sj_eq,B2109,sj_po,C2109)=0,"Pas de saisie journalière ce jour-là","OK")))))))))))</f>
        <v/>
      </c>
      <c r="J2109">
        <f>IF(OR(I2109="OK",I2109="Pas de saisie journalière ce jour-là"),E2109,0)</f>
        <v>0.0</v>
      </c>
      <c r="K2109">
        <f>IF(AND(J2109&gt;0,A2109&gt;=p_from,A2109&lt;=p_to),1,0)</f>
        <v>0.0</v>
      </c>
      <c r="L2109">
        <f>IF(AND(K2109=1,OR(pa_po="",C2109=pa_po),OR(pa_eq="",B2109=pa_eq)),1,0)</f>
        <v>0.0</v>
      </c>
    </row>
    <row r="2110">
      <c r="A2110" s="51" t="n"/>
      <c r="B2110" s="52" t="n"/>
      <c r="C2110" s="52" t="n"/>
      <c r="D2110" s="53" t="n"/>
      <c r="E2110" s="60" t="n"/>
      <c r="F2110" s="53" t="n"/>
      <c r="G2110" s="61" t="str">
        <f>IF(OR(COUNTA(A2110:E2110)=0,D2110=""),"",IFERROR(INDEX(ca_fam,MATCH(D2110,ca_name,0))&amp;"",""))</f>
        <v/>
      </c>
      <c r="H2110" s="58" t="str">
        <f>IF(OR(COUNTA(A2110:E2110)=0,D2110=""),"",IFERROR(INDEX(ca_type,MATCH(D2110,ca_name,0))&amp;"",""))</f>
        <v/>
      </c>
      <c r="I2110" s="58" t="str">
        <f>IF(COUNTA(A2110:E2110)=0,"",IF(N(A2110)&lt;=0,"Date manquante ou invalide",IF(B2110="","Équipe manquante",IF(ISNA(MATCH(B2110,eq_code,0)),"Équipe inconnue",IF(C2110="","Poste manquant",IF(ISNA(MATCH(C2110,po_code,0)),"Poste inconnu",IF(D2110="","Cause manquante",IF(ISNA(MATCH(D2110,ca_name,0)),"Cause inconnue",IF(H2110="","Cause à compléter dans Paramètres",IF(OR(NOT(ISNUMBER(E2110)),N(E2110)&lt;=0,N(E2110)&gt;1440),"Durée invalide",IF(COUNTIFS(sj_date,A2110,sj_eq,B2110,sj_po,C2110)=0,"Pas de saisie journalière ce jour-là","OK")))))))))))</f>
        <v/>
      </c>
      <c r="J2110">
        <f>IF(OR(I2110="OK",I2110="Pas de saisie journalière ce jour-là"),E2110,0)</f>
        <v>0.0</v>
      </c>
      <c r="K2110">
        <f>IF(AND(J2110&gt;0,A2110&gt;=p_from,A2110&lt;=p_to),1,0)</f>
        <v>0.0</v>
      </c>
      <c r="L2110">
        <f>IF(AND(K2110=1,OR(pa_po="",C2110=pa_po),OR(pa_eq="",B2110=pa_eq)),1,0)</f>
        <v>0.0</v>
      </c>
    </row>
    <row r="2111">
      <c r="A2111" s="51" t="n"/>
      <c r="B2111" s="52" t="n"/>
      <c r="C2111" s="52" t="n"/>
      <c r="D2111" s="53" t="n"/>
      <c r="E2111" s="60" t="n"/>
      <c r="F2111" s="53" t="n"/>
      <c r="G2111" s="61" t="str">
        <f>IF(OR(COUNTA(A2111:E2111)=0,D2111=""),"",IFERROR(INDEX(ca_fam,MATCH(D2111,ca_name,0))&amp;"",""))</f>
        <v/>
      </c>
      <c r="H2111" s="58" t="str">
        <f>IF(OR(COUNTA(A2111:E2111)=0,D2111=""),"",IFERROR(INDEX(ca_type,MATCH(D2111,ca_name,0))&amp;"",""))</f>
        <v/>
      </c>
      <c r="I2111" s="58" t="str">
        <f>IF(COUNTA(A2111:E2111)=0,"",IF(N(A2111)&lt;=0,"Date manquante ou invalide",IF(B2111="","Équipe manquante",IF(ISNA(MATCH(B2111,eq_code,0)),"Équipe inconnue",IF(C2111="","Poste manquant",IF(ISNA(MATCH(C2111,po_code,0)),"Poste inconnu",IF(D2111="","Cause manquante",IF(ISNA(MATCH(D2111,ca_name,0)),"Cause inconnue",IF(H2111="","Cause à compléter dans Paramètres",IF(OR(NOT(ISNUMBER(E2111)),N(E2111)&lt;=0,N(E2111)&gt;1440),"Durée invalide",IF(COUNTIFS(sj_date,A2111,sj_eq,B2111,sj_po,C2111)=0,"Pas de saisie journalière ce jour-là","OK")))))))))))</f>
        <v/>
      </c>
      <c r="J2111">
        <f>IF(OR(I2111="OK",I2111="Pas de saisie journalière ce jour-là"),E2111,0)</f>
        <v>0.0</v>
      </c>
      <c r="K2111">
        <f>IF(AND(J2111&gt;0,A2111&gt;=p_from,A2111&lt;=p_to),1,0)</f>
        <v>0.0</v>
      </c>
      <c r="L2111">
        <f>IF(AND(K2111=1,OR(pa_po="",C2111=pa_po),OR(pa_eq="",B2111=pa_eq)),1,0)</f>
        <v>0.0</v>
      </c>
    </row>
    <row r="2112">
      <c r="A2112" s="51" t="n"/>
      <c r="B2112" s="52" t="n"/>
      <c r="C2112" s="52" t="n"/>
      <c r="D2112" s="53" t="n"/>
      <c r="E2112" s="60" t="n"/>
      <c r="F2112" s="53" t="n"/>
      <c r="G2112" s="61" t="str">
        <f>IF(OR(COUNTA(A2112:E2112)=0,D2112=""),"",IFERROR(INDEX(ca_fam,MATCH(D2112,ca_name,0))&amp;"",""))</f>
        <v/>
      </c>
      <c r="H2112" s="58" t="str">
        <f>IF(OR(COUNTA(A2112:E2112)=0,D2112=""),"",IFERROR(INDEX(ca_type,MATCH(D2112,ca_name,0))&amp;"",""))</f>
        <v/>
      </c>
      <c r="I2112" s="58" t="str">
        <f>IF(COUNTA(A2112:E2112)=0,"",IF(N(A2112)&lt;=0,"Date manquante ou invalide",IF(B2112="","Équipe manquante",IF(ISNA(MATCH(B2112,eq_code,0)),"Équipe inconnue",IF(C2112="","Poste manquant",IF(ISNA(MATCH(C2112,po_code,0)),"Poste inconnu",IF(D2112="","Cause manquante",IF(ISNA(MATCH(D2112,ca_name,0)),"Cause inconnue",IF(H2112="","Cause à compléter dans Paramètres",IF(OR(NOT(ISNUMBER(E2112)),N(E2112)&lt;=0,N(E2112)&gt;1440),"Durée invalide",IF(COUNTIFS(sj_date,A2112,sj_eq,B2112,sj_po,C2112)=0,"Pas de saisie journalière ce jour-là","OK")))))))))))</f>
        <v/>
      </c>
      <c r="J2112">
        <f>IF(OR(I2112="OK",I2112="Pas de saisie journalière ce jour-là"),E2112,0)</f>
        <v>0.0</v>
      </c>
      <c r="K2112">
        <f>IF(AND(J2112&gt;0,A2112&gt;=p_from,A2112&lt;=p_to),1,0)</f>
        <v>0.0</v>
      </c>
      <c r="L2112">
        <f>IF(AND(K2112=1,OR(pa_po="",C2112=pa_po),OR(pa_eq="",B2112=pa_eq)),1,0)</f>
        <v>0.0</v>
      </c>
    </row>
    <row r="2113">
      <c r="A2113" s="51" t="n"/>
      <c r="B2113" s="52" t="n"/>
      <c r="C2113" s="52" t="n"/>
      <c r="D2113" s="53" t="n"/>
      <c r="E2113" s="60" t="n"/>
      <c r="F2113" s="53" t="n"/>
      <c r="G2113" s="61" t="str">
        <f>IF(OR(COUNTA(A2113:E2113)=0,D2113=""),"",IFERROR(INDEX(ca_fam,MATCH(D2113,ca_name,0))&amp;"",""))</f>
        <v/>
      </c>
      <c r="H2113" s="58" t="str">
        <f>IF(OR(COUNTA(A2113:E2113)=0,D2113=""),"",IFERROR(INDEX(ca_type,MATCH(D2113,ca_name,0))&amp;"",""))</f>
        <v/>
      </c>
      <c r="I2113" s="58" t="str">
        <f>IF(COUNTA(A2113:E2113)=0,"",IF(N(A2113)&lt;=0,"Date manquante ou invalide",IF(B2113="","Équipe manquante",IF(ISNA(MATCH(B2113,eq_code,0)),"Équipe inconnue",IF(C2113="","Poste manquant",IF(ISNA(MATCH(C2113,po_code,0)),"Poste inconnu",IF(D2113="","Cause manquante",IF(ISNA(MATCH(D2113,ca_name,0)),"Cause inconnue",IF(H2113="","Cause à compléter dans Paramètres",IF(OR(NOT(ISNUMBER(E2113)),N(E2113)&lt;=0,N(E2113)&gt;1440),"Durée invalide",IF(COUNTIFS(sj_date,A2113,sj_eq,B2113,sj_po,C2113)=0,"Pas de saisie journalière ce jour-là","OK")))))))))))</f>
        <v/>
      </c>
      <c r="J2113">
        <f>IF(OR(I2113="OK",I2113="Pas de saisie journalière ce jour-là"),E2113,0)</f>
        <v>0.0</v>
      </c>
      <c r="K2113">
        <f>IF(AND(J2113&gt;0,A2113&gt;=p_from,A2113&lt;=p_to),1,0)</f>
        <v>0.0</v>
      </c>
      <c r="L2113">
        <f>IF(AND(K2113=1,OR(pa_po="",C2113=pa_po),OR(pa_eq="",B2113=pa_eq)),1,0)</f>
        <v>0.0</v>
      </c>
    </row>
    <row r="2114">
      <c r="A2114" s="51" t="n"/>
      <c r="B2114" s="52" t="n"/>
      <c r="C2114" s="52" t="n"/>
      <c r="D2114" s="53" t="n"/>
      <c r="E2114" s="60" t="n"/>
      <c r="F2114" s="53" t="n"/>
      <c r="G2114" s="61" t="str">
        <f>IF(OR(COUNTA(A2114:E2114)=0,D2114=""),"",IFERROR(INDEX(ca_fam,MATCH(D2114,ca_name,0))&amp;"",""))</f>
        <v/>
      </c>
      <c r="H2114" s="58" t="str">
        <f>IF(OR(COUNTA(A2114:E2114)=0,D2114=""),"",IFERROR(INDEX(ca_type,MATCH(D2114,ca_name,0))&amp;"",""))</f>
        <v/>
      </c>
      <c r="I2114" s="58" t="str">
        <f>IF(COUNTA(A2114:E2114)=0,"",IF(N(A2114)&lt;=0,"Date manquante ou invalide",IF(B2114="","Équipe manquante",IF(ISNA(MATCH(B2114,eq_code,0)),"Équipe inconnue",IF(C2114="","Poste manquant",IF(ISNA(MATCH(C2114,po_code,0)),"Poste inconnu",IF(D2114="","Cause manquante",IF(ISNA(MATCH(D2114,ca_name,0)),"Cause inconnue",IF(H2114="","Cause à compléter dans Paramètres",IF(OR(NOT(ISNUMBER(E2114)),N(E2114)&lt;=0,N(E2114)&gt;1440),"Durée invalide",IF(COUNTIFS(sj_date,A2114,sj_eq,B2114,sj_po,C2114)=0,"Pas de saisie journalière ce jour-là","OK")))))))))))</f>
        <v/>
      </c>
      <c r="J2114">
        <f>IF(OR(I2114="OK",I2114="Pas de saisie journalière ce jour-là"),E2114,0)</f>
        <v>0.0</v>
      </c>
      <c r="K2114">
        <f>IF(AND(J2114&gt;0,A2114&gt;=p_from,A2114&lt;=p_to),1,0)</f>
        <v>0.0</v>
      </c>
      <c r="L2114">
        <f>IF(AND(K2114=1,OR(pa_po="",C2114=pa_po),OR(pa_eq="",B2114=pa_eq)),1,0)</f>
        <v>0.0</v>
      </c>
    </row>
    <row r="2115">
      <c r="A2115" s="51" t="n"/>
      <c r="B2115" s="52" t="n"/>
      <c r="C2115" s="52" t="n"/>
      <c r="D2115" s="53" t="n"/>
      <c r="E2115" s="60" t="n"/>
      <c r="F2115" s="53" t="n"/>
      <c r="G2115" s="61" t="str">
        <f>IF(OR(COUNTA(A2115:E2115)=0,D2115=""),"",IFERROR(INDEX(ca_fam,MATCH(D2115,ca_name,0))&amp;"",""))</f>
        <v/>
      </c>
      <c r="H2115" s="58" t="str">
        <f>IF(OR(COUNTA(A2115:E2115)=0,D2115=""),"",IFERROR(INDEX(ca_type,MATCH(D2115,ca_name,0))&amp;"",""))</f>
        <v/>
      </c>
      <c r="I2115" s="58" t="str">
        <f>IF(COUNTA(A2115:E2115)=0,"",IF(N(A2115)&lt;=0,"Date manquante ou invalide",IF(B2115="","Équipe manquante",IF(ISNA(MATCH(B2115,eq_code,0)),"Équipe inconnue",IF(C2115="","Poste manquant",IF(ISNA(MATCH(C2115,po_code,0)),"Poste inconnu",IF(D2115="","Cause manquante",IF(ISNA(MATCH(D2115,ca_name,0)),"Cause inconnue",IF(H2115="","Cause à compléter dans Paramètres",IF(OR(NOT(ISNUMBER(E2115)),N(E2115)&lt;=0,N(E2115)&gt;1440),"Durée invalide",IF(COUNTIFS(sj_date,A2115,sj_eq,B2115,sj_po,C2115)=0,"Pas de saisie journalière ce jour-là","OK")))))))))))</f>
        <v/>
      </c>
      <c r="J2115">
        <f>IF(OR(I2115="OK",I2115="Pas de saisie journalière ce jour-là"),E2115,0)</f>
        <v>0.0</v>
      </c>
      <c r="K2115">
        <f>IF(AND(J2115&gt;0,A2115&gt;=p_from,A2115&lt;=p_to),1,0)</f>
        <v>0.0</v>
      </c>
      <c r="L2115">
        <f>IF(AND(K2115=1,OR(pa_po="",C2115=pa_po),OR(pa_eq="",B2115=pa_eq)),1,0)</f>
        <v>0.0</v>
      </c>
    </row>
    <row r="2116">
      <c r="A2116" s="51" t="n"/>
      <c r="B2116" s="52" t="n"/>
      <c r="C2116" s="52" t="n"/>
      <c r="D2116" s="53" t="n"/>
      <c r="E2116" s="60" t="n"/>
      <c r="F2116" s="53" t="n"/>
      <c r="G2116" s="61" t="str">
        <f>IF(OR(COUNTA(A2116:E2116)=0,D2116=""),"",IFERROR(INDEX(ca_fam,MATCH(D2116,ca_name,0))&amp;"",""))</f>
        <v/>
      </c>
      <c r="H2116" s="58" t="str">
        <f>IF(OR(COUNTA(A2116:E2116)=0,D2116=""),"",IFERROR(INDEX(ca_type,MATCH(D2116,ca_name,0))&amp;"",""))</f>
        <v/>
      </c>
      <c r="I2116" s="58" t="str">
        <f>IF(COUNTA(A2116:E2116)=0,"",IF(N(A2116)&lt;=0,"Date manquante ou invalide",IF(B2116="","Équipe manquante",IF(ISNA(MATCH(B2116,eq_code,0)),"Équipe inconnue",IF(C2116="","Poste manquant",IF(ISNA(MATCH(C2116,po_code,0)),"Poste inconnu",IF(D2116="","Cause manquante",IF(ISNA(MATCH(D2116,ca_name,0)),"Cause inconnue",IF(H2116="","Cause à compléter dans Paramètres",IF(OR(NOT(ISNUMBER(E2116)),N(E2116)&lt;=0,N(E2116)&gt;1440),"Durée invalide",IF(COUNTIFS(sj_date,A2116,sj_eq,B2116,sj_po,C2116)=0,"Pas de saisie journalière ce jour-là","OK")))))))))))</f>
        <v/>
      </c>
      <c r="J2116">
        <f>IF(OR(I2116="OK",I2116="Pas de saisie journalière ce jour-là"),E2116,0)</f>
        <v>0.0</v>
      </c>
      <c r="K2116">
        <f>IF(AND(J2116&gt;0,A2116&gt;=p_from,A2116&lt;=p_to),1,0)</f>
        <v>0.0</v>
      </c>
      <c r="L2116">
        <f>IF(AND(K2116=1,OR(pa_po="",C2116=pa_po),OR(pa_eq="",B2116=pa_eq)),1,0)</f>
        <v>0.0</v>
      </c>
    </row>
    <row r="2117">
      <c r="A2117" s="51" t="n"/>
      <c r="B2117" s="52" t="n"/>
      <c r="C2117" s="52" t="n"/>
      <c r="D2117" s="53" t="n"/>
      <c r="E2117" s="60" t="n"/>
      <c r="F2117" s="53" t="n"/>
      <c r="G2117" s="61" t="str">
        <f>IF(OR(COUNTA(A2117:E2117)=0,D2117=""),"",IFERROR(INDEX(ca_fam,MATCH(D2117,ca_name,0))&amp;"",""))</f>
        <v/>
      </c>
      <c r="H2117" s="58" t="str">
        <f>IF(OR(COUNTA(A2117:E2117)=0,D2117=""),"",IFERROR(INDEX(ca_type,MATCH(D2117,ca_name,0))&amp;"",""))</f>
        <v/>
      </c>
      <c r="I2117" s="58" t="str">
        <f>IF(COUNTA(A2117:E2117)=0,"",IF(N(A2117)&lt;=0,"Date manquante ou invalide",IF(B2117="","Équipe manquante",IF(ISNA(MATCH(B2117,eq_code,0)),"Équipe inconnue",IF(C2117="","Poste manquant",IF(ISNA(MATCH(C2117,po_code,0)),"Poste inconnu",IF(D2117="","Cause manquante",IF(ISNA(MATCH(D2117,ca_name,0)),"Cause inconnue",IF(H2117="","Cause à compléter dans Paramètres",IF(OR(NOT(ISNUMBER(E2117)),N(E2117)&lt;=0,N(E2117)&gt;1440),"Durée invalide",IF(COUNTIFS(sj_date,A2117,sj_eq,B2117,sj_po,C2117)=0,"Pas de saisie journalière ce jour-là","OK")))))))))))</f>
        <v/>
      </c>
      <c r="J2117">
        <f>IF(OR(I2117="OK",I2117="Pas de saisie journalière ce jour-là"),E2117,0)</f>
        <v>0.0</v>
      </c>
      <c r="K2117">
        <f>IF(AND(J2117&gt;0,A2117&gt;=p_from,A2117&lt;=p_to),1,0)</f>
        <v>0.0</v>
      </c>
      <c r="L2117">
        <f>IF(AND(K2117=1,OR(pa_po="",C2117=pa_po),OR(pa_eq="",B2117=pa_eq)),1,0)</f>
        <v>0.0</v>
      </c>
    </row>
    <row r="2118">
      <c r="A2118" s="51" t="n"/>
      <c r="B2118" s="52" t="n"/>
      <c r="C2118" s="52" t="n"/>
      <c r="D2118" s="53" t="n"/>
      <c r="E2118" s="60" t="n"/>
      <c r="F2118" s="53" t="n"/>
      <c r="G2118" s="61" t="str">
        <f>IF(OR(COUNTA(A2118:E2118)=0,D2118=""),"",IFERROR(INDEX(ca_fam,MATCH(D2118,ca_name,0))&amp;"",""))</f>
        <v/>
      </c>
      <c r="H2118" s="58" t="str">
        <f>IF(OR(COUNTA(A2118:E2118)=0,D2118=""),"",IFERROR(INDEX(ca_type,MATCH(D2118,ca_name,0))&amp;"",""))</f>
        <v/>
      </c>
      <c r="I2118" s="58" t="str">
        <f>IF(COUNTA(A2118:E2118)=0,"",IF(N(A2118)&lt;=0,"Date manquante ou invalide",IF(B2118="","Équipe manquante",IF(ISNA(MATCH(B2118,eq_code,0)),"Équipe inconnue",IF(C2118="","Poste manquant",IF(ISNA(MATCH(C2118,po_code,0)),"Poste inconnu",IF(D2118="","Cause manquante",IF(ISNA(MATCH(D2118,ca_name,0)),"Cause inconnue",IF(H2118="","Cause à compléter dans Paramètres",IF(OR(NOT(ISNUMBER(E2118)),N(E2118)&lt;=0,N(E2118)&gt;1440),"Durée invalide",IF(COUNTIFS(sj_date,A2118,sj_eq,B2118,sj_po,C2118)=0,"Pas de saisie journalière ce jour-là","OK")))))))))))</f>
        <v/>
      </c>
      <c r="J2118">
        <f>IF(OR(I2118="OK",I2118="Pas de saisie journalière ce jour-là"),E2118,0)</f>
        <v>0.0</v>
      </c>
      <c r="K2118">
        <f>IF(AND(J2118&gt;0,A2118&gt;=p_from,A2118&lt;=p_to),1,0)</f>
        <v>0.0</v>
      </c>
      <c r="L2118">
        <f>IF(AND(K2118=1,OR(pa_po="",C2118=pa_po),OR(pa_eq="",B2118=pa_eq)),1,0)</f>
        <v>0.0</v>
      </c>
    </row>
    <row r="2119">
      <c r="A2119" s="51" t="n"/>
      <c r="B2119" s="52" t="n"/>
      <c r="C2119" s="52" t="n"/>
      <c r="D2119" s="53" t="n"/>
      <c r="E2119" s="60" t="n"/>
      <c r="F2119" s="53" t="n"/>
      <c r="G2119" s="61" t="str">
        <f>IF(OR(COUNTA(A2119:E2119)=0,D2119=""),"",IFERROR(INDEX(ca_fam,MATCH(D2119,ca_name,0))&amp;"",""))</f>
        <v/>
      </c>
      <c r="H2119" s="58" t="str">
        <f>IF(OR(COUNTA(A2119:E2119)=0,D2119=""),"",IFERROR(INDEX(ca_type,MATCH(D2119,ca_name,0))&amp;"",""))</f>
        <v/>
      </c>
      <c r="I2119" s="58" t="str">
        <f>IF(COUNTA(A2119:E2119)=0,"",IF(N(A2119)&lt;=0,"Date manquante ou invalide",IF(B2119="","Équipe manquante",IF(ISNA(MATCH(B2119,eq_code,0)),"Équipe inconnue",IF(C2119="","Poste manquant",IF(ISNA(MATCH(C2119,po_code,0)),"Poste inconnu",IF(D2119="","Cause manquante",IF(ISNA(MATCH(D2119,ca_name,0)),"Cause inconnue",IF(H2119="","Cause à compléter dans Paramètres",IF(OR(NOT(ISNUMBER(E2119)),N(E2119)&lt;=0,N(E2119)&gt;1440),"Durée invalide",IF(COUNTIFS(sj_date,A2119,sj_eq,B2119,sj_po,C2119)=0,"Pas de saisie journalière ce jour-là","OK")))))))))))</f>
        <v/>
      </c>
      <c r="J2119">
        <f>IF(OR(I2119="OK",I2119="Pas de saisie journalière ce jour-là"),E2119,0)</f>
        <v>0.0</v>
      </c>
      <c r="K2119">
        <f>IF(AND(J2119&gt;0,A2119&gt;=p_from,A2119&lt;=p_to),1,0)</f>
        <v>0.0</v>
      </c>
      <c r="L2119">
        <f>IF(AND(K2119=1,OR(pa_po="",C2119=pa_po),OR(pa_eq="",B2119=pa_eq)),1,0)</f>
        <v>0.0</v>
      </c>
    </row>
    <row r="2120">
      <c r="A2120" s="51" t="n"/>
      <c r="B2120" s="52" t="n"/>
      <c r="C2120" s="52" t="n"/>
      <c r="D2120" s="53" t="n"/>
      <c r="E2120" s="60" t="n"/>
      <c r="F2120" s="53" t="n"/>
      <c r="G2120" s="61" t="str">
        <f>IF(OR(COUNTA(A2120:E2120)=0,D2120=""),"",IFERROR(INDEX(ca_fam,MATCH(D2120,ca_name,0))&amp;"",""))</f>
        <v/>
      </c>
      <c r="H2120" s="58" t="str">
        <f>IF(OR(COUNTA(A2120:E2120)=0,D2120=""),"",IFERROR(INDEX(ca_type,MATCH(D2120,ca_name,0))&amp;"",""))</f>
        <v/>
      </c>
      <c r="I2120" s="58" t="str">
        <f>IF(COUNTA(A2120:E2120)=0,"",IF(N(A2120)&lt;=0,"Date manquante ou invalide",IF(B2120="","Équipe manquante",IF(ISNA(MATCH(B2120,eq_code,0)),"Équipe inconnue",IF(C2120="","Poste manquant",IF(ISNA(MATCH(C2120,po_code,0)),"Poste inconnu",IF(D2120="","Cause manquante",IF(ISNA(MATCH(D2120,ca_name,0)),"Cause inconnue",IF(H2120="","Cause à compléter dans Paramètres",IF(OR(NOT(ISNUMBER(E2120)),N(E2120)&lt;=0,N(E2120)&gt;1440),"Durée invalide",IF(COUNTIFS(sj_date,A2120,sj_eq,B2120,sj_po,C2120)=0,"Pas de saisie journalière ce jour-là","OK")))))))))))</f>
        <v/>
      </c>
      <c r="J2120">
        <f>IF(OR(I2120="OK",I2120="Pas de saisie journalière ce jour-là"),E2120,0)</f>
        <v>0.0</v>
      </c>
      <c r="K2120">
        <f>IF(AND(J2120&gt;0,A2120&gt;=p_from,A2120&lt;=p_to),1,0)</f>
        <v>0.0</v>
      </c>
      <c r="L2120">
        <f>IF(AND(K2120=1,OR(pa_po="",C2120=pa_po),OR(pa_eq="",B2120=pa_eq)),1,0)</f>
        <v>0.0</v>
      </c>
    </row>
    <row r="2121">
      <c r="A2121" s="51" t="n"/>
      <c r="B2121" s="52" t="n"/>
      <c r="C2121" s="52" t="n"/>
      <c r="D2121" s="53" t="n"/>
      <c r="E2121" s="60" t="n"/>
      <c r="F2121" s="53" t="n"/>
      <c r="G2121" s="61" t="str">
        <f>IF(OR(COUNTA(A2121:E2121)=0,D2121=""),"",IFERROR(INDEX(ca_fam,MATCH(D2121,ca_name,0))&amp;"",""))</f>
        <v/>
      </c>
      <c r="H2121" s="58" t="str">
        <f>IF(OR(COUNTA(A2121:E2121)=0,D2121=""),"",IFERROR(INDEX(ca_type,MATCH(D2121,ca_name,0))&amp;"",""))</f>
        <v/>
      </c>
      <c r="I2121" s="58" t="str">
        <f>IF(COUNTA(A2121:E2121)=0,"",IF(N(A2121)&lt;=0,"Date manquante ou invalide",IF(B2121="","Équipe manquante",IF(ISNA(MATCH(B2121,eq_code,0)),"Équipe inconnue",IF(C2121="","Poste manquant",IF(ISNA(MATCH(C2121,po_code,0)),"Poste inconnu",IF(D2121="","Cause manquante",IF(ISNA(MATCH(D2121,ca_name,0)),"Cause inconnue",IF(H2121="","Cause à compléter dans Paramètres",IF(OR(NOT(ISNUMBER(E2121)),N(E2121)&lt;=0,N(E2121)&gt;1440),"Durée invalide",IF(COUNTIFS(sj_date,A2121,sj_eq,B2121,sj_po,C2121)=0,"Pas de saisie journalière ce jour-là","OK")))))))))))</f>
        <v/>
      </c>
      <c r="J2121">
        <f>IF(OR(I2121="OK",I2121="Pas de saisie journalière ce jour-là"),E2121,0)</f>
        <v>0.0</v>
      </c>
      <c r="K2121">
        <f>IF(AND(J2121&gt;0,A2121&gt;=p_from,A2121&lt;=p_to),1,0)</f>
        <v>0.0</v>
      </c>
      <c r="L2121">
        <f>IF(AND(K2121=1,OR(pa_po="",C2121=pa_po),OR(pa_eq="",B2121=pa_eq)),1,0)</f>
        <v>0.0</v>
      </c>
    </row>
    <row r="2122">
      <c r="A2122" s="51" t="n"/>
      <c r="B2122" s="52" t="n"/>
      <c r="C2122" s="52" t="n"/>
      <c r="D2122" s="53" t="n"/>
      <c r="E2122" s="60" t="n"/>
      <c r="F2122" s="53" t="n"/>
      <c r="G2122" s="61" t="str">
        <f>IF(OR(COUNTA(A2122:E2122)=0,D2122=""),"",IFERROR(INDEX(ca_fam,MATCH(D2122,ca_name,0))&amp;"",""))</f>
        <v/>
      </c>
      <c r="H2122" s="58" t="str">
        <f>IF(OR(COUNTA(A2122:E2122)=0,D2122=""),"",IFERROR(INDEX(ca_type,MATCH(D2122,ca_name,0))&amp;"",""))</f>
        <v/>
      </c>
      <c r="I2122" s="58" t="str">
        <f>IF(COUNTA(A2122:E2122)=0,"",IF(N(A2122)&lt;=0,"Date manquante ou invalide",IF(B2122="","Équipe manquante",IF(ISNA(MATCH(B2122,eq_code,0)),"Équipe inconnue",IF(C2122="","Poste manquant",IF(ISNA(MATCH(C2122,po_code,0)),"Poste inconnu",IF(D2122="","Cause manquante",IF(ISNA(MATCH(D2122,ca_name,0)),"Cause inconnue",IF(H2122="","Cause à compléter dans Paramètres",IF(OR(NOT(ISNUMBER(E2122)),N(E2122)&lt;=0,N(E2122)&gt;1440),"Durée invalide",IF(COUNTIFS(sj_date,A2122,sj_eq,B2122,sj_po,C2122)=0,"Pas de saisie journalière ce jour-là","OK")))))))))))</f>
        <v/>
      </c>
      <c r="J2122">
        <f>IF(OR(I2122="OK",I2122="Pas de saisie journalière ce jour-là"),E2122,0)</f>
        <v>0.0</v>
      </c>
      <c r="K2122">
        <f>IF(AND(J2122&gt;0,A2122&gt;=p_from,A2122&lt;=p_to),1,0)</f>
        <v>0.0</v>
      </c>
      <c r="L2122">
        <f>IF(AND(K2122=1,OR(pa_po="",C2122=pa_po),OR(pa_eq="",B2122=pa_eq)),1,0)</f>
        <v>0.0</v>
      </c>
    </row>
    <row r="2123">
      <c r="A2123" s="51" t="n"/>
      <c r="B2123" s="52" t="n"/>
      <c r="C2123" s="52" t="n"/>
      <c r="D2123" s="53" t="n"/>
      <c r="E2123" s="60" t="n"/>
      <c r="F2123" s="53" t="n"/>
      <c r="G2123" s="61" t="str">
        <f>IF(OR(COUNTA(A2123:E2123)=0,D2123=""),"",IFERROR(INDEX(ca_fam,MATCH(D2123,ca_name,0))&amp;"",""))</f>
        <v/>
      </c>
      <c r="H2123" s="58" t="str">
        <f>IF(OR(COUNTA(A2123:E2123)=0,D2123=""),"",IFERROR(INDEX(ca_type,MATCH(D2123,ca_name,0))&amp;"",""))</f>
        <v/>
      </c>
      <c r="I2123" s="58" t="str">
        <f>IF(COUNTA(A2123:E2123)=0,"",IF(N(A2123)&lt;=0,"Date manquante ou invalide",IF(B2123="","Équipe manquante",IF(ISNA(MATCH(B2123,eq_code,0)),"Équipe inconnue",IF(C2123="","Poste manquant",IF(ISNA(MATCH(C2123,po_code,0)),"Poste inconnu",IF(D2123="","Cause manquante",IF(ISNA(MATCH(D2123,ca_name,0)),"Cause inconnue",IF(H2123="","Cause à compléter dans Paramètres",IF(OR(NOT(ISNUMBER(E2123)),N(E2123)&lt;=0,N(E2123)&gt;1440),"Durée invalide",IF(COUNTIFS(sj_date,A2123,sj_eq,B2123,sj_po,C2123)=0,"Pas de saisie journalière ce jour-là","OK")))))))))))</f>
        <v/>
      </c>
      <c r="J2123">
        <f>IF(OR(I2123="OK",I2123="Pas de saisie journalière ce jour-là"),E2123,0)</f>
        <v>0.0</v>
      </c>
      <c r="K2123">
        <f>IF(AND(J2123&gt;0,A2123&gt;=p_from,A2123&lt;=p_to),1,0)</f>
        <v>0.0</v>
      </c>
      <c r="L2123">
        <f>IF(AND(K2123=1,OR(pa_po="",C2123=pa_po),OR(pa_eq="",B2123=pa_eq)),1,0)</f>
        <v>0.0</v>
      </c>
    </row>
    <row r="2124">
      <c r="A2124" s="51" t="n"/>
      <c r="B2124" s="52" t="n"/>
      <c r="C2124" s="52" t="n"/>
      <c r="D2124" s="53" t="n"/>
      <c r="E2124" s="60" t="n"/>
      <c r="F2124" s="53" t="n"/>
      <c r="G2124" s="61" t="str">
        <f>IF(OR(COUNTA(A2124:E2124)=0,D2124=""),"",IFERROR(INDEX(ca_fam,MATCH(D2124,ca_name,0))&amp;"",""))</f>
        <v/>
      </c>
      <c r="H2124" s="58" t="str">
        <f>IF(OR(COUNTA(A2124:E2124)=0,D2124=""),"",IFERROR(INDEX(ca_type,MATCH(D2124,ca_name,0))&amp;"",""))</f>
        <v/>
      </c>
      <c r="I2124" s="58" t="str">
        <f>IF(COUNTA(A2124:E2124)=0,"",IF(N(A2124)&lt;=0,"Date manquante ou invalide",IF(B2124="","Équipe manquante",IF(ISNA(MATCH(B2124,eq_code,0)),"Équipe inconnue",IF(C2124="","Poste manquant",IF(ISNA(MATCH(C2124,po_code,0)),"Poste inconnu",IF(D2124="","Cause manquante",IF(ISNA(MATCH(D2124,ca_name,0)),"Cause inconnue",IF(H2124="","Cause à compléter dans Paramètres",IF(OR(NOT(ISNUMBER(E2124)),N(E2124)&lt;=0,N(E2124)&gt;1440),"Durée invalide",IF(COUNTIFS(sj_date,A2124,sj_eq,B2124,sj_po,C2124)=0,"Pas de saisie journalière ce jour-là","OK")))))))))))</f>
        <v/>
      </c>
      <c r="J2124">
        <f>IF(OR(I2124="OK",I2124="Pas de saisie journalière ce jour-là"),E2124,0)</f>
        <v>0.0</v>
      </c>
      <c r="K2124">
        <f>IF(AND(J2124&gt;0,A2124&gt;=p_from,A2124&lt;=p_to),1,0)</f>
        <v>0.0</v>
      </c>
      <c r="L2124">
        <f>IF(AND(K2124=1,OR(pa_po="",C2124=pa_po),OR(pa_eq="",B2124=pa_eq)),1,0)</f>
        <v>0.0</v>
      </c>
    </row>
    <row r="2125">
      <c r="A2125" s="51" t="n"/>
      <c r="B2125" s="52" t="n"/>
      <c r="C2125" s="52" t="n"/>
      <c r="D2125" s="53" t="n"/>
      <c r="E2125" s="60" t="n"/>
      <c r="F2125" s="53" t="n"/>
      <c r="G2125" s="61" t="str">
        <f>IF(OR(COUNTA(A2125:E2125)=0,D2125=""),"",IFERROR(INDEX(ca_fam,MATCH(D2125,ca_name,0))&amp;"",""))</f>
        <v/>
      </c>
      <c r="H2125" s="58" t="str">
        <f>IF(OR(COUNTA(A2125:E2125)=0,D2125=""),"",IFERROR(INDEX(ca_type,MATCH(D2125,ca_name,0))&amp;"",""))</f>
        <v/>
      </c>
      <c r="I2125" s="58" t="str">
        <f>IF(COUNTA(A2125:E2125)=0,"",IF(N(A2125)&lt;=0,"Date manquante ou invalide",IF(B2125="","Équipe manquante",IF(ISNA(MATCH(B2125,eq_code,0)),"Équipe inconnue",IF(C2125="","Poste manquant",IF(ISNA(MATCH(C2125,po_code,0)),"Poste inconnu",IF(D2125="","Cause manquante",IF(ISNA(MATCH(D2125,ca_name,0)),"Cause inconnue",IF(H2125="","Cause à compléter dans Paramètres",IF(OR(NOT(ISNUMBER(E2125)),N(E2125)&lt;=0,N(E2125)&gt;1440),"Durée invalide",IF(COUNTIFS(sj_date,A2125,sj_eq,B2125,sj_po,C2125)=0,"Pas de saisie journalière ce jour-là","OK")))))))))))</f>
        <v/>
      </c>
      <c r="J2125">
        <f>IF(OR(I2125="OK",I2125="Pas de saisie journalière ce jour-là"),E2125,0)</f>
        <v>0.0</v>
      </c>
      <c r="K2125">
        <f>IF(AND(J2125&gt;0,A2125&gt;=p_from,A2125&lt;=p_to),1,0)</f>
        <v>0.0</v>
      </c>
      <c r="L2125">
        <f>IF(AND(K2125=1,OR(pa_po="",C2125=pa_po),OR(pa_eq="",B2125=pa_eq)),1,0)</f>
        <v>0.0</v>
      </c>
    </row>
    <row r="2126">
      <c r="A2126" s="51" t="n"/>
      <c r="B2126" s="52" t="n"/>
      <c r="C2126" s="52" t="n"/>
      <c r="D2126" s="53" t="n"/>
      <c r="E2126" s="60" t="n"/>
      <c r="F2126" s="53" t="n"/>
      <c r="G2126" s="61" t="str">
        <f>IF(OR(COUNTA(A2126:E2126)=0,D2126=""),"",IFERROR(INDEX(ca_fam,MATCH(D2126,ca_name,0))&amp;"",""))</f>
        <v/>
      </c>
      <c r="H2126" s="58" t="str">
        <f>IF(OR(COUNTA(A2126:E2126)=0,D2126=""),"",IFERROR(INDEX(ca_type,MATCH(D2126,ca_name,0))&amp;"",""))</f>
        <v/>
      </c>
      <c r="I2126" s="58" t="str">
        <f>IF(COUNTA(A2126:E2126)=0,"",IF(N(A2126)&lt;=0,"Date manquante ou invalide",IF(B2126="","Équipe manquante",IF(ISNA(MATCH(B2126,eq_code,0)),"Équipe inconnue",IF(C2126="","Poste manquant",IF(ISNA(MATCH(C2126,po_code,0)),"Poste inconnu",IF(D2126="","Cause manquante",IF(ISNA(MATCH(D2126,ca_name,0)),"Cause inconnue",IF(H2126="","Cause à compléter dans Paramètres",IF(OR(NOT(ISNUMBER(E2126)),N(E2126)&lt;=0,N(E2126)&gt;1440),"Durée invalide",IF(COUNTIFS(sj_date,A2126,sj_eq,B2126,sj_po,C2126)=0,"Pas de saisie journalière ce jour-là","OK")))))))))))</f>
        <v/>
      </c>
      <c r="J2126">
        <f>IF(OR(I2126="OK",I2126="Pas de saisie journalière ce jour-là"),E2126,0)</f>
        <v>0.0</v>
      </c>
      <c r="K2126">
        <f>IF(AND(J2126&gt;0,A2126&gt;=p_from,A2126&lt;=p_to),1,0)</f>
        <v>0.0</v>
      </c>
      <c r="L2126">
        <f>IF(AND(K2126=1,OR(pa_po="",C2126=pa_po),OR(pa_eq="",B2126=pa_eq)),1,0)</f>
        <v>0.0</v>
      </c>
    </row>
    <row r="2127">
      <c r="A2127" s="51" t="n"/>
      <c r="B2127" s="52" t="n"/>
      <c r="C2127" s="52" t="n"/>
      <c r="D2127" s="53" t="n"/>
      <c r="E2127" s="60" t="n"/>
      <c r="F2127" s="53" t="n"/>
      <c r="G2127" s="61" t="str">
        <f>IF(OR(COUNTA(A2127:E2127)=0,D2127=""),"",IFERROR(INDEX(ca_fam,MATCH(D2127,ca_name,0))&amp;"",""))</f>
        <v/>
      </c>
      <c r="H2127" s="58" t="str">
        <f>IF(OR(COUNTA(A2127:E2127)=0,D2127=""),"",IFERROR(INDEX(ca_type,MATCH(D2127,ca_name,0))&amp;"",""))</f>
        <v/>
      </c>
      <c r="I2127" s="58" t="str">
        <f>IF(COUNTA(A2127:E2127)=0,"",IF(N(A2127)&lt;=0,"Date manquante ou invalide",IF(B2127="","Équipe manquante",IF(ISNA(MATCH(B2127,eq_code,0)),"Équipe inconnue",IF(C2127="","Poste manquant",IF(ISNA(MATCH(C2127,po_code,0)),"Poste inconnu",IF(D2127="","Cause manquante",IF(ISNA(MATCH(D2127,ca_name,0)),"Cause inconnue",IF(H2127="","Cause à compléter dans Paramètres",IF(OR(NOT(ISNUMBER(E2127)),N(E2127)&lt;=0,N(E2127)&gt;1440),"Durée invalide",IF(COUNTIFS(sj_date,A2127,sj_eq,B2127,sj_po,C2127)=0,"Pas de saisie journalière ce jour-là","OK")))))))))))</f>
        <v/>
      </c>
      <c r="J2127">
        <f>IF(OR(I2127="OK",I2127="Pas de saisie journalière ce jour-là"),E2127,0)</f>
        <v>0.0</v>
      </c>
      <c r="K2127">
        <f>IF(AND(J2127&gt;0,A2127&gt;=p_from,A2127&lt;=p_to),1,0)</f>
        <v>0.0</v>
      </c>
      <c r="L2127">
        <f>IF(AND(K2127=1,OR(pa_po="",C2127=pa_po),OR(pa_eq="",B2127=pa_eq)),1,0)</f>
        <v>0.0</v>
      </c>
    </row>
    <row r="2128">
      <c r="A2128" s="51" t="n"/>
      <c r="B2128" s="52" t="n"/>
      <c r="C2128" s="52" t="n"/>
      <c r="D2128" s="53" t="n"/>
      <c r="E2128" s="60" t="n"/>
      <c r="F2128" s="53" t="n"/>
      <c r="G2128" s="61" t="str">
        <f>IF(OR(COUNTA(A2128:E2128)=0,D2128=""),"",IFERROR(INDEX(ca_fam,MATCH(D2128,ca_name,0))&amp;"",""))</f>
        <v/>
      </c>
      <c r="H2128" s="58" t="str">
        <f>IF(OR(COUNTA(A2128:E2128)=0,D2128=""),"",IFERROR(INDEX(ca_type,MATCH(D2128,ca_name,0))&amp;"",""))</f>
        <v/>
      </c>
      <c r="I2128" s="58" t="str">
        <f>IF(COUNTA(A2128:E2128)=0,"",IF(N(A2128)&lt;=0,"Date manquante ou invalide",IF(B2128="","Équipe manquante",IF(ISNA(MATCH(B2128,eq_code,0)),"Équipe inconnue",IF(C2128="","Poste manquant",IF(ISNA(MATCH(C2128,po_code,0)),"Poste inconnu",IF(D2128="","Cause manquante",IF(ISNA(MATCH(D2128,ca_name,0)),"Cause inconnue",IF(H2128="","Cause à compléter dans Paramètres",IF(OR(NOT(ISNUMBER(E2128)),N(E2128)&lt;=0,N(E2128)&gt;1440),"Durée invalide",IF(COUNTIFS(sj_date,A2128,sj_eq,B2128,sj_po,C2128)=0,"Pas de saisie journalière ce jour-là","OK")))))))))))</f>
        <v/>
      </c>
      <c r="J2128">
        <f>IF(OR(I2128="OK",I2128="Pas de saisie journalière ce jour-là"),E2128,0)</f>
        <v>0.0</v>
      </c>
      <c r="K2128">
        <f>IF(AND(J2128&gt;0,A2128&gt;=p_from,A2128&lt;=p_to),1,0)</f>
        <v>0.0</v>
      </c>
      <c r="L2128">
        <f>IF(AND(K2128=1,OR(pa_po="",C2128=pa_po),OR(pa_eq="",B2128=pa_eq)),1,0)</f>
        <v>0.0</v>
      </c>
    </row>
    <row r="2129">
      <c r="A2129" s="51" t="n"/>
      <c r="B2129" s="52" t="n"/>
      <c r="C2129" s="52" t="n"/>
      <c r="D2129" s="53" t="n"/>
      <c r="E2129" s="60" t="n"/>
      <c r="F2129" s="53" t="n"/>
      <c r="G2129" s="61" t="str">
        <f>IF(OR(COUNTA(A2129:E2129)=0,D2129=""),"",IFERROR(INDEX(ca_fam,MATCH(D2129,ca_name,0))&amp;"",""))</f>
        <v/>
      </c>
      <c r="H2129" s="58" t="str">
        <f>IF(OR(COUNTA(A2129:E2129)=0,D2129=""),"",IFERROR(INDEX(ca_type,MATCH(D2129,ca_name,0))&amp;"",""))</f>
        <v/>
      </c>
      <c r="I2129" s="58" t="str">
        <f>IF(COUNTA(A2129:E2129)=0,"",IF(N(A2129)&lt;=0,"Date manquante ou invalide",IF(B2129="","Équipe manquante",IF(ISNA(MATCH(B2129,eq_code,0)),"Équipe inconnue",IF(C2129="","Poste manquant",IF(ISNA(MATCH(C2129,po_code,0)),"Poste inconnu",IF(D2129="","Cause manquante",IF(ISNA(MATCH(D2129,ca_name,0)),"Cause inconnue",IF(H2129="","Cause à compléter dans Paramètres",IF(OR(NOT(ISNUMBER(E2129)),N(E2129)&lt;=0,N(E2129)&gt;1440),"Durée invalide",IF(COUNTIFS(sj_date,A2129,sj_eq,B2129,sj_po,C2129)=0,"Pas de saisie journalière ce jour-là","OK")))))))))))</f>
        <v/>
      </c>
      <c r="J2129">
        <f>IF(OR(I2129="OK",I2129="Pas de saisie journalière ce jour-là"),E2129,0)</f>
        <v>0.0</v>
      </c>
      <c r="K2129">
        <f>IF(AND(J2129&gt;0,A2129&gt;=p_from,A2129&lt;=p_to),1,0)</f>
        <v>0.0</v>
      </c>
      <c r="L2129">
        <f>IF(AND(K2129=1,OR(pa_po="",C2129=pa_po),OR(pa_eq="",B2129=pa_eq)),1,0)</f>
        <v>0.0</v>
      </c>
    </row>
    <row r="2130">
      <c r="A2130" s="51" t="n"/>
      <c r="B2130" s="52" t="n"/>
      <c r="C2130" s="52" t="n"/>
      <c r="D2130" s="53" t="n"/>
      <c r="E2130" s="60" t="n"/>
      <c r="F2130" s="53" t="n"/>
      <c r="G2130" s="61" t="str">
        <f>IF(OR(COUNTA(A2130:E2130)=0,D2130=""),"",IFERROR(INDEX(ca_fam,MATCH(D2130,ca_name,0))&amp;"",""))</f>
        <v/>
      </c>
      <c r="H2130" s="58" t="str">
        <f>IF(OR(COUNTA(A2130:E2130)=0,D2130=""),"",IFERROR(INDEX(ca_type,MATCH(D2130,ca_name,0))&amp;"",""))</f>
        <v/>
      </c>
      <c r="I2130" s="58" t="str">
        <f>IF(COUNTA(A2130:E2130)=0,"",IF(N(A2130)&lt;=0,"Date manquante ou invalide",IF(B2130="","Équipe manquante",IF(ISNA(MATCH(B2130,eq_code,0)),"Équipe inconnue",IF(C2130="","Poste manquant",IF(ISNA(MATCH(C2130,po_code,0)),"Poste inconnu",IF(D2130="","Cause manquante",IF(ISNA(MATCH(D2130,ca_name,0)),"Cause inconnue",IF(H2130="","Cause à compléter dans Paramètres",IF(OR(NOT(ISNUMBER(E2130)),N(E2130)&lt;=0,N(E2130)&gt;1440),"Durée invalide",IF(COUNTIFS(sj_date,A2130,sj_eq,B2130,sj_po,C2130)=0,"Pas de saisie journalière ce jour-là","OK")))))))))))</f>
        <v/>
      </c>
      <c r="J2130">
        <f>IF(OR(I2130="OK",I2130="Pas de saisie journalière ce jour-là"),E2130,0)</f>
        <v>0.0</v>
      </c>
      <c r="K2130">
        <f>IF(AND(J2130&gt;0,A2130&gt;=p_from,A2130&lt;=p_to),1,0)</f>
        <v>0.0</v>
      </c>
      <c r="L2130">
        <f>IF(AND(K2130=1,OR(pa_po="",C2130=pa_po),OR(pa_eq="",B2130=pa_eq)),1,0)</f>
        <v>0.0</v>
      </c>
    </row>
    <row r="2131">
      <c r="A2131" s="51" t="n"/>
      <c r="B2131" s="52" t="n"/>
      <c r="C2131" s="52" t="n"/>
      <c r="D2131" s="53" t="n"/>
      <c r="E2131" s="60" t="n"/>
      <c r="F2131" s="53" t="n"/>
      <c r="G2131" s="61" t="str">
        <f>IF(OR(COUNTA(A2131:E2131)=0,D2131=""),"",IFERROR(INDEX(ca_fam,MATCH(D2131,ca_name,0))&amp;"",""))</f>
        <v/>
      </c>
      <c r="H2131" s="58" t="str">
        <f>IF(OR(COUNTA(A2131:E2131)=0,D2131=""),"",IFERROR(INDEX(ca_type,MATCH(D2131,ca_name,0))&amp;"",""))</f>
        <v/>
      </c>
      <c r="I2131" s="58" t="str">
        <f>IF(COUNTA(A2131:E2131)=0,"",IF(N(A2131)&lt;=0,"Date manquante ou invalide",IF(B2131="","Équipe manquante",IF(ISNA(MATCH(B2131,eq_code,0)),"Équipe inconnue",IF(C2131="","Poste manquant",IF(ISNA(MATCH(C2131,po_code,0)),"Poste inconnu",IF(D2131="","Cause manquante",IF(ISNA(MATCH(D2131,ca_name,0)),"Cause inconnue",IF(H2131="","Cause à compléter dans Paramètres",IF(OR(NOT(ISNUMBER(E2131)),N(E2131)&lt;=0,N(E2131)&gt;1440),"Durée invalide",IF(COUNTIFS(sj_date,A2131,sj_eq,B2131,sj_po,C2131)=0,"Pas de saisie journalière ce jour-là","OK")))))))))))</f>
        <v/>
      </c>
      <c r="J2131">
        <f>IF(OR(I2131="OK",I2131="Pas de saisie journalière ce jour-là"),E2131,0)</f>
        <v>0.0</v>
      </c>
      <c r="K2131">
        <f>IF(AND(J2131&gt;0,A2131&gt;=p_from,A2131&lt;=p_to),1,0)</f>
        <v>0.0</v>
      </c>
      <c r="L2131">
        <f>IF(AND(K2131=1,OR(pa_po="",C2131=pa_po),OR(pa_eq="",B2131=pa_eq)),1,0)</f>
        <v>0.0</v>
      </c>
    </row>
    <row r="2132">
      <c r="A2132" s="51" t="n"/>
      <c r="B2132" s="52" t="n"/>
      <c r="C2132" s="52" t="n"/>
      <c r="D2132" s="53" t="n"/>
      <c r="E2132" s="60" t="n"/>
      <c r="F2132" s="53" t="n"/>
      <c r="G2132" s="61" t="str">
        <f>IF(OR(COUNTA(A2132:E2132)=0,D2132=""),"",IFERROR(INDEX(ca_fam,MATCH(D2132,ca_name,0))&amp;"",""))</f>
        <v/>
      </c>
      <c r="H2132" s="58" t="str">
        <f>IF(OR(COUNTA(A2132:E2132)=0,D2132=""),"",IFERROR(INDEX(ca_type,MATCH(D2132,ca_name,0))&amp;"",""))</f>
        <v/>
      </c>
      <c r="I2132" s="58" t="str">
        <f>IF(COUNTA(A2132:E2132)=0,"",IF(N(A2132)&lt;=0,"Date manquante ou invalide",IF(B2132="","Équipe manquante",IF(ISNA(MATCH(B2132,eq_code,0)),"Équipe inconnue",IF(C2132="","Poste manquant",IF(ISNA(MATCH(C2132,po_code,0)),"Poste inconnu",IF(D2132="","Cause manquante",IF(ISNA(MATCH(D2132,ca_name,0)),"Cause inconnue",IF(H2132="","Cause à compléter dans Paramètres",IF(OR(NOT(ISNUMBER(E2132)),N(E2132)&lt;=0,N(E2132)&gt;1440),"Durée invalide",IF(COUNTIFS(sj_date,A2132,sj_eq,B2132,sj_po,C2132)=0,"Pas de saisie journalière ce jour-là","OK")))))))))))</f>
        <v/>
      </c>
      <c r="J2132">
        <f>IF(OR(I2132="OK",I2132="Pas de saisie journalière ce jour-là"),E2132,0)</f>
        <v>0.0</v>
      </c>
      <c r="K2132">
        <f>IF(AND(J2132&gt;0,A2132&gt;=p_from,A2132&lt;=p_to),1,0)</f>
        <v>0.0</v>
      </c>
      <c r="L2132">
        <f>IF(AND(K2132=1,OR(pa_po="",C2132=pa_po),OR(pa_eq="",B2132=pa_eq)),1,0)</f>
        <v>0.0</v>
      </c>
    </row>
    <row r="2133">
      <c r="A2133" s="51" t="n"/>
      <c r="B2133" s="52" t="n"/>
      <c r="C2133" s="52" t="n"/>
      <c r="D2133" s="53" t="n"/>
      <c r="E2133" s="60" t="n"/>
      <c r="F2133" s="53" t="n"/>
      <c r="G2133" s="61" t="str">
        <f>IF(OR(COUNTA(A2133:E2133)=0,D2133=""),"",IFERROR(INDEX(ca_fam,MATCH(D2133,ca_name,0))&amp;"",""))</f>
        <v/>
      </c>
      <c r="H2133" s="58" t="str">
        <f>IF(OR(COUNTA(A2133:E2133)=0,D2133=""),"",IFERROR(INDEX(ca_type,MATCH(D2133,ca_name,0))&amp;"",""))</f>
        <v/>
      </c>
      <c r="I2133" s="58" t="str">
        <f>IF(COUNTA(A2133:E2133)=0,"",IF(N(A2133)&lt;=0,"Date manquante ou invalide",IF(B2133="","Équipe manquante",IF(ISNA(MATCH(B2133,eq_code,0)),"Équipe inconnue",IF(C2133="","Poste manquant",IF(ISNA(MATCH(C2133,po_code,0)),"Poste inconnu",IF(D2133="","Cause manquante",IF(ISNA(MATCH(D2133,ca_name,0)),"Cause inconnue",IF(H2133="","Cause à compléter dans Paramètres",IF(OR(NOT(ISNUMBER(E2133)),N(E2133)&lt;=0,N(E2133)&gt;1440),"Durée invalide",IF(COUNTIFS(sj_date,A2133,sj_eq,B2133,sj_po,C2133)=0,"Pas de saisie journalière ce jour-là","OK")))))))))))</f>
        <v/>
      </c>
      <c r="J2133">
        <f>IF(OR(I2133="OK",I2133="Pas de saisie journalière ce jour-là"),E2133,0)</f>
        <v>0.0</v>
      </c>
      <c r="K2133">
        <f>IF(AND(J2133&gt;0,A2133&gt;=p_from,A2133&lt;=p_to),1,0)</f>
        <v>0.0</v>
      </c>
      <c r="L2133">
        <f>IF(AND(K2133=1,OR(pa_po="",C2133=pa_po),OR(pa_eq="",B2133=pa_eq)),1,0)</f>
        <v>0.0</v>
      </c>
    </row>
    <row r="2134">
      <c r="A2134" s="51" t="n"/>
      <c r="B2134" s="52" t="n"/>
      <c r="C2134" s="52" t="n"/>
      <c r="D2134" s="53" t="n"/>
      <c r="E2134" s="60" t="n"/>
      <c r="F2134" s="53" t="n"/>
      <c r="G2134" s="61" t="str">
        <f>IF(OR(COUNTA(A2134:E2134)=0,D2134=""),"",IFERROR(INDEX(ca_fam,MATCH(D2134,ca_name,0))&amp;"",""))</f>
        <v/>
      </c>
      <c r="H2134" s="58" t="str">
        <f>IF(OR(COUNTA(A2134:E2134)=0,D2134=""),"",IFERROR(INDEX(ca_type,MATCH(D2134,ca_name,0))&amp;"",""))</f>
        <v/>
      </c>
      <c r="I2134" s="58" t="str">
        <f>IF(COUNTA(A2134:E2134)=0,"",IF(N(A2134)&lt;=0,"Date manquante ou invalide",IF(B2134="","Équipe manquante",IF(ISNA(MATCH(B2134,eq_code,0)),"Équipe inconnue",IF(C2134="","Poste manquant",IF(ISNA(MATCH(C2134,po_code,0)),"Poste inconnu",IF(D2134="","Cause manquante",IF(ISNA(MATCH(D2134,ca_name,0)),"Cause inconnue",IF(H2134="","Cause à compléter dans Paramètres",IF(OR(NOT(ISNUMBER(E2134)),N(E2134)&lt;=0,N(E2134)&gt;1440),"Durée invalide",IF(COUNTIFS(sj_date,A2134,sj_eq,B2134,sj_po,C2134)=0,"Pas de saisie journalière ce jour-là","OK")))))))))))</f>
        <v/>
      </c>
      <c r="J2134">
        <f>IF(OR(I2134="OK",I2134="Pas de saisie journalière ce jour-là"),E2134,0)</f>
        <v>0.0</v>
      </c>
      <c r="K2134">
        <f>IF(AND(J2134&gt;0,A2134&gt;=p_from,A2134&lt;=p_to),1,0)</f>
        <v>0.0</v>
      </c>
      <c r="L2134">
        <f>IF(AND(K2134=1,OR(pa_po="",C2134=pa_po),OR(pa_eq="",B2134=pa_eq)),1,0)</f>
        <v>0.0</v>
      </c>
    </row>
    <row r="2135">
      <c r="A2135" s="51" t="n"/>
      <c r="B2135" s="52" t="n"/>
      <c r="C2135" s="52" t="n"/>
      <c r="D2135" s="53" t="n"/>
      <c r="E2135" s="60" t="n"/>
      <c r="F2135" s="53" t="n"/>
      <c r="G2135" s="61" t="str">
        <f>IF(OR(COUNTA(A2135:E2135)=0,D2135=""),"",IFERROR(INDEX(ca_fam,MATCH(D2135,ca_name,0))&amp;"",""))</f>
        <v/>
      </c>
      <c r="H2135" s="58" t="str">
        <f>IF(OR(COUNTA(A2135:E2135)=0,D2135=""),"",IFERROR(INDEX(ca_type,MATCH(D2135,ca_name,0))&amp;"",""))</f>
        <v/>
      </c>
      <c r="I2135" s="58" t="str">
        <f>IF(COUNTA(A2135:E2135)=0,"",IF(N(A2135)&lt;=0,"Date manquante ou invalide",IF(B2135="","Équipe manquante",IF(ISNA(MATCH(B2135,eq_code,0)),"Équipe inconnue",IF(C2135="","Poste manquant",IF(ISNA(MATCH(C2135,po_code,0)),"Poste inconnu",IF(D2135="","Cause manquante",IF(ISNA(MATCH(D2135,ca_name,0)),"Cause inconnue",IF(H2135="","Cause à compléter dans Paramètres",IF(OR(NOT(ISNUMBER(E2135)),N(E2135)&lt;=0,N(E2135)&gt;1440),"Durée invalide",IF(COUNTIFS(sj_date,A2135,sj_eq,B2135,sj_po,C2135)=0,"Pas de saisie journalière ce jour-là","OK")))))))))))</f>
        <v/>
      </c>
      <c r="J2135">
        <f>IF(OR(I2135="OK",I2135="Pas de saisie journalière ce jour-là"),E2135,0)</f>
        <v>0.0</v>
      </c>
      <c r="K2135">
        <f>IF(AND(J2135&gt;0,A2135&gt;=p_from,A2135&lt;=p_to),1,0)</f>
        <v>0.0</v>
      </c>
      <c r="L2135">
        <f>IF(AND(K2135=1,OR(pa_po="",C2135=pa_po),OR(pa_eq="",B2135=pa_eq)),1,0)</f>
        <v>0.0</v>
      </c>
    </row>
    <row r="2136">
      <c r="A2136" s="51" t="n"/>
      <c r="B2136" s="52" t="n"/>
      <c r="C2136" s="52" t="n"/>
      <c r="D2136" s="53" t="n"/>
      <c r="E2136" s="60" t="n"/>
      <c r="F2136" s="53" t="n"/>
      <c r="G2136" s="61" t="str">
        <f>IF(OR(COUNTA(A2136:E2136)=0,D2136=""),"",IFERROR(INDEX(ca_fam,MATCH(D2136,ca_name,0))&amp;"",""))</f>
        <v/>
      </c>
      <c r="H2136" s="58" t="str">
        <f>IF(OR(COUNTA(A2136:E2136)=0,D2136=""),"",IFERROR(INDEX(ca_type,MATCH(D2136,ca_name,0))&amp;"",""))</f>
        <v/>
      </c>
      <c r="I2136" s="58" t="str">
        <f>IF(COUNTA(A2136:E2136)=0,"",IF(N(A2136)&lt;=0,"Date manquante ou invalide",IF(B2136="","Équipe manquante",IF(ISNA(MATCH(B2136,eq_code,0)),"Équipe inconnue",IF(C2136="","Poste manquant",IF(ISNA(MATCH(C2136,po_code,0)),"Poste inconnu",IF(D2136="","Cause manquante",IF(ISNA(MATCH(D2136,ca_name,0)),"Cause inconnue",IF(H2136="","Cause à compléter dans Paramètres",IF(OR(NOT(ISNUMBER(E2136)),N(E2136)&lt;=0,N(E2136)&gt;1440),"Durée invalide",IF(COUNTIFS(sj_date,A2136,sj_eq,B2136,sj_po,C2136)=0,"Pas de saisie journalière ce jour-là","OK")))))))))))</f>
        <v/>
      </c>
      <c r="J2136">
        <f>IF(OR(I2136="OK",I2136="Pas de saisie journalière ce jour-là"),E2136,0)</f>
        <v>0.0</v>
      </c>
      <c r="K2136">
        <f>IF(AND(J2136&gt;0,A2136&gt;=p_from,A2136&lt;=p_to),1,0)</f>
        <v>0.0</v>
      </c>
      <c r="L2136">
        <f>IF(AND(K2136=1,OR(pa_po="",C2136=pa_po),OR(pa_eq="",B2136=pa_eq)),1,0)</f>
        <v>0.0</v>
      </c>
    </row>
    <row r="2137">
      <c r="A2137" s="51" t="n"/>
      <c r="B2137" s="52" t="n"/>
      <c r="C2137" s="52" t="n"/>
      <c r="D2137" s="53" t="n"/>
      <c r="E2137" s="60" t="n"/>
      <c r="F2137" s="53" t="n"/>
      <c r="G2137" s="61" t="str">
        <f>IF(OR(COUNTA(A2137:E2137)=0,D2137=""),"",IFERROR(INDEX(ca_fam,MATCH(D2137,ca_name,0))&amp;"",""))</f>
        <v/>
      </c>
      <c r="H2137" s="58" t="str">
        <f>IF(OR(COUNTA(A2137:E2137)=0,D2137=""),"",IFERROR(INDEX(ca_type,MATCH(D2137,ca_name,0))&amp;"",""))</f>
        <v/>
      </c>
      <c r="I2137" s="58" t="str">
        <f>IF(COUNTA(A2137:E2137)=0,"",IF(N(A2137)&lt;=0,"Date manquante ou invalide",IF(B2137="","Équipe manquante",IF(ISNA(MATCH(B2137,eq_code,0)),"Équipe inconnue",IF(C2137="","Poste manquant",IF(ISNA(MATCH(C2137,po_code,0)),"Poste inconnu",IF(D2137="","Cause manquante",IF(ISNA(MATCH(D2137,ca_name,0)),"Cause inconnue",IF(H2137="","Cause à compléter dans Paramètres",IF(OR(NOT(ISNUMBER(E2137)),N(E2137)&lt;=0,N(E2137)&gt;1440),"Durée invalide",IF(COUNTIFS(sj_date,A2137,sj_eq,B2137,sj_po,C2137)=0,"Pas de saisie journalière ce jour-là","OK")))))))))))</f>
        <v/>
      </c>
      <c r="J2137">
        <f>IF(OR(I2137="OK",I2137="Pas de saisie journalière ce jour-là"),E2137,0)</f>
        <v>0.0</v>
      </c>
      <c r="K2137">
        <f>IF(AND(J2137&gt;0,A2137&gt;=p_from,A2137&lt;=p_to),1,0)</f>
        <v>0.0</v>
      </c>
      <c r="L2137">
        <f>IF(AND(K2137=1,OR(pa_po="",C2137=pa_po),OR(pa_eq="",B2137=pa_eq)),1,0)</f>
        <v>0.0</v>
      </c>
    </row>
    <row r="2138">
      <c r="A2138" s="51" t="n"/>
      <c r="B2138" s="52" t="n"/>
      <c r="C2138" s="52" t="n"/>
      <c r="D2138" s="53" t="n"/>
      <c r="E2138" s="60" t="n"/>
      <c r="F2138" s="53" t="n"/>
      <c r="G2138" s="61" t="str">
        <f>IF(OR(COUNTA(A2138:E2138)=0,D2138=""),"",IFERROR(INDEX(ca_fam,MATCH(D2138,ca_name,0))&amp;"",""))</f>
        <v/>
      </c>
      <c r="H2138" s="58" t="str">
        <f>IF(OR(COUNTA(A2138:E2138)=0,D2138=""),"",IFERROR(INDEX(ca_type,MATCH(D2138,ca_name,0))&amp;"",""))</f>
        <v/>
      </c>
      <c r="I2138" s="58" t="str">
        <f>IF(COUNTA(A2138:E2138)=0,"",IF(N(A2138)&lt;=0,"Date manquante ou invalide",IF(B2138="","Équipe manquante",IF(ISNA(MATCH(B2138,eq_code,0)),"Équipe inconnue",IF(C2138="","Poste manquant",IF(ISNA(MATCH(C2138,po_code,0)),"Poste inconnu",IF(D2138="","Cause manquante",IF(ISNA(MATCH(D2138,ca_name,0)),"Cause inconnue",IF(H2138="","Cause à compléter dans Paramètres",IF(OR(NOT(ISNUMBER(E2138)),N(E2138)&lt;=0,N(E2138)&gt;1440),"Durée invalide",IF(COUNTIFS(sj_date,A2138,sj_eq,B2138,sj_po,C2138)=0,"Pas de saisie journalière ce jour-là","OK")))))))))))</f>
        <v/>
      </c>
      <c r="J2138">
        <f>IF(OR(I2138="OK",I2138="Pas de saisie journalière ce jour-là"),E2138,0)</f>
        <v>0.0</v>
      </c>
      <c r="K2138">
        <f>IF(AND(J2138&gt;0,A2138&gt;=p_from,A2138&lt;=p_to),1,0)</f>
        <v>0.0</v>
      </c>
      <c r="L2138">
        <f>IF(AND(K2138=1,OR(pa_po="",C2138=pa_po),OR(pa_eq="",B2138=pa_eq)),1,0)</f>
        <v>0.0</v>
      </c>
    </row>
    <row r="2139">
      <c r="A2139" s="51" t="n"/>
      <c r="B2139" s="52" t="n"/>
      <c r="C2139" s="52" t="n"/>
      <c r="D2139" s="53" t="n"/>
      <c r="E2139" s="60" t="n"/>
      <c r="F2139" s="53" t="n"/>
      <c r="G2139" s="61" t="str">
        <f>IF(OR(COUNTA(A2139:E2139)=0,D2139=""),"",IFERROR(INDEX(ca_fam,MATCH(D2139,ca_name,0))&amp;"",""))</f>
        <v/>
      </c>
      <c r="H2139" s="58" t="str">
        <f>IF(OR(COUNTA(A2139:E2139)=0,D2139=""),"",IFERROR(INDEX(ca_type,MATCH(D2139,ca_name,0))&amp;"",""))</f>
        <v/>
      </c>
      <c r="I2139" s="58" t="str">
        <f>IF(COUNTA(A2139:E2139)=0,"",IF(N(A2139)&lt;=0,"Date manquante ou invalide",IF(B2139="","Équipe manquante",IF(ISNA(MATCH(B2139,eq_code,0)),"Équipe inconnue",IF(C2139="","Poste manquant",IF(ISNA(MATCH(C2139,po_code,0)),"Poste inconnu",IF(D2139="","Cause manquante",IF(ISNA(MATCH(D2139,ca_name,0)),"Cause inconnue",IF(H2139="","Cause à compléter dans Paramètres",IF(OR(NOT(ISNUMBER(E2139)),N(E2139)&lt;=0,N(E2139)&gt;1440),"Durée invalide",IF(COUNTIFS(sj_date,A2139,sj_eq,B2139,sj_po,C2139)=0,"Pas de saisie journalière ce jour-là","OK")))))))))))</f>
        <v/>
      </c>
      <c r="J2139">
        <f>IF(OR(I2139="OK",I2139="Pas de saisie journalière ce jour-là"),E2139,0)</f>
        <v>0.0</v>
      </c>
      <c r="K2139">
        <f>IF(AND(J2139&gt;0,A2139&gt;=p_from,A2139&lt;=p_to),1,0)</f>
        <v>0.0</v>
      </c>
      <c r="L2139">
        <f>IF(AND(K2139=1,OR(pa_po="",C2139=pa_po),OR(pa_eq="",B2139=pa_eq)),1,0)</f>
        <v>0.0</v>
      </c>
    </row>
    <row r="2140">
      <c r="A2140" s="51" t="n"/>
      <c r="B2140" s="52" t="n"/>
      <c r="C2140" s="52" t="n"/>
      <c r="D2140" s="53" t="n"/>
      <c r="E2140" s="60" t="n"/>
      <c r="F2140" s="53" t="n"/>
      <c r="G2140" s="61" t="str">
        <f>IF(OR(COUNTA(A2140:E2140)=0,D2140=""),"",IFERROR(INDEX(ca_fam,MATCH(D2140,ca_name,0))&amp;"",""))</f>
        <v/>
      </c>
      <c r="H2140" s="58" t="str">
        <f>IF(OR(COUNTA(A2140:E2140)=0,D2140=""),"",IFERROR(INDEX(ca_type,MATCH(D2140,ca_name,0))&amp;"",""))</f>
        <v/>
      </c>
      <c r="I2140" s="58" t="str">
        <f>IF(COUNTA(A2140:E2140)=0,"",IF(N(A2140)&lt;=0,"Date manquante ou invalide",IF(B2140="","Équipe manquante",IF(ISNA(MATCH(B2140,eq_code,0)),"Équipe inconnue",IF(C2140="","Poste manquant",IF(ISNA(MATCH(C2140,po_code,0)),"Poste inconnu",IF(D2140="","Cause manquante",IF(ISNA(MATCH(D2140,ca_name,0)),"Cause inconnue",IF(H2140="","Cause à compléter dans Paramètres",IF(OR(NOT(ISNUMBER(E2140)),N(E2140)&lt;=0,N(E2140)&gt;1440),"Durée invalide",IF(COUNTIFS(sj_date,A2140,sj_eq,B2140,sj_po,C2140)=0,"Pas de saisie journalière ce jour-là","OK")))))))))))</f>
        <v/>
      </c>
      <c r="J2140">
        <f>IF(OR(I2140="OK",I2140="Pas de saisie journalière ce jour-là"),E2140,0)</f>
        <v>0.0</v>
      </c>
      <c r="K2140">
        <f>IF(AND(J2140&gt;0,A2140&gt;=p_from,A2140&lt;=p_to),1,0)</f>
        <v>0.0</v>
      </c>
      <c r="L2140">
        <f>IF(AND(K2140=1,OR(pa_po="",C2140=pa_po),OR(pa_eq="",B2140=pa_eq)),1,0)</f>
        <v>0.0</v>
      </c>
    </row>
    <row r="2141">
      <c r="A2141" s="51" t="n"/>
      <c r="B2141" s="52" t="n"/>
      <c r="C2141" s="52" t="n"/>
      <c r="D2141" s="53" t="n"/>
      <c r="E2141" s="60" t="n"/>
      <c r="F2141" s="53" t="n"/>
      <c r="G2141" s="61" t="str">
        <f>IF(OR(COUNTA(A2141:E2141)=0,D2141=""),"",IFERROR(INDEX(ca_fam,MATCH(D2141,ca_name,0))&amp;"",""))</f>
        <v/>
      </c>
      <c r="H2141" s="58" t="str">
        <f>IF(OR(COUNTA(A2141:E2141)=0,D2141=""),"",IFERROR(INDEX(ca_type,MATCH(D2141,ca_name,0))&amp;"",""))</f>
        <v/>
      </c>
      <c r="I2141" s="58" t="str">
        <f>IF(COUNTA(A2141:E2141)=0,"",IF(N(A2141)&lt;=0,"Date manquante ou invalide",IF(B2141="","Équipe manquante",IF(ISNA(MATCH(B2141,eq_code,0)),"Équipe inconnue",IF(C2141="","Poste manquant",IF(ISNA(MATCH(C2141,po_code,0)),"Poste inconnu",IF(D2141="","Cause manquante",IF(ISNA(MATCH(D2141,ca_name,0)),"Cause inconnue",IF(H2141="","Cause à compléter dans Paramètres",IF(OR(NOT(ISNUMBER(E2141)),N(E2141)&lt;=0,N(E2141)&gt;1440),"Durée invalide",IF(COUNTIFS(sj_date,A2141,sj_eq,B2141,sj_po,C2141)=0,"Pas de saisie journalière ce jour-là","OK")))))))))))</f>
        <v/>
      </c>
      <c r="J2141">
        <f>IF(OR(I2141="OK",I2141="Pas de saisie journalière ce jour-là"),E2141,0)</f>
        <v>0.0</v>
      </c>
      <c r="K2141">
        <f>IF(AND(J2141&gt;0,A2141&gt;=p_from,A2141&lt;=p_to),1,0)</f>
        <v>0.0</v>
      </c>
      <c r="L2141">
        <f>IF(AND(K2141=1,OR(pa_po="",C2141=pa_po),OR(pa_eq="",B2141=pa_eq)),1,0)</f>
        <v>0.0</v>
      </c>
    </row>
    <row r="2142">
      <c r="A2142" s="51" t="n"/>
      <c r="B2142" s="52" t="n"/>
      <c r="C2142" s="52" t="n"/>
      <c r="D2142" s="53" t="n"/>
      <c r="E2142" s="60" t="n"/>
      <c r="F2142" s="53" t="n"/>
      <c r="G2142" s="61" t="str">
        <f>IF(OR(COUNTA(A2142:E2142)=0,D2142=""),"",IFERROR(INDEX(ca_fam,MATCH(D2142,ca_name,0))&amp;"",""))</f>
        <v/>
      </c>
      <c r="H2142" s="58" t="str">
        <f>IF(OR(COUNTA(A2142:E2142)=0,D2142=""),"",IFERROR(INDEX(ca_type,MATCH(D2142,ca_name,0))&amp;"",""))</f>
        <v/>
      </c>
      <c r="I2142" s="58" t="str">
        <f>IF(COUNTA(A2142:E2142)=0,"",IF(N(A2142)&lt;=0,"Date manquante ou invalide",IF(B2142="","Équipe manquante",IF(ISNA(MATCH(B2142,eq_code,0)),"Équipe inconnue",IF(C2142="","Poste manquant",IF(ISNA(MATCH(C2142,po_code,0)),"Poste inconnu",IF(D2142="","Cause manquante",IF(ISNA(MATCH(D2142,ca_name,0)),"Cause inconnue",IF(H2142="","Cause à compléter dans Paramètres",IF(OR(NOT(ISNUMBER(E2142)),N(E2142)&lt;=0,N(E2142)&gt;1440),"Durée invalide",IF(COUNTIFS(sj_date,A2142,sj_eq,B2142,sj_po,C2142)=0,"Pas de saisie journalière ce jour-là","OK")))))))))))</f>
        <v/>
      </c>
      <c r="J2142">
        <f>IF(OR(I2142="OK",I2142="Pas de saisie journalière ce jour-là"),E2142,0)</f>
        <v>0.0</v>
      </c>
      <c r="K2142">
        <f>IF(AND(J2142&gt;0,A2142&gt;=p_from,A2142&lt;=p_to),1,0)</f>
        <v>0.0</v>
      </c>
      <c r="L2142">
        <f>IF(AND(K2142=1,OR(pa_po="",C2142=pa_po),OR(pa_eq="",B2142=pa_eq)),1,0)</f>
        <v>0.0</v>
      </c>
    </row>
    <row r="2143">
      <c r="A2143" s="51" t="n"/>
      <c r="B2143" s="52" t="n"/>
      <c r="C2143" s="52" t="n"/>
      <c r="D2143" s="53" t="n"/>
      <c r="E2143" s="60" t="n"/>
      <c r="F2143" s="53" t="n"/>
      <c r="G2143" s="61" t="str">
        <f>IF(OR(COUNTA(A2143:E2143)=0,D2143=""),"",IFERROR(INDEX(ca_fam,MATCH(D2143,ca_name,0))&amp;"",""))</f>
        <v/>
      </c>
      <c r="H2143" s="58" t="str">
        <f>IF(OR(COUNTA(A2143:E2143)=0,D2143=""),"",IFERROR(INDEX(ca_type,MATCH(D2143,ca_name,0))&amp;"",""))</f>
        <v/>
      </c>
      <c r="I2143" s="58" t="str">
        <f>IF(COUNTA(A2143:E2143)=0,"",IF(N(A2143)&lt;=0,"Date manquante ou invalide",IF(B2143="","Équipe manquante",IF(ISNA(MATCH(B2143,eq_code,0)),"Équipe inconnue",IF(C2143="","Poste manquant",IF(ISNA(MATCH(C2143,po_code,0)),"Poste inconnu",IF(D2143="","Cause manquante",IF(ISNA(MATCH(D2143,ca_name,0)),"Cause inconnue",IF(H2143="","Cause à compléter dans Paramètres",IF(OR(NOT(ISNUMBER(E2143)),N(E2143)&lt;=0,N(E2143)&gt;1440),"Durée invalide",IF(COUNTIFS(sj_date,A2143,sj_eq,B2143,sj_po,C2143)=0,"Pas de saisie journalière ce jour-là","OK")))))))))))</f>
        <v/>
      </c>
      <c r="J2143">
        <f>IF(OR(I2143="OK",I2143="Pas de saisie journalière ce jour-là"),E2143,0)</f>
        <v>0.0</v>
      </c>
      <c r="K2143">
        <f>IF(AND(J2143&gt;0,A2143&gt;=p_from,A2143&lt;=p_to),1,0)</f>
        <v>0.0</v>
      </c>
      <c r="L2143">
        <f>IF(AND(K2143=1,OR(pa_po="",C2143=pa_po),OR(pa_eq="",B2143=pa_eq)),1,0)</f>
        <v>0.0</v>
      </c>
    </row>
    <row r="2144">
      <c r="A2144" s="51" t="n"/>
      <c r="B2144" s="52" t="n"/>
      <c r="C2144" s="52" t="n"/>
      <c r="D2144" s="53" t="n"/>
      <c r="E2144" s="60" t="n"/>
      <c r="F2144" s="53" t="n"/>
      <c r="G2144" s="61" t="str">
        <f>IF(OR(COUNTA(A2144:E2144)=0,D2144=""),"",IFERROR(INDEX(ca_fam,MATCH(D2144,ca_name,0))&amp;"",""))</f>
        <v/>
      </c>
      <c r="H2144" s="58" t="str">
        <f>IF(OR(COUNTA(A2144:E2144)=0,D2144=""),"",IFERROR(INDEX(ca_type,MATCH(D2144,ca_name,0))&amp;"",""))</f>
        <v/>
      </c>
      <c r="I2144" s="58" t="str">
        <f>IF(COUNTA(A2144:E2144)=0,"",IF(N(A2144)&lt;=0,"Date manquante ou invalide",IF(B2144="","Équipe manquante",IF(ISNA(MATCH(B2144,eq_code,0)),"Équipe inconnue",IF(C2144="","Poste manquant",IF(ISNA(MATCH(C2144,po_code,0)),"Poste inconnu",IF(D2144="","Cause manquante",IF(ISNA(MATCH(D2144,ca_name,0)),"Cause inconnue",IF(H2144="","Cause à compléter dans Paramètres",IF(OR(NOT(ISNUMBER(E2144)),N(E2144)&lt;=0,N(E2144)&gt;1440),"Durée invalide",IF(COUNTIFS(sj_date,A2144,sj_eq,B2144,sj_po,C2144)=0,"Pas de saisie journalière ce jour-là","OK")))))))))))</f>
        <v/>
      </c>
      <c r="J2144">
        <f>IF(OR(I2144="OK",I2144="Pas de saisie journalière ce jour-là"),E2144,0)</f>
        <v>0.0</v>
      </c>
      <c r="K2144">
        <f>IF(AND(J2144&gt;0,A2144&gt;=p_from,A2144&lt;=p_to),1,0)</f>
        <v>0.0</v>
      </c>
      <c r="L2144">
        <f>IF(AND(K2144=1,OR(pa_po="",C2144=pa_po),OR(pa_eq="",B2144=pa_eq)),1,0)</f>
        <v>0.0</v>
      </c>
    </row>
    <row r="2145">
      <c r="A2145" s="51" t="n"/>
      <c r="B2145" s="52" t="n"/>
      <c r="C2145" s="52" t="n"/>
      <c r="D2145" s="53" t="n"/>
      <c r="E2145" s="60" t="n"/>
      <c r="F2145" s="53" t="n"/>
      <c r="G2145" s="61" t="str">
        <f>IF(OR(COUNTA(A2145:E2145)=0,D2145=""),"",IFERROR(INDEX(ca_fam,MATCH(D2145,ca_name,0))&amp;"",""))</f>
        <v/>
      </c>
      <c r="H2145" s="58" t="str">
        <f>IF(OR(COUNTA(A2145:E2145)=0,D2145=""),"",IFERROR(INDEX(ca_type,MATCH(D2145,ca_name,0))&amp;"",""))</f>
        <v/>
      </c>
      <c r="I2145" s="58" t="str">
        <f>IF(COUNTA(A2145:E2145)=0,"",IF(N(A2145)&lt;=0,"Date manquante ou invalide",IF(B2145="","Équipe manquante",IF(ISNA(MATCH(B2145,eq_code,0)),"Équipe inconnue",IF(C2145="","Poste manquant",IF(ISNA(MATCH(C2145,po_code,0)),"Poste inconnu",IF(D2145="","Cause manquante",IF(ISNA(MATCH(D2145,ca_name,0)),"Cause inconnue",IF(H2145="","Cause à compléter dans Paramètres",IF(OR(NOT(ISNUMBER(E2145)),N(E2145)&lt;=0,N(E2145)&gt;1440),"Durée invalide",IF(COUNTIFS(sj_date,A2145,sj_eq,B2145,sj_po,C2145)=0,"Pas de saisie journalière ce jour-là","OK")))))))))))</f>
        <v/>
      </c>
      <c r="J2145">
        <f>IF(OR(I2145="OK",I2145="Pas de saisie journalière ce jour-là"),E2145,0)</f>
        <v>0.0</v>
      </c>
      <c r="K2145">
        <f>IF(AND(J2145&gt;0,A2145&gt;=p_from,A2145&lt;=p_to),1,0)</f>
        <v>0.0</v>
      </c>
      <c r="L2145">
        <f>IF(AND(K2145=1,OR(pa_po="",C2145=pa_po),OR(pa_eq="",B2145=pa_eq)),1,0)</f>
        <v>0.0</v>
      </c>
    </row>
    <row r="2146">
      <c r="A2146" s="51" t="n"/>
      <c r="B2146" s="52" t="n"/>
      <c r="C2146" s="52" t="n"/>
      <c r="D2146" s="53" t="n"/>
      <c r="E2146" s="60" t="n"/>
      <c r="F2146" s="53" t="n"/>
      <c r="G2146" s="61" t="str">
        <f>IF(OR(COUNTA(A2146:E2146)=0,D2146=""),"",IFERROR(INDEX(ca_fam,MATCH(D2146,ca_name,0))&amp;"",""))</f>
        <v/>
      </c>
      <c r="H2146" s="58" t="str">
        <f>IF(OR(COUNTA(A2146:E2146)=0,D2146=""),"",IFERROR(INDEX(ca_type,MATCH(D2146,ca_name,0))&amp;"",""))</f>
        <v/>
      </c>
      <c r="I2146" s="58" t="str">
        <f>IF(COUNTA(A2146:E2146)=0,"",IF(N(A2146)&lt;=0,"Date manquante ou invalide",IF(B2146="","Équipe manquante",IF(ISNA(MATCH(B2146,eq_code,0)),"Équipe inconnue",IF(C2146="","Poste manquant",IF(ISNA(MATCH(C2146,po_code,0)),"Poste inconnu",IF(D2146="","Cause manquante",IF(ISNA(MATCH(D2146,ca_name,0)),"Cause inconnue",IF(H2146="","Cause à compléter dans Paramètres",IF(OR(NOT(ISNUMBER(E2146)),N(E2146)&lt;=0,N(E2146)&gt;1440),"Durée invalide",IF(COUNTIFS(sj_date,A2146,sj_eq,B2146,sj_po,C2146)=0,"Pas de saisie journalière ce jour-là","OK")))))))))))</f>
        <v/>
      </c>
      <c r="J2146">
        <f>IF(OR(I2146="OK",I2146="Pas de saisie journalière ce jour-là"),E2146,0)</f>
        <v>0.0</v>
      </c>
      <c r="K2146">
        <f>IF(AND(J2146&gt;0,A2146&gt;=p_from,A2146&lt;=p_to),1,0)</f>
        <v>0.0</v>
      </c>
      <c r="L2146">
        <f>IF(AND(K2146=1,OR(pa_po="",C2146=pa_po),OR(pa_eq="",B2146=pa_eq)),1,0)</f>
        <v>0.0</v>
      </c>
    </row>
    <row r="2147">
      <c r="A2147" s="51" t="n"/>
      <c r="B2147" s="52" t="n"/>
      <c r="C2147" s="52" t="n"/>
      <c r="D2147" s="53" t="n"/>
      <c r="E2147" s="60" t="n"/>
      <c r="F2147" s="53" t="n"/>
      <c r="G2147" s="61" t="str">
        <f>IF(OR(COUNTA(A2147:E2147)=0,D2147=""),"",IFERROR(INDEX(ca_fam,MATCH(D2147,ca_name,0))&amp;"",""))</f>
        <v/>
      </c>
      <c r="H2147" s="58" t="str">
        <f>IF(OR(COUNTA(A2147:E2147)=0,D2147=""),"",IFERROR(INDEX(ca_type,MATCH(D2147,ca_name,0))&amp;"",""))</f>
        <v/>
      </c>
      <c r="I2147" s="58" t="str">
        <f>IF(COUNTA(A2147:E2147)=0,"",IF(N(A2147)&lt;=0,"Date manquante ou invalide",IF(B2147="","Équipe manquante",IF(ISNA(MATCH(B2147,eq_code,0)),"Équipe inconnue",IF(C2147="","Poste manquant",IF(ISNA(MATCH(C2147,po_code,0)),"Poste inconnu",IF(D2147="","Cause manquante",IF(ISNA(MATCH(D2147,ca_name,0)),"Cause inconnue",IF(H2147="","Cause à compléter dans Paramètres",IF(OR(NOT(ISNUMBER(E2147)),N(E2147)&lt;=0,N(E2147)&gt;1440),"Durée invalide",IF(COUNTIFS(sj_date,A2147,sj_eq,B2147,sj_po,C2147)=0,"Pas de saisie journalière ce jour-là","OK")))))))))))</f>
        <v/>
      </c>
      <c r="J2147">
        <f>IF(OR(I2147="OK",I2147="Pas de saisie journalière ce jour-là"),E2147,0)</f>
        <v>0.0</v>
      </c>
      <c r="K2147">
        <f>IF(AND(J2147&gt;0,A2147&gt;=p_from,A2147&lt;=p_to),1,0)</f>
        <v>0.0</v>
      </c>
      <c r="L2147">
        <f>IF(AND(K2147=1,OR(pa_po="",C2147=pa_po),OR(pa_eq="",B2147=pa_eq)),1,0)</f>
        <v>0.0</v>
      </c>
    </row>
    <row r="2148">
      <c r="A2148" s="51" t="n"/>
      <c r="B2148" s="52" t="n"/>
      <c r="C2148" s="52" t="n"/>
      <c r="D2148" s="53" t="n"/>
      <c r="E2148" s="60" t="n"/>
      <c r="F2148" s="53" t="n"/>
      <c r="G2148" s="61" t="str">
        <f>IF(OR(COUNTA(A2148:E2148)=0,D2148=""),"",IFERROR(INDEX(ca_fam,MATCH(D2148,ca_name,0))&amp;"",""))</f>
        <v/>
      </c>
      <c r="H2148" s="58" t="str">
        <f>IF(OR(COUNTA(A2148:E2148)=0,D2148=""),"",IFERROR(INDEX(ca_type,MATCH(D2148,ca_name,0))&amp;"",""))</f>
        <v/>
      </c>
      <c r="I2148" s="58" t="str">
        <f>IF(COUNTA(A2148:E2148)=0,"",IF(N(A2148)&lt;=0,"Date manquante ou invalide",IF(B2148="","Équipe manquante",IF(ISNA(MATCH(B2148,eq_code,0)),"Équipe inconnue",IF(C2148="","Poste manquant",IF(ISNA(MATCH(C2148,po_code,0)),"Poste inconnu",IF(D2148="","Cause manquante",IF(ISNA(MATCH(D2148,ca_name,0)),"Cause inconnue",IF(H2148="","Cause à compléter dans Paramètres",IF(OR(NOT(ISNUMBER(E2148)),N(E2148)&lt;=0,N(E2148)&gt;1440),"Durée invalide",IF(COUNTIFS(sj_date,A2148,sj_eq,B2148,sj_po,C2148)=0,"Pas de saisie journalière ce jour-là","OK")))))))))))</f>
        <v/>
      </c>
      <c r="J2148">
        <f>IF(OR(I2148="OK",I2148="Pas de saisie journalière ce jour-là"),E2148,0)</f>
        <v>0.0</v>
      </c>
      <c r="K2148">
        <f>IF(AND(J2148&gt;0,A2148&gt;=p_from,A2148&lt;=p_to),1,0)</f>
        <v>0.0</v>
      </c>
      <c r="L2148">
        <f>IF(AND(K2148=1,OR(pa_po="",C2148=pa_po),OR(pa_eq="",B2148=pa_eq)),1,0)</f>
        <v>0.0</v>
      </c>
    </row>
    <row r="2149">
      <c r="A2149" s="51" t="n"/>
      <c r="B2149" s="52" t="n"/>
      <c r="C2149" s="52" t="n"/>
      <c r="D2149" s="53" t="n"/>
      <c r="E2149" s="60" t="n"/>
      <c r="F2149" s="53" t="n"/>
      <c r="G2149" s="61" t="str">
        <f>IF(OR(COUNTA(A2149:E2149)=0,D2149=""),"",IFERROR(INDEX(ca_fam,MATCH(D2149,ca_name,0))&amp;"",""))</f>
        <v/>
      </c>
      <c r="H2149" s="58" t="str">
        <f>IF(OR(COUNTA(A2149:E2149)=0,D2149=""),"",IFERROR(INDEX(ca_type,MATCH(D2149,ca_name,0))&amp;"",""))</f>
        <v/>
      </c>
      <c r="I2149" s="58" t="str">
        <f>IF(COUNTA(A2149:E2149)=0,"",IF(N(A2149)&lt;=0,"Date manquante ou invalide",IF(B2149="","Équipe manquante",IF(ISNA(MATCH(B2149,eq_code,0)),"Équipe inconnue",IF(C2149="","Poste manquant",IF(ISNA(MATCH(C2149,po_code,0)),"Poste inconnu",IF(D2149="","Cause manquante",IF(ISNA(MATCH(D2149,ca_name,0)),"Cause inconnue",IF(H2149="","Cause à compléter dans Paramètres",IF(OR(NOT(ISNUMBER(E2149)),N(E2149)&lt;=0,N(E2149)&gt;1440),"Durée invalide",IF(COUNTIFS(sj_date,A2149,sj_eq,B2149,sj_po,C2149)=0,"Pas de saisie journalière ce jour-là","OK")))))))))))</f>
        <v/>
      </c>
      <c r="J2149">
        <f>IF(OR(I2149="OK",I2149="Pas de saisie journalière ce jour-là"),E2149,0)</f>
        <v>0.0</v>
      </c>
      <c r="K2149">
        <f>IF(AND(J2149&gt;0,A2149&gt;=p_from,A2149&lt;=p_to),1,0)</f>
        <v>0.0</v>
      </c>
      <c r="L2149">
        <f>IF(AND(K2149=1,OR(pa_po="",C2149=pa_po),OR(pa_eq="",B2149=pa_eq)),1,0)</f>
        <v>0.0</v>
      </c>
    </row>
    <row r="2150">
      <c r="A2150" s="51" t="n"/>
      <c r="B2150" s="52" t="n"/>
      <c r="C2150" s="52" t="n"/>
      <c r="D2150" s="53" t="n"/>
      <c r="E2150" s="60" t="n"/>
      <c r="F2150" s="53" t="n"/>
      <c r="G2150" s="61" t="str">
        <f>IF(OR(COUNTA(A2150:E2150)=0,D2150=""),"",IFERROR(INDEX(ca_fam,MATCH(D2150,ca_name,0))&amp;"",""))</f>
        <v/>
      </c>
      <c r="H2150" s="58" t="str">
        <f>IF(OR(COUNTA(A2150:E2150)=0,D2150=""),"",IFERROR(INDEX(ca_type,MATCH(D2150,ca_name,0))&amp;"",""))</f>
        <v/>
      </c>
      <c r="I2150" s="58" t="str">
        <f>IF(COUNTA(A2150:E2150)=0,"",IF(N(A2150)&lt;=0,"Date manquante ou invalide",IF(B2150="","Équipe manquante",IF(ISNA(MATCH(B2150,eq_code,0)),"Équipe inconnue",IF(C2150="","Poste manquant",IF(ISNA(MATCH(C2150,po_code,0)),"Poste inconnu",IF(D2150="","Cause manquante",IF(ISNA(MATCH(D2150,ca_name,0)),"Cause inconnue",IF(H2150="","Cause à compléter dans Paramètres",IF(OR(NOT(ISNUMBER(E2150)),N(E2150)&lt;=0,N(E2150)&gt;1440),"Durée invalide",IF(COUNTIFS(sj_date,A2150,sj_eq,B2150,sj_po,C2150)=0,"Pas de saisie journalière ce jour-là","OK")))))))))))</f>
        <v/>
      </c>
      <c r="J2150">
        <f>IF(OR(I2150="OK",I2150="Pas de saisie journalière ce jour-là"),E2150,0)</f>
        <v>0.0</v>
      </c>
      <c r="K2150">
        <f>IF(AND(J2150&gt;0,A2150&gt;=p_from,A2150&lt;=p_to),1,0)</f>
        <v>0.0</v>
      </c>
      <c r="L2150">
        <f>IF(AND(K2150=1,OR(pa_po="",C2150=pa_po),OR(pa_eq="",B2150=pa_eq)),1,0)</f>
        <v>0.0</v>
      </c>
    </row>
    <row r="2151">
      <c r="A2151" s="51" t="n"/>
      <c r="B2151" s="52" t="n"/>
      <c r="C2151" s="52" t="n"/>
      <c r="D2151" s="53" t="n"/>
      <c r="E2151" s="60" t="n"/>
      <c r="F2151" s="53" t="n"/>
      <c r="G2151" s="61" t="str">
        <f>IF(OR(COUNTA(A2151:E2151)=0,D2151=""),"",IFERROR(INDEX(ca_fam,MATCH(D2151,ca_name,0))&amp;"",""))</f>
        <v/>
      </c>
      <c r="H2151" s="58" t="str">
        <f>IF(OR(COUNTA(A2151:E2151)=0,D2151=""),"",IFERROR(INDEX(ca_type,MATCH(D2151,ca_name,0))&amp;"",""))</f>
        <v/>
      </c>
      <c r="I2151" s="58" t="str">
        <f>IF(COUNTA(A2151:E2151)=0,"",IF(N(A2151)&lt;=0,"Date manquante ou invalide",IF(B2151="","Équipe manquante",IF(ISNA(MATCH(B2151,eq_code,0)),"Équipe inconnue",IF(C2151="","Poste manquant",IF(ISNA(MATCH(C2151,po_code,0)),"Poste inconnu",IF(D2151="","Cause manquante",IF(ISNA(MATCH(D2151,ca_name,0)),"Cause inconnue",IF(H2151="","Cause à compléter dans Paramètres",IF(OR(NOT(ISNUMBER(E2151)),N(E2151)&lt;=0,N(E2151)&gt;1440),"Durée invalide",IF(COUNTIFS(sj_date,A2151,sj_eq,B2151,sj_po,C2151)=0,"Pas de saisie journalière ce jour-là","OK")))))))))))</f>
        <v/>
      </c>
      <c r="J2151">
        <f>IF(OR(I2151="OK",I2151="Pas de saisie journalière ce jour-là"),E2151,0)</f>
        <v>0.0</v>
      </c>
      <c r="K2151">
        <f>IF(AND(J2151&gt;0,A2151&gt;=p_from,A2151&lt;=p_to),1,0)</f>
        <v>0.0</v>
      </c>
      <c r="L2151">
        <f>IF(AND(K2151=1,OR(pa_po="",C2151=pa_po),OR(pa_eq="",B2151=pa_eq)),1,0)</f>
        <v>0.0</v>
      </c>
    </row>
    <row r="2152">
      <c r="A2152" s="51" t="n"/>
      <c r="B2152" s="52" t="n"/>
      <c r="C2152" s="52" t="n"/>
      <c r="D2152" s="53" t="n"/>
      <c r="E2152" s="60" t="n"/>
      <c r="F2152" s="53" t="n"/>
      <c r="G2152" s="61" t="str">
        <f>IF(OR(COUNTA(A2152:E2152)=0,D2152=""),"",IFERROR(INDEX(ca_fam,MATCH(D2152,ca_name,0))&amp;"",""))</f>
        <v/>
      </c>
      <c r="H2152" s="58" t="str">
        <f>IF(OR(COUNTA(A2152:E2152)=0,D2152=""),"",IFERROR(INDEX(ca_type,MATCH(D2152,ca_name,0))&amp;"",""))</f>
        <v/>
      </c>
      <c r="I2152" s="58" t="str">
        <f>IF(COUNTA(A2152:E2152)=0,"",IF(N(A2152)&lt;=0,"Date manquante ou invalide",IF(B2152="","Équipe manquante",IF(ISNA(MATCH(B2152,eq_code,0)),"Équipe inconnue",IF(C2152="","Poste manquant",IF(ISNA(MATCH(C2152,po_code,0)),"Poste inconnu",IF(D2152="","Cause manquante",IF(ISNA(MATCH(D2152,ca_name,0)),"Cause inconnue",IF(H2152="","Cause à compléter dans Paramètres",IF(OR(NOT(ISNUMBER(E2152)),N(E2152)&lt;=0,N(E2152)&gt;1440),"Durée invalide",IF(COUNTIFS(sj_date,A2152,sj_eq,B2152,sj_po,C2152)=0,"Pas de saisie journalière ce jour-là","OK")))))))))))</f>
        <v/>
      </c>
      <c r="J2152">
        <f>IF(OR(I2152="OK",I2152="Pas de saisie journalière ce jour-là"),E2152,0)</f>
        <v>0.0</v>
      </c>
      <c r="K2152">
        <f>IF(AND(J2152&gt;0,A2152&gt;=p_from,A2152&lt;=p_to),1,0)</f>
        <v>0.0</v>
      </c>
      <c r="L2152">
        <f>IF(AND(K2152=1,OR(pa_po="",C2152=pa_po),OR(pa_eq="",B2152=pa_eq)),1,0)</f>
        <v>0.0</v>
      </c>
    </row>
    <row r="2153">
      <c r="A2153" s="51" t="n"/>
      <c r="B2153" s="52" t="n"/>
      <c r="C2153" s="52" t="n"/>
      <c r="D2153" s="53" t="n"/>
      <c r="E2153" s="60" t="n"/>
      <c r="F2153" s="53" t="n"/>
      <c r="G2153" s="61" t="str">
        <f>IF(OR(COUNTA(A2153:E2153)=0,D2153=""),"",IFERROR(INDEX(ca_fam,MATCH(D2153,ca_name,0))&amp;"",""))</f>
        <v/>
      </c>
      <c r="H2153" s="58" t="str">
        <f>IF(OR(COUNTA(A2153:E2153)=0,D2153=""),"",IFERROR(INDEX(ca_type,MATCH(D2153,ca_name,0))&amp;"",""))</f>
        <v/>
      </c>
      <c r="I2153" s="58" t="str">
        <f>IF(COUNTA(A2153:E2153)=0,"",IF(N(A2153)&lt;=0,"Date manquante ou invalide",IF(B2153="","Équipe manquante",IF(ISNA(MATCH(B2153,eq_code,0)),"Équipe inconnue",IF(C2153="","Poste manquant",IF(ISNA(MATCH(C2153,po_code,0)),"Poste inconnu",IF(D2153="","Cause manquante",IF(ISNA(MATCH(D2153,ca_name,0)),"Cause inconnue",IF(H2153="","Cause à compléter dans Paramètres",IF(OR(NOT(ISNUMBER(E2153)),N(E2153)&lt;=0,N(E2153)&gt;1440),"Durée invalide",IF(COUNTIFS(sj_date,A2153,sj_eq,B2153,sj_po,C2153)=0,"Pas de saisie journalière ce jour-là","OK")))))))))))</f>
        <v/>
      </c>
      <c r="J2153">
        <f>IF(OR(I2153="OK",I2153="Pas de saisie journalière ce jour-là"),E2153,0)</f>
        <v>0.0</v>
      </c>
      <c r="K2153">
        <f>IF(AND(J2153&gt;0,A2153&gt;=p_from,A2153&lt;=p_to),1,0)</f>
        <v>0.0</v>
      </c>
      <c r="L2153">
        <f>IF(AND(K2153=1,OR(pa_po="",C2153=pa_po),OR(pa_eq="",B2153=pa_eq)),1,0)</f>
        <v>0.0</v>
      </c>
    </row>
    <row r="2154">
      <c r="A2154" s="51" t="n"/>
      <c r="B2154" s="52" t="n"/>
      <c r="C2154" s="52" t="n"/>
      <c r="D2154" s="53" t="n"/>
      <c r="E2154" s="60" t="n"/>
      <c r="F2154" s="53" t="n"/>
      <c r="G2154" s="61" t="str">
        <f>IF(OR(COUNTA(A2154:E2154)=0,D2154=""),"",IFERROR(INDEX(ca_fam,MATCH(D2154,ca_name,0))&amp;"",""))</f>
        <v/>
      </c>
      <c r="H2154" s="58" t="str">
        <f>IF(OR(COUNTA(A2154:E2154)=0,D2154=""),"",IFERROR(INDEX(ca_type,MATCH(D2154,ca_name,0))&amp;"",""))</f>
        <v/>
      </c>
      <c r="I2154" s="58" t="str">
        <f>IF(COUNTA(A2154:E2154)=0,"",IF(N(A2154)&lt;=0,"Date manquante ou invalide",IF(B2154="","Équipe manquante",IF(ISNA(MATCH(B2154,eq_code,0)),"Équipe inconnue",IF(C2154="","Poste manquant",IF(ISNA(MATCH(C2154,po_code,0)),"Poste inconnu",IF(D2154="","Cause manquante",IF(ISNA(MATCH(D2154,ca_name,0)),"Cause inconnue",IF(H2154="","Cause à compléter dans Paramètres",IF(OR(NOT(ISNUMBER(E2154)),N(E2154)&lt;=0,N(E2154)&gt;1440),"Durée invalide",IF(COUNTIFS(sj_date,A2154,sj_eq,B2154,sj_po,C2154)=0,"Pas de saisie journalière ce jour-là","OK")))))))))))</f>
        <v/>
      </c>
      <c r="J2154">
        <f>IF(OR(I2154="OK",I2154="Pas de saisie journalière ce jour-là"),E2154,0)</f>
        <v>0.0</v>
      </c>
      <c r="K2154">
        <f>IF(AND(J2154&gt;0,A2154&gt;=p_from,A2154&lt;=p_to),1,0)</f>
        <v>0.0</v>
      </c>
      <c r="L2154">
        <f>IF(AND(K2154=1,OR(pa_po="",C2154=pa_po),OR(pa_eq="",B2154=pa_eq)),1,0)</f>
        <v>0.0</v>
      </c>
    </row>
    <row r="2155">
      <c r="A2155" s="51" t="n"/>
      <c r="B2155" s="52" t="n"/>
      <c r="C2155" s="52" t="n"/>
      <c r="D2155" s="53" t="n"/>
      <c r="E2155" s="60" t="n"/>
      <c r="F2155" s="53" t="n"/>
      <c r="G2155" s="61" t="str">
        <f>IF(OR(COUNTA(A2155:E2155)=0,D2155=""),"",IFERROR(INDEX(ca_fam,MATCH(D2155,ca_name,0))&amp;"",""))</f>
        <v/>
      </c>
      <c r="H2155" s="58" t="str">
        <f>IF(OR(COUNTA(A2155:E2155)=0,D2155=""),"",IFERROR(INDEX(ca_type,MATCH(D2155,ca_name,0))&amp;"",""))</f>
        <v/>
      </c>
      <c r="I2155" s="58" t="str">
        <f>IF(COUNTA(A2155:E2155)=0,"",IF(N(A2155)&lt;=0,"Date manquante ou invalide",IF(B2155="","Équipe manquante",IF(ISNA(MATCH(B2155,eq_code,0)),"Équipe inconnue",IF(C2155="","Poste manquant",IF(ISNA(MATCH(C2155,po_code,0)),"Poste inconnu",IF(D2155="","Cause manquante",IF(ISNA(MATCH(D2155,ca_name,0)),"Cause inconnue",IF(H2155="","Cause à compléter dans Paramètres",IF(OR(NOT(ISNUMBER(E2155)),N(E2155)&lt;=0,N(E2155)&gt;1440),"Durée invalide",IF(COUNTIFS(sj_date,A2155,sj_eq,B2155,sj_po,C2155)=0,"Pas de saisie journalière ce jour-là","OK")))))))))))</f>
        <v/>
      </c>
      <c r="J2155">
        <f>IF(OR(I2155="OK",I2155="Pas de saisie journalière ce jour-là"),E2155,0)</f>
        <v>0.0</v>
      </c>
      <c r="K2155">
        <f>IF(AND(J2155&gt;0,A2155&gt;=p_from,A2155&lt;=p_to),1,0)</f>
        <v>0.0</v>
      </c>
      <c r="L2155">
        <f>IF(AND(K2155=1,OR(pa_po="",C2155=pa_po),OR(pa_eq="",B2155=pa_eq)),1,0)</f>
        <v>0.0</v>
      </c>
    </row>
    <row r="2156">
      <c r="A2156" s="51" t="n"/>
      <c r="B2156" s="52" t="n"/>
      <c r="C2156" s="52" t="n"/>
      <c r="D2156" s="53" t="n"/>
      <c r="E2156" s="60" t="n"/>
      <c r="F2156" s="53" t="n"/>
      <c r="G2156" s="61" t="str">
        <f>IF(OR(COUNTA(A2156:E2156)=0,D2156=""),"",IFERROR(INDEX(ca_fam,MATCH(D2156,ca_name,0))&amp;"",""))</f>
        <v/>
      </c>
      <c r="H2156" s="58" t="str">
        <f>IF(OR(COUNTA(A2156:E2156)=0,D2156=""),"",IFERROR(INDEX(ca_type,MATCH(D2156,ca_name,0))&amp;"",""))</f>
        <v/>
      </c>
      <c r="I2156" s="58" t="str">
        <f>IF(COUNTA(A2156:E2156)=0,"",IF(N(A2156)&lt;=0,"Date manquante ou invalide",IF(B2156="","Équipe manquante",IF(ISNA(MATCH(B2156,eq_code,0)),"Équipe inconnue",IF(C2156="","Poste manquant",IF(ISNA(MATCH(C2156,po_code,0)),"Poste inconnu",IF(D2156="","Cause manquante",IF(ISNA(MATCH(D2156,ca_name,0)),"Cause inconnue",IF(H2156="","Cause à compléter dans Paramètres",IF(OR(NOT(ISNUMBER(E2156)),N(E2156)&lt;=0,N(E2156)&gt;1440),"Durée invalide",IF(COUNTIFS(sj_date,A2156,sj_eq,B2156,sj_po,C2156)=0,"Pas de saisie journalière ce jour-là","OK")))))))))))</f>
        <v/>
      </c>
      <c r="J2156">
        <f>IF(OR(I2156="OK",I2156="Pas de saisie journalière ce jour-là"),E2156,0)</f>
        <v>0.0</v>
      </c>
      <c r="K2156">
        <f>IF(AND(J2156&gt;0,A2156&gt;=p_from,A2156&lt;=p_to),1,0)</f>
        <v>0.0</v>
      </c>
      <c r="L2156">
        <f>IF(AND(K2156=1,OR(pa_po="",C2156=pa_po),OR(pa_eq="",B2156=pa_eq)),1,0)</f>
        <v>0.0</v>
      </c>
    </row>
    <row r="2157">
      <c r="A2157" s="51" t="n"/>
      <c r="B2157" s="52" t="n"/>
      <c r="C2157" s="52" t="n"/>
      <c r="D2157" s="53" t="n"/>
      <c r="E2157" s="60" t="n"/>
      <c r="F2157" s="53" t="n"/>
      <c r="G2157" s="61" t="str">
        <f>IF(OR(COUNTA(A2157:E2157)=0,D2157=""),"",IFERROR(INDEX(ca_fam,MATCH(D2157,ca_name,0))&amp;"",""))</f>
        <v/>
      </c>
      <c r="H2157" s="58" t="str">
        <f>IF(OR(COUNTA(A2157:E2157)=0,D2157=""),"",IFERROR(INDEX(ca_type,MATCH(D2157,ca_name,0))&amp;"",""))</f>
        <v/>
      </c>
      <c r="I2157" s="58" t="str">
        <f>IF(COUNTA(A2157:E2157)=0,"",IF(N(A2157)&lt;=0,"Date manquante ou invalide",IF(B2157="","Équipe manquante",IF(ISNA(MATCH(B2157,eq_code,0)),"Équipe inconnue",IF(C2157="","Poste manquant",IF(ISNA(MATCH(C2157,po_code,0)),"Poste inconnu",IF(D2157="","Cause manquante",IF(ISNA(MATCH(D2157,ca_name,0)),"Cause inconnue",IF(H2157="","Cause à compléter dans Paramètres",IF(OR(NOT(ISNUMBER(E2157)),N(E2157)&lt;=0,N(E2157)&gt;1440),"Durée invalide",IF(COUNTIFS(sj_date,A2157,sj_eq,B2157,sj_po,C2157)=0,"Pas de saisie journalière ce jour-là","OK")))))))))))</f>
        <v/>
      </c>
      <c r="J2157">
        <f>IF(OR(I2157="OK",I2157="Pas de saisie journalière ce jour-là"),E2157,0)</f>
        <v>0.0</v>
      </c>
      <c r="K2157">
        <f>IF(AND(J2157&gt;0,A2157&gt;=p_from,A2157&lt;=p_to),1,0)</f>
        <v>0.0</v>
      </c>
      <c r="L2157">
        <f>IF(AND(K2157=1,OR(pa_po="",C2157=pa_po),OR(pa_eq="",B2157=pa_eq)),1,0)</f>
        <v>0.0</v>
      </c>
    </row>
    <row r="2158">
      <c r="A2158" s="51" t="n"/>
      <c r="B2158" s="52" t="n"/>
      <c r="C2158" s="52" t="n"/>
      <c r="D2158" s="53" t="n"/>
      <c r="E2158" s="60" t="n"/>
      <c r="F2158" s="53" t="n"/>
      <c r="G2158" s="61" t="str">
        <f>IF(OR(COUNTA(A2158:E2158)=0,D2158=""),"",IFERROR(INDEX(ca_fam,MATCH(D2158,ca_name,0))&amp;"",""))</f>
        <v/>
      </c>
      <c r="H2158" s="58" t="str">
        <f>IF(OR(COUNTA(A2158:E2158)=0,D2158=""),"",IFERROR(INDEX(ca_type,MATCH(D2158,ca_name,0))&amp;"",""))</f>
        <v/>
      </c>
      <c r="I2158" s="58" t="str">
        <f>IF(COUNTA(A2158:E2158)=0,"",IF(N(A2158)&lt;=0,"Date manquante ou invalide",IF(B2158="","Équipe manquante",IF(ISNA(MATCH(B2158,eq_code,0)),"Équipe inconnue",IF(C2158="","Poste manquant",IF(ISNA(MATCH(C2158,po_code,0)),"Poste inconnu",IF(D2158="","Cause manquante",IF(ISNA(MATCH(D2158,ca_name,0)),"Cause inconnue",IF(H2158="","Cause à compléter dans Paramètres",IF(OR(NOT(ISNUMBER(E2158)),N(E2158)&lt;=0,N(E2158)&gt;1440),"Durée invalide",IF(COUNTIFS(sj_date,A2158,sj_eq,B2158,sj_po,C2158)=0,"Pas de saisie journalière ce jour-là","OK")))))))))))</f>
        <v/>
      </c>
      <c r="J2158">
        <f>IF(OR(I2158="OK",I2158="Pas de saisie journalière ce jour-là"),E2158,0)</f>
        <v>0.0</v>
      </c>
      <c r="K2158">
        <f>IF(AND(J2158&gt;0,A2158&gt;=p_from,A2158&lt;=p_to),1,0)</f>
        <v>0.0</v>
      </c>
      <c r="L2158">
        <f>IF(AND(K2158=1,OR(pa_po="",C2158=pa_po),OR(pa_eq="",B2158=pa_eq)),1,0)</f>
        <v>0.0</v>
      </c>
    </row>
    <row r="2159">
      <c r="A2159" s="51" t="n"/>
      <c r="B2159" s="52" t="n"/>
      <c r="C2159" s="52" t="n"/>
      <c r="D2159" s="53" t="n"/>
      <c r="E2159" s="60" t="n"/>
      <c r="F2159" s="53" t="n"/>
      <c r="G2159" s="61" t="str">
        <f>IF(OR(COUNTA(A2159:E2159)=0,D2159=""),"",IFERROR(INDEX(ca_fam,MATCH(D2159,ca_name,0))&amp;"",""))</f>
        <v/>
      </c>
      <c r="H2159" s="58" t="str">
        <f>IF(OR(COUNTA(A2159:E2159)=0,D2159=""),"",IFERROR(INDEX(ca_type,MATCH(D2159,ca_name,0))&amp;"",""))</f>
        <v/>
      </c>
      <c r="I2159" s="58" t="str">
        <f>IF(COUNTA(A2159:E2159)=0,"",IF(N(A2159)&lt;=0,"Date manquante ou invalide",IF(B2159="","Équipe manquante",IF(ISNA(MATCH(B2159,eq_code,0)),"Équipe inconnue",IF(C2159="","Poste manquant",IF(ISNA(MATCH(C2159,po_code,0)),"Poste inconnu",IF(D2159="","Cause manquante",IF(ISNA(MATCH(D2159,ca_name,0)),"Cause inconnue",IF(H2159="","Cause à compléter dans Paramètres",IF(OR(NOT(ISNUMBER(E2159)),N(E2159)&lt;=0,N(E2159)&gt;1440),"Durée invalide",IF(COUNTIFS(sj_date,A2159,sj_eq,B2159,sj_po,C2159)=0,"Pas de saisie journalière ce jour-là","OK")))))))))))</f>
        <v/>
      </c>
      <c r="J2159">
        <f>IF(OR(I2159="OK",I2159="Pas de saisie journalière ce jour-là"),E2159,0)</f>
        <v>0.0</v>
      </c>
      <c r="K2159">
        <f>IF(AND(J2159&gt;0,A2159&gt;=p_from,A2159&lt;=p_to),1,0)</f>
        <v>0.0</v>
      </c>
      <c r="L2159">
        <f>IF(AND(K2159=1,OR(pa_po="",C2159=pa_po),OR(pa_eq="",B2159=pa_eq)),1,0)</f>
        <v>0.0</v>
      </c>
    </row>
    <row r="2160">
      <c r="A2160" s="51" t="n"/>
      <c r="B2160" s="52" t="n"/>
      <c r="C2160" s="52" t="n"/>
      <c r="D2160" s="53" t="n"/>
      <c r="E2160" s="60" t="n"/>
      <c r="F2160" s="53" t="n"/>
      <c r="G2160" s="61" t="str">
        <f>IF(OR(COUNTA(A2160:E2160)=0,D2160=""),"",IFERROR(INDEX(ca_fam,MATCH(D2160,ca_name,0))&amp;"",""))</f>
        <v/>
      </c>
      <c r="H2160" s="58" t="str">
        <f>IF(OR(COUNTA(A2160:E2160)=0,D2160=""),"",IFERROR(INDEX(ca_type,MATCH(D2160,ca_name,0))&amp;"",""))</f>
        <v/>
      </c>
      <c r="I2160" s="58" t="str">
        <f>IF(COUNTA(A2160:E2160)=0,"",IF(N(A2160)&lt;=0,"Date manquante ou invalide",IF(B2160="","Équipe manquante",IF(ISNA(MATCH(B2160,eq_code,0)),"Équipe inconnue",IF(C2160="","Poste manquant",IF(ISNA(MATCH(C2160,po_code,0)),"Poste inconnu",IF(D2160="","Cause manquante",IF(ISNA(MATCH(D2160,ca_name,0)),"Cause inconnue",IF(H2160="","Cause à compléter dans Paramètres",IF(OR(NOT(ISNUMBER(E2160)),N(E2160)&lt;=0,N(E2160)&gt;1440),"Durée invalide",IF(COUNTIFS(sj_date,A2160,sj_eq,B2160,sj_po,C2160)=0,"Pas de saisie journalière ce jour-là","OK")))))))))))</f>
        <v/>
      </c>
      <c r="J2160">
        <f>IF(OR(I2160="OK",I2160="Pas de saisie journalière ce jour-là"),E2160,0)</f>
        <v>0.0</v>
      </c>
      <c r="K2160">
        <f>IF(AND(J2160&gt;0,A2160&gt;=p_from,A2160&lt;=p_to),1,0)</f>
        <v>0.0</v>
      </c>
      <c r="L2160">
        <f>IF(AND(K2160=1,OR(pa_po="",C2160=pa_po),OR(pa_eq="",B2160=pa_eq)),1,0)</f>
        <v>0.0</v>
      </c>
    </row>
    <row r="2161">
      <c r="A2161" s="51" t="n"/>
      <c r="B2161" s="52" t="n"/>
      <c r="C2161" s="52" t="n"/>
      <c r="D2161" s="53" t="n"/>
      <c r="E2161" s="60" t="n"/>
      <c r="F2161" s="53" t="n"/>
      <c r="G2161" s="61" t="str">
        <f>IF(OR(COUNTA(A2161:E2161)=0,D2161=""),"",IFERROR(INDEX(ca_fam,MATCH(D2161,ca_name,0))&amp;"",""))</f>
        <v/>
      </c>
      <c r="H2161" s="58" t="str">
        <f>IF(OR(COUNTA(A2161:E2161)=0,D2161=""),"",IFERROR(INDEX(ca_type,MATCH(D2161,ca_name,0))&amp;"",""))</f>
        <v/>
      </c>
      <c r="I2161" s="58" t="str">
        <f>IF(COUNTA(A2161:E2161)=0,"",IF(N(A2161)&lt;=0,"Date manquante ou invalide",IF(B2161="","Équipe manquante",IF(ISNA(MATCH(B2161,eq_code,0)),"Équipe inconnue",IF(C2161="","Poste manquant",IF(ISNA(MATCH(C2161,po_code,0)),"Poste inconnu",IF(D2161="","Cause manquante",IF(ISNA(MATCH(D2161,ca_name,0)),"Cause inconnue",IF(H2161="","Cause à compléter dans Paramètres",IF(OR(NOT(ISNUMBER(E2161)),N(E2161)&lt;=0,N(E2161)&gt;1440),"Durée invalide",IF(COUNTIFS(sj_date,A2161,sj_eq,B2161,sj_po,C2161)=0,"Pas de saisie journalière ce jour-là","OK")))))))))))</f>
        <v/>
      </c>
      <c r="J2161">
        <f>IF(OR(I2161="OK",I2161="Pas de saisie journalière ce jour-là"),E2161,0)</f>
        <v>0.0</v>
      </c>
      <c r="K2161">
        <f>IF(AND(J2161&gt;0,A2161&gt;=p_from,A2161&lt;=p_to),1,0)</f>
        <v>0.0</v>
      </c>
      <c r="L2161">
        <f>IF(AND(K2161=1,OR(pa_po="",C2161=pa_po),OR(pa_eq="",B2161=pa_eq)),1,0)</f>
        <v>0.0</v>
      </c>
    </row>
    <row r="2162">
      <c r="A2162" s="51" t="n"/>
      <c r="B2162" s="52" t="n"/>
      <c r="C2162" s="52" t="n"/>
      <c r="D2162" s="53" t="n"/>
      <c r="E2162" s="60" t="n"/>
      <c r="F2162" s="53" t="n"/>
      <c r="G2162" s="61" t="str">
        <f>IF(OR(COUNTA(A2162:E2162)=0,D2162=""),"",IFERROR(INDEX(ca_fam,MATCH(D2162,ca_name,0))&amp;"",""))</f>
        <v/>
      </c>
      <c r="H2162" s="58" t="str">
        <f>IF(OR(COUNTA(A2162:E2162)=0,D2162=""),"",IFERROR(INDEX(ca_type,MATCH(D2162,ca_name,0))&amp;"",""))</f>
        <v/>
      </c>
      <c r="I2162" s="58" t="str">
        <f>IF(COUNTA(A2162:E2162)=0,"",IF(N(A2162)&lt;=0,"Date manquante ou invalide",IF(B2162="","Équipe manquante",IF(ISNA(MATCH(B2162,eq_code,0)),"Équipe inconnue",IF(C2162="","Poste manquant",IF(ISNA(MATCH(C2162,po_code,0)),"Poste inconnu",IF(D2162="","Cause manquante",IF(ISNA(MATCH(D2162,ca_name,0)),"Cause inconnue",IF(H2162="","Cause à compléter dans Paramètres",IF(OR(NOT(ISNUMBER(E2162)),N(E2162)&lt;=0,N(E2162)&gt;1440),"Durée invalide",IF(COUNTIFS(sj_date,A2162,sj_eq,B2162,sj_po,C2162)=0,"Pas de saisie journalière ce jour-là","OK")))))))))))</f>
        <v/>
      </c>
      <c r="J2162">
        <f>IF(OR(I2162="OK",I2162="Pas de saisie journalière ce jour-là"),E2162,0)</f>
        <v>0.0</v>
      </c>
      <c r="K2162">
        <f>IF(AND(J2162&gt;0,A2162&gt;=p_from,A2162&lt;=p_to),1,0)</f>
        <v>0.0</v>
      </c>
      <c r="L2162">
        <f>IF(AND(K2162=1,OR(pa_po="",C2162=pa_po),OR(pa_eq="",B2162=pa_eq)),1,0)</f>
        <v>0.0</v>
      </c>
    </row>
    <row r="2163">
      <c r="A2163" s="51" t="n"/>
      <c r="B2163" s="52" t="n"/>
      <c r="C2163" s="52" t="n"/>
      <c r="D2163" s="53" t="n"/>
      <c r="E2163" s="60" t="n"/>
      <c r="F2163" s="53" t="n"/>
      <c r="G2163" s="61" t="str">
        <f>IF(OR(COUNTA(A2163:E2163)=0,D2163=""),"",IFERROR(INDEX(ca_fam,MATCH(D2163,ca_name,0))&amp;"",""))</f>
        <v/>
      </c>
      <c r="H2163" s="58" t="str">
        <f>IF(OR(COUNTA(A2163:E2163)=0,D2163=""),"",IFERROR(INDEX(ca_type,MATCH(D2163,ca_name,0))&amp;"",""))</f>
        <v/>
      </c>
      <c r="I2163" s="58" t="str">
        <f>IF(COUNTA(A2163:E2163)=0,"",IF(N(A2163)&lt;=0,"Date manquante ou invalide",IF(B2163="","Équipe manquante",IF(ISNA(MATCH(B2163,eq_code,0)),"Équipe inconnue",IF(C2163="","Poste manquant",IF(ISNA(MATCH(C2163,po_code,0)),"Poste inconnu",IF(D2163="","Cause manquante",IF(ISNA(MATCH(D2163,ca_name,0)),"Cause inconnue",IF(H2163="","Cause à compléter dans Paramètres",IF(OR(NOT(ISNUMBER(E2163)),N(E2163)&lt;=0,N(E2163)&gt;1440),"Durée invalide",IF(COUNTIFS(sj_date,A2163,sj_eq,B2163,sj_po,C2163)=0,"Pas de saisie journalière ce jour-là","OK")))))))))))</f>
        <v/>
      </c>
      <c r="J2163">
        <f>IF(OR(I2163="OK",I2163="Pas de saisie journalière ce jour-là"),E2163,0)</f>
        <v>0.0</v>
      </c>
      <c r="K2163">
        <f>IF(AND(J2163&gt;0,A2163&gt;=p_from,A2163&lt;=p_to),1,0)</f>
        <v>0.0</v>
      </c>
      <c r="L2163">
        <f>IF(AND(K2163=1,OR(pa_po="",C2163=pa_po),OR(pa_eq="",B2163=pa_eq)),1,0)</f>
        <v>0.0</v>
      </c>
    </row>
    <row r="2164">
      <c r="A2164" s="51" t="n"/>
      <c r="B2164" s="52" t="n"/>
      <c r="C2164" s="52" t="n"/>
      <c r="D2164" s="53" t="n"/>
      <c r="E2164" s="60" t="n"/>
      <c r="F2164" s="53" t="n"/>
      <c r="G2164" s="61" t="str">
        <f>IF(OR(COUNTA(A2164:E2164)=0,D2164=""),"",IFERROR(INDEX(ca_fam,MATCH(D2164,ca_name,0))&amp;"",""))</f>
        <v/>
      </c>
      <c r="H2164" s="58" t="str">
        <f>IF(OR(COUNTA(A2164:E2164)=0,D2164=""),"",IFERROR(INDEX(ca_type,MATCH(D2164,ca_name,0))&amp;"",""))</f>
        <v/>
      </c>
      <c r="I2164" s="58" t="str">
        <f>IF(COUNTA(A2164:E2164)=0,"",IF(N(A2164)&lt;=0,"Date manquante ou invalide",IF(B2164="","Équipe manquante",IF(ISNA(MATCH(B2164,eq_code,0)),"Équipe inconnue",IF(C2164="","Poste manquant",IF(ISNA(MATCH(C2164,po_code,0)),"Poste inconnu",IF(D2164="","Cause manquante",IF(ISNA(MATCH(D2164,ca_name,0)),"Cause inconnue",IF(H2164="","Cause à compléter dans Paramètres",IF(OR(NOT(ISNUMBER(E2164)),N(E2164)&lt;=0,N(E2164)&gt;1440),"Durée invalide",IF(COUNTIFS(sj_date,A2164,sj_eq,B2164,sj_po,C2164)=0,"Pas de saisie journalière ce jour-là","OK")))))))))))</f>
        <v/>
      </c>
      <c r="J2164">
        <f>IF(OR(I2164="OK",I2164="Pas de saisie journalière ce jour-là"),E2164,0)</f>
        <v>0.0</v>
      </c>
      <c r="K2164">
        <f>IF(AND(J2164&gt;0,A2164&gt;=p_from,A2164&lt;=p_to),1,0)</f>
        <v>0.0</v>
      </c>
      <c r="L2164">
        <f>IF(AND(K2164=1,OR(pa_po="",C2164=pa_po),OR(pa_eq="",B2164=pa_eq)),1,0)</f>
        <v>0.0</v>
      </c>
    </row>
    <row r="2165">
      <c r="A2165" s="51" t="n"/>
      <c r="B2165" s="52" t="n"/>
      <c r="C2165" s="52" t="n"/>
      <c r="D2165" s="53" t="n"/>
      <c r="E2165" s="60" t="n"/>
      <c r="F2165" s="53" t="n"/>
      <c r="G2165" s="61" t="str">
        <f>IF(OR(COUNTA(A2165:E2165)=0,D2165=""),"",IFERROR(INDEX(ca_fam,MATCH(D2165,ca_name,0))&amp;"",""))</f>
        <v/>
      </c>
      <c r="H2165" s="58" t="str">
        <f>IF(OR(COUNTA(A2165:E2165)=0,D2165=""),"",IFERROR(INDEX(ca_type,MATCH(D2165,ca_name,0))&amp;"",""))</f>
        <v/>
      </c>
      <c r="I2165" s="58" t="str">
        <f>IF(COUNTA(A2165:E2165)=0,"",IF(N(A2165)&lt;=0,"Date manquante ou invalide",IF(B2165="","Équipe manquante",IF(ISNA(MATCH(B2165,eq_code,0)),"Équipe inconnue",IF(C2165="","Poste manquant",IF(ISNA(MATCH(C2165,po_code,0)),"Poste inconnu",IF(D2165="","Cause manquante",IF(ISNA(MATCH(D2165,ca_name,0)),"Cause inconnue",IF(H2165="","Cause à compléter dans Paramètres",IF(OR(NOT(ISNUMBER(E2165)),N(E2165)&lt;=0,N(E2165)&gt;1440),"Durée invalide",IF(COUNTIFS(sj_date,A2165,sj_eq,B2165,sj_po,C2165)=0,"Pas de saisie journalière ce jour-là","OK")))))))))))</f>
        <v/>
      </c>
      <c r="J2165">
        <f>IF(OR(I2165="OK",I2165="Pas de saisie journalière ce jour-là"),E2165,0)</f>
        <v>0.0</v>
      </c>
      <c r="K2165">
        <f>IF(AND(J2165&gt;0,A2165&gt;=p_from,A2165&lt;=p_to),1,0)</f>
        <v>0.0</v>
      </c>
      <c r="L2165">
        <f>IF(AND(K2165=1,OR(pa_po="",C2165=pa_po),OR(pa_eq="",B2165=pa_eq)),1,0)</f>
        <v>0.0</v>
      </c>
    </row>
    <row r="2166">
      <c r="A2166" s="51" t="n"/>
      <c r="B2166" s="52" t="n"/>
      <c r="C2166" s="52" t="n"/>
      <c r="D2166" s="53" t="n"/>
      <c r="E2166" s="60" t="n"/>
      <c r="F2166" s="53" t="n"/>
      <c r="G2166" s="61" t="str">
        <f>IF(OR(COUNTA(A2166:E2166)=0,D2166=""),"",IFERROR(INDEX(ca_fam,MATCH(D2166,ca_name,0))&amp;"",""))</f>
        <v/>
      </c>
      <c r="H2166" s="58" t="str">
        <f>IF(OR(COUNTA(A2166:E2166)=0,D2166=""),"",IFERROR(INDEX(ca_type,MATCH(D2166,ca_name,0))&amp;"",""))</f>
        <v/>
      </c>
      <c r="I2166" s="58" t="str">
        <f>IF(COUNTA(A2166:E2166)=0,"",IF(N(A2166)&lt;=0,"Date manquante ou invalide",IF(B2166="","Équipe manquante",IF(ISNA(MATCH(B2166,eq_code,0)),"Équipe inconnue",IF(C2166="","Poste manquant",IF(ISNA(MATCH(C2166,po_code,0)),"Poste inconnu",IF(D2166="","Cause manquante",IF(ISNA(MATCH(D2166,ca_name,0)),"Cause inconnue",IF(H2166="","Cause à compléter dans Paramètres",IF(OR(NOT(ISNUMBER(E2166)),N(E2166)&lt;=0,N(E2166)&gt;1440),"Durée invalide",IF(COUNTIFS(sj_date,A2166,sj_eq,B2166,sj_po,C2166)=0,"Pas de saisie journalière ce jour-là","OK")))))))))))</f>
        <v/>
      </c>
      <c r="J2166">
        <f>IF(OR(I2166="OK",I2166="Pas de saisie journalière ce jour-là"),E2166,0)</f>
        <v>0.0</v>
      </c>
      <c r="K2166">
        <f>IF(AND(J2166&gt;0,A2166&gt;=p_from,A2166&lt;=p_to),1,0)</f>
        <v>0.0</v>
      </c>
      <c r="L2166">
        <f>IF(AND(K2166=1,OR(pa_po="",C2166=pa_po),OR(pa_eq="",B2166=pa_eq)),1,0)</f>
        <v>0.0</v>
      </c>
    </row>
    <row r="2167">
      <c r="A2167" s="51" t="n"/>
      <c r="B2167" s="52" t="n"/>
      <c r="C2167" s="52" t="n"/>
      <c r="D2167" s="53" t="n"/>
      <c r="E2167" s="60" t="n"/>
      <c r="F2167" s="53" t="n"/>
      <c r="G2167" s="61" t="str">
        <f>IF(OR(COUNTA(A2167:E2167)=0,D2167=""),"",IFERROR(INDEX(ca_fam,MATCH(D2167,ca_name,0))&amp;"",""))</f>
        <v/>
      </c>
      <c r="H2167" s="58" t="str">
        <f>IF(OR(COUNTA(A2167:E2167)=0,D2167=""),"",IFERROR(INDEX(ca_type,MATCH(D2167,ca_name,0))&amp;"",""))</f>
        <v/>
      </c>
      <c r="I2167" s="58" t="str">
        <f>IF(COUNTA(A2167:E2167)=0,"",IF(N(A2167)&lt;=0,"Date manquante ou invalide",IF(B2167="","Équipe manquante",IF(ISNA(MATCH(B2167,eq_code,0)),"Équipe inconnue",IF(C2167="","Poste manquant",IF(ISNA(MATCH(C2167,po_code,0)),"Poste inconnu",IF(D2167="","Cause manquante",IF(ISNA(MATCH(D2167,ca_name,0)),"Cause inconnue",IF(H2167="","Cause à compléter dans Paramètres",IF(OR(NOT(ISNUMBER(E2167)),N(E2167)&lt;=0,N(E2167)&gt;1440),"Durée invalide",IF(COUNTIFS(sj_date,A2167,sj_eq,B2167,sj_po,C2167)=0,"Pas de saisie journalière ce jour-là","OK")))))))))))</f>
        <v/>
      </c>
      <c r="J2167">
        <f>IF(OR(I2167="OK",I2167="Pas de saisie journalière ce jour-là"),E2167,0)</f>
        <v>0.0</v>
      </c>
      <c r="K2167">
        <f>IF(AND(J2167&gt;0,A2167&gt;=p_from,A2167&lt;=p_to),1,0)</f>
        <v>0.0</v>
      </c>
      <c r="L2167">
        <f>IF(AND(K2167=1,OR(pa_po="",C2167=pa_po),OR(pa_eq="",B2167=pa_eq)),1,0)</f>
        <v>0.0</v>
      </c>
    </row>
    <row r="2168">
      <c r="A2168" s="51" t="n"/>
      <c r="B2168" s="52" t="n"/>
      <c r="C2168" s="52" t="n"/>
      <c r="D2168" s="53" t="n"/>
      <c r="E2168" s="60" t="n"/>
      <c r="F2168" s="53" t="n"/>
      <c r="G2168" s="61" t="str">
        <f>IF(OR(COUNTA(A2168:E2168)=0,D2168=""),"",IFERROR(INDEX(ca_fam,MATCH(D2168,ca_name,0))&amp;"",""))</f>
        <v/>
      </c>
      <c r="H2168" s="58" t="str">
        <f>IF(OR(COUNTA(A2168:E2168)=0,D2168=""),"",IFERROR(INDEX(ca_type,MATCH(D2168,ca_name,0))&amp;"",""))</f>
        <v/>
      </c>
      <c r="I2168" s="58" t="str">
        <f>IF(COUNTA(A2168:E2168)=0,"",IF(N(A2168)&lt;=0,"Date manquante ou invalide",IF(B2168="","Équipe manquante",IF(ISNA(MATCH(B2168,eq_code,0)),"Équipe inconnue",IF(C2168="","Poste manquant",IF(ISNA(MATCH(C2168,po_code,0)),"Poste inconnu",IF(D2168="","Cause manquante",IF(ISNA(MATCH(D2168,ca_name,0)),"Cause inconnue",IF(H2168="","Cause à compléter dans Paramètres",IF(OR(NOT(ISNUMBER(E2168)),N(E2168)&lt;=0,N(E2168)&gt;1440),"Durée invalide",IF(COUNTIFS(sj_date,A2168,sj_eq,B2168,sj_po,C2168)=0,"Pas de saisie journalière ce jour-là","OK")))))))))))</f>
        <v/>
      </c>
      <c r="J2168">
        <f>IF(OR(I2168="OK",I2168="Pas de saisie journalière ce jour-là"),E2168,0)</f>
        <v>0.0</v>
      </c>
      <c r="K2168">
        <f>IF(AND(J2168&gt;0,A2168&gt;=p_from,A2168&lt;=p_to),1,0)</f>
        <v>0.0</v>
      </c>
      <c r="L2168">
        <f>IF(AND(K2168=1,OR(pa_po="",C2168=pa_po),OR(pa_eq="",B2168=pa_eq)),1,0)</f>
        <v>0.0</v>
      </c>
    </row>
    <row r="2169">
      <c r="A2169" s="51" t="n"/>
      <c r="B2169" s="52" t="n"/>
      <c r="C2169" s="52" t="n"/>
      <c r="D2169" s="53" t="n"/>
      <c r="E2169" s="60" t="n"/>
      <c r="F2169" s="53" t="n"/>
      <c r="G2169" s="61" t="str">
        <f>IF(OR(COUNTA(A2169:E2169)=0,D2169=""),"",IFERROR(INDEX(ca_fam,MATCH(D2169,ca_name,0))&amp;"",""))</f>
        <v/>
      </c>
      <c r="H2169" s="58" t="str">
        <f>IF(OR(COUNTA(A2169:E2169)=0,D2169=""),"",IFERROR(INDEX(ca_type,MATCH(D2169,ca_name,0))&amp;"",""))</f>
        <v/>
      </c>
      <c r="I2169" s="58" t="str">
        <f>IF(COUNTA(A2169:E2169)=0,"",IF(N(A2169)&lt;=0,"Date manquante ou invalide",IF(B2169="","Équipe manquante",IF(ISNA(MATCH(B2169,eq_code,0)),"Équipe inconnue",IF(C2169="","Poste manquant",IF(ISNA(MATCH(C2169,po_code,0)),"Poste inconnu",IF(D2169="","Cause manquante",IF(ISNA(MATCH(D2169,ca_name,0)),"Cause inconnue",IF(H2169="","Cause à compléter dans Paramètres",IF(OR(NOT(ISNUMBER(E2169)),N(E2169)&lt;=0,N(E2169)&gt;1440),"Durée invalide",IF(COUNTIFS(sj_date,A2169,sj_eq,B2169,sj_po,C2169)=0,"Pas de saisie journalière ce jour-là","OK")))))))))))</f>
        <v/>
      </c>
      <c r="J2169">
        <f>IF(OR(I2169="OK",I2169="Pas de saisie journalière ce jour-là"),E2169,0)</f>
        <v>0.0</v>
      </c>
      <c r="K2169">
        <f>IF(AND(J2169&gt;0,A2169&gt;=p_from,A2169&lt;=p_to),1,0)</f>
        <v>0.0</v>
      </c>
      <c r="L2169">
        <f>IF(AND(K2169=1,OR(pa_po="",C2169=pa_po),OR(pa_eq="",B2169=pa_eq)),1,0)</f>
        <v>0.0</v>
      </c>
    </row>
    <row r="2170">
      <c r="A2170" s="51" t="n"/>
      <c r="B2170" s="52" t="n"/>
      <c r="C2170" s="52" t="n"/>
      <c r="D2170" s="53" t="n"/>
      <c r="E2170" s="60" t="n"/>
      <c r="F2170" s="53" t="n"/>
      <c r="G2170" s="61" t="str">
        <f>IF(OR(COUNTA(A2170:E2170)=0,D2170=""),"",IFERROR(INDEX(ca_fam,MATCH(D2170,ca_name,0))&amp;"",""))</f>
        <v/>
      </c>
      <c r="H2170" s="58" t="str">
        <f>IF(OR(COUNTA(A2170:E2170)=0,D2170=""),"",IFERROR(INDEX(ca_type,MATCH(D2170,ca_name,0))&amp;"",""))</f>
        <v/>
      </c>
      <c r="I2170" s="58" t="str">
        <f>IF(COUNTA(A2170:E2170)=0,"",IF(N(A2170)&lt;=0,"Date manquante ou invalide",IF(B2170="","Équipe manquante",IF(ISNA(MATCH(B2170,eq_code,0)),"Équipe inconnue",IF(C2170="","Poste manquant",IF(ISNA(MATCH(C2170,po_code,0)),"Poste inconnu",IF(D2170="","Cause manquante",IF(ISNA(MATCH(D2170,ca_name,0)),"Cause inconnue",IF(H2170="","Cause à compléter dans Paramètres",IF(OR(NOT(ISNUMBER(E2170)),N(E2170)&lt;=0,N(E2170)&gt;1440),"Durée invalide",IF(COUNTIFS(sj_date,A2170,sj_eq,B2170,sj_po,C2170)=0,"Pas de saisie journalière ce jour-là","OK")))))))))))</f>
        <v/>
      </c>
      <c r="J2170">
        <f>IF(OR(I2170="OK",I2170="Pas de saisie journalière ce jour-là"),E2170,0)</f>
        <v>0.0</v>
      </c>
      <c r="K2170">
        <f>IF(AND(J2170&gt;0,A2170&gt;=p_from,A2170&lt;=p_to),1,0)</f>
        <v>0.0</v>
      </c>
      <c r="L2170">
        <f>IF(AND(K2170=1,OR(pa_po="",C2170=pa_po),OR(pa_eq="",B2170=pa_eq)),1,0)</f>
        <v>0.0</v>
      </c>
    </row>
    <row r="2171">
      <c r="A2171" s="51" t="n"/>
      <c r="B2171" s="52" t="n"/>
      <c r="C2171" s="52" t="n"/>
      <c r="D2171" s="53" t="n"/>
      <c r="E2171" s="60" t="n"/>
      <c r="F2171" s="53" t="n"/>
      <c r="G2171" s="61" t="str">
        <f>IF(OR(COUNTA(A2171:E2171)=0,D2171=""),"",IFERROR(INDEX(ca_fam,MATCH(D2171,ca_name,0))&amp;"",""))</f>
        <v/>
      </c>
      <c r="H2171" s="58" t="str">
        <f>IF(OR(COUNTA(A2171:E2171)=0,D2171=""),"",IFERROR(INDEX(ca_type,MATCH(D2171,ca_name,0))&amp;"",""))</f>
        <v/>
      </c>
      <c r="I2171" s="58" t="str">
        <f>IF(COUNTA(A2171:E2171)=0,"",IF(N(A2171)&lt;=0,"Date manquante ou invalide",IF(B2171="","Équipe manquante",IF(ISNA(MATCH(B2171,eq_code,0)),"Équipe inconnue",IF(C2171="","Poste manquant",IF(ISNA(MATCH(C2171,po_code,0)),"Poste inconnu",IF(D2171="","Cause manquante",IF(ISNA(MATCH(D2171,ca_name,0)),"Cause inconnue",IF(H2171="","Cause à compléter dans Paramètres",IF(OR(NOT(ISNUMBER(E2171)),N(E2171)&lt;=0,N(E2171)&gt;1440),"Durée invalide",IF(COUNTIFS(sj_date,A2171,sj_eq,B2171,sj_po,C2171)=0,"Pas de saisie journalière ce jour-là","OK")))))))))))</f>
        <v/>
      </c>
      <c r="J2171">
        <f>IF(OR(I2171="OK",I2171="Pas de saisie journalière ce jour-là"),E2171,0)</f>
        <v>0.0</v>
      </c>
      <c r="K2171">
        <f>IF(AND(J2171&gt;0,A2171&gt;=p_from,A2171&lt;=p_to),1,0)</f>
        <v>0.0</v>
      </c>
      <c r="L2171">
        <f>IF(AND(K2171=1,OR(pa_po="",C2171=pa_po),OR(pa_eq="",B2171=pa_eq)),1,0)</f>
        <v>0.0</v>
      </c>
    </row>
    <row r="2172">
      <c r="A2172" s="51" t="n"/>
      <c r="B2172" s="52" t="n"/>
      <c r="C2172" s="52" t="n"/>
      <c r="D2172" s="53" t="n"/>
      <c r="E2172" s="60" t="n"/>
      <c r="F2172" s="53" t="n"/>
      <c r="G2172" s="61" t="str">
        <f>IF(OR(COUNTA(A2172:E2172)=0,D2172=""),"",IFERROR(INDEX(ca_fam,MATCH(D2172,ca_name,0))&amp;"",""))</f>
        <v/>
      </c>
      <c r="H2172" s="58" t="str">
        <f>IF(OR(COUNTA(A2172:E2172)=0,D2172=""),"",IFERROR(INDEX(ca_type,MATCH(D2172,ca_name,0))&amp;"",""))</f>
        <v/>
      </c>
      <c r="I2172" s="58" t="str">
        <f>IF(COUNTA(A2172:E2172)=0,"",IF(N(A2172)&lt;=0,"Date manquante ou invalide",IF(B2172="","Équipe manquante",IF(ISNA(MATCH(B2172,eq_code,0)),"Équipe inconnue",IF(C2172="","Poste manquant",IF(ISNA(MATCH(C2172,po_code,0)),"Poste inconnu",IF(D2172="","Cause manquante",IF(ISNA(MATCH(D2172,ca_name,0)),"Cause inconnue",IF(H2172="","Cause à compléter dans Paramètres",IF(OR(NOT(ISNUMBER(E2172)),N(E2172)&lt;=0,N(E2172)&gt;1440),"Durée invalide",IF(COUNTIFS(sj_date,A2172,sj_eq,B2172,sj_po,C2172)=0,"Pas de saisie journalière ce jour-là","OK")))))))))))</f>
        <v/>
      </c>
      <c r="J2172">
        <f>IF(OR(I2172="OK",I2172="Pas de saisie journalière ce jour-là"),E2172,0)</f>
        <v>0.0</v>
      </c>
      <c r="K2172">
        <f>IF(AND(J2172&gt;0,A2172&gt;=p_from,A2172&lt;=p_to),1,0)</f>
        <v>0.0</v>
      </c>
      <c r="L2172">
        <f>IF(AND(K2172=1,OR(pa_po="",C2172=pa_po),OR(pa_eq="",B2172=pa_eq)),1,0)</f>
        <v>0.0</v>
      </c>
    </row>
    <row r="2173">
      <c r="A2173" s="51" t="n"/>
      <c r="B2173" s="52" t="n"/>
      <c r="C2173" s="52" t="n"/>
      <c r="D2173" s="53" t="n"/>
      <c r="E2173" s="60" t="n"/>
      <c r="F2173" s="53" t="n"/>
      <c r="G2173" s="61" t="str">
        <f>IF(OR(COUNTA(A2173:E2173)=0,D2173=""),"",IFERROR(INDEX(ca_fam,MATCH(D2173,ca_name,0))&amp;"",""))</f>
        <v/>
      </c>
      <c r="H2173" s="58" t="str">
        <f>IF(OR(COUNTA(A2173:E2173)=0,D2173=""),"",IFERROR(INDEX(ca_type,MATCH(D2173,ca_name,0))&amp;"",""))</f>
        <v/>
      </c>
      <c r="I2173" s="58" t="str">
        <f>IF(COUNTA(A2173:E2173)=0,"",IF(N(A2173)&lt;=0,"Date manquante ou invalide",IF(B2173="","Équipe manquante",IF(ISNA(MATCH(B2173,eq_code,0)),"Équipe inconnue",IF(C2173="","Poste manquant",IF(ISNA(MATCH(C2173,po_code,0)),"Poste inconnu",IF(D2173="","Cause manquante",IF(ISNA(MATCH(D2173,ca_name,0)),"Cause inconnue",IF(H2173="","Cause à compléter dans Paramètres",IF(OR(NOT(ISNUMBER(E2173)),N(E2173)&lt;=0,N(E2173)&gt;1440),"Durée invalide",IF(COUNTIFS(sj_date,A2173,sj_eq,B2173,sj_po,C2173)=0,"Pas de saisie journalière ce jour-là","OK")))))))))))</f>
        <v/>
      </c>
      <c r="J2173">
        <f>IF(OR(I2173="OK",I2173="Pas de saisie journalière ce jour-là"),E2173,0)</f>
        <v>0.0</v>
      </c>
      <c r="K2173">
        <f>IF(AND(J2173&gt;0,A2173&gt;=p_from,A2173&lt;=p_to),1,0)</f>
        <v>0.0</v>
      </c>
      <c r="L2173">
        <f>IF(AND(K2173=1,OR(pa_po="",C2173=pa_po),OR(pa_eq="",B2173=pa_eq)),1,0)</f>
        <v>0.0</v>
      </c>
    </row>
    <row r="2174">
      <c r="A2174" s="51" t="n"/>
      <c r="B2174" s="52" t="n"/>
      <c r="C2174" s="52" t="n"/>
      <c r="D2174" s="53" t="n"/>
      <c r="E2174" s="60" t="n"/>
      <c r="F2174" s="53" t="n"/>
      <c r="G2174" s="61" t="str">
        <f>IF(OR(COUNTA(A2174:E2174)=0,D2174=""),"",IFERROR(INDEX(ca_fam,MATCH(D2174,ca_name,0))&amp;"",""))</f>
        <v/>
      </c>
      <c r="H2174" s="58" t="str">
        <f>IF(OR(COUNTA(A2174:E2174)=0,D2174=""),"",IFERROR(INDEX(ca_type,MATCH(D2174,ca_name,0))&amp;"",""))</f>
        <v/>
      </c>
      <c r="I2174" s="58" t="str">
        <f>IF(COUNTA(A2174:E2174)=0,"",IF(N(A2174)&lt;=0,"Date manquante ou invalide",IF(B2174="","Équipe manquante",IF(ISNA(MATCH(B2174,eq_code,0)),"Équipe inconnue",IF(C2174="","Poste manquant",IF(ISNA(MATCH(C2174,po_code,0)),"Poste inconnu",IF(D2174="","Cause manquante",IF(ISNA(MATCH(D2174,ca_name,0)),"Cause inconnue",IF(H2174="","Cause à compléter dans Paramètres",IF(OR(NOT(ISNUMBER(E2174)),N(E2174)&lt;=0,N(E2174)&gt;1440),"Durée invalide",IF(COUNTIFS(sj_date,A2174,sj_eq,B2174,sj_po,C2174)=0,"Pas de saisie journalière ce jour-là","OK")))))))))))</f>
        <v/>
      </c>
      <c r="J2174">
        <f>IF(OR(I2174="OK",I2174="Pas de saisie journalière ce jour-là"),E2174,0)</f>
        <v>0.0</v>
      </c>
      <c r="K2174">
        <f>IF(AND(J2174&gt;0,A2174&gt;=p_from,A2174&lt;=p_to),1,0)</f>
        <v>0.0</v>
      </c>
      <c r="L2174">
        <f>IF(AND(K2174=1,OR(pa_po="",C2174=pa_po),OR(pa_eq="",B2174=pa_eq)),1,0)</f>
        <v>0.0</v>
      </c>
    </row>
    <row r="2175">
      <c r="A2175" s="51" t="n"/>
      <c r="B2175" s="52" t="n"/>
      <c r="C2175" s="52" t="n"/>
      <c r="D2175" s="53" t="n"/>
      <c r="E2175" s="60" t="n"/>
      <c r="F2175" s="53" t="n"/>
      <c r="G2175" s="61" t="str">
        <f>IF(OR(COUNTA(A2175:E2175)=0,D2175=""),"",IFERROR(INDEX(ca_fam,MATCH(D2175,ca_name,0))&amp;"",""))</f>
        <v/>
      </c>
      <c r="H2175" s="58" t="str">
        <f>IF(OR(COUNTA(A2175:E2175)=0,D2175=""),"",IFERROR(INDEX(ca_type,MATCH(D2175,ca_name,0))&amp;"",""))</f>
        <v/>
      </c>
      <c r="I2175" s="58" t="str">
        <f>IF(COUNTA(A2175:E2175)=0,"",IF(N(A2175)&lt;=0,"Date manquante ou invalide",IF(B2175="","Équipe manquante",IF(ISNA(MATCH(B2175,eq_code,0)),"Équipe inconnue",IF(C2175="","Poste manquant",IF(ISNA(MATCH(C2175,po_code,0)),"Poste inconnu",IF(D2175="","Cause manquante",IF(ISNA(MATCH(D2175,ca_name,0)),"Cause inconnue",IF(H2175="","Cause à compléter dans Paramètres",IF(OR(NOT(ISNUMBER(E2175)),N(E2175)&lt;=0,N(E2175)&gt;1440),"Durée invalide",IF(COUNTIFS(sj_date,A2175,sj_eq,B2175,sj_po,C2175)=0,"Pas de saisie journalière ce jour-là","OK")))))))))))</f>
        <v/>
      </c>
      <c r="J2175">
        <f>IF(OR(I2175="OK",I2175="Pas de saisie journalière ce jour-là"),E2175,0)</f>
        <v>0.0</v>
      </c>
      <c r="K2175">
        <f>IF(AND(J2175&gt;0,A2175&gt;=p_from,A2175&lt;=p_to),1,0)</f>
        <v>0.0</v>
      </c>
      <c r="L2175">
        <f>IF(AND(K2175=1,OR(pa_po="",C2175=pa_po),OR(pa_eq="",B2175=pa_eq)),1,0)</f>
        <v>0.0</v>
      </c>
    </row>
    <row r="2176">
      <c r="A2176" s="51" t="n"/>
      <c r="B2176" s="52" t="n"/>
      <c r="C2176" s="52" t="n"/>
      <c r="D2176" s="53" t="n"/>
      <c r="E2176" s="60" t="n"/>
      <c r="F2176" s="53" t="n"/>
      <c r="G2176" s="61" t="str">
        <f>IF(OR(COUNTA(A2176:E2176)=0,D2176=""),"",IFERROR(INDEX(ca_fam,MATCH(D2176,ca_name,0))&amp;"",""))</f>
        <v/>
      </c>
      <c r="H2176" s="58" t="str">
        <f>IF(OR(COUNTA(A2176:E2176)=0,D2176=""),"",IFERROR(INDEX(ca_type,MATCH(D2176,ca_name,0))&amp;"",""))</f>
        <v/>
      </c>
      <c r="I2176" s="58" t="str">
        <f>IF(COUNTA(A2176:E2176)=0,"",IF(N(A2176)&lt;=0,"Date manquante ou invalide",IF(B2176="","Équipe manquante",IF(ISNA(MATCH(B2176,eq_code,0)),"Équipe inconnue",IF(C2176="","Poste manquant",IF(ISNA(MATCH(C2176,po_code,0)),"Poste inconnu",IF(D2176="","Cause manquante",IF(ISNA(MATCH(D2176,ca_name,0)),"Cause inconnue",IF(H2176="","Cause à compléter dans Paramètres",IF(OR(NOT(ISNUMBER(E2176)),N(E2176)&lt;=0,N(E2176)&gt;1440),"Durée invalide",IF(COUNTIFS(sj_date,A2176,sj_eq,B2176,sj_po,C2176)=0,"Pas de saisie journalière ce jour-là","OK")))))))))))</f>
        <v/>
      </c>
      <c r="J2176">
        <f>IF(OR(I2176="OK",I2176="Pas de saisie journalière ce jour-là"),E2176,0)</f>
        <v>0.0</v>
      </c>
      <c r="K2176">
        <f>IF(AND(J2176&gt;0,A2176&gt;=p_from,A2176&lt;=p_to),1,0)</f>
        <v>0.0</v>
      </c>
      <c r="L2176">
        <f>IF(AND(K2176=1,OR(pa_po="",C2176=pa_po),OR(pa_eq="",B2176=pa_eq)),1,0)</f>
        <v>0.0</v>
      </c>
    </row>
    <row r="2177">
      <c r="A2177" s="51" t="n"/>
      <c r="B2177" s="52" t="n"/>
      <c r="C2177" s="52" t="n"/>
      <c r="D2177" s="53" t="n"/>
      <c r="E2177" s="60" t="n"/>
      <c r="F2177" s="53" t="n"/>
      <c r="G2177" s="61" t="str">
        <f>IF(OR(COUNTA(A2177:E2177)=0,D2177=""),"",IFERROR(INDEX(ca_fam,MATCH(D2177,ca_name,0))&amp;"",""))</f>
        <v/>
      </c>
      <c r="H2177" s="58" t="str">
        <f>IF(OR(COUNTA(A2177:E2177)=0,D2177=""),"",IFERROR(INDEX(ca_type,MATCH(D2177,ca_name,0))&amp;"",""))</f>
        <v/>
      </c>
      <c r="I2177" s="58" t="str">
        <f>IF(COUNTA(A2177:E2177)=0,"",IF(N(A2177)&lt;=0,"Date manquante ou invalide",IF(B2177="","Équipe manquante",IF(ISNA(MATCH(B2177,eq_code,0)),"Équipe inconnue",IF(C2177="","Poste manquant",IF(ISNA(MATCH(C2177,po_code,0)),"Poste inconnu",IF(D2177="","Cause manquante",IF(ISNA(MATCH(D2177,ca_name,0)),"Cause inconnue",IF(H2177="","Cause à compléter dans Paramètres",IF(OR(NOT(ISNUMBER(E2177)),N(E2177)&lt;=0,N(E2177)&gt;1440),"Durée invalide",IF(COUNTIFS(sj_date,A2177,sj_eq,B2177,sj_po,C2177)=0,"Pas de saisie journalière ce jour-là","OK")))))))))))</f>
        <v/>
      </c>
      <c r="J2177">
        <f>IF(OR(I2177="OK",I2177="Pas de saisie journalière ce jour-là"),E2177,0)</f>
        <v>0.0</v>
      </c>
      <c r="K2177">
        <f>IF(AND(J2177&gt;0,A2177&gt;=p_from,A2177&lt;=p_to),1,0)</f>
        <v>0.0</v>
      </c>
      <c r="L2177">
        <f>IF(AND(K2177=1,OR(pa_po="",C2177=pa_po),OR(pa_eq="",B2177=pa_eq)),1,0)</f>
        <v>0.0</v>
      </c>
    </row>
    <row r="2178">
      <c r="A2178" s="51" t="n"/>
      <c r="B2178" s="52" t="n"/>
      <c r="C2178" s="52" t="n"/>
      <c r="D2178" s="53" t="n"/>
      <c r="E2178" s="60" t="n"/>
      <c r="F2178" s="53" t="n"/>
      <c r="G2178" s="61" t="str">
        <f>IF(OR(COUNTA(A2178:E2178)=0,D2178=""),"",IFERROR(INDEX(ca_fam,MATCH(D2178,ca_name,0))&amp;"",""))</f>
        <v/>
      </c>
      <c r="H2178" s="58" t="str">
        <f>IF(OR(COUNTA(A2178:E2178)=0,D2178=""),"",IFERROR(INDEX(ca_type,MATCH(D2178,ca_name,0))&amp;"",""))</f>
        <v/>
      </c>
      <c r="I2178" s="58" t="str">
        <f>IF(COUNTA(A2178:E2178)=0,"",IF(N(A2178)&lt;=0,"Date manquante ou invalide",IF(B2178="","Équipe manquante",IF(ISNA(MATCH(B2178,eq_code,0)),"Équipe inconnue",IF(C2178="","Poste manquant",IF(ISNA(MATCH(C2178,po_code,0)),"Poste inconnu",IF(D2178="","Cause manquante",IF(ISNA(MATCH(D2178,ca_name,0)),"Cause inconnue",IF(H2178="","Cause à compléter dans Paramètres",IF(OR(NOT(ISNUMBER(E2178)),N(E2178)&lt;=0,N(E2178)&gt;1440),"Durée invalide",IF(COUNTIFS(sj_date,A2178,sj_eq,B2178,sj_po,C2178)=0,"Pas de saisie journalière ce jour-là","OK")))))))))))</f>
        <v/>
      </c>
      <c r="J2178">
        <f>IF(OR(I2178="OK",I2178="Pas de saisie journalière ce jour-là"),E2178,0)</f>
        <v>0.0</v>
      </c>
      <c r="K2178">
        <f>IF(AND(J2178&gt;0,A2178&gt;=p_from,A2178&lt;=p_to),1,0)</f>
        <v>0.0</v>
      </c>
      <c r="L2178">
        <f>IF(AND(K2178=1,OR(pa_po="",C2178=pa_po),OR(pa_eq="",B2178=pa_eq)),1,0)</f>
        <v>0.0</v>
      </c>
    </row>
    <row r="2179">
      <c r="A2179" s="51" t="n"/>
      <c r="B2179" s="52" t="n"/>
      <c r="C2179" s="52" t="n"/>
      <c r="D2179" s="53" t="n"/>
      <c r="E2179" s="60" t="n"/>
      <c r="F2179" s="53" t="n"/>
      <c r="G2179" s="61" t="str">
        <f>IF(OR(COUNTA(A2179:E2179)=0,D2179=""),"",IFERROR(INDEX(ca_fam,MATCH(D2179,ca_name,0))&amp;"",""))</f>
        <v/>
      </c>
      <c r="H2179" s="58" t="str">
        <f>IF(OR(COUNTA(A2179:E2179)=0,D2179=""),"",IFERROR(INDEX(ca_type,MATCH(D2179,ca_name,0))&amp;"",""))</f>
        <v/>
      </c>
      <c r="I2179" s="58" t="str">
        <f>IF(COUNTA(A2179:E2179)=0,"",IF(N(A2179)&lt;=0,"Date manquante ou invalide",IF(B2179="","Équipe manquante",IF(ISNA(MATCH(B2179,eq_code,0)),"Équipe inconnue",IF(C2179="","Poste manquant",IF(ISNA(MATCH(C2179,po_code,0)),"Poste inconnu",IF(D2179="","Cause manquante",IF(ISNA(MATCH(D2179,ca_name,0)),"Cause inconnue",IF(H2179="","Cause à compléter dans Paramètres",IF(OR(NOT(ISNUMBER(E2179)),N(E2179)&lt;=0,N(E2179)&gt;1440),"Durée invalide",IF(COUNTIFS(sj_date,A2179,sj_eq,B2179,sj_po,C2179)=0,"Pas de saisie journalière ce jour-là","OK")))))))))))</f>
        <v/>
      </c>
      <c r="J2179">
        <f>IF(OR(I2179="OK",I2179="Pas de saisie journalière ce jour-là"),E2179,0)</f>
        <v>0.0</v>
      </c>
      <c r="K2179">
        <f>IF(AND(J2179&gt;0,A2179&gt;=p_from,A2179&lt;=p_to),1,0)</f>
        <v>0.0</v>
      </c>
      <c r="L2179">
        <f>IF(AND(K2179=1,OR(pa_po="",C2179=pa_po),OR(pa_eq="",B2179=pa_eq)),1,0)</f>
        <v>0.0</v>
      </c>
    </row>
    <row r="2180">
      <c r="A2180" s="51" t="n"/>
      <c r="B2180" s="52" t="n"/>
      <c r="C2180" s="52" t="n"/>
      <c r="D2180" s="53" t="n"/>
      <c r="E2180" s="60" t="n"/>
      <c r="F2180" s="53" t="n"/>
      <c r="G2180" s="61" t="str">
        <f>IF(OR(COUNTA(A2180:E2180)=0,D2180=""),"",IFERROR(INDEX(ca_fam,MATCH(D2180,ca_name,0))&amp;"",""))</f>
        <v/>
      </c>
      <c r="H2180" s="58" t="str">
        <f>IF(OR(COUNTA(A2180:E2180)=0,D2180=""),"",IFERROR(INDEX(ca_type,MATCH(D2180,ca_name,0))&amp;"",""))</f>
        <v/>
      </c>
      <c r="I2180" s="58" t="str">
        <f>IF(COUNTA(A2180:E2180)=0,"",IF(N(A2180)&lt;=0,"Date manquante ou invalide",IF(B2180="","Équipe manquante",IF(ISNA(MATCH(B2180,eq_code,0)),"Équipe inconnue",IF(C2180="","Poste manquant",IF(ISNA(MATCH(C2180,po_code,0)),"Poste inconnu",IF(D2180="","Cause manquante",IF(ISNA(MATCH(D2180,ca_name,0)),"Cause inconnue",IF(H2180="","Cause à compléter dans Paramètres",IF(OR(NOT(ISNUMBER(E2180)),N(E2180)&lt;=0,N(E2180)&gt;1440),"Durée invalide",IF(COUNTIFS(sj_date,A2180,sj_eq,B2180,sj_po,C2180)=0,"Pas de saisie journalière ce jour-là","OK")))))))))))</f>
        <v/>
      </c>
      <c r="J2180">
        <f>IF(OR(I2180="OK",I2180="Pas de saisie journalière ce jour-là"),E2180,0)</f>
        <v>0.0</v>
      </c>
      <c r="K2180">
        <f>IF(AND(J2180&gt;0,A2180&gt;=p_from,A2180&lt;=p_to),1,0)</f>
        <v>0.0</v>
      </c>
      <c r="L2180">
        <f>IF(AND(K2180=1,OR(pa_po="",C2180=pa_po),OR(pa_eq="",B2180=pa_eq)),1,0)</f>
        <v>0.0</v>
      </c>
    </row>
    <row r="2181">
      <c r="A2181" s="51" t="n"/>
      <c r="B2181" s="52" t="n"/>
      <c r="C2181" s="52" t="n"/>
      <c r="D2181" s="53" t="n"/>
      <c r="E2181" s="60" t="n"/>
      <c r="F2181" s="53" t="n"/>
      <c r="G2181" s="61" t="str">
        <f>IF(OR(COUNTA(A2181:E2181)=0,D2181=""),"",IFERROR(INDEX(ca_fam,MATCH(D2181,ca_name,0))&amp;"",""))</f>
        <v/>
      </c>
      <c r="H2181" s="58" t="str">
        <f>IF(OR(COUNTA(A2181:E2181)=0,D2181=""),"",IFERROR(INDEX(ca_type,MATCH(D2181,ca_name,0))&amp;"",""))</f>
        <v/>
      </c>
      <c r="I2181" s="58" t="str">
        <f>IF(COUNTA(A2181:E2181)=0,"",IF(N(A2181)&lt;=0,"Date manquante ou invalide",IF(B2181="","Équipe manquante",IF(ISNA(MATCH(B2181,eq_code,0)),"Équipe inconnue",IF(C2181="","Poste manquant",IF(ISNA(MATCH(C2181,po_code,0)),"Poste inconnu",IF(D2181="","Cause manquante",IF(ISNA(MATCH(D2181,ca_name,0)),"Cause inconnue",IF(H2181="","Cause à compléter dans Paramètres",IF(OR(NOT(ISNUMBER(E2181)),N(E2181)&lt;=0,N(E2181)&gt;1440),"Durée invalide",IF(COUNTIFS(sj_date,A2181,sj_eq,B2181,sj_po,C2181)=0,"Pas de saisie journalière ce jour-là","OK")))))))))))</f>
        <v/>
      </c>
      <c r="J2181">
        <f>IF(OR(I2181="OK",I2181="Pas de saisie journalière ce jour-là"),E2181,0)</f>
        <v>0.0</v>
      </c>
      <c r="K2181">
        <f>IF(AND(J2181&gt;0,A2181&gt;=p_from,A2181&lt;=p_to),1,0)</f>
        <v>0.0</v>
      </c>
      <c r="L2181">
        <f>IF(AND(K2181=1,OR(pa_po="",C2181=pa_po),OR(pa_eq="",B2181=pa_eq)),1,0)</f>
        <v>0.0</v>
      </c>
    </row>
    <row r="2182">
      <c r="A2182" s="51" t="n"/>
      <c r="B2182" s="52" t="n"/>
      <c r="C2182" s="52" t="n"/>
      <c r="D2182" s="53" t="n"/>
      <c r="E2182" s="60" t="n"/>
      <c r="F2182" s="53" t="n"/>
      <c r="G2182" s="61" t="str">
        <f>IF(OR(COUNTA(A2182:E2182)=0,D2182=""),"",IFERROR(INDEX(ca_fam,MATCH(D2182,ca_name,0))&amp;"",""))</f>
        <v/>
      </c>
      <c r="H2182" s="58" t="str">
        <f>IF(OR(COUNTA(A2182:E2182)=0,D2182=""),"",IFERROR(INDEX(ca_type,MATCH(D2182,ca_name,0))&amp;"",""))</f>
        <v/>
      </c>
      <c r="I2182" s="58" t="str">
        <f>IF(COUNTA(A2182:E2182)=0,"",IF(N(A2182)&lt;=0,"Date manquante ou invalide",IF(B2182="","Équipe manquante",IF(ISNA(MATCH(B2182,eq_code,0)),"Équipe inconnue",IF(C2182="","Poste manquant",IF(ISNA(MATCH(C2182,po_code,0)),"Poste inconnu",IF(D2182="","Cause manquante",IF(ISNA(MATCH(D2182,ca_name,0)),"Cause inconnue",IF(H2182="","Cause à compléter dans Paramètres",IF(OR(NOT(ISNUMBER(E2182)),N(E2182)&lt;=0,N(E2182)&gt;1440),"Durée invalide",IF(COUNTIFS(sj_date,A2182,sj_eq,B2182,sj_po,C2182)=0,"Pas de saisie journalière ce jour-là","OK")))))))))))</f>
        <v/>
      </c>
      <c r="J2182">
        <f>IF(OR(I2182="OK",I2182="Pas de saisie journalière ce jour-là"),E2182,0)</f>
        <v>0.0</v>
      </c>
      <c r="K2182">
        <f>IF(AND(J2182&gt;0,A2182&gt;=p_from,A2182&lt;=p_to),1,0)</f>
        <v>0.0</v>
      </c>
      <c r="L2182">
        <f>IF(AND(K2182=1,OR(pa_po="",C2182=pa_po),OR(pa_eq="",B2182=pa_eq)),1,0)</f>
        <v>0.0</v>
      </c>
    </row>
    <row r="2183">
      <c r="A2183" s="51" t="n"/>
      <c r="B2183" s="52" t="n"/>
      <c r="C2183" s="52" t="n"/>
      <c r="D2183" s="53" t="n"/>
      <c r="E2183" s="60" t="n"/>
      <c r="F2183" s="53" t="n"/>
      <c r="G2183" s="61" t="str">
        <f>IF(OR(COUNTA(A2183:E2183)=0,D2183=""),"",IFERROR(INDEX(ca_fam,MATCH(D2183,ca_name,0))&amp;"",""))</f>
        <v/>
      </c>
      <c r="H2183" s="58" t="str">
        <f>IF(OR(COUNTA(A2183:E2183)=0,D2183=""),"",IFERROR(INDEX(ca_type,MATCH(D2183,ca_name,0))&amp;"",""))</f>
        <v/>
      </c>
      <c r="I2183" s="58" t="str">
        <f>IF(COUNTA(A2183:E2183)=0,"",IF(N(A2183)&lt;=0,"Date manquante ou invalide",IF(B2183="","Équipe manquante",IF(ISNA(MATCH(B2183,eq_code,0)),"Équipe inconnue",IF(C2183="","Poste manquant",IF(ISNA(MATCH(C2183,po_code,0)),"Poste inconnu",IF(D2183="","Cause manquante",IF(ISNA(MATCH(D2183,ca_name,0)),"Cause inconnue",IF(H2183="","Cause à compléter dans Paramètres",IF(OR(NOT(ISNUMBER(E2183)),N(E2183)&lt;=0,N(E2183)&gt;1440),"Durée invalide",IF(COUNTIFS(sj_date,A2183,sj_eq,B2183,sj_po,C2183)=0,"Pas de saisie journalière ce jour-là","OK")))))))))))</f>
        <v/>
      </c>
      <c r="J2183">
        <f>IF(OR(I2183="OK",I2183="Pas de saisie journalière ce jour-là"),E2183,0)</f>
        <v>0.0</v>
      </c>
      <c r="K2183">
        <f>IF(AND(J2183&gt;0,A2183&gt;=p_from,A2183&lt;=p_to),1,0)</f>
        <v>0.0</v>
      </c>
      <c r="L2183">
        <f>IF(AND(K2183=1,OR(pa_po="",C2183=pa_po),OR(pa_eq="",B2183=pa_eq)),1,0)</f>
        <v>0.0</v>
      </c>
    </row>
    <row r="2184">
      <c r="A2184" s="51" t="n"/>
      <c r="B2184" s="52" t="n"/>
      <c r="C2184" s="52" t="n"/>
      <c r="D2184" s="53" t="n"/>
      <c r="E2184" s="60" t="n"/>
      <c r="F2184" s="53" t="n"/>
      <c r="G2184" s="61" t="str">
        <f>IF(OR(COUNTA(A2184:E2184)=0,D2184=""),"",IFERROR(INDEX(ca_fam,MATCH(D2184,ca_name,0))&amp;"",""))</f>
        <v/>
      </c>
      <c r="H2184" s="58" t="str">
        <f>IF(OR(COUNTA(A2184:E2184)=0,D2184=""),"",IFERROR(INDEX(ca_type,MATCH(D2184,ca_name,0))&amp;"",""))</f>
        <v/>
      </c>
      <c r="I2184" s="58" t="str">
        <f>IF(COUNTA(A2184:E2184)=0,"",IF(N(A2184)&lt;=0,"Date manquante ou invalide",IF(B2184="","Équipe manquante",IF(ISNA(MATCH(B2184,eq_code,0)),"Équipe inconnue",IF(C2184="","Poste manquant",IF(ISNA(MATCH(C2184,po_code,0)),"Poste inconnu",IF(D2184="","Cause manquante",IF(ISNA(MATCH(D2184,ca_name,0)),"Cause inconnue",IF(H2184="","Cause à compléter dans Paramètres",IF(OR(NOT(ISNUMBER(E2184)),N(E2184)&lt;=0,N(E2184)&gt;1440),"Durée invalide",IF(COUNTIFS(sj_date,A2184,sj_eq,B2184,sj_po,C2184)=0,"Pas de saisie journalière ce jour-là","OK")))))))))))</f>
        <v/>
      </c>
      <c r="J2184">
        <f>IF(OR(I2184="OK",I2184="Pas de saisie journalière ce jour-là"),E2184,0)</f>
        <v>0.0</v>
      </c>
      <c r="K2184">
        <f>IF(AND(J2184&gt;0,A2184&gt;=p_from,A2184&lt;=p_to),1,0)</f>
        <v>0.0</v>
      </c>
      <c r="L2184">
        <f>IF(AND(K2184=1,OR(pa_po="",C2184=pa_po),OR(pa_eq="",B2184=pa_eq)),1,0)</f>
        <v>0.0</v>
      </c>
    </row>
    <row r="2185">
      <c r="A2185" s="51" t="n"/>
      <c r="B2185" s="52" t="n"/>
      <c r="C2185" s="52" t="n"/>
      <c r="D2185" s="53" t="n"/>
      <c r="E2185" s="60" t="n"/>
      <c r="F2185" s="53" t="n"/>
      <c r="G2185" s="61" t="str">
        <f>IF(OR(COUNTA(A2185:E2185)=0,D2185=""),"",IFERROR(INDEX(ca_fam,MATCH(D2185,ca_name,0))&amp;"",""))</f>
        <v/>
      </c>
      <c r="H2185" s="58" t="str">
        <f>IF(OR(COUNTA(A2185:E2185)=0,D2185=""),"",IFERROR(INDEX(ca_type,MATCH(D2185,ca_name,0))&amp;"",""))</f>
        <v/>
      </c>
      <c r="I2185" s="58" t="str">
        <f>IF(COUNTA(A2185:E2185)=0,"",IF(N(A2185)&lt;=0,"Date manquante ou invalide",IF(B2185="","Équipe manquante",IF(ISNA(MATCH(B2185,eq_code,0)),"Équipe inconnue",IF(C2185="","Poste manquant",IF(ISNA(MATCH(C2185,po_code,0)),"Poste inconnu",IF(D2185="","Cause manquante",IF(ISNA(MATCH(D2185,ca_name,0)),"Cause inconnue",IF(H2185="","Cause à compléter dans Paramètres",IF(OR(NOT(ISNUMBER(E2185)),N(E2185)&lt;=0,N(E2185)&gt;1440),"Durée invalide",IF(COUNTIFS(sj_date,A2185,sj_eq,B2185,sj_po,C2185)=0,"Pas de saisie journalière ce jour-là","OK")))))))))))</f>
        <v/>
      </c>
      <c r="J2185">
        <f>IF(OR(I2185="OK",I2185="Pas de saisie journalière ce jour-là"),E2185,0)</f>
        <v>0.0</v>
      </c>
      <c r="K2185">
        <f>IF(AND(J2185&gt;0,A2185&gt;=p_from,A2185&lt;=p_to),1,0)</f>
        <v>0.0</v>
      </c>
      <c r="L2185">
        <f>IF(AND(K2185=1,OR(pa_po="",C2185=pa_po),OR(pa_eq="",B2185=pa_eq)),1,0)</f>
        <v>0.0</v>
      </c>
    </row>
    <row r="2186">
      <c r="A2186" s="51" t="n"/>
      <c r="B2186" s="52" t="n"/>
      <c r="C2186" s="52" t="n"/>
      <c r="D2186" s="53" t="n"/>
      <c r="E2186" s="60" t="n"/>
      <c r="F2186" s="53" t="n"/>
      <c r="G2186" s="61" t="str">
        <f>IF(OR(COUNTA(A2186:E2186)=0,D2186=""),"",IFERROR(INDEX(ca_fam,MATCH(D2186,ca_name,0))&amp;"",""))</f>
        <v/>
      </c>
      <c r="H2186" s="58" t="str">
        <f>IF(OR(COUNTA(A2186:E2186)=0,D2186=""),"",IFERROR(INDEX(ca_type,MATCH(D2186,ca_name,0))&amp;"",""))</f>
        <v/>
      </c>
      <c r="I2186" s="58" t="str">
        <f>IF(COUNTA(A2186:E2186)=0,"",IF(N(A2186)&lt;=0,"Date manquante ou invalide",IF(B2186="","Équipe manquante",IF(ISNA(MATCH(B2186,eq_code,0)),"Équipe inconnue",IF(C2186="","Poste manquant",IF(ISNA(MATCH(C2186,po_code,0)),"Poste inconnu",IF(D2186="","Cause manquante",IF(ISNA(MATCH(D2186,ca_name,0)),"Cause inconnue",IF(H2186="","Cause à compléter dans Paramètres",IF(OR(NOT(ISNUMBER(E2186)),N(E2186)&lt;=0,N(E2186)&gt;1440),"Durée invalide",IF(COUNTIFS(sj_date,A2186,sj_eq,B2186,sj_po,C2186)=0,"Pas de saisie journalière ce jour-là","OK")))))))))))</f>
        <v/>
      </c>
      <c r="J2186">
        <f>IF(OR(I2186="OK",I2186="Pas de saisie journalière ce jour-là"),E2186,0)</f>
        <v>0.0</v>
      </c>
      <c r="K2186">
        <f>IF(AND(J2186&gt;0,A2186&gt;=p_from,A2186&lt;=p_to),1,0)</f>
        <v>0.0</v>
      </c>
      <c r="L2186">
        <f>IF(AND(K2186=1,OR(pa_po="",C2186=pa_po),OR(pa_eq="",B2186=pa_eq)),1,0)</f>
        <v>0.0</v>
      </c>
    </row>
    <row r="2187">
      <c r="A2187" s="51" t="n"/>
      <c r="B2187" s="52" t="n"/>
      <c r="C2187" s="52" t="n"/>
      <c r="D2187" s="53" t="n"/>
      <c r="E2187" s="60" t="n"/>
      <c r="F2187" s="53" t="n"/>
      <c r="G2187" s="61" t="str">
        <f>IF(OR(COUNTA(A2187:E2187)=0,D2187=""),"",IFERROR(INDEX(ca_fam,MATCH(D2187,ca_name,0))&amp;"",""))</f>
        <v/>
      </c>
      <c r="H2187" s="58" t="str">
        <f>IF(OR(COUNTA(A2187:E2187)=0,D2187=""),"",IFERROR(INDEX(ca_type,MATCH(D2187,ca_name,0))&amp;"",""))</f>
        <v/>
      </c>
      <c r="I2187" s="58" t="str">
        <f>IF(COUNTA(A2187:E2187)=0,"",IF(N(A2187)&lt;=0,"Date manquante ou invalide",IF(B2187="","Équipe manquante",IF(ISNA(MATCH(B2187,eq_code,0)),"Équipe inconnue",IF(C2187="","Poste manquant",IF(ISNA(MATCH(C2187,po_code,0)),"Poste inconnu",IF(D2187="","Cause manquante",IF(ISNA(MATCH(D2187,ca_name,0)),"Cause inconnue",IF(H2187="","Cause à compléter dans Paramètres",IF(OR(NOT(ISNUMBER(E2187)),N(E2187)&lt;=0,N(E2187)&gt;1440),"Durée invalide",IF(COUNTIFS(sj_date,A2187,sj_eq,B2187,sj_po,C2187)=0,"Pas de saisie journalière ce jour-là","OK")))))))))))</f>
        <v/>
      </c>
      <c r="J2187">
        <f>IF(OR(I2187="OK",I2187="Pas de saisie journalière ce jour-là"),E2187,0)</f>
        <v>0.0</v>
      </c>
      <c r="K2187">
        <f>IF(AND(J2187&gt;0,A2187&gt;=p_from,A2187&lt;=p_to),1,0)</f>
        <v>0.0</v>
      </c>
      <c r="L2187">
        <f>IF(AND(K2187=1,OR(pa_po="",C2187=pa_po),OR(pa_eq="",B2187=pa_eq)),1,0)</f>
        <v>0.0</v>
      </c>
    </row>
    <row r="2188">
      <c r="A2188" s="51" t="n"/>
      <c r="B2188" s="52" t="n"/>
      <c r="C2188" s="52" t="n"/>
      <c r="D2188" s="53" t="n"/>
      <c r="E2188" s="60" t="n"/>
      <c r="F2188" s="53" t="n"/>
      <c r="G2188" s="61" t="str">
        <f>IF(OR(COUNTA(A2188:E2188)=0,D2188=""),"",IFERROR(INDEX(ca_fam,MATCH(D2188,ca_name,0))&amp;"",""))</f>
        <v/>
      </c>
      <c r="H2188" s="58" t="str">
        <f>IF(OR(COUNTA(A2188:E2188)=0,D2188=""),"",IFERROR(INDEX(ca_type,MATCH(D2188,ca_name,0))&amp;"",""))</f>
        <v/>
      </c>
      <c r="I2188" s="58" t="str">
        <f>IF(COUNTA(A2188:E2188)=0,"",IF(N(A2188)&lt;=0,"Date manquante ou invalide",IF(B2188="","Équipe manquante",IF(ISNA(MATCH(B2188,eq_code,0)),"Équipe inconnue",IF(C2188="","Poste manquant",IF(ISNA(MATCH(C2188,po_code,0)),"Poste inconnu",IF(D2188="","Cause manquante",IF(ISNA(MATCH(D2188,ca_name,0)),"Cause inconnue",IF(H2188="","Cause à compléter dans Paramètres",IF(OR(NOT(ISNUMBER(E2188)),N(E2188)&lt;=0,N(E2188)&gt;1440),"Durée invalide",IF(COUNTIFS(sj_date,A2188,sj_eq,B2188,sj_po,C2188)=0,"Pas de saisie journalière ce jour-là","OK")))))))))))</f>
        <v/>
      </c>
      <c r="J2188">
        <f>IF(OR(I2188="OK",I2188="Pas de saisie journalière ce jour-là"),E2188,0)</f>
        <v>0.0</v>
      </c>
      <c r="K2188">
        <f>IF(AND(J2188&gt;0,A2188&gt;=p_from,A2188&lt;=p_to),1,0)</f>
        <v>0.0</v>
      </c>
      <c r="L2188">
        <f>IF(AND(K2188=1,OR(pa_po="",C2188=pa_po),OR(pa_eq="",B2188=pa_eq)),1,0)</f>
        <v>0.0</v>
      </c>
    </row>
    <row r="2189">
      <c r="A2189" s="51" t="n"/>
      <c r="B2189" s="52" t="n"/>
      <c r="C2189" s="52" t="n"/>
      <c r="D2189" s="53" t="n"/>
      <c r="E2189" s="60" t="n"/>
      <c r="F2189" s="53" t="n"/>
      <c r="G2189" s="61" t="str">
        <f>IF(OR(COUNTA(A2189:E2189)=0,D2189=""),"",IFERROR(INDEX(ca_fam,MATCH(D2189,ca_name,0))&amp;"",""))</f>
        <v/>
      </c>
      <c r="H2189" s="58" t="str">
        <f>IF(OR(COUNTA(A2189:E2189)=0,D2189=""),"",IFERROR(INDEX(ca_type,MATCH(D2189,ca_name,0))&amp;"",""))</f>
        <v/>
      </c>
      <c r="I2189" s="58" t="str">
        <f>IF(COUNTA(A2189:E2189)=0,"",IF(N(A2189)&lt;=0,"Date manquante ou invalide",IF(B2189="","Équipe manquante",IF(ISNA(MATCH(B2189,eq_code,0)),"Équipe inconnue",IF(C2189="","Poste manquant",IF(ISNA(MATCH(C2189,po_code,0)),"Poste inconnu",IF(D2189="","Cause manquante",IF(ISNA(MATCH(D2189,ca_name,0)),"Cause inconnue",IF(H2189="","Cause à compléter dans Paramètres",IF(OR(NOT(ISNUMBER(E2189)),N(E2189)&lt;=0,N(E2189)&gt;1440),"Durée invalide",IF(COUNTIFS(sj_date,A2189,sj_eq,B2189,sj_po,C2189)=0,"Pas de saisie journalière ce jour-là","OK")))))))))))</f>
        <v/>
      </c>
      <c r="J2189">
        <f>IF(OR(I2189="OK",I2189="Pas de saisie journalière ce jour-là"),E2189,0)</f>
        <v>0.0</v>
      </c>
      <c r="K2189">
        <f>IF(AND(J2189&gt;0,A2189&gt;=p_from,A2189&lt;=p_to),1,0)</f>
        <v>0.0</v>
      </c>
      <c r="L2189">
        <f>IF(AND(K2189=1,OR(pa_po="",C2189=pa_po),OR(pa_eq="",B2189=pa_eq)),1,0)</f>
        <v>0.0</v>
      </c>
    </row>
    <row r="2190">
      <c r="A2190" s="51" t="n"/>
      <c r="B2190" s="52" t="n"/>
      <c r="C2190" s="52" t="n"/>
      <c r="D2190" s="53" t="n"/>
      <c r="E2190" s="60" t="n"/>
      <c r="F2190" s="53" t="n"/>
      <c r="G2190" s="61" t="str">
        <f>IF(OR(COUNTA(A2190:E2190)=0,D2190=""),"",IFERROR(INDEX(ca_fam,MATCH(D2190,ca_name,0))&amp;"",""))</f>
        <v/>
      </c>
      <c r="H2190" s="58" t="str">
        <f>IF(OR(COUNTA(A2190:E2190)=0,D2190=""),"",IFERROR(INDEX(ca_type,MATCH(D2190,ca_name,0))&amp;"",""))</f>
        <v/>
      </c>
      <c r="I2190" s="58" t="str">
        <f>IF(COUNTA(A2190:E2190)=0,"",IF(N(A2190)&lt;=0,"Date manquante ou invalide",IF(B2190="","Équipe manquante",IF(ISNA(MATCH(B2190,eq_code,0)),"Équipe inconnue",IF(C2190="","Poste manquant",IF(ISNA(MATCH(C2190,po_code,0)),"Poste inconnu",IF(D2190="","Cause manquante",IF(ISNA(MATCH(D2190,ca_name,0)),"Cause inconnue",IF(H2190="","Cause à compléter dans Paramètres",IF(OR(NOT(ISNUMBER(E2190)),N(E2190)&lt;=0,N(E2190)&gt;1440),"Durée invalide",IF(COUNTIFS(sj_date,A2190,sj_eq,B2190,sj_po,C2190)=0,"Pas de saisie journalière ce jour-là","OK")))))))))))</f>
        <v/>
      </c>
      <c r="J2190">
        <f>IF(OR(I2190="OK",I2190="Pas de saisie journalière ce jour-là"),E2190,0)</f>
        <v>0.0</v>
      </c>
      <c r="K2190">
        <f>IF(AND(J2190&gt;0,A2190&gt;=p_from,A2190&lt;=p_to),1,0)</f>
        <v>0.0</v>
      </c>
      <c r="L2190">
        <f>IF(AND(K2190=1,OR(pa_po="",C2190=pa_po),OR(pa_eq="",B2190=pa_eq)),1,0)</f>
        <v>0.0</v>
      </c>
    </row>
    <row r="2191">
      <c r="A2191" s="51" t="n"/>
      <c r="B2191" s="52" t="n"/>
      <c r="C2191" s="52" t="n"/>
      <c r="D2191" s="53" t="n"/>
      <c r="E2191" s="60" t="n"/>
      <c r="F2191" s="53" t="n"/>
      <c r="G2191" s="61" t="str">
        <f>IF(OR(COUNTA(A2191:E2191)=0,D2191=""),"",IFERROR(INDEX(ca_fam,MATCH(D2191,ca_name,0))&amp;"",""))</f>
        <v/>
      </c>
      <c r="H2191" s="58" t="str">
        <f>IF(OR(COUNTA(A2191:E2191)=0,D2191=""),"",IFERROR(INDEX(ca_type,MATCH(D2191,ca_name,0))&amp;"",""))</f>
        <v/>
      </c>
      <c r="I2191" s="58" t="str">
        <f>IF(COUNTA(A2191:E2191)=0,"",IF(N(A2191)&lt;=0,"Date manquante ou invalide",IF(B2191="","Équipe manquante",IF(ISNA(MATCH(B2191,eq_code,0)),"Équipe inconnue",IF(C2191="","Poste manquant",IF(ISNA(MATCH(C2191,po_code,0)),"Poste inconnu",IF(D2191="","Cause manquante",IF(ISNA(MATCH(D2191,ca_name,0)),"Cause inconnue",IF(H2191="","Cause à compléter dans Paramètres",IF(OR(NOT(ISNUMBER(E2191)),N(E2191)&lt;=0,N(E2191)&gt;1440),"Durée invalide",IF(COUNTIFS(sj_date,A2191,sj_eq,B2191,sj_po,C2191)=0,"Pas de saisie journalière ce jour-là","OK")))))))))))</f>
        <v/>
      </c>
      <c r="J2191">
        <f>IF(OR(I2191="OK",I2191="Pas de saisie journalière ce jour-là"),E2191,0)</f>
        <v>0.0</v>
      </c>
      <c r="K2191">
        <f>IF(AND(J2191&gt;0,A2191&gt;=p_from,A2191&lt;=p_to),1,0)</f>
        <v>0.0</v>
      </c>
      <c r="L2191">
        <f>IF(AND(K2191=1,OR(pa_po="",C2191=pa_po),OR(pa_eq="",B2191=pa_eq)),1,0)</f>
        <v>0.0</v>
      </c>
    </row>
    <row r="2192">
      <c r="A2192" s="51" t="n"/>
      <c r="B2192" s="52" t="n"/>
      <c r="C2192" s="52" t="n"/>
      <c r="D2192" s="53" t="n"/>
      <c r="E2192" s="60" t="n"/>
      <c r="F2192" s="53" t="n"/>
      <c r="G2192" s="61" t="str">
        <f>IF(OR(COUNTA(A2192:E2192)=0,D2192=""),"",IFERROR(INDEX(ca_fam,MATCH(D2192,ca_name,0))&amp;"",""))</f>
        <v/>
      </c>
      <c r="H2192" s="58" t="str">
        <f>IF(OR(COUNTA(A2192:E2192)=0,D2192=""),"",IFERROR(INDEX(ca_type,MATCH(D2192,ca_name,0))&amp;"",""))</f>
        <v/>
      </c>
      <c r="I2192" s="58" t="str">
        <f>IF(COUNTA(A2192:E2192)=0,"",IF(N(A2192)&lt;=0,"Date manquante ou invalide",IF(B2192="","Équipe manquante",IF(ISNA(MATCH(B2192,eq_code,0)),"Équipe inconnue",IF(C2192="","Poste manquant",IF(ISNA(MATCH(C2192,po_code,0)),"Poste inconnu",IF(D2192="","Cause manquante",IF(ISNA(MATCH(D2192,ca_name,0)),"Cause inconnue",IF(H2192="","Cause à compléter dans Paramètres",IF(OR(NOT(ISNUMBER(E2192)),N(E2192)&lt;=0,N(E2192)&gt;1440),"Durée invalide",IF(COUNTIFS(sj_date,A2192,sj_eq,B2192,sj_po,C2192)=0,"Pas de saisie journalière ce jour-là","OK")))))))))))</f>
        <v/>
      </c>
      <c r="J2192">
        <f>IF(OR(I2192="OK",I2192="Pas de saisie journalière ce jour-là"),E2192,0)</f>
        <v>0.0</v>
      </c>
      <c r="K2192">
        <f>IF(AND(J2192&gt;0,A2192&gt;=p_from,A2192&lt;=p_to),1,0)</f>
        <v>0.0</v>
      </c>
      <c r="L2192">
        <f>IF(AND(K2192=1,OR(pa_po="",C2192=pa_po),OR(pa_eq="",B2192=pa_eq)),1,0)</f>
        <v>0.0</v>
      </c>
    </row>
    <row r="2193">
      <c r="A2193" s="51" t="n"/>
      <c r="B2193" s="52" t="n"/>
      <c r="C2193" s="52" t="n"/>
      <c r="D2193" s="53" t="n"/>
      <c r="E2193" s="60" t="n"/>
      <c r="F2193" s="53" t="n"/>
      <c r="G2193" s="61" t="str">
        <f>IF(OR(COUNTA(A2193:E2193)=0,D2193=""),"",IFERROR(INDEX(ca_fam,MATCH(D2193,ca_name,0))&amp;"",""))</f>
        <v/>
      </c>
      <c r="H2193" s="58" t="str">
        <f>IF(OR(COUNTA(A2193:E2193)=0,D2193=""),"",IFERROR(INDEX(ca_type,MATCH(D2193,ca_name,0))&amp;"",""))</f>
        <v/>
      </c>
      <c r="I2193" s="58" t="str">
        <f>IF(COUNTA(A2193:E2193)=0,"",IF(N(A2193)&lt;=0,"Date manquante ou invalide",IF(B2193="","Équipe manquante",IF(ISNA(MATCH(B2193,eq_code,0)),"Équipe inconnue",IF(C2193="","Poste manquant",IF(ISNA(MATCH(C2193,po_code,0)),"Poste inconnu",IF(D2193="","Cause manquante",IF(ISNA(MATCH(D2193,ca_name,0)),"Cause inconnue",IF(H2193="","Cause à compléter dans Paramètres",IF(OR(NOT(ISNUMBER(E2193)),N(E2193)&lt;=0,N(E2193)&gt;1440),"Durée invalide",IF(COUNTIFS(sj_date,A2193,sj_eq,B2193,sj_po,C2193)=0,"Pas de saisie journalière ce jour-là","OK")))))))))))</f>
        <v/>
      </c>
      <c r="J2193">
        <f>IF(OR(I2193="OK",I2193="Pas de saisie journalière ce jour-là"),E2193,0)</f>
        <v>0.0</v>
      </c>
      <c r="K2193">
        <f>IF(AND(J2193&gt;0,A2193&gt;=p_from,A2193&lt;=p_to),1,0)</f>
        <v>0.0</v>
      </c>
      <c r="L2193">
        <f>IF(AND(K2193=1,OR(pa_po="",C2193=pa_po),OR(pa_eq="",B2193=pa_eq)),1,0)</f>
        <v>0.0</v>
      </c>
    </row>
    <row r="2194">
      <c r="A2194" s="51" t="n"/>
      <c r="B2194" s="52" t="n"/>
      <c r="C2194" s="52" t="n"/>
      <c r="D2194" s="53" t="n"/>
      <c r="E2194" s="60" t="n"/>
      <c r="F2194" s="53" t="n"/>
      <c r="G2194" s="61" t="str">
        <f>IF(OR(COUNTA(A2194:E2194)=0,D2194=""),"",IFERROR(INDEX(ca_fam,MATCH(D2194,ca_name,0))&amp;"",""))</f>
        <v/>
      </c>
      <c r="H2194" s="58" t="str">
        <f>IF(OR(COUNTA(A2194:E2194)=0,D2194=""),"",IFERROR(INDEX(ca_type,MATCH(D2194,ca_name,0))&amp;"",""))</f>
        <v/>
      </c>
      <c r="I2194" s="58" t="str">
        <f>IF(COUNTA(A2194:E2194)=0,"",IF(N(A2194)&lt;=0,"Date manquante ou invalide",IF(B2194="","Équipe manquante",IF(ISNA(MATCH(B2194,eq_code,0)),"Équipe inconnue",IF(C2194="","Poste manquant",IF(ISNA(MATCH(C2194,po_code,0)),"Poste inconnu",IF(D2194="","Cause manquante",IF(ISNA(MATCH(D2194,ca_name,0)),"Cause inconnue",IF(H2194="","Cause à compléter dans Paramètres",IF(OR(NOT(ISNUMBER(E2194)),N(E2194)&lt;=0,N(E2194)&gt;1440),"Durée invalide",IF(COUNTIFS(sj_date,A2194,sj_eq,B2194,sj_po,C2194)=0,"Pas de saisie journalière ce jour-là","OK")))))))))))</f>
        <v/>
      </c>
      <c r="J2194">
        <f>IF(OR(I2194="OK",I2194="Pas de saisie journalière ce jour-là"),E2194,0)</f>
        <v>0.0</v>
      </c>
      <c r="K2194">
        <f>IF(AND(J2194&gt;0,A2194&gt;=p_from,A2194&lt;=p_to),1,0)</f>
        <v>0.0</v>
      </c>
      <c r="L2194">
        <f>IF(AND(K2194=1,OR(pa_po="",C2194=pa_po),OR(pa_eq="",B2194=pa_eq)),1,0)</f>
        <v>0.0</v>
      </c>
    </row>
    <row r="2195">
      <c r="A2195" s="51" t="n"/>
      <c r="B2195" s="52" t="n"/>
      <c r="C2195" s="52" t="n"/>
      <c r="D2195" s="53" t="n"/>
      <c r="E2195" s="60" t="n"/>
      <c r="F2195" s="53" t="n"/>
      <c r="G2195" s="61" t="str">
        <f>IF(OR(COUNTA(A2195:E2195)=0,D2195=""),"",IFERROR(INDEX(ca_fam,MATCH(D2195,ca_name,0))&amp;"",""))</f>
        <v/>
      </c>
      <c r="H2195" s="58" t="str">
        <f>IF(OR(COUNTA(A2195:E2195)=0,D2195=""),"",IFERROR(INDEX(ca_type,MATCH(D2195,ca_name,0))&amp;"",""))</f>
        <v/>
      </c>
      <c r="I2195" s="58" t="str">
        <f>IF(COUNTA(A2195:E2195)=0,"",IF(N(A2195)&lt;=0,"Date manquante ou invalide",IF(B2195="","Équipe manquante",IF(ISNA(MATCH(B2195,eq_code,0)),"Équipe inconnue",IF(C2195="","Poste manquant",IF(ISNA(MATCH(C2195,po_code,0)),"Poste inconnu",IF(D2195="","Cause manquante",IF(ISNA(MATCH(D2195,ca_name,0)),"Cause inconnue",IF(H2195="","Cause à compléter dans Paramètres",IF(OR(NOT(ISNUMBER(E2195)),N(E2195)&lt;=0,N(E2195)&gt;1440),"Durée invalide",IF(COUNTIFS(sj_date,A2195,sj_eq,B2195,sj_po,C2195)=0,"Pas de saisie journalière ce jour-là","OK")))))))))))</f>
        <v/>
      </c>
      <c r="J2195">
        <f>IF(OR(I2195="OK",I2195="Pas de saisie journalière ce jour-là"),E2195,0)</f>
        <v>0.0</v>
      </c>
      <c r="K2195">
        <f>IF(AND(J2195&gt;0,A2195&gt;=p_from,A2195&lt;=p_to),1,0)</f>
        <v>0.0</v>
      </c>
      <c r="L2195">
        <f>IF(AND(K2195=1,OR(pa_po="",C2195=pa_po),OR(pa_eq="",B2195=pa_eq)),1,0)</f>
        <v>0.0</v>
      </c>
    </row>
    <row r="2196">
      <c r="A2196" s="51" t="n"/>
      <c r="B2196" s="52" t="n"/>
      <c r="C2196" s="52" t="n"/>
      <c r="D2196" s="53" t="n"/>
      <c r="E2196" s="60" t="n"/>
      <c r="F2196" s="53" t="n"/>
      <c r="G2196" s="61" t="str">
        <f>IF(OR(COUNTA(A2196:E2196)=0,D2196=""),"",IFERROR(INDEX(ca_fam,MATCH(D2196,ca_name,0))&amp;"",""))</f>
        <v/>
      </c>
      <c r="H2196" s="58" t="str">
        <f>IF(OR(COUNTA(A2196:E2196)=0,D2196=""),"",IFERROR(INDEX(ca_type,MATCH(D2196,ca_name,0))&amp;"",""))</f>
        <v/>
      </c>
      <c r="I2196" s="58" t="str">
        <f>IF(COUNTA(A2196:E2196)=0,"",IF(N(A2196)&lt;=0,"Date manquante ou invalide",IF(B2196="","Équipe manquante",IF(ISNA(MATCH(B2196,eq_code,0)),"Équipe inconnue",IF(C2196="","Poste manquant",IF(ISNA(MATCH(C2196,po_code,0)),"Poste inconnu",IF(D2196="","Cause manquante",IF(ISNA(MATCH(D2196,ca_name,0)),"Cause inconnue",IF(H2196="","Cause à compléter dans Paramètres",IF(OR(NOT(ISNUMBER(E2196)),N(E2196)&lt;=0,N(E2196)&gt;1440),"Durée invalide",IF(COUNTIFS(sj_date,A2196,sj_eq,B2196,sj_po,C2196)=0,"Pas de saisie journalière ce jour-là","OK")))))))))))</f>
        <v/>
      </c>
      <c r="J2196">
        <f>IF(OR(I2196="OK",I2196="Pas de saisie journalière ce jour-là"),E2196,0)</f>
        <v>0.0</v>
      </c>
      <c r="K2196">
        <f>IF(AND(J2196&gt;0,A2196&gt;=p_from,A2196&lt;=p_to),1,0)</f>
        <v>0.0</v>
      </c>
      <c r="L2196">
        <f>IF(AND(K2196=1,OR(pa_po="",C2196=pa_po),OR(pa_eq="",B2196=pa_eq)),1,0)</f>
        <v>0.0</v>
      </c>
    </row>
    <row r="2197">
      <c r="A2197" s="51" t="n"/>
      <c r="B2197" s="52" t="n"/>
      <c r="C2197" s="52" t="n"/>
      <c r="D2197" s="53" t="n"/>
      <c r="E2197" s="60" t="n"/>
      <c r="F2197" s="53" t="n"/>
      <c r="G2197" s="61" t="str">
        <f>IF(OR(COUNTA(A2197:E2197)=0,D2197=""),"",IFERROR(INDEX(ca_fam,MATCH(D2197,ca_name,0))&amp;"",""))</f>
        <v/>
      </c>
      <c r="H2197" s="58" t="str">
        <f>IF(OR(COUNTA(A2197:E2197)=0,D2197=""),"",IFERROR(INDEX(ca_type,MATCH(D2197,ca_name,0))&amp;"",""))</f>
        <v/>
      </c>
      <c r="I2197" s="58" t="str">
        <f>IF(COUNTA(A2197:E2197)=0,"",IF(N(A2197)&lt;=0,"Date manquante ou invalide",IF(B2197="","Équipe manquante",IF(ISNA(MATCH(B2197,eq_code,0)),"Équipe inconnue",IF(C2197="","Poste manquant",IF(ISNA(MATCH(C2197,po_code,0)),"Poste inconnu",IF(D2197="","Cause manquante",IF(ISNA(MATCH(D2197,ca_name,0)),"Cause inconnue",IF(H2197="","Cause à compléter dans Paramètres",IF(OR(NOT(ISNUMBER(E2197)),N(E2197)&lt;=0,N(E2197)&gt;1440),"Durée invalide",IF(COUNTIFS(sj_date,A2197,sj_eq,B2197,sj_po,C2197)=0,"Pas de saisie journalière ce jour-là","OK")))))))))))</f>
        <v/>
      </c>
      <c r="J2197">
        <f>IF(OR(I2197="OK",I2197="Pas de saisie journalière ce jour-là"),E2197,0)</f>
        <v>0.0</v>
      </c>
      <c r="K2197">
        <f>IF(AND(J2197&gt;0,A2197&gt;=p_from,A2197&lt;=p_to),1,0)</f>
        <v>0.0</v>
      </c>
      <c r="L2197">
        <f>IF(AND(K2197=1,OR(pa_po="",C2197=pa_po),OR(pa_eq="",B2197=pa_eq)),1,0)</f>
        <v>0.0</v>
      </c>
    </row>
    <row r="2198">
      <c r="A2198" s="51" t="n"/>
      <c r="B2198" s="52" t="n"/>
      <c r="C2198" s="52" t="n"/>
      <c r="D2198" s="53" t="n"/>
      <c r="E2198" s="60" t="n"/>
      <c r="F2198" s="53" t="n"/>
      <c r="G2198" s="61" t="str">
        <f>IF(OR(COUNTA(A2198:E2198)=0,D2198=""),"",IFERROR(INDEX(ca_fam,MATCH(D2198,ca_name,0))&amp;"",""))</f>
        <v/>
      </c>
      <c r="H2198" s="58" t="str">
        <f>IF(OR(COUNTA(A2198:E2198)=0,D2198=""),"",IFERROR(INDEX(ca_type,MATCH(D2198,ca_name,0))&amp;"",""))</f>
        <v/>
      </c>
      <c r="I2198" s="58" t="str">
        <f>IF(COUNTA(A2198:E2198)=0,"",IF(N(A2198)&lt;=0,"Date manquante ou invalide",IF(B2198="","Équipe manquante",IF(ISNA(MATCH(B2198,eq_code,0)),"Équipe inconnue",IF(C2198="","Poste manquant",IF(ISNA(MATCH(C2198,po_code,0)),"Poste inconnu",IF(D2198="","Cause manquante",IF(ISNA(MATCH(D2198,ca_name,0)),"Cause inconnue",IF(H2198="","Cause à compléter dans Paramètres",IF(OR(NOT(ISNUMBER(E2198)),N(E2198)&lt;=0,N(E2198)&gt;1440),"Durée invalide",IF(COUNTIFS(sj_date,A2198,sj_eq,B2198,sj_po,C2198)=0,"Pas de saisie journalière ce jour-là","OK")))))))))))</f>
        <v/>
      </c>
      <c r="J2198">
        <f>IF(OR(I2198="OK",I2198="Pas de saisie journalière ce jour-là"),E2198,0)</f>
        <v>0.0</v>
      </c>
      <c r="K2198">
        <f>IF(AND(J2198&gt;0,A2198&gt;=p_from,A2198&lt;=p_to),1,0)</f>
        <v>0.0</v>
      </c>
      <c r="L2198">
        <f>IF(AND(K2198=1,OR(pa_po="",C2198=pa_po),OR(pa_eq="",B2198=pa_eq)),1,0)</f>
        <v>0.0</v>
      </c>
    </row>
    <row r="2199">
      <c r="A2199" s="51" t="n"/>
      <c r="B2199" s="52" t="n"/>
      <c r="C2199" s="52" t="n"/>
      <c r="D2199" s="53" t="n"/>
      <c r="E2199" s="60" t="n"/>
      <c r="F2199" s="53" t="n"/>
      <c r="G2199" s="61" t="str">
        <f>IF(OR(COUNTA(A2199:E2199)=0,D2199=""),"",IFERROR(INDEX(ca_fam,MATCH(D2199,ca_name,0))&amp;"",""))</f>
        <v/>
      </c>
      <c r="H2199" s="58" t="str">
        <f>IF(OR(COUNTA(A2199:E2199)=0,D2199=""),"",IFERROR(INDEX(ca_type,MATCH(D2199,ca_name,0))&amp;"",""))</f>
        <v/>
      </c>
      <c r="I2199" s="58" t="str">
        <f>IF(COUNTA(A2199:E2199)=0,"",IF(N(A2199)&lt;=0,"Date manquante ou invalide",IF(B2199="","Équipe manquante",IF(ISNA(MATCH(B2199,eq_code,0)),"Équipe inconnue",IF(C2199="","Poste manquant",IF(ISNA(MATCH(C2199,po_code,0)),"Poste inconnu",IF(D2199="","Cause manquante",IF(ISNA(MATCH(D2199,ca_name,0)),"Cause inconnue",IF(H2199="","Cause à compléter dans Paramètres",IF(OR(NOT(ISNUMBER(E2199)),N(E2199)&lt;=0,N(E2199)&gt;1440),"Durée invalide",IF(COUNTIFS(sj_date,A2199,sj_eq,B2199,sj_po,C2199)=0,"Pas de saisie journalière ce jour-là","OK")))))))))))</f>
        <v/>
      </c>
      <c r="J2199">
        <f>IF(OR(I2199="OK",I2199="Pas de saisie journalière ce jour-là"),E2199,0)</f>
        <v>0.0</v>
      </c>
      <c r="K2199">
        <f>IF(AND(J2199&gt;0,A2199&gt;=p_from,A2199&lt;=p_to),1,0)</f>
        <v>0.0</v>
      </c>
      <c r="L2199">
        <f>IF(AND(K2199=1,OR(pa_po="",C2199=pa_po),OR(pa_eq="",B2199=pa_eq)),1,0)</f>
        <v>0.0</v>
      </c>
    </row>
    <row r="2200">
      <c r="A2200" s="51" t="n"/>
      <c r="B2200" s="52" t="n"/>
      <c r="C2200" s="52" t="n"/>
      <c r="D2200" s="53" t="n"/>
      <c r="E2200" s="60" t="n"/>
      <c r="F2200" s="53" t="n"/>
      <c r="G2200" s="61" t="str">
        <f>IF(OR(COUNTA(A2200:E2200)=0,D2200=""),"",IFERROR(INDEX(ca_fam,MATCH(D2200,ca_name,0))&amp;"",""))</f>
        <v/>
      </c>
      <c r="H2200" s="58" t="str">
        <f>IF(OR(COUNTA(A2200:E2200)=0,D2200=""),"",IFERROR(INDEX(ca_type,MATCH(D2200,ca_name,0))&amp;"",""))</f>
        <v/>
      </c>
      <c r="I2200" s="58" t="str">
        <f>IF(COUNTA(A2200:E2200)=0,"",IF(N(A2200)&lt;=0,"Date manquante ou invalide",IF(B2200="","Équipe manquante",IF(ISNA(MATCH(B2200,eq_code,0)),"Équipe inconnue",IF(C2200="","Poste manquant",IF(ISNA(MATCH(C2200,po_code,0)),"Poste inconnu",IF(D2200="","Cause manquante",IF(ISNA(MATCH(D2200,ca_name,0)),"Cause inconnue",IF(H2200="","Cause à compléter dans Paramètres",IF(OR(NOT(ISNUMBER(E2200)),N(E2200)&lt;=0,N(E2200)&gt;1440),"Durée invalide",IF(COUNTIFS(sj_date,A2200,sj_eq,B2200,sj_po,C2200)=0,"Pas de saisie journalière ce jour-là","OK")))))))))))</f>
        <v/>
      </c>
      <c r="J2200">
        <f>IF(OR(I2200="OK",I2200="Pas de saisie journalière ce jour-là"),E2200,0)</f>
        <v>0.0</v>
      </c>
      <c r="K2200">
        <f>IF(AND(J2200&gt;0,A2200&gt;=p_from,A2200&lt;=p_to),1,0)</f>
        <v>0.0</v>
      </c>
      <c r="L2200">
        <f>IF(AND(K2200=1,OR(pa_po="",C2200=pa_po),OR(pa_eq="",B2200=pa_eq)),1,0)</f>
        <v>0.0</v>
      </c>
    </row>
    <row r="2201">
      <c r="A2201" s="51" t="n"/>
      <c r="B2201" s="52" t="n"/>
      <c r="C2201" s="52" t="n"/>
      <c r="D2201" s="53" t="n"/>
      <c r="E2201" s="60" t="n"/>
      <c r="F2201" s="53" t="n"/>
      <c r="G2201" s="61" t="str">
        <f>IF(OR(COUNTA(A2201:E2201)=0,D2201=""),"",IFERROR(INDEX(ca_fam,MATCH(D2201,ca_name,0))&amp;"",""))</f>
        <v/>
      </c>
      <c r="H2201" s="58" t="str">
        <f>IF(OR(COUNTA(A2201:E2201)=0,D2201=""),"",IFERROR(INDEX(ca_type,MATCH(D2201,ca_name,0))&amp;"",""))</f>
        <v/>
      </c>
      <c r="I2201" s="58" t="str">
        <f>IF(COUNTA(A2201:E2201)=0,"",IF(N(A2201)&lt;=0,"Date manquante ou invalide",IF(B2201="","Équipe manquante",IF(ISNA(MATCH(B2201,eq_code,0)),"Équipe inconnue",IF(C2201="","Poste manquant",IF(ISNA(MATCH(C2201,po_code,0)),"Poste inconnu",IF(D2201="","Cause manquante",IF(ISNA(MATCH(D2201,ca_name,0)),"Cause inconnue",IF(H2201="","Cause à compléter dans Paramètres",IF(OR(NOT(ISNUMBER(E2201)),N(E2201)&lt;=0,N(E2201)&gt;1440),"Durée invalide",IF(COUNTIFS(sj_date,A2201,sj_eq,B2201,sj_po,C2201)=0,"Pas de saisie journalière ce jour-là","OK")))))))))))</f>
        <v/>
      </c>
      <c r="J2201">
        <f>IF(OR(I2201="OK",I2201="Pas de saisie journalière ce jour-là"),E2201,0)</f>
        <v>0.0</v>
      </c>
      <c r="K2201">
        <f>IF(AND(J2201&gt;0,A2201&gt;=p_from,A2201&lt;=p_to),1,0)</f>
        <v>0.0</v>
      </c>
      <c r="L2201">
        <f>IF(AND(K2201=1,OR(pa_po="",C2201=pa_po),OR(pa_eq="",B2201=pa_eq)),1,0)</f>
        <v>0.0</v>
      </c>
    </row>
    <row r="2202">
      <c r="A2202" s="51" t="n"/>
      <c r="B2202" s="52" t="n"/>
      <c r="C2202" s="52" t="n"/>
      <c r="D2202" s="53" t="n"/>
      <c r="E2202" s="60" t="n"/>
      <c r="F2202" s="53" t="n"/>
      <c r="G2202" s="61" t="str">
        <f>IF(OR(COUNTA(A2202:E2202)=0,D2202=""),"",IFERROR(INDEX(ca_fam,MATCH(D2202,ca_name,0))&amp;"",""))</f>
        <v/>
      </c>
      <c r="H2202" s="58" t="str">
        <f>IF(OR(COUNTA(A2202:E2202)=0,D2202=""),"",IFERROR(INDEX(ca_type,MATCH(D2202,ca_name,0))&amp;"",""))</f>
        <v/>
      </c>
      <c r="I2202" s="58" t="str">
        <f>IF(COUNTA(A2202:E2202)=0,"",IF(N(A2202)&lt;=0,"Date manquante ou invalide",IF(B2202="","Équipe manquante",IF(ISNA(MATCH(B2202,eq_code,0)),"Équipe inconnue",IF(C2202="","Poste manquant",IF(ISNA(MATCH(C2202,po_code,0)),"Poste inconnu",IF(D2202="","Cause manquante",IF(ISNA(MATCH(D2202,ca_name,0)),"Cause inconnue",IF(H2202="","Cause à compléter dans Paramètres",IF(OR(NOT(ISNUMBER(E2202)),N(E2202)&lt;=0,N(E2202)&gt;1440),"Durée invalide",IF(COUNTIFS(sj_date,A2202,sj_eq,B2202,sj_po,C2202)=0,"Pas de saisie journalière ce jour-là","OK")))))))))))</f>
        <v/>
      </c>
      <c r="J2202">
        <f>IF(OR(I2202="OK",I2202="Pas de saisie journalière ce jour-là"),E2202,0)</f>
        <v>0.0</v>
      </c>
      <c r="K2202">
        <f>IF(AND(J2202&gt;0,A2202&gt;=p_from,A2202&lt;=p_to),1,0)</f>
        <v>0.0</v>
      </c>
      <c r="L2202">
        <f>IF(AND(K2202=1,OR(pa_po="",C2202=pa_po),OR(pa_eq="",B2202=pa_eq)),1,0)</f>
        <v>0.0</v>
      </c>
    </row>
    <row r="2203">
      <c r="A2203" s="51" t="n"/>
      <c r="B2203" s="52" t="n"/>
      <c r="C2203" s="52" t="n"/>
      <c r="D2203" s="53" t="n"/>
      <c r="E2203" s="60" t="n"/>
      <c r="F2203" s="53" t="n"/>
      <c r="G2203" s="61" t="str">
        <f>IF(OR(COUNTA(A2203:E2203)=0,D2203=""),"",IFERROR(INDEX(ca_fam,MATCH(D2203,ca_name,0))&amp;"",""))</f>
        <v/>
      </c>
      <c r="H2203" s="58" t="str">
        <f>IF(OR(COUNTA(A2203:E2203)=0,D2203=""),"",IFERROR(INDEX(ca_type,MATCH(D2203,ca_name,0))&amp;"",""))</f>
        <v/>
      </c>
      <c r="I2203" s="58" t="str">
        <f>IF(COUNTA(A2203:E2203)=0,"",IF(N(A2203)&lt;=0,"Date manquante ou invalide",IF(B2203="","Équipe manquante",IF(ISNA(MATCH(B2203,eq_code,0)),"Équipe inconnue",IF(C2203="","Poste manquant",IF(ISNA(MATCH(C2203,po_code,0)),"Poste inconnu",IF(D2203="","Cause manquante",IF(ISNA(MATCH(D2203,ca_name,0)),"Cause inconnue",IF(H2203="","Cause à compléter dans Paramètres",IF(OR(NOT(ISNUMBER(E2203)),N(E2203)&lt;=0,N(E2203)&gt;1440),"Durée invalide",IF(COUNTIFS(sj_date,A2203,sj_eq,B2203,sj_po,C2203)=0,"Pas de saisie journalière ce jour-là","OK")))))))))))</f>
        <v/>
      </c>
      <c r="J2203">
        <f>IF(OR(I2203="OK",I2203="Pas de saisie journalière ce jour-là"),E2203,0)</f>
        <v>0.0</v>
      </c>
      <c r="K2203">
        <f>IF(AND(J2203&gt;0,A2203&gt;=p_from,A2203&lt;=p_to),1,0)</f>
        <v>0.0</v>
      </c>
      <c r="L2203">
        <f>IF(AND(K2203=1,OR(pa_po="",C2203=pa_po),OR(pa_eq="",B2203=pa_eq)),1,0)</f>
        <v>0.0</v>
      </c>
    </row>
    <row r="2204">
      <c r="A2204" s="51" t="n"/>
      <c r="B2204" s="52" t="n"/>
      <c r="C2204" s="52" t="n"/>
      <c r="D2204" s="53" t="n"/>
      <c r="E2204" s="60" t="n"/>
      <c r="F2204" s="53" t="n"/>
      <c r="G2204" s="61" t="str">
        <f>IF(OR(COUNTA(A2204:E2204)=0,D2204=""),"",IFERROR(INDEX(ca_fam,MATCH(D2204,ca_name,0))&amp;"",""))</f>
        <v/>
      </c>
      <c r="H2204" s="58" t="str">
        <f>IF(OR(COUNTA(A2204:E2204)=0,D2204=""),"",IFERROR(INDEX(ca_type,MATCH(D2204,ca_name,0))&amp;"",""))</f>
        <v/>
      </c>
      <c r="I2204" s="58" t="str">
        <f>IF(COUNTA(A2204:E2204)=0,"",IF(N(A2204)&lt;=0,"Date manquante ou invalide",IF(B2204="","Équipe manquante",IF(ISNA(MATCH(B2204,eq_code,0)),"Équipe inconnue",IF(C2204="","Poste manquant",IF(ISNA(MATCH(C2204,po_code,0)),"Poste inconnu",IF(D2204="","Cause manquante",IF(ISNA(MATCH(D2204,ca_name,0)),"Cause inconnue",IF(H2204="","Cause à compléter dans Paramètres",IF(OR(NOT(ISNUMBER(E2204)),N(E2204)&lt;=0,N(E2204)&gt;1440),"Durée invalide",IF(COUNTIFS(sj_date,A2204,sj_eq,B2204,sj_po,C2204)=0,"Pas de saisie journalière ce jour-là","OK")))))))))))</f>
        <v/>
      </c>
      <c r="J2204">
        <f>IF(OR(I2204="OK",I2204="Pas de saisie journalière ce jour-là"),E2204,0)</f>
        <v>0.0</v>
      </c>
      <c r="K2204">
        <f>IF(AND(J2204&gt;0,A2204&gt;=p_from,A2204&lt;=p_to),1,0)</f>
        <v>0.0</v>
      </c>
      <c r="L2204">
        <f>IF(AND(K2204=1,OR(pa_po="",C2204=pa_po),OR(pa_eq="",B2204=pa_eq)),1,0)</f>
        <v>0.0</v>
      </c>
    </row>
    <row r="2205">
      <c r="A2205" s="51" t="n"/>
      <c r="B2205" s="52" t="n"/>
      <c r="C2205" s="52" t="n"/>
      <c r="D2205" s="53" t="n"/>
      <c r="E2205" s="60" t="n"/>
      <c r="F2205" s="53" t="n"/>
      <c r="G2205" s="61" t="str">
        <f>IF(OR(COUNTA(A2205:E2205)=0,D2205=""),"",IFERROR(INDEX(ca_fam,MATCH(D2205,ca_name,0))&amp;"",""))</f>
        <v/>
      </c>
      <c r="H2205" s="58" t="str">
        <f>IF(OR(COUNTA(A2205:E2205)=0,D2205=""),"",IFERROR(INDEX(ca_type,MATCH(D2205,ca_name,0))&amp;"",""))</f>
        <v/>
      </c>
      <c r="I2205" s="58" t="str">
        <f>IF(COUNTA(A2205:E2205)=0,"",IF(N(A2205)&lt;=0,"Date manquante ou invalide",IF(B2205="","Équipe manquante",IF(ISNA(MATCH(B2205,eq_code,0)),"Équipe inconnue",IF(C2205="","Poste manquant",IF(ISNA(MATCH(C2205,po_code,0)),"Poste inconnu",IF(D2205="","Cause manquante",IF(ISNA(MATCH(D2205,ca_name,0)),"Cause inconnue",IF(H2205="","Cause à compléter dans Paramètres",IF(OR(NOT(ISNUMBER(E2205)),N(E2205)&lt;=0,N(E2205)&gt;1440),"Durée invalide",IF(COUNTIFS(sj_date,A2205,sj_eq,B2205,sj_po,C2205)=0,"Pas de saisie journalière ce jour-là","OK")))))))))))</f>
        <v/>
      </c>
      <c r="J2205">
        <f>IF(OR(I2205="OK",I2205="Pas de saisie journalière ce jour-là"),E2205,0)</f>
        <v>0.0</v>
      </c>
      <c r="K2205">
        <f>IF(AND(J2205&gt;0,A2205&gt;=p_from,A2205&lt;=p_to),1,0)</f>
        <v>0.0</v>
      </c>
      <c r="L2205">
        <f>IF(AND(K2205=1,OR(pa_po="",C2205=pa_po),OR(pa_eq="",B2205=pa_eq)),1,0)</f>
        <v>0.0</v>
      </c>
    </row>
    <row r="2206">
      <c r="A2206" s="51" t="n"/>
      <c r="B2206" s="52" t="n"/>
      <c r="C2206" s="52" t="n"/>
      <c r="D2206" s="53" t="n"/>
      <c r="E2206" s="60" t="n"/>
      <c r="F2206" s="53" t="n"/>
      <c r="G2206" s="61" t="str">
        <f>IF(OR(COUNTA(A2206:E2206)=0,D2206=""),"",IFERROR(INDEX(ca_fam,MATCH(D2206,ca_name,0))&amp;"",""))</f>
        <v/>
      </c>
      <c r="H2206" s="58" t="str">
        <f>IF(OR(COUNTA(A2206:E2206)=0,D2206=""),"",IFERROR(INDEX(ca_type,MATCH(D2206,ca_name,0))&amp;"",""))</f>
        <v/>
      </c>
      <c r="I2206" s="58" t="str">
        <f>IF(COUNTA(A2206:E2206)=0,"",IF(N(A2206)&lt;=0,"Date manquante ou invalide",IF(B2206="","Équipe manquante",IF(ISNA(MATCH(B2206,eq_code,0)),"Équipe inconnue",IF(C2206="","Poste manquant",IF(ISNA(MATCH(C2206,po_code,0)),"Poste inconnu",IF(D2206="","Cause manquante",IF(ISNA(MATCH(D2206,ca_name,0)),"Cause inconnue",IF(H2206="","Cause à compléter dans Paramètres",IF(OR(NOT(ISNUMBER(E2206)),N(E2206)&lt;=0,N(E2206)&gt;1440),"Durée invalide",IF(COUNTIFS(sj_date,A2206,sj_eq,B2206,sj_po,C2206)=0,"Pas de saisie journalière ce jour-là","OK")))))))))))</f>
        <v/>
      </c>
      <c r="J2206">
        <f>IF(OR(I2206="OK",I2206="Pas de saisie journalière ce jour-là"),E2206,0)</f>
        <v>0.0</v>
      </c>
      <c r="K2206">
        <f>IF(AND(J2206&gt;0,A2206&gt;=p_from,A2206&lt;=p_to),1,0)</f>
        <v>0.0</v>
      </c>
      <c r="L2206">
        <f>IF(AND(K2206=1,OR(pa_po="",C2206=pa_po),OR(pa_eq="",B2206=pa_eq)),1,0)</f>
        <v>0.0</v>
      </c>
    </row>
    <row r="2207">
      <c r="A2207" s="51" t="n"/>
      <c r="B2207" s="52" t="n"/>
      <c r="C2207" s="52" t="n"/>
      <c r="D2207" s="53" t="n"/>
      <c r="E2207" s="60" t="n"/>
      <c r="F2207" s="53" t="n"/>
      <c r="G2207" s="61" t="str">
        <f>IF(OR(COUNTA(A2207:E2207)=0,D2207=""),"",IFERROR(INDEX(ca_fam,MATCH(D2207,ca_name,0))&amp;"",""))</f>
        <v/>
      </c>
      <c r="H2207" s="58" t="str">
        <f>IF(OR(COUNTA(A2207:E2207)=0,D2207=""),"",IFERROR(INDEX(ca_type,MATCH(D2207,ca_name,0))&amp;"",""))</f>
        <v/>
      </c>
      <c r="I2207" s="58" t="str">
        <f>IF(COUNTA(A2207:E2207)=0,"",IF(N(A2207)&lt;=0,"Date manquante ou invalide",IF(B2207="","Équipe manquante",IF(ISNA(MATCH(B2207,eq_code,0)),"Équipe inconnue",IF(C2207="","Poste manquant",IF(ISNA(MATCH(C2207,po_code,0)),"Poste inconnu",IF(D2207="","Cause manquante",IF(ISNA(MATCH(D2207,ca_name,0)),"Cause inconnue",IF(H2207="","Cause à compléter dans Paramètres",IF(OR(NOT(ISNUMBER(E2207)),N(E2207)&lt;=0,N(E2207)&gt;1440),"Durée invalide",IF(COUNTIFS(sj_date,A2207,sj_eq,B2207,sj_po,C2207)=0,"Pas de saisie journalière ce jour-là","OK")))))))))))</f>
        <v/>
      </c>
      <c r="J2207">
        <f>IF(OR(I2207="OK",I2207="Pas de saisie journalière ce jour-là"),E2207,0)</f>
        <v>0.0</v>
      </c>
      <c r="K2207">
        <f>IF(AND(J2207&gt;0,A2207&gt;=p_from,A2207&lt;=p_to),1,0)</f>
        <v>0.0</v>
      </c>
      <c r="L2207">
        <f>IF(AND(K2207=1,OR(pa_po="",C2207=pa_po),OR(pa_eq="",B2207=pa_eq)),1,0)</f>
        <v>0.0</v>
      </c>
    </row>
    <row r="2208">
      <c r="A2208" s="51" t="n"/>
      <c r="B2208" s="52" t="n"/>
      <c r="C2208" s="52" t="n"/>
      <c r="D2208" s="53" t="n"/>
      <c r="E2208" s="60" t="n"/>
      <c r="F2208" s="53" t="n"/>
      <c r="G2208" s="61" t="str">
        <f>IF(OR(COUNTA(A2208:E2208)=0,D2208=""),"",IFERROR(INDEX(ca_fam,MATCH(D2208,ca_name,0))&amp;"",""))</f>
        <v/>
      </c>
      <c r="H2208" s="58" t="str">
        <f>IF(OR(COUNTA(A2208:E2208)=0,D2208=""),"",IFERROR(INDEX(ca_type,MATCH(D2208,ca_name,0))&amp;"",""))</f>
        <v/>
      </c>
      <c r="I2208" s="58" t="str">
        <f>IF(COUNTA(A2208:E2208)=0,"",IF(N(A2208)&lt;=0,"Date manquante ou invalide",IF(B2208="","Équipe manquante",IF(ISNA(MATCH(B2208,eq_code,0)),"Équipe inconnue",IF(C2208="","Poste manquant",IF(ISNA(MATCH(C2208,po_code,0)),"Poste inconnu",IF(D2208="","Cause manquante",IF(ISNA(MATCH(D2208,ca_name,0)),"Cause inconnue",IF(H2208="","Cause à compléter dans Paramètres",IF(OR(NOT(ISNUMBER(E2208)),N(E2208)&lt;=0,N(E2208)&gt;1440),"Durée invalide",IF(COUNTIFS(sj_date,A2208,sj_eq,B2208,sj_po,C2208)=0,"Pas de saisie journalière ce jour-là","OK")))))))))))</f>
        <v/>
      </c>
      <c r="J2208">
        <f>IF(OR(I2208="OK",I2208="Pas de saisie journalière ce jour-là"),E2208,0)</f>
        <v>0.0</v>
      </c>
      <c r="K2208">
        <f>IF(AND(J2208&gt;0,A2208&gt;=p_from,A2208&lt;=p_to),1,0)</f>
        <v>0.0</v>
      </c>
      <c r="L2208">
        <f>IF(AND(K2208=1,OR(pa_po="",C2208=pa_po),OR(pa_eq="",B2208=pa_eq)),1,0)</f>
        <v>0.0</v>
      </c>
    </row>
    <row r="2209">
      <c r="A2209" s="51" t="n"/>
      <c r="B2209" s="52" t="n"/>
      <c r="C2209" s="52" t="n"/>
      <c r="D2209" s="53" t="n"/>
      <c r="E2209" s="60" t="n"/>
      <c r="F2209" s="53" t="n"/>
      <c r="G2209" s="61" t="str">
        <f>IF(OR(COUNTA(A2209:E2209)=0,D2209=""),"",IFERROR(INDEX(ca_fam,MATCH(D2209,ca_name,0))&amp;"",""))</f>
        <v/>
      </c>
      <c r="H2209" s="58" t="str">
        <f>IF(OR(COUNTA(A2209:E2209)=0,D2209=""),"",IFERROR(INDEX(ca_type,MATCH(D2209,ca_name,0))&amp;"",""))</f>
        <v/>
      </c>
      <c r="I2209" s="58" t="str">
        <f>IF(COUNTA(A2209:E2209)=0,"",IF(N(A2209)&lt;=0,"Date manquante ou invalide",IF(B2209="","Équipe manquante",IF(ISNA(MATCH(B2209,eq_code,0)),"Équipe inconnue",IF(C2209="","Poste manquant",IF(ISNA(MATCH(C2209,po_code,0)),"Poste inconnu",IF(D2209="","Cause manquante",IF(ISNA(MATCH(D2209,ca_name,0)),"Cause inconnue",IF(H2209="","Cause à compléter dans Paramètres",IF(OR(NOT(ISNUMBER(E2209)),N(E2209)&lt;=0,N(E2209)&gt;1440),"Durée invalide",IF(COUNTIFS(sj_date,A2209,sj_eq,B2209,sj_po,C2209)=0,"Pas de saisie journalière ce jour-là","OK")))))))))))</f>
        <v/>
      </c>
      <c r="J2209">
        <f>IF(OR(I2209="OK",I2209="Pas de saisie journalière ce jour-là"),E2209,0)</f>
        <v>0.0</v>
      </c>
      <c r="K2209">
        <f>IF(AND(J2209&gt;0,A2209&gt;=p_from,A2209&lt;=p_to),1,0)</f>
        <v>0.0</v>
      </c>
      <c r="L2209">
        <f>IF(AND(K2209=1,OR(pa_po="",C2209=pa_po),OR(pa_eq="",B2209=pa_eq)),1,0)</f>
        <v>0.0</v>
      </c>
    </row>
    <row r="2210">
      <c r="A2210" s="51" t="n"/>
      <c r="B2210" s="52" t="n"/>
      <c r="C2210" s="52" t="n"/>
      <c r="D2210" s="53" t="n"/>
      <c r="E2210" s="60" t="n"/>
      <c r="F2210" s="53" t="n"/>
      <c r="G2210" s="61" t="str">
        <f>IF(OR(COUNTA(A2210:E2210)=0,D2210=""),"",IFERROR(INDEX(ca_fam,MATCH(D2210,ca_name,0))&amp;"",""))</f>
        <v/>
      </c>
      <c r="H2210" s="58" t="str">
        <f>IF(OR(COUNTA(A2210:E2210)=0,D2210=""),"",IFERROR(INDEX(ca_type,MATCH(D2210,ca_name,0))&amp;"",""))</f>
        <v/>
      </c>
      <c r="I2210" s="58" t="str">
        <f>IF(COUNTA(A2210:E2210)=0,"",IF(N(A2210)&lt;=0,"Date manquante ou invalide",IF(B2210="","Équipe manquante",IF(ISNA(MATCH(B2210,eq_code,0)),"Équipe inconnue",IF(C2210="","Poste manquant",IF(ISNA(MATCH(C2210,po_code,0)),"Poste inconnu",IF(D2210="","Cause manquante",IF(ISNA(MATCH(D2210,ca_name,0)),"Cause inconnue",IF(H2210="","Cause à compléter dans Paramètres",IF(OR(NOT(ISNUMBER(E2210)),N(E2210)&lt;=0,N(E2210)&gt;1440),"Durée invalide",IF(COUNTIFS(sj_date,A2210,sj_eq,B2210,sj_po,C2210)=0,"Pas de saisie journalière ce jour-là","OK")))))))))))</f>
        <v/>
      </c>
      <c r="J2210">
        <f>IF(OR(I2210="OK",I2210="Pas de saisie journalière ce jour-là"),E2210,0)</f>
        <v>0.0</v>
      </c>
      <c r="K2210">
        <f>IF(AND(J2210&gt;0,A2210&gt;=p_from,A2210&lt;=p_to),1,0)</f>
        <v>0.0</v>
      </c>
      <c r="L2210">
        <f>IF(AND(K2210=1,OR(pa_po="",C2210=pa_po),OR(pa_eq="",B2210=pa_eq)),1,0)</f>
        <v>0.0</v>
      </c>
    </row>
    <row r="2211">
      <c r="A2211" s="51" t="n"/>
      <c r="B2211" s="52" t="n"/>
      <c r="C2211" s="52" t="n"/>
      <c r="D2211" s="53" t="n"/>
      <c r="E2211" s="60" t="n"/>
      <c r="F2211" s="53" t="n"/>
      <c r="G2211" s="61" t="str">
        <f>IF(OR(COUNTA(A2211:E2211)=0,D2211=""),"",IFERROR(INDEX(ca_fam,MATCH(D2211,ca_name,0))&amp;"",""))</f>
        <v/>
      </c>
      <c r="H2211" s="58" t="str">
        <f>IF(OR(COUNTA(A2211:E2211)=0,D2211=""),"",IFERROR(INDEX(ca_type,MATCH(D2211,ca_name,0))&amp;"",""))</f>
        <v/>
      </c>
      <c r="I2211" s="58" t="str">
        <f>IF(COUNTA(A2211:E2211)=0,"",IF(N(A2211)&lt;=0,"Date manquante ou invalide",IF(B2211="","Équipe manquante",IF(ISNA(MATCH(B2211,eq_code,0)),"Équipe inconnue",IF(C2211="","Poste manquant",IF(ISNA(MATCH(C2211,po_code,0)),"Poste inconnu",IF(D2211="","Cause manquante",IF(ISNA(MATCH(D2211,ca_name,0)),"Cause inconnue",IF(H2211="","Cause à compléter dans Paramètres",IF(OR(NOT(ISNUMBER(E2211)),N(E2211)&lt;=0,N(E2211)&gt;1440),"Durée invalide",IF(COUNTIFS(sj_date,A2211,sj_eq,B2211,sj_po,C2211)=0,"Pas de saisie journalière ce jour-là","OK")))))))))))</f>
        <v/>
      </c>
      <c r="J2211">
        <f>IF(OR(I2211="OK",I2211="Pas de saisie journalière ce jour-là"),E2211,0)</f>
        <v>0.0</v>
      </c>
      <c r="K2211">
        <f>IF(AND(J2211&gt;0,A2211&gt;=p_from,A2211&lt;=p_to),1,0)</f>
        <v>0.0</v>
      </c>
      <c r="L2211">
        <f>IF(AND(K2211=1,OR(pa_po="",C2211=pa_po),OR(pa_eq="",B2211=pa_eq)),1,0)</f>
        <v>0.0</v>
      </c>
    </row>
    <row r="2212">
      <c r="A2212" s="51" t="n"/>
      <c r="B2212" s="52" t="n"/>
      <c r="C2212" s="52" t="n"/>
      <c r="D2212" s="53" t="n"/>
      <c r="E2212" s="60" t="n"/>
      <c r="F2212" s="53" t="n"/>
      <c r="G2212" s="61" t="str">
        <f>IF(OR(COUNTA(A2212:E2212)=0,D2212=""),"",IFERROR(INDEX(ca_fam,MATCH(D2212,ca_name,0))&amp;"",""))</f>
        <v/>
      </c>
      <c r="H2212" s="58" t="str">
        <f>IF(OR(COUNTA(A2212:E2212)=0,D2212=""),"",IFERROR(INDEX(ca_type,MATCH(D2212,ca_name,0))&amp;"",""))</f>
        <v/>
      </c>
      <c r="I2212" s="58" t="str">
        <f>IF(COUNTA(A2212:E2212)=0,"",IF(N(A2212)&lt;=0,"Date manquante ou invalide",IF(B2212="","Équipe manquante",IF(ISNA(MATCH(B2212,eq_code,0)),"Équipe inconnue",IF(C2212="","Poste manquant",IF(ISNA(MATCH(C2212,po_code,0)),"Poste inconnu",IF(D2212="","Cause manquante",IF(ISNA(MATCH(D2212,ca_name,0)),"Cause inconnue",IF(H2212="","Cause à compléter dans Paramètres",IF(OR(NOT(ISNUMBER(E2212)),N(E2212)&lt;=0,N(E2212)&gt;1440),"Durée invalide",IF(COUNTIFS(sj_date,A2212,sj_eq,B2212,sj_po,C2212)=0,"Pas de saisie journalière ce jour-là","OK")))))))))))</f>
        <v/>
      </c>
      <c r="J2212">
        <f>IF(OR(I2212="OK",I2212="Pas de saisie journalière ce jour-là"),E2212,0)</f>
        <v>0.0</v>
      </c>
      <c r="K2212">
        <f>IF(AND(J2212&gt;0,A2212&gt;=p_from,A2212&lt;=p_to),1,0)</f>
        <v>0.0</v>
      </c>
      <c r="L2212">
        <f>IF(AND(K2212=1,OR(pa_po="",C2212=pa_po),OR(pa_eq="",B2212=pa_eq)),1,0)</f>
        <v>0.0</v>
      </c>
    </row>
    <row r="2213">
      <c r="A2213" s="51" t="n"/>
      <c r="B2213" s="52" t="n"/>
      <c r="C2213" s="52" t="n"/>
      <c r="D2213" s="53" t="n"/>
      <c r="E2213" s="60" t="n"/>
      <c r="F2213" s="53" t="n"/>
      <c r="G2213" s="61" t="str">
        <f>IF(OR(COUNTA(A2213:E2213)=0,D2213=""),"",IFERROR(INDEX(ca_fam,MATCH(D2213,ca_name,0))&amp;"",""))</f>
        <v/>
      </c>
      <c r="H2213" s="58" t="str">
        <f>IF(OR(COUNTA(A2213:E2213)=0,D2213=""),"",IFERROR(INDEX(ca_type,MATCH(D2213,ca_name,0))&amp;"",""))</f>
        <v/>
      </c>
      <c r="I2213" s="58" t="str">
        <f>IF(COUNTA(A2213:E2213)=0,"",IF(N(A2213)&lt;=0,"Date manquante ou invalide",IF(B2213="","Équipe manquante",IF(ISNA(MATCH(B2213,eq_code,0)),"Équipe inconnue",IF(C2213="","Poste manquant",IF(ISNA(MATCH(C2213,po_code,0)),"Poste inconnu",IF(D2213="","Cause manquante",IF(ISNA(MATCH(D2213,ca_name,0)),"Cause inconnue",IF(H2213="","Cause à compléter dans Paramètres",IF(OR(NOT(ISNUMBER(E2213)),N(E2213)&lt;=0,N(E2213)&gt;1440),"Durée invalide",IF(COUNTIFS(sj_date,A2213,sj_eq,B2213,sj_po,C2213)=0,"Pas de saisie journalière ce jour-là","OK")))))))))))</f>
        <v/>
      </c>
      <c r="J2213">
        <f>IF(OR(I2213="OK",I2213="Pas de saisie journalière ce jour-là"),E2213,0)</f>
        <v>0.0</v>
      </c>
      <c r="K2213">
        <f>IF(AND(J2213&gt;0,A2213&gt;=p_from,A2213&lt;=p_to),1,0)</f>
        <v>0.0</v>
      </c>
      <c r="L2213">
        <f>IF(AND(K2213=1,OR(pa_po="",C2213=pa_po),OR(pa_eq="",B2213=pa_eq)),1,0)</f>
        <v>0.0</v>
      </c>
    </row>
    <row r="2214">
      <c r="A2214" s="51" t="n"/>
      <c r="B2214" s="52" t="n"/>
      <c r="C2214" s="52" t="n"/>
      <c r="D2214" s="53" t="n"/>
      <c r="E2214" s="60" t="n"/>
      <c r="F2214" s="53" t="n"/>
      <c r="G2214" s="61" t="str">
        <f>IF(OR(COUNTA(A2214:E2214)=0,D2214=""),"",IFERROR(INDEX(ca_fam,MATCH(D2214,ca_name,0))&amp;"",""))</f>
        <v/>
      </c>
      <c r="H2214" s="58" t="str">
        <f>IF(OR(COUNTA(A2214:E2214)=0,D2214=""),"",IFERROR(INDEX(ca_type,MATCH(D2214,ca_name,0))&amp;"",""))</f>
        <v/>
      </c>
      <c r="I2214" s="58" t="str">
        <f>IF(COUNTA(A2214:E2214)=0,"",IF(N(A2214)&lt;=0,"Date manquante ou invalide",IF(B2214="","Équipe manquante",IF(ISNA(MATCH(B2214,eq_code,0)),"Équipe inconnue",IF(C2214="","Poste manquant",IF(ISNA(MATCH(C2214,po_code,0)),"Poste inconnu",IF(D2214="","Cause manquante",IF(ISNA(MATCH(D2214,ca_name,0)),"Cause inconnue",IF(H2214="","Cause à compléter dans Paramètres",IF(OR(NOT(ISNUMBER(E2214)),N(E2214)&lt;=0,N(E2214)&gt;1440),"Durée invalide",IF(COUNTIFS(sj_date,A2214,sj_eq,B2214,sj_po,C2214)=0,"Pas de saisie journalière ce jour-là","OK")))))))))))</f>
        <v/>
      </c>
      <c r="J2214">
        <f>IF(OR(I2214="OK",I2214="Pas de saisie journalière ce jour-là"),E2214,0)</f>
        <v>0.0</v>
      </c>
      <c r="K2214">
        <f>IF(AND(J2214&gt;0,A2214&gt;=p_from,A2214&lt;=p_to),1,0)</f>
        <v>0.0</v>
      </c>
      <c r="L2214">
        <f>IF(AND(K2214=1,OR(pa_po="",C2214=pa_po),OR(pa_eq="",B2214=pa_eq)),1,0)</f>
        <v>0.0</v>
      </c>
    </row>
    <row r="2215">
      <c r="A2215" s="51" t="n"/>
      <c r="B2215" s="52" t="n"/>
      <c r="C2215" s="52" t="n"/>
      <c r="D2215" s="53" t="n"/>
      <c r="E2215" s="60" t="n"/>
      <c r="F2215" s="53" t="n"/>
      <c r="G2215" s="61" t="str">
        <f>IF(OR(COUNTA(A2215:E2215)=0,D2215=""),"",IFERROR(INDEX(ca_fam,MATCH(D2215,ca_name,0))&amp;"",""))</f>
        <v/>
      </c>
      <c r="H2215" s="58" t="str">
        <f>IF(OR(COUNTA(A2215:E2215)=0,D2215=""),"",IFERROR(INDEX(ca_type,MATCH(D2215,ca_name,0))&amp;"",""))</f>
        <v/>
      </c>
      <c r="I2215" s="58" t="str">
        <f>IF(COUNTA(A2215:E2215)=0,"",IF(N(A2215)&lt;=0,"Date manquante ou invalide",IF(B2215="","Équipe manquante",IF(ISNA(MATCH(B2215,eq_code,0)),"Équipe inconnue",IF(C2215="","Poste manquant",IF(ISNA(MATCH(C2215,po_code,0)),"Poste inconnu",IF(D2215="","Cause manquante",IF(ISNA(MATCH(D2215,ca_name,0)),"Cause inconnue",IF(H2215="","Cause à compléter dans Paramètres",IF(OR(NOT(ISNUMBER(E2215)),N(E2215)&lt;=0,N(E2215)&gt;1440),"Durée invalide",IF(COUNTIFS(sj_date,A2215,sj_eq,B2215,sj_po,C2215)=0,"Pas de saisie journalière ce jour-là","OK")))))))))))</f>
        <v/>
      </c>
      <c r="J2215">
        <f>IF(OR(I2215="OK",I2215="Pas de saisie journalière ce jour-là"),E2215,0)</f>
        <v>0.0</v>
      </c>
      <c r="K2215">
        <f>IF(AND(J2215&gt;0,A2215&gt;=p_from,A2215&lt;=p_to),1,0)</f>
        <v>0.0</v>
      </c>
      <c r="L2215">
        <f>IF(AND(K2215=1,OR(pa_po="",C2215=pa_po),OR(pa_eq="",B2215=pa_eq)),1,0)</f>
        <v>0.0</v>
      </c>
    </row>
    <row r="2216">
      <c r="A2216" s="51" t="n"/>
      <c r="B2216" s="52" t="n"/>
      <c r="C2216" s="52" t="n"/>
      <c r="D2216" s="53" t="n"/>
      <c r="E2216" s="60" t="n"/>
      <c r="F2216" s="53" t="n"/>
      <c r="G2216" s="61" t="str">
        <f>IF(OR(COUNTA(A2216:E2216)=0,D2216=""),"",IFERROR(INDEX(ca_fam,MATCH(D2216,ca_name,0))&amp;"",""))</f>
        <v/>
      </c>
      <c r="H2216" s="58" t="str">
        <f>IF(OR(COUNTA(A2216:E2216)=0,D2216=""),"",IFERROR(INDEX(ca_type,MATCH(D2216,ca_name,0))&amp;"",""))</f>
        <v/>
      </c>
      <c r="I2216" s="58" t="str">
        <f>IF(COUNTA(A2216:E2216)=0,"",IF(N(A2216)&lt;=0,"Date manquante ou invalide",IF(B2216="","Équipe manquante",IF(ISNA(MATCH(B2216,eq_code,0)),"Équipe inconnue",IF(C2216="","Poste manquant",IF(ISNA(MATCH(C2216,po_code,0)),"Poste inconnu",IF(D2216="","Cause manquante",IF(ISNA(MATCH(D2216,ca_name,0)),"Cause inconnue",IF(H2216="","Cause à compléter dans Paramètres",IF(OR(NOT(ISNUMBER(E2216)),N(E2216)&lt;=0,N(E2216)&gt;1440),"Durée invalide",IF(COUNTIFS(sj_date,A2216,sj_eq,B2216,sj_po,C2216)=0,"Pas de saisie journalière ce jour-là","OK")))))))))))</f>
        <v/>
      </c>
      <c r="J2216">
        <f>IF(OR(I2216="OK",I2216="Pas de saisie journalière ce jour-là"),E2216,0)</f>
        <v>0.0</v>
      </c>
      <c r="K2216">
        <f>IF(AND(J2216&gt;0,A2216&gt;=p_from,A2216&lt;=p_to),1,0)</f>
        <v>0.0</v>
      </c>
      <c r="L2216">
        <f>IF(AND(K2216=1,OR(pa_po="",C2216=pa_po),OR(pa_eq="",B2216=pa_eq)),1,0)</f>
        <v>0.0</v>
      </c>
    </row>
    <row r="2217">
      <c r="A2217" s="51" t="n"/>
      <c r="B2217" s="52" t="n"/>
      <c r="C2217" s="52" t="n"/>
      <c r="D2217" s="53" t="n"/>
      <c r="E2217" s="60" t="n"/>
      <c r="F2217" s="53" t="n"/>
      <c r="G2217" s="61" t="str">
        <f>IF(OR(COUNTA(A2217:E2217)=0,D2217=""),"",IFERROR(INDEX(ca_fam,MATCH(D2217,ca_name,0))&amp;"",""))</f>
        <v/>
      </c>
      <c r="H2217" s="58" t="str">
        <f>IF(OR(COUNTA(A2217:E2217)=0,D2217=""),"",IFERROR(INDEX(ca_type,MATCH(D2217,ca_name,0))&amp;"",""))</f>
        <v/>
      </c>
      <c r="I2217" s="58" t="str">
        <f>IF(COUNTA(A2217:E2217)=0,"",IF(N(A2217)&lt;=0,"Date manquante ou invalide",IF(B2217="","Équipe manquante",IF(ISNA(MATCH(B2217,eq_code,0)),"Équipe inconnue",IF(C2217="","Poste manquant",IF(ISNA(MATCH(C2217,po_code,0)),"Poste inconnu",IF(D2217="","Cause manquante",IF(ISNA(MATCH(D2217,ca_name,0)),"Cause inconnue",IF(H2217="","Cause à compléter dans Paramètres",IF(OR(NOT(ISNUMBER(E2217)),N(E2217)&lt;=0,N(E2217)&gt;1440),"Durée invalide",IF(COUNTIFS(sj_date,A2217,sj_eq,B2217,sj_po,C2217)=0,"Pas de saisie journalière ce jour-là","OK")))))))))))</f>
        <v/>
      </c>
      <c r="J2217">
        <f>IF(OR(I2217="OK",I2217="Pas de saisie journalière ce jour-là"),E2217,0)</f>
        <v>0.0</v>
      </c>
      <c r="K2217">
        <f>IF(AND(J2217&gt;0,A2217&gt;=p_from,A2217&lt;=p_to),1,0)</f>
        <v>0.0</v>
      </c>
      <c r="L2217">
        <f>IF(AND(K2217=1,OR(pa_po="",C2217=pa_po),OR(pa_eq="",B2217=pa_eq)),1,0)</f>
        <v>0.0</v>
      </c>
    </row>
    <row r="2218">
      <c r="A2218" s="51" t="n"/>
      <c r="B2218" s="52" t="n"/>
      <c r="C2218" s="52" t="n"/>
      <c r="D2218" s="53" t="n"/>
      <c r="E2218" s="60" t="n"/>
      <c r="F2218" s="53" t="n"/>
      <c r="G2218" s="61" t="str">
        <f>IF(OR(COUNTA(A2218:E2218)=0,D2218=""),"",IFERROR(INDEX(ca_fam,MATCH(D2218,ca_name,0))&amp;"",""))</f>
        <v/>
      </c>
      <c r="H2218" s="58" t="str">
        <f>IF(OR(COUNTA(A2218:E2218)=0,D2218=""),"",IFERROR(INDEX(ca_type,MATCH(D2218,ca_name,0))&amp;"",""))</f>
        <v/>
      </c>
      <c r="I2218" s="58" t="str">
        <f>IF(COUNTA(A2218:E2218)=0,"",IF(N(A2218)&lt;=0,"Date manquante ou invalide",IF(B2218="","Équipe manquante",IF(ISNA(MATCH(B2218,eq_code,0)),"Équipe inconnue",IF(C2218="","Poste manquant",IF(ISNA(MATCH(C2218,po_code,0)),"Poste inconnu",IF(D2218="","Cause manquante",IF(ISNA(MATCH(D2218,ca_name,0)),"Cause inconnue",IF(H2218="","Cause à compléter dans Paramètres",IF(OR(NOT(ISNUMBER(E2218)),N(E2218)&lt;=0,N(E2218)&gt;1440),"Durée invalide",IF(COUNTIFS(sj_date,A2218,sj_eq,B2218,sj_po,C2218)=0,"Pas de saisie journalière ce jour-là","OK")))))))))))</f>
        <v/>
      </c>
      <c r="J2218">
        <f>IF(OR(I2218="OK",I2218="Pas de saisie journalière ce jour-là"),E2218,0)</f>
        <v>0.0</v>
      </c>
      <c r="K2218">
        <f>IF(AND(J2218&gt;0,A2218&gt;=p_from,A2218&lt;=p_to),1,0)</f>
        <v>0.0</v>
      </c>
      <c r="L2218">
        <f>IF(AND(K2218=1,OR(pa_po="",C2218=pa_po),OR(pa_eq="",B2218=pa_eq)),1,0)</f>
        <v>0.0</v>
      </c>
    </row>
    <row r="2219">
      <c r="A2219" s="51" t="n"/>
      <c r="B2219" s="52" t="n"/>
      <c r="C2219" s="52" t="n"/>
      <c r="D2219" s="53" t="n"/>
      <c r="E2219" s="60" t="n"/>
      <c r="F2219" s="53" t="n"/>
      <c r="G2219" s="61" t="str">
        <f>IF(OR(COUNTA(A2219:E2219)=0,D2219=""),"",IFERROR(INDEX(ca_fam,MATCH(D2219,ca_name,0))&amp;"",""))</f>
        <v/>
      </c>
      <c r="H2219" s="58" t="str">
        <f>IF(OR(COUNTA(A2219:E2219)=0,D2219=""),"",IFERROR(INDEX(ca_type,MATCH(D2219,ca_name,0))&amp;"",""))</f>
        <v/>
      </c>
      <c r="I2219" s="58" t="str">
        <f>IF(COUNTA(A2219:E2219)=0,"",IF(N(A2219)&lt;=0,"Date manquante ou invalide",IF(B2219="","Équipe manquante",IF(ISNA(MATCH(B2219,eq_code,0)),"Équipe inconnue",IF(C2219="","Poste manquant",IF(ISNA(MATCH(C2219,po_code,0)),"Poste inconnu",IF(D2219="","Cause manquante",IF(ISNA(MATCH(D2219,ca_name,0)),"Cause inconnue",IF(H2219="","Cause à compléter dans Paramètres",IF(OR(NOT(ISNUMBER(E2219)),N(E2219)&lt;=0,N(E2219)&gt;1440),"Durée invalide",IF(COUNTIFS(sj_date,A2219,sj_eq,B2219,sj_po,C2219)=0,"Pas de saisie journalière ce jour-là","OK")))))))))))</f>
        <v/>
      </c>
      <c r="J2219">
        <f>IF(OR(I2219="OK",I2219="Pas de saisie journalière ce jour-là"),E2219,0)</f>
        <v>0.0</v>
      </c>
      <c r="K2219">
        <f>IF(AND(J2219&gt;0,A2219&gt;=p_from,A2219&lt;=p_to),1,0)</f>
        <v>0.0</v>
      </c>
      <c r="L2219">
        <f>IF(AND(K2219=1,OR(pa_po="",C2219=pa_po),OR(pa_eq="",B2219=pa_eq)),1,0)</f>
        <v>0.0</v>
      </c>
    </row>
    <row r="2220">
      <c r="A2220" s="51" t="n"/>
      <c r="B2220" s="52" t="n"/>
      <c r="C2220" s="52" t="n"/>
      <c r="D2220" s="53" t="n"/>
      <c r="E2220" s="60" t="n"/>
      <c r="F2220" s="53" t="n"/>
      <c r="G2220" s="61" t="str">
        <f>IF(OR(COUNTA(A2220:E2220)=0,D2220=""),"",IFERROR(INDEX(ca_fam,MATCH(D2220,ca_name,0))&amp;"",""))</f>
        <v/>
      </c>
      <c r="H2220" s="58" t="str">
        <f>IF(OR(COUNTA(A2220:E2220)=0,D2220=""),"",IFERROR(INDEX(ca_type,MATCH(D2220,ca_name,0))&amp;"",""))</f>
        <v/>
      </c>
      <c r="I2220" s="58" t="str">
        <f>IF(COUNTA(A2220:E2220)=0,"",IF(N(A2220)&lt;=0,"Date manquante ou invalide",IF(B2220="","Équipe manquante",IF(ISNA(MATCH(B2220,eq_code,0)),"Équipe inconnue",IF(C2220="","Poste manquant",IF(ISNA(MATCH(C2220,po_code,0)),"Poste inconnu",IF(D2220="","Cause manquante",IF(ISNA(MATCH(D2220,ca_name,0)),"Cause inconnue",IF(H2220="","Cause à compléter dans Paramètres",IF(OR(NOT(ISNUMBER(E2220)),N(E2220)&lt;=0,N(E2220)&gt;1440),"Durée invalide",IF(COUNTIFS(sj_date,A2220,sj_eq,B2220,sj_po,C2220)=0,"Pas de saisie journalière ce jour-là","OK")))))))))))</f>
        <v/>
      </c>
      <c r="J2220">
        <f>IF(OR(I2220="OK",I2220="Pas de saisie journalière ce jour-là"),E2220,0)</f>
        <v>0.0</v>
      </c>
      <c r="K2220">
        <f>IF(AND(J2220&gt;0,A2220&gt;=p_from,A2220&lt;=p_to),1,0)</f>
        <v>0.0</v>
      </c>
      <c r="L2220">
        <f>IF(AND(K2220=1,OR(pa_po="",C2220=pa_po),OR(pa_eq="",B2220=pa_eq)),1,0)</f>
        <v>0.0</v>
      </c>
    </row>
    <row r="2221">
      <c r="A2221" s="51" t="n"/>
      <c r="B2221" s="52" t="n"/>
      <c r="C2221" s="52" t="n"/>
      <c r="D2221" s="53" t="n"/>
      <c r="E2221" s="60" t="n"/>
      <c r="F2221" s="53" t="n"/>
      <c r="G2221" s="61" t="str">
        <f>IF(OR(COUNTA(A2221:E2221)=0,D2221=""),"",IFERROR(INDEX(ca_fam,MATCH(D2221,ca_name,0))&amp;"",""))</f>
        <v/>
      </c>
      <c r="H2221" s="58" t="str">
        <f>IF(OR(COUNTA(A2221:E2221)=0,D2221=""),"",IFERROR(INDEX(ca_type,MATCH(D2221,ca_name,0))&amp;"",""))</f>
        <v/>
      </c>
      <c r="I2221" s="58" t="str">
        <f>IF(COUNTA(A2221:E2221)=0,"",IF(N(A2221)&lt;=0,"Date manquante ou invalide",IF(B2221="","Équipe manquante",IF(ISNA(MATCH(B2221,eq_code,0)),"Équipe inconnue",IF(C2221="","Poste manquant",IF(ISNA(MATCH(C2221,po_code,0)),"Poste inconnu",IF(D2221="","Cause manquante",IF(ISNA(MATCH(D2221,ca_name,0)),"Cause inconnue",IF(H2221="","Cause à compléter dans Paramètres",IF(OR(NOT(ISNUMBER(E2221)),N(E2221)&lt;=0,N(E2221)&gt;1440),"Durée invalide",IF(COUNTIFS(sj_date,A2221,sj_eq,B2221,sj_po,C2221)=0,"Pas de saisie journalière ce jour-là","OK")))))))))))</f>
        <v/>
      </c>
      <c r="J2221">
        <f>IF(OR(I2221="OK",I2221="Pas de saisie journalière ce jour-là"),E2221,0)</f>
        <v>0.0</v>
      </c>
      <c r="K2221">
        <f>IF(AND(J2221&gt;0,A2221&gt;=p_from,A2221&lt;=p_to),1,0)</f>
        <v>0.0</v>
      </c>
      <c r="L2221">
        <f>IF(AND(K2221=1,OR(pa_po="",C2221=pa_po),OR(pa_eq="",B2221=pa_eq)),1,0)</f>
        <v>0.0</v>
      </c>
    </row>
    <row r="2222">
      <c r="A2222" s="51" t="n"/>
      <c r="B2222" s="52" t="n"/>
      <c r="C2222" s="52" t="n"/>
      <c r="D2222" s="53" t="n"/>
      <c r="E2222" s="60" t="n"/>
      <c r="F2222" s="53" t="n"/>
      <c r="G2222" s="61" t="str">
        <f>IF(OR(COUNTA(A2222:E2222)=0,D2222=""),"",IFERROR(INDEX(ca_fam,MATCH(D2222,ca_name,0))&amp;"",""))</f>
        <v/>
      </c>
      <c r="H2222" s="58" t="str">
        <f>IF(OR(COUNTA(A2222:E2222)=0,D2222=""),"",IFERROR(INDEX(ca_type,MATCH(D2222,ca_name,0))&amp;"",""))</f>
        <v/>
      </c>
      <c r="I2222" s="58" t="str">
        <f>IF(COUNTA(A2222:E2222)=0,"",IF(N(A2222)&lt;=0,"Date manquante ou invalide",IF(B2222="","Équipe manquante",IF(ISNA(MATCH(B2222,eq_code,0)),"Équipe inconnue",IF(C2222="","Poste manquant",IF(ISNA(MATCH(C2222,po_code,0)),"Poste inconnu",IF(D2222="","Cause manquante",IF(ISNA(MATCH(D2222,ca_name,0)),"Cause inconnue",IF(H2222="","Cause à compléter dans Paramètres",IF(OR(NOT(ISNUMBER(E2222)),N(E2222)&lt;=0,N(E2222)&gt;1440),"Durée invalide",IF(COUNTIFS(sj_date,A2222,sj_eq,B2222,sj_po,C2222)=0,"Pas de saisie journalière ce jour-là","OK")))))))))))</f>
        <v/>
      </c>
      <c r="J2222">
        <f>IF(OR(I2222="OK",I2222="Pas de saisie journalière ce jour-là"),E2222,0)</f>
        <v>0.0</v>
      </c>
      <c r="K2222">
        <f>IF(AND(J2222&gt;0,A2222&gt;=p_from,A2222&lt;=p_to),1,0)</f>
        <v>0.0</v>
      </c>
      <c r="L2222">
        <f>IF(AND(K2222=1,OR(pa_po="",C2222=pa_po),OR(pa_eq="",B2222=pa_eq)),1,0)</f>
        <v>0.0</v>
      </c>
    </row>
    <row r="2223">
      <c r="A2223" s="51" t="n"/>
      <c r="B2223" s="52" t="n"/>
      <c r="C2223" s="52" t="n"/>
      <c r="D2223" s="53" t="n"/>
      <c r="E2223" s="60" t="n"/>
      <c r="F2223" s="53" t="n"/>
      <c r="G2223" s="61" t="str">
        <f>IF(OR(COUNTA(A2223:E2223)=0,D2223=""),"",IFERROR(INDEX(ca_fam,MATCH(D2223,ca_name,0))&amp;"",""))</f>
        <v/>
      </c>
      <c r="H2223" s="58" t="str">
        <f>IF(OR(COUNTA(A2223:E2223)=0,D2223=""),"",IFERROR(INDEX(ca_type,MATCH(D2223,ca_name,0))&amp;"",""))</f>
        <v/>
      </c>
      <c r="I2223" s="58" t="str">
        <f>IF(COUNTA(A2223:E2223)=0,"",IF(N(A2223)&lt;=0,"Date manquante ou invalide",IF(B2223="","Équipe manquante",IF(ISNA(MATCH(B2223,eq_code,0)),"Équipe inconnue",IF(C2223="","Poste manquant",IF(ISNA(MATCH(C2223,po_code,0)),"Poste inconnu",IF(D2223="","Cause manquante",IF(ISNA(MATCH(D2223,ca_name,0)),"Cause inconnue",IF(H2223="","Cause à compléter dans Paramètres",IF(OR(NOT(ISNUMBER(E2223)),N(E2223)&lt;=0,N(E2223)&gt;1440),"Durée invalide",IF(COUNTIFS(sj_date,A2223,sj_eq,B2223,sj_po,C2223)=0,"Pas de saisie journalière ce jour-là","OK")))))))))))</f>
        <v/>
      </c>
      <c r="J2223">
        <f>IF(OR(I2223="OK",I2223="Pas de saisie journalière ce jour-là"),E2223,0)</f>
        <v>0.0</v>
      </c>
      <c r="K2223">
        <f>IF(AND(J2223&gt;0,A2223&gt;=p_from,A2223&lt;=p_to),1,0)</f>
        <v>0.0</v>
      </c>
      <c r="L2223">
        <f>IF(AND(K2223=1,OR(pa_po="",C2223=pa_po),OR(pa_eq="",B2223=pa_eq)),1,0)</f>
        <v>0.0</v>
      </c>
    </row>
    <row r="2224">
      <c r="A2224" s="51" t="n"/>
      <c r="B2224" s="52" t="n"/>
      <c r="C2224" s="52" t="n"/>
      <c r="D2224" s="53" t="n"/>
      <c r="E2224" s="60" t="n"/>
      <c r="F2224" s="53" t="n"/>
      <c r="G2224" s="61" t="str">
        <f>IF(OR(COUNTA(A2224:E2224)=0,D2224=""),"",IFERROR(INDEX(ca_fam,MATCH(D2224,ca_name,0))&amp;"",""))</f>
        <v/>
      </c>
      <c r="H2224" s="58" t="str">
        <f>IF(OR(COUNTA(A2224:E2224)=0,D2224=""),"",IFERROR(INDEX(ca_type,MATCH(D2224,ca_name,0))&amp;"",""))</f>
        <v/>
      </c>
      <c r="I2224" s="58" t="str">
        <f>IF(COUNTA(A2224:E2224)=0,"",IF(N(A2224)&lt;=0,"Date manquante ou invalide",IF(B2224="","Équipe manquante",IF(ISNA(MATCH(B2224,eq_code,0)),"Équipe inconnue",IF(C2224="","Poste manquant",IF(ISNA(MATCH(C2224,po_code,0)),"Poste inconnu",IF(D2224="","Cause manquante",IF(ISNA(MATCH(D2224,ca_name,0)),"Cause inconnue",IF(H2224="","Cause à compléter dans Paramètres",IF(OR(NOT(ISNUMBER(E2224)),N(E2224)&lt;=0,N(E2224)&gt;1440),"Durée invalide",IF(COUNTIFS(sj_date,A2224,sj_eq,B2224,sj_po,C2224)=0,"Pas de saisie journalière ce jour-là","OK")))))))))))</f>
        <v/>
      </c>
      <c r="J2224">
        <f>IF(OR(I2224="OK",I2224="Pas de saisie journalière ce jour-là"),E2224,0)</f>
        <v>0.0</v>
      </c>
      <c r="K2224">
        <f>IF(AND(J2224&gt;0,A2224&gt;=p_from,A2224&lt;=p_to),1,0)</f>
        <v>0.0</v>
      </c>
      <c r="L2224">
        <f>IF(AND(K2224=1,OR(pa_po="",C2224=pa_po),OR(pa_eq="",B2224=pa_eq)),1,0)</f>
        <v>0.0</v>
      </c>
    </row>
    <row r="2225">
      <c r="A2225" s="51" t="n"/>
      <c r="B2225" s="52" t="n"/>
      <c r="C2225" s="52" t="n"/>
      <c r="D2225" s="53" t="n"/>
      <c r="E2225" s="60" t="n"/>
      <c r="F2225" s="53" t="n"/>
      <c r="G2225" s="61" t="str">
        <f>IF(OR(COUNTA(A2225:E2225)=0,D2225=""),"",IFERROR(INDEX(ca_fam,MATCH(D2225,ca_name,0))&amp;"",""))</f>
        <v/>
      </c>
      <c r="H2225" s="58" t="str">
        <f>IF(OR(COUNTA(A2225:E2225)=0,D2225=""),"",IFERROR(INDEX(ca_type,MATCH(D2225,ca_name,0))&amp;"",""))</f>
        <v/>
      </c>
      <c r="I2225" s="58" t="str">
        <f>IF(COUNTA(A2225:E2225)=0,"",IF(N(A2225)&lt;=0,"Date manquante ou invalide",IF(B2225="","Équipe manquante",IF(ISNA(MATCH(B2225,eq_code,0)),"Équipe inconnue",IF(C2225="","Poste manquant",IF(ISNA(MATCH(C2225,po_code,0)),"Poste inconnu",IF(D2225="","Cause manquante",IF(ISNA(MATCH(D2225,ca_name,0)),"Cause inconnue",IF(H2225="","Cause à compléter dans Paramètres",IF(OR(NOT(ISNUMBER(E2225)),N(E2225)&lt;=0,N(E2225)&gt;1440),"Durée invalide",IF(COUNTIFS(sj_date,A2225,sj_eq,B2225,sj_po,C2225)=0,"Pas de saisie journalière ce jour-là","OK")))))))))))</f>
        <v/>
      </c>
      <c r="J2225">
        <f>IF(OR(I2225="OK",I2225="Pas de saisie journalière ce jour-là"),E2225,0)</f>
        <v>0.0</v>
      </c>
      <c r="K2225">
        <f>IF(AND(J2225&gt;0,A2225&gt;=p_from,A2225&lt;=p_to),1,0)</f>
        <v>0.0</v>
      </c>
      <c r="L2225">
        <f>IF(AND(K2225=1,OR(pa_po="",C2225=pa_po),OR(pa_eq="",B2225=pa_eq)),1,0)</f>
        <v>0.0</v>
      </c>
    </row>
    <row r="2226">
      <c r="A2226" s="51" t="n"/>
      <c r="B2226" s="52" t="n"/>
      <c r="C2226" s="52" t="n"/>
      <c r="D2226" s="53" t="n"/>
      <c r="E2226" s="60" t="n"/>
      <c r="F2226" s="53" t="n"/>
      <c r="G2226" s="61" t="str">
        <f>IF(OR(COUNTA(A2226:E2226)=0,D2226=""),"",IFERROR(INDEX(ca_fam,MATCH(D2226,ca_name,0))&amp;"",""))</f>
        <v/>
      </c>
      <c r="H2226" s="58" t="str">
        <f>IF(OR(COUNTA(A2226:E2226)=0,D2226=""),"",IFERROR(INDEX(ca_type,MATCH(D2226,ca_name,0))&amp;"",""))</f>
        <v/>
      </c>
      <c r="I2226" s="58" t="str">
        <f>IF(COUNTA(A2226:E2226)=0,"",IF(N(A2226)&lt;=0,"Date manquante ou invalide",IF(B2226="","Équipe manquante",IF(ISNA(MATCH(B2226,eq_code,0)),"Équipe inconnue",IF(C2226="","Poste manquant",IF(ISNA(MATCH(C2226,po_code,0)),"Poste inconnu",IF(D2226="","Cause manquante",IF(ISNA(MATCH(D2226,ca_name,0)),"Cause inconnue",IF(H2226="","Cause à compléter dans Paramètres",IF(OR(NOT(ISNUMBER(E2226)),N(E2226)&lt;=0,N(E2226)&gt;1440),"Durée invalide",IF(COUNTIFS(sj_date,A2226,sj_eq,B2226,sj_po,C2226)=0,"Pas de saisie journalière ce jour-là","OK")))))))))))</f>
        <v/>
      </c>
      <c r="J2226">
        <f>IF(OR(I2226="OK",I2226="Pas de saisie journalière ce jour-là"),E2226,0)</f>
        <v>0.0</v>
      </c>
      <c r="K2226">
        <f>IF(AND(J2226&gt;0,A2226&gt;=p_from,A2226&lt;=p_to),1,0)</f>
        <v>0.0</v>
      </c>
      <c r="L2226">
        <f>IF(AND(K2226=1,OR(pa_po="",C2226=pa_po),OR(pa_eq="",B2226=pa_eq)),1,0)</f>
        <v>0.0</v>
      </c>
    </row>
    <row r="2227">
      <c r="A2227" s="51" t="n"/>
      <c r="B2227" s="52" t="n"/>
      <c r="C2227" s="52" t="n"/>
      <c r="D2227" s="53" t="n"/>
      <c r="E2227" s="60" t="n"/>
      <c r="F2227" s="53" t="n"/>
      <c r="G2227" s="61" t="str">
        <f>IF(OR(COUNTA(A2227:E2227)=0,D2227=""),"",IFERROR(INDEX(ca_fam,MATCH(D2227,ca_name,0))&amp;"",""))</f>
        <v/>
      </c>
      <c r="H2227" s="58" t="str">
        <f>IF(OR(COUNTA(A2227:E2227)=0,D2227=""),"",IFERROR(INDEX(ca_type,MATCH(D2227,ca_name,0))&amp;"",""))</f>
        <v/>
      </c>
      <c r="I2227" s="58" t="str">
        <f>IF(COUNTA(A2227:E2227)=0,"",IF(N(A2227)&lt;=0,"Date manquante ou invalide",IF(B2227="","Équipe manquante",IF(ISNA(MATCH(B2227,eq_code,0)),"Équipe inconnue",IF(C2227="","Poste manquant",IF(ISNA(MATCH(C2227,po_code,0)),"Poste inconnu",IF(D2227="","Cause manquante",IF(ISNA(MATCH(D2227,ca_name,0)),"Cause inconnue",IF(H2227="","Cause à compléter dans Paramètres",IF(OR(NOT(ISNUMBER(E2227)),N(E2227)&lt;=0,N(E2227)&gt;1440),"Durée invalide",IF(COUNTIFS(sj_date,A2227,sj_eq,B2227,sj_po,C2227)=0,"Pas de saisie journalière ce jour-là","OK")))))))))))</f>
        <v/>
      </c>
      <c r="J2227">
        <f>IF(OR(I2227="OK",I2227="Pas de saisie journalière ce jour-là"),E2227,0)</f>
        <v>0.0</v>
      </c>
      <c r="K2227">
        <f>IF(AND(J2227&gt;0,A2227&gt;=p_from,A2227&lt;=p_to),1,0)</f>
        <v>0.0</v>
      </c>
      <c r="L2227">
        <f>IF(AND(K2227=1,OR(pa_po="",C2227=pa_po),OR(pa_eq="",B2227=pa_eq)),1,0)</f>
        <v>0.0</v>
      </c>
    </row>
    <row r="2228">
      <c r="A2228" s="51" t="n"/>
      <c r="B2228" s="52" t="n"/>
      <c r="C2228" s="52" t="n"/>
      <c r="D2228" s="53" t="n"/>
      <c r="E2228" s="60" t="n"/>
      <c r="F2228" s="53" t="n"/>
      <c r="G2228" s="61" t="str">
        <f>IF(OR(COUNTA(A2228:E2228)=0,D2228=""),"",IFERROR(INDEX(ca_fam,MATCH(D2228,ca_name,0))&amp;"",""))</f>
        <v/>
      </c>
      <c r="H2228" s="58" t="str">
        <f>IF(OR(COUNTA(A2228:E2228)=0,D2228=""),"",IFERROR(INDEX(ca_type,MATCH(D2228,ca_name,0))&amp;"",""))</f>
        <v/>
      </c>
      <c r="I2228" s="58" t="str">
        <f>IF(COUNTA(A2228:E2228)=0,"",IF(N(A2228)&lt;=0,"Date manquante ou invalide",IF(B2228="","Équipe manquante",IF(ISNA(MATCH(B2228,eq_code,0)),"Équipe inconnue",IF(C2228="","Poste manquant",IF(ISNA(MATCH(C2228,po_code,0)),"Poste inconnu",IF(D2228="","Cause manquante",IF(ISNA(MATCH(D2228,ca_name,0)),"Cause inconnue",IF(H2228="","Cause à compléter dans Paramètres",IF(OR(NOT(ISNUMBER(E2228)),N(E2228)&lt;=0,N(E2228)&gt;1440),"Durée invalide",IF(COUNTIFS(sj_date,A2228,sj_eq,B2228,sj_po,C2228)=0,"Pas de saisie journalière ce jour-là","OK")))))))))))</f>
        <v/>
      </c>
      <c r="J2228">
        <f>IF(OR(I2228="OK",I2228="Pas de saisie journalière ce jour-là"),E2228,0)</f>
        <v>0.0</v>
      </c>
      <c r="K2228">
        <f>IF(AND(J2228&gt;0,A2228&gt;=p_from,A2228&lt;=p_to),1,0)</f>
        <v>0.0</v>
      </c>
      <c r="L2228">
        <f>IF(AND(K2228=1,OR(pa_po="",C2228=pa_po),OR(pa_eq="",B2228=pa_eq)),1,0)</f>
        <v>0.0</v>
      </c>
    </row>
    <row r="2229">
      <c r="A2229" s="51" t="n"/>
      <c r="B2229" s="52" t="n"/>
      <c r="C2229" s="52" t="n"/>
      <c r="D2229" s="53" t="n"/>
      <c r="E2229" s="60" t="n"/>
      <c r="F2229" s="53" t="n"/>
      <c r="G2229" s="61" t="str">
        <f>IF(OR(COUNTA(A2229:E2229)=0,D2229=""),"",IFERROR(INDEX(ca_fam,MATCH(D2229,ca_name,0))&amp;"",""))</f>
        <v/>
      </c>
      <c r="H2229" s="58" t="str">
        <f>IF(OR(COUNTA(A2229:E2229)=0,D2229=""),"",IFERROR(INDEX(ca_type,MATCH(D2229,ca_name,0))&amp;"",""))</f>
        <v/>
      </c>
      <c r="I2229" s="58" t="str">
        <f>IF(COUNTA(A2229:E2229)=0,"",IF(N(A2229)&lt;=0,"Date manquante ou invalide",IF(B2229="","Équipe manquante",IF(ISNA(MATCH(B2229,eq_code,0)),"Équipe inconnue",IF(C2229="","Poste manquant",IF(ISNA(MATCH(C2229,po_code,0)),"Poste inconnu",IF(D2229="","Cause manquante",IF(ISNA(MATCH(D2229,ca_name,0)),"Cause inconnue",IF(H2229="","Cause à compléter dans Paramètres",IF(OR(NOT(ISNUMBER(E2229)),N(E2229)&lt;=0,N(E2229)&gt;1440),"Durée invalide",IF(COUNTIFS(sj_date,A2229,sj_eq,B2229,sj_po,C2229)=0,"Pas de saisie journalière ce jour-là","OK")))))))))))</f>
        <v/>
      </c>
      <c r="J2229">
        <f>IF(OR(I2229="OK",I2229="Pas de saisie journalière ce jour-là"),E2229,0)</f>
        <v>0.0</v>
      </c>
      <c r="K2229">
        <f>IF(AND(J2229&gt;0,A2229&gt;=p_from,A2229&lt;=p_to),1,0)</f>
        <v>0.0</v>
      </c>
      <c r="L2229">
        <f>IF(AND(K2229=1,OR(pa_po="",C2229=pa_po),OR(pa_eq="",B2229=pa_eq)),1,0)</f>
        <v>0.0</v>
      </c>
    </row>
    <row r="2230">
      <c r="A2230" s="51" t="n"/>
      <c r="B2230" s="52" t="n"/>
      <c r="C2230" s="52" t="n"/>
      <c r="D2230" s="53" t="n"/>
      <c r="E2230" s="60" t="n"/>
      <c r="F2230" s="53" t="n"/>
      <c r="G2230" s="61" t="str">
        <f>IF(OR(COUNTA(A2230:E2230)=0,D2230=""),"",IFERROR(INDEX(ca_fam,MATCH(D2230,ca_name,0))&amp;"",""))</f>
        <v/>
      </c>
      <c r="H2230" s="58" t="str">
        <f>IF(OR(COUNTA(A2230:E2230)=0,D2230=""),"",IFERROR(INDEX(ca_type,MATCH(D2230,ca_name,0))&amp;"",""))</f>
        <v/>
      </c>
      <c r="I2230" s="58" t="str">
        <f>IF(COUNTA(A2230:E2230)=0,"",IF(N(A2230)&lt;=0,"Date manquante ou invalide",IF(B2230="","Équipe manquante",IF(ISNA(MATCH(B2230,eq_code,0)),"Équipe inconnue",IF(C2230="","Poste manquant",IF(ISNA(MATCH(C2230,po_code,0)),"Poste inconnu",IF(D2230="","Cause manquante",IF(ISNA(MATCH(D2230,ca_name,0)),"Cause inconnue",IF(H2230="","Cause à compléter dans Paramètres",IF(OR(NOT(ISNUMBER(E2230)),N(E2230)&lt;=0,N(E2230)&gt;1440),"Durée invalide",IF(COUNTIFS(sj_date,A2230,sj_eq,B2230,sj_po,C2230)=0,"Pas de saisie journalière ce jour-là","OK")))))))))))</f>
        <v/>
      </c>
      <c r="J2230">
        <f>IF(OR(I2230="OK",I2230="Pas de saisie journalière ce jour-là"),E2230,0)</f>
        <v>0.0</v>
      </c>
      <c r="K2230">
        <f>IF(AND(J2230&gt;0,A2230&gt;=p_from,A2230&lt;=p_to),1,0)</f>
        <v>0.0</v>
      </c>
      <c r="L2230">
        <f>IF(AND(K2230=1,OR(pa_po="",C2230=pa_po),OR(pa_eq="",B2230=pa_eq)),1,0)</f>
        <v>0.0</v>
      </c>
    </row>
    <row r="2231">
      <c r="A2231" s="51" t="n"/>
      <c r="B2231" s="52" t="n"/>
      <c r="C2231" s="52" t="n"/>
      <c r="D2231" s="53" t="n"/>
      <c r="E2231" s="60" t="n"/>
      <c r="F2231" s="53" t="n"/>
      <c r="G2231" s="61" t="str">
        <f>IF(OR(COUNTA(A2231:E2231)=0,D2231=""),"",IFERROR(INDEX(ca_fam,MATCH(D2231,ca_name,0))&amp;"",""))</f>
        <v/>
      </c>
      <c r="H2231" s="58" t="str">
        <f>IF(OR(COUNTA(A2231:E2231)=0,D2231=""),"",IFERROR(INDEX(ca_type,MATCH(D2231,ca_name,0))&amp;"",""))</f>
        <v/>
      </c>
      <c r="I2231" s="58" t="str">
        <f>IF(COUNTA(A2231:E2231)=0,"",IF(N(A2231)&lt;=0,"Date manquante ou invalide",IF(B2231="","Équipe manquante",IF(ISNA(MATCH(B2231,eq_code,0)),"Équipe inconnue",IF(C2231="","Poste manquant",IF(ISNA(MATCH(C2231,po_code,0)),"Poste inconnu",IF(D2231="","Cause manquante",IF(ISNA(MATCH(D2231,ca_name,0)),"Cause inconnue",IF(H2231="","Cause à compléter dans Paramètres",IF(OR(NOT(ISNUMBER(E2231)),N(E2231)&lt;=0,N(E2231)&gt;1440),"Durée invalide",IF(COUNTIFS(sj_date,A2231,sj_eq,B2231,sj_po,C2231)=0,"Pas de saisie journalière ce jour-là","OK")))))))))))</f>
        <v/>
      </c>
      <c r="J2231">
        <f>IF(OR(I2231="OK",I2231="Pas de saisie journalière ce jour-là"),E2231,0)</f>
        <v>0.0</v>
      </c>
      <c r="K2231">
        <f>IF(AND(J2231&gt;0,A2231&gt;=p_from,A2231&lt;=p_to),1,0)</f>
        <v>0.0</v>
      </c>
      <c r="L2231">
        <f>IF(AND(K2231=1,OR(pa_po="",C2231=pa_po),OR(pa_eq="",B2231=pa_eq)),1,0)</f>
        <v>0.0</v>
      </c>
    </row>
    <row r="2232">
      <c r="A2232" s="51" t="n"/>
      <c r="B2232" s="52" t="n"/>
      <c r="C2232" s="52" t="n"/>
      <c r="D2232" s="53" t="n"/>
      <c r="E2232" s="60" t="n"/>
      <c r="F2232" s="53" t="n"/>
      <c r="G2232" s="61" t="str">
        <f>IF(OR(COUNTA(A2232:E2232)=0,D2232=""),"",IFERROR(INDEX(ca_fam,MATCH(D2232,ca_name,0))&amp;"",""))</f>
        <v/>
      </c>
      <c r="H2232" s="58" t="str">
        <f>IF(OR(COUNTA(A2232:E2232)=0,D2232=""),"",IFERROR(INDEX(ca_type,MATCH(D2232,ca_name,0))&amp;"",""))</f>
        <v/>
      </c>
      <c r="I2232" s="58" t="str">
        <f>IF(COUNTA(A2232:E2232)=0,"",IF(N(A2232)&lt;=0,"Date manquante ou invalide",IF(B2232="","Équipe manquante",IF(ISNA(MATCH(B2232,eq_code,0)),"Équipe inconnue",IF(C2232="","Poste manquant",IF(ISNA(MATCH(C2232,po_code,0)),"Poste inconnu",IF(D2232="","Cause manquante",IF(ISNA(MATCH(D2232,ca_name,0)),"Cause inconnue",IF(H2232="","Cause à compléter dans Paramètres",IF(OR(NOT(ISNUMBER(E2232)),N(E2232)&lt;=0,N(E2232)&gt;1440),"Durée invalide",IF(COUNTIFS(sj_date,A2232,sj_eq,B2232,sj_po,C2232)=0,"Pas de saisie journalière ce jour-là","OK")))))))))))</f>
        <v/>
      </c>
      <c r="J2232">
        <f>IF(OR(I2232="OK",I2232="Pas de saisie journalière ce jour-là"),E2232,0)</f>
        <v>0.0</v>
      </c>
      <c r="K2232">
        <f>IF(AND(J2232&gt;0,A2232&gt;=p_from,A2232&lt;=p_to),1,0)</f>
        <v>0.0</v>
      </c>
      <c r="L2232">
        <f>IF(AND(K2232=1,OR(pa_po="",C2232=pa_po),OR(pa_eq="",B2232=pa_eq)),1,0)</f>
        <v>0.0</v>
      </c>
    </row>
    <row r="2233">
      <c r="A2233" s="51" t="n"/>
      <c r="B2233" s="52" t="n"/>
      <c r="C2233" s="52" t="n"/>
      <c r="D2233" s="53" t="n"/>
      <c r="E2233" s="60" t="n"/>
      <c r="F2233" s="53" t="n"/>
      <c r="G2233" s="61" t="str">
        <f>IF(OR(COUNTA(A2233:E2233)=0,D2233=""),"",IFERROR(INDEX(ca_fam,MATCH(D2233,ca_name,0))&amp;"",""))</f>
        <v/>
      </c>
      <c r="H2233" s="58" t="str">
        <f>IF(OR(COUNTA(A2233:E2233)=0,D2233=""),"",IFERROR(INDEX(ca_type,MATCH(D2233,ca_name,0))&amp;"",""))</f>
        <v/>
      </c>
      <c r="I2233" s="58" t="str">
        <f>IF(COUNTA(A2233:E2233)=0,"",IF(N(A2233)&lt;=0,"Date manquante ou invalide",IF(B2233="","Équipe manquante",IF(ISNA(MATCH(B2233,eq_code,0)),"Équipe inconnue",IF(C2233="","Poste manquant",IF(ISNA(MATCH(C2233,po_code,0)),"Poste inconnu",IF(D2233="","Cause manquante",IF(ISNA(MATCH(D2233,ca_name,0)),"Cause inconnue",IF(H2233="","Cause à compléter dans Paramètres",IF(OR(NOT(ISNUMBER(E2233)),N(E2233)&lt;=0,N(E2233)&gt;1440),"Durée invalide",IF(COUNTIFS(sj_date,A2233,sj_eq,B2233,sj_po,C2233)=0,"Pas de saisie journalière ce jour-là","OK")))))))))))</f>
        <v/>
      </c>
      <c r="J2233">
        <f>IF(OR(I2233="OK",I2233="Pas de saisie journalière ce jour-là"),E2233,0)</f>
        <v>0.0</v>
      </c>
      <c r="K2233">
        <f>IF(AND(J2233&gt;0,A2233&gt;=p_from,A2233&lt;=p_to),1,0)</f>
        <v>0.0</v>
      </c>
      <c r="L2233">
        <f>IF(AND(K2233=1,OR(pa_po="",C2233=pa_po),OR(pa_eq="",B2233=pa_eq)),1,0)</f>
        <v>0.0</v>
      </c>
    </row>
    <row r="2234">
      <c r="A2234" s="51" t="n"/>
      <c r="B2234" s="52" t="n"/>
      <c r="C2234" s="52" t="n"/>
      <c r="D2234" s="53" t="n"/>
      <c r="E2234" s="60" t="n"/>
      <c r="F2234" s="53" t="n"/>
      <c r="G2234" s="61" t="str">
        <f>IF(OR(COUNTA(A2234:E2234)=0,D2234=""),"",IFERROR(INDEX(ca_fam,MATCH(D2234,ca_name,0))&amp;"",""))</f>
        <v/>
      </c>
      <c r="H2234" s="58" t="str">
        <f>IF(OR(COUNTA(A2234:E2234)=0,D2234=""),"",IFERROR(INDEX(ca_type,MATCH(D2234,ca_name,0))&amp;"",""))</f>
        <v/>
      </c>
      <c r="I2234" s="58" t="str">
        <f>IF(COUNTA(A2234:E2234)=0,"",IF(N(A2234)&lt;=0,"Date manquante ou invalide",IF(B2234="","Équipe manquante",IF(ISNA(MATCH(B2234,eq_code,0)),"Équipe inconnue",IF(C2234="","Poste manquant",IF(ISNA(MATCH(C2234,po_code,0)),"Poste inconnu",IF(D2234="","Cause manquante",IF(ISNA(MATCH(D2234,ca_name,0)),"Cause inconnue",IF(H2234="","Cause à compléter dans Paramètres",IF(OR(NOT(ISNUMBER(E2234)),N(E2234)&lt;=0,N(E2234)&gt;1440),"Durée invalide",IF(COUNTIFS(sj_date,A2234,sj_eq,B2234,sj_po,C2234)=0,"Pas de saisie journalière ce jour-là","OK")))))))))))</f>
        <v/>
      </c>
      <c r="J2234">
        <f>IF(OR(I2234="OK",I2234="Pas de saisie journalière ce jour-là"),E2234,0)</f>
        <v>0.0</v>
      </c>
      <c r="K2234">
        <f>IF(AND(J2234&gt;0,A2234&gt;=p_from,A2234&lt;=p_to),1,0)</f>
        <v>0.0</v>
      </c>
      <c r="L2234">
        <f>IF(AND(K2234=1,OR(pa_po="",C2234=pa_po),OR(pa_eq="",B2234=pa_eq)),1,0)</f>
        <v>0.0</v>
      </c>
    </row>
    <row r="2235">
      <c r="A2235" s="51" t="n"/>
      <c r="B2235" s="52" t="n"/>
      <c r="C2235" s="52" t="n"/>
      <c r="D2235" s="53" t="n"/>
      <c r="E2235" s="60" t="n"/>
      <c r="F2235" s="53" t="n"/>
      <c r="G2235" s="61" t="str">
        <f>IF(OR(COUNTA(A2235:E2235)=0,D2235=""),"",IFERROR(INDEX(ca_fam,MATCH(D2235,ca_name,0))&amp;"",""))</f>
        <v/>
      </c>
      <c r="H2235" s="58" t="str">
        <f>IF(OR(COUNTA(A2235:E2235)=0,D2235=""),"",IFERROR(INDEX(ca_type,MATCH(D2235,ca_name,0))&amp;"",""))</f>
        <v/>
      </c>
      <c r="I2235" s="58" t="str">
        <f>IF(COUNTA(A2235:E2235)=0,"",IF(N(A2235)&lt;=0,"Date manquante ou invalide",IF(B2235="","Équipe manquante",IF(ISNA(MATCH(B2235,eq_code,0)),"Équipe inconnue",IF(C2235="","Poste manquant",IF(ISNA(MATCH(C2235,po_code,0)),"Poste inconnu",IF(D2235="","Cause manquante",IF(ISNA(MATCH(D2235,ca_name,0)),"Cause inconnue",IF(H2235="","Cause à compléter dans Paramètres",IF(OR(NOT(ISNUMBER(E2235)),N(E2235)&lt;=0,N(E2235)&gt;1440),"Durée invalide",IF(COUNTIFS(sj_date,A2235,sj_eq,B2235,sj_po,C2235)=0,"Pas de saisie journalière ce jour-là","OK")))))))))))</f>
        <v/>
      </c>
      <c r="J2235">
        <f>IF(OR(I2235="OK",I2235="Pas de saisie journalière ce jour-là"),E2235,0)</f>
        <v>0.0</v>
      </c>
      <c r="K2235">
        <f>IF(AND(J2235&gt;0,A2235&gt;=p_from,A2235&lt;=p_to),1,0)</f>
        <v>0.0</v>
      </c>
      <c r="L2235">
        <f>IF(AND(K2235=1,OR(pa_po="",C2235=pa_po),OR(pa_eq="",B2235=pa_eq)),1,0)</f>
        <v>0.0</v>
      </c>
    </row>
    <row r="2236">
      <c r="A2236" s="51" t="n"/>
      <c r="B2236" s="52" t="n"/>
      <c r="C2236" s="52" t="n"/>
      <c r="D2236" s="53" t="n"/>
      <c r="E2236" s="60" t="n"/>
      <c r="F2236" s="53" t="n"/>
      <c r="G2236" s="61" t="str">
        <f>IF(OR(COUNTA(A2236:E2236)=0,D2236=""),"",IFERROR(INDEX(ca_fam,MATCH(D2236,ca_name,0))&amp;"",""))</f>
        <v/>
      </c>
      <c r="H2236" s="58" t="str">
        <f>IF(OR(COUNTA(A2236:E2236)=0,D2236=""),"",IFERROR(INDEX(ca_type,MATCH(D2236,ca_name,0))&amp;"",""))</f>
        <v/>
      </c>
      <c r="I2236" s="58" t="str">
        <f>IF(COUNTA(A2236:E2236)=0,"",IF(N(A2236)&lt;=0,"Date manquante ou invalide",IF(B2236="","Équipe manquante",IF(ISNA(MATCH(B2236,eq_code,0)),"Équipe inconnue",IF(C2236="","Poste manquant",IF(ISNA(MATCH(C2236,po_code,0)),"Poste inconnu",IF(D2236="","Cause manquante",IF(ISNA(MATCH(D2236,ca_name,0)),"Cause inconnue",IF(H2236="","Cause à compléter dans Paramètres",IF(OR(NOT(ISNUMBER(E2236)),N(E2236)&lt;=0,N(E2236)&gt;1440),"Durée invalide",IF(COUNTIFS(sj_date,A2236,sj_eq,B2236,sj_po,C2236)=0,"Pas de saisie journalière ce jour-là","OK")))))))))))</f>
        <v/>
      </c>
      <c r="J2236">
        <f>IF(OR(I2236="OK",I2236="Pas de saisie journalière ce jour-là"),E2236,0)</f>
        <v>0.0</v>
      </c>
      <c r="K2236">
        <f>IF(AND(J2236&gt;0,A2236&gt;=p_from,A2236&lt;=p_to),1,0)</f>
        <v>0.0</v>
      </c>
      <c r="L2236">
        <f>IF(AND(K2236=1,OR(pa_po="",C2236=pa_po),OR(pa_eq="",B2236=pa_eq)),1,0)</f>
        <v>0.0</v>
      </c>
    </row>
    <row r="2237">
      <c r="A2237" s="51" t="n"/>
      <c r="B2237" s="52" t="n"/>
      <c r="C2237" s="52" t="n"/>
      <c r="D2237" s="53" t="n"/>
      <c r="E2237" s="60" t="n"/>
      <c r="F2237" s="53" t="n"/>
      <c r="G2237" s="61" t="str">
        <f>IF(OR(COUNTA(A2237:E2237)=0,D2237=""),"",IFERROR(INDEX(ca_fam,MATCH(D2237,ca_name,0))&amp;"",""))</f>
        <v/>
      </c>
      <c r="H2237" s="58" t="str">
        <f>IF(OR(COUNTA(A2237:E2237)=0,D2237=""),"",IFERROR(INDEX(ca_type,MATCH(D2237,ca_name,0))&amp;"",""))</f>
        <v/>
      </c>
      <c r="I2237" s="58" t="str">
        <f>IF(COUNTA(A2237:E2237)=0,"",IF(N(A2237)&lt;=0,"Date manquante ou invalide",IF(B2237="","Équipe manquante",IF(ISNA(MATCH(B2237,eq_code,0)),"Équipe inconnue",IF(C2237="","Poste manquant",IF(ISNA(MATCH(C2237,po_code,0)),"Poste inconnu",IF(D2237="","Cause manquante",IF(ISNA(MATCH(D2237,ca_name,0)),"Cause inconnue",IF(H2237="","Cause à compléter dans Paramètres",IF(OR(NOT(ISNUMBER(E2237)),N(E2237)&lt;=0,N(E2237)&gt;1440),"Durée invalide",IF(COUNTIFS(sj_date,A2237,sj_eq,B2237,sj_po,C2237)=0,"Pas de saisie journalière ce jour-là","OK")))))))))))</f>
        <v/>
      </c>
      <c r="J2237">
        <f>IF(OR(I2237="OK",I2237="Pas de saisie journalière ce jour-là"),E2237,0)</f>
        <v>0.0</v>
      </c>
      <c r="K2237">
        <f>IF(AND(J2237&gt;0,A2237&gt;=p_from,A2237&lt;=p_to),1,0)</f>
        <v>0.0</v>
      </c>
      <c r="L2237">
        <f>IF(AND(K2237=1,OR(pa_po="",C2237=pa_po),OR(pa_eq="",B2237=pa_eq)),1,0)</f>
        <v>0.0</v>
      </c>
    </row>
    <row r="2238">
      <c r="A2238" s="51" t="n"/>
      <c r="B2238" s="52" t="n"/>
      <c r="C2238" s="52" t="n"/>
      <c r="D2238" s="53" t="n"/>
      <c r="E2238" s="60" t="n"/>
      <c r="F2238" s="53" t="n"/>
      <c r="G2238" s="61" t="str">
        <f>IF(OR(COUNTA(A2238:E2238)=0,D2238=""),"",IFERROR(INDEX(ca_fam,MATCH(D2238,ca_name,0))&amp;"",""))</f>
        <v/>
      </c>
      <c r="H2238" s="58" t="str">
        <f>IF(OR(COUNTA(A2238:E2238)=0,D2238=""),"",IFERROR(INDEX(ca_type,MATCH(D2238,ca_name,0))&amp;"",""))</f>
        <v/>
      </c>
      <c r="I2238" s="58" t="str">
        <f>IF(COUNTA(A2238:E2238)=0,"",IF(N(A2238)&lt;=0,"Date manquante ou invalide",IF(B2238="","Équipe manquante",IF(ISNA(MATCH(B2238,eq_code,0)),"Équipe inconnue",IF(C2238="","Poste manquant",IF(ISNA(MATCH(C2238,po_code,0)),"Poste inconnu",IF(D2238="","Cause manquante",IF(ISNA(MATCH(D2238,ca_name,0)),"Cause inconnue",IF(H2238="","Cause à compléter dans Paramètres",IF(OR(NOT(ISNUMBER(E2238)),N(E2238)&lt;=0,N(E2238)&gt;1440),"Durée invalide",IF(COUNTIFS(sj_date,A2238,sj_eq,B2238,sj_po,C2238)=0,"Pas de saisie journalière ce jour-là","OK")))))))))))</f>
        <v/>
      </c>
      <c r="J2238">
        <f>IF(OR(I2238="OK",I2238="Pas de saisie journalière ce jour-là"),E2238,0)</f>
        <v>0.0</v>
      </c>
      <c r="K2238">
        <f>IF(AND(J2238&gt;0,A2238&gt;=p_from,A2238&lt;=p_to),1,0)</f>
        <v>0.0</v>
      </c>
      <c r="L2238">
        <f>IF(AND(K2238=1,OR(pa_po="",C2238=pa_po),OR(pa_eq="",B2238=pa_eq)),1,0)</f>
        <v>0.0</v>
      </c>
    </row>
    <row r="2239">
      <c r="A2239" s="51" t="n"/>
      <c r="B2239" s="52" t="n"/>
      <c r="C2239" s="52" t="n"/>
      <c r="D2239" s="53" t="n"/>
      <c r="E2239" s="60" t="n"/>
      <c r="F2239" s="53" t="n"/>
      <c r="G2239" s="61" t="str">
        <f>IF(OR(COUNTA(A2239:E2239)=0,D2239=""),"",IFERROR(INDEX(ca_fam,MATCH(D2239,ca_name,0))&amp;"",""))</f>
        <v/>
      </c>
      <c r="H2239" s="58" t="str">
        <f>IF(OR(COUNTA(A2239:E2239)=0,D2239=""),"",IFERROR(INDEX(ca_type,MATCH(D2239,ca_name,0))&amp;"",""))</f>
        <v/>
      </c>
      <c r="I2239" s="58" t="str">
        <f>IF(COUNTA(A2239:E2239)=0,"",IF(N(A2239)&lt;=0,"Date manquante ou invalide",IF(B2239="","Équipe manquante",IF(ISNA(MATCH(B2239,eq_code,0)),"Équipe inconnue",IF(C2239="","Poste manquant",IF(ISNA(MATCH(C2239,po_code,0)),"Poste inconnu",IF(D2239="","Cause manquante",IF(ISNA(MATCH(D2239,ca_name,0)),"Cause inconnue",IF(H2239="","Cause à compléter dans Paramètres",IF(OR(NOT(ISNUMBER(E2239)),N(E2239)&lt;=0,N(E2239)&gt;1440),"Durée invalide",IF(COUNTIFS(sj_date,A2239,sj_eq,B2239,sj_po,C2239)=0,"Pas de saisie journalière ce jour-là","OK")))))))))))</f>
        <v/>
      </c>
      <c r="J2239">
        <f>IF(OR(I2239="OK",I2239="Pas de saisie journalière ce jour-là"),E2239,0)</f>
        <v>0.0</v>
      </c>
      <c r="K2239">
        <f>IF(AND(J2239&gt;0,A2239&gt;=p_from,A2239&lt;=p_to),1,0)</f>
        <v>0.0</v>
      </c>
      <c r="L2239">
        <f>IF(AND(K2239=1,OR(pa_po="",C2239=pa_po),OR(pa_eq="",B2239=pa_eq)),1,0)</f>
        <v>0.0</v>
      </c>
    </row>
    <row r="2240">
      <c r="A2240" s="51" t="n"/>
      <c r="B2240" s="52" t="n"/>
      <c r="C2240" s="52" t="n"/>
      <c r="D2240" s="53" t="n"/>
      <c r="E2240" s="60" t="n"/>
      <c r="F2240" s="53" t="n"/>
      <c r="G2240" s="61" t="str">
        <f>IF(OR(COUNTA(A2240:E2240)=0,D2240=""),"",IFERROR(INDEX(ca_fam,MATCH(D2240,ca_name,0))&amp;"",""))</f>
        <v/>
      </c>
      <c r="H2240" s="58" t="str">
        <f>IF(OR(COUNTA(A2240:E2240)=0,D2240=""),"",IFERROR(INDEX(ca_type,MATCH(D2240,ca_name,0))&amp;"",""))</f>
        <v/>
      </c>
      <c r="I2240" s="58" t="str">
        <f>IF(COUNTA(A2240:E2240)=0,"",IF(N(A2240)&lt;=0,"Date manquante ou invalide",IF(B2240="","Équipe manquante",IF(ISNA(MATCH(B2240,eq_code,0)),"Équipe inconnue",IF(C2240="","Poste manquant",IF(ISNA(MATCH(C2240,po_code,0)),"Poste inconnu",IF(D2240="","Cause manquante",IF(ISNA(MATCH(D2240,ca_name,0)),"Cause inconnue",IF(H2240="","Cause à compléter dans Paramètres",IF(OR(NOT(ISNUMBER(E2240)),N(E2240)&lt;=0,N(E2240)&gt;1440),"Durée invalide",IF(COUNTIFS(sj_date,A2240,sj_eq,B2240,sj_po,C2240)=0,"Pas de saisie journalière ce jour-là","OK")))))))))))</f>
        <v/>
      </c>
      <c r="J2240">
        <f>IF(OR(I2240="OK",I2240="Pas de saisie journalière ce jour-là"),E2240,0)</f>
        <v>0.0</v>
      </c>
      <c r="K2240">
        <f>IF(AND(J2240&gt;0,A2240&gt;=p_from,A2240&lt;=p_to),1,0)</f>
        <v>0.0</v>
      </c>
      <c r="L2240">
        <f>IF(AND(K2240=1,OR(pa_po="",C2240=pa_po),OR(pa_eq="",B2240=pa_eq)),1,0)</f>
        <v>0.0</v>
      </c>
    </row>
    <row r="2241">
      <c r="A2241" s="51" t="n"/>
      <c r="B2241" s="52" t="n"/>
      <c r="C2241" s="52" t="n"/>
      <c r="D2241" s="53" t="n"/>
      <c r="E2241" s="60" t="n"/>
      <c r="F2241" s="53" t="n"/>
      <c r="G2241" s="61" t="str">
        <f>IF(OR(COUNTA(A2241:E2241)=0,D2241=""),"",IFERROR(INDEX(ca_fam,MATCH(D2241,ca_name,0))&amp;"",""))</f>
        <v/>
      </c>
      <c r="H2241" s="58" t="str">
        <f>IF(OR(COUNTA(A2241:E2241)=0,D2241=""),"",IFERROR(INDEX(ca_type,MATCH(D2241,ca_name,0))&amp;"",""))</f>
        <v/>
      </c>
      <c r="I2241" s="58" t="str">
        <f>IF(COUNTA(A2241:E2241)=0,"",IF(N(A2241)&lt;=0,"Date manquante ou invalide",IF(B2241="","Équipe manquante",IF(ISNA(MATCH(B2241,eq_code,0)),"Équipe inconnue",IF(C2241="","Poste manquant",IF(ISNA(MATCH(C2241,po_code,0)),"Poste inconnu",IF(D2241="","Cause manquante",IF(ISNA(MATCH(D2241,ca_name,0)),"Cause inconnue",IF(H2241="","Cause à compléter dans Paramètres",IF(OR(NOT(ISNUMBER(E2241)),N(E2241)&lt;=0,N(E2241)&gt;1440),"Durée invalide",IF(COUNTIFS(sj_date,A2241,sj_eq,B2241,sj_po,C2241)=0,"Pas de saisie journalière ce jour-là","OK")))))))))))</f>
        <v/>
      </c>
      <c r="J2241">
        <f>IF(OR(I2241="OK",I2241="Pas de saisie journalière ce jour-là"),E2241,0)</f>
        <v>0.0</v>
      </c>
      <c r="K2241">
        <f>IF(AND(J2241&gt;0,A2241&gt;=p_from,A2241&lt;=p_to),1,0)</f>
        <v>0.0</v>
      </c>
      <c r="L2241">
        <f>IF(AND(K2241=1,OR(pa_po="",C2241=pa_po),OR(pa_eq="",B2241=pa_eq)),1,0)</f>
        <v>0.0</v>
      </c>
    </row>
    <row r="2242">
      <c r="A2242" s="51" t="n"/>
      <c r="B2242" s="52" t="n"/>
      <c r="C2242" s="52" t="n"/>
      <c r="D2242" s="53" t="n"/>
      <c r="E2242" s="60" t="n"/>
      <c r="F2242" s="53" t="n"/>
      <c r="G2242" s="61" t="str">
        <f>IF(OR(COUNTA(A2242:E2242)=0,D2242=""),"",IFERROR(INDEX(ca_fam,MATCH(D2242,ca_name,0))&amp;"",""))</f>
        <v/>
      </c>
      <c r="H2242" s="58" t="str">
        <f>IF(OR(COUNTA(A2242:E2242)=0,D2242=""),"",IFERROR(INDEX(ca_type,MATCH(D2242,ca_name,0))&amp;"",""))</f>
        <v/>
      </c>
      <c r="I2242" s="58" t="str">
        <f>IF(COUNTA(A2242:E2242)=0,"",IF(N(A2242)&lt;=0,"Date manquante ou invalide",IF(B2242="","Équipe manquante",IF(ISNA(MATCH(B2242,eq_code,0)),"Équipe inconnue",IF(C2242="","Poste manquant",IF(ISNA(MATCH(C2242,po_code,0)),"Poste inconnu",IF(D2242="","Cause manquante",IF(ISNA(MATCH(D2242,ca_name,0)),"Cause inconnue",IF(H2242="","Cause à compléter dans Paramètres",IF(OR(NOT(ISNUMBER(E2242)),N(E2242)&lt;=0,N(E2242)&gt;1440),"Durée invalide",IF(COUNTIFS(sj_date,A2242,sj_eq,B2242,sj_po,C2242)=0,"Pas de saisie journalière ce jour-là","OK")))))))))))</f>
        <v/>
      </c>
      <c r="J2242">
        <f>IF(OR(I2242="OK",I2242="Pas de saisie journalière ce jour-là"),E2242,0)</f>
        <v>0.0</v>
      </c>
      <c r="K2242">
        <f>IF(AND(J2242&gt;0,A2242&gt;=p_from,A2242&lt;=p_to),1,0)</f>
        <v>0.0</v>
      </c>
      <c r="L2242">
        <f>IF(AND(K2242=1,OR(pa_po="",C2242=pa_po),OR(pa_eq="",B2242=pa_eq)),1,0)</f>
        <v>0.0</v>
      </c>
    </row>
    <row r="2243">
      <c r="A2243" s="51" t="n"/>
      <c r="B2243" s="52" t="n"/>
      <c r="C2243" s="52" t="n"/>
      <c r="D2243" s="53" t="n"/>
      <c r="E2243" s="60" t="n"/>
      <c r="F2243" s="53" t="n"/>
      <c r="G2243" s="61" t="str">
        <f>IF(OR(COUNTA(A2243:E2243)=0,D2243=""),"",IFERROR(INDEX(ca_fam,MATCH(D2243,ca_name,0))&amp;"",""))</f>
        <v/>
      </c>
      <c r="H2243" s="58" t="str">
        <f>IF(OR(COUNTA(A2243:E2243)=0,D2243=""),"",IFERROR(INDEX(ca_type,MATCH(D2243,ca_name,0))&amp;"",""))</f>
        <v/>
      </c>
      <c r="I2243" s="58" t="str">
        <f>IF(COUNTA(A2243:E2243)=0,"",IF(N(A2243)&lt;=0,"Date manquante ou invalide",IF(B2243="","Équipe manquante",IF(ISNA(MATCH(B2243,eq_code,0)),"Équipe inconnue",IF(C2243="","Poste manquant",IF(ISNA(MATCH(C2243,po_code,0)),"Poste inconnu",IF(D2243="","Cause manquante",IF(ISNA(MATCH(D2243,ca_name,0)),"Cause inconnue",IF(H2243="","Cause à compléter dans Paramètres",IF(OR(NOT(ISNUMBER(E2243)),N(E2243)&lt;=0,N(E2243)&gt;1440),"Durée invalide",IF(COUNTIFS(sj_date,A2243,sj_eq,B2243,sj_po,C2243)=0,"Pas de saisie journalière ce jour-là","OK")))))))))))</f>
        <v/>
      </c>
      <c r="J2243">
        <f>IF(OR(I2243="OK",I2243="Pas de saisie journalière ce jour-là"),E2243,0)</f>
        <v>0.0</v>
      </c>
      <c r="K2243">
        <f>IF(AND(J2243&gt;0,A2243&gt;=p_from,A2243&lt;=p_to),1,0)</f>
        <v>0.0</v>
      </c>
      <c r="L2243">
        <f>IF(AND(K2243=1,OR(pa_po="",C2243=pa_po),OR(pa_eq="",B2243=pa_eq)),1,0)</f>
        <v>0.0</v>
      </c>
    </row>
    <row r="2244">
      <c r="A2244" s="51" t="n"/>
      <c r="B2244" s="52" t="n"/>
      <c r="C2244" s="52" t="n"/>
      <c r="D2244" s="53" t="n"/>
      <c r="E2244" s="60" t="n"/>
      <c r="F2244" s="53" t="n"/>
      <c r="G2244" s="61" t="str">
        <f>IF(OR(COUNTA(A2244:E2244)=0,D2244=""),"",IFERROR(INDEX(ca_fam,MATCH(D2244,ca_name,0))&amp;"",""))</f>
        <v/>
      </c>
      <c r="H2244" s="58" t="str">
        <f>IF(OR(COUNTA(A2244:E2244)=0,D2244=""),"",IFERROR(INDEX(ca_type,MATCH(D2244,ca_name,0))&amp;"",""))</f>
        <v/>
      </c>
      <c r="I2244" s="58" t="str">
        <f>IF(COUNTA(A2244:E2244)=0,"",IF(N(A2244)&lt;=0,"Date manquante ou invalide",IF(B2244="","Équipe manquante",IF(ISNA(MATCH(B2244,eq_code,0)),"Équipe inconnue",IF(C2244="","Poste manquant",IF(ISNA(MATCH(C2244,po_code,0)),"Poste inconnu",IF(D2244="","Cause manquante",IF(ISNA(MATCH(D2244,ca_name,0)),"Cause inconnue",IF(H2244="","Cause à compléter dans Paramètres",IF(OR(NOT(ISNUMBER(E2244)),N(E2244)&lt;=0,N(E2244)&gt;1440),"Durée invalide",IF(COUNTIFS(sj_date,A2244,sj_eq,B2244,sj_po,C2244)=0,"Pas de saisie journalière ce jour-là","OK")))))))))))</f>
        <v/>
      </c>
      <c r="J2244">
        <f>IF(OR(I2244="OK",I2244="Pas de saisie journalière ce jour-là"),E2244,0)</f>
        <v>0.0</v>
      </c>
      <c r="K2244">
        <f>IF(AND(J2244&gt;0,A2244&gt;=p_from,A2244&lt;=p_to),1,0)</f>
        <v>0.0</v>
      </c>
      <c r="L2244">
        <f>IF(AND(K2244=1,OR(pa_po="",C2244=pa_po),OR(pa_eq="",B2244=pa_eq)),1,0)</f>
        <v>0.0</v>
      </c>
    </row>
    <row r="2245">
      <c r="A2245" s="51" t="n"/>
      <c r="B2245" s="52" t="n"/>
      <c r="C2245" s="52" t="n"/>
      <c r="D2245" s="53" t="n"/>
      <c r="E2245" s="60" t="n"/>
      <c r="F2245" s="53" t="n"/>
      <c r="G2245" s="61" t="str">
        <f>IF(OR(COUNTA(A2245:E2245)=0,D2245=""),"",IFERROR(INDEX(ca_fam,MATCH(D2245,ca_name,0))&amp;"",""))</f>
        <v/>
      </c>
      <c r="H2245" s="58" t="str">
        <f>IF(OR(COUNTA(A2245:E2245)=0,D2245=""),"",IFERROR(INDEX(ca_type,MATCH(D2245,ca_name,0))&amp;"",""))</f>
        <v/>
      </c>
      <c r="I2245" s="58" t="str">
        <f>IF(COUNTA(A2245:E2245)=0,"",IF(N(A2245)&lt;=0,"Date manquante ou invalide",IF(B2245="","Équipe manquante",IF(ISNA(MATCH(B2245,eq_code,0)),"Équipe inconnue",IF(C2245="","Poste manquant",IF(ISNA(MATCH(C2245,po_code,0)),"Poste inconnu",IF(D2245="","Cause manquante",IF(ISNA(MATCH(D2245,ca_name,0)),"Cause inconnue",IF(H2245="","Cause à compléter dans Paramètres",IF(OR(NOT(ISNUMBER(E2245)),N(E2245)&lt;=0,N(E2245)&gt;1440),"Durée invalide",IF(COUNTIFS(sj_date,A2245,sj_eq,B2245,sj_po,C2245)=0,"Pas de saisie journalière ce jour-là","OK")))))))))))</f>
        <v/>
      </c>
      <c r="J2245">
        <f>IF(OR(I2245="OK",I2245="Pas de saisie journalière ce jour-là"),E2245,0)</f>
        <v>0.0</v>
      </c>
      <c r="K2245">
        <f>IF(AND(J2245&gt;0,A2245&gt;=p_from,A2245&lt;=p_to),1,0)</f>
        <v>0.0</v>
      </c>
      <c r="L2245">
        <f>IF(AND(K2245=1,OR(pa_po="",C2245=pa_po),OR(pa_eq="",B2245=pa_eq)),1,0)</f>
        <v>0.0</v>
      </c>
    </row>
    <row r="2246">
      <c r="A2246" s="51" t="n"/>
      <c r="B2246" s="52" t="n"/>
      <c r="C2246" s="52" t="n"/>
      <c r="D2246" s="53" t="n"/>
      <c r="E2246" s="60" t="n"/>
      <c r="F2246" s="53" t="n"/>
      <c r="G2246" s="61" t="str">
        <f>IF(OR(COUNTA(A2246:E2246)=0,D2246=""),"",IFERROR(INDEX(ca_fam,MATCH(D2246,ca_name,0))&amp;"",""))</f>
        <v/>
      </c>
      <c r="H2246" s="58" t="str">
        <f>IF(OR(COUNTA(A2246:E2246)=0,D2246=""),"",IFERROR(INDEX(ca_type,MATCH(D2246,ca_name,0))&amp;"",""))</f>
        <v/>
      </c>
      <c r="I2246" s="58" t="str">
        <f>IF(COUNTA(A2246:E2246)=0,"",IF(N(A2246)&lt;=0,"Date manquante ou invalide",IF(B2246="","Équipe manquante",IF(ISNA(MATCH(B2246,eq_code,0)),"Équipe inconnue",IF(C2246="","Poste manquant",IF(ISNA(MATCH(C2246,po_code,0)),"Poste inconnu",IF(D2246="","Cause manquante",IF(ISNA(MATCH(D2246,ca_name,0)),"Cause inconnue",IF(H2246="","Cause à compléter dans Paramètres",IF(OR(NOT(ISNUMBER(E2246)),N(E2246)&lt;=0,N(E2246)&gt;1440),"Durée invalide",IF(COUNTIFS(sj_date,A2246,sj_eq,B2246,sj_po,C2246)=0,"Pas de saisie journalière ce jour-là","OK")))))))))))</f>
        <v/>
      </c>
      <c r="J2246">
        <f>IF(OR(I2246="OK",I2246="Pas de saisie journalière ce jour-là"),E2246,0)</f>
        <v>0.0</v>
      </c>
      <c r="K2246">
        <f>IF(AND(J2246&gt;0,A2246&gt;=p_from,A2246&lt;=p_to),1,0)</f>
        <v>0.0</v>
      </c>
      <c r="L2246">
        <f>IF(AND(K2246=1,OR(pa_po="",C2246=pa_po),OR(pa_eq="",B2246=pa_eq)),1,0)</f>
        <v>0.0</v>
      </c>
    </row>
    <row r="2247">
      <c r="A2247" s="51" t="n"/>
      <c r="B2247" s="52" t="n"/>
      <c r="C2247" s="52" t="n"/>
      <c r="D2247" s="53" t="n"/>
      <c r="E2247" s="60" t="n"/>
      <c r="F2247" s="53" t="n"/>
      <c r="G2247" s="61" t="str">
        <f>IF(OR(COUNTA(A2247:E2247)=0,D2247=""),"",IFERROR(INDEX(ca_fam,MATCH(D2247,ca_name,0))&amp;"",""))</f>
        <v/>
      </c>
      <c r="H2247" s="58" t="str">
        <f>IF(OR(COUNTA(A2247:E2247)=0,D2247=""),"",IFERROR(INDEX(ca_type,MATCH(D2247,ca_name,0))&amp;"",""))</f>
        <v/>
      </c>
      <c r="I2247" s="58" t="str">
        <f>IF(COUNTA(A2247:E2247)=0,"",IF(N(A2247)&lt;=0,"Date manquante ou invalide",IF(B2247="","Équipe manquante",IF(ISNA(MATCH(B2247,eq_code,0)),"Équipe inconnue",IF(C2247="","Poste manquant",IF(ISNA(MATCH(C2247,po_code,0)),"Poste inconnu",IF(D2247="","Cause manquante",IF(ISNA(MATCH(D2247,ca_name,0)),"Cause inconnue",IF(H2247="","Cause à compléter dans Paramètres",IF(OR(NOT(ISNUMBER(E2247)),N(E2247)&lt;=0,N(E2247)&gt;1440),"Durée invalide",IF(COUNTIFS(sj_date,A2247,sj_eq,B2247,sj_po,C2247)=0,"Pas de saisie journalière ce jour-là","OK")))))))))))</f>
        <v/>
      </c>
      <c r="J2247">
        <f>IF(OR(I2247="OK",I2247="Pas de saisie journalière ce jour-là"),E2247,0)</f>
        <v>0.0</v>
      </c>
      <c r="K2247">
        <f>IF(AND(J2247&gt;0,A2247&gt;=p_from,A2247&lt;=p_to),1,0)</f>
        <v>0.0</v>
      </c>
      <c r="L2247">
        <f>IF(AND(K2247=1,OR(pa_po="",C2247=pa_po),OR(pa_eq="",B2247=pa_eq)),1,0)</f>
        <v>0.0</v>
      </c>
    </row>
    <row r="2248">
      <c r="A2248" s="51" t="n"/>
      <c r="B2248" s="52" t="n"/>
      <c r="C2248" s="52" t="n"/>
      <c r="D2248" s="53" t="n"/>
      <c r="E2248" s="60" t="n"/>
      <c r="F2248" s="53" t="n"/>
      <c r="G2248" s="61" t="str">
        <f>IF(OR(COUNTA(A2248:E2248)=0,D2248=""),"",IFERROR(INDEX(ca_fam,MATCH(D2248,ca_name,0))&amp;"",""))</f>
        <v/>
      </c>
      <c r="H2248" s="58" t="str">
        <f>IF(OR(COUNTA(A2248:E2248)=0,D2248=""),"",IFERROR(INDEX(ca_type,MATCH(D2248,ca_name,0))&amp;"",""))</f>
        <v/>
      </c>
      <c r="I2248" s="58" t="str">
        <f>IF(COUNTA(A2248:E2248)=0,"",IF(N(A2248)&lt;=0,"Date manquante ou invalide",IF(B2248="","Équipe manquante",IF(ISNA(MATCH(B2248,eq_code,0)),"Équipe inconnue",IF(C2248="","Poste manquant",IF(ISNA(MATCH(C2248,po_code,0)),"Poste inconnu",IF(D2248="","Cause manquante",IF(ISNA(MATCH(D2248,ca_name,0)),"Cause inconnue",IF(H2248="","Cause à compléter dans Paramètres",IF(OR(NOT(ISNUMBER(E2248)),N(E2248)&lt;=0,N(E2248)&gt;1440),"Durée invalide",IF(COUNTIFS(sj_date,A2248,sj_eq,B2248,sj_po,C2248)=0,"Pas de saisie journalière ce jour-là","OK")))))))))))</f>
        <v/>
      </c>
      <c r="J2248">
        <f>IF(OR(I2248="OK",I2248="Pas de saisie journalière ce jour-là"),E2248,0)</f>
        <v>0.0</v>
      </c>
      <c r="K2248">
        <f>IF(AND(J2248&gt;0,A2248&gt;=p_from,A2248&lt;=p_to),1,0)</f>
        <v>0.0</v>
      </c>
      <c r="L2248">
        <f>IF(AND(K2248=1,OR(pa_po="",C2248=pa_po),OR(pa_eq="",B2248=pa_eq)),1,0)</f>
        <v>0.0</v>
      </c>
    </row>
    <row r="2249">
      <c r="A2249" s="51" t="n"/>
      <c r="B2249" s="52" t="n"/>
      <c r="C2249" s="52" t="n"/>
      <c r="D2249" s="53" t="n"/>
      <c r="E2249" s="60" t="n"/>
      <c r="F2249" s="53" t="n"/>
      <c r="G2249" s="61" t="str">
        <f>IF(OR(COUNTA(A2249:E2249)=0,D2249=""),"",IFERROR(INDEX(ca_fam,MATCH(D2249,ca_name,0))&amp;"",""))</f>
        <v/>
      </c>
      <c r="H2249" s="58" t="str">
        <f>IF(OR(COUNTA(A2249:E2249)=0,D2249=""),"",IFERROR(INDEX(ca_type,MATCH(D2249,ca_name,0))&amp;"",""))</f>
        <v/>
      </c>
      <c r="I2249" s="58" t="str">
        <f>IF(COUNTA(A2249:E2249)=0,"",IF(N(A2249)&lt;=0,"Date manquante ou invalide",IF(B2249="","Équipe manquante",IF(ISNA(MATCH(B2249,eq_code,0)),"Équipe inconnue",IF(C2249="","Poste manquant",IF(ISNA(MATCH(C2249,po_code,0)),"Poste inconnu",IF(D2249="","Cause manquante",IF(ISNA(MATCH(D2249,ca_name,0)),"Cause inconnue",IF(H2249="","Cause à compléter dans Paramètres",IF(OR(NOT(ISNUMBER(E2249)),N(E2249)&lt;=0,N(E2249)&gt;1440),"Durée invalide",IF(COUNTIFS(sj_date,A2249,sj_eq,B2249,sj_po,C2249)=0,"Pas de saisie journalière ce jour-là","OK")))))))))))</f>
        <v/>
      </c>
      <c r="J2249">
        <f>IF(OR(I2249="OK",I2249="Pas de saisie journalière ce jour-là"),E2249,0)</f>
        <v>0.0</v>
      </c>
      <c r="K2249">
        <f>IF(AND(J2249&gt;0,A2249&gt;=p_from,A2249&lt;=p_to),1,0)</f>
        <v>0.0</v>
      </c>
      <c r="L2249">
        <f>IF(AND(K2249=1,OR(pa_po="",C2249=pa_po),OR(pa_eq="",B2249=pa_eq)),1,0)</f>
        <v>0.0</v>
      </c>
    </row>
    <row r="2250">
      <c r="A2250" s="51" t="n"/>
      <c r="B2250" s="52" t="n"/>
      <c r="C2250" s="52" t="n"/>
      <c r="D2250" s="53" t="n"/>
      <c r="E2250" s="60" t="n"/>
      <c r="F2250" s="53" t="n"/>
      <c r="G2250" s="61" t="str">
        <f>IF(OR(COUNTA(A2250:E2250)=0,D2250=""),"",IFERROR(INDEX(ca_fam,MATCH(D2250,ca_name,0))&amp;"",""))</f>
        <v/>
      </c>
      <c r="H2250" s="58" t="str">
        <f>IF(OR(COUNTA(A2250:E2250)=0,D2250=""),"",IFERROR(INDEX(ca_type,MATCH(D2250,ca_name,0))&amp;"",""))</f>
        <v/>
      </c>
      <c r="I2250" s="58" t="str">
        <f>IF(COUNTA(A2250:E2250)=0,"",IF(N(A2250)&lt;=0,"Date manquante ou invalide",IF(B2250="","Équipe manquante",IF(ISNA(MATCH(B2250,eq_code,0)),"Équipe inconnue",IF(C2250="","Poste manquant",IF(ISNA(MATCH(C2250,po_code,0)),"Poste inconnu",IF(D2250="","Cause manquante",IF(ISNA(MATCH(D2250,ca_name,0)),"Cause inconnue",IF(H2250="","Cause à compléter dans Paramètres",IF(OR(NOT(ISNUMBER(E2250)),N(E2250)&lt;=0,N(E2250)&gt;1440),"Durée invalide",IF(COUNTIFS(sj_date,A2250,sj_eq,B2250,sj_po,C2250)=0,"Pas de saisie journalière ce jour-là","OK")))))))))))</f>
        <v/>
      </c>
      <c r="J2250">
        <f>IF(OR(I2250="OK",I2250="Pas de saisie journalière ce jour-là"),E2250,0)</f>
        <v>0.0</v>
      </c>
      <c r="K2250">
        <f>IF(AND(J2250&gt;0,A2250&gt;=p_from,A2250&lt;=p_to),1,0)</f>
        <v>0.0</v>
      </c>
      <c r="L2250">
        <f>IF(AND(K2250=1,OR(pa_po="",C2250=pa_po),OR(pa_eq="",B2250=pa_eq)),1,0)</f>
        <v>0.0</v>
      </c>
    </row>
    <row r="2251">
      <c r="A2251" s="51" t="n"/>
      <c r="B2251" s="52" t="n"/>
      <c r="C2251" s="52" t="n"/>
      <c r="D2251" s="53" t="n"/>
      <c r="E2251" s="60" t="n"/>
      <c r="F2251" s="53" t="n"/>
      <c r="G2251" s="61" t="str">
        <f>IF(OR(COUNTA(A2251:E2251)=0,D2251=""),"",IFERROR(INDEX(ca_fam,MATCH(D2251,ca_name,0))&amp;"",""))</f>
        <v/>
      </c>
      <c r="H2251" s="58" t="str">
        <f>IF(OR(COUNTA(A2251:E2251)=0,D2251=""),"",IFERROR(INDEX(ca_type,MATCH(D2251,ca_name,0))&amp;"",""))</f>
        <v/>
      </c>
      <c r="I2251" s="58" t="str">
        <f>IF(COUNTA(A2251:E2251)=0,"",IF(N(A2251)&lt;=0,"Date manquante ou invalide",IF(B2251="","Équipe manquante",IF(ISNA(MATCH(B2251,eq_code,0)),"Équipe inconnue",IF(C2251="","Poste manquant",IF(ISNA(MATCH(C2251,po_code,0)),"Poste inconnu",IF(D2251="","Cause manquante",IF(ISNA(MATCH(D2251,ca_name,0)),"Cause inconnue",IF(H2251="","Cause à compléter dans Paramètres",IF(OR(NOT(ISNUMBER(E2251)),N(E2251)&lt;=0,N(E2251)&gt;1440),"Durée invalide",IF(COUNTIFS(sj_date,A2251,sj_eq,B2251,sj_po,C2251)=0,"Pas de saisie journalière ce jour-là","OK")))))))))))</f>
        <v/>
      </c>
      <c r="J2251">
        <f>IF(OR(I2251="OK",I2251="Pas de saisie journalière ce jour-là"),E2251,0)</f>
        <v>0.0</v>
      </c>
      <c r="K2251">
        <f>IF(AND(J2251&gt;0,A2251&gt;=p_from,A2251&lt;=p_to),1,0)</f>
        <v>0.0</v>
      </c>
      <c r="L2251">
        <f>IF(AND(K2251=1,OR(pa_po="",C2251=pa_po),OR(pa_eq="",B2251=pa_eq)),1,0)</f>
        <v>0.0</v>
      </c>
    </row>
    <row r="2252">
      <c r="A2252" s="51" t="n"/>
      <c r="B2252" s="52" t="n"/>
      <c r="C2252" s="52" t="n"/>
      <c r="D2252" s="53" t="n"/>
      <c r="E2252" s="60" t="n"/>
      <c r="F2252" s="53" t="n"/>
      <c r="G2252" s="61" t="str">
        <f>IF(OR(COUNTA(A2252:E2252)=0,D2252=""),"",IFERROR(INDEX(ca_fam,MATCH(D2252,ca_name,0))&amp;"",""))</f>
        <v/>
      </c>
      <c r="H2252" s="58" t="str">
        <f>IF(OR(COUNTA(A2252:E2252)=0,D2252=""),"",IFERROR(INDEX(ca_type,MATCH(D2252,ca_name,0))&amp;"",""))</f>
        <v/>
      </c>
      <c r="I2252" s="58" t="str">
        <f>IF(COUNTA(A2252:E2252)=0,"",IF(N(A2252)&lt;=0,"Date manquante ou invalide",IF(B2252="","Équipe manquante",IF(ISNA(MATCH(B2252,eq_code,0)),"Équipe inconnue",IF(C2252="","Poste manquant",IF(ISNA(MATCH(C2252,po_code,0)),"Poste inconnu",IF(D2252="","Cause manquante",IF(ISNA(MATCH(D2252,ca_name,0)),"Cause inconnue",IF(H2252="","Cause à compléter dans Paramètres",IF(OR(NOT(ISNUMBER(E2252)),N(E2252)&lt;=0,N(E2252)&gt;1440),"Durée invalide",IF(COUNTIFS(sj_date,A2252,sj_eq,B2252,sj_po,C2252)=0,"Pas de saisie journalière ce jour-là","OK")))))))))))</f>
        <v/>
      </c>
      <c r="J2252">
        <f>IF(OR(I2252="OK",I2252="Pas de saisie journalière ce jour-là"),E2252,0)</f>
        <v>0.0</v>
      </c>
      <c r="K2252">
        <f>IF(AND(J2252&gt;0,A2252&gt;=p_from,A2252&lt;=p_to),1,0)</f>
        <v>0.0</v>
      </c>
      <c r="L2252">
        <f>IF(AND(K2252=1,OR(pa_po="",C2252=pa_po),OR(pa_eq="",B2252=pa_eq)),1,0)</f>
        <v>0.0</v>
      </c>
    </row>
    <row r="2253">
      <c r="A2253" s="51" t="n"/>
      <c r="B2253" s="52" t="n"/>
      <c r="C2253" s="52" t="n"/>
      <c r="D2253" s="53" t="n"/>
      <c r="E2253" s="60" t="n"/>
      <c r="F2253" s="53" t="n"/>
      <c r="G2253" s="61" t="str">
        <f>IF(OR(COUNTA(A2253:E2253)=0,D2253=""),"",IFERROR(INDEX(ca_fam,MATCH(D2253,ca_name,0))&amp;"",""))</f>
        <v/>
      </c>
      <c r="H2253" s="58" t="str">
        <f>IF(OR(COUNTA(A2253:E2253)=0,D2253=""),"",IFERROR(INDEX(ca_type,MATCH(D2253,ca_name,0))&amp;"",""))</f>
        <v/>
      </c>
      <c r="I2253" s="58" t="str">
        <f>IF(COUNTA(A2253:E2253)=0,"",IF(N(A2253)&lt;=0,"Date manquante ou invalide",IF(B2253="","Équipe manquante",IF(ISNA(MATCH(B2253,eq_code,0)),"Équipe inconnue",IF(C2253="","Poste manquant",IF(ISNA(MATCH(C2253,po_code,0)),"Poste inconnu",IF(D2253="","Cause manquante",IF(ISNA(MATCH(D2253,ca_name,0)),"Cause inconnue",IF(H2253="","Cause à compléter dans Paramètres",IF(OR(NOT(ISNUMBER(E2253)),N(E2253)&lt;=0,N(E2253)&gt;1440),"Durée invalide",IF(COUNTIFS(sj_date,A2253,sj_eq,B2253,sj_po,C2253)=0,"Pas de saisie journalière ce jour-là","OK")))))))))))</f>
        <v/>
      </c>
      <c r="J2253">
        <f>IF(OR(I2253="OK",I2253="Pas de saisie journalière ce jour-là"),E2253,0)</f>
        <v>0.0</v>
      </c>
      <c r="K2253">
        <f>IF(AND(J2253&gt;0,A2253&gt;=p_from,A2253&lt;=p_to),1,0)</f>
        <v>0.0</v>
      </c>
      <c r="L2253">
        <f>IF(AND(K2253=1,OR(pa_po="",C2253=pa_po),OR(pa_eq="",B2253=pa_eq)),1,0)</f>
        <v>0.0</v>
      </c>
    </row>
    <row r="2254">
      <c r="A2254" s="51" t="n"/>
      <c r="B2254" s="52" t="n"/>
      <c r="C2254" s="52" t="n"/>
      <c r="D2254" s="53" t="n"/>
      <c r="E2254" s="60" t="n"/>
      <c r="F2254" s="53" t="n"/>
      <c r="G2254" s="61" t="str">
        <f>IF(OR(COUNTA(A2254:E2254)=0,D2254=""),"",IFERROR(INDEX(ca_fam,MATCH(D2254,ca_name,0))&amp;"",""))</f>
        <v/>
      </c>
      <c r="H2254" s="58" t="str">
        <f>IF(OR(COUNTA(A2254:E2254)=0,D2254=""),"",IFERROR(INDEX(ca_type,MATCH(D2254,ca_name,0))&amp;"",""))</f>
        <v/>
      </c>
      <c r="I2254" s="58" t="str">
        <f>IF(COUNTA(A2254:E2254)=0,"",IF(N(A2254)&lt;=0,"Date manquante ou invalide",IF(B2254="","Équipe manquante",IF(ISNA(MATCH(B2254,eq_code,0)),"Équipe inconnue",IF(C2254="","Poste manquant",IF(ISNA(MATCH(C2254,po_code,0)),"Poste inconnu",IF(D2254="","Cause manquante",IF(ISNA(MATCH(D2254,ca_name,0)),"Cause inconnue",IF(H2254="","Cause à compléter dans Paramètres",IF(OR(NOT(ISNUMBER(E2254)),N(E2254)&lt;=0,N(E2254)&gt;1440),"Durée invalide",IF(COUNTIFS(sj_date,A2254,sj_eq,B2254,sj_po,C2254)=0,"Pas de saisie journalière ce jour-là","OK")))))))))))</f>
        <v/>
      </c>
      <c r="J2254">
        <f>IF(OR(I2254="OK",I2254="Pas de saisie journalière ce jour-là"),E2254,0)</f>
        <v>0.0</v>
      </c>
      <c r="K2254">
        <f>IF(AND(J2254&gt;0,A2254&gt;=p_from,A2254&lt;=p_to),1,0)</f>
        <v>0.0</v>
      </c>
      <c r="L2254">
        <f>IF(AND(K2254=1,OR(pa_po="",C2254=pa_po),OR(pa_eq="",B2254=pa_eq)),1,0)</f>
        <v>0.0</v>
      </c>
    </row>
    <row r="2255">
      <c r="A2255" s="51" t="n"/>
      <c r="B2255" s="52" t="n"/>
      <c r="C2255" s="52" t="n"/>
      <c r="D2255" s="53" t="n"/>
      <c r="E2255" s="60" t="n"/>
      <c r="F2255" s="53" t="n"/>
      <c r="G2255" s="61" t="str">
        <f>IF(OR(COUNTA(A2255:E2255)=0,D2255=""),"",IFERROR(INDEX(ca_fam,MATCH(D2255,ca_name,0))&amp;"",""))</f>
        <v/>
      </c>
      <c r="H2255" s="58" t="str">
        <f>IF(OR(COUNTA(A2255:E2255)=0,D2255=""),"",IFERROR(INDEX(ca_type,MATCH(D2255,ca_name,0))&amp;"",""))</f>
        <v/>
      </c>
      <c r="I2255" s="58" t="str">
        <f>IF(COUNTA(A2255:E2255)=0,"",IF(N(A2255)&lt;=0,"Date manquante ou invalide",IF(B2255="","Équipe manquante",IF(ISNA(MATCH(B2255,eq_code,0)),"Équipe inconnue",IF(C2255="","Poste manquant",IF(ISNA(MATCH(C2255,po_code,0)),"Poste inconnu",IF(D2255="","Cause manquante",IF(ISNA(MATCH(D2255,ca_name,0)),"Cause inconnue",IF(H2255="","Cause à compléter dans Paramètres",IF(OR(NOT(ISNUMBER(E2255)),N(E2255)&lt;=0,N(E2255)&gt;1440),"Durée invalide",IF(COUNTIFS(sj_date,A2255,sj_eq,B2255,sj_po,C2255)=0,"Pas de saisie journalière ce jour-là","OK")))))))))))</f>
        <v/>
      </c>
      <c r="J2255">
        <f>IF(OR(I2255="OK",I2255="Pas de saisie journalière ce jour-là"),E2255,0)</f>
        <v>0.0</v>
      </c>
      <c r="K2255">
        <f>IF(AND(J2255&gt;0,A2255&gt;=p_from,A2255&lt;=p_to),1,0)</f>
        <v>0.0</v>
      </c>
      <c r="L2255">
        <f>IF(AND(K2255=1,OR(pa_po="",C2255=pa_po),OR(pa_eq="",B2255=pa_eq)),1,0)</f>
        <v>0.0</v>
      </c>
    </row>
    <row r="2256">
      <c r="A2256" s="51" t="n"/>
      <c r="B2256" s="52" t="n"/>
      <c r="C2256" s="52" t="n"/>
      <c r="D2256" s="53" t="n"/>
      <c r="E2256" s="60" t="n"/>
      <c r="F2256" s="53" t="n"/>
      <c r="G2256" s="61" t="str">
        <f>IF(OR(COUNTA(A2256:E2256)=0,D2256=""),"",IFERROR(INDEX(ca_fam,MATCH(D2256,ca_name,0))&amp;"",""))</f>
        <v/>
      </c>
      <c r="H2256" s="58" t="str">
        <f>IF(OR(COUNTA(A2256:E2256)=0,D2256=""),"",IFERROR(INDEX(ca_type,MATCH(D2256,ca_name,0))&amp;"",""))</f>
        <v/>
      </c>
      <c r="I2256" s="58" t="str">
        <f>IF(COUNTA(A2256:E2256)=0,"",IF(N(A2256)&lt;=0,"Date manquante ou invalide",IF(B2256="","Équipe manquante",IF(ISNA(MATCH(B2256,eq_code,0)),"Équipe inconnue",IF(C2256="","Poste manquant",IF(ISNA(MATCH(C2256,po_code,0)),"Poste inconnu",IF(D2256="","Cause manquante",IF(ISNA(MATCH(D2256,ca_name,0)),"Cause inconnue",IF(H2256="","Cause à compléter dans Paramètres",IF(OR(NOT(ISNUMBER(E2256)),N(E2256)&lt;=0,N(E2256)&gt;1440),"Durée invalide",IF(COUNTIFS(sj_date,A2256,sj_eq,B2256,sj_po,C2256)=0,"Pas de saisie journalière ce jour-là","OK")))))))))))</f>
        <v/>
      </c>
      <c r="J2256">
        <f>IF(OR(I2256="OK",I2256="Pas de saisie journalière ce jour-là"),E2256,0)</f>
        <v>0.0</v>
      </c>
      <c r="K2256">
        <f>IF(AND(J2256&gt;0,A2256&gt;=p_from,A2256&lt;=p_to),1,0)</f>
        <v>0.0</v>
      </c>
      <c r="L2256">
        <f>IF(AND(K2256=1,OR(pa_po="",C2256=pa_po),OR(pa_eq="",B2256=pa_eq)),1,0)</f>
        <v>0.0</v>
      </c>
    </row>
    <row r="2257">
      <c r="A2257" s="51" t="n"/>
      <c r="B2257" s="52" t="n"/>
      <c r="C2257" s="52" t="n"/>
      <c r="D2257" s="53" t="n"/>
      <c r="E2257" s="60" t="n"/>
      <c r="F2257" s="53" t="n"/>
      <c r="G2257" s="61" t="str">
        <f>IF(OR(COUNTA(A2257:E2257)=0,D2257=""),"",IFERROR(INDEX(ca_fam,MATCH(D2257,ca_name,0))&amp;"",""))</f>
        <v/>
      </c>
      <c r="H2257" s="58" t="str">
        <f>IF(OR(COUNTA(A2257:E2257)=0,D2257=""),"",IFERROR(INDEX(ca_type,MATCH(D2257,ca_name,0))&amp;"",""))</f>
        <v/>
      </c>
      <c r="I2257" s="58" t="str">
        <f>IF(COUNTA(A2257:E2257)=0,"",IF(N(A2257)&lt;=0,"Date manquante ou invalide",IF(B2257="","Équipe manquante",IF(ISNA(MATCH(B2257,eq_code,0)),"Équipe inconnue",IF(C2257="","Poste manquant",IF(ISNA(MATCH(C2257,po_code,0)),"Poste inconnu",IF(D2257="","Cause manquante",IF(ISNA(MATCH(D2257,ca_name,0)),"Cause inconnue",IF(H2257="","Cause à compléter dans Paramètres",IF(OR(NOT(ISNUMBER(E2257)),N(E2257)&lt;=0,N(E2257)&gt;1440),"Durée invalide",IF(COUNTIFS(sj_date,A2257,sj_eq,B2257,sj_po,C2257)=0,"Pas de saisie journalière ce jour-là","OK")))))))))))</f>
        <v/>
      </c>
      <c r="J2257">
        <f>IF(OR(I2257="OK",I2257="Pas de saisie journalière ce jour-là"),E2257,0)</f>
        <v>0.0</v>
      </c>
      <c r="K2257">
        <f>IF(AND(J2257&gt;0,A2257&gt;=p_from,A2257&lt;=p_to),1,0)</f>
        <v>0.0</v>
      </c>
      <c r="L2257">
        <f>IF(AND(K2257=1,OR(pa_po="",C2257=pa_po),OR(pa_eq="",B2257=pa_eq)),1,0)</f>
        <v>0.0</v>
      </c>
    </row>
    <row r="2258">
      <c r="A2258" s="51" t="n"/>
      <c r="B2258" s="52" t="n"/>
      <c r="C2258" s="52" t="n"/>
      <c r="D2258" s="53" t="n"/>
      <c r="E2258" s="60" t="n"/>
      <c r="F2258" s="53" t="n"/>
      <c r="G2258" s="61" t="str">
        <f>IF(OR(COUNTA(A2258:E2258)=0,D2258=""),"",IFERROR(INDEX(ca_fam,MATCH(D2258,ca_name,0))&amp;"",""))</f>
        <v/>
      </c>
      <c r="H2258" s="58" t="str">
        <f>IF(OR(COUNTA(A2258:E2258)=0,D2258=""),"",IFERROR(INDEX(ca_type,MATCH(D2258,ca_name,0))&amp;"",""))</f>
        <v/>
      </c>
      <c r="I2258" s="58" t="str">
        <f>IF(COUNTA(A2258:E2258)=0,"",IF(N(A2258)&lt;=0,"Date manquante ou invalide",IF(B2258="","Équipe manquante",IF(ISNA(MATCH(B2258,eq_code,0)),"Équipe inconnue",IF(C2258="","Poste manquant",IF(ISNA(MATCH(C2258,po_code,0)),"Poste inconnu",IF(D2258="","Cause manquante",IF(ISNA(MATCH(D2258,ca_name,0)),"Cause inconnue",IF(H2258="","Cause à compléter dans Paramètres",IF(OR(NOT(ISNUMBER(E2258)),N(E2258)&lt;=0,N(E2258)&gt;1440),"Durée invalide",IF(COUNTIFS(sj_date,A2258,sj_eq,B2258,sj_po,C2258)=0,"Pas de saisie journalière ce jour-là","OK")))))))))))</f>
        <v/>
      </c>
      <c r="J2258">
        <f>IF(OR(I2258="OK",I2258="Pas de saisie journalière ce jour-là"),E2258,0)</f>
        <v>0.0</v>
      </c>
      <c r="K2258">
        <f>IF(AND(J2258&gt;0,A2258&gt;=p_from,A2258&lt;=p_to),1,0)</f>
        <v>0.0</v>
      </c>
      <c r="L2258">
        <f>IF(AND(K2258=1,OR(pa_po="",C2258=pa_po),OR(pa_eq="",B2258=pa_eq)),1,0)</f>
        <v>0.0</v>
      </c>
    </row>
    <row r="2259">
      <c r="A2259" s="51" t="n"/>
      <c r="B2259" s="52" t="n"/>
      <c r="C2259" s="52" t="n"/>
      <c r="D2259" s="53" t="n"/>
      <c r="E2259" s="60" t="n"/>
      <c r="F2259" s="53" t="n"/>
      <c r="G2259" s="61" t="str">
        <f>IF(OR(COUNTA(A2259:E2259)=0,D2259=""),"",IFERROR(INDEX(ca_fam,MATCH(D2259,ca_name,0))&amp;"",""))</f>
        <v/>
      </c>
      <c r="H2259" s="58" t="str">
        <f>IF(OR(COUNTA(A2259:E2259)=0,D2259=""),"",IFERROR(INDEX(ca_type,MATCH(D2259,ca_name,0))&amp;"",""))</f>
        <v/>
      </c>
      <c r="I2259" s="58" t="str">
        <f>IF(COUNTA(A2259:E2259)=0,"",IF(N(A2259)&lt;=0,"Date manquante ou invalide",IF(B2259="","Équipe manquante",IF(ISNA(MATCH(B2259,eq_code,0)),"Équipe inconnue",IF(C2259="","Poste manquant",IF(ISNA(MATCH(C2259,po_code,0)),"Poste inconnu",IF(D2259="","Cause manquante",IF(ISNA(MATCH(D2259,ca_name,0)),"Cause inconnue",IF(H2259="","Cause à compléter dans Paramètres",IF(OR(NOT(ISNUMBER(E2259)),N(E2259)&lt;=0,N(E2259)&gt;1440),"Durée invalide",IF(COUNTIFS(sj_date,A2259,sj_eq,B2259,sj_po,C2259)=0,"Pas de saisie journalière ce jour-là","OK")))))))))))</f>
        <v/>
      </c>
      <c r="J2259">
        <f>IF(OR(I2259="OK",I2259="Pas de saisie journalière ce jour-là"),E2259,0)</f>
        <v>0.0</v>
      </c>
      <c r="K2259">
        <f>IF(AND(J2259&gt;0,A2259&gt;=p_from,A2259&lt;=p_to),1,0)</f>
        <v>0.0</v>
      </c>
      <c r="L2259">
        <f>IF(AND(K2259=1,OR(pa_po="",C2259=pa_po),OR(pa_eq="",B2259=pa_eq)),1,0)</f>
        <v>0.0</v>
      </c>
    </row>
    <row r="2260">
      <c r="A2260" s="51" t="n"/>
      <c r="B2260" s="52" t="n"/>
      <c r="C2260" s="52" t="n"/>
      <c r="D2260" s="53" t="n"/>
      <c r="E2260" s="60" t="n"/>
      <c r="F2260" s="53" t="n"/>
      <c r="G2260" s="61" t="str">
        <f>IF(OR(COUNTA(A2260:E2260)=0,D2260=""),"",IFERROR(INDEX(ca_fam,MATCH(D2260,ca_name,0))&amp;"",""))</f>
        <v/>
      </c>
      <c r="H2260" s="58" t="str">
        <f>IF(OR(COUNTA(A2260:E2260)=0,D2260=""),"",IFERROR(INDEX(ca_type,MATCH(D2260,ca_name,0))&amp;"",""))</f>
        <v/>
      </c>
      <c r="I2260" s="58" t="str">
        <f>IF(COUNTA(A2260:E2260)=0,"",IF(N(A2260)&lt;=0,"Date manquante ou invalide",IF(B2260="","Équipe manquante",IF(ISNA(MATCH(B2260,eq_code,0)),"Équipe inconnue",IF(C2260="","Poste manquant",IF(ISNA(MATCH(C2260,po_code,0)),"Poste inconnu",IF(D2260="","Cause manquante",IF(ISNA(MATCH(D2260,ca_name,0)),"Cause inconnue",IF(H2260="","Cause à compléter dans Paramètres",IF(OR(NOT(ISNUMBER(E2260)),N(E2260)&lt;=0,N(E2260)&gt;1440),"Durée invalide",IF(COUNTIFS(sj_date,A2260,sj_eq,B2260,sj_po,C2260)=0,"Pas de saisie journalière ce jour-là","OK")))))))))))</f>
        <v/>
      </c>
      <c r="J2260">
        <f>IF(OR(I2260="OK",I2260="Pas de saisie journalière ce jour-là"),E2260,0)</f>
        <v>0.0</v>
      </c>
      <c r="K2260">
        <f>IF(AND(J2260&gt;0,A2260&gt;=p_from,A2260&lt;=p_to),1,0)</f>
        <v>0.0</v>
      </c>
      <c r="L2260">
        <f>IF(AND(K2260=1,OR(pa_po="",C2260=pa_po),OR(pa_eq="",B2260=pa_eq)),1,0)</f>
        <v>0.0</v>
      </c>
    </row>
    <row r="2261">
      <c r="A2261" s="51" t="n"/>
      <c r="B2261" s="52" t="n"/>
      <c r="C2261" s="52" t="n"/>
      <c r="D2261" s="53" t="n"/>
      <c r="E2261" s="60" t="n"/>
      <c r="F2261" s="53" t="n"/>
      <c r="G2261" s="61" t="str">
        <f>IF(OR(COUNTA(A2261:E2261)=0,D2261=""),"",IFERROR(INDEX(ca_fam,MATCH(D2261,ca_name,0))&amp;"",""))</f>
        <v/>
      </c>
      <c r="H2261" s="58" t="str">
        <f>IF(OR(COUNTA(A2261:E2261)=0,D2261=""),"",IFERROR(INDEX(ca_type,MATCH(D2261,ca_name,0))&amp;"",""))</f>
        <v/>
      </c>
      <c r="I2261" s="58" t="str">
        <f>IF(COUNTA(A2261:E2261)=0,"",IF(N(A2261)&lt;=0,"Date manquante ou invalide",IF(B2261="","Équipe manquante",IF(ISNA(MATCH(B2261,eq_code,0)),"Équipe inconnue",IF(C2261="","Poste manquant",IF(ISNA(MATCH(C2261,po_code,0)),"Poste inconnu",IF(D2261="","Cause manquante",IF(ISNA(MATCH(D2261,ca_name,0)),"Cause inconnue",IF(H2261="","Cause à compléter dans Paramètres",IF(OR(NOT(ISNUMBER(E2261)),N(E2261)&lt;=0,N(E2261)&gt;1440),"Durée invalide",IF(COUNTIFS(sj_date,A2261,sj_eq,B2261,sj_po,C2261)=0,"Pas de saisie journalière ce jour-là","OK")))))))))))</f>
        <v/>
      </c>
      <c r="J2261">
        <f>IF(OR(I2261="OK",I2261="Pas de saisie journalière ce jour-là"),E2261,0)</f>
        <v>0.0</v>
      </c>
      <c r="K2261">
        <f>IF(AND(J2261&gt;0,A2261&gt;=p_from,A2261&lt;=p_to),1,0)</f>
        <v>0.0</v>
      </c>
      <c r="L2261">
        <f>IF(AND(K2261=1,OR(pa_po="",C2261=pa_po),OR(pa_eq="",B2261=pa_eq)),1,0)</f>
        <v>0.0</v>
      </c>
    </row>
    <row r="2262">
      <c r="A2262" s="51" t="n"/>
      <c r="B2262" s="52" t="n"/>
      <c r="C2262" s="52" t="n"/>
      <c r="D2262" s="53" t="n"/>
      <c r="E2262" s="60" t="n"/>
      <c r="F2262" s="53" t="n"/>
      <c r="G2262" s="61" t="str">
        <f>IF(OR(COUNTA(A2262:E2262)=0,D2262=""),"",IFERROR(INDEX(ca_fam,MATCH(D2262,ca_name,0))&amp;"",""))</f>
        <v/>
      </c>
      <c r="H2262" s="58" t="str">
        <f>IF(OR(COUNTA(A2262:E2262)=0,D2262=""),"",IFERROR(INDEX(ca_type,MATCH(D2262,ca_name,0))&amp;"",""))</f>
        <v/>
      </c>
      <c r="I2262" s="58" t="str">
        <f>IF(COUNTA(A2262:E2262)=0,"",IF(N(A2262)&lt;=0,"Date manquante ou invalide",IF(B2262="","Équipe manquante",IF(ISNA(MATCH(B2262,eq_code,0)),"Équipe inconnue",IF(C2262="","Poste manquant",IF(ISNA(MATCH(C2262,po_code,0)),"Poste inconnu",IF(D2262="","Cause manquante",IF(ISNA(MATCH(D2262,ca_name,0)),"Cause inconnue",IF(H2262="","Cause à compléter dans Paramètres",IF(OR(NOT(ISNUMBER(E2262)),N(E2262)&lt;=0,N(E2262)&gt;1440),"Durée invalide",IF(COUNTIFS(sj_date,A2262,sj_eq,B2262,sj_po,C2262)=0,"Pas de saisie journalière ce jour-là","OK")))))))))))</f>
        <v/>
      </c>
      <c r="J2262">
        <f>IF(OR(I2262="OK",I2262="Pas de saisie journalière ce jour-là"),E2262,0)</f>
        <v>0.0</v>
      </c>
      <c r="K2262">
        <f>IF(AND(J2262&gt;0,A2262&gt;=p_from,A2262&lt;=p_to),1,0)</f>
        <v>0.0</v>
      </c>
      <c r="L2262">
        <f>IF(AND(K2262=1,OR(pa_po="",C2262=pa_po),OR(pa_eq="",B2262=pa_eq)),1,0)</f>
        <v>0.0</v>
      </c>
    </row>
    <row r="2263">
      <c r="A2263" s="51" t="n"/>
      <c r="B2263" s="52" t="n"/>
      <c r="C2263" s="52" t="n"/>
      <c r="D2263" s="53" t="n"/>
      <c r="E2263" s="60" t="n"/>
      <c r="F2263" s="53" t="n"/>
      <c r="G2263" s="61" t="str">
        <f>IF(OR(COUNTA(A2263:E2263)=0,D2263=""),"",IFERROR(INDEX(ca_fam,MATCH(D2263,ca_name,0))&amp;"",""))</f>
        <v/>
      </c>
      <c r="H2263" s="58" t="str">
        <f>IF(OR(COUNTA(A2263:E2263)=0,D2263=""),"",IFERROR(INDEX(ca_type,MATCH(D2263,ca_name,0))&amp;"",""))</f>
        <v/>
      </c>
      <c r="I2263" s="58" t="str">
        <f>IF(COUNTA(A2263:E2263)=0,"",IF(N(A2263)&lt;=0,"Date manquante ou invalide",IF(B2263="","Équipe manquante",IF(ISNA(MATCH(B2263,eq_code,0)),"Équipe inconnue",IF(C2263="","Poste manquant",IF(ISNA(MATCH(C2263,po_code,0)),"Poste inconnu",IF(D2263="","Cause manquante",IF(ISNA(MATCH(D2263,ca_name,0)),"Cause inconnue",IF(H2263="","Cause à compléter dans Paramètres",IF(OR(NOT(ISNUMBER(E2263)),N(E2263)&lt;=0,N(E2263)&gt;1440),"Durée invalide",IF(COUNTIFS(sj_date,A2263,sj_eq,B2263,sj_po,C2263)=0,"Pas de saisie journalière ce jour-là","OK")))))))))))</f>
        <v/>
      </c>
      <c r="J2263">
        <f>IF(OR(I2263="OK",I2263="Pas de saisie journalière ce jour-là"),E2263,0)</f>
        <v>0.0</v>
      </c>
      <c r="K2263">
        <f>IF(AND(J2263&gt;0,A2263&gt;=p_from,A2263&lt;=p_to),1,0)</f>
        <v>0.0</v>
      </c>
      <c r="L2263">
        <f>IF(AND(K2263=1,OR(pa_po="",C2263=pa_po),OR(pa_eq="",B2263=pa_eq)),1,0)</f>
        <v>0.0</v>
      </c>
    </row>
    <row r="2264">
      <c r="A2264" s="51" t="n"/>
      <c r="B2264" s="52" t="n"/>
      <c r="C2264" s="52" t="n"/>
      <c r="D2264" s="53" t="n"/>
      <c r="E2264" s="60" t="n"/>
      <c r="F2264" s="53" t="n"/>
      <c r="G2264" s="61" t="str">
        <f>IF(OR(COUNTA(A2264:E2264)=0,D2264=""),"",IFERROR(INDEX(ca_fam,MATCH(D2264,ca_name,0))&amp;"",""))</f>
        <v/>
      </c>
      <c r="H2264" s="58" t="str">
        <f>IF(OR(COUNTA(A2264:E2264)=0,D2264=""),"",IFERROR(INDEX(ca_type,MATCH(D2264,ca_name,0))&amp;"",""))</f>
        <v/>
      </c>
      <c r="I2264" s="58" t="str">
        <f>IF(COUNTA(A2264:E2264)=0,"",IF(N(A2264)&lt;=0,"Date manquante ou invalide",IF(B2264="","Équipe manquante",IF(ISNA(MATCH(B2264,eq_code,0)),"Équipe inconnue",IF(C2264="","Poste manquant",IF(ISNA(MATCH(C2264,po_code,0)),"Poste inconnu",IF(D2264="","Cause manquante",IF(ISNA(MATCH(D2264,ca_name,0)),"Cause inconnue",IF(H2264="","Cause à compléter dans Paramètres",IF(OR(NOT(ISNUMBER(E2264)),N(E2264)&lt;=0,N(E2264)&gt;1440),"Durée invalide",IF(COUNTIFS(sj_date,A2264,sj_eq,B2264,sj_po,C2264)=0,"Pas de saisie journalière ce jour-là","OK")))))))))))</f>
        <v/>
      </c>
      <c r="J2264">
        <f>IF(OR(I2264="OK",I2264="Pas de saisie journalière ce jour-là"),E2264,0)</f>
        <v>0.0</v>
      </c>
      <c r="K2264">
        <f>IF(AND(J2264&gt;0,A2264&gt;=p_from,A2264&lt;=p_to),1,0)</f>
        <v>0.0</v>
      </c>
      <c r="L2264">
        <f>IF(AND(K2264=1,OR(pa_po="",C2264=pa_po),OR(pa_eq="",B2264=pa_eq)),1,0)</f>
        <v>0.0</v>
      </c>
    </row>
    <row r="2265">
      <c r="A2265" s="51" t="n"/>
      <c r="B2265" s="52" t="n"/>
      <c r="C2265" s="52" t="n"/>
      <c r="D2265" s="53" t="n"/>
      <c r="E2265" s="60" t="n"/>
      <c r="F2265" s="53" t="n"/>
      <c r="G2265" s="61" t="str">
        <f>IF(OR(COUNTA(A2265:E2265)=0,D2265=""),"",IFERROR(INDEX(ca_fam,MATCH(D2265,ca_name,0))&amp;"",""))</f>
        <v/>
      </c>
      <c r="H2265" s="58" t="str">
        <f>IF(OR(COUNTA(A2265:E2265)=0,D2265=""),"",IFERROR(INDEX(ca_type,MATCH(D2265,ca_name,0))&amp;"",""))</f>
        <v/>
      </c>
      <c r="I2265" s="58" t="str">
        <f>IF(COUNTA(A2265:E2265)=0,"",IF(N(A2265)&lt;=0,"Date manquante ou invalide",IF(B2265="","Équipe manquante",IF(ISNA(MATCH(B2265,eq_code,0)),"Équipe inconnue",IF(C2265="","Poste manquant",IF(ISNA(MATCH(C2265,po_code,0)),"Poste inconnu",IF(D2265="","Cause manquante",IF(ISNA(MATCH(D2265,ca_name,0)),"Cause inconnue",IF(H2265="","Cause à compléter dans Paramètres",IF(OR(NOT(ISNUMBER(E2265)),N(E2265)&lt;=0,N(E2265)&gt;1440),"Durée invalide",IF(COUNTIFS(sj_date,A2265,sj_eq,B2265,sj_po,C2265)=0,"Pas de saisie journalière ce jour-là","OK")))))))))))</f>
        <v/>
      </c>
      <c r="J2265">
        <f>IF(OR(I2265="OK",I2265="Pas de saisie journalière ce jour-là"),E2265,0)</f>
        <v>0.0</v>
      </c>
      <c r="K2265">
        <f>IF(AND(J2265&gt;0,A2265&gt;=p_from,A2265&lt;=p_to),1,0)</f>
        <v>0.0</v>
      </c>
      <c r="L2265">
        <f>IF(AND(K2265=1,OR(pa_po="",C2265=pa_po),OR(pa_eq="",B2265=pa_eq)),1,0)</f>
        <v>0.0</v>
      </c>
    </row>
    <row r="2266">
      <c r="A2266" s="51" t="n"/>
      <c r="B2266" s="52" t="n"/>
      <c r="C2266" s="52" t="n"/>
      <c r="D2266" s="53" t="n"/>
      <c r="E2266" s="60" t="n"/>
      <c r="F2266" s="53" t="n"/>
      <c r="G2266" s="61" t="str">
        <f>IF(OR(COUNTA(A2266:E2266)=0,D2266=""),"",IFERROR(INDEX(ca_fam,MATCH(D2266,ca_name,0))&amp;"",""))</f>
        <v/>
      </c>
      <c r="H2266" s="58" t="str">
        <f>IF(OR(COUNTA(A2266:E2266)=0,D2266=""),"",IFERROR(INDEX(ca_type,MATCH(D2266,ca_name,0))&amp;"",""))</f>
        <v/>
      </c>
      <c r="I2266" s="58" t="str">
        <f>IF(COUNTA(A2266:E2266)=0,"",IF(N(A2266)&lt;=0,"Date manquante ou invalide",IF(B2266="","Équipe manquante",IF(ISNA(MATCH(B2266,eq_code,0)),"Équipe inconnue",IF(C2266="","Poste manquant",IF(ISNA(MATCH(C2266,po_code,0)),"Poste inconnu",IF(D2266="","Cause manquante",IF(ISNA(MATCH(D2266,ca_name,0)),"Cause inconnue",IF(H2266="","Cause à compléter dans Paramètres",IF(OR(NOT(ISNUMBER(E2266)),N(E2266)&lt;=0,N(E2266)&gt;1440),"Durée invalide",IF(COUNTIFS(sj_date,A2266,sj_eq,B2266,sj_po,C2266)=0,"Pas de saisie journalière ce jour-là","OK")))))))))))</f>
        <v/>
      </c>
      <c r="J2266">
        <f>IF(OR(I2266="OK",I2266="Pas de saisie journalière ce jour-là"),E2266,0)</f>
        <v>0.0</v>
      </c>
      <c r="K2266">
        <f>IF(AND(J2266&gt;0,A2266&gt;=p_from,A2266&lt;=p_to),1,0)</f>
        <v>0.0</v>
      </c>
      <c r="L2266">
        <f>IF(AND(K2266=1,OR(pa_po="",C2266=pa_po),OR(pa_eq="",B2266=pa_eq)),1,0)</f>
        <v>0.0</v>
      </c>
    </row>
    <row r="2267">
      <c r="A2267" s="51" t="n"/>
      <c r="B2267" s="52" t="n"/>
      <c r="C2267" s="52" t="n"/>
      <c r="D2267" s="53" t="n"/>
      <c r="E2267" s="60" t="n"/>
      <c r="F2267" s="53" t="n"/>
      <c r="G2267" s="61" t="str">
        <f>IF(OR(COUNTA(A2267:E2267)=0,D2267=""),"",IFERROR(INDEX(ca_fam,MATCH(D2267,ca_name,0))&amp;"",""))</f>
        <v/>
      </c>
      <c r="H2267" s="58" t="str">
        <f>IF(OR(COUNTA(A2267:E2267)=0,D2267=""),"",IFERROR(INDEX(ca_type,MATCH(D2267,ca_name,0))&amp;"",""))</f>
        <v/>
      </c>
      <c r="I2267" s="58" t="str">
        <f>IF(COUNTA(A2267:E2267)=0,"",IF(N(A2267)&lt;=0,"Date manquante ou invalide",IF(B2267="","Équipe manquante",IF(ISNA(MATCH(B2267,eq_code,0)),"Équipe inconnue",IF(C2267="","Poste manquant",IF(ISNA(MATCH(C2267,po_code,0)),"Poste inconnu",IF(D2267="","Cause manquante",IF(ISNA(MATCH(D2267,ca_name,0)),"Cause inconnue",IF(H2267="","Cause à compléter dans Paramètres",IF(OR(NOT(ISNUMBER(E2267)),N(E2267)&lt;=0,N(E2267)&gt;1440),"Durée invalide",IF(COUNTIFS(sj_date,A2267,sj_eq,B2267,sj_po,C2267)=0,"Pas de saisie journalière ce jour-là","OK")))))))))))</f>
        <v/>
      </c>
      <c r="J2267">
        <f>IF(OR(I2267="OK",I2267="Pas de saisie journalière ce jour-là"),E2267,0)</f>
        <v>0.0</v>
      </c>
      <c r="K2267">
        <f>IF(AND(J2267&gt;0,A2267&gt;=p_from,A2267&lt;=p_to),1,0)</f>
        <v>0.0</v>
      </c>
      <c r="L2267">
        <f>IF(AND(K2267=1,OR(pa_po="",C2267=pa_po),OR(pa_eq="",B2267=pa_eq)),1,0)</f>
        <v>0.0</v>
      </c>
    </row>
    <row r="2268">
      <c r="A2268" s="51" t="n"/>
      <c r="B2268" s="52" t="n"/>
      <c r="C2268" s="52" t="n"/>
      <c r="D2268" s="53" t="n"/>
      <c r="E2268" s="60" t="n"/>
      <c r="F2268" s="53" t="n"/>
      <c r="G2268" s="61" t="str">
        <f>IF(OR(COUNTA(A2268:E2268)=0,D2268=""),"",IFERROR(INDEX(ca_fam,MATCH(D2268,ca_name,0))&amp;"",""))</f>
        <v/>
      </c>
      <c r="H2268" s="58" t="str">
        <f>IF(OR(COUNTA(A2268:E2268)=0,D2268=""),"",IFERROR(INDEX(ca_type,MATCH(D2268,ca_name,0))&amp;"",""))</f>
        <v/>
      </c>
      <c r="I2268" s="58" t="str">
        <f>IF(COUNTA(A2268:E2268)=0,"",IF(N(A2268)&lt;=0,"Date manquante ou invalide",IF(B2268="","Équipe manquante",IF(ISNA(MATCH(B2268,eq_code,0)),"Équipe inconnue",IF(C2268="","Poste manquant",IF(ISNA(MATCH(C2268,po_code,0)),"Poste inconnu",IF(D2268="","Cause manquante",IF(ISNA(MATCH(D2268,ca_name,0)),"Cause inconnue",IF(H2268="","Cause à compléter dans Paramètres",IF(OR(NOT(ISNUMBER(E2268)),N(E2268)&lt;=0,N(E2268)&gt;1440),"Durée invalide",IF(COUNTIFS(sj_date,A2268,sj_eq,B2268,sj_po,C2268)=0,"Pas de saisie journalière ce jour-là","OK")))))))))))</f>
        <v/>
      </c>
      <c r="J2268">
        <f>IF(OR(I2268="OK",I2268="Pas de saisie journalière ce jour-là"),E2268,0)</f>
        <v>0.0</v>
      </c>
      <c r="K2268">
        <f>IF(AND(J2268&gt;0,A2268&gt;=p_from,A2268&lt;=p_to),1,0)</f>
        <v>0.0</v>
      </c>
      <c r="L2268">
        <f>IF(AND(K2268=1,OR(pa_po="",C2268=pa_po),OR(pa_eq="",B2268=pa_eq)),1,0)</f>
        <v>0.0</v>
      </c>
    </row>
    <row r="2269">
      <c r="A2269" s="51" t="n"/>
      <c r="B2269" s="52" t="n"/>
      <c r="C2269" s="52" t="n"/>
      <c r="D2269" s="53" t="n"/>
      <c r="E2269" s="60" t="n"/>
      <c r="F2269" s="53" t="n"/>
      <c r="G2269" s="61" t="str">
        <f>IF(OR(COUNTA(A2269:E2269)=0,D2269=""),"",IFERROR(INDEX(ca_fam,MATCH(D2269,ca_name,0))&amp;"",""))</f>
        <v/>
      </c>
      <c r="H2269" s="58" t="str">
        <f>IF(OR(COUNTA(A2269:E2269)=0,D2269=""),"",IFERROR(INDEX(ca_type,MATCH(D2269,ca_name,0))&amp;"",""))</f>
        <v/>
      </c>
      <c r="I2269" s="58" t="str">
        <f>IF(COUNTA(A2269:E2269)=0,"",IF(N(A2269)&lt;=0,"Date manquante ou invalide",IF(B2269="","Équipe manquante",IF(ISNA(MATCH(B2269,eq_code,0)),"Équipe inconnue",IF(C2269="","Poste manquant",IF(ISNA(MATCH(C2269,po_code,0)),"Poste inconnu",IF(D2269="","Cause manquante",IF(ISNA(MATCH(D2269,ca_name,0)),"Cause inconnue",IF(H2269="","Cause à compléter dans Paramètres",IF(OR(NOT(ISNUMBER(E2269)),N(E2269)&lt;=0,N(E2269)&gt;1440),"Durée invalide",IF(COUNTIFS(sj_date,A2269,sj_eq,B2269,sj_po,C2269)=0,"Pas de saisie journalière ce jour-là","OK")))))))))))</f>
        <v/>
      </c>
      <c r="J2269">
        <f>IF(OR(I2269="OK",I2269="Pas de saisie journalière ce jour-là"),E2269,0)</f>
        <v>0.0</v>
      </c>
      <c r="K2269">
        <f>IF(AND(J2269&gt;0,A2269&gt;=p_from,A2269&lt;=p_to),1,0)</f>
        <v>0.0</v>
      </c>
      <c r="L2269">
        <f>IF(AND(K2269=1,OR(pa_po="",C2269=pa_po),OR(pa_eq="",B2269=pa_eq)),1,0)</f>
        <v>0.0</v>
      </c>
    </row>
    <row r="2270">
      <c r="A2270" s="51" t="n"/>
      <c r="B2270" s="52" t="n"/>
      <c r="C2270" s="52" t="n"/>
      <c r="D2270" s="53" t="n"/>
      <c r="E2270" s="60" t="n"/>
      <c r="F2270" s="53" t="n"/>
      <c r="G2270" s="61" t="str">
        <f>IF(OR(COUNTA(A2270:E2270)=0,D2270=""),"",IFERROR(INDEX(ca_fam,MATCH(D2270,ca_name,0))&amp;"",""))</f>
        <v/>
      </c>
      <c r="H2270" s="58" t="str">
        <f>IF(OR(COUNTA(A2270:E2270)=0,D2270=""),"",IFERROR(INDEX(ca_type,MATCH(D2270,ca_name,0))&amp;"",""))</f>
        <v/>
      </c>
      <c r="I2270" s="58" t="str">
        <f>IF(COUNTA(A2270:E2270)=0,"",IF(N(A2270)&lt;=0,"Date manquante ou invalide",IF(B2270="","Équipe manquante",IF(ISNA(MATCH(B2270,eq_code,0)),"Équipe inconnue",IF(C2270="","Poste manquant",IF(ISNA(MATCH(C2270,po_code,0)),"Poste inconnu",IF(D2270="","Cause manquante",IF(ISNA(MATCH(D2270,ca_name,0)),"Cause inconnue",IF(H2270="","Cause à compléter dans Paramètres",IF(OR(NOT(ISNUMBER(E2270)),N(E2270)&lt;=0,N(E2270)&gt;1440),"Durée invalide",IF(COUNTIFS(sj_date,A2270,sj_eq,B2270,sj_po,C2270)=0,"Pas de saisie journalière ce jour-là","OK")))))))))))</f>
        <v/>
      </c>
      <c r="J2270">
        <f>IF(OR(I2270="OK",I2270="Pas de saisie journalière ce jour-là"),E2270,0)</f>
        <v>0.0</v>
      </c>
      <c r="K2270">
        <f>IF(AND(J2270&gt;0,A2270&gt;=p_from,A2270&lt;=p_to),1,0)</f>
        <v>0.0</v>
      </c>
      <c r="L2270">
        <f>IF(AND(K2270=1,OR(pa_po="",C2270=pa_po),OR(pa_eq="",B2270=pa_eq)),1,0)</f>
        <v>0.0</v>
      </c>
    </row>
    <row r="2271">
      <c r="A2271" s="51" t="n"/>
      <c r="B2271" s="52" t="n"/>
      <c r="C2271" s="52" t="n"/>
      <c r="D2271" s="53" t="n"/>
      <c r="E2271" s="60" t="n"/>
      <c r="F2271" s="53" t="n"/>
      <c r="G2271" s="61" t="str">
        <f>IF(OR(COUNTA(A2271:E2271)=0,D2271=""),"",IFERROR(INDEX(ca_fam,MATCH(D2271,ca_name,0))&amp;"",""))</f>
        <v/>
      </c>
      <c r="H2271" s="58" t="str">
        <f>IF(OR(COUNTA(A2271:E2271)=0,D2271=""),"",IFERROR(INDEX(ca_type,MATCH(D2271,ca_name,0))&amp;"",""))</f>
        <v/>
      </c>
      <c r="I2271" s="58" t="str">
        <f>IF(COUNTA(A2271:E2271)=0,"",IF(N(A2271)&lt;=0,"Date manquante ou invalide",IF(B2271="","Équipe manquante",IF(ISNA(MATCH(B2271,eq_code,0)),"Équipe inconnue",IF(C2271="","Poste manquant",IF(ISNA(MATCH(C2271,po_code,0)),"Poste inconnu",IF(D2271="","Cause manquante",IF(ISNA(MATCH(D2271,ca_name,0)),"Cause inconnue",IF(H2271="","Cause à compléter dans Paramètres",IF(OR(NOT(ISNUMBER(E2271)),N(E2271)&lt;=0,N(E2271)&gt;1440),"Durée invalide",IF(COUNTIFS(sj_date,A2271,sj_eq,B2271,sj_po,C2271)=0,"Pas de saisie journalière ce jour-là","OK")))))))))))</f>
        <v/>
      </c>
      <c r="J2271">
        <f>IF(OR(I2271="OK",I2271="Pas de saisie journalière ce jour-là"),E2271,0)</f>
        <v>0.0</v>
      </c>
      <c r="K2271">
        <f>IF(AND(J2271&gt;0,A2271&gt;=p_from,A2271&lt;=p_to),1,0)</f>
        <v>0.0</v>
      </c>
      <c r="L2271">
        <f>IF(AND(K2271=1,OR(pa_po="",C2271=pa_po),OR(pa_eq="",B2271=pa_eq)),1,0)</f>
        <v>0.0</v>
      </c>
    </row>
    <row r="2272">
      <c r="A2272" s="51" t="n"/>
      <c r="B2272" s="52" t="n"/>
      <c r="C2272" s="52" t="n"/>
      <c r="D2272" s="53" t="n"/>
      <c r="E2272" s="60" t="n"/>
      <c r="F2272" s="53" t="n"/>
      <c r="G2272" s="61" t="str">
        <f>IF(OR(COUNTA(A2272:E2272)=0,D2272=""),"",IFERROR(INDEX(ca_fam,MATCH(D2272,ca_name,0))&amp;"",""))</f>
        <v/>
      </c>
      <c r="H2272" s="58" t="str">
        <f>IF(OR(COUNTA(A2272:E2272)=0,D2272=""),"",IFERROR(INDEX(ca_type,MATCH(D2272,ca_name,0))&amp;"",""))</f>
        <v/>
      </c>
      <c r="I2272" s="58" t="str">
        <f>IF(COUNTA(A2272:E2272)=0,"",IF(N(A2272)&lt;=0,"Date manquante ou invalide",IF(B2272="","Équipe manquante",IF(ISNA(MATCH(B2272,eq_code,0)),"Équipe inconnue",IF(C2272="","Poste manquant",IF(ISNA(MATCH(C2272,po_code,0)),"Poste inconnu",IF(D2272="","Cause manquante",IF(ISNA(MATCH(D2272,ca_name,0)),"Cause inconnue",IF(H2272="","Cause à compléter dans Paramètres",IF(OR(NOT(ISNUMBER(E2272)),N(E2272)&lt;=0,N(E2272)&gt;1440),"Durée invalide",IF(COUNTIFS(sj_date,A2272,sj_eq,B2272,sj_po,C2272)=0,"Pas de saisie journalière ce jour-là","OK")))))))))))</f>
        <v/>
      </c>
      <c r="J2272">
        <f>IF(OR(I2272="OK",I2272="Pas de saisie journalière ce jour-là"),E2272,0)</f>
        <v>0.0</v>
      </c>
      <c r="K2272">
        <f>IF(AND(J2272&gt;0,A2272&gt;=p_from,A2272&lt;=p_to),1,0)</f>
        <v>0.0</v>
      </c>
      <c r="L2272">
        <f>IF(AND(K2272=1,OR(pa_po="",C2272=pa_po),OR(pa_eq="",B2272=pa_eq)),1,0)</f>
        <v>0.0</v>
      </c>
    </row>
    <row r="2273">
      <c r="A2273" s="51" t="n"/>
      <c r="B2273" s="52" t="n"/>
      <c r="C2273" s="52" t="n"/>
      <c r="D2273" s="53" t="n"/>
      <c r="E2273" s="60" t="n"/>
      <c r="F2273" s="53" t="n"/>
      <c r="G2273" s="61" t="str">
        <f>IF(OR(COUNTA(A2273:E2273)=0,D2273=""),"",IFERROR(INDEX(ca_fam,MATCH(D2273,ca_name,0))&amp;"",""))</f>
        <v/>
      </c>
      <c r="H2273" s="58" t="str">
        <f>IF(OR(COUNTA(A2273:E2273)=0,D2273=""),"",IFERROR(INDEX(ca_type,MATCH(D2273,ca_name,0))&amp;"",""))</f>
        <v/>
      </c>
      <c r="I2273" s="58" t="str">
        <f>IF(COUNTA(A2273:E2273)=0,"",IF(N(A2273)&lt;=0,"Date manquante ou invalide",IF(B2273="","Équipe manquante",IF(ISNA(MATCH(B2273,eq_code,0)),"Équipe inconnue",IF(C2273="","Poste manquant",IF(ISNA(MATCH(C2273,po_code,0)),"Poste inconnu",IF(D2273="","Cause manquante",IF(ISNA(MATCH(D2273,ca_name,0)),"Cause inconnue",IF(H2273="","Cause à compléter dans Paramètres",IF(OR(NOT(ISNUMBER(E2273)),N(E2273)&lt;=0,N(E2273)&gt;1440),"Durée invalide",IF(COUNTIFS(sj_date,A2273,sj_eq,B2273,sj_po,C2273)=0,"Pas de saisie journalière ce jour-là","OK")))))))))))</f>
        <v/>
      </c>
      <c r="J2273">
        <f>IF(OR(I2273="OK",I2273="Pas de saisie journalière ce jour-là"),E2273,0)</f>
        <v>0.0</v>
      </c>
      <c r="K2273">
        <f>IF(AND(J2273&gt;0,A2273&gt;=p_from,A2273&lt;=p_to),1,0)</f>
        <v>0.0</v>
      </c>
      <c r="L2273">
        <f>IF(AND(K2273=1,OR(pa_po="",C2273=pa_po),OR(pa_eq="",B2273=pa_eq)),1,0)</f>
        <v>0.0</v>
      </c>
    </row>
    <row r="2274">
      <c r="A2274" s="51" t="n"/>
      <c r="B2274" s="52" t="n"/>
      <c r="C2274" s="52" t="n"/>
      <c r="D2274" s="53" t="n"/>
      <c r="E2274" s="60" t="n"/>
      <c r="F2274" s="53" t="n"/>
      <c r="G2274" s="61" t="str">
        <f>IF(OR(COUNTA(A2274:E2274)=0,D2274=""),"",IFERROR(INDEX(ca_fam,MATCH(D2274,ca_name,0))&amp;"",""))</f>
        <v/>
      </c>
      <c r="H2274" s="58" t="str">
        <f>IF(OR(COUNTA(A2274:E2274)=0,D2274=""),"",IFERROR(INDEX(ca_type,MATCH(D2274,ca_name,0))&amp;"",""))</f>
        <v/>
      </c>
      <c r="I2274" s="58" t="str">
        <f>IF(COUNTA(A2274:E2274)=0,"",IF(N(A2274)&lt;=0,"Date manquante ou invalide",IF(B2274="","Équipe manquante",IF(ISNA(MATCH(B2274,eq_code,0)),"Équipe inconnue",IF(C2274="","Poste manquant",IF(ISNA(MATCH(C2274,po_code,0)),"Poste inconnu",IF(D2274="","Cause manquante",IF(ISNA(MATCH(D2274,ca_name,0)),"Cause inconnue",IF(H2274="","Cause à compléter dans Paramètres",IF(OR(NOT(ISNUMBER(E2274)),N(E2274)&lt;=0,N(E2274)&gt;1440),"Durée invalide",IF(COUNTIFS(sj_date,A2274,sj_eq,B2274,sj_po,C2274)=0,"Pas de saisie journalière ce jour-là","OK")))))))))))</f>
        <v/>
      </c>
      <c r="J2274">
        <f>IF(OR(I2274="OK",I2274="Pas de saisie journalière ce jour-là"),E2274,0)</f>
        <v>0.0</v>
      </c>
      <c r="K2274">
        <f>IF(AND(J2274&gt;0,A2274&gt;=p_from,A2274&lt;=p_to),1,0)</f>
        <v>0.0</v>
      </c>
      <c r="L2274">
        <f>IF(AND(K2274=1,OR(pa_po="",C2274=pa_po),OR(pa_eq="",B2274=pa_eq)),1,0)</f>
        <v>0.0</v>
      </c>
    </row>
    <row r="2275">
      <c r="A2275" s="51" t="n"/>
      <c r="B2275" s="52" t="n"/>
      <c r="C2275" s="52" t="n"/>
      <c r="D2275" s="53" t="n"/>
      <c r="E2275" s="60" t="n"/>
      <c r="F2275" s="53" t="n"/>
      <c r="G2275" s="61" t="str">
        <f>IF(OR(COUNTA(A2275:E2275)=0,D2275=""),"",IFERROR(INDEX(ca_fam,MATCH(D2275,ca_name,0))&amp;"",""))</f>
        <v/>
      </c>
      <c r="H2275" s="58" t="str">
        <f>IF(OR(COUNTA(A2275:E2275)=0,D2275=""),"",IFERROR(INDEX(ca_type,MATCH(D2275,ca_name,0))&amp;"",""))</f>
        <v/>
      </c>
      <c r="I2275" s="58" t="str">
        <f>IF(COUNTA(A2275:E2275)=0,"",IF(N(A2275)&lt;=0,"Date manquante ou invalide",IF(B2275="","Équipe manquante",IF(ISNA(MATCH(B2275,eq_code,0)),"Équipe inconnue",IF(C2275="","Poste manquant",IF(ISNA(MATCH(C2275,po_code,0)),"Poste inconnu",IF(D2275="","Cause manquante",IF(ISNA(MATCH(D2275,ca_name,0)),"Cause inconnue",IF(H2275="","Cause à compléter dans Paramètres",IF(OR(NOT(ISNUMBER(E2275)),N(E2275)&lt;=0,N(E2275)&gt;1440),"Durée invalide",IF(COUNTIFS(sj_date,A2275,sj_eq,B2275,sj_po,C2275)=0,"Pas de saisie journalière ce jour-là","OK")))))))))))</f>
        <v/>
      </c>
      <c r="J2275">
        <f>IF(OR(I2275="OK",I2275="Pas de saisie journalière ce jour-là"),E2275,0)</f>
        <v>0.0</v>
      </c>
      <c r="K2275">
        <f>IF(AND(J2275&gt;0,A2275&gt;=p_from,A2275&lt;=p_to),1,0)</f>
        <v>0.0</v>
      </c>
      <c r="L2275">
        <f>IF(AND(K2275=1,OR(pa_po="",C2275=pa_po),OR(pa_eq="",B2275=pa_eq)),1,0)</f>
        <v>0.0</v>
      </c>
    </row>
    <row r="2276">
      <c r="A2276" s="51" t="n"/>
      <c r="B2276" s="52" t="n"/>
      <c r="C2276" s="52" t="n"/>
      <c r="D2276" s="53" t="n"/>
      <c r="E2276" s="60" t="n"/>
      <c r="F2276" s="53" t="n"/>
      <c r="G2276" s="61" t="str">
        <f>IF(OR(COUNTA(A2276:E2276)=0,D2276=""),"",IFERROR(INDEX(ca_fam,MATCH(D2276,ca_name,0))&amp;"",""))</f>
        <v/>
      </c>
      <c r="H2276" s="58" t="str">
        <f>IF(OR(COUNTA(A2276:E2276)=0,D2276=""),"",IFERROR(INDEX(ca_type,MATCH(D2276,ca_name,0))&amp;"",""))</f>
        <v/>
      </c>
      <c r="I2276" s="58" t="str">
        <f>IF(COUNTA(A2276:E2276)=0,"",IF(N(A2276)&lt;=0,"Date manquante ou invalide",IF(B2276="","Équipe manquante",IF(ISNA(MATCH(B2276,eq_code,0)),"Équipe inconnue",IF(C2276="","Poste manquant",IF(ISNA(MATCH(C2276,po_code,0)),"Poste inconnu",IF(D2276="","Cause manquante",IF(ISNA(MATCH(D2276,ca_name,0)),"Cause inconnue",IF(H2276="","Cause à compléter dans Paramètres",IF(OR(NOT(ISNUMBER(E2276)),N(E2276)&lt;=0,N(E2276)&gt;1440),"Durée invalide",IF(COUNTIFS(sj_date,A2276,sj_eq,B2276,sj_po,C2276)=0,"Pas de saisie journalière ce jour-là","OK")))))))))))</f>
        <v/>
      </c>
      <c r="J2276">
        <f>IF(OR(I2276="OK",I2276="Pas de saisie journalière ce jour-là"),E2276,0)</f>
        <v>0.0</v>
      </c>
      <c r="K2276">
        <f>IF(AND(J2276&gt;0,A2276&gt;=p_from,A2276&lt;=p_to),1,0)</f>
        <v>0.0</v>
      </c>
      <c r="L2276">
        <f>IF(AND(K2276=1,OR(pa_po="",C2276=pa_po),OR(pa_eq="",B2276=pa_eq)),1,0)</f>
        <v>0.0</v>
      </c>
    </row>
    <row r="2277">
      <c r="A2277" s="51" t="n"/>
      <c r="B2277" s="52" t="n"/>
      <c r="C2277" s="52" t="n"/>
      <c r="D2277" s="53" t="n"/>
      <c r="E2277" s="60" t="n"/>
      <c r="F2277" s="53" t="n"/>
      <c r="G2277" s="61" t="str">
        <f>IF(OR(COUNTA(A2277:E2277)=0,D2277=""),"",IFERROR(INDEX(ca_fam,MATCH(D2277,ca_name,0))&amp;"",""))</f>
        <v/>
      </c>
      <c r="H2277" s="58" t="str">
        <f>IF(OR(COUNTA(A2277:E2277)=0,D2277=""),"",IFERROR(INDEX(ca_type,MATCH(D2277,ca_name,0))&amp;"",""))</f>
        <v/>
      </c>
      <c r="I2277" s="58" t="str">
        <f>IF(COUNTA(A2277:E2277)=0,"",IF(N(A2277)&lt;=0,"Date manquante ou invalide",IF(B2277="","Équipe manquante",IF(ISNA(MATCH(B2277,eq_code,0)),"Équipe inconnue",IF(C2277="","Poste manquant",IF(ISNA(MATCH(C2277,po_code,0)),"Poste inconnu",IF(D2277="","Cause manquante",IF(ISNA(MATCH(D2277,ca_name,0)),"Cause inconnue",IF(H2277="","Cause à compléter dans Paramètres",IF(OR(NOT(ISNUMBER(E2277)),N(E2277)&lt;=0,N(E2277)&gt;1440),"Durée invalide",IF(COUNTIFS(sj_date,A2277,sj_eq,B2277,sj_po,C2277)=0,"Pas de saisie journalière ce jour-là","OK")))))))))))</f>
        <v/>
      </c>
      <c r="J2277">
        <f>IF(OR(I2277="OK",I2277="Pas de saisie journalière ce jour-là"),E2277,0)</f>
        <v>0.0</v>
      </c>
      <c r="K2277">
        <f>IF(AND(J2277&gt;0,A2277&gt;=p_from,A2277&lt;=p_to),1,0)</f>
        <v>0.0</v>
      </c>
      <c r="L2277">
        <f>IF(AND(K2277=1,OR(pa_po="",C2277=pa_po),OR(pa_eq="",B2277=pa_eq)),1,0)</f>
        <v>0.0</v>
      </c>
    </row>
    <row r="2278">
      <c r="A2278" s="51" t="n"/>
      <c r="B2278" s="52" t="n"/>
      <c r="C2278" s="52" t="n"/>
      <c r="D2278" s="53" t="n"/>
      <c r="E2278" s="60" t="n"/>
      <c r="F2278" s="53" t="n"/>
      <c r="G2278" s="61" t="str">
        <f>IF(OR(COUNTA(A2278:E2278)=0,D2278=""),"",IFERROR(INDEX(ca_fam,MATCH(D2278,ca_name,0))&amp;"",""))</f>
        <v/>
      </c>
      <c r="H2278" s="58" t="str">
        <f>IF(OR(COUNTA(A2278:E2278)=0,D2278=""),"",IFERROR(INDEX(ca_type,MATCH(D2278,ca_name,0))&amp;"",""))</f>
        <v/>
      </c>
      <c r="I2278" s="58" t="str">
        <f>IF(COUNTA(A2278:E2278)=0,"",IF(N(A2278)&lt;=0,"Date manquante ou invalide",IF(B2278="","Équipe manquante",IF(ISNA(MATCH(B2278,eq_code,0)),"Équipe inconnue",IF(C2278="","Poste manquant",IF(ISNA(MATCH(C2278,po_code,0)),"Poste inconnu",IF(D2278="","Cause manquante",IF(ISNA(MATCH(D2278,ca_name,0)),"Cause inconnue",IF(H2278="","Cause à compléter dans Paramètres",IF(OR(NOT(ISNUMBER(E2278)),N(E2278)&lt;=0,N(E2278)&gt;1440),"Durée invalide",IF(COUNTIFS(sj_date,A2278,sj_eq,B2278,sj_po,C2278)=0,"Pas de saisie journalière ce jour-là","OK")))))))))))</f>
        <v/>
      </c>
      <c r="J2278">
        <f>IF(OR(I2278="OK",I2278="Pas de saisie journalière ce jour-là"),E2278,0)</f>
        <v>0.0</v>
      </c>
      <c r="K2278">
        <f>IF(AND(J2278&gt;0,A2278&gt;=p_from,A2278&lt;=p_to),1,0)</f>
        <v>0.0</v>
      </c>
      <c r="L2278">
        <f>IF(AND(K2278=1,OR(pa_po="",C2278=pa_po),OR(pa_eq="",B2278=pa_eq)),1,0)</f>
        <v>0.0</v>
      </c>
    </row>
    <row r="2279">
      <c r="A2279" s="51" t="n"/>
      <c r="B2279" s="52" t="n"/>
      <c r="C2279" s="52" t="n"/>
      <c r="D2279" s="53" t="n"/>
      <c r="E2279" s="60" t="n"/>
      <c r="F2279" s="53" t="n"/>
      <c r="G2279" s="61" t="str">
        <f>IF(OR(COUNTA(A2279:E2279)=0,D2279=""),"",IFERROR(INDEX(ca_fam,MATCH(D2279,ca_name,0))&amp;"",""))</f>
        <v/>
      </c>
      <c r="H2279" s="58" t="str">
        <f>IF(OR(COUNTA(A2279:E2279)=0,D2279=""),"",IFERROR(INDEX(ca_type,MATCH(D2279,ca_name,0))&amp;"",""))</f>
        <v/>
      </c>
      <c r="I2279" s="58" t="str">
        <f>IF(COUNTA(A2279:E2279)=0,"",IF(N(A2279)&lt;=0,"Date manquante ou invalide",IF(B2279="","Équipe manquante",IF(ISNA(MATCH(B2279,eq_code,0)),"Équipe inconnue",IF(C2279="","Poste manquant",IF(ISNA(MATCH(C2279,po_code,0)),"Poste inconnu",IF(D2279="","Cause manquante",IF(ISNA(MATCH(D2279,ca_name,0)),"Cause inconnue",IF(H2279="","Cause à compléter dans Paramètres",IF(OR(NOT(ISNUMBER(E2279)),N(E2279)&lt;=0,N(E2279)&gt;1440),"Durée invalide",IF(COUNTIFS(sj_date,A2279,sj_eq,B2279,sj_po,C2279)=0,"Pas de saisie journalière ce jour-là","OK")))))))))))</f>
        <v/>
      </c>
      <c r="J2279">
        <f>IF(OR(I2279="OK",I2279="Pas de saisie journalière ce jour-là"),E2279,0)</f>
        <v>0.0</v>
      </c>
      <c r="K2279">
        <f>IF(AND(J2279&gt;0,A2279&gt;=p_from,A2279&lt;=p_to),1,0)</f>
        <v>0.0</v>
      </c>
      <c r="L2279">
        <f>IF(AND(K2279=1,OR(pa_po="",C2279=pa_po),OR(pa_eq="",B2279=pa_eq)),1,0)</f>
        <v>0.0</v>
      </c>
    </row>
    <row r="2280">
      <c r="A2280" s="51" t="n"/>
      <c r="B2280" s="52" t="n"/>
      <c r="C2280" s="52" t="n"/>
      <c r="D2280" s="53" t="n"/>
      <c r="E2280" s="60" t="n"/>
      <c r="F2280" s="53" t="n"/>
      <c r="G2280" s="61" t="str">
        <f>IF(OR(COUNTA(A2280:E2280)=0,D2280=""),"",IFERROR(INDEX(ca_fam,MATCH(D2280,ca_name,0))&amp;"",""))</f>
        <v/>
      </c>
      <c r="H2280" s="58" t="str">
        <f>IF(OR(COUNTA(A2280:E2280)=0,D2280=""),"",IFERROR(INDEX(ca_type,MATCH(D2280,ca_name,0))&amp;"",""))</f>
        <v/>
      </c>
      <c r="I2280" s="58" t="str">
        <f>IF(COUNTA(A2280:E2280)=0,"",IF(N(A2280)&lt;=0,"Date manquante ou invalide",IF(B2280="","Équipe manquante",IF(ISNA(MATCH(B2280,eq_code,0)),"Équipe inconnue",IF(C2280="","Poste manquant",IF(ISNA(MATCH(C2280,po_code,0)),"Poste inconnu",IF(D2280="","Cause manquante",IF(ISNA(MATCH(D2280,ca_name,0)),"Cause inconnue",IF(H2280="","Cause à compléter dans Paramètres",IF(OR(NOT(ISNUMBER(E2280)),N(E2280)&lt;=0,N(E2280)&gt;1440),"Durée invalide",IF(COUNTIFS(sj_date,A2280,sj_eq,B2280,sj_po,C2280)=0,"Pas de saisie journalière ce jour-là","OK")))))))))))</f>
        <v/>
      </c>
      <c r="J2280">
        <f>IF(OR(I2280="OK",I2280="Pas de saisie journalière ce jour-là"),E2280,0)</f>
        <v>0.0</v>
      </c>
      <c r="K2280">
        <f>IF(AND(J2280&gt;0,A2280&gt;=p_from,A2280&lt;=p_to),1,0)</f>
        <v>0.0</v>
      </c>
      <c r="L2280">
        <f>IF(AND(K2280=1,OR(pa_po="",C2280=pa_po),OR(pa_eq="",B2280=pa_eq)),1,0)</f>
        <v>0.0</v>
      </c>
    </row>
    <row r="2281">
      <c r="A2281" s="51" t="n"/>
      <c r="B2281" s="52" t="n"/>
      <c r="C2281" s="52" t="n"/>
      <c r="D2281" s="53" t="n"/>
      <c r="E2281" s="60" t="n"/>
      <c r="F2281" s="53" t="n"/>
      <c r="G2281" s="61" t="str">
        <f>IF(OR(COUNTA(A2281:E2281)=0,D2281=""),"",IFERROR(INDEX(ca_fam,MATCH(D2281,ca_name,0))&amp;"",""))</f>
        <v/>
      </c>
      <c r="H2281" s="58" t="str">
        <f>IF(OR(COUNTA(A2281:E2281)=0,D2281=""),"",IFERROR(INDEX(ca_type,MATCH(D2281,ca_name,0))&amp;"",""))</f>
        <v/>
      </c>
      <c r="I2281" s="58" t="str">
        <f>IF(COUNTA(A2281:E2281)=0,"",IF(N(A2281)&lt;=0,"Date manquante ou invalide",IF(B2281="","Équipe manquante",IF(ISNA(MATCH(B2281,eq_code,0)),"Équipe inconnue",IF(C2281="","Poste manquant",IF(ISNA(MATCH(C2281,po_code,0)),"Poste inconnu",IF(D2281="","Cause manquante",IF(ISNA(MATCH(D2281,ca_name,0)),"Cause inconnue",IF(H2281="","Cause à compléter dans Paramètres",IF(OR(NOT(ISNUMBER(E2281)),N(E2281)&lt;=0,N(E2281)&gt;1440),"Durée invalide",IF(COUNTIFS(sj_date,A2281,sj_eq,B2281,sj_po,C2281)=0,"Pas de saisie journalière ce jour-là","OK")))))))))))</f>
        <v/>
      </c>
      <c r="J2281">
        <f>IF(OR(I2281="OK",I2281="Pas de saisie journalière ce jour-là"),E2281,0)</f>
        <v>0.0</v>
      </c>
      <c r="K2281">
        <f>IF(AND(J2281&gt;0,A2281&gt;=p_from,A2281&lt;=p_to),1,0)</f>
        <v>0.0</v>
      </c>
      <c r="L2281">
        <f>IF(AND(K2281=1,OR(pa_po="",C2281=pa_po),OR(pa_eq="",B2281=pa_eq)),1,0)</f>
        <v>0.0</v>
      </c>
    </row>
    <row r="2282">
      <c r="A2282" s="51" t="n"/>
      <c r="B2282" s="52" t="n"/>
      <c r="C2282" s="52" t="n"/>
      <c r="D2282" s="53" t="n"/>
      <c r="E2282" s="60" t="n"/>
      <c r="F2282" s="53" t="n"/>
      <c r="G2282" s="61" t="str">
        <f>IF(OR(COUNTA(A2282:E2282)=0,D2282=""),"",IFERROR(INDEX(ca_fam,MATCH(D2282,ca_name,0))&amp;"",""))</f>
        <v/>
      </c>
      <c r="H2282" s="58" t="str">
        <f>IF(OR(COUNTA(A2282:E2282)=0,D2282=""),"",IFERROR(INDEX(ca_type,MATCH(D2282,ca_name,0))&amp;"",""))</f>
        <v/>
      </c>
      <c r="I2282" s="58" t="str">
        <f>IF(COUNTA(A2282:E2282)=0,"",IF(N(A2282)&lt;=0,"Date manquante ou invalide",IF(B2282="","Équipe manquante",IF(ISNA(MATCH(B2282,eq_code,0)),"Équipe inconnue",IF(C2282="","Poste manquant",IF(ISNA(MATCH(C2282,po_code,0)),"Poste inconnu",IF(D2282="","Cause manquante",IF(ISNA(MATCH(D2282,ca_name,0)),"Cause inconnue",IF(H2282="","Cause à compléter dans Paramètres",IF(OR(NOT(ISNUMBER(E2282)),N(E2282)&lt;=0,N(E2282)&gt;1440),"Durée invalide",IF(COUNTIFS(sj_date,A2282,sj_eq,B2282,sj_po,C2282)=0,"Pas de saisie journalière ce jour-là","OK")))))))))))</f>
        <v/>
      </c>
      <c r="J2282">
        <f>IF(OR(I2282="OK",I2282="Pas de saisie journalière ce jour-là"),E2282,0)</f>
        <v>0.0</v>
      </c>
      <c r="K2282">
        <f>IF(AND(J2282&gt;0,A2282&gt;=p_from,A2282&lt;=p_to),1,0)</f>
        <v>0.0</v>
      </c>
      <c r="L2282">
        <f>IF(AND(K2282=1,OR(pa_po="",C2282=pa_po),OR(pa_eq="",B2282=pa_eq)),1,0)</f>
        <v>0.0</v>
      </c>
    </row>
    <row r="2283">
      <c r="A2283" s="51" t="n"/>
      <c r="B2283" s="52" t="n"/>
      <c r="C2283" s="52" t="n"/>
      <c r="D2283" s="53" t="n"/>
      <c r="E2283" s="60" t="n"/>
      <c r="F2283" s="53" t="n"/>
      <c r="G2283" s="61" t="str">
        <f>IF(OR(COUNTA(A2283:E2283)=0,D2283=""),"",IFERROR(INDEX(ca_fam,MATCH(D2283,ca_name,0))&amp;"",""))</f>
        <v/>
      </c>
      <c r="H2283" s="58" t="str">
        <f>IF(OR(COUNTA(A2283:E2283)=0,D2283=""),"",IFERROR(INDEX(ca_type,MATCH(D2283,ca_name,0))&amp;"",""))</f>
        <v/>
      </c>
      <c r="I2283" s="58" t="str">
        <f>IF(COUNTA(A2283:E2283)=0,"",IF(N(A2283)&lt;=0,"Date manquante ou invalide",IF(B2283="","Équipe manquante",IF(ISNA(MATCH(B2283,eq_code,0)),"Équipe inconnue",IF(C2283="","Poste manquant",IF(ISNA(MATCH(C2283,po_code,0)),"Poste inconnu",IF(D2283="","Cause manquante",IF(ISNA(MATCH(D2283,ca_name,0)),"Cause inconnue",IF(H2283="","Cause à compléter dans Paramètres",IF(OR(NOT(ISNUMBER(E2283)),N(E2283)&lt;=0,N(E2283)&gt;1440),"Durée invalide",IF(COUNTIFS(sj_date,A2283,sj_eq,B2283,sj_po,C2283)=0,"Pas de saisie journalière ce jour-là","OK")))))))))))</f>
        <v/>
      </c>
      <c r="J2283">
        <f>IF(OR(I2283="OK",I2283="Pas de saisie journalière ce jour-là"),E2283,0)</f>
        <v>0.0</v>
      </c>
      <c r="K2283">
        <f>IF(AND(J2283&gt;0,A2283&gt;=p_from,A2283&lt;=p_to),1,0)</f>
        <v>0.0</v>
      </c>
      <c r="L2283">
        <f>IF(AND(K2283=1,OR(pa_po="",C2283=pa_po),OR(pa_eq="",B2283=pa_eq)),1,0)</f>
        <v>0.0</v>
      </c>
    </row>
    <row r="2284">
      <c r="A2284" s="51" t="n"/>
      <c r="B2284" s="52" t="n"/>
      <c r="C2284" s="52" t="n"/>
      <c r="D2284" s="53" t="n"/>
      <c r="E2284" s="60" t="n"/>
      <c r="F2284" s="53" t="n"/>
      <c r="G2284" s="61" t="str">
        <f>IF(OR(COUNTA(A2284:E2284)=0,D2284=""),"",IFERROR(INDEX(ca_fam,MATCH(D2284,ca_name,0))&amp;"",""))</f>
        <v/>
      </c>
      <c r="H2284" s="58" t="str">
        <f>IF(OR(COUNTA(A2284:E2284)=0,D2284=""),"",IFERROR(INDEX(ca_type,MATCH(D2284,ca_name,0))&amp;"",""))</f>
        <v/>
      </c>
      <c r="I2284" s="58" t="str">
        <f>IF(COUNTA(A2284:E2284)=0,"",IF(N(A2284)&lt;=0,"Date manquante ou invalide",IF(B2284="","Équipe manquante",IF(ISNA(MATCH(B2284,eq_code,0)),"Équipe inconnue",IF(C2284="","Poste manquant",IF(ISNA(MATCH(C2284,po_code,0)),"Poste inconnu",IF(D2284="","Cause manquante",IF(ISNA(MATCH(D2284,ca_name,0)),"Cause inconnue",IF(H2284="","Cause à compléter dans Paramètres",IF(OR(NOT(ISNUMBER(E2284)),N(E2284)&lt;=0,N(E2284)&gt;1440),"Durée invalide",IF(COUNTIFS(sj_date,A2284,sj_eq,B2284,sj_po,C2284)=0,"Pas de saisie journalière ce jour-là","OK")))))))))))</f>
        <v/>
      </c>
      <c r="J2284">
        <f>IF(OR(I2284="OK",I2284="Pas de saisie journalière ce jour-là"),E2284,0)</f>
        <v>0.0</v>
      </c>
      <c r="K2284">
        <f>IF(AND(J2284&gt;0,A2284&gt;=p_from,A2284&lt;=p_to),1,0)</f>
        <v>0.0</v>
      </c>
      <c r="L2284">
        <f>IF(AND(K2284=1,OR(pa_po="",C2284=pa_po),OR(pa_eq="",B2284=pa_eq)),1,0)</f>
        <v>0.0</v>
      </c>
    </row>
    <row r="2285">
      <c r="A2285" s="51" t="n"/>
      <c r="B2285" s="52" t="n"/>
      <c r="C2285" s="52" t="n"/>
      <c r="D2285" s="53" t="n"/>
      <c r="E2285" s="60" t="n"/>
      <c r="F2285" s="53" t="n"/>
      <c r="G2285" s="61" t="str">
        <f>IF(OR(COUNTA(A2285:E2285)=0,D2285=""),"",IFERROR(INDEX(ca_fam,MATCH(D2285,ca_name,0))&amp;"",""))</f>
        <v/>
      </c>
      <c r="H2285" s="58" t="str">
        <f>IF(OR(COUNTA(A2285:E2285)=0,D2285=""),"",IFERROR(INDEX(ca_type,MATCH(D2285,ca_name,0))&amp;"",""))</f>
        <v/>
      </c>
      <c r="I2285" s="58" t="str">
        <f>IF(COUNTA(A2285:E2285)=0,"",IF(N(A2285)&lt;=0,"Date manquante ou invalide",IF(B2285="","Équipe manquante",IF(ISNA(MATCH(B2285,eq_code,0)),"Équipe inconnue",IF(C2285="","Poste manquant",IF(ISNA(MATCH(C2285,po_code,0)),"Poste inconnu",IF(D2285="","Cause manquante",IF(ISNA(MATCH(D2285,ca_name,0)),"Cause inconnue",IF(H2285="","Cause à compléter dans Paramètres",IF(OR(NOT(ISNUMBER(E2285)),N(E2285)&lt;=0,N(E2285)&gt;1440),"Durée invalide",IF(COUNTIFS(sj_date,A2285,sj_eq,B2285,sj_po,C2285)=0,"Pas de saisie journalière ce jour-là","OK")))))))))))</f>
        <v/>
      </c>
      <c r="J2285">
        <f>IF(OR(I2285="OK",I2285="Pas de saisie journalière ce jour-là"),E2285,0)</f>
        <v>0.0</v>
      </c>
      <c r="K2285">
        <f>IF(AND(J2285&gt;0,A2285&gt;=p_from,A2285&lt;=p_to),1,0)</f>
        <v>0.0</v>
      </c>
      <c r="L2285">
        <f>IF(AND(K2285=1,OR(pa_po="",C2285=pa_po),OR(pa_eq="",B2285=pa_eq)),1,0)</f>
        <v>0.0</v>
      </c>
    </row>
    <row r="2286">
      <c r="A2286" s="51" t="n"/>
      <c r="B2286" s="52" t="n"/>
      <c r="C2286" s="52" t="n"/>
      <c r="D2286" s="53" t="n"/>
      <c r="E2286" s="60" t="n"/>
      <c r="F2286" s="53" t="n"/>
      <c r="G2286" s="61" t="str">
        <f>IF(OR(COUNTA(A2286:E2286)=0,D2286=""),"",IFERROR(INDEX(ca_fam,MATCH(D2286,ca_name,0))&amp;"",""))</f>
        <v/>
      </c>
      <c r="H2286" s="58" t="str">
        <f>IF(OR(COUNTA(A2286:E2286)=0,D2286=""),"",IFERROR(INDEX(ca_type,MATCH(D2286,ca_name,0))&amp;"",""))</f>
        <v/>
      </c>
      <c r="I2286" s="58" t="str">
        <f>IF(COUNTA(A2286:E2286)=0,"",IF(N(A2286)&lt;=0,"Date manquante ou invalide",IF(B2286="","Équipe manquante",IF(ISNA(MATCH(B2286,eq_code,0)),"Équipe inconnue",IF(C2286="","Poste manquant",IF(ISNA(MATCH(C2286,po_code,0)),"Poste inconnu",IF(D2286="","Cause manquante",IF(ISNA(MATCH(D2286,ca_name,0)),"Cause inconnue",IF(H2286="","Cause à compléter dans Paramètres",IF(OR(NOT(ISNUMBER(E2286)),N(E2286)&lt;=0,N(E2286)&gt;1440),"Durée invalide",IF(COUNTIFS(sj_date,A2286,sj_eq,B2286,sj_po,C2286)=0,"Pas de saisie journalière ce jour-là","OK")))))))))))</f>
        <v/>
      </c>
      <c r="J2286">
        <f>IF(OR(I2286="OK",I2286="Pas de saisie journalière ce jour-là"),E2286,0)</f>
        <v>0.0</v>
      </c>
      <c r="K2286">
        <f>IF(AND(J2286&gt;0,A2286&gt;=p_from,A2286&lt;=p_to),1,0)</f>
        <v>0.0</v>
      </c>
      <c r="L2286">
        <f>IF(AND(K2286=1,OR(pa_po="",C2286=pa_po),OR(pa_eq="",B2286=pa_eq)),1,0)</f>
        <v>0.0</v>
      </c>
    </row>
    <row r="2287">
      <c r="A2287" s="51" t="n"/>
      <c r="B2287" s="52" t="n"/>
      <c r="C2287" s="52" t="n"/>
      <c r="D2287" s="53" t="n"/>
      <c r="E2287" s="60" t="n"/>
      <c r="F2287" s="53" t="n"/>
      <c r="G2287" s="61" t="str">
        <f>IF(OR(COUNTA(A2287:E2287)=0,D2287=""),"",IFERROR(INDEX(ca_fam,MATCH(D2287,ca_name,0))&amp;"",""))</f>
        <v/>
      </c>
      <c r="H2287" s="58" t="str">
        <f>IF(OR(COUNTA(A2287:E2287)=0,D2287=""),"",IFERROR(INDEX(ca_type,MATCH(D2287,ca_name,0))&amp;"",""))</f>
        <v/>
      </c>
      <c r="I2287" s="58" t="str">
        <f>IF(COUNTA(A2287:E2287)=0,"",IF(N(A2287)&lt;=0,"Date manquante ou invalide",IF(B2287="","Équipe manquante",IF(ISNA(MATCH(B2287,eq_code,0)),"Équipe inconnue",IF(C2287="","Poste manquant",IF(ISNA(MATCH(C2287,po_code,0)),"Poste inconnu",IF(D2287="","Cause manquante",IF(ISNA(MATCH(D2287,ca_name,0)),"Cause inconnue",IF(H2287="","Cause à compléter dans Paramètres",IF(OR(NOT(ISNUMBER(E2287)),N(E2287)&lt;=0,N(E2287)&gt;1440),"Durée invalide",IF(COUNTIFS(sj_date,A2287,sj_eq,B2287,sj_po,C2287)=0,"Pas de saisie journalière ce jour-là","OK")))))))))))</f>
        <v/>
      </c>
      <c r="J2287">
        <f>IF(OR(I2287="OK",I2287="Pas de saisie journalière ce jour-là"),E2287,0)</f>
        <v>0.0</v>
      </c>
      <c r="K2287">
        <f>IF(AND(J2287&gt;0,A2287&gt;=p_from,A2287&lt;=p_to),1,0)</f>
        <v>0.0</v>
      </c>
      <c r="L2287">
        <f>IF(AND(K2287=1,OR(pa_po="",C2287=pa_po),OR(pa_eq="",B2287=pa_eq)),1,0)</f>
        <v>0.0</v>
      </c>
    </row>
    <row r="2288">
      <c r="A2288" s="51" t="n"/>
      <c r="B2288" s="52" t="n"/>
      <c r="C2288" s="52" t="n"/>
      <c r="D2288" s="53" t="n"/>
      <c r="E2288" s="60" t="n"/>
      <c r="F2288" s="53" t="n"/>
      <c r="G2288" s="61" t="str">
        <f>IF(OR(COUNTA(A2288:E2288)=0,D2288=""),"",IFERROR(INDEX(ca_fam,MATCH(D2288,ca_name,0))&amp;"",""))</f>
        <v/>
      </c>
      <c r="H2288" s="58" t="str">
        <f>IF(OR(COUNTA(A2288:E2288)=0,D2288=""),"",IFERROR(INDEX(ca_type,MATCH(D2288,ca_name,0))&amp;"",""))</f>
        <v/>
      </c>
      <c r="I2288" s="58" t="str">
        <f>IF(COUNTA(A2288:E2288)=0,"",IF(N(A2288)&lt;=0,"Date manquante ou invalide",IF(B2288="","Équipe manquante",IF(ISNA(MATCH(B2288,eq_code,0)),"Équipe inconnue",IF(C2288="","Poste manquant",IF(ISNA(MATCH(C2288,po_code,0)),"Poste inconnu",IF(D2288="","Cause manquante",IF(ISNA(MATCH(D2288,ca_name,0)),"Cause inconnue",IF(H2288="","Cause à compléter dans Paramètres",IF(OR(NOT(ISNUMBER(E2288)),N(E2288)&lt;=0,N(E2288)&gt;1440),"Durée invalide",IF(COUNTIFS(sj_date,A2288,sj_eq,B2288,sj_po,C2288)=0,"Pas de saisie journalière ce jour-là","OK")))))))))))</f>
        <v/>
      </c>
      <c r="J2288">
        <f>IF(OR(I2288="OK",I2288="Pas de saisie journalière ce jour-là"),E2288,0)</f>
        <v>0.0</v>
      </c>
      <c r="K2288">
        <f>IF(AND(J2288&gt;0,A2288&gt;=p_from,A2288&lt;=p_to),1,0)</f>
        <v>0.0</v>
      </c>
      <c r="L2288">
        <f>IF(AND(K2288=1,OR(pa_po="",C2288=pa_po),OR(pa_eq="",B2288=pa_eq)),1,0)</f>
        <v>0.0</v>
      </c>
    </row>
    <row r="2289">
      <c r="A2289" s="51" t="n"/>
      <c r="B2289" s="52" t="n"/>
      <c r="C2289" s="52" t="n"/>
      <c r="D2289" s="53" t="n"/>
      <c r="E2289" s="60" t="n"/>
      <c r="F2289" s="53" t="n"/>
      <c r="G2289" s="61" t="str">
        <f>IF(OR(COUNTA(A2289:E2289)=0,D2289=""),"",IFERROR(INDEX(ca_fam,MATCH(D2289,ca_name,0))&amp;"",""))</f>
        <v/>
      </c>
      <c r="H2289" s="58" t="str">
        <f>IF(OR(COUNTA(A2289:E2289)=0,D2289=""),"",IFERROR(INDEX(ca_type,MATCH(D2289,ca_name,0))&amp;"",""))</f>
        <v/>
      </c>
      <c r="I2289" s="58" t="str">
        <f>IF(COUNTA(A2289:E2289)=0,"",IF(N(A2289)&lt;=0,"Date manquante ou invalide",IF(B2289="","Équipe manquante",IF(ISNA(MATCH(B2289,eq_code,0)),"Équipe inconnue",IF(C2289="","Poste manquant",IF(ISNA(MATCH(C2289,po_code,0)),"Poste inconnu",IF(D2289="","Cause manquante",IF(ISNA(MATCH(D2289,ca_name,0)),"Cause inconnue",IF(H2289="","Cause à compléter dans Paramètres",IF(OR(NOT(ISNUMBER(E2289)),N(E2289)&lt;=0,N(E2289)&gt;1440),"Durée invalide",IF(COUNTIFS(sj_date,A2289,sj_eq,B2289,sj_po,C2289)=0,"Pas de saisie journalière ce jour-là","OK")))))))))))</f>
        <v/>
      </c>
      <c r="J2289">
        <f>IF(OR(I2289="OK",I2289="Pas de saisie journalière ce jour-là"),E2289,0)</f>
        <v>0.0</v>
      </c>
      <c r="K2289">
        <f>IF(AND(J2289&gt;0,A2289&gt;=p_from,A2289&lt;=p_to),1,0)</f>
        <v>0.0</v>
      </c>
      <c r="L2289">
        <f>IF(AND(K2289=1,OR(pa_po="",C2289=pa_po),OR(pa_eq="",B2289=pa_eq)),1,0)</f>
        <v>0.0</v>
      </c>
    </row>
    <row r="2290">
      <c r="A2290" s="51" t="n"/>
      <c r="B2290" s="52" t="n"/>
      <c r="C2290" s="52" t="n"/>
      <c r="D2290" s="53" t="n"/>
      <c r="E2290" s="60" t="n"/>
      <c r="F2290" s="53" t="n"/>
      <c r="G2290" s="61" t="str">
        <f>IF(OR(COUNTA(A2290:E2290)=0,D2290=""),"",IFERROR(INDEX(ca_fam,MATCH(D2290,ca_name,0))&amp;"",""))</f>
        <v/>
      </c>
      <c r="H2290" s="58" t="str">
        <f>IF(OR(COUNTA(A2290:E2290)=0,D2290=""),"",IFERROR(INDEX(ca_type,MATCH(D2290,ca_name,0))&amp;"",""))</f>
        <v/>
      </c>
      <c r="I2290" s="58" t="str">
        <f>IF(COUNTA(A2290:E2290)=0,"",IF(N(A2290)&lt;=0,"Date manquante ou invalide",IF(B2290="","Équipe manquante",IF(ISNA(MATCH(B2290,eq_code,0)),"Équipe inconnue",IF(C2290="","Poste manquant",IF(ISNA(MATCH(C2290,po_code,0)),"Poste inconnu",IF(D2290="","Cause manquante",IF(ISNA(MATCH(D2290,ca_name,0)),"Cause inconnue",IF(H2290="","Cause à compléter dans Paramètres",IF(OR(NOT(ISNUMBER(E2290)),N(E2290)&lt;=0,N(E2290)&gt;1440),"Durée invalide",IF(COUNTIFS(sj_date,A2290,sj_eq,B2290,sj_po,C2290)=0,"Pas de saisie journalière ce jour-là","OK")))))))))))</f>
        <v/>
      </c>
      <c r="J2290">
        <f>IF(OR(I2290="OK",I2290="Pas de saisie journalière ce jour-là"),E2290,0)</f>
        <v>0.0</v>
      </c>
      <c r="K2290">
        <f>IF(AND(J2290&gt;0,A2290&gt;=p_from,A2290&lt;=p_to),1,0)</f>
        <v>0.0</v>
      </c>
      <c r="L2290">
        <f>IF(AND(K2290=1,OR(pa_po="",C2290=pa_po),OR(pa_eq="",B2290=pa_eq)),1,0)</f>
        <v>0.0</v>
      </c>
    </row>
    <row r="2291">
      <c r="A2291" s="51" t="n"/>
      <c r="B2291" s="52" t="n"/>
      <c r="C2291" s="52" t="n"/>
      <c r="D2291" s="53" t="n"/>
      <c r="E2291" s="60" t="n"/>
      <c r="F2291" s="53" t="n"/>
      <c r="G2291" s="61" t="str">
        <f>IF(OR(COUNTA(A2291:E2291)=0,D2291=""),"",IFERROR(INDEX(ca_fam,MATCH(D2291,ca_name,0))&amp;"",""))</f>
        <v/>
      </c>
      <c r="H2291" s="58" t="str">
        <f>IF(OR(COUNTA(A2291:E2291)=0,D2291=""),"",IFERROR(INDEX(ca_type,MATCH(D2291,ca_name,0))&amp;"",""))</f>
        <v/>
      </c>
      <c r="I2291" s="58" t="str">
        <f>IF(COUNTA(A2291:E2291)=0,"",IF(N(A2291)&lt;=0,"Date manquante ou invalide",IF(B2291="","Équipe manquante",IF(ISNA(MATCH(B2291,eq_code,0)),"Équipe inconnue",IF(C2291="","Poste manquant",IF(ISNA(MATCH(C2291,po_code,0)),"Poste inconnu",IF(D2291="","Cause manquante",IF(ISNA(MATCH(D2291,ca_name,0)),"Cause inconnue",IF(H2291="","Cause à compléter dans Paramètres",IF(OR(NOT(ISNUMBER(E2291)),N(E2291)&lt;=0,N(E2291)&gt;1440),"Durée invalide",IF(COUNTIFS(sj_date,A2291,sj_eq,B2291,sj_po,C2291)=0,"Pas de saisie journalière ce jour-là","OK")))))))))))</f>
        <v/>
      </c>
      <c r="J2291">
        <f>IF(OR(I2291="OK",I2291="Pas de saisie journalière ce jour-là"),E2291,0)</f>
        <v>0.0</v>
      </c>
      <c r="K2291">
        <f>IF(AND(J2291&gt;0,A2291&gt;=p_from,A2291&lt;=p_to),1,0)</f>
        <v>0.0</v>
      </c>
      <c r="L2291">
        <f>IF(AND(K2291=1,OR(pa_po="",C2291=pa_po),OR(pa_eq="",B2291=pa_eq)),1,0)</f>
        <v>0.0</v>
      </c>
    </row>
    <row r="2292">
      <c r="A2292" s="51" t="n"/>
      <c r="B2292" s="52" t="n"/>
      <c r="C2292" s="52" t="n"/>
      <c r="D2292" s="53" t="n"/>
      <c r="E2292" s="60" t="n"/>
      <c r="F2292" s="53" t="n"/>
      <c r="G2292" s="61" t="str">
        <f>IF(OR(COUNTA(A2292:E2292)=0,D2292=""),"",IFERROR(INDEX(ca_fam,MATCH(D2292,ca_name,0))&amp;"",""))</f>
        <v/>
      </c>
      <c r="H2292" s="58" t="str">
        <f>IF(OR(COUNTA(A2292:E2292)=0,D2292=""),"",IFERROR(INDEX(ca_type,MATCH(D2292,ca_name,0))&amp;"",""))</f>
        <v/>
      </c>
      <c r="I2292" s="58" t="str">
        <f>IF(COUNTA(A2292:E2292)=0,"",IF(N(A2292)&lt;=0,"Date manquante ou invalide",IF(B2292="","Équipe manquante",IF(ISNA(MATCH(B2292,eq_code,0)),"Équipe inconnue",IF(C2292="","Poste manquant",IF(ISNA(MATCH(C2292,po_code,0)),"Poste inconnu",IF(D2292="","Cause manquante",IF(ISNA(MATCH(D2292,ca_name,0)),"Cause inconnue",IF(H2292="","Cause à compléter dans Paramètres",IF(OR(NOT(ISNUMBER(E2292)),N(E2292)&lt;=0,N(E2292)&gt;1440),"Durée invalide",IF(COUNTIFS(sj_date,A2292,sj_eq,B2292,sj_po,C2292)=0,"Pas de saisie journalière ce jour-là","OK")))))))))))</f>
        <v/>
      </c>
      <c r="J2292">
        <f>IF(OR(I2292="OK",I2292="Pas de saisie journalière ce jour-là"),E2292,0)</f>
        <v>0.0</v>
      </c>
      <c r="K2292">
        <f>IF(AND(J2292&gt;0,A2292&gt;=p_from,A2292&lt;=p_to),1,0)</f>
        <v>0.0</v>
      </c>
      <c r="L2292">
        <f>IF(AND(K2292=1,OR(pa_po="",C2292=pa_po),OR(pa_eq="",B2292=pa_eq)),1,0)</f>
        <v>0.0</v>
      </c>
    </row>
    <row r="2293">
      <c r="A2293" s="51" t="n"/>
      <c r="B2293" s="52" t="n"/>
      <c r="C2293" s="52" t="n"/>
      <c r="D2293" s="53" t="n"/>
      <c r="E2293" s="60" t="n"/>
      <c r="F2293" s="53" t="n"/>
      <c r="G2293" s="61" t="str">
        <f>IF(OR(COUNTA(A2293:E2293)=0,D2293=""),"",IFERROR(INDEX(ca_fam,MATCH(D2293,ca_name,0))&amp;"",""))</f>
        <v/>
      </c>
      <c r="H2293" s="58" t="str">
        <f>IF(OR(COUNTA(A2293:E2293)=0,D2293=""),"",IFERROR(INDEX(ca_type,MATCH(D2293,ca_name,0))&amp;"",""))</f>
        <v/>
      </c>
      <c r="I2293" s="58" t="str">
        <f>IF(COUNTA(A2293:E2293)=0,"",IF(N(A2293)&lt;=0,"Date manquante ou invalide",IF(B2293="","Équipe manquante",IF(ISNA(MATCH(B2293,eq_code,0)),"Équipe inconnue",IF(C2293="","Poste manquant",IF(ISNA(MATCH(C2293,po_code,0)),"Poste inconnu",IF(D2293="","Cause manquante",IF(ISNA(MATCH(D2293,ca_name,0)),"Cause inconnue",IF(H2293="","Cause à compléter dans Paramètres",IF(OR(NOT(ISNUMBER(E2293)),N(E2293)&lt;=0,N(E2293)&gt;1440),"Durée invalide",IF(COUNTIFS(sj_date,A2293,sj_eq,B2293,sj_po,C2293)=0,"Pas de saisie journalière ce jour-là","OK")))))))))))</f>
        <v/>
      </c>
      <c r="J2293">
        <f>IF(OR(I2293="OK",I2293="Pas de saisie journalière ce jour-là"),E2293,0)</f>
        <v>0.0</v>
      </c>
      <c r="K2293">
        <f>IF(AND(J2293&gt;0,A2293&gt;=p_from,A2293&lt;=p_to),1,0)</f>
        <v>0.0</v>
      </c>
      <c r="L2293">
        <f>IF(AND(K2293=1,OR(pa_po="",C2293=pa_po),OR(pa_eq="",B2293=pa_eq)),1,0)</f>
        <v>0.0</v>
      </c>
    </row>
    <row r="2294">
      <c r="A2294" s="51" t="n"/>
      <c r="B2294" s="52" t="n"/>
      <c r="C2294" s="52" t="n"/>
      <c r="D2294" s="53" t="n"/>
      <c r="E2294" s="60" t="n"/>
      <c r="F2294" s="53" t="n"/>
      <c r="G2294" s="61" t="str">
        <f>IF(OR(COUNTA(A2294:E2294)=0,D2294=""),"",IFERROR(INDEX(ca_fam,MATCH(D2294,ca_name,0))&amp;"",""))</f>
        <v/>
      </c>
      <c r="H2294" s="58" t="str">
        <f>IF(OR(COUNTA(A2294:E2294)=0,D2294=""),"",IFERROR(INDEX(ca_type,MATCH(D2294,ca_name,0))&amp;"",""))</f>
        <v/>
      </c>
      <c r="I2294" s="58" t="str">
        <f>IF(COUNTA(A2294:E2294)=0,"",IF(N(A2294)&lt;=0,"Date manquante ou invalide",IF(B2294="","Équipe manquante",IF(ISNA(MATCH(B2294,eq_code,0)),"Équipe inconnue",IF(C2294="","Poste manquant",IF(ISNA(MATCH(C2294,po_code,0)),"Poste inconnu",IF(D2294="","Cause manquante",IF(ISNA(MATCH(D2294,ca_name,0)),"Cause inconnue",IF(H2294="","Cause à compléter dans Paramètres",IF(OR(NOT(ISNUMBER(E2294)),N(E2294)&lt;=0,N(E2294)&gt;1440),"Durée invalide",IF(COUNTIFS(sj_date,A2294,sj_eq,B2294,sj_po,C2294)=0,"Pas de saisie journalière ce jour-là","OK")))))))))))</f>
        <v/>
      </c>
      <c r="J2294">
        <f>IF(OR(I2294="OK",I2294="Pas de saisie journalière ce jour-là"),E2294,0)</f>
        <v>0.0</v>
      </c>
      <c r="K2294">
        <f>IF(AND(J2294&gt;0,A2294&gt;=p_from,A2294&lt;=p_to),1,0)</f>
        <v>0.0</v>
      </c>
      <c r="L2294">
        <f>IF(AND(K2294=1,OR(pa_po="",C2294=pa_po),OR(pa_eq="",B2294=pa_eq)),1,0)</f>
        <v>0.0</v>
      </c>
    </row>
    <row r="2295">
      <c r="A2295" s="51" t="n"/>
      <c r="B2295" s="52" t="n"/>
      <c r="C2295" s="52" t="n"/>
      <c r="D2295" s="53" t="n"/>
      <c r="E2295" s="60" t="n"/>
      <c r="F2295" s="53" t="n"/>
      <c r="G2295" s="61" t="str">
        <f>IF(OR(COUNTA(A2295:E2295)=0,D2295=""),"",IFERROR(INDEX(ca_fam,MATCH(D2295,ca_name,0))&amp;"",""))</f>
        <v/>
      </c>
      <c r="H2295" s="58" t="str">
        <f>IF(OR(COUNTA(A2295:E2295)=0,D2295=""),"",IFERROR(INDEX(ca_type,MATCH(D2295,ca_name,0))&amp;"",""))</f>
        <v/>
      </c>
      <c r="I2295" s="58" t="str">
        <f>IF(COUNTA(A2295:E2295)=0,"",IF(N(A2295)&lt;=0,"Date manquante ou invalide",IF(B2295="","Équipe manquante",IF(ISNA(MATCH(B2295,eq_code,0)),"Équipe inconnue",IF(C2295="","Poste manquant",IF(ISNA(MATCH(C2295,po_code,0)),"Poste inconnu",IF(D2295="","Cause manquante",IF(ISNA(MATCH(D2295,ca_name,0)),"Cause inconnue",IF(H2295="","Cause à compléter dans Paramètres",IF(OR(NOT(ISNUMBER(E2295)),N(E2295)&lt;=0,N(E2295)&gt;1440),"Durée invalide",IF(COUNTIFS(sj_date,A2295,sj_eq,B2295,sj_po,C2295)=0,"Pas de saisie journalière ce jour-là","OK")))))))))))</f>
        <v/>
      </c>
      <c r="J2295">
        <f>IF(OR(I2295="OK",I2295="Pas de saisie journalière ce jour-là"),E2295,0)</f>
        <v>0.0</v>
      </c>
      <c r="K2295">
        <f>IF(AND(J2295&gt;0,A2295&gt;=p_from,A2295&lt;=p_to),1,0)</f>
        <v>0.0</v>
      </c>
      <c r="L2295">
        <f>IF(AND(K2295=1,OR(pa_po="",C2295=pa_po),OR(pa_eq="",B2295=pa_eq)),1,0)</f>
        <v>0.0</v>
      </c>
    </row>
    <row r="2296">
      <c r="A2296" s="51" t="n"/>
      <c r="B2296" s="52" t="n"/>
      <c r="C2296" s="52" t="n"/>
      <c r="D2296" s="53" t="n"/>
      <c r="E2296" s="60" t="n"/>
      <c r="F2296" s="53" t="n"/>
      <c r="G2296" s="61" t="str">
        <f>IF(OR(COUNTA(A2296:E2296)=0,D2296=""),"",IFERROR(INDEX(ca_fam,MATCH(D2296,ca_name,0))&amp;"",""))</f>
        <v/>
      </c>
      <c r="H2296" s="58" t="str">
        <f>IF(OR(COUNTA(A2296:E2296)=0,D2296=""),"",IFERROR(INDEX(ca_type,MATCH(D2296,ca_name,0))&amp;"",""))</f>
        <v/>
      </c>
      <c r="I2296" s="58" t="str">
        <f>IF(COUNTA(A2296:E2296)=0,"",IF(N(A2296)&lt;=0,"Date manquante ou invalide",IF(B2296="","Équipe manquante",IF(ISNA(MATCH(B2296,eq_code,0)),"Équipe inconnue",IF(C2296="","Poste manquant",IF(ISNA(MATCH(C2296,po_code,0)),"Poste inconnu",IF(D2296="","Cause manquante",IF(ISNA(MATCH(D2296,ca_name,0)),"Cause inconnue",IF(H2296="","Cause à compléter dans Paramètres",IF(OR(NOT(ISNUMBER(E2296)),N(E2296)&lt;=0,N(E2296)&gt;1440),"Durée invalide",IF(COUNTIFS(sj_date,A2296,sj_eq,B2296,sj_po,C2296)=0,"Pas de saisie journalière ce jour-là","OK")))))))))))</f>
        <v/>
      </c>
      <c r="J2296">
        <f>IF(OR(I2296="OK",I2296="Pas de saisie journalière ce jour-là"),E2296,0)</f>
        <v>0.0</v>
      </c>
      <c r="K2296">
        <f>IF(AND(J2296&gt;0,A2296&gt;=p_from,A2296&lt;=p_to),1,0)</f>
        <v>0.0</v>
      </c>
      <c r="L2296">
        <f>IF(AND(K2296=1,OR(pa_po="",C2296=pa_po),OR(pa_eq="",B2296=pa_eq)),1,0)</f>
        <v>0.0</v>
      </c>
    </row>
    <row r="2297">
      <c r="A2297" s="51" t="n"/>
      <c r="B2297" s="52" t="n"/>
      <c r="C2297" s="52" t="n"/>
      <c r="D2297" s="53" t="n"/>
      <c r="E2297" s="60" t="n"/>
      <c r="F2297" s="53" t="n"/>
      <c r="G2297" s="61" t="str">
        <f>IF(OR(COUNTA(A2297:E2297)=0,D2297=""),"",IFERROR(INDEX(ca_fam,MATCH(D2297,ca_name,0))&amp;"",""))</f>
        <v/>
      </c>
      <c r="H2297" s="58" t="str">
        <f>IF(OR(COUNTA(A2297:E2297)=0,D2297=""),"",IFERROR(INDEX(ca_type,MATCH(D2297,ca_name,0))&amp;"",""))</f>
        <v/>
      </c>
      <c r="I2297" s="58" t="str">
        <f>IF(COUNTA(A2297:E2297)=0,"",IF(N(A2297)&lt;=0,"Date manquante ou invalide",IF(B2297="","Équipe manquante",IF(ISNA(MATCH(B2297,eq_code,0)),"Équipe inconnue",IF(C2297="","Poste manquant",IF(ISNA(MATCH(C2297,po_code,0)),"Poste inconnu",IF(D2297="","Cause manquante",IF(ISNA(MATCH(D2297,ca_name,0)),"Cause inconnue",IF(H2297="","Cause à compléter dans Paramètres",IF(OR(NOT(ISNUMBER(E2297)),N(E2297)&lt;=0,N(E2297)&gt;1440),"Durée invalide",IF(COUNTIFS(sj_date,A2297,sj_eq,B2297,sj_po,C2297)=0,"Pas de saisie journalière ce jour-là","OK")))))))))))</f>
        <v/>
      </c>
      <c r="J2297">
        <f>IF(OR(I2297="OK",I2297="Pas de saisie journalière ce jour-là"),E2297,0)</f>
        <v>0.0</v>
      </c>
      <c r="K2297">
        <f>IF(AND(J2297&gt;0,A2297&gt;=p_from,A2297&lt;=p_to),1,0)</f>
        <v>0.0</v>
      </c>
      <c r="L2297">
        <f>IF(AND(K2297=1,OR(pa_po="",C2297=pa_po),OR(pa_eq="",B2297=pa_eq)),1,0)</f>
        <v>0.0</v>
      </c>
    </row>
    <row r="2298">
      <c r="A2298" s="51" t="n"/>
      <c r="B2298" s="52" t="n"/>
      <c r="C2298" s="52" t="n"/>
      <c r="D2298" s="53" t="n"/>
      <c r="E2298" s="60" t="n"/>
      <c r="F2298" s="53" t="n"/>
      <c r="G2298" s="61" t="str">
        <f>IF(OR(COUNTA(A2298:E2298)=0,D2298=""),"",IFERROR(INDEX(ca_fam,MATCH(D2298,ca_name,0))&amp;"",""))</f>
        <v/>
      </c>
      <c r="H2298" s="58" t="str">
        <f>IF(OR(COUNTA(A2298:E2298)=0,D2298=""),"",IFERROR(INDEX(ca_type,MATCH(D2298,ca_name,0))&amp;"",""))</f>
        <v/>
      </c>
      <c r="I2298" s="58" t="str">
        <f>IF(COUNTA(A2298:E2298)=0,"",IF(N(A2298)&lt;=0,"Date manquante ou invalide",IF(B2298="","Équipe manquante",IF(ISNA(MATCH(B2298,eq_code,0)),"Équipe inconnue",IF(C2298="","Poste manquant",IF(ISNA(MATCH(C2298,po_code,0)),"Poste inconnu",IF(D2298="","Cause manquante",IF(ISNA(MATCH(D2298,ca_name,0)),"Cause inconnue",IF(H2298="","Cause à compléter dans Paramètres",IF(OR(NOT(ISNUMBER(E2298)),N(E2298)&lt;=0,N(E2298)&gt;1440),"Durée invalide",IF(COUNTIFS(sj_date,A2298,sj_eq,B2298,sj_po,C2298)=0,"Pas de saisie journalière ce jour-là","OK")))))))))))</f>
        <v/>
      </c>
      <c r="J2298">
        <f>IF(OR(I2298="OK",I2298="Pas de saisie journalière ce jour-là"),E2298,0)</f>
        <v>0.0</v>
      </c>
      <c r="K2298">
        <f>IF(AND(J2298&gt;0,A2298&gt;=p_from,A2298&lt;=p_to),1,0)</f>
        <v>0.0</v>
      </c>
      <c r="L2298">
        <f>IF(AND(K2298=1,OR(pa_po="",C2298=pa_po),OR(pa_eq="",B2298=pa_eq)),1,0)</f>
        <v>0.0</v>
      </c>
    </row>
    <row r="2299">
      <c r="A2299" s="51" t="n"/>
      <c r="B2299" s="52" t="n"/>
      <c r="C2299" s="52" t="n"/>
      <c r="D2299" s="53" t="n"/>
      <c r="E2299" s="60" t="n"/>
      <c r="F2299" s="53" t="n"/>
      <c r="G2299" s="61" t="str">
        <f>IF(OR(COUNTA(A2299:E2299)=0,D2299=""),"",IFERROR(INDEX(ca_fam,MATCH(D2299,ca_name,0))&amp;"",""))</f>
        <v/>
      </c>
      <c r="H2299" s="58" t="str">
        <f>IF(OR(COUNTA(A2299:E2299)=0,D2299=""),"",IFERROR(INDEX(ca_type,MATCH(D2299,ca_name,0))&amp;"",""))</f>
        <v/>
      </c>
      <c r="I2299" s="58" t="str">
        <f>IF(COUNTA(A2299:E2299)=0,"",IF(N(A2299)&lt;=0,"Date manquante ou invalide",IF(B2299="","Équipe manquante",IF(ISNA(MATCH(B2299,eq_code,0)),"Équipe inconnue",IF(C2299="","Poste manquant",IF(ISNA(MATCH(C2299,po_code,0)),"Poste inconnu",IF(D2299="","Cause manquante",IF(ISNA(MATCH(D2299,ca_name,0)),"Cause inconnue",IF(H2299="","Cause à compléter dans Paramètres",IF(OR(NOT(ISNUMBER(E2299)),N(E2299)&lt;=0,N(E2299)&gt;1440),"Durée invalide",IF(COUNTIFS(sj_date,A2299,sj_eq,B2299,sj_po,C2299)=0,"Pas de saisie journalière ce jour-là","OK")))))))))))</f>
        <v/>
      </c>
      <c r="J2299">
        <f>IF(OR(I2299="OK",I2299="Pas de saisie journalière ce jour-là"),E2299,0)</f>
        <v>0.0</v>
      </c>
      <c r="K2299">
        <f>IF(AND(J2299&gt;0,A2299&gt;=p_from,A2299&lt;=p_to),1,0)</f>
        <v>0.0</v>
      </c>
      <c r="L2299">
        <f>IF(AND(K2299=1,OR(pa_po="",C2299=pa_po),OR(pa_eq="",B2299=pa_eq)),1,0)</f>
        <v>0.0</v>
      </c>
    </row>
    <row r="2300">
      <c r="A2300" s="51" t="n"/>
      <c r="B2300" s="52" t="n"/>
      <c r="C2300" s="52" t="n"/>
      <c r="D2300" s="53" t="n"/>
      <c r="E2300" s="60" t="n"/>
      <c r="F2300" s="53" t="n"/>
      <c r="G2300" s="61" t="str">
        <f>IF(OR(COUNTA(A2300:E2300)=0,D2300=""),"",IFERROR(INDEX(ca_fam,MATCH(D2300,ca_name,0))&amp;"",""))</f>
        <v/>
      </c>
      <c r="H2300" s="58" t="str">
        <f>IF(OR(COUNTA(A2300:E2300)=0,D2300=""),"",IFERROR(INDEX(ca_type,MATCH(D2300,ca_name,0))&amp;"",""))</f>
        <v/>
      </c>
      <c r="I2300" s="58" t="str">
        <f>IF(COUNTA(A2300:E2300)=0,"",IF(N(A2300)&lt;=0,"Date manquante ou invalide",IF(B2300="","Équipe manquante",IF(ISNA(MATCH(B2300,eq_code,0)),"Équipe inconnue",IF(C2300="","Poste manquant",IF(ISNA(MATCH(C2300,po_code,0)),"Poste inconnu",IF(D2300="","Cause manquante",IF(ISNA(MATCH(D2300,ca_name,0)),"Cause inconnue",IF(H2300="","Cause à compléter dans Paramètres",IF(OR(NOT(ISNUMBER(E2300)),N(E2300)&lt;=0,N(E2300)&gt;1440),"Durée invalide",IF(COUNTIFS(sj_date,A2300,sj_eq,B2300,sj_po,C2300)=0,"Pas de saisie journalière ce jour-là","OK")))))))))))</f>
        <v/>
      </c>
      <c r="J2300">
        <f>IF(OR(I2300="OK",I2300="Pas de saisie journalière ce jour-là"),E2300,0)</f>
        <v>0.0</v>
      </c>
      <c r="K2300">
        <f>IF(AND(J2300&gt;0,A2300&gt;=p_from,A2300&lt;=p_to),1,0)</f>
        <v>0.0</v>
      </c>
      <c r="L2300">
        <f>IF(AND(K2300=1,OR(pa_po="",C2300=pa_po),OR(pa_eq="",B2300=pa_eq)),1,0)</f>
        <v>0.0</v>
      </c>
    </row>
    <row r="2301">
      <c r="A2301" s="51" t="n"/>
      <c r="B2301" s="52" t="n"/>
      <c r="C2301" s="52" t="n"/>
      <c r="D2301" s="53" t="n"/>
      <c r="E2301" s="60" t="n"/>
      <c r="F2301" s="53" t="n"/>
      <c r="G2301" s="61" t="str">
        <f>IF(OR(COUNTA(A2301:E2301)=0,D2301=""),"",IFERROR(INDEX(ca_fam,MATCH(D2301,ca_name,0))&amp;"",""))</f>
        <v/>
      </c>
      <c r="H2301" s="58" t="str">
        <f>IF(OR(COUNTA(A2301:E2301)=0,D2301=""),"",IFERROR(INDEX(ca_type,MATCH(D2301,ca_name,0))&amp;"",""))</f>
        <v/>
      </c>
      <c r="I2301" s="58" t="str">
        <f>IF(COUNTA(A2301:E2301)=0,"",IF(N(A2301)&lt;=0,"Date manquante ou invalide",IF(B2301="","Équipe manquante",IF(ISNA(MATCH(B2301,eq_code,0)),"Équipe inconnue",IF(C2301="","Poste manquant",IF(ISNA(MATCH(C2301,po_code,0)),"Poste inconnu",IF(D2301="","Cause manquante",IF(ISNA(MATCH(D2301,ca_name,0)),"Cause inconnue",IF(H2301="","Cause à compléter dans Paramètres",IF(OR(NOT(ISNUMBER(E2301)),N(E2301)&lt;=0,N(E2301)&gt;1440),"Durée invalide",IF(COUNTIFS(sj_date,A2301,sj_eq,B2301,sj_po,C2301)=0,"Pas de saisie journalière ce jour-là","OK")))))))))))</f>
        <v/>
      </c>
      <c r="J2301">
        <f>IF(OR(I2301="OK",I2301="Pas de saisie journalière ce jour-là"),E2301,0)</f>
        <v>0.0</v>
      </c>
      <c r="K2301">
        <f>IF(AND(J2301&gt;0,A2301&gt;=p_from,A2301&lt;=p_to),1,0)</f>
        <v>0.0</v>
      </c>
      <c r="L2301">
        <f>IF(AND(K2301=1,OR(pa_po="",C2301=pa_po),OR(pa_eq="",B2301=pa_eq)),1,0)</f>
        <v>0.0</v>
      </c>
    </row>
    <row r="2302">
      <c r="A2302" s="51" t="n"/>
      <c r="B2302" s="52" t="n"/>
      <c r="C2302" s="52" t="n"/>
      <c r="D2302" s="53" t="n"/>
      <c r="E2302" s="60" t="n"/>
      <c r="F2302" s="53" t="n"/>
      <c r="G2302" s="61" t="str">
        <f>IF(OR(COUNTA(A2302:E2302)=0,D2302=""),"",IFERROR(INDEX(ca_fam,MATCH(D2302,ca_name,0))&amp;"",""))</f>
        <v/>
      </c>
      <c r="H2302" s="58" t="str">
        <f>IF(OR(COUNTA(A2302:E2302)=0,D2302=""),"",IFERROR(INDEX(ca_type,MATCH(D2302,ca_name,0))&amp;"",""))</f>
        <v/>
      </c>
      <c r="I2302" s="58" t="str">
        <f>IF(COUNTA(A2302:E2302)=0,"",IF(N(A2302)&lt;=0,"Date manquante ou invalide",IF(B2302="","Équipe manquante",IF(ISNA(MATCH(B2302,eq_code,0)),"Équipe inconnue",IF(C2302="","Poste manquant",IF(ISNA(MATCH(C2302,po_code,0)),"Poste inconnu",IF(D2302="","Cause manquante",IF(ISNA(MATCH(D2302,ca_name,0)),"Cause inconnue",IF(H2302="","Cause à compléter dans Paramètres",IF(OR(NOT(ISNUMBER(E2302)),N(E2302)&lt;=0,N(E2302)&gt;1440),"Durée invalide",IF(COUNTIFS(sj_date,A2302,sj_eq,B2302,sj_po,C2302)=0,"Pas de saisie journalière ce jour-là","OK")))))))))))</f>
        <v/>
      </c>
      <c r="J2302">
        <f>IF(OR(I2302="OK",I2302="Pas de saisie journalière ce jour-là"),E2302,0)</f>
        <v>0.0</v>
      </c>
      <c r="K2302">
        <f>IF(AND(J2302&gt;0,A2302&gt;=p_from,A2302&lt;=p_to),1,0)</f>
        <v>0.0</v>
      </c>
      <c r="L2302">
        <f>IF(AND(K2302=1,OR(pa_po="",C2302=pa_po),OR(pa_eq="",B2302=pa_eq)),1,0)</f>
        <v>0.0</v>
      </c>
    </row>
    <row r="2303">
      <c r="A2303" s="51" t="n"/>
      <c r="B2303" s="52" t="n"/>
      <c r="C2303" s="52" t="n"/>
      <c r="D2303" s="53" t="n"/>
      <c r="E2303" s="60" t="n"/>
      <c r="F2303" s="53" t="n"/>
      <c r="G2303" s="61" t="str">
        <f>IF(OR(COUNTA(A2303:E2303)=0,D2303=""),"",IFERROR(INDEX(ca_fam,MATCH(D2303,ca_name,0))&amp;"",""))</f>
        <v/>
      </c>
      <c r="H2303" s="58" t="str">
        <f>IF(OR(COUNTA(A2303:E2303)=0,D2303=""),"",IFERROR(INDEX(ca_type,MATCH(D2303,ca_name,0))&amp;"",""))</f>
        <v/>
      </c>
      <c r="I2303" s="58" t="str">
        <f>IF(COUNTA(A2303:E2303)=0,"",IF(N(A2303)&lt;=0,"Date manquante ou invalide",IF(B2303="","Équipe manquante",IF(ISNA(MATCH(B2303,eq_code,0)),"Équipe inconnue",IF(C2303="","Poste manquant",IF(ISNA(MATCH(C2303,po_code,0)),"Poste inconnu",IF(D2303="","Cause manquante",IF(ISNA(MATCH(D2303,ca_name,0)),"Cause inconnue",IF(H2303="","Cause à compléter dans Paramètres",IF(OR(NOT(ISNUMBER(E2303)),N(E2303)&lt;=0,N(E2303)&gt;1440),"Durée invalide",IF(COUNTIFS(sj_date,A2303,sj_eq,B2303,sj_po,C2303)=0,"Pas de saisie journalière ce jour-là","OK")))))))))))</f>
        <v/>
      </c>
      <c r="J2303">
        <f>IF(OR(I2303="OK",I2303="Pas de saisie journalière ce jour-là"),E2303,0)</f>
        <v>0.0</v>
      </c>
      <c r="K2303">
        <f>IF(AND(J2303&gt;0,A2303&gt;=p_from,A2303&lt;=p_to),1,0)</f>
        <v>0.0</v>
      </c>
      <c r="L2303">
        <f>IF(AND(K2303=1,OR(pa_po="",C2303=pa_po),OR(pa_eq="",B2303=pa_eq)),1,0)</f>
        <v>0.0</v>
      </c>
    </row>
    <row r="2304">
      <c r="A2304" s="51" t="n"/>
      <c r="B2304" s="52" t="n"/>
      <c r="C2304" s="52" t="n"/>
      <c r="D2304" s="53" t="n"/>
      <c r="E2304" s="60" t="n"/>
      <c r="F2304" s="53" t="n"/>
      <c r="G2304" s="61" t="str">
        <f>IF(OR(COUNTA(A2304:E2304)=0,D2304=""),"",IFERROR(INDEX(ca_fam,MATCH(D2304,ca_name,0))&amp;"",""))</f>
        <v/>
      </c>
      <c r="H2304" s="58" t="str">
        <f>IF(OR(COUNTA(A2304:E2304)=0,D2304=""),"",IFERROR(INDEX(ca_type,MATCH(D2304,ca_name,0))&amp;"",""))</f>
        <v/>
      </c>
      <c r="I2304" s="58" t="str">
        <f>IF(COUNTA(A2304:E2304)=0,"",IF(N(A2304)&lt;=0,"Date manquante ou invalide",IF(B2304="","Équipe manquante",IF(ISNA(MATCH(B2304,eq_code,0)),"Équipe inconnue",IF(C2304="","Poste manquant",IF(ISNA(MATCH(C2304,po_code,0)),"Poste inconnu",IF(D2304="","Cause manquante",IF(ISNA(MATCH(D2304,ca_name,0)),"Cause inconnue",IF(H2304="","Cause à compléter dans Paramètres",IF(OR(NOT(ISNUMBER(E2304)),N(E2304)&lt;=0,N(E2304)&gt;1440),"Durée invalide",IF(COUNTIFS(sj_date,A2304,sj_eq,B2304,sj_po,C2304)=0,"Pas de saisie journalière ce jour-là","OK")))))))))))</f>
        <v/>
      </c>
      <c r="J2304">
        <f>IF(OR(I2304="OK",I2304="Pas de saisie journalière ce jour-là"),E2304,0)</f>
        <v>0.0</v>
      </c>
      <c r="K2304">
        <f>IF(AND(J2304&gt;0,A2304&gt;=p_from,A2304&lt;=p_to),1,0)</f>
        <v>0.0</v>
      </c>
      <c r="L2304">
        <f>IF(AND(K2304=1,OR(pa_po="",C2304=pa_po),OR(pa_eq="",B2304=pa_eq)),1,0)</f>
        <v>0.0</v>
      </c>
    </row>
    <row r="2305">
      <c r="A2305" s="51" t="n"/>
      <c r="B2305" s="52" t="n"/>
      <c r="C2305" s="52" t="n"/>
      <c r="D2305" s="53" t="n"/>
      <c r="E2305" s="60" t="n"/>
      <c r="F2305" s="53" t="n"/>
      <c r="G2305" s="61" t="str">
        <f>IF(OR(COUNTA(A2305:E2305)=0,D2305=""),"",IFERROR(INDEX(ca_fam,MATCH(D2305,ca_name,0))&amp;"",""))</f>
        <v/>
      </c>
      <c r="H2305" s="58" t="str">
        <f>IF(OR(COUNTA(A2305:E2305)=0,D2305=""),"",IFERROR(INDEX(ca_type,MATCH(D2305,ca_name,0))&amp;"",""))</f>
        <v/>
      </c>
      <c r="I2305" s="58" t="str">
        <f>IF(COUNTA(A2305:E2305)=0,"",IF(N(A2305)&lt;=0,"Date manquante ou invalide",IF(B2305="","Équipe manquante",IF(ISNA(MATCH(B2305,eq_code,0)),"Équipe inconnue",IF(C2305="","Poste manquant",IF(ISNA(MATCH(C2305,po_code,0)),"Poste inconnu",IF(D2305="","Cause manquante",IF(ISNA(MATCH(D2305,ca_name,0)),"Cause inconnue",IF(H2305="","Cause à compléter dans Paramètres",IF(OR(NOT(ISNUMBER(E2305)),N(E2305)&lt;=0,N(E2305)&gt;1440),"Durée invalide",IF(COUNTIFS(sj_date,A2305,sj_eq,B2305,sj_po,C2305)=0,"Pas de saisie journalière ce jour-là","OK")))))))))))</f>
        <v/>
      </c>
      <c r="J2305">
        <f>IF(OR(I2305="OK",I2305="Pas de saisie journalière ce jour-là"),E2305,0)</f>
        <v>0.0</v>
      </c>
      <c r="K2305">
        <f>IF(AND(J2305&gt;0,A2305&gt;=p_from,A2305&lt;=p_to),1,0)</f>
        <v>0.0</v>
      </c>
      <c r="L2305">
        <f>IF(AND(K2305=1,OR(pa_po="",C2305=pa_po),OR(pa_eq="",B2305=pa_eq)),1,0)</f>
        <v>0.0</v>
      </c>
    </row>
    <row r="2306">
      <c r="A2306" s="51" t="n"/>
      <c r="B2306" s="52" t="n"/>
      <c r="C2306" s="52" t="n"/>
      <c r="D2306" s="53" t="n"/>
      <c r="E2306" s="60" t="n"/>
      <c r="F2306" s="53" t="n"/>
      <c r="G2306" s="61" t="str">
        <f>IF(OR(COUNTA(A2306:E2306)=0,D2306=""),"",IFERROR(INDEX(ca_fam,MATCH(D2306,ca_name,0))&amp;"",""))</f>
        <v/>
      </c>
      <c r="H2306" s="58" t="str">
        <f>IF(OR(COUNTA(A2306:E2306)=0,D2306=""),"",IFERROR(INDEX(ca_type,MATCH(D2306,ca_name,0))&amp;"",""))</f>
        <v/>
      </c>
      <c r="I2306" s="58" t="str">
        <f>IF(COUNTA(A2306:E2306)=0,"",IF(N(A2306)&lt;=0,"Date manquante ou invalide",IF(B2306="","Équipe manquante",IF(ISNA(MATCH(B2306,eq_code,0)),"Équipe inconnue",IF(C2306="","Poste manquant",IF(ISNA(MATCH(C2306,po_code,0)),"Poste inconnu",IF(D2306="","Cause manquante",IF(ISNA(MATCH(D2306,ca_name,0)),"Cause inconnue",IF(H2306="","Cause à compléter dans Paramètres",IF(OR(NOT(ISNUMBER(E2306)),N(E2306)&lt;=0,N(E2306)&gt;1440),"Durée invalide",IF(COUNTIFS(sj_date,A2306,sj_eq,B2306,sj_po,C2306)=0,"Pas de saisie journalière ce jour-là","OK")))))))))))</f>
        <v/>
      </c>
      <c r="J2306">
        <f>IF(OR(I2306="OK",I2306="Pas de saisie journalière ce jour-là"),E2306,0)</f>
        <v>0.0</v>
      </c>
      <c r="K2306">
        <f>IF(AND(J2306&gt;0,A2306&gt;=p_from,A2306&lt;=p_to),1,0)</f>
        <v>0.0</v>
      </c>
      <c r="L2306">
        <f>IF(AND(K2306=1,OR(pa_po="",C2306=pa_po),OR(pa_eq="",B2306=pa_eq)),1,0)</f>
        <v>0.0</v>
      </c>
    </row>
    <row r="2307">
      <c r="A2307" s="51" t="n"/>
      <c r="B2307" s="52" t="n"/>
      <c r="C2307" s="52" t="n"/>
      <c r="D2307" s="53" t="n"/>
      <c r="E2307" s="60" t="n"/>
      <c r="F2307" s="53" t="n"/>
      <c r="G2307" s="61" t="str">
        <f>IF(OR(COUNTA(A2307:E2307)=0,D2307=""),"",IFERROR(INDEX(ca_fam,MATCH(D2307,ca_name,0))&amp;"",""))</f>
        <v/>
      </c>
      <c r="H2307" s="58" t="str">
        <f>IF(OR(COUNTA(A2307:E2307)=0,D2307=""),"",IFERROR(INDEX(ca_type,MATCH(D2307,ca_name,0))&amp;"",""))</f>
        <v/>
      </c>
      <c r="I2307" s="58" t="str">
        <f>IF(COUNTA(A2307:E2307)=0,"",IF(N(A2307)&lt;=0,"Date manquante ou invalide",IF(B2307="","Équipe manquante",IF(ISNA(MATCH(B2307,eq_code,0)),"Équipe inconnue",IF(C2307="","Poste manquant",IF(ISNA(MATCH(C2307,po_code,0)),"Poste inconnu",IF(D2307="","Cause manquante",IF(ISNA(MATCH(D2307,ca_name,0)),"Cause inconnue",IF(H2307="","Cause à compléter dans Paramètres",IF(OR(NOT(ISNUMBER(E2307)),N(E2307)&lt;=0,N(E2307)&gt;1440),"Durée invalide",IF(COUNTIFS(sj_date,A2307,sj_eq,B2307,sj_po,C2307)=0,"Pas de saisie journalière ce jour-là","OK")))))))))))</f>
        <v/>
      </c>
      <c r="J2307">
        <f>IF(OR(I2307="OK",I2307="Pas de saisie journalière ce jour-là"),E2307,0)</f>
        <v>0.0</v>
      </c>
      <c r="K2307">
        <f>IF(AND(J2307&gt;0,A2307&gt;=p_from,A2307&lt;=p_to),1,0)</f>
        <v>0.0</v>
      </c>
      <c r="L2307">
        <f>IF(AND(K2307=1,OR(pa_po="",C2307=pa_po),OR(pa_eq="",B2307=pa_eq)),1,0)</f>
        <v>0.0</v>
      </c>
    </row>
    <row r="2308">
      <c r="A2308" s="51" t="n"/>
      <c r="B2308" s="52" t="n"/>
      <c r="C2308" s="52" t="n"/>
      <c r="D2308" s="53" t="n"/>
      <c r="E2308" s="60" t="n"/>
      <c r="F2308" s="53" t="n"/>
      <c r="G2308" s="61" t="str">
        <f>IF(OR(COUNTA(A2308:E2308)=0,D2308=""),"",IFERROR(INDEX(ca_fam,MATCH(D2308,ca_name,0))&amp;"",""))</f>
        <v/>
      </c>
      <c r="H2308" s="58" t="str">
        <f>IF(OR(COUNTA(A2308:E2308)=0,D2308=""),"",IFERROR(INDEX(ca_type,MATCH(D2308,ca_name,0))&amp;"",""))</f>
        <v/>
      </c>
      <c r="I2308" s="58" t="str">
        <f>IF(COUNTA(A2308:E2308)=0,"",IF(N(A2308)&lt;=0,"Date manquante ou invalide",IF(B2308="","Équipe manquante",IF(ISNA(MATCH(B2308,eq_code,0)),"Équipe inconnue",IF(C2308="","Poste manquant",IF(ISNA(MATCH(C2308,po_code,0)),"Poste inconnu",IF(D2308="","Cause manquante",IF(ISNA(MATCH(D2308,ca_name,0)),"Cause inconnue",IF(H2308="","Cause à compléter dans Paramètres",IF(OR(NOT(ISNUMBER(E2308)),N(E2308)&lt;=0,N(E2308)&gt;1440),"Durée invalide",IF(COUNTIFS(sj_date,A2308,sj_eq,B2308,sj_po,C2308)=0,"Pas de saisie journalière ce jour-là","OK")))))))))))</f>
        <v/>
      </c>
      <c r="J2308">
        <f>IF(OR(I2308="OK",I2308="Pas de saisie journalière ce jour-là"),E2308,0)</f>
        <v>0.0</v>
      </c>
      <c r="K2308">
        <f>IF(AND(J2308&gt;0,A2308&gt;=p_from,A2308&lt;=p_to),1,0)</f>
        <v>0.0</v>
      </c>
      <c r="L2308">
        <f>IF(AND(K2308=1,OR(pa_po="",C2308=pa_po),OR(pa_eq="",B2308=pa_eq)),1,0)</f>
        <v>0.0</v>
      </c>
    </row>
    <row r="2309">
      <c r="A2309" s="51" t="n"/>
      <c r="B2309" s="52" t="n"/>
      <c r="C2309" s="52" t="n"/>
      <c r="D2309" s="53" t="n"/>
      <c r="E2309" s="60" t="n"/>
      <c r="F2309" s="53" t="n"/>
      <c r="G2309" s="61" t="str">
        <f>IF(OR(COUNTA(A2309:E2309)=0,D2309=""),"",IFERROR(INDEX(ca_fam,MATCH(D2309,ca_name,0))&amp;"",""))</f>
        <v/>
      </c>
      <c r="H2309" s="58" t="str">
        <f>IF(OR(COUNTA(A2309:E2309)=0,D2309=""),"",IFERROR(INDEX(ca_type,MATCH(D2309,ca_name,0))&amp;"",""))</f>
        <v/>
      </c>
      <c r="I2309" s="58" t="str">
        <f>IF(COUNTA(A2309:E2309)=0,"",IF(N(A2309)&lt;=0,"Date manquante ou invalide",IF(B2309="","Équipe manquante",IF(ISNA(MATCH(B2309,eq_code,0)),"Équipe inconnue",IF(C2309="","Poste manquant",IF(ISNA(MATCH(C2309,po_code,0)),"Poste inconnu",IF(D2309="","Cause manquante",IF(ISNA(MATCH(D2309,ca_name,0)),"Cause inconnue",IF(H2309="","Cause à compléter dans Paramètres",IF(OR(NOT(ISNUMBER(E2309)),N(E2309)&lt;=0,N(E2309)&gt;1440),"Durée invalide",IF(COUNTIFS(sj_date,A2309,sj_eq,B2309,sj_po,C2309)=0,"Pas de saisie journalière ce jour-là","OK")))))))))))</f>
        <v/>
      </c>
      <c r="J2309">
        <f>IF(OR(I2309="OK",I2309="Pas de saisie journalière ce jour-là"),E2309,0)</f>
        <v>0.0</v>
      </c>
      <c r="K2309">
        <f>IF(AND(J2309&gt;0,A2309&gt;=p_from,A2309&lt;=p_to),1,0)</f>
        <v>0.0</v>
      </c>
      <c r="L2309">
        <f>IF(AND(K2309=1,OR(pa_po="",C2309=pa_po),OR(pa_eq="",B2309=pa_eq)),1,0)</f>
        <v>0.0</v>
      </c>
    </row>
    <row r="2310">
      <c r="A2310" s="51" t="n"/>
      <c r="B2310" s="52" t="n"/>
      <c r="C2310" s="52" t="n"/>
      <c r="D2310" s="53" t="n"/>
      <c r="E2310" s="60" t="n"/>
      <c r="F2310" s="53" t="n"/>
      <c r="G2310" s="61" t="str">
        <f>IF(OR(COUNTA(A2310:E2310)=0,D2310=""),"",IFERROR(INDEX(ca_fam,MATCH(D2310,ca_name,0))&amp;"",""))</f>
        <v/>
      </c>
      <c r="H2310" s="58" t="str">
        <f>IF(OR(COUNTA(A2310:E2310)=0,D2310=""),"",IFERROR(INDEX(ca_type,MATCH(D2310,ca_name,0))&amp;"",""))</f>
        <v/>
      </c>
      <c r="I2310" s="58" t="str">
        <f>IF(COUNTA(A2310:E2310)=0,"",IF(N(A2310)&lt;=0,"Date manquante ou invalide",IF(B2310="","Équipe manquante",IF(ISNA(MATCH(B2310,eq_code,0)),"Équipe inconnue",IF(C2310="","Poste manquant",IF(ISNA(MATCH(C2310,po_code,0)),"Poste inconnu",IF(D2310="","Cause manquante",IF(ISNA(MATCH(D2310,ca_name,0)),"Cause inconnue",IF(H2310="","Cause à compléter dans Paramètres",IF(OR(NOT(ISNUMBER(E2310)),N(E2310)&lt;=0,N(E2310)&gt;1440),"Durée invalide",IF(COUNTIFS(sj_date,A2310,sj_eq,B2310,sj_po,C2310)=0,"Pas de saisie journalière ce jour-là","OK")))))))))))</f>
        <v/>
      </c>
      <c r="J2310">
        <f>IF(OR(I2310="OK",I2310="Pas de saisie journalière ce jour-là"),E2310,0)</f>
        <v>0.0</v>
      </c>
      <c r="K2310">
        <f>IF(AND(J2310&gt;0,A2310&gt;=p_from,A2310&lt;=p_to),1,0)</f>
        <v>0.0</v>
      </c>
      <c r="L2310">
        <f>IF(AND(K2310=1,OR(pa_po="",C2310=pa_po),OR(pa_eq="",B2310=pa_eq)),1,0)</f>
        <v>0.0</v>
      </c>
    </row>
    <row r="2311">
      <c r="A2311" s="51" t="n"/>
      <c r="B2311" s="52" t="n"/>
      <c r="C2311" s="52" t="n"/>
      <c r="D2311" s="53" t="n"/>
      <c r="E2311" s="60" t="n"/>
      <c r="F2311" s="53" t="n"/>
      <c r="G2311" s="61" t="str">
        <f>IF(OR(COUNTA(A2311:E2311)=0,D2311=""),"",IFERROR(INDEX(ca_fam,MATCH(D2311,ca_name,0))&amp;"",""))</f>
        <v/>
      </c>
      <c r="H2311" s="58" t="str">
        <f>IF(OR(COUNTA(A2311:E2311)=0,D2311=""),"",IFERROR(INDEX(ca_type,MATCH(D2311,ca_name,0))&amp;"",""))</f>
        <v/>
      </c>
      <c r="I2311" s="58" t="str">
        <f>IF(COUNTA(A2311:E2311)=0,"",IF(N(A2311)&lt;=0,"Date manquante ou invalide",IF(B2311="","Équipe manquante",IF(ISNA(MATCH(B2311,eq_code,0)),"Équipe inconnue",IF(C2311="","Poste manquant",IF(ISNA(MATCH(C2311,po_code,0)),"Poste inconnu",IF(D2311="","Cause manquante",IF(ISNA(MATCH(D2311,ca_name,0)),"Cause inconnue",IF(H2311="","Cause à compléter dans Paramètres",IF(OR(NOT(ISNUMBER(E2311)),N(E2311)&lt;=0,N(E2311)&gt;1440),"Durée invalide",IF(COUNTIFS(sj_date,A2311,sj_eq,B2311,sj_po,C2311)=0,"Pas de saisie journalière ce jour-là","OK")))))))))))</f>
        <v/>
      </c>
      <c r="J2311">
        <f>IF(OR(I2311="OK",I2311="Pas de saisie journalière ce jour-là"),E2311,0)</f>
        <v>0.0</v>
      </c>
      <c r="K2311">
        <f>IF(AND(J2311&gt;0,A2311&gt;=p_from,A2311&lt;=p_to),1,0)</f>
        <v>0.0</v>
      </c>
      <c r="L2311">
        <f>IF(AND(K2311=1,OR(pa_po="",C2311=pa_po),OR(pa_eq="",B2311=pa_eq)),1,0)</f>
        <v>0.0</v>
      </c>
    </row>
    <row r="2312">
      <c r="A2312" s="51" t="n"/>
      <c r="B2312" s="52" t="n"/>
      <c r="C2312" s="52" t="n"/>
      <c r="D2312" s="53" t="n"/>
      <c r="E2312" s="60" t="n"/>
      <c r="F2312" s="53" t="n"/>
      <c r="G2312" s="61" t="str">
        <f>IF(OR(COUNTA(A2312:E2312)=0,D2312=""),"",IFERROR(INDEX(ca_fam,MATCH(D2312,ca_name,0))&amp;"",""))</f>
        <v/>
      </c>
      <c r="H2312" s="58" t="str">
        <f>IF(OR(COUNTA(A2312:E2312)=0,D2312=""),"",IFERROR(INDEX(ca_type,MATCH(D2312,ca_name,0))&amp;"",""))</f>
        <v/>
      </c>
      <c r="I2312" s="58" t="str">
        <f>IF(COUNTA(A2312:E2312)=0,"",IF(N(A2312)&lt;=0,"Date manquante ou invalide",IF(B2312="","Équipe manquante",IF(ISNA(MATCH(B2312,eq_code,0)),"Équipe inconnue",IF(C2312="","Poste manquant",IF(ISNA(MATCH(C2312,po_code,0)),"Poste inconnu",IF(D2312="","Cause manquante",IF(ISNA(MATCH(D2312,ca_name,0)),"Cause inconnue",IF(H2312="","Cause à compléter dans Paramètres",IF(OR(NOT(ISNUMBER(E2312)),N(E2312)&lt;=0,N(E2312)&gt;1440),"Durée invalide",IF(COUNTIFS(sj_date,A2312,sj_eq,B2312,sj_po,C2312)=0,"Pas de saisie journalière ce jour-là","OK")))))))))))</f>
        <v/>
      </c>
      <c r="J2312">
        <f>IF(OR(I2312="OK",I2312="Pas de saisie journalière ce jour-là"),E2312,0)</f>
        <v>0.0</v>
      </c>
      <c r="K2312">
        <f>IF(AND(J2312&gt;0,A2312&gt;=p_from,A2312&lt;=p_to),1,0)</f>
        <v>0.0</v>
      </c>
      <c r="L2312">
        <f>IF(AND(K2312=1,OR(pa_po="",C2312=pa_po),OR(pa_eq="",B2312=pa_eq)),1,0)</f>
        <v>0.0</v>
      </c>
    </row>
    <row r="2313">
      <c r="A2313" s="51" t="n"/>
      <c r="B2313" s="52" t="n"/>
      <c r="C2313" s="52" t="n"/>
      <c r="D2313" s="53" t="n"/>
      <c r="E2313" s="60" t="n"/>
      <c r="F2313" s="53" t="n"/>
      <c r="G2313" s="61" t="str">
        <f>IF(OR(COUNTA(A2313:E2313)=0,D2313=""),"",IFERROR(INDEX(ca_fam,MATCH(D2313,ca_name,0))&amp;"",""))</f>
        <v/>
      </c>
      <c r="H2313" s="58" t="str">
        <f>IF(OR(COUNTA(A2313:E2313)=0,D2313=""),"",IFERROR(INDEX(ca_type,MATCH(D2313,ca_name,0))&amp;"",""))</f>
        <v/>
      </c>
      <c r="I2313" s="58" t="str">
        <f>IF(COUNTA(A2313:E2313)=0,"",IF(N(A2313)&lt;=0,"Date manquante ou invalide",IF(B2313="","Équipe manquante",IF(ISNA(MATCH(B2313,eq_code,0)),"Équipe inconnue",IF(C2313="","Poste manquant",IF(ISNA(MATCH(C2313,po_code,0)),"Poste inconnu",IF(D2313="","Cause manquante",IF(ISNA(MATCH(D2313,ca_name,0)),"Cause inconnue",IF(H2313="","Cause à compléter dans Paramètres",IF(OR(NOT(ISNUMBER(E2313)),N(E2313)&lt;=0,N(E2313)&gt;1440),"Durée invalide",IF(COUNTIFS(sj_date,A2313,sj_eq,B2313,sj_po,C2313)=0,"Pas de saisie journalière ce jour-là","OK")))))))))))</f>
        <v/>
      </c>
      <c r="J2313">
        <f>IF(OR(I2313="OK",I2313="Pas de saisie journalière ce jour-là"),E2313,0)</f>
        <v>0.0</v>
      </c>
      <c r="K2313">
        <f>IF(AND(J2313&gt;0,A2313&gt;=p_from,A2313&lt;=p_to),1,0)</f>
        <v>0.0</v>
      </c>
      <c r="L2313">
        <f>IF(AND(K2313=1,OR(pa_po="",C2313=pa_po),OR(pa_eq="",B2313=pa_eq)),1,0)</f>
        <v>0.0</v>
      </c>
    </row>
    <row r="2314">
      <c r="A2314" s="51" t="n"/>
      <c r="B2314" s="52" t="n"/>
      <c r="C2314" s="52" t="n"/>
      <c r="D2314" s="53" t="n"/>
      <c r="E2314" s="60" t="n"/>
      <c r="F2314" s="53" t="n"/>
      <c r="G2314" s="61" t="str">
        <f>IF(OR(COUNTA(A2314:E2314)=0,D2314=""),"",IFERROR(INDEX(ca_fam,MATCH(D2314,ca_name,0))&amp;"",""))</f>
        <v/>
      </c>
      <c r="H2314" s="58" t="str">
        <f>IF(OR(COUNTA(A2314:E2314)=0,D2314=""),"",IFERROR(INDEX(ca_type,MATCH(D2314,ca_name,0))&amp;"",""))</f>
        <v/>
      </c>
      <c r="I2314" s="58" t="str">
        <f>IF(COUNTA(A2314:E2314)=0,"",IF(N(A2314)&lt;=0,"Date manquante ou invalide",IF(B2314="","Équipe manquante",IF(ISNA(MATCH(B2314,eq_code,0)),"Équipe inconnue",IF(C2314="","Poste manquant",IF(ISNA(MATCH(C2314,po_code,0)),"Poste inconnu",IF(D2314="","Cause manquante",IF(ISNA(MATCH(D2314,ca_name,0)),"Cause inconnue",IF(H2314="","Cause à compléter dans Paramètres",IF(OR(NOT(ISNUMBER(E2314)),N(E2314)&lt;=0,N(E2314)&gt;1440),"Durée invalide",IF(COUNTIFS(sj_date,A2314,sj_eq,B2314,sj_po,C2314)=0,"Pas de saisie journalière ce jour-là","OK")))))))))))</f>
        <v/>
      </c>
      <c r="J2314">
        <f>IF(OR(I2314="OK",I2314="Pas de saisie journalière ce jour-là"),E2314,0)</f>
        <v>0.0</v>
      </c>
      <c r="K2314">
        <f>IF(AND(J2314&gt;0,A2314&gt;=p_from,A2314&lt;=p_to),1,0)</f>
        <v>0.0</v>
      </c>
      <c r="L2314">
        <f>IF(AND(K2314=1,OR(pa_po="",C2314=pa_po),OR(pa_eq="",B2314=pa_eq)),1,0)</f>
        <v>0.0</v>
      </c>
    </row>
    <row r="2315">
      <c r="A2315" s="51" t="n"/>
      <c r="B2315" s="52" t="n"/>
      <c r="C2315" s="52" t="n"/>
      <c r="D2315" s="53" t="n"/>
      <c r="E2315" s="60" t="n"/>
      <c r="F2315" s="53" t="n"/>
      <c r="G2315" s="61" t="str">
        <f>IF(OR(COUNTA(A2315:E2315)=0,D2315=""),"",IFERROR(INDEX(ca_fam,MATCH(D2315,ca_name,0))&amp;"",""))</f>
        <v/>
      </c>
      <c r="H2315" s="58" t="str">
        <f>IF(OR(COUNTA(A2315:E2315)=0,D2315=""),"",IFERROR(INDEX(ca_type,MATCH(D2315,ca_name,0))&amp;"",""))</f>
        <v/>
      </c>
      <c r="I2315" s="58" t="str">
        <f>IF(COUNTA(A2315:E2315)=0,"",IF(N(A2315)&lt;=0,"Date manquante ou invalide",IF(B2315="","Équipe manquante",IF(ISNA(MATCH(B2315,eq_code,0)),"Équipe inconnue",IF(C2315="","Poste manquant",IF(ISNA(MATCH(C2315,po_code,0)),"Poste inconnu",IF(D2315="","Cause manquante",IF(ISNA(MATCH(D2315,ca_name,0)),"Cause inconnue",IF(H2315="","Cause à compléter dans Paramètres",IF(OR(NOT(ISNUMBER(E2315)),N(E2315)&lt;=0,N(E2315)&gt;1440),"Durée invalide",IF(COUNTIFS(sj_date,A2315,sj_eq,B2315,sj_po,C2315)=0,"Pas de saisie journalière ce jour-là","OK")))))))))))</f>
        <v/>
      </c>
      <c r="J2315">
        <f>IF(OR(I2315="OK",I2315="Pas de saisie journalière ce jour-là"),E2315,0)</f>
        <v>0.0</v>
      </c>
      <c r="K2315">
        <f>IF(AND(J2315&gt;0,A2315&gt;=p_from,A2315&lt;=p_to),1,0)</f>
        <v>0.0</v>
      </c>
      <c r="L2315">
        <f>IF(AND(K2315=1,OR(pa_po="",C2315=pa_po),OR(pa_eq="",B2315=pa_eq)),1,0)</f>
        <v>0.0</v>
      </c>
    </row>
    <row r="2316">
      <c r="A2316" s="51" t="n"/>
      <c r="B2316" s="52" t="n"/>
      <c r="C2316" s="52" t="n"/>
      <c r="D2316" s="53" t="n"/>
      <c r="E2316" s="60" t="n"/>
      <c r="F2316" s="53" t="n"/>
      <c r="G2316" s="61" t="str">
        <f>IF(OR(COUNTA(A2316:E2316)=0,D2316=""),"",IFERROR(INDEX(ca_fam,MATCH(D2316,ca_name,0))&amp;"",""))</f>
        <v/>
      </c>
      <c r="H2316" s="58" t="str">
        <f>IF(OR(COUNTA(A2316:E2316)=0,D2316=""),"",IFERROR(INDEX(ca_type,MATCH(D2316,ca_name,0))&amp;"",""))</f>
        <v/>
      </c>
      <c r="I2316" s="58" t="str">
        <f>IF(COUNTA(A2316:E2316)=0,"",IF(N(A2316)&lt;=0,"Date manquante ou invalide",IF(B2316="","Équipe manquante",IF(ISNA(MATCH(B2316,eq_code,0)),"Équipe inconnue",IF(C2316="","Poste manquant",IF(ISNA(MATCH(C2316,po_code,0)),"Poste inconnu",IF(D2316="","Cause manquante",IF(ISNA(MATCH(D2316,ca_name,0)),"Cause inconnue",IF(H2316="","Cause à compléter dans Paramètres",IF(OR(NOT(ISNUMBER(E2316)),N(E2316)&lt;=0,N(E2316)&gt;1440),"Durée invalide",IF(COUNTIFS(sj_date,A2316,sj_eq,B2316,sj_po,C2316)=0,"Pas de saisie journalière ce jour-là","OK")))))))))))</f>
        <v/>
      </c>
      <c r="J2316">
        <f>IF(OR(I2316="OK",I2316="Pas de saisie journalière ce jour-là"),E2316,0)</f>
        <v>0.0</v>
      </c>
      <c r="K2316">
        <f>IF(AND(J2316&gt;0,A2316&gt;=p_from,A2316&lt;=p_to),1,0)</f>
        <v>0.0</v>
      </c>
      <c r="L2316">
        <f>IF(AND(K2316=1,OR(pa_po="",C2316=pa_po),OR(pa_eq="",B2316=pa_eq)),1,0)</f>
        <v>0.0</v>
      </c>
    </row>
    <row r="2317">
      <c r="A2317" s="51" t="n"/>
      <c r="B2317" s="52" t="n"/>
      <c r="C2317" s="52" t="n"/>
      <c r="D2317" s="53" t="n"/>
      <c r="E2317" s="60" t="n"/>
      <c r="F2317" s="53" t="n"/>
      <c r="G2317" s="61" t="str">
        <f>IF(OR(COUNTA(A2317:E2317)=0,D2317=""),"",IFERROR(INDEX(ca_fam,MATCH(D2317,ca_name,0))&amp;"",""))</f>
        <v/>
      </c>
      <c r="H2317" s="58" t="str">
        <f>IF(OR(COUNTA(A2317:E2317)=0,D2317=""),"",IFERROR(INDEX(ca_type,MATCH(D2317,ca_name,0))&amp;"",""))</f>
        <v/>
      </c>
      <c r="I2317" s="58" t="str">
        <f>IF(COUNTA(A2317:E2317)=0,"",IF(N(A2317)&lt;=0,"Date manquante ou invalide",IF(B2317="","Équipe manquante",IF(ISNA(MATCH(B2317,eq_code,0)),"Équipe inconnue",IF(C2317="","Poste manquant",IF(ISNA(MATCH(C2317,po_code,0)),"Poste inconnu",IF(D2317="","Cause manquante",IF(ISNA(MATCH(D2317,ca_name,0)),"Cause inconnue",IF(H2317="","Cause à compléter dans Paramètres",IF(OR(NOT(ISNUMBER(E2317)),N(E2317)&lt;=0,N(E2317)&gt;1440),"Durée invalide",IF(COUNTIFS(sj_date,A2317,sj_eq,B2317,sj_po,C2317)=0,"Pas de saisie journalière ce jour-là","OK")))))))))))</f>
        <v/>
      </c>
      <c r="J2317">
        <f>IF(OR(I2317="OK",I2317="Pas de saisie journalière ce jour-là"),E2317,0)</f>
        <v>0.0</v>
      </c>
      <c r="K2317">
        <f>IF(AND(J2317&gt;0,A2317&gt;=p_from,A2317&lt;=p_to),1,0)</f>
        <v>0.0</v>
      </c>
      <c r="L2317">
        <f>IF(AND(K2317=1,OR(pa_po="",C2317=pa_po),OR(pa_eq="",B2317=pa_eq)),1,0)</f>
        <v>0.0</v>
      </c>
    </row>
    <row r="2318">
      <c r="A2318" s="51" t="n"/>
      <c r="B2318" s="52" t="n"/>
      <c r="C2318" s="52" t="n"/>
      <c r="D2318" s="53" t="n"/>
      <c r="E2318" s="60" t="n"/>
      <c r="F2318" s="53" t="n"/>
      <c r="G2318" s="61" t="str">
        <f>IF(OR(COUNTA(A2318:E2318)=0,D2318=""),"",IFERROR(INDEX(ca_fam,MATCH(D2318,ca_name,0))&amp;"",""))</f>
        <v/>
      </c>
      <c r="H2318" s="58" t="str">
        <f>IF(OR(COUNTA(A2318:E2318)=0,D2318=""),"",IFERROR(INDEX(ca_type,MATCH(D2318,ca_name,0))&amp;"",""))</f>
        <v/>
      </c>
      <c r="I2318" s="58" t="str">
        <f>IF(COUNTA(A2318:E2318)=0,"",IF(N(A2318)&lt;=0,"Date manquante ou invalide",IF(B2318="","Équipe manquante",IF(ISNA(MATCH(B2318,eq_code,0)),"Équipe inconnue",IF(C2318="","Poste manquant",IF(ISNA(MATCH(C2318,po_code,0)),"Poste inconnu",IF(D2318="","Cause manquante",IF(ISNA(MATCH(D2318,ca_name,0)),"Cause inconnue",IF(H2318="","Cause à compléter dans Paramètres",IF(OR(NOT(ISNUMBER(E2318)),N(E2318)&lt;=0,N(E2318)&gt;1440),"Durée invalide",IF(COUNTIFS(sj_date,A2318,sj_eq,B2318,sj_po,C2318)=0,"Pas de saisie journalière ce jour-là","OK")))))))))))</f>
        <v/>
      </c>
      <c r="J2318">
        <f>IF(OR(I2318="OK",I2318="Pas de saisie journalière ce jour-là"),E2318,0)</f>
        <v>0.0</v>
      </c>
      <c r="K2318">
        <f>IF(AND(J2318&gt;0,A2318&gt;=p_from,A2318&lt;=p_to),1,0)</f>
        <v>0.0</v>
      </c>
      <c r="L2318">
        <f>IF(AND(K2318=1,OR(pa_po="",C2318=pa_po),OR(pa_eq="",B2318=pa_eq)),1,0)</f>
        <v>0.0</v>
      </c>
    </row>
    <row r="2319">
      <c r="A2319" s="51" t="n"/>
      <c r="B2319" s="52" t="n"/>
      <c r="C2319" s="52" t="n"/>
      <c r="D2319" s="53" t="n"/>
      <c r="E2319" s="60" t="n"/>
      <c r="F2319" s="53" t="n"/>
      <c r="G2319" s="61" t="str">
        <f>IF(OR(COUNTA(A2319:E2319)=0,D2319=""),"",IFERROR(INDEX(ca_fam,MATCH(D2319,ca_name,0))&amp;"",""))</f>
        <v/>
      </c>
      <c r="H2319" s="58" t="str">
        <f>IF(OR(COUNTA(A2319:E2319)=0,D2319=""),"",IFERROR(INDEX(ca_type,MATCH(D2319,ca_name,0))&amp;"",""))</f>
        <v/>
      </c>
      <c r="I2319" s="58" t="str">
        <f>IF(COUNTA(A2319:E2319)=0,"",IF(N(A2319)&lt;=0,"Date manquante ou invalide",IF(B2319="","Équipe manquante",IF(ISNA(MATCH(B2319,eq_code,0)),"Équipe inconnue",IF(C2319="","Poste manquant",IF(ISNA(MATCH(C2319,po_code,0)),"Poste inconnu",IF(D2319="","Cause manquante",IF(ISNA(MATCH(D2319,ca_name,0)),"Cause inconnue",IF(H2319="","Cause à compléter dans Paramètres",IF(OR(NOT(ISNUMBER(E2319)),N(E2319)&lt;=0,N(E2319)&gt;1440),"Durée invalide",IF(COUNTIFS(sj_date,A2319,sj_eq,B2319,sj_po,C2319)=0,"Pas de saisie journalière ce jour-là","OK")))))))))))</f>
        <v/>
      </c>
      <c r="J2319">
        <f>IF(OR(I2319="OK",I2319="Pas de saisie journalière ce jour-là"),E2319,0)</f>
        <v>0.0</v>
      </c>
      <c r="K2319">
        <f>IF(AND(J2319&gt;0,A2319&gt;=p_from,A2319&lt;=p_to),1,0)</f>
        <v>0.0</v>
      </c>
      <c r="L2319">
        <f>IF(AND(K2319=1,OR(pa_po="",C2319=pa_po),OR(pa_eq="",B2319=pa_eq)),1,0)</f>
        <v>0.0</v>
      </c>
    </row>
    <row r="2320">
      <c r="A2320" s="51" t="n"/>
      <c r="B2320" s="52" t="n"/>
      <c r="C2320" s="52" t="n"/>
      <c r="D2320" s="53" t="n"/>
      <c r="E2320" s="60" t="n"/>
      <c r="F2320" s="53" t="n"/>
      <c r="G2320" s="61" t="str">
        <f>IF(OR(COUNTA(A2320:E2320)=0,D2320=""),"",IFERROR(INDEX(ca_fam,MATCH(D2320,ca_name,0))&amp;"",""))</f>
        <v/>
      </c>
      <c r="H2320" s="58" t="str">
        <f>IF(OR(COUNTA(A2320:E2320)=0,D2320=""),"",IFERROR(INDEX(ca_type,MATCH(D2320,ca_name,0))&amp;"",""))</f>
        <v/>
      </c>
      <c r="I2320" s="58" t="str">
        <f>IF(COUNTA(A2320:E2320)=0,"",IF(N(A2320)&lt;=0,"Date manquante ou invalide",IF(B2320="","Équipe manquante",IF(ISNA(MATCH(B2320,eq_code,0)),"Équipe inconnue",IF(C2320="","Poste manquant",IF(ISNA(MATCH(C2320,po_code,0)),"Poste inconnu",IF(D2320="","Cause manquante",IF(ISNA(MATCH(D2320,ca_name,0)),"Cause inconnue",IF(H2320="","Cause à compléter dans Paramètres",IF(OR(NOT(ISNUMBER(E2320)),N(E2320)&lt;=0,N(E2320)&gt;1440),"Durée invalide",IF(COUNTIFS(sj_date,A2320,sj_eq,B2320,sj_po,C2320)=0,"Pas de saisie journalière ce jour-là","OK")))))))))))</f>
        <v/>
      </c>
      <c r="J2320">
        <f>IF(OR(I2320="OK",I2320="Pas de saisie journalière ce jour-là"),E2320,0)</f>
        <v>0.0</v>
      </c>
      <c r="K2320">
        <f>IF(AND(J2320&gt;0,A2320&gt;=p_from,A2320&lt;=p_to),1,0)</f>
        <v>0.0</v>
      </c>
      <c r="L2320">
        <f>IF(AND(K2320=1,OR(pa_po="",C2320=pa_po),OR(pa_eq="",B2320=pa_eq)),1,0)</f>
        <v>0.0</v>
      </c>
    </row>
    <row r="2321">
      <c r="A2321" s="51" t="n"/>
      <c r="B2321" s="52" t="n"/>
      <c r="C2321" s="52" t="n"/>
      <c r="D2321" s="53" t="n"/>
      <c r="E2321" s="60" t="n"/>
      <c r="F2321" s="53" t="n"/>
      <c r="G2321" s="61" t="str">
        <f>IF(OR(COUNTA(A2321:E2321)=0,D2321=""),"",IFERROR(INDEX(ca_fam,MATCH(D2321,ca_name,0))&amp;"",""))</f>
        <v/>
      </c>
      <c r="H2321" s="58" t="str">
        <f>IF(OR(COUNTA(A2321:E2321)=0,D2321=""),"",IFERROR(INDEX(ca_type,MATCH(D2321,ca_name,0))&amp;"",""))</f>
        <v/>
      </c>
      <c r="I2321" s="58" t="str">
        <f>IF(COUNTA(A2321:E2321)=0,"",IF(N(A2321)&lt;=0,"Date manquante ou invalide",IF(B2321="","Équipe manquante",IF(ISNA(MATCH(B2321,eq_code,0)),"Équipe inconnue",IF(C2321="","Poste manquant",IF(ISNA(MATCH(C2321,po_code,0)),"Poste inconnu",IF(D2321="","Cause manquante",IF(ISNA(MATCH(D2321,ca_name,0)),"Cause inconnue",IF(H2321="","Cause à compléter dans Paramètres",IF(OR(NOT(ISNUMBER(E2321)),N(E2321)&lt;=0,N(E2321)&gt;1440),"Durée invalide",IF(COUNTIFS(sj_date,A2321,sj_eq,B2321,sj_po,C2321)=0,"Pas de saisie journalière ce jour-là","OK")))))))))))</f>
        <v/>
      </c>
      <c r="J2321">
        <f>IF(OR(I2321="OK",I2321="Pas de saisie journalière ce jour-là"),E2321,0)</f>
        <v>0.0</v>
      </c>
      <c r="K2321">
        <f>IF(AND(J2321&gt;0,A2321&gt;=p_from,A2321&lt;=p_to),1,0)</f>
        <v>0.0</v>
      </c>
      <c r="L2321">
        <f>IF(AND(K2321=1,OR(pa_po="",C2321=pa_po),OR(pa_eq="",B2321=pa_eq)),1,0)</f>
        <v>0.0</v>
      </c>
    </row>
    <row r="2322">
      <c r="A2322" s="51" t="n"/>
      <c r="B2322" s="52" t="n"/>
      <c r="C2322" s="52" t="n"/>
      <c r="D2322" s="53" t="n"/>
      <c r="E2322" s="60" t="n"/>
      <c r="F2322" s="53" t="n"/>
      <c r="G2322" s="61" t="str">
        <f>IF(OR(COUNTA(A2322:E2322)=0,D2322=""),"",IFERROR(INDEX(ca_fam,MATCH(D2322,ca_name,0))&amp;"",""))</f>
        <v/>
      </c>
      <c r="H2322" s="58" t="str">
        <f>IF(OR(COUNTA(A2322:E2322)=0,D2322=""),"",IFERROR(INDEX(ca_type,MATCH(D2322,ca_name,0))&amp;"",""))</f>
        <v/>
      </c>
      <c r="I2322" s="58" t="str">
        <f>IF(COUNTA(A2322:E2322)=0,"",IF(N(A2322)&lt;=0,"Date manquante ou invalide",IF(B2322="","Équipe manquante",IF(ISNA(MATCH(B2322,eq_code,0)),"Équipe inconnue",IF(C2322="","Poste manquant",IF(ISNA(MATCH(C2322,po_code,0)),"Poste inconnu",IF(D2322="","Cause manquante",IF(ISNA(MATCH(D2322,ca_name,0)),"Cause inconnue",IF(H2322="","Cause à compléter dans Paramètres",IF(OR(NOT(ISNUMBER(E2322)),N(E2322)&lt;=0,N(E2322)&gt;1440),"Durée invalide",IF(COUNTIFS(sj_date,A2322,sj_eq,B2322,sj_po,C2322)=0,"Pas de saisie journalière ce jour-là","OK")))))))))))</f>
        <v/>
      </c>
      <c r="J2322">
        <f>IF(OR(I2322="OK",I2322="Pas de saisie journalière ce jour-là"),E2322,0)</f>
        <v>0.0</v>
      </c>
      <c r="K2322">
        <f>IF(AND(J2322&gt;0,A2322&gt;=p_from,A2322&lt;=p_to),1,0)</f>
        <v>0.0</v>
      </c>
      <c r="L2322">
        <f>IF(AND(K2322=1,OR(pa_po="",C2322=pa_po),OR(pa_eq="",B2322=pa_eq)),1,0)</f>
        <v>0.0</v>
      </c>
    </row>
    <row r="2323">
      <c r="A2323" s="51" t="n"/>
      <c r="B2323" s="52" t="n"/>
      <c r="C2323" s="52" t="n"/>
      <c r="D2323" s="53" t="n"/>
      <c r="E2323" s="60" t="n"/>
      <c r="F2323" s="53" t="n"/>
      <c r="G2323" s="61" t="str">
        <f>IF(OR(COUNTA(A2323:E2323)=0,D2323=""),"",IFERROR(INDEX(ca_fam,MATCH(D2323,ca_name,0))&amp;"",""))</f>
        <v/>
      </c>
      <c r="H2323" s="58" t="str">
        <f>IF(OR(COUNTA(A2323:E2323)=0,D2323=""),"",IFERROR(INDEX(ca_type,MATCH(D2323,ca_name,0))&amp;"",""))</f>
        <v/>
      </c>
      <c r="I2323" s="58" t="str">
        <f>IF(COUNTA(A2323:E2323)=0,"",IF(N(A2323)&lt;=0,"Date manquante ou invalide",IF(B2323="","Équipe manquante",IF(ISNA(MATCH(B2323,eq_code,0)),"Équipe inconnue",IF(C2323="","Poste manquant",IF(ISNA(MATCH(C2323,po_code,0)),"Poste inconnu",IF(D2323="","Cause manquante",IF(ISNA(MATCH(D2323,ca_name,0)),"Cause inconnue",IF(H2323="","Cause à compléter dans Paramètres",IF(OR(NOT(ISNUMBER(E2323)),N(E2323)&lt;=0,N(E2323)&gt;1440),"Durée invalide",IF(COUNTIFS(sj_date,A2323,sj_eq,B2323,sj_po,C2323)=0,"Pas de saisie journalière ce jour-là","OK")))))))))))</f>
        <v/>
      </c>
      <c r="J2323">
        <f>IF(OR(I2323="OK",I2323="Pas de saisie journalière ce jour-là"),E2323,0)</f>
        <v>0.0</v>
      </c>
      <c r="K2323">
        <f>IF(AND(J2323&gt;0,A2323&gt;=p_from,A2323&lt;=p_to),1,0)</f>
        <v>0.0</v>
      </c>
      <c r="L2323">
        <f>IF(AND(K2323=1,OR(pa_po="",C2323=pa_po),OR(pa_eq="",B2323=pa_eq)),1,0)</f>
        <v>0.0</v>
      </c>
    </row>
    <row r="2324">
      <c r="A2324" s="51" t="n"/>
      <c r="B2324" s="52" t="n"/>
      <c r="C2324" s="52" t="n"/>
      <c r="D2324" s="53" t="n"/>
      <c r="E2324" s="60" t="n"/>
      <c r="F2324" s="53" t="n"/>
      <c r="G2324" s="61" t="str">
        <f>IF(OR(COUNTA(A2324:E2324)=0,D2324=""),"",IFERROR(INDEX(ca_fam,MATCH(D2324,ca_name,0))&amp;"",""))</f>
        <v/>
      </c>
      <c r="H2324" s="58" t="str">
        <f>IF(OR(COUNTA(A2324:E2324)=0,D2324=""),"",IFERROR(INDEX(ca_type,MATCH(D2324,ca_name,0))&amp;"",""))</f>
        <v/>
      </c>
      <c r="I2324" s="58" t="str">
        <f>IF(COUNTA(A2324:E2324)=0,"",IF(N(A2324)&lt;=0,"Date manquante ou invalide",IF(B2324="","Équipe manquante",IF(ISNA(MATCH(B2324,eq_code,0)),"Équipe inconnue",IF(C2324="","Poste manquant",IF(ISNA(MATCH(C2324,po_code,0)),"Poste inconnu",IF(D2324="","Cause manquante",IF(ISNA(MATCH(D2324,ca_name,0)),"Cause inconnue",IF(H2324="","Cause à compléter dans Paramètres",IF(OR(NOT(ISNUMBER(E2324)),N(E2324)&lt;=0,N(E2324)&gt;1440),"Durée invalide",IF(COUNTIFS(sj_date,A2324,sj_eq,B2324,sj_po,C2324)=0,"Pas de saisie journalière ce jour-là","OK")))))))))))</f>
        <v/>
      </c>
      <c r="J2324">
        <f>IF(OR(I2324="OK",I2324="Pas de saisie journalière ce jour-là"),E2324,0)</f>
        <v>0.0</v>
      </c>
      <c r="K2324">
        <f>IF(AND(J2324&gt;0,A2324&gt;=p_from,A2324&lt;=p_to),1,0)</f>
        <v>0.0</v>
      </c>
      <c r="L2324">
        <f>IF(AND(K2324=1,OR(pa_po="",C2324=pa_po),OR(pa_eq="",B2324=pa_eq)),1,0)</f>
        <v>0.0</v>
      </c>
    </row>
    <row r="2325">
      <c r="A2325" s="51" t="n"/>
      <c r="B2325" s="52" t="n"/>
      <c r="C2325" s="52" t="n"/>
      <c r="D2325" s="53" t="n"/>
      <c r="E2325" s="60" t="n"/>
      <c r="F2325" s="53" t="n"/>
      <c r="G2325" s="61" t="str">
        <f>IF(OR(COUNTA(A2325:E2325)=0,D2325=""),"",IFERROR(INDEX(ca_fam,MATCH(D2325,ca_name,0))&amp;"",""))</f>
        <v/>
      </c>
      <c r="H2325" s="58" t="str">
        <f>IF(OR(COUNTA(A2325:E2325)=0,D2325=""),"",IFERROR(INDEX(ca_type,MATCH(D2325,ca_name,0))&amp;"",""))</f>
        <v/>
      </c>
      <c r="I2325" s="58" t="str">
        <f>IF(COUNTA(A2325:E2325)=0,"",IF(N(A2325)&lt;=0,"Date manquante ou invalide",IF(B2325="","Équipe manquante",IF(ISNA(MATCH(B2325,eq_code,0)),"Équipe inconnue",IF(C2325="","Poste manquant",IF(ISNA(MATCH(C2325,po_code,0)),"Poste inconnu",IF(D2325="","Cause manquante",IF(ISNA(MATCH(D2325,ca_name,0)),"Cause inconnue",IF(H2325="","Cause à compléter dans Paramètres",IF(OR(NOT(ISNUMBER(E2325)),N(E2325)&lt;=0,N(E2325)&gt;1440),"Durée invalide",IF(COUNTIFS(sj_date,A2325,sj_eq,B2325,sj_po,C2325)=0,"Pas de saisie journalière ce jour-là","OK")))))))))))</f>
        <v/>
      </c>
      <c r="J2325">
        <f>IF(OR(I2325="OK",I2325="Pas de saisie journalière ce jour-là"),E2325,0)</f>
        <v>0.0</v>
      </c>
      <c r="K2325">
        <f>IF(AND(J2325&gt;0,A2325&gt;=p_from,A2325&lt;=p_to),1,0)</f>
        <v>0.0</v>
      </c>
      <c r="L2325">
        <f>IF(AND(K2325=1,OR(pa_po="",C2325=pa_po),OR(pa_eq="",B2325=pa_eq)),1,0)</f>
        <v>0.0</v>
      </c>
    </row>
    <row r="2326">
      <c r="A2326" s="51" t="n"/>
      <c r="B2326" s="52" t="n"/>
      <c r="C2326" s="52" t="n"/>
      <c r="D2326" s="53" t="n"/>
      <c r="E2326" s="60" t="n"/>
      <c r="F2326" s="53" t="n"/>
      <c r="G2326" s="61" t="str">
        <f>IF(OR(COUNTA(A2326:E2326)=0,D2326=""),"",IFERROR(INDEX(ca_fam,MATCH(D2326,ca_name,0))&amp;"",""))</f>
        <v/>
      </c>
      <c r="H2326" s="58" t="str">
        <f>IF(OR(COUNTA(A2326:E2326)=0,D2326=""),"",IFERROR(INDEX(ca_type,MATCH(D2326,ca_name,0))&amp;"",""))</f>
        <v/>
      </c>
      <c r="I2326" s="58" t="str">
        <f>IF(COUNTA(A2326:E2326)=0,"",IF(N(A2326)&lt;=0,"Date manquante ou invalide",IF(B2326="","Équipe manquante",IF(ISNA(MATCH(B2326,eq_code,0)),"Équipe inconnue",IF(C2326="","Poste manquant",IF(ISNA(MATCH(C2326,po_code,0)),"Poste inconnu",IF(D2326="","Cause manquante",IF(ISNA(MATCH(D2326,ca_name,0)),"Cause inconnue",IF(H2326="","Cause à compléter dans Paramètres",IF(OR(NOT(ISNUMBER(E2326)),N(E2326)&lt;=0,N(E2326)&gt;1440),"Durée invalide",IF(COUNTIFS(sj_date,A2326,sj_eq,B2326,sj_po,C2326)=0,"Pas de saisie journalière ce jour-là","OK")))))))))))</f>
        <v/>
      </c>
      <c r="J2326">
        <f>IF(OR(I2326="OK",I2326="Pas de saisie journalière ce jour-là"),E2326,0)</f>
        <v>0.0</v>
      </c>
      <c r="K2326">
        <f>IF(AND(J2326&gt;0,A2326&gt;=p_from,A2326&lt;=p_to),1,0)</f>
        <v>0.0</v>
      </c>
      <c r="L2326">
        <f>IF(AND(K2326=1,OR(pa_po="",C2326=pa_po),OR(pa_eq="",B2326=pa_eq)),1,0)</f>
        <v>0.0</v>
      </c>
    </row>
    <row r="2327">
      <c r="A2327" s="51" t="n"/>
      <c r="B2327" s="52" t="n"/>
      <c r="C2327" s="52" t="n"/>
      <c r="D2327" s="53" t="n"/>
      <c r="E2327" s="60" t="n"/>
      <c r="F2327" s="53" t="n"/>
      <c r="G2327" s="61" t="str">
        <f>IF(OR(COUNTA(A2327:E2327)=0,D2327=""),"",IFERROR(INDEX(ca_fam,MATCH(D2327,ca_name,0))&amp;"",""))</f>
        <v/>
      </c>
      <c r="H2327" s="58" t="str">
        <f>IF(OR(COUNTA(A2327:E2327)=0,D2327=""),"",IFERROR(INDEX(ca_type,MATCH(D2327,ca_name,0))&amp;"",""))</f>
        <v/>
      </c>
      <c r="I2327" s="58" t="str">
        <f>IF(COUNTA(A2327:E2327)=0,"",IF(N(A2327)&lt;=0,"Date manquante ou invalide",IF(B2327="","Équipe manquante",IF(ISNA(MATCH(B2327,eq_code,0)),"Équipe inconnue",IF(C2327="","Poste manquant",IF(ISNA(MATCH(C2327,po_code,0)),"Poste inconnu",IF(D2327="","Cause manquante",IF(ISNA(MATCH(D2327,ca_name,0)),"Cause inconnue",IF(H2327="","Cause à compléter dans Paramètres",IF(OR(NOT(ISNUMBER(E2327)),N(E2327)&lt;=0,N(E2327)&gt;1440),"Durée invalide",IF(COUNTIFS(sj_date,A2327,sj_eq,B2327,sj_po,C2327)=0,"Pas de saisie journalière ce jour-là","OK")))))))))))</f>
        <v/>
      </c>
      <c r="J2327">
        <f>IF(OR(I2327="OK",I2327="Pas de saisie journalière ce jour-là"),E2327,0)</f>
        <v>0.0</v>
      </c>
      <c r="K2327">
        <f>IF(AND(J2327&gt;0,A2327&gt;=p_from,A2327&lt;=p_to),1,0)</f>
        <v>0.0</v>
      </c>
      <c r="L2327">
        <f>IF(AND(K2327=1,OR(pa_po="",C2327=pa_po),OR(pa_eq="",B2327=pa_eq)),1,0)</f>
        <v>0.0</v>
      </c>
    </row>
    <row r="2328">
      <c r="A2328" s="51" t="n"/>
      <c r="B2328" s="52" t="n"/>
      <c r="C2328" s="52" t="n"/>
      <c r="D2328" s="53" t="n"/>
      <c r="E2328" s="60" t="n"/>
      <c r="F2328" s="53" t="n"/>
      <c r="G2328" s="61" t="str">
        <f>IF(OR(COUNTA(A2328:E2328)=0,D2328=""),"",IFERROR(INDEX(ca_fam,MATCH(D2328,ca_name,0))&amp;"",""))</f>
        <v/>
      </c>
      <c r="H2328" s="58" t="str">
        <f>IF(OR(COUNTA(A2328:E2328)=0,D2328=""),"",IFERROR(INDEX(ca_type,MATCH(D2328,ca_name,0))&amp;"",""))</f>
        <v/>
      </c>
      <c r="I2328" s="58" t="str">
        <f>IF(COUNTA(A2328:E2328)=0,"",IF(N(A2328)&lt;=0,"Date manquante ou invalide",IF(B2328="","Équipe manquante",IF(ISNA(MATCH(B2328,eq_code,0)),"Équipe inconnue",IF(C2328="","Poste manquant",IF(ISNA(MATCH(C2328,po_code,0)),"Poste inconnu",IF(D2328="","Cause manquante",IF(ISNA(MATCH(D2328,ca_name,0)),"Cause inconnue",IF(H2328="","Cause à compléter dans Paramètres",IF(OR(NOT(ISNUMBER(E2328)),N(E2328)&lt;=0,N(E2328)&gt;1440),"Durée invalide",IF(COUNTIFS(sj_date,A2328,sj_eq,B2328,sj_po,C2328)=0,"Pas de saisie journalière ce jour-là","OK")))))))))))</f>
        <v/>
      </c>
      <c r="J2328">
        <f>IF(OR(I2328="OK",I2328="Pas de saisie journalière ce jour-là"),E2328,0)</f>
        <v>0.0</v>
      </c>
      <c r="K2328">
        <f>IF(AND(J2328&gt;0,A2328&gt;=p_from,A2328&lt;=p_to),1,0)</f>
        <v>0.0</v>
      </c>
      <c r="L2328">
        <f>IF(AND(K2328=1,OR(pa_po="",C2328=pa_po),OR(pa_eq="",B2328=pa_eq)),1,0)</f>
        <v>0.0</v>
      </c>
    </row>
    <row r="2329">
      <c r="A2329" s="51" t="n"/>
      <c r="B2329" s="52" t="n"/>
      <c r="C2329" s="52" t="n"/>
      <c r="D2329" s="53" t="n"/>
      <c r="E2329" s="60" t="n"/>
      <c r="F2329" s="53" t="n"/>
      <c r="G2329" s="61" t="str">
        <f>IF(OR(COUNTA(A2329:E2329)=0,D2329=""),"",IFERROR(INDEX(ca_fam,MATCH(D2329,ca_name,0))&amp;"",""))</f>
        <v/>
      </c>
      <c r="H2329" s="58" t="str">
        <f>IF(OR(COUNTA(A2329:E2329)=0,D2329=""),"",IFERROR(INDEX(ca_type,MATCH(D2329,ca_name,0))&amp;"",""))</f>
        <v/>
      </c>
      <c r="I2329" s="58" t="str">
        <f>IF(COUNTA(A2329:E2329)=0,"",IF(N(A2329)&lt;=0,"Date manquante ou invalide",IF(B2329="","Équipe manquante",IF(ISNA(MATCH(B2329,eq_code,0)),"Équipe inconnue",IF(C2329="","Poste manquant",IF(ISNA(MATCH(C2329,po_code,0)),"Poste inconnu",IF(D2329="","Cause manquante",IF(ISNA(MATCH(D2329,ca_name,0)),"Cause inconnue",IF(H2329="","Cause à compléter dans Paramètres",IF(OR(NOT(ISNUMBER(E2329)),N(E2329)&lt;=0,N(E2329)&gt;1440),"Durée invalide",IF(COUNTIFS(sj_date,A2329,sj_eq,B2329,sj_po,C2329)=0,"Pas de saisie journalière ce jour-là","OK")))))))))))</f>
        <v/>
      </c>
      <c r="J2329">
        <f>IF(OR(I2329="OK",I2329="Pas de saisie journalière ce jour-là"),E2329,0)</f>
        <v>0.0</v>
      </c>
      <c r="K2329">
        <f>IF(AND(J2329&gt;0,A2329&gt;=p_from,A2329&lt;=p_to),1,0)</f>
        <v>0.0</v>
      </c>
      <c r="L2329">
        <f>IF(AND(K2329=1,OR(pa_po="",C2329=pa_po),OR(pa_eq="",B2329=pa_eq)),1,0)</f>
        <v>0.0</v>
      </c>
    </row>
    <row r="2330">
      <c r="A2330" s="51" t="n"/>
      <c r="B2330" s="52" t="n"/>
      <c r="C2330" s="52" t="n"/>
      <c r="D2330" s="53" t="n"/>
      <c r="E2330" s="60" t="n"/>
      <c r="F2330" s="53" t="n"/>
      <c r="G2330" s="61" t="str">
        <f>IF(OR(COUNTA(A2330:E2330)=0,D2330=""),"",IFERROR(INDEX(ca_fam,MATCH(D2330,ca_name,0))&amp;"",""))</f>
        <v/>
      </c>
      <c r="H2330" s="58" t="str">
        <f>IF(OR(COUNTA(A2330:E2330)=0,D2330=""),"",IFERROR(INDEX(ca_type,MATCH(D2330,ca_name,0))&amp;"",""))</f>
        <v/>
      </c>
      <c r="I2330" s="58" t="str">
        <f>IF(COUNTA(A2330:E2330)=0,"",IF(N(A2330)&lt;=0,"Date manquante ou invalide",IF(B2330="","Équipe manquante",IF(ISNA(MATCH(B2330,eq_code,0)),"Équipe inconnue",IF(C2330="","Poste manquant",IF(ISNA(MATCH(C2330,po_code,0)),"Poste inconnu",IF(D2330="","Cause manquante",IF(ISNA(MATCH(D2330,ca_name,0)),"Cause inconnue",IF(H2330="","Cause à compléter dans Paramètres",IF(OR(NOT(ISNUMBER(E2330)),N(E2330)&lt;=0,N(E2330)&gt;1440),"Durée invalide",IF(COUNTIFS(sj_date,A2330,sj_eq,B2330,sj_po,C2330)=0,"Pas de saisie journalière ce jour-là","OK")))))))))))</f>
        <v/>
      </c>
      <c r="J2330">
        <f>IF(OR(I2330="OK",I2330="Pas de saisie journalière ce jour-là"),E2330,0)</f>
        <v>0.0</v>
      </c>
      <c r="K2330">
        <f>IF(AND(J2330&gt;0,A2330&gt;=p_from,A2330&lt;=p_to),1,0)</f>
        <v>0.0</v>
      </c>
      <c r="L2330">
        <f>IF(AND(K2330=1,OR(pa_po="",C2330=pa_po),OR(pa_eq="",B2330=pa_eq)),1,0)</f>
        <v>0.0</v>
      </c>
    </row>
    <row r="2331">
      <c r="A2331" s="51" t="n"/>
      <c r="B2331" s="52" t="n"/>
      <c r="C2331" s="52" t="n"/>
      <c r="D2331" s="53" t="n"/>
      <c r="E2331" s="60" t="n"/>
      <c r="F2331" s="53" t="n"/>
      <c r="G2331" s="61" t="str">
        <f>IF(OR(COUNTA(A2331:E2331)=0,D2331=""),"",IFERROR(INDEX(ca_fam,MATCH(D2331,ca_name,0))&amp;"",""))</f>
        <v/>
      </c>
      <c r="H2331" s="58" t="str">
        <f>IF(OR(COUNTA(A2331:E2331)=0,D2331=""),"",IFERROR(INDEX(ca_type,MATCH(D2331,ca_name,0))&amp;"",""))</f>
        <v/>
      </c>
      <c r="I2331" s="58" t="str">
        <f>IF(COUNTA(A2331:E2331)=0,"",IF(N(A2331)&lt;=0,"Date manquante ou invalide",IF(B2331="","Équipe manquante",IF(ISNA(MATCH(B2331,eq_code,0)),"Équipe inconnue",IF(C2331="","Poste manquant",IF(ISNA(MATCH(C2331,po_code,0)),"Poste inconnu",IF(D2331="","Cause manquante",IF(ISNA(MATCH(D2331,ca_name,0)),"Cause inconnue",IF(H2331="","Cause à compléter dans Paramètres",IF(OR(NOT(ISNUMBER(E2331)),N(E2331)&lt;=0,N(E2331)&gt;1440),"Durée invalide",IF(COUNTIFS(sj_date,A2331,sj_eq,B2331,sj_po,C2331)=0,"Pas de saisie journalière ce jour-là","OK")))))))))))</f>
        <v/>
      </c>
      <c r="J2331">
        <f>IF(OR(I2331="OK",I2331="Pas de saisie journalière ce jour-là"),E2331,0)</f>
        <v>0.0</v>
      </c>
      <c r="K2331">
        <f>IF(AND(J2331&gt;0,A2331&gt;=p_from,A2331&lt;=p_to),1,0)</f>
        <v>0.0</v>
      </c>
      <c r="L2331">
        <f>IF(AND(K2331=1,OR(pa_po="",C2331=pa_po),OR(pa_eq="",B2331=pa_eq)),1,0)</f>
        <v>0.0</v>
      </c>
    </row>
    <row r="2332">
      <c r="A2332" s="51" t="n"/>
      <c r="B2332" s="52" t="n"/>
      <c r="C2332" s="52" t="n"/>
      <c r="D2332" s="53" t="n"/>
      <c r="E2332" s="60" t="n"/>
      <c r="F2332" s="53" t="n"/>
      <c r="G2332" s="61" t="str">
        <f>IF(OR(COUNTA(A2332:E2332)=0,D2332=""),"",IFERROR(INDEX(ca_fam,MATCH(D2332,ca_name,0))&amp;"",""))</f>
        <v/>
      </c>
      <c r="H2332" s="58" t="str">
        <f>IF(OR(COUNTA(A2332:E2332)=0,D2332=""),"",IFERROR(INDEX(ca_type,MATCH(D2332,ca_name,0))&amp;"",""))</f>
        <v/>
      </c>
      <c r="I2332" s="58" t="str">
        <f>IF(COUNTA(A2332:E2332)=0,"",IF(N(A2332)&lt;=0,"Date manquante ou invalide",IF(B2332="","Équipe manquante",IF(ISNA(MATCH(B2332,eq_code,0)),"Équipe inconnue",IF(C2332="","Poste manquant",IF(ISNA(MATCH(C2332,po_code,0)),"Poste inconnu",IF(D2332="","Cause manquante",IF(ISNA(MATCH(D2332,ca_name,0)),"Cause inconnue",IF(H2332="","Cause à compléter dans Paramètres",IF(OR(NOT(ISNUMBER(E2332)),N(E2332)&lt;=0,N(E2332)&gt;1440),"Durée invalide",IF(COUNTIFS(sj_date,A2332,sj_eq,B2332,sj_po,C2332)=0,"Pas de saisie journalière ce jour-là","OK")))))))))))</f>
        <v/>
      </c>
      <c r="J2332">
        <f>IF(OR(I2332="OK",I2332="Pas de saisie journalière ce jour-là"),E2332,0)</f>
        <v>0.0</v>
      </c>
      <c r="K2332">
        <f>IF(AND(J2332&gt;0,A2332&gt;=p_from,A2332&lt;=p_to),1,0)</f>
        <v>0.0</v>
      </c>
      <c r="L2332">
        <f>IF(AND(K2332=1,OR(pa_po="",C2332=pa_po),OR(pa_eq="",B2332=pa_eq)),1,0)</f>
        <v>0.0</v>
      </c>
    </row>
    <row r="2333">
      <c r="A2333" s="51" t="n"/>
      <c r="B2333" s="52" t="n"/>
      <c r="C2333" s="52" t="n"/>
      <c r="D2333" s="53" t="n"/>
      <c r="E2333" s="60" t="n"/>
      <c r="F2333" s="53" t="n"/>
      <c r="G2333" s="61" t="str">
        <f>IF(OR(COUNTA(A2333:E2333)=0,D2333=""),"",IFERROR(INDEX(ca_fam,MATCH(D2333,ca_name,0))&amp;"",""))</f>
        <v/>
      </c>
      <c r="H2333" s="58" t="str">
        <f>IF(OR(COUNTA(A2333:E2333)=0,D2333=""),"",IFERROR(INDEX(ca_type,MATCH(D2333,ca_name,0))&amp;"",""))</f>
        <v/>
      </c>
      <c r="I2333" s="58" t="str">
        <f>IF(COUNTA(A2333:E2333)=0,"",IF(N(A2333)&lt;=0,"Date manquante ou invalide",IF(B2333="","Équipe manquante",IF(ISNA(MATCH(B2333,eq_code,0)),"Équipe inconnue",IF(C2333="","Poste manquant",IF(ISNA(MATCH(C2333,po_code,0)),"Poste inconnu",IF(D2333="","Cause manquante",IF(ISNA(MATCH(D2333,ca_name,0)),"Cause inconnue",IF(H2333="","Cause à compléter dans Paramètres",IF(OR(NOT(ISNUMBER(E2333)),N(E2333)&lt;=0,N(E2333)&gt;1440),"Durée invalide",IF(COUNTIFS(sj_date,A2333,sj_eq,B2333,sj_po,C2333)=0,"Pas de saisie journalière ce jour-là","OK")))))))))))</f>
        <v/>
      </c>
      <c r="J2333">
        <f>IF(OR(I2333="OK",I2333="Pas de saisie journalière ce jour-là"),E2333,0)</f>
        <v>0.0</v>
      </c>
      <c r="K2333">
        <f>IF(AND(J2333&gt;0,A2333&gt;=p_from,A2333&lt;=p_to),1,0)</f>
        <v>0.0</v>
      </c>
      <c r="L2333">
        <f>IF(AND(K2333=1,OR(pa_po="",C2333=pa_po),OR(pa_eq="",B2333=pa_eq)),1,0)</f>
        <v>0.0</v>
      </c>
    </row>
    <row r="2334">
      <c r="A2334" s="51" t="n"/>
      <c r="B2334" s="52" t="n"/>
      <c r="C2334" s="52" t="n"/>
      <c r="D2334" s="53" t="n"/>
      <c r="E2334" s="60" t="n"/>
      <c r="F2334" s="53" t="n"/>
      <c r="G2334" s="61" t="str">
        <f>IF(OR(COUNTA(A2334:E2334)=0,D2334=""),"",IFERROR(INDEX(ca_fam,MATCH(D2334,ca_name,0))&amp;"",""))</f>
        <v/>
      </c>
      <c r="H2334" s="58" t="str">
        <f>IF(OR(COUNTA(A2334:E2334)=0,D2334=""),"",IFERROR(INDEX(ca_type,MATCH(D2334,ca_name,0))&amp;"",""))</f>
        <v/>
      </c>
      <c r="I2334" s="58" t="str">
        <f>IF(COUNTA(A2334:E2334)=0,"",IF(N(A2334)&lt;=0,"Date manquante ou invalide",IF(B2334="","Équipe manquante",IF(ISNA(MATCH(B2334,eq_code,0)),"Équipe inconnue",IF(C2334="","Poste manquant",IF(ISNA(MATCH(C2334,po_code,0)),"Poste inconnu",IF(D2334="","Cause manquante",IF(ISNA(MATCH(D2334,ca_name,0)),"Cause inconnue",IF(H2334="","Cause à compléter dans Paramètres",IF(OR(NOT(ISNUMBER(E2334)),N(E2334)&lt;=0,N(E2334)&gt;1440),"Durée invalide",IF(COUNTIFS(sj_date,A2334,sj_eq,B2334,sj_po,C2334)=0,"Pas de saisie journalière ce jour-là","OK")))))))))))</f>
        <v/>
      </c>
      <c r="J2334">
        <f>IF(OR(I2334="OK",I2334="Pas de saisie journalière ce jour-là"),E2334,0)</f>
        <v>0.0</v>
      </c>
      <c r="K2334">
        <f>IF(AND(J2334&gt;0,A2334&gt;=p_from,A2334&lt;=p_to),1,0)</f>
        <v>0.0</v>
      </c>
      <c r="L2334">
        <f>IF(AND(K2334=1,OR(pa_po="",C2334=pa_po),OR(pa_eq="",B2334=pa_eq)),1,0)</f>
        <v>0.0</v>
      </c>
    </row>
    <row r="2335">
      <c r="A2335" s="51" t="n"/>
      <c r="B2335" s="52" t="n"/>
      <c r="C2335" s="52" t="n"/>
      <c r="D2335" s="53" t="n"/>
      <c r="E2335" s="60" t="n"/>
      <c r="F2335" s="53" t="n"/>
      <c r="G2335" s="61" t="str">
        <f>IF(OR(COUNTA(A2335:E2335)=0,D2335=""),"",IFERROR(INDEX(ca_fam,MATCH(D2335,ca_name,0))&amp;"",""))</f>
        <v/>
      </c>
      <c r="H2335" s="58" t="str">
        <f>IF(OR(COUNTA(A2335:E2335)=0,D2335=""),"",IFERROR(INDEX(ca_type,MATCH(D2335,ca_name,0))&amp;"",""))</f>
        <v/>
      </c>
      <c r="I2335" s="58" t="str">
        <f>IF(COUNTA(A2335:E2335)=0,"",IF(N(A2335)&lt;=0,"Date manquante ou invalide",IF(B2335="","Équipe manquante",IF(ISNA(MATCH(B2335,eq_code,0)),"Équipe inconnue",IF(C2335="","Poste manquant",IF(ISNA(MATCH(C2335,po_code,0)),"Poste inconnu",IF(D2335="","Cause manquante",IF(ISNA(MATCH(D2335,ca_name,0)),"Cause inconnue",IF(H2335="","Cause à compléter dans Paramètres",IF(OR(NOT(ISNUMBER(E2335)),N(E2335)&lt;=0,N(E2335)&gt;1440),"Durée invalide",IF(COUNTIFS(sj_date,A2335,sj_eq,B2335,sj_po,C2335)=0,"Pas de saisie journalière ce jour-là","OK")))))))))))</f>
        <v/>
      </c>
      <c r="J2335">
        <f>IF(OR(I2335="OK",I2335="Pas de saisie journalière ce jour-là"),E2335,0)</f>
        <v>0.0</v>
      </c>
      <c r="K2335">
        <f>IF(AND(J2335&gt;0,A2335&gt;=p_from,A2335&lt;=p_to),1,0)</f>
        <v>0.0</v>
      </c>
      <c r="L2335">
        <f>IF(AND(K2335=1,OR(pa_po="",C2335=pa_po),OR(pa_eq="",B2335=pa_eq)),1,0)</f>
        <v>0.0</v>
      </c>
    </row>
    <row r="2336">
      <c r="A2336" s="51" t="n"/>
      <c r="B2336" s="52" t="n"/>
      <c r="C2336" s="52" t="n"/>
      <c r="D2336" s="53" t="n"/>
      <c r="E2336" s="60" t="n"/>
      <c r="F2336" s="53" t="n"/>
      <c r="G2336" s="61" t="str">
        <f>IF(OR(COUNTA(A2336:E2336)=0,D2336=""),"",IFERROR(INDEX(ca_fam,MATCH(D2336,ca_name,0))&amp;"",""))</f>
        <v/>
      </c>
      <c r="H2336" s="58" t="str">
        <f>IF(OR(COUNTA(A2336:E2336)=0,D2336=""),"",IFERROR(INDEX(ca_type,MATCH(D2336,ca_name,0))&amp;"",""))</f>
        <v/>
      </c>
      <c r="I2336" s="58" t="str">
        <f>IF(COUNTA(A2336:E2336)=0,"",IF(N(A2336)&lt;=0,"Date manquante ou invalide",IF(B2336="","Équipe manquante",IF(ISNA(MATCH(B2336,eq_code,0)),"Équipe inconnue",IF(C2336="","Poste manquant",IF(ISNA(MATCH(C2336,po_code,0)),"Poste inconnu",IF(D2336="","Cause manquante",IF(ISNA(MATCH(D2336,ca_name,0)),"Cause inconnue",IF(H2336="","Cause à compléter dans Paramètres",IF(OR(NOT(ISNUMBER(E2336)),N(E2336)&lt;=0,N(E2336)&gt;1440),"Durée invalide",IF(COUNTIFS(sj_date,A2336,sj_eq,B2336,sj_po,C2336)=0,"Pas de saisie journalière ce jour-là","OK")))))))))))</f>
        <v/>
      </c>
      <c r="J2336">
        <f>IF(OR(I2336="OK",I2336="Pas de saisie journalière ce jour-là"),E2336,0)</f>
        <v>0.0</v>
      </c>
      <c r="K2336">
        <f>IF(AND(J2336&gt;0,A2336&gt;=p_from,A2336&lt;=p_to),1,0)</f>
        <v>0.0</v>
      </c>
      <c r="L2336">
        <f>IF(AND(K2336=1,OR(pa_po="",C2336=pa_po),OR(pa_eq="",B2336=pa_eq)),1,0)</f>
        <v>0.0</v>
      </c>
    </row>
    <row r="2337">
      <c r="A2337" s="51" t="n"/>
      <c r="B2337" s="52" t="n"/>
      <c r="C2337" s="52" t="n"/>
      <c r="D2337" s="53" t="n"/>
      <c r="E2337" s="60" t="n"/>
      <c r="F2337" s="53" t="n"/>
      <c r="G2337" s="61" t="str">
        <f>IF(OR(COUNTA(A2337:E2337)=0,D2337=""),"",IFERROR(INDEX(ca_fam,MATCH(D2337,ca_name,0))&amp;"",""))</f>
        <v/>
      </c>
      <c r="H2337" s="58" t="str">
        <f>IF(OR(COUNTA(A2337:E2337)=0,D2337=""),"",IFERROR(INDEX(ca_type,MATCH(D2337,ca_name,0))&amp;"",""))</f>
        <v/>
      </c>
      <c r="I2337" s="58" t="str">
        <f>IF(COUNTA(A2337:E2337)=0,"",IF(N(A2337)&lt;=0,"Date manquante ou invalide",IF(B2337="","Équipe manquante",IF(ISNA(MATCH(B2337,eq_code,0)),"Équipe inconnue",IF(C2337="","Poste manquant",IF(ISNA(MATCH(C2337,po_code,0)),"Poste inconnu",IF(D2337="","Cause manquante",IF(ISNA(MATCH(D2337,ca_name,0)),"Cause inconnue",IF(H2337="","Cause à compléter dans Paramètres",IF(OR(NOT(ISNUMBER(E2337)),N(E2337)&lt;=0,N(E2337)&gt;1440),"Durée invalide",IF(COUNTIFS(sj_date,A2337,sj_eq,B2337,sj_po,C2337)=0,"Pas de saisie journalière ce jour-là","OK")))))))))))</f>
        <v/>
      </c>
      <c r="J2337">
        <f>IF(OR(I2337="OK",I2337="Pas de saisie journalière ce jour-là"),E2337,0)</f>
        <v>0.0</v>
      </c>
      <c r="K2337">
        <f>IF(AND(J2337&gt;0,A2337&gt;=p_from,A2337&lt;=p_to),1,0)</f>
        <v>0.0</v>
      </c>
      <c r="L2337">
        <f>IF(AND(K2337=1,OR(pa_po="",C2337=pa_po),OR(pa_eq="",B2337=pa_eq)),1,0)</f>
        <v>0.0</v>
      </c>
    </row>
    <row r="2338">
      <c r="A2338" s="51" t="n"/>
      <c r="B2338" s="52" t="n"/>
      <c r="C2338" s="52" t="n"/>
      <c r="D2338" s="53" t="n"/>
      <c r="E2338" s="60" t="n"/>
      <c r="F2338" s="53" t="n"/>
      <c r="G2338" s="61" t="str">
        <f>IF(OR(COUNTA(A2338:E2338)=0,D2338=""),"",IFERROR(INDEX(ca_fam,MATCH(D2338,ca_name,0))&amp;"",""))</f>
        <v/>
      </c>
      <c r="H2338" s="58" t="str">
        <f>IF(OR(COUNTA(A2338:E2338)=0,D2338=""),"",IFERROR(INDEX(ca_type,MATCH(D2338,ca_name,0))&amp;"",""))</f>
        <v/>
      </c>
      <c r="I2338" s="58" t="str">
        <f>IF(COUNTA(A2338:E2338)=0,"",IF(N(A2338)&lt;=0,"Date manquante ou invalide",IF(B2338="","Équipe manquante",IF(ISNA(MATCH(B2338,eq_code,0)),"Équipe inconnue",IF(C2338="","Poste manquant",IF(ISNA(MATCH(C2338,po_code,0)),"Poste inconnu",IF(D2338="","Cause manquante",IF(ISNA(MATCH(D2338,ca_name,0)),"Cause inconnue",IF(H2338="","Cause à compléter dans Paramètres",IF(OR(NOT(ISNUMBER(E2338)),N(E2338)&lt;=0,N(E2338)&gt;1440),"Durée invalide",IF(COUNTIFS(sj_date,A2338,sj_eq,B2338,sj_po,C2338)=0,"Pas de saisie journalière ce jour-là","OK")))))))))))</f>
        <v/>
      </c>
      <c r="J2338">
        <f>IF(OR(I2338="OK",I2338="Pas de saisie journalière ce jour-là"),E2338,0)</f>
        <v>0.0</v>
      </c>
      <c r="K2338">
        <f>IF(AND(J2338&gt;0,A2338&gt;=p_from,A2338&lt;=p_to),1,0)</f>
        <v>0.0</v>
      </c>
      <c r="L2338">
        <f>IF(AND(K2338=1,OR(pa_po="",C2338=pa_po),OR(pa_eq="",B2338=pa_eq)),1,0)</f>
        <v>0.0</v>
      </c>
    </row>
    <row r="2339">
      <c r="A2339" s="51" t="n"/>
      <c r="B2339" s="52" t="n"/>
      <c r="C2339" s="52" t="n"/>
      <c r="D2339" s="53" t="n"/>
      <c r="E2339" s="60" t="n"/>
      <c r="F2339" s="53" t="n"/>
      <c r="G2339" s="61" t="str">
        <f>IF(OR(COUNTA(A2339:E2339)=0,D2339=""),"",IFERROR(INDEX(ca_fam,MATCH(D2339,ca_name,0))&amp;"",""))</f>
        <v/>
      </c>
      <c r="H2339" s="58" t="str">
        <f>IF(OR(COUNTA(A2339:E2339)=0,D2339=""),"",IFERROR(INDEX(ca_type,MATCH(D2339,ca_name,0))&amp;"",""))</f>
        <v/>
      </c>
      <c r="I2339" s="58" t="str">
        <f>IF(COUNTA(A2339:E2339)=0,"",IF(N(A2339)&lt;=0,"Date manquante ou invalide",IF(B2339="","Équipe manquante",IF(ISNA(MATCH(B2339,eq_code,0)),"Équipe inconnue",IF(C2339="","Poste manquant",IF(ISNA(MATCH(C2339,po_code,0)),"Poste inconnu",IF(D2339="","Cause manquante",IF(ISNA(MATCH(D2339,ca_name,0)),"Cause inconnue",IF(H2339="","Cause à compléter dans Paramètres",IF(OR(NOT(ISNUMBER(E2339)),N(E2339)&lt;=0,N(E2339)&gt;1440),"Durée invalide",IF(COUNTIFS(sj_date,A2339,sj_eq,B2339,sj_po,C2339)=0,"Pas de saisie journalière ce jour-là","OK")))))))))))</f>
        <v/>
      </c>
      <c r="J2339">
        <f>IF(OR(I2339="OK",I2339="Pas de saisie journalière ce jour-là"),E2339,0)</f>
        <v>0.0</v>
      </c>
      <c r="K2339">
        <f>IF(AND(J2339&gt;0,A2339&gt;=p_from,A2339&lt;=p_to),1,0)</f>
        <v>0.0</v>
      </c>
      <c r="L2339">
        <f>IF(AND(K2339=1,OR(pa_po="",C2339=pa_po),OR(pa_eq="",B2339=pa_eq)),1,0)</f>
        <v>0.0</v>
      </c>
    </row>
    <row r="2340">
      <c r="A2340" s="51" t="n"/>
      <c r="B2340" s="52" t="n"/>
      <c r="C2340" s="52" t="n"/>
      <c r="D2340" s="53" t="n"/>
      <c r="E2340" s="60" t="n"/>
      <c r="F2340" s="53" t="n"/>
      <c r="G2340" s="61" t="str">
        <f>IF(OR(COUNTA(A2340:E2340)=0,D2340=""),"",IFERROR(INDEX(ca_fam,MATCH(D2340,ca_name,0))&amp;"",""))</f>
        <v/>
      </c>
      <c r="H2340" s="58" t="str">
        <f>IF(OR(COUNTA(A2340:E2340)=0,D2340=""),"",IFERROR(INDEX(ca_type,MATCH(D2340,ca_name,0))&amp;"",""))</f>
        <v/>
      </c>
      <c r="I2340" s="58" t="str">
        <f>IF(COUNTA(A2340:E2340)=0,"",IF(N(A2340)&lt;=0,"Date manquante ou invalide",IF(B2340="","Équipe manquante",IF(ISNA(MATCH(B2340,eq_code,0)),"Équipe inconnue",IF(C2340="","Poste manquant",IF(ISNA(MATCH(C2340,po_code,0)),"Poste inconnu",IF(D2340="","Cause manquante",IF(ISNA(MATCH(D2340,ca_name,0)),"Cause inconnue",IF(H2340="","Cause à compléter dans Paramètres",IF(OR(NOT(ISNUMBER(E2340)),N(E2340)&lt;=0,N(E2340)&gt;1440),"Durée invalide",IF(COUNTIFS(sj_date,A2340,sj_eq,B2340,sj_po,C2340)=0,"Pas de saisie journalière ce jour-là","OK")))))))))))</f>
        <v/>
      </c>
      <c r="J2340">
        <f>IF(OR(I2340="OK",I2340="Pas de saisie journalière ce jour-là"),E2340,0)</f>
        <v>0.0</v>
      </c>
      <c r="K2340">
        <f>IF(AND(J2340&gt;0,A2340&gt;=p_from,A2340&lt;=p_to),1,0)</f>
        <v>0.0</v>
      </c>
      <c r="L2340">
        <f>IF(AND(K2340=1,OR(pa_po="",C2340=pa_po),OR(pa_eq="",B2340=pa_eq)),1,0)</f>
        <v>0.0</v>
      </c>
    </row>
    <row r="2341">
      <c r="A2341" s="51" t="n"/>
      <c r="B2341" s="52" t="n"/>
      <c r="C2341" s="52" t="n"/>
      <c r="D2341" s="53" t="n"/>
      <c r="E2341" s="60" t="n"/>
      <c r="F2341" s="53" t="n"/>
      <c r="G2341" s="61" t="str">
        <f>IF(OR(COUNTA(A2341:E2341)=0,D2341=""),"",IFERROR(INDEX(ca_fam,MATCH(D2341,ca_name,0))&amp;"",""))</f>
        <v/>
      </c>
      <c r="H2341" s="58" t="str">
        <f>IF(OR(COUNTA(A2341:E2341)=0,D2341=""),"",IFERROR(INDEX(ca_type,MATCH(D2341,ca_name,0))&amp;"",""))</f>
        <v/>
      </c>
      <c r="I2341" s="58" t="str">
        <f>IF(COUNTA(A2341:E2341)=0,"",IF(N(A2341)&lt;=0,"Date manquante ou invalide",IF(B2341="","Équipe manquante",IF(ISNA(MATCH(B2341,eq_code,0)),"Équipe inconnue",IF(C2341="","Poste manquant",IF(ISNA(MATCH(C2341,po_code,0)),"Poste inconnu",IF(D2341="","Cause manquante",IF(ISNA(MATCH(D2341,ca_name,0)),"Cause inconnue",IF(H2341="","Cause à compléter dans Paramètres",IF(OR(NOT(ISNUMBER(E2341)),N(E2341)&lt;=0,N(E2341)&gt;1440),"Durée invalide",IF(COUNTIFS(sj_date,A2341,sj_eq,B2341,sj_po,C2341)=0,"Pas de saisie journalière ce jour-là","OK")))))))))))</f>
        <v/>
      </c>
      <c r="J2341">
        <f>IF(OR(I2341="OK",I2341="Pas de saisie journalière ce jour-là"),E2341,0)</f>
        <v>0.0</v>
      </c>
      <c r="K2341">
        <f>IF(AND(J2341&gt;0,A2341&gt;=p_from,A2341&lt;=p_to),1,0)</f>
        <v>0.0</v>
      </c>
      <c r="L2341">
        <f>IF(AND(K2341=1,OR(pa_po="",C2341=pa_po),OR(pa_eq="",B2341=pa_eq)),1,0)</f>
        <v>0.0</v>
      </c>
    </row>
    <row r="2342">
      <c r="A2342" s="51" t="n"/>
      <c r="B2342" s="52" t="n"/>
      <c r="C2342" s="52" t="n"/>
      <c r="D2342" s="53" t="n"/>
      <c r="E2342" s="60" t="n"/>
      <c r="F2342" s="53" t="n"/>
      <c r="G2342" s="61" t="str">
        <f>IF(OR(COUNTA(A2342:E2342)=0,D2342=""),"",IFERROR(INDEX(ca_fam,MATCH(D2342,ca_name,0))&amp;"",""))</f>
        <v/>
      </c>
      <c r="H2342" s="58" t="str">
        <f>IF(OR(COUNTA(A2342:E2342)=0,D2342=""),"",IFERROR(INDEX(ca_type,MATCH(D2342,ca_name,0))&amp;"",""))</f>
        <v/>
      </c>
      <c r="I2342" s="58" t="str">
        <f>IF(COUNTA(A2342:E2342)=0,"",IF(N(A2342)&lt;=0,"Date manquante ou invalide",IF(B2342="","Équipe manquante",IF(ISNA(MATCH(B2342,eq_code,0)),"Équipe inconnue",IF(C2342="","Poste manquant",IF(ISNA(MATCH(C2342,po_code,0)),"Poste inconnu",IF(D2342="","Cause manquante",IF(ISNA(MATCH(D2342,ca_name,0)),"Cause inconnue",IF(H2342="","Cause à compléter dans Paramètres",IF(OR(NOT(ISNUMBER(E2342)),N(E2342)&lt;=0,N(E2342)&gt;1440),"Durée invalide",IF(COUNTIFS(sj_date,A2342,sj_eq,B2342,sj_po,C2342)=0,"Pas de saisie journalière ce jour-là","OK")))))))))))</f>
        <v/>
      </c>
      <c r="J2342">
        <f>IF(OR(I2342="OK",I2342="Pas de saisie journalière ce jour-là"),E2342,0)</f>
        <v>0.0</v>
      </c>
      <c r="K2342">
        <f>IF(AND(J2342&gt;0,A2342&gt;=p_from,A2342&lt;=p_to),1,0)</f>
        <v>0.0</v>
      </c>
      <c r="L2342">
        <f>IF(AND(K2342=1,OR(pa_po="",C2342=pa_po),OR(pa_eq="",B2342=pa_eq)),1,0)</f>
        <v>0.0</v>
      </c>
    </row>
    <row r="2343">
      <c r="A2343" s="51" t="n"/>
      <c r="B2343" s="52" t="n"/>
      <c r="C2343" s="52" t="n"/>
      <c r="D2343" s="53" t="n"/>
      <c r="E2343" s="60" t="n"/>
      <c r="F2343" s="53" t="n"/>
      <c r="G2343" s="61" t="str">
        <f>IF(OR(COUNTA(A2343:E2343)=0,D2343=""),"",IFERROR(INDEX(ca_fam,MATCH(D2343,ca_name,0))&amp;"",""))</f>
        <v/>
      </c>
      <c r="H2343" s="58" t="str">
        <f>IF(OR(COUNTA(A2343:E2343)=0,D2343=""),"",IFERROR(INDEX(ca_type,MATCH(D2343,ca_name,0))&amp;"",""))</f>
        <v/>
      </c>
      <c r="I2343" s="58" t="str">
        <f>IF(COUNTA(A2343:E2343)=0,"",IF(N(A2343)&lt;=0,"Date manquante ou invalide",IF(B2343="","Équipe manquante",IF(ISNA(MATCH(B2343,eq_code,0)),"Équipe inconnue",IF(C2343="","Poste manquant",IF(ISNA(MATCH(C2343,po_code,0)),"Poste inconnu",IF(D2343="","Cause manquante",IF(ISNA(MATCH(D2343,ca_name,0)),"Cause inconnue",IF(H2343="","Cause à compléter dans Paramètres",IF(OR(NOT(ISNUMBER(E2343)),N(E2343)&lt;=0,N(E2343)&gt;1440),"Durée invalide",IF(COUNTIFS(sj_date,A2343,sj_eq,B2343,sj_po,C2343)=0,"Pas de saisie journalière ce jour-là","OK")))))))))))</f>
        <v/>
      </c>
      <c r="J2343">
        <f>IF(OR(I2343="OK",I2343="Pas de saisie journalière ce jour-là"),E2343,0)</f>
        <v>0.0</v>
      </c>
      <c r="K2343">
        <f>IF(AND(J2343&gt;0,A2343&gt;=p_from,A2343&lt;=p_to),1,0)</f>
        <v>0.0</v>
      </c>
      <c r="L2343">
        <f>IF(AND(K2343=1,OR(pa_po="",C2343=pa_po),OR(pa_eq="",B2343=pa_eq)),1,0)</f>
        <v>0.0</v>
      </c>
    </row>
    <row r="2344">
      <c r="A2344" s="51" t="n"/>
      <c r="B2344" s="52" t="n"/>
      <c r="C2344" s="52" t="n"/>
      <c r="D2344" s="53" t="n"/>
      <c r="E2344" s="60" t="n"/>
      <c r="F2344" s="53" t="n"/>
      <c r="G2344" s="61" t="str">
        <f>IF(OR(COUNTA(A2344:E2344)=0,D2344=""),"",IFERROR(INDEX(ca_fam,MATCH(D2344,ca_name,0))&amp;"",""))</f>
        <v/>
      </c>
      <c r="H2344" s="58" t="str">
        <f>IF(OR(COUNTA(A2344:E2344)=0,D2344=""),"",IFERROR(INDEX(ca_type,MATCH(D2344,ca_name,0))&amp;"",""))</f>
        <v/>
      </c>
      <c r="I2344" s="58" t="str">
        <f>IF(COUNTA(A2344:E2344)=0,"",IF(N(A2344)&lt;=0,"Date manquante ou invalide",IF(B2344="","Équipe manquante",IF(ISNA(MATCH(B2344,eq_code,0)),"Équipe inconnue",IF(C2344="","Poste manquant",IF(ISNA(MATCH(C2344,po_code,0)),"Poste inconnu",IF(D2344="","Cause manquante",IF(ISNA(MATCH(D2344,ca_name,0)),"Cause inconnue",IF(H2344="","Cause à compléter dans Paramètres",IF(OR(NOT(ISNUMBER(E2344)),N(E2344)&lt;=0,N(E2344)&gt;1440),"Durée invalide",IF(COUNTIFS(sj_date,A2344,sj_eq,B2344,sj_po,C2344)=0,"Pas de saisie journalière ce jour-là","OK")))))))))))</f>
        <v/>
      </c>
      <c r="J2344">
        <f>IF(OR(I2344="OK",I2344="Pas de saisie journalière ce jour-là"),E2344,0)</f>
        <v>0.0</v>
      </c>
      <c r="K2344">
        <f>IF(AND(J2344&gt;0,A2344&gt;=p_from,A2344&lt;=p_to),1,0)</f>
        <v>0.0</v>
      </c>
      <c r="L2344">
        <f>IF(AND(K2344=1,OR(pa_po="",C2344=pa_po),OR(pa_eq="",B2344=pa_eq)),1,0)</f>
        <v>0.0</v>
      </c>
    </row>
    <row r="2345">
      <c r="A2345" s="51" t="n"/>
      <c r="B2345" s="52" t="n"/>
      <c r="C2345" s="52" t="n"/>
      <c r="D2345" s="53" t="n"/>
      <c r="E2345" s="60" t="n"/>
      <c r="F2345" s="53" t="n"/>
      <c r="G2345" s="61" t="str">
        <f>IF(OR(COUNTA(A2345:E2345)=0,D2345=""),"",IFERROR(INDEX(ca_fam,MATCH(D2345,ca_name,0))&amp;"",""))</f>
        <v/>
      </c>
      <c r="H2345" s="58" t="str">
        <f>IF(OR(COUNTA(A2345:E2345)=0,D2345=""),"",IFERROR(INDEX(ca_type,MATCH(D2345,ca_name,0))&amp;"",""))</f>
        <v/>
      </c>
      <c r="I2345" s="58" t="str">
        <f>IF(COUNTA(A2345:E2345)=0,"",IF(N(A2345)&lt;=0,"Date manquante ou invalide",IF(B2345="","Équipe manquante",IF(ISNA(MATCH(B2345,eq_code,0)),"Équipe inconnue",IF(C2345="","Poste manquant",IF(ISNA(MATCH(C2345,po_code,0)),"Poste inconnu",IF(D2345="","Cause manquante",IF(ISNA(MATCH(D2345,ca_name,0)),"Cause inconnue",IF(H2345="","Cause à compléter dans Paramètres",IF(OR(NOT(ISNUMBER(E2345)),N(E2345)&lt;=0,N(E2345)&gt;1440),"Durée invalide",IF(COUNTIFS(sj_date,A2345,sj_eq,B2345,sj_po,C2345)=0,"Pas de saisie journalière ce jour-là","OK")))))))))))</f>
        <v/>
      </c>
      <c r="J2345">
        <f>IF(OR(I2345="OK",I2345="Pas de saisie journalière ce jour-là"),E2345,0)</f>
        <v>0.0</v>
      </c>
      <c r="K2345">
        <f>IF(AND(J2345&gt;0,A2345&gt;=p_from,A2345&lt;=p_to),1,0)</f>
        <v>0.0</v>
      </c>
      <c r="L2345">
        <f>IF(AND(K2345=1,OR(pa_po="",C2345=pa_po),OR(pa_eq="",B2345=pa_eq)),1,0)</f>
        <v>0.0</v>
      </c>
    </row>
    <row r="2346">
      <c r="A2346" s="51" t="n"/>
      <c r="B2346" s="52" t="n"/>
      <c r="C2346" s="52" t="n"/>
      <c r="D2346" s="53" t="n"/>
      <c r="E2346" s="60" t="n"/>
      <c r="F2346" s="53" t="n"/>
      <c r="G2346" s="61" t="str">
        <f>IF(OR(COUNTA(A2346:E2346)=0,D2346=""),"",IFERROR(INDEX(ca_fam,MATCH(D2346,ca_name,0))&amp;"",""))</f>
        <v/>
      </c>
      <c r="H2346" s="58" t="str">
        <f>IF(OR(COUNTA(A2346:E2346)=0,D2346=""),"",IFERROR(INDEX(ca_type,MATCH(D2346,ca_name,0))&amp;"",""))</f>
        <v/>
      </c>
      <c r="I2346" s="58" t="str">
        <f>IF(COUNTA(A2346:E2346)=0,"",IF(N(A2346)&lt;=0,"Date manquante ou invalide",IF(B2346="","Équipe manquante",IF(ISNA(MATCH(B2346,eq_code,0)),"Équipe inconnue",IF(C2346="","Poste manquant",IF(ISNA(MATCH(C2346,po_code,0)),"Poste inconnu",IF(D2346="","Cause manquante",IF(ISNA(MATCH(D2346,ca_name,0)),"Cause inconnue",IF(H2346="","Cause à compléter dans Paramètres",IF(OR(NOT(ISNUMBER(E2346)),N(E2346)&lt;=0,N(E2346)&gt;1440),"Durée invalide",IF(COUNTIFS(sj_date,A2346,sj_eq,B2346,sj_po,C2346)=0,"Pas de saisie journalière ce jour-là","OK")))))))))))</f>
        <v/>
      </c>
      <c r="J2346">
        <f>IF(OR(I2346="OK",I2346="Pas de saisie journalière ce jour-là"),E2346,0)</f>
        <v>0.0</v>
      </c>
      <c r="K2346">
        <f>IF(AND(J2346&gt;0,A2346&gt;=p_from,A2346&lt;=p_to),1,0)</f>
        <v>0.0</v>
      </c>
      <c r="L2346">
        <f>IF(AND(K2346=1,OR(pa_po="",C2346=pa_po),OR(pa_eq="",B2346=pa_eq)),1,0)</f>
        <v>0.0</v>
      </c>
    </row>
    <row r="2347">
      <c r="A2347" s="51" t="n"/>
      <c r="B2347" s="52" t="n"/>
      <c r="C2347" s="52" t="n"/>
      <c r="D2347" s="53" t="n"/>
      <c r="E2347" s="60" t="n"/>
      <c r="F2347" s="53" t="n"/>
      <c r="G2347" s="61" t="str">
        <f>IF(OR(COUNTA(A2347:E2347)=0,D2347=""),"",IFERROR(INDEX(ca_fam,MATCH(D2347,ca_name,0))&amp;"",""))</f>
        <v/>
      </c>
      <c r="H2347" s="58" t="str">
        <f>IF(OR(COUNTA(A2347:E2347)=0,D2347=""),"",IFERROR(INDEX(ca_type,MATCH(D2347,ca_name,0))&amp;"",""))</f>
        <v/>
      </c>
      <c r="I2347" s="58" t="str">
        <f>IF(COUNTA(A2347:E2347)=0,"",IF(N(A2347)&lt;=0,"Date manquante ou invalide",IF(B2347="","Équipe manquante",IF(ISNA(MATCH(B2347,eq_code,0)),"Équipe inconnue",IF(C2347="","Poste manquant",IF(ISNA(MATCH(C2347,po_code,0)),"Poste inconnu",IF(D2347="","Cause manquante",IF(ISNA(MATCH(D2347,ca_name,0)),"Cause inconnue",IF(H2347="","Cause à compléter dans Paramètres",IF(OR(NOT(ISNUMBER(E2347)),N(E2347)&lt;=0,N(E2347)&gt;1440),"Durée invalide",IF(COUNTIFS(sj_date,A2347,sj_eq,B2347,sj_po,C2347)=0,"Pas de saisie journalière ce jour-là","OK")))))))))))</f>
        <v/>
      </c>
      <c r="J2347">
        <f>IF(OR(I2347="OK",I2347="Pas de saisie journalière ce jour-là"),E2347,0)</f>
        <v>0.0</v>
      </c>
      <c r="K2347">
        <f>IF(AND(J2347&gt;0,A2347&gt;=p_from,A2347&lt;=p_to),1,0)</f>
        <v>0.0</v>
      </c>
      <c r="L2347">
        <f>IF(AND(K2347=1,OR(pa_po="",C2347=pa_po),OR(pa_eq="",B2347=pa_eq)),1,0)</f>
        <v>0.0</v>
      </c>
    </row>
    <row r="2348">
      <c r="A2348" s="51" t="n"/>
      <c r="B2348" s="52" t="n"/>
      <c r="C2348" s="52" t="n"/>
      <c r="D2348" s="53" t="n"/>
      <c r="E2348" s="60" t="n"/>
      <c r="F2348" s="53" t="n"/>
      <c r="G2348" s="61" t="str">
        <f>IF(OR(COUNTA(A2348:E2348)=0,D2348=""),"",IFERROR(INDEX(ca_fam,MATCH(D2348,ca_name,0))&amp;"",""))</f>
        <v/>
      </c>
      <c r="H2348" s="58" t="str">
        <f>IF(OR(COUNTA(A2348:E2348)=0,D2348=""),"",IFERROR(INDEX(ca_type,MATCH(D2348,ca_name,0))&amp;"",""))</f>
        <v/>
      </c>
      <c r="I2348" s="58" t="str">
        <f>IF(COUNTA(A2348:E2348)=0,"",IF(N(A2348)&lt;=0,"Date manquante ou invalide",IF(B2348="","Équipe manquante",IF(ISNA(MATCH(B2348,eq_code,0)),"Équipe inconnue",IF(C2348="","Poste manquant",IF(ISNA(MATCH(C2348,po_code,0)),"Poste inconnu",IF(D2348="","Cause manquante",IF(ISNA(MATCH(D2348,ca_name,0)),"Cause inconnue",IF(H2348="","Cause à compléter dans Paramètres",IF(OR(NOT(ISNUMBER(E2348)),N(E2348)&lt;=0,N(E2348)&gt;1440),"Durée invalide",IF(COUNTIFS(sj_date,A2348,sj_eq,B2348,sj_po,C2348)=0,"Pas de saisie journalière ce jour-là","OK")))))))))))</f>
        <v/>
      </c>
      <c r="J2348">
        <f>IF(OR(I2348="OK",I2348="Pas de saisie journalière ce jour-là"),E2348,0)</f>
        <v>0.0</v>
      </c>
      <c r="K2348">
        <f>IF(AND(J2348&gt;0,A2348&gt;=p_from,A2348&lt;=p_to),1,0)</f>
        <v>0.0</v>
      </c>
      <c r="L2348">
        <f>IF(AND(K2348=1,OR(pa_po="",C2348=pa_po),OR(pa_eq="",B2348=pa_eq)),1,0)</f>
        <v>0.0</v>
      </c>
    </row>
    <row r="2349">
      <c r="A2349" s="51" t="n"/>
      <c r="B2349" s="52" t="n"/>
      <c r="C2349" s="52" t="n"/>
      <c r="D2349" s="53" t="n"/>
      <c r="E2349" s="60" t="n"/>
      <c r="F2349" s="53" t="n"/>
      <c r="G2349" s="61" t="str">
        <f>IF(OR(COUNTA(A2349:E2349)=0,D2349=""),"",IFERROR(INDEX(ca_fam,MATCH(D2349,ca_name,0))&amp;"",""))</f>
        <v/>
      </c>
      <c r="H2349" s="58" t="str">
        <f>IF(OR(COUNTA(A2349:E2349)=0,D2349=""),"",IFERROR(INDEX(ca_type,MATCH(D2349,ca_name,0))&amp;"",""))</f>
        <v/>
      </c>
      <c r="I2349" s="58" t="str">
        <f>IF(COUNTA(A2349:E2349)=0,"",IF(N(A2349)&lt;=0,"Date manquante ou invalide",IF(B2349="","Équipe manquante",IF(ISNA(MATCH(B2349,eq_code,0)),"Équipe inconnue",IF(C2349="","Poste manquant",IF(ISNA(MATCH(C2349,po_code,0)),"Poste inconnu",IF(D2349="","Cause manquante",IF(ISNA(MATCH(D2349,ca_name,0)),"Cause inconnue",IF(H2349="","Cause à compléter dans Paramètres",IF(OR(NOT(ISNUMBER(E2349)),N(E2349)&lt;=0,N(E2349)&gt;1440),"Durée invalide",IF(COUNTIFS(sj_date,A2349,sj_eq,B2349,sj_po,C2349)=0,"Pas de saisie journalière ce jour-là","OK")))))))))))</f>
        <v/>
      </c>
      <c r="J2349">
        <f>IF(OR(I2349="OK",I2349="Pas de saisie journalière ce jour-là"),E2349,0)</f>
        <v>0.0</v>
      </c>
      <c r="K2349">
        <f>IF(AND(J2349&gt;0,A2349&gt;=p_from,A2349&lt;=p_to),1,0)</f>
        <v>0.0</v>
      </c>
      <c r="L2349">
        <f>IF(AND(K2349=1,OR(pa_po="",C2349=pa_po),OR(pa_eq="",B2349=pa_eq)),1,0)</f>
        <v>0.0</v>
      </c>
    </row>
    <row r="2350">
      <c r="A2350" s="51" t="n"/>
      <c r="B2350" s="52" t="n"/>
      <c r="C2350" s="52" t="n"/>
      <c r="D2350" s="53" t="n"/>
      <c r="E2350" s="60" t="n"/>
      <c r="F2350" s="53" t="n"/>
      <c r="G2350" s="61" t="str">
        <f>IF(OR(COUNTA(A2350:E2350)=0,D2350=""),"",IFERROR(INDEX(ca_fam,MATCH(D2350,ca_name,0))&amp;"",""))</f>
        <v/>
      </c>
      <c r="H2350" s="58" t="str">
        <f>IF(OR(COUNTA(A2350:E2350)=0,D2350=""),"",IFERROR(INDEX(ca_type,MATCH(D2350,ca_name,0))&amp;"",""))</f>
        <v/>
      </c>
      <c r="I2350" s="58" t="str">
        <f>IF(COUNTA(A2350:E2350)=0,"",IF(N(A2350)&lt;=0,"Date manquante ou invalide",IF(B2350="","Équipe manquante",IF(ISNA(MATCH(B2350,eq_code,0)),"Équipe inconnue",IF(C2350="","Poste manquant",IF(ISNA(MATCH(C2350,po_code,0)),"Poste inconnu",IF(D2350="","Cause manquante",IF(ISNA(MATCH(D2350,ca_name,0)),"Cause inconnue",IF(H2350="","Cause à compléter dans Paramètres",IF(OR(NOT(ISNUMBER(E2350)),N(E2350)&lt;=0,N(E2350)&gt;1440),"Durée invalide",IF(COUNTIFS(sj_date,A2350,sj_eq,B2350,sj_po,C2350)=0,"Pas de saisie journalière ce jour-là","OK")))))))))))</f>
        <v/>
      </c>
      <c r="J2350">
        <f>IF(OR(I2350="OK",I2350="Pas de saisie journalière ce jour-là"),E2350,0)</f>
        <v>0.0</v>
      </c>
      <c r="K2350">
        <f>IF(AND(J2350&gt;0,A2350&gt;=p_from,A2350&lt;=p_to),1,0)</f>
        <v>0.0</v>
      </c>
      <c r="L2350">
        <f>IF(AND(K2350=1,OR(pa_po="",C2350=pa_po),OR(pa_eq="",B2350=pa_eq)),1,0)</f>
        <v>0.0</v>
      </c>
    </row>
    <row r="2351">
      <c r="A2351" s="51" t="n"/>
      <c r="B2351" s="52" t="n"/>
      <c r="C2351" s="52" t="n"/>
      <c r="D2351" s="53" t="n"/>
      <c r="E2351" s="60" t="n"/>
      <c r="F2351" s="53" t="n"/>
      <c r="G2351" s="61" t="str">
        <f>IF(OR(COUNTA(A2351:E2351)=0,D2351=""),"",IFERROR(INDEX(ca_fam,MATCH(D2351,ca_name,0))&amp;"",""))</f>
        <v/>
      </c>
      <c r="H2351" s="58" t="str">
        <f>IF(OR(COUNTA(A2351:E2351)=0,D2351=""),"",IFERROR(INDEX(ca_type,MATCH(D2351,ca_name,0))&amp;"",""))</f>
        <v/>
      </c>
      <c r="I2351" s="58" t="str">
        <f>IF(COUNTA(A2351:E2351)=0,"",IF(N(A2351)&lt;=0,"Date manquante ou invalide",IF(B2351="","Équipe manquante",IF(ISNA(MATCH(B2351,eq_code,0)),"Équipe inconnue",IF(C2351="","Poste manquant",IF(ISNA(MATCH(C2351,po_code,0)),"Poste inconnu",IF(D2351="","Cause manquante",IF(ISNA(MATCH(D2351,ca_name,0)),"Cause inconnue",IF(H2351="","Cause à compléter dans Paramètres",IF(OR(NOT(ISNUMBER(E2351)),N(E2351)&lt;=0,N(E2351)&gt;1440),"Durée invalide",IF(COUNTIFS(sj_date,A2351,sj_eq,B2351,sj_po,C2351)=0,"Pas de saisie journalière ce jour-là","OK")))))))))))</f>
        <v/>
      </c>
      <c r="J2351">
        <f>IF(OR(I2351="OK",I2351="Pas de saisie journalière ce jour-là"),E2351,0)</f>
        <v>0.0</v>
      </c>
      <c r="K2351">
        <f>IF(AND(J2351&gt;0,A2351&gt;=p_from,A2351&lt;=p_to),1,0)</f>
        <v>0.0</v>
      </c>
      <c r="L2351">
        <f>IF(AND(K2351=1,OR(pa_po="",C2351=pa_po),OR(pa_eq="",B2351=pa_eq)),1,0)</f>
        <v>0.0</v>
      </c>
    </row>
    <row r="2352">
      <c r="A2352" s="51" t="n"/>
      <c r="B2352" s="52" t="n"/>
      <c r="C2352" s="52" t="n"/>
      <c r="D2352" s="53" t="n"/>
      <c r="E2352" s="60" t="n"/>
      <c r="F2352" s="53" t="n"/>
      <c r="G2352" s="61" t="str">
        <f>IF(OR(COUNTA(A2352:E2352)=0,D2352=""),"",IFERROR(INDEX(ca_fam,MATCH(D2352,ca_name,0))&amp;"",""))</f>
        <v/>
      </c>
      <c r="H2352" s="58" t="str">
        <f>IF(OR(COUNTA(A2352:E2352)=0,D2352=""),"",IFERROR(INDEX(ca_type,MATCH(D2352,ca_name,0))&amp;"",""))</f>
        <v/>
      </c>
      <c r="I2352" s="58" t="str">
        <f>IF(COUNTA(A2352:E2352)=0,"",IF(N(A2352)&lt;=0,"Date manquante ou invalide",IF(B2352="","Équipe manquante",IF(ISNA(MATCH(B2352,eq_code,0)),"Équipe inconnue",IF(C2352="","Poste manquant",IF(ISNA(MATCH(C2352,po_code,0)),"Poste inconnu",IF(D2352="","Cause manquante",IF(ISNA(MATCH(D2352,ca_name,0)),"Cause inconnue",IF(H2352="","Cause à compléter dans Paramètres",IF(OR(NOT(ISNUMBER(E2352)),N(E2352)&lt;=0,N(E2352)&gt;1440),"Durée invalide",IF(COUNTIFS(sj_date,A2352,sj_eq,B2352,sj_po,C2352)=0,"Pas de saisie journalière ce jour-là","OK")))))))))))</f>
        <v/>
      </c>
      <c r="J2352">
        <f>IF(OR(I2352="OK",I2352="Pas de saisie journalière ce jour-là"),E2352,0)</f>
        <v>0.0</v>
      </c>
      <c r="K2352">
        <f>IF(AND(J2352&gt;0,A2352&gt;=p_from,A2352&lt;=p_to),1,0)</f>
        <v>0.0</v>
      </c>
      <c r="L2352">
        <f>IF(AND(K2352=1,OR(pa_po="",C2352=pa_po),OR(pa_eq="",B2352=pa_eq)),1,0)</f>
        <v>0.0</v>
      </c>
    </row>
    <row r="2353">
      <c r="A2353" s="51" t="n"/>
      <c r="B2353" s="52" t="n"/>
      <c r="C2353" s="52" t="n"/>
      <c r="D2353" s="53" t="n"/>
      <c r="E2353" s="60" t="n"/>
      <c r="F2353" s="53" t="n"/>
      <c r="G2353" s="61" t="str">
        <f>IF(OR(COUNTA(A2353:E2353)=0,D2353=""),"",IFERROR(INDEX(ca_fam,MATCH(D2353,ca_name,0))&amp;"",""))</f>
        <v/>
      </c>
      <c r="H2353" s="58" t="str">
        <f>IF(OR(COUNTA(A2353:E2353)=0,D2353=""),"",IFERROR(INDEX(ca_type,MATCH(D2353,ca_name,0))&amp;"",""))</f>
        <v/>
      </c>
      <c r="I2353" s="58" t="str">
        <f>IF(COUNTA(A2353:E2353)=0,"",IF(N(A2353)&lt;=0,"Date manquante ou invalide",IF(B2353="","Équipe manquante",IF(ISNA(MATCH(B2353,eq_code,0)),"Équipe inconnue",IF(C2353="","Poste manquant",IF(ISNA(MATCH(C2353,po_code,0)),"Poste inconnu",IF(D2353="","Cause manquante",IF(ISNA(MATCH(D2353,ca_name,0)),"Cause inconnue",IF(H2353="","Cause à compléter dans Paramètres",IF(OR(NOT(ISNUMBER(E2353)),N(E2353)&lt;=0,N(E2353)&gt;1440),"Durée invalide",IF(COUNTIFS(sj_date,A2353,sj_eq,B2353,sj_po,C2353)=0,"Pas de saisie journalière ce jour-là","OK")))))))))))</f>
        <v/>
      </c>
      <c r="J2353">
        <f>IF(OR(I2353="OK",I2353="Pas de saisie journalière ce jour-là"),E2353,0)</f>
        <v>0.0</v>
      </c>
      <c r="K2353">
        <f>IF(AND(J2353&gt;0,A2353&gt;=p_from,A2353&lt;=p_to),1,0)</f>
        <v>0.0</v>
      </c>
      <c r="L2353">
        <f>IF(AND(K2353=1,OR(pa_po="",C2353=pa_po),OR(pa_eq="",B2353=pa_eq)),1,0)</f>
        <v>0.0</v>
      </c>
    </row>
    <row r="2354">
      <c r="A2354" s="51" t="n"/>
      <c r="B2354" s="52" t="n"/>
      <c r="C2354" s="52" t="n"/>
      <c r="D2354" s="53" t="n"/>
      <c r="E2354" s="60" t="n"/>
      <c r="F2354" s="53" t="n"/>
      <c r="G2354" s="61" t="str">
        <f>IF(OR(COUNTA(A2354:E2354)=0,D2354=""),"",IFERROR(INDEX(ca_fam,MATCH(D2354,ca_name,0))&amp;"",""))</f>
        <v/>
      </c>
      <c r="H2354" s="58" t="str">
        <f>IF(OR(COUNTA(A2354:E2354)=0,D2354=""),"",IFERROR(INDEX(ca_type,MATCH(D2354,ca_name,0))&amp;"",""))</f>
        <v/>
      </c>
      <c r="I2354" s="58" t="str">
        <f>IF(COUNTA(A2354:E2354)=0,"",IF(N(A2354)&lt;=0,"Date manquante ou invalide",IF(B2354="","Équipe manquante",IF(ISNA(MATCH(B2354,eq_code,0)),"Équipe inconnue",IF(C2354="","Poste manquant",IF(ISNA(MATCH(C2354,po_code,0)),"Poste inconnu",IF(D2354="","Cause manquante",IF(ISNA(MATCH(D2354,ca_name,0)),"Cause inconnue",IF(H2354="","Cause à compléter dans Paramètres",IF(OR(NOT(ISNUMBER(E2354)),N(E2354)&lt;=0,N(E2354)&gt;1440),"Durée invalide",IF(COUNTIFS(sj_date,A2354,sj_eq,B2354,sj_po,C2354)=0,"Pas de saisie journalière ce jour-là","OK")))))))))))</f>
        <v/>
      </c>
      <c r="J2354">
        <f>IF(OR(I2354="OK",I2354="Pas de saisie journalière ce jour-là"),E2354,0)</f>
        <v>0.0</v>
      </c>
      <c r="K2354">
        <f>IF(AND(J2354&gt;0,A2354&gt;=p_from,A2354&lt;=p_to),1,0)</f>
        <v>0.0</v>
      </c>
      <c r="L2354">
        <f>IF(AND(K2354=1,OR(pa_po="",C2354=pa_po),OR(pa_eq="",B2354=pa_eq)),1,0)</f>
        <v>0.0</v>
      </c>
    </row>
    <row r="2355">
      <c r="A2355" s="51" t="n"/>
      <c r="B2355" s="52" t="n"/>
      <c r="C2355" s="52" t="n"/>
      <c r="D2355" s="53" t="n"/>
      <c r="E2355" s="60" t="n"/>
      <c r="F2355" s="53" t="n"/>
      <c r="G2355" s="61" t="str">
        <f>IF(OR(COUNTA(A2355:E2355)=0,D2355=""),"",IFERROR(INDEX(ca_fam,MATCH(D2355,ca_name,0))&amp;"",""))</f>
        <v/>
      </c>
      <c r="H2355" s="58" t="str">
        <f>IF(OR(COUNTA(A2355:E2355)=0,D2355=""),"",IFERROR(INDEX(ca_type,MATCH(D2355,ca_name,0))&amp;"",""))</f>
        <v/>
      </c>
      <c r="I2355" s="58" t="str">
        <f>IF(COUNTA(A2355:E2355)=0,"",IF(N(A2355)&lt;=0,"Date manquante ou invalide",IF(B2355="","Équipe manquante",IF(ISNA(MATCH(B2355,eq_code,0)),"Équipe inconnue",IF(C2355="","Poste manquant",IF(ISNA(MATCH(C2355,po_code,0)),"Poste inconnu",IF(D2355="","Cause manquante",IF(ISNA(MATCH(D2355,ca_name,0)),"Cause inconnue",IF(H2355="","Cause à compléter dans Paramètres",IF(OR(NOT(ISNUMBER(E2355)),N(E2355)&lt;=0,N(E2355)&gt;1440),"Durée invalide",IF(COUNTIFS(sj_date,A2355,sj_eq,B2355,sj_po,C2355)=0,"Pas de saisie journalière ce jour-là","OK")))))))))))</f>
        <v/>
      </c>
      <c r="J2355">
        <f>IF(OR(I2355="OK",I2355="Pas de saisie journalière ce jour-là"),E2355,0)</f>
        <v>0.0</v>
      </c>
      <c r="K2355">
        <f>IF(AND(J2355&gt;0,A2355&gt;=p_from,A2355&lt;=p_to),1,0)</f>
        <v>0.0</v>
      </c>
      <c r="L2355">
        <f>IF(AND(K2355=1,OR(pa_po="",C2355=pa_po),OR(pa_eq="",B2355=pa_eq)),1,0)</f>
        <v>0.0</v>
      </c>
    </row>
    <row r="2356">
      <c r="A2356" s="51" t="n"/>
      <c r="B2356" s="52" t="n"/>
      <c r="C2356" s="52" t="n"/>
      <c r="D2356" s="53" t="n"/>
      <c r="E2356" s="60" t="n"/>
      <c r="F2356" s="53" t="n"/>
      <c r="G2356" s="61" t="str">
        <f>IF(OR(COUNTA(A2356:E2356)=0,D2356=""),"",IFERROR(INDEX(ca_fam,MATCH(D2356,ca_name,0))&amp;"",""))</f>
        <v/>
      </c>
      <c r="H2356" s="58" t="str">
        <f>IF(OR(COUNTA(A2356:E2356)=0,D2356=""),"",IFERROR(INDEX(ca_type,MATCH(D2356,ca_name,0))&amp;"",""))</f>
        <v/>
      </c>
      <c r="I2356" s="58" t="str">
        <f>IF(COUNTA(A2356:E2356)=0,"",IF(N(A2356)&lt;=0,"Date manquante ou invalide",IF(B2356="","Équipe manquante",IF(ISNA(MATCH(B2356,eq_code,0)),"Équipe inconnue",IF(C2356="","Poste manquant",IF(ISNA(MATCH(C2356,po_code,0)),"Poste inconnu",IF(D2356="","Cause manquante",IF(ISNA(MATCH(D2356,ca_name,0)),"Cause inconnue",IF(H2356="","Cause à compléter dans Paramètres",IF(OR(NOT(ISNUMBER(E2356)),N(E2356)&lt;=0,N(E2356)&gt;1440),"Durée invalide",IF(COUNTIFS(sj_date,A2356,sj_eq,B2356,sj_po,C2356)=0,"Pas de saisie journalière ce jour-là","OK")))))))))))</f>
        <v/>
      </c>
      <c r="J2356">
        <f>IF(OR(I2356="OK",I2356="Pas de saisie journalière ce jour-là"),E2356,0)</f>
        <v>0.0</v>
      </c>
      <c r="K2356">
        <f>IF(AND(J2356&gt;0,A2356&gt;=p_from,A2356&lt;=p_to),1,0)</f>
        <v>0.0</v>
      </c>
      <c r="L2356">
        <f>IF(AND(K2356=1,OR(pa_po="",C2356=pa_po),OR(pa_eq="",B2356=pa_eq)),1,0)</f>
        <v>0.0</v>
      </c>
    </row>
    <row r="2357">
      <c r="A2357" s="51" t="n"/>
      <c r="B2357" s="52" t="n"/>
      <c r="C2357" s="52" t="n"/>
      <c r="D2357" s="53" t="n"/>
      <c r="E2357" s="60" t="n"/>
      <c r="F2357" s="53" t="n"/>
      <c r="G2357" s="61" t="str">
        <f>IF(OR(COUNTA(A2357:E2357)=0,D2357=""),"",IFERROR(INDEX(ca_fam,MATCH(D2357,ca_name,0))&amp;"",""))</f>
        <v/>
      </c>
      <c r="H2357" s="58" t="str">
        <f>IF(OR(COUNTA(A2357:E2357)=0,D2357=""),"",IFERROR(INDEX(ca_type,MATCH(D2357,ca_name,0))&amp;"",""))</f>
        <v/>
      </c>
      <c r="I2357" s="58" t="str">
        <f>IF(COUNTA(A2357:E2357)=0,"",IF(N(A2357)&lt;=0,"Date manquante ou invalide",IF(B2357="","Équipe manquante",IF(ISNA(MATCH(B2357,eq_code,0)),"Équipe inconnue",IF(C2357="","Poste manquant",IF(ISNA(MATCH(C2357,po_code,0)),"Poste inconnu",IF(D2357="","Cause manquante",IF(ISNA(MATCH(D2357,ca_name,0)),"Cause inconnue",IF(H2357="","Cause à compléter dans Paramètres",IF(OR(NOT(ISNUMBER(E2357)),N(E2357)&lt;=0,N(E2357)&gt;1440),"Durée invalide",IF(COUNTIFS(sj_date,A2357,sj_eq,B2357,sj_po,C2357)=0,"Pas de saisie journalière ce jour-là","OK")))))))))))</f>
        <v/>
      </c>
      <c r="J2357">
        <f>IF(OR(I2357="OK",I2357="Pas de saisie journalière ce jour-là"),E2357,0)</f>
        <v>0.0</v>
      </c>
      <c r="K2357">
        <f>IF(AND(J2357&gt;0,A2357&gt;=p_from,A2357&lt;=p_to),1,0)</f>
        <v>0.0</v>
      </c>
      <c r="L2357">
        <f>IF(AND(K2357=1,OR(pa_po="",C2357=pa_po),OR(pa_eq="",B2357=pa_eq)),1,0)</f>
        <v>0.0</v>
      </c>
    </row>
    <row r="2358">
      <c r="A2358" s="51" t="n"/>
      <c r="B2358" s="52" t="n"/>
      <c r="C2358" s="52" t="n"/>
      <c r="D2358" s="53" t="n"/>
      <c r="E2358" s="60" t="n"/>
      <c r="F2358" s="53" t="n"/>
      <c r="G2358" s="61" t="str">
        <f>IF(OR(COUNTA(A2358:E2358)=0,D2358=""),"",IFERROR(INDEX(ca_fam,MATCH(D2358,ca_name,0))&amp;"",""))</f>
        <v/>
      </c>
      <c r="H2358" s="58" t="str">
        <f>IF(OR(COUNTA(A2358:E2358)=0,D2358=""),"",IFERROR(INDEX(ca_type,MATCH(D2358,ca_name,0))&amp;"",""))</f>
        <v/>
      </c>
      <c r="I2358" s="58" t="str">
        <f>IF(COUNTA(A2358:E2358)=0,"",IF(N(A2358)&lt;=0,"Date manquante ou invalide",IF(B2358="","Équipe manquante",IF(ISNA(MATCH(B2358,eq_code,0)),"Équipe inconnue",IF(C2358="","Poste manquant",IF(ISNA(MATCH(C2358,po_code,0)),"Poste inconnu",IF(D2358="","Cause manquante",IF(ISNA(MATCH(D2358,ca_name,0)),"Cause inconnue",IF(H2358="","Cause à compléter dans Paramètres",IF(OR(NOT(ISNUMBER(E2358)),N(E2358)&lt;=0,N(E2358)&gt;1440),"Durée invalide",IF(COUNTIFS(sj_date,A2358,sj_eq,B2358,sj_po,C2358)=0,"Pas de saisie journalière ce jour-là","OK")))))))))))</f>
        <v/>
      </c>
      <c r="J2358">
        <f>IF(OR(I2358="OK",I2358="Pas de saisie journalière ce jour-là"),E2358,0)</f>
        <v>0.0</v>
      </c>
      <c r="K2358">
        <f>IF(AND(J2358&gt;0,A2358&gt;=p_from,A2358&lt;=p_to),1,0)</f>
        <v>0.0</v>
      </c>
      <c r="L2358">
        <f>IF(AND(K2358=1,OR(pa_po="",C2358=pa_po),OR(pa_eq="",B2358=pa_eq)),1,0)</f>
        <v>0.0</v>
      </c>
    </row>
    <row r="2359">
      <c r="A2359" s="51" t="n"/>
      <c r="B2359" s="52" t="n"/>
      <c r="C2359" s="52" t="n"/>
      <c r="D2359" s="53" t="n"/>
      <c r="E2359" s="60" t="n"/>
      <c r="F2359" s="53" t="n"/>
      <c r="G2359" s="61" t="str">
        <f>IF(OR(COUNTA(A2359:E2359)=0,D2359=""),"",IFERROR(INDEX(ca_fam,MATCH(D2359,ca_name,0))&amp;"",""))</f>
        <v/>
      </c>
      <c r="H2359" s="58" t="str">
        <f>IF(OR(COUNTA(A2359:E2359)=0,D2359=""),"",IFERROR(INDEX(ca_type,MATCH(D2359,ca_name,0))&amp;"",""))</f>
        <v/>
      </c>
      <c r="I2359" s="58" t="str">
        <f>IF(COUNTA(A2359:E2359)=0,"",IF(N(A2359)&lt;=0,"Date manquante ou invalide",IF(B2359="","Équipe manquante",IF(ISNA(MATCH(B2359,eq_code,0)),"Équipe inconnue",IF(C2359="","Poste manquant",IF(ISNA(MATCH(C2359,po_code,0)),"Poste inconnu",IF(D2359="","Cause manquante",IF(ISNA(MATCH(D2359,ca_name,0)),"Cause inconnue",IF(H2359="","Cause à compléter dans Paramètres",IF(OR(NOT(ISNUMBER(E2359)),N(E2359)&lt;=0,N(E2359)&gt;1440),"Durée invalide",IF(COUNTIFS(sj_date,A2359,sj_eq,B2359,sj_po,C2359)=0,"Pas de saisie journalière ce jour-là","OK")))))))))))</f>
        <v/>
      </c>
      <c r="J2359">
        <f>IF(OR(I2359="OK",I2359="Pas de saisie journalière ce jour-là"),E2359,0)</f>
        <v>0.0</v>
      </c>
      <c r="K2359">
        <f>IF(AND(J2359&gt;0,A2359&gt;=p_from,A2359&lt;=p_to),1,0)</f>
        <v>0.0</v>
      </c>
      <c r="L2359">
        <f>IF(AND(K2359=1,OR(pa_po="",C2359=pa_po),OR(pa_eq="",B2359=pa_eq)),1,0)</f>
        <v>0.0</v>
      </c>
    </row>
    <row r="2360">
      <c r="A2360" s="51" t="n"/>
      <c r="B2360" s="52" t="n"/>
      <c r="C2360" s="52" t="n"/>
      <c r="D2360" s="53" t="n"/>
      <c r="E2360" s="60" t="n"/>
      <c r="F2360" s="53" t="n"/>
      <c r="G2360" s="61" t="str">
        <f>IF(OR(COUNTA(A2360:E2360)=0,D2360=""),"",IFERROR(INDEX(ca_fam,MATCH(D2360,ca_name,0))&amp;"",""))</f>
        <v/>
      </c>
      <c r="H2360" s="58" t="str">
        <f>IF(OR(COUNTA(A2360:E2360)=0,D2360=""),"",IFERROR(INDEX(ca_type,MATCH(D2360,ca_name,0))&amp;"",""))</f>
        <v/>
      </c>
      <c r="I2360" s="58" t="str">
        <f>IF(COUNTA(A2360:E2360)=0,"",IF(N(A2360)&lt;=0,"Date manquante ou invalide",IF(B2360="","Équipe manquante",IF(ISNA(MATCH(B2360,eq_code,0)),"Équipe inconnue",IF(C2360="","Poste manquant",IF(ISNA(MATCH(C2360,po_code,0)),"Poste inconnu",IF(D2360="","Cause manquante",IF(ISNA(MATCH(D2360,ca_name,0)),"Cause inconnue",IF(H2360="","Cause à compléter dans Paramètres",IF(OR(NOT(ISNUMBER(E2360)),N(E2360)&lt;=0,N(E2360)&gt;1440),"Durée invalide",IF(COUNTIFS(sj_date,A2360,sj_eq,B2360,sj_po,C2360)=0,"Pas de saisie journalière ce jour-là","OK")))))))))))</f>
        <v/>
      </c>
      <c r="J2360">
        <f>IF(OR(I2360="OK",I2360="Pas de saisie journalière ce jour-là"),E2360,0)</f>
        <v>0.0</v>
      </c>
      <c r="K2360">
        <f>IF(AND(J2360&gt;0,A2360&gt;=p_from,A2360&lt;=p_to),1,0)</f>
        <v>0.0</v>
      </c>
      <c r="L2360">
        <f>IF(AND(K2360=1,OR(pa_po="",C2360=pa_po),OR(pa_eq="",B2360=pa_eq)),1,0)</f>
        <v>0.0</v>
      </c>
    </row>
    <row r="2361">
      <c r="A2361" s="51" t="n"/>
      <c r="B2361" s="52" t="n"/>
      <c r="C2361" s="52" t="n"/>
      <c r="D2361" s="53" t="n"/>
      <c r="E2361" s="60" t="n"/>
      <c r="F2361" s="53" t="n"/>
      <c r="G2361" s="61" t="str">
        <f>IF(OR(COUNTA(A2361:E2361)=0,D2361=""),"",IFERROR(INDEX(ca_fam,MATCH(D2361,ca_name,0))&amp;"",""))</f>
        <v/>
      </c>
      <c r="H2361" s="58" t="str">
        <f>IF(OR(COUNTA(A2361:E2361)=0,D2361=""),"",IFERROR(INDEX(ca_type,MATCH(D2361,ca_name,0))&amp;"",""))</f>
        <v/>
      </c>
      <c r="I2361" s="58" t="str">
        <f>IF(COUNTA(A2361:E2361)=0,"",IF(N(A2361)&lt;=0,"Date manquante ou invalide",IF(B2361="","Équipe manquante",IF(ISNA(MATCH(B2361,eq_code,0)),"Équipe inconnue",IF(C2361="","Poste manquant",IF(ISNA(MATCH(C2361,po_code,0)),"Poste inconnu",IF(D2361="","Cause manquante",IF(ISNA(MATCH(D2361,ca_name,0)),"Cause inconnue",IF(H2361="","Cause à compléter dans Paramètres",IF(OR(NOT(ISNUMBER(E2361)),N(E2361)&lt;=0,N(E2361)&gt;1440),"Durée invalide",IF(COUNTIFS(sj_date,A2361,sj_eq,B2361,sj_po,C2361)=0,"Pas de saisie journalière ce jour-là","OK")))))))))))</f>
        <v/>
      </c>
      <c r="J2361">
        <f>IF(OR(I2361="OK",I2361="Pas de saisie journalière ce jour-là"),E2361,0)</f>
        <v>0.0</v>
      </c>
      <c r="K2361">
        <f>IF(AND(J2361&gt;0,A2361&gt;=p_from,A2361&lt;=p_to),1,0)</f>
        <v>0.0</v>
      </c>
      <c r="L2361">
        <f>IF(AND(K2361=1,OR(pa_po="",C2361=pa_po),OR(pa_eq="",B2361=pa_eq)),1,0)</f>
        <v>0.0</v>
      </c>
    </row>
    <row r="2362">
      <c r="A2362" s="51" t="n"/>
      <c r="B2362" s="52" t="n"/>
      <c r="C2362" s="52" t="n"/>
      <c r="D2362" s="53" t="n"/>
      <c r="E2362" s="60" t="n"/>
      <c r="F2362" s="53" t="n"/>
      <c r="G2362" s="61" t="str">
        <f>IF(OR(COUNTA(A2362:E2362)=0,D2362=""),"",IFERROR(INDEX(ca_fam,MATCH(D2362,ca_name,0))&amp;"",""))</f>
        <v/>
      </c>
      <c r="H2362" s="58" t="str">
        <f>IF(OR(COUNTA(A2362:E2362)=0,D2362=""),"",IFERROR(INDEX(ca_type,MATCH(D2362,ca_name,0))&amp;"",""))</f>
        <v/>
      </c>
      <c r="I2362" s="58" t="str">
        <f>IF(COUNTA(A2362:E2362)=0,"",IF(N(A2362)&lt;=0,"Date manquante ou invalide",IF(B2362="","Équipe manquante",IF(ISNA(MATCH(B2362,eq_code,0)),"Équipe inconnue",IF(C2362="","Poste manquant",IF(ISNA(MATCH(C2362,po_code,0)),"Poste inconnu",IF(D2362="","Cause manquante",IF(ISNA(MATCH(D2362,ca_name,0)),"Cause inconnue",IF(H2362="","Cause à compléter dans Paramètres",IF(OR(NOT(ISNUMBER(E2362)),N(E2362)&lt;=0,N(E2362)&gt;1440),"Durée invalide",IF(COUNTIFS(sj_date,A2362,sj_eq,B2362,sj_po,C2362)=0,"Pas de saisie journalière ce jour-là","OK")))))))))))</f>
        <v/>
      </c>
      <c r="J2362">
        <f>IF(OR(I2362="OK",I2362="Pas de saisie journalière ce jour-là"),E2362,0)</f>
        <v>0.0</v>
      </c>
      <c r="K2362">
        <f>IF(AND(J2362&gt;0,A2362&gt;=p_from,A2362&lt;=p_to),1,0)</f>
        <v>0.0</v>
      </c>
      <c r="L2362">
        <f>IF(AND(K2362=1,OR(pa_po="",C2362=pa_po),OR(pa_eq="",B2362=pa_eq)),1,0)</f>
        <v>0.0</v>
      </c>
    </row>
    <row r="2363">
      <c r="A2363" s="51" t="n"/>
      <c r="B2363" s="52" t="n"/>
      <c r="C2363" s="52" t="n"/>
      <c r="D2363" s="53" t="n"/>
      <c r="E2363" s="60" t="n"/>
      <c r="F2363" s="53" t="n"/>
      <c r="G2363" s="61" t="str">
        <f>IF(OR(COUNTA(A2363:E2363)=0,D2363=""),"",IFERROR(INDEX(ca_fam,MATCH(D2363,ca_name,0))&amp;"",""))</f>
        <v/>
      </c>
      <c r="H2363" s="58" t="str">
        <f>IF(OR(COUNTA(A2363:E2363)=0,D2363=""),"",IFERROR(INDEX(ca_type,MATCH(D2363,ca_name,0))&amp;"",""))</f>
        <v/>
      </c>
      <c r="I2363" s="58" t="str">
        <f>IF(COUNTA(A2363:E2363)=0,"",IF(N(A2363)&lt;=0,"Date manquante ou invalide",IF(B2363="","Équipe manquante",IF(ISNA(MATCH(B2363,eq_code,0)),"Équipe inconnue",IF(C2363="","Poste manquant",IF(ISNA(MATCH(C2363,po_code,0)),"Poste inconnu",IF(D2363="","Cause manquante",IF(ISNA(MATCH(D2363,ca_name,0)),"Cause inconnue",IF(H2363="","Cause à compléter dans Paramètres",IF(OR(NOT(ISNUMBER(E2363)),N(E2363)&lt;=0,N(E2363)&gt;1440),"Durée invalide",IF(COUNTIFS(sj_date,A2363,sj_eq,B2363,sj_po,C2363)=0,"Pas de saisie journalière ce jour-là","OK")))))))))))</f>
        <v/>
      </c>
      <c r="J2363">
        <f>IF(OR(I2363="OK",I2363="Pas de saisie journalière ce jour-là"),E2363,0)</f>
        <v>0.0</v>
      </c>
      <c r="K2363">
        <f>IF(AND(J2363&gt;0,A2363&gt;=p_from,A2363&lt;=p_to),1,0)</f>
        <v>0.0</v>
      </c>
      <c r="L2363">
        <f>IF(AND(K2363=1,OR(pa_po="",C2363=pa_po),OR(pa_eq="",B2363=pa_eq)),1,0)</f>
        <v>0.0</v>
      </c>
    </row>
    <row r="2364">
      <c r="A2364" s="51" t="n"/>
      <c r="B2364" s="52" t="n"/>
      <c r="C2364" s="52" t="n"/>
      <c r="D2364" s="53" t="n"/>
      <c r="E2364" s="60" t="n"/>
      <c r="F2364" s="53" t="n"/>
      <c r="G2364" s="61" t="str">
        <f>IF(OR(COUNTA(A2364:E2364)=0,D2364=""),"",IFERROR(INDEX(ca_fam,MATCH(D2364,ca_name,0))&amp;"",""))</f>
        <v/>
      </c>
      <c r="H2364" s="58" t="str">
        <f>IF(OR(COUNTA(A2364:E2364)=0,D2364=""),"",IFERROR(INDEX(ca_type,MATCH(D2364,ca_name,0))&amp;"",""))</f>
        <v/>
      </c>
      <c r="I2364" s="58" t="str">
        <f>IF(COUNTA(A2364:E2364)=0,"",IF(N(A2364)&lt;=0,"Date manquante ou invalide",IF(B2364="","Équipe manquante",IF(ISNA(MATCH(B2364,eq_code,0)),"Équipe inconnue",IF(C2364="","Poste manquant",IF(ISNA(MATCH(C2364,po_code,0)),"Poste inconnu",IF(D2364="","Cause manquante",IF(ISNA(MATCH(D2364,ca_name,0)),"Cause inconnue",IF(H2364="","Cause à compléter dans Paramètres",IF(OR(NOT(ISNUMBER(E2364)),N(E2364)&lt;=0,N(E2364)&gt;1440),"Durée invalide",IF(COUNTIFS(sj_date,A2364,sj_eq,B2364,sj_po,C2364)=0,"Pas de saisie journalière ce jour-là","OK")))))))))))</f>
        <v/>
      </c>
      <c r="J2364">
        <f>IF(OR(I2364="OK",I2364="Pas de saisie journalière ce jour-là"),E2364,0)</f>
        <v>0.0</v>
      </c>
      <c r="K2364">
        <f>IF(AND(J2364&gt;0,A2364&gt;=p_from,A2364&lt;=p_to),1,0)</f>
        <v>0.0</v>
      </c>
      <c r="L2364">
        <f>IF(AND(K2364=1,OR(pa_po="",C2364=pa_po),OR(pa_eq="",B2364=pa_eq)),1,0)</f>
        <v>0.0</v>
      </c>
    </row>
    <row r="2365">
      <c r="A2365" s="51" t="n"/>
      <c r="B2365" s="52" t="n"/>
      <c r="C2365" s="52" t="n"/>
      <c r="D2365" s="53" t="n"/>
      <c r="E2365" s="60" t="n"/>
      <c r="F2365" s="53" t="n"/>
      <c r="G2365" s="61" t="str">
        <f>IF(OR(COUNTA(A2365:E2365)=0,D2365=""),"",IFERROR(INDEX(ca_fam,MATCH(D2365,ca_name,0))&amp;"",""))</f>
        <v/>
      </c>
      <c r="H2365" s="58" t="str">
        <f>IF(OR(COUNTA(A2365:E2365)=0,D2365=""),"",IFERROR(INDEX(ca_type,MATCH(D2365,ca_name,0))&amp;"",""))</f>
        <v/>
      </c>
      <c r="I2365" s="58" t="str">
        <f>IF(COUNTA(A2365:E2365)=0,"",IF(N(A2365)&lt;=0,"Date manquante ou invalide",IF(B2365="","Équipe manquante",IF(ISNA(MATCH(B2365,eq_code,0)),"Équipe inconnue",IF(C2365="","Poste manquant",IF(ISNA(MATCH(C2365,po_code,0)),"Poste inconnu",IF(D2365="","Cause manquante",IF(ISNA(MATCH(D2365,ca_name,0)),"Cause inconnue",IF(H2365="","Cause à compléter dans Paramètres",IF(OR(NOT(ISNUMBER(E2365)),N(E2365)&lt;=0,N(E2365)&gt;1440),"Durée invalide",IF(COUNTIFS(sj_date,A2365,sj_eq,B2365,sj_po,C2365)=0,"Pas de saisie journalière ce jour-là","OK")))))))))))</f>
        <v/>
      </c>
      <c r="J2365">
        <f>IF(OR(I2365="OK",I2365="Pas de saisie journalière ce jour-là"),E2365,0)</f>
        <v>0.0</v>
      </c>
      <c r="K2365">
        <f>IF(AND(J2365&gt;0,A2365&gt;=p_from,A2365&lt;=p_to),1,0)</f>
        <v>0.0</v>
      </c>
      <c r="L2365">
        <f>IF(AND(K2365=1,OR(pa_po="",C2365=pa_po),OR(pa_eq="",B2365=pa_eq)),1,0)</f>
        <v>0.0</v>
      </c>
    </row>
    <row r="2366">
      <c r="A2366" s="51" t="n"/>
      <c r="B2366" s="52" t="n"/>
      <c r="C2366" s="52" t="n"/>
      <c r="D2366" s="53" t="n"/>
      <c r="E2366" s="60" t="n"/>
      <c r="F2366" s="53" t="n"/>
      <c r="G2366" s="61" t="str">
        <f>IF(OR(COUNTA(A2366:E2366)=0,D2366=""),"",IFERROR(INDEX(ca_fam,MATCH(D2366,ca_name,0))&amp;"",""))</f>
        <v/>
      </c>
      <c r="H2366" s="58" t="str">
        <f>IF(OR(COUNTA(A2366:E2366)=0,D2366=""),"",IFERROR(INDEX(ca_type,MATCH(D2366,ca_name,0))&amp;"",""))</f>
        <v/>
      </c>
      <c r="I2366" s="58" t="str">
        <f>IF(COUNTA(A2366:E2366)=0,"",IF(N(A2366)&lt;=0,"Date manquante ou invalide",IF(B2366="","Équipe manquante",IF(ISNA(MATCH(B2366,eq_code,0)),"Équipe inconnue",IF(C2366="","Poste manquant",IF(ISNA(MATCH(C2366,po_code,0)),"Poste inconnu",IF(D2366="","Cause manquante",IF(ISNA(MATCH(D2366,ca_name,0)),"Cause inconnue",IF(H2366="","Cause à compléter dans Paramètres",IF(OR(NOT(ISNUMBER(E2366)),N(E2366)&lt;=0,N(E2366)&gt;1440),"Durée invalide",IF(COUNTIFS(sj_date,A2366,sj_eq,B2366,sj_po,C2366)=0,"Pas de saisie journalière ce jour-là","OK")))))))))))</f>
        <v/>
      </c>
      <c r="J2366">
        <f>IF(OR(I2366="OK",I2366="Pas de saisie journalière ce jour-là"),E2366,0)</f>
        <v>0.0</v>
      </c>
      <c r="K2366">
        <f>IF(AND(J2366&gt;0,A2366&gt;=p_from,A2366&lt;=p_to),1,0)</f>
        <v>0.0</v>
      </c>
      <c r="L2366">
        <f>IF(AND(K2366=1,OR(pa_po="",C2366=pa_po),OR(pa_eq="",B2366=pa_eq)),1,0)</f>
        <v>0.0</v>
      </c>
    </row>
    <row r="2367">
      <c r="A2367" s="51" t="n"/>
      <c r="B2367" s="52" t="n"/>
      <c r="C2367" s="52" t="n"/>
      <c r="D2367" s="53" t="n"/>
      <c r="E2367" s="60" t="n"/>
      <c r="F2367" s="53" t="n"/>
      <c r="G2367" s="61" t="str">
        <f>IF(OR(COUNTA(A2367:E2367)=0,D2367=""),"",IFERROR(INDEX(ca_fam,MATCH(D2367,ca_name,0))&amp;"",""))</f>
        <v/>
      </c>
      <c r="H2367" s="58" t="str">
        <f>IF(OR(COUNTA(A2367:E2367)=0,D2367=""),"",IFERROR(INDEX(ca_type,MATCH(D2367,ca_name,0))&amp;"",""))</f>
        <v/>
      </c>
      <c r="I2367" s="58" t="str">
        <f>IF(COUNTA(A2367:E2367)=0,"",IF(N(A2367)&lt;=0,"Date manquante ou invalide",IF(B2367="","Équipe manquante",IF(ISNA(MATCH(B2367,eq_code,0)),"Équipe inconnue",IF(C2367="","Poste manquant",IF(ISNA(MATCH(C2367,po_code,0)),"Poste inconnu",IF(D2367="","Cause manquante",IF(ISNA(MATCH(D2367,ca_name,0)),"Cause inconnue",IF(H2367="","Cause à compléter dans Paramètres",IF(OR(NOT(ISNUMBER(E2367)),N(E2367)&lt;=0,N(E2367)&gt;1440),"Durée invalide",IF(COUNTIFS(sj_date,A2367,sj_eq,B2367,sj_po,C2367)=0,"Pas de saisie journalière ce jour-là","OK")))))))))))</f>
        <v/>
      </c>
      <c r="J2367">
        <f>IF(OR(I2367="OK",I2367="Pas de saisie journalière ce jour-là"),E2367,0)</f>
        <v>0.0</v>
      </c>
      <c r="K2367">
        <f>IF(AND(J2367&gt;0,A2367&gt;=p_from,A2367&lt;=p_to),1,0)</f>
        <v>0.0</v>
      </c>
      <c r="L2367">
        <f>IF(AND(K2367=1,OR(pa_po="",C2367=pa_po),OR(pa_eq="",B2367=pa_eq)),1,0)</f>
        <v>0.0</v>
      </c>
    </row>
    <row r="2368">
      <c r="A2368" s="51" t="n"/>
      <c r="B2368" s="52" t="n"/>
      <c r="C2368" s="52" t="n"/>
      <c r="D2368" s="53" t="n"/>
      <c r="E2368" s="60" t="n"/>
      <c r="F2368" s="53" t="n"/>
      <c r="G2368" s="61" t="str">
        <f>IF(OR(COUNTA(A2368:E2368)=0,D2368=""),"",IFERROR(INDEX(ca_fam,MATCH(D2368,ca_name,0))&amp;"",""))</f>
        <v/>
      </c>
      <c r="H2368" s="58" t="str">
        <f>IF(OR(COUNTA(A2368:E2368)=0,D2368=""),"",IFERROR(INDEX(ca_type,MATCH(D2368,ca_name,0))&amp;"",""))</f>
        <v/>
      </c>
      <c r="I2368" s="58" t="str">
        <f>IF(COUNTA(A2368:E2368)=0,"",IF(N(A2368)&lt;=0,"Date manquante ou invalide",IF(B2368="","Équipe manquante",IF(ISNA(MATCH(B2368,eq_code,0)),"Équipe inconnue",IF(C2368="","Poste manquant",IF(ISNA(MATCH(C2368,po_code,0)),"Poste inconnu",IF(D2368="","Cause manquante",IF(ISNA(MATCH(D2368,ca_name,0)),"Cause inconnue",IF(H2368="","Cause à compléter dans Paramètres",IF(OR(NOT(ISNUMBER(E2368)),N(E2368)&lt;=0,N(E2368)&gt;1440),"Durée invalide",IF(COUNTIFS(sj_date,A2368,sj_eq,B2368,sj_po,C2368)=0,"Pas de saisie journalière ce jour-là","OK")))))))))))</f>
        <v/>
      </c>
      <c r="J2368">
        <f>IF(OR(I2368="OK",I2368="Pas de saisie journalière ce jour-là"),E2368,0)</f>
        <v>0.0</v>
      </c>
      <c r="K2368">
        <f>IF(AND(J2368&gt;0,A2368&gt;=p_from,A2368&lt;=p_to),1,0)</f>
        <v>0.0</v>
      </c>
      <c r="L2368">
        <f>IF(AND(K2368=1,OR(pa_po="",C2368=pa_po),OR(pa_eq="",B2368=pa_eq)),1,0)</f>
        <v>0.0</v>
      </c>
    </row>
    <row r="2369">
      <c r="A2369" s="51" t="n"/>
      <c r="B2369" s="52" t="n"/>
      <c r="C2369" s="52" t="n"/>
      <c r="D2369" s="53" t="n"/>
      <c r="E2369" s="60" t="n"/>
      <c r="F2369" s="53" t="n"/>
      <c r="G2369" s="61" t="str">
        <f>IF(OR(COUNTA(A2369:E2369)=0,D2369=""),"",IFERROR(INDEX(ca_fam,MATCH(D2369,ca_name,0))&amp;"",""))</f>
        <v/>
      </c>
      <c r="H2369" s="58" t="str">
        <f>IF(OR(COUNTA(A2369:E2369)=0,D2369=""),"",IFERROR(INDEX(ca_type,MATCH(D2369,ca_name,0))&amp;"",""))</f>
        <v/>
      </c>
      <c r="I2369" s="58" t="str">
        <f>IF(COUNTA(A2369:E2369)=0,"",IF(N(A2369)&lt;=0,"Date manquante ou invalide",IF(B2369="","Équipe manquante",IF(ISNA(MATCH(B2369,eq_code,0)),"Équipe inconnue",IF(C2369="","Poste manquant",IF(ISNA(MATCH(C2369,po_code,0)),"Poste inconnu",IF(D2369="","Cause manquante",IF(ISNA(MATCH(D2369,ca_name,0)),"Cause inconnue",IF(H2369="","Cause à compléter dans Paramètres",IF(OR(NOT(ISNUMBER(E2369)),N(E2369)&lt;=0,N(E2369)&gt;1440),"Durée invalide",IF(COUNTIFS(sj_date,A2369,sj_eq,B2369,sj_po,C2369)=0,"Pas de saisie journalière ce jour-là","OK")))))))))))</f>
        <v/>
      </c>
      <c r="J2369">
        <f>IF(OR(I2369="OK",I2369="Pas de saisie journalière ce jour-là"),E2369,0)</f>
        <v>0.0</v>
      </c>
      <c r="K2369">
        <f>IF(AND(J2369&gt;0,A2369&gt;=p_from,A2369&lt;=p_to),1,0)</f>
        <v>0.0</v>
      </c>
      <c r="L2369">
        <f>IF(AND(K2369=1,OR(pa_po="",C2369=pa_po),OR(pa_eq="",B2369=pa_eq)),1,0)</f>
        <v>0.0</v>
      </c>
    </row>
    <row r="2370">
      <c r="A2370" s="51" t="n"/>
      <c r="B2370" s="52" t="n"/>
      <c r="C2370" s="52" t="n"/>
      <c r="D2370" s="53" t="n"/>
      <c r="E2370" s="60" t="n"/>
      <c r="F2370" s="53" t="n"/>
      <c r="G2370" s="61" t="str">
        <f>IF(OR(COUNTA(A2370:E2370)=0,D2370=""),"",IFERROR(INDEX(ca_fam,MATCH(D2370,ca_name,0))&amp;"",""))</f>
        <v/>
      </c>
      <c r="H2370" s="58" t="str">
        <f>IF(OR(COUNTA(A2370:E2370)=0,D2370=""),"",IFERROR(INDEX(ca_type,MATCH(D2370,ca_name,0))&amp;"",""))</f>
        <v/>
      </c>
      <c r="I2370" s="58" t="str">
        <f>IF(COUNTA(A2370:E2370)=0,"",IF(N(A2370)&lt;=0,"Date manquante ou invalide",IF(B2370="","Équipe manquante",IF(ISNA(MATCH(B2370,eq_code,0)),"Équipe inconnue",IF(C2370="","Poste manquant",IF(ISNA(MATCH(C2370,po_code,0)),"Poste inconnu",IF(D2370="","Cause manquante",IF(ISNA(MATCH(D2370,ca_name,0)),"Cause inconnue",IF(H2370="","Cause à compléter dans Paramètres",IF(OR(NOT(ISNUMBER(E2370)),N(E2370)&lt;=0,N(E2370)&gt;1440),"Durée invalide",IF(COUNTIFS(sj_date,A2370,sj_eq,B2370,sj_po,C2370)=0,"Pas de saisie journalière ce jour-là","OK")))))))))))</f>
        <v/>
      </c>
      <c r="J2370">
        <f>IF(OR(I2370="OK",I2370="Pas de saisie journalière ce jour-là"),E2370,0)</f>
        <v>0.0</v>
      </c>
      <c r="K2370">
        <f>IF(AND(J2370&gt;0,A2370&gt;=p_from,A2370&lt;=p_to),1,0)</f>
        <v>0.0</v>
      </c>
      <c r="L2370">
        <f>IF(AND(K2370=1,OR(pa_po="",C2370=pa_po),OR(pa_eq="",B2370=pa_eq)),1,0)</f>
        <v>0.0</v>
      </c>
    </row>
    <row r="2371">
      <c r="A2371" s="51" t="n"/>
      <c r="B2371" s="52" t="n"/>
      <c r="C2371" s="52" t="n"/>
      <c r="D2371" s="53" t="n"/>
      <c r="E2371" s="60" t="n"/>
      <c r="F2371" s="53" t="n"/>
      <c r="G2371" s="61" t="str">
        <f>IF(OR(COUNTA(A2371:E2371)=0,D2371=""),"",IFERROR(INDEX(ca_fam,MATCH(D2371,ca_name,0))&amp;"",""))</f>
        <v/>
      </c>
      <c r="H2371" s="58" t="str">
        <f>IF(OR(COUNTA(A2371:E2371)=0,D2371=""),"",IFERROR(INDEX(ca_type,MATCH(D2371,ca_name,0))&amp;"",""))</f>
        <v/>
      </c>
      <c r="I2371" s="58" t="str">
        <f>IF(COUNTA(A2371:E2371)=0,"",IF(N(A2371)&lt;=0,"Date manquante ou invalide",IF(B2371="","Équipe manquante",IF(ISNA(MATCH(B2371,eq_code,0)),"Équipe inconnue",IF(C2371="","Poste manquant",IF(ISNA(MATCH(C2371,po_code,0)),"Poste inconnu",IF(D2371="","Cause manquante",IF(ISNA(MATCH(D2371,ca_name,0)),"Cause inconnue",IF(H2371="","Cause à compléter dans Paramètres",IF(OR(NOT(ISNUMBER(E2371)),N(E2371)&lt;=0,N(E2371)&gt;1440),"Durée invalide",IF(COUNTIFS(sj_date,A2371,sj_eq,B2371,sj_po,C2371)=0,"Pas de saisie journalière ce jour-là","OK")))))))))))</f>
        <v/>
      </c>
      <c r="J2371">
        <f>IF(OR(I2371="OK",I2371="Pas de saisie journalière ce jour-là"),E2371,0)</f>
        <v>0.0</v>
      </c>
      <c r="K2371">
        <f>IF(AND(J2371&gt;0,A2371&gt;=p_from,A2371&lt;=p_to),1,0)</f>
        <v>0.0</v>
      </c>
      <c r="L2371">
        <f>IF(AND(K2371=1,OR(pa_po="",C2371=pa_po),OR(pa_eq="",B2371=pa_eq)),1,0)</f>
        <v>0.0</v>
      </c>
    </row>
    <row r="2372">
      <c r="A2372" s="51" t="n"/>
      <c r="B2372" s="52" t="n"/>
      <c r="C2372" s="52" t="n"/>
      <c r="D2372" s="53" t="n"/>
      <c r="E2372" s="60" t="n"/>
      <c r="F2372" s="53" t="n"/>
      <c r="G2372" s="61" t="str">
        <f>IF(OR(COUNTA(A2372:E2372)=0,D2372=""),"",IFERROR(INDEX(ca_fam,MATCH(D2372,ca_name,0))&amp;"",""))</f>
        <v/>
      </c>
      <c r="H2372" s="58" t="str">
        <f>IF(OR(COUNTA(A2372:E2372)=0,D2372=""),"",IFERROR(INDEX(ca_type,MATCH(D2372,ca_name,0))&amp;"",""))</f>
        <v/>
      </c>
      <c r="I2372" s="58" t="str">
        <f>IF(COUNTA(A2372:E2372)=0,"",IF(N(A2372)&lt;=0,"Date manquante ou invalide",IF(B2372="","Équipe manquante",IF(ISNA(MATCH(B2372,eq_code,0)),"Équipe inconnue",IF(C2372="","Poste manquant",IF(ISNA(MATCH(C2372,po_code,0)),"Poste inconnu",IF(D2372="","Cause manquante",IF(ISNA(MATCH(D2372,ca_name,0)),"Cause inconnue",IF(H2372="","Cause à compléter dans Paramètres",IF(OR(NOT(ISNUMBER(E2372)),N(E2372)&lt;=0,N(E2372)&gt;1440),"Durée invalide",IF(COUNTIFS(sj_date,A2372,sj_eq,B2372,sj_po,C2372)=0,"Pas de saisie journalière ce jour-là","OK")))))))))))</f>
        <v/>
      </c>
      <c r="J2372">
        <f>IF(OR(I2372="OK",I2372="Pas de saisie journalière ce jour-là"),E2372,0)</f>
        <v>0.0</v>
      </c>
      <c r="K2372">
        <f>IF(AND(J2372&gt;0,A2372&gt;=p_from,A2372&lt;=p_to),1,0)</f>
        <v>0.0</v>
      </c>
      <c r="L2372">
        <f>IF(AND(K2372=1,OR(pa_po="",C2372=pa_po),OR(pa_eq="",B2372=pa_eq)),1,0)</f>
        <v>0.0</v>
      </c>
    </row>
    <row r="2373">
      <c r="A2373" s="51" t="n"/>
      <c r="B2373" s="52" t="n"/>
      <c r="C2373" s="52" t="n"/>
      <c r="D2373" s="53" t="n"/>
      <c r="E2373" s="60" t="n"/>
      <c r="F2373" s="53" t="n"/>
      <c r="G2373" s="61" t="str">
        <f>IF(OR(COUNTA(A2373:E2373)=0,D2373=""),"",IFERROR(INDEX(ca_fam,MATCH(D2373,ca_name,0))&amp;"",""))</f>
        <v/>
      </c>
      <c r="H2373" s="58" t="str">
        <f>IF(OR(COUNTA(A2373:E2373)=0,D2373=""),"",IFERROR(INDEX(ca_type,MATCH(D2373,ca_name,0))&amp;"",""))</f>
        <v/>
      </c>
      <c r="I2373" s="58" t="str">
        <f>IF(COUNTA(A2373:E2373)=0,"",IF(N(A2373)&lt;=0,"Date manquante ou invalide",IF(B2373="","Équipe manquante",IF(ISNA(MATCH(B2373,eq_code,0)),"Équipe inconnue",IF(C2373="","Poste manquant",IF(ISNA(MATCH(C2373,po_code,0)),"Poste inconnu",IF(D2373="","Cause manquante",IF(ISNA(MATCH(D2373,ca_name,0)),"Cause inconnue",IF(H2373="","Cause à compléter dans Paramètres",IF(OR(NOT(ISNUMBER(E2373)),N(E2373)&lt;=0,N(E2373)&gt;1440),"Durée invalide",IF(COUNTIFS(sj_date,A2373,sj_eq,B2373,sj_po,C2373)=0,"Pas de saisie journalière ce jour-là","OK")))))))))))</f>
        <v/>
      </c>
      <c r="J2373">
        <f>IF(OR(I2373="OK",I2373="Pas de saisie journalière ce jour-là"),E2373,0)</f>
        <v>0.0</v>
      </c>
      <c r="K2373">
        <f>IF(AND(J2373&gt;0,A2373&gt;=p_from,A2373&lt;=p_to),1,0)</f>
        <v>0.0</v>
      </c>
      <c r="L2373">
        <f>IF(AND(K2373=1,OR(pa_po="",C2373=pa_po),OR(pa_eq="",B2373=pa_eq)),1,0)</f>
        <v>0.0</v>
      </c>
    </row>
    <row r="2374">
      <c r="A2374" s="51" t="n"/>
      <c r="B2374" s="52" t="n"/>
      <c r="C2374" s="52" t="n"/>
      <c r="D2374" s="53" t="n"/>
      <c r="E2374" s="60" t="n"/>
      <c r="F2374" s="53" t="n"/>
      <c r="G2374" s="61" t="str">
        <f>IF(OR(COUNTA(A2374:E2374)=0,D2374=""),"",IFERROR(INDEX(ca_fam,MATCH(D2374,ca_name,0))&amp;"",""))</f>
        <v/>
      </c>
      <c r="H2374" s="58" t="str">
        <f>IF(OR(COUNTA(A2374:E2374)=0,D2374=""),"",IFERROR(INDEX(ca_type,MATCH(D2374,ca_name,0))&amp;"",""))</f>
        <v/>
      </c>
      <c r="I2374" s="58" t="str">
        <f>IF(COUNTA(A2374:E2374)=0,"",IF(N(A2374)&lt;=0,"Date manquante ou invalide",IF(B2374="","Équipe manquante",IF(ISNA(MATCH(B2374,eq_code,0)),"Équipe inconnue",IF(C2374="","Poste manquant",IF(ISNA(MATCH(C2374,po_code,0)),"Poste inconnu",IF(D2374="","Cause manquante",IF(ISNA(MATCH(D2374,ca_name,0)),"Cause inconnue",IF(H2374="","Cause à compléter dans Paramètres",IF(OR(NOT(ISNUMBER(E2374)),N(E2374)&lt;=0,N(E2374)&gt;1440),"Durée invalide",IF(COUNTIFS(sj_date,A2374,sj_eq,B2374,sj_po,C2374)=0,"Pas de saisie journalière ce jour-là","OK")))))))))))</f>
        <v/>
      </c>
      <c r="J2374">
        <f>IF(OR(I2374="OK",I2374="Pas de saisie journalière ce jour-là"),E2374,0)</f>
        <v>0.0</v>
      </c>
      <c r="K2374">
        <f>IF(AND(J2374&gt;0,A2374&gt;=p_from,A2374&lt;=p_to),1,0)</f>
        <v>0.0</v>
      </c>
      <c r="L2374">
        <f>IF(AND(K2374=1,OR(pa_po="",C2374=pa_po),OR(pa_eq="",B2374=pa_eq)),1,0)</f>
        <v>0.0</v>
      </c>
    </row>
    <row r="2375">
      <c r="A2375" s="51" t="n"/>
      <c r="B2375" s="52" t="n"/>
      <c r="C2375" s="52" t="n"/>
      <c r="D2375" s="53" t="n"/>
      <c r="E2375" s="60" t="n"/>
      <c r="F2375" s="53" t="n"/>
      <c r="G2375" s="61" t="str">
        <f>IF(OR(COUNTA(A2375:E2375)=0,D2375=""),"",IFERROR(INDEX(ca_fam,MATCH(D2375,ca_name,0))&amp;"",""))</f>
        <v/>
      </c>
      <c r="H2375" s="58" t="str">
        <f>IF(OR(COUNTA(A2375:E2375)=0,D2375=""),"",IFERROR(INDEX(ca_type,MATCH(D2375,ca_name,0))&amp;"",""))</f>
        <v/>
      </c>
      <c r="I2375" s="58" t="str">
        <f>IF(COUNTA(A2375:E2375)=0,"",IF(N(A2375)&lt;=0,"Date manquante ou invalide",IF(B2375="","Équipe manquante",IF(ISNA(MATCH(B2375,eq_code,0)),"Équipe inconnue",IF(C2375="","Poste manquant",IF(ISNA(MATCH(C2375,po_code,0)),"Poste inconnu",IF(D2375="","Cause manquante",IF(ISNA(MATCH(D2375,ca_name,0)),"Cause inconnue",IF(H2375="","Cause à compléter dans Paramètres",IF(OR(NOT(ISNUMBER(E2375)),N(E2375)&lt;=0,N(E2375)&gt;1440),"Durée invalide",IF(COUNTIFS(sj_date,A2375,sj_eq,B2375,sj_po,C2375)=0,"Pas de saisie journalière ce jour-là","OK")))))))))))</f>
        <v/>
      </c>
      <c r="J2375">
        <f>IF(OR(I2375="OK",I2375="Pas de saisie journalière ce jour-là"),E2375,0)</f>
        <v>0.0</v>
      </c>
      <c r="K2375">
        <f>IF(AND(J2375&gt;0,A2375&gt;=p_from,A2375&lt;=p_to),1,0)</f>
        <v>0.0</v>
      </c>
      <c r="L2375">
        <f>IF(AND(K2375=1,OR(pa_po="",C2375=pa_po),OR(pa_eq="",B2375=pa_eq)),1,0)</f>
        <v>0.0</v>
      </c>
    </row>
    <row r="2376">
      <c r="A2376" s="51" t="n"/>
      <c r="B2376" s="52" t="n"/>
      <c r="C2376" s="52" t="n"/>
      <c r="D2376" s="53" t="n"/>
      <c r="E2376" s="60" t="n"/>
      <c r="F2376" s="53" t="n"/>
      <c r="G2376" s="61" t="str">
        <f>IF(OR(COUNTA(A2376:E2376)=0,D2376=""),"",IFERROR(INDEX(ca_fam,MATCH(D2376,ca_name,0))&amp;"",""))</f>
        <v/>
      </c>
      <c r="H2376" s="58" t="str">
        <f>IF(OR(COUNTA(A2376:E2376)=0,D2376=""),"",IFERROR(INDEX(ca_type,MATCH(D2376,ca_name,0))&amp;"",""))</f>
        <v/>
      </c>
      <c r="I2376" s="58" t="str">
        <f>IF(COUNTA(A2376:E2376)=0,"",IF(N(A2376)&lt;=0,"Date manquante ou invalide",IF(B2376="","Équipe manquante",IF(ISNA(MATCH(B2376,eq_code,0)),"Équipe inconnue",IF(C2376="","Poste manquant",IF(ISNA(MATCH(C2376,po_code,0)),"Poste inconnu",IF(D2376="","Cause manquante",IF(ISNA(MATCH(D2376,ca_name,0)),"Cause inconnue",IF(H2376="","Cause à compléter dans Paramètres",IF(OR(NOT(ISNUMBER(E2376)),N(E2376)&lt;=0,N(E2376)&gt;1440),"Durée invalide",IF(COUNTIFS(sj_date,A2376,sj_eq,B2376,sj_po,C2376)=0,"Pas de saisie journalière ce jour-là","OK")))))))))))</f>
        <v/>
      </c>
      <c r="J2376">
        <f>IF(OR(I2376="OK",I2376="Pas de saisie journalière ce jour-là"),E2376,0)</f>
        <v>0.0</v>
      </c>
      <c r="K2376">
        <f>IF(AND(J2376&gt;0,A2376&gt;=p_from,A2376&lt;=p_to),1,0)</f>
        <v>0.0</v>
      </c>
      <c r="L2376">
        <f>IF(AND(K2376=1,OR(pa_po="",C2376=pa_po),OR(pa_eq="",B2376=pa_eq)),1,0)</f>
        <v>0.0</v>
      </c>
    </row>
    <row r="2377">
      <c r="A2377" s="51" t="n"/>
      <c r="B2377" s="52" t="n"/>
      <c r="C2377" s="52" t="n"/>
      <c r="D2377" s="53" t="n"/>
      <c r="E2377" s="60" t="n"/>
      <c r="F2377" s="53" t="n"/>
      <c r="G2377" s="61" t="str">
        <f>IF(OR(COUNTA(A2377:E2377)=0,D2377=""),"",IFERROR(INDEX(ca_fam,MATCH(D2377,ca_name,0))&amp;"",""))</f>
        <v/>
      </c>
      <c r="H2377" s="58" t="str">
        <f>IF(OR(COUNTA(A2377:E2377)=0,D2377=""),"",IFERROR(INDEX(ca_type,MATCH(D2377,ca_name,0))&amp;"",""))</f>
        <v/>
      </c>
      <c r="I2377" s="58" t="str">
        <f>IF(COUNTA(A2377:E2377)=0,"",IF(N(A2377)&lt;=0,"Date manquante ou invalide",IF(B2377="","Équipe manquante",IF(ISNA(MATCH(B2377,eq_code,0)),"Équipe inconnue",IF(C2377="","Poste manquant",IF(ISNA(MATCH(C2377,po_code,0)),"Poste inconnu",IF(D2377="","Cause manquante",IF(ISNA(MATCH(D2377,ca_name,0)),"Cause inconnue",IF(H2377="","Cause à compléter dans Paramètres",IF(OR(NOT(ISNUMBER(E2377)),N(E2377)&lt;=0,N(E2377)&gt;1440),"Durée invalide",IF(COUNTIFS(sj_date,A2377,sj_eq,B2377,sj_po,C2377)=0,"Pas de saisie journalière ce jour-là","OK")))))))))))</f>
        <v/>
      </c>
      <c r="J2377">
        <f>IF(OR(I2377="OK",I2377="Pas de saisie journalière ce jour-là"),E2377,0)</f>
        <v>0.0</v>
      </c>
      <c r="K2377">
        <f>IF(AND(J2377&gt;0,A2377&gt;=p_from,A2377&lt;=p_to),1,0)</f>
        <v>0.0</v>
      </c>
      <c r="L2377">
        <f>IF(AND(K2377=1,OR(pa_po="",C2377=pa_po),OR(pa_eq="",B2377=pa_eq)),1,0)</f>
        <v>0.0</v>
      </c>
    </row>
    <row r="2378">
      <c r="A2378" s="51" t="n"/>
      <c r="B2378" s="52" t="n"/>
      <c r="C2378" s="52" t="n"/>
      <c r="D2378" s="53" t="n"/>
      <c r="E2378" s="60" t="n"/>
      <c r="F2378" s="53" t="n"/>
      <c r="G2378" s="61" t="str">
        <f>IF(OR(COUNTA(A2378:E2378)=0,D2378=""),"",IFERROR(INDEX(ca_fam,MATCH(D2378,ca_name,0))&amp;"",""))</f>
        <v/>
      </c>
      <c r="H2378" s="58" t="str">
        <f>IF(OR(COUNTA(A2378:E2378)=0,D2378=""),"",IFERROR(INDEX(ca_type,MATCH(D2378,ca_name,0))&amp;"",""))</f>
        <v/>
      </c>
      <c r="I2378" s="58" t="str">
        <f>IF(COUNTA(A2378:E2378)=0,"",IF(N(A2378)&lt;=0,"Date manquante ou invalide",IF(B2378="","Équipe manquante",IF(ISNA(MATCH(B2378,eq_code,0)),"Équipe inconnue",IF(C2378="","Poste manquant",IF(ISNA(MATCH(C2378,po_code,0)),"Poste inconnu",IF(D2378="","Cause manquante",IF(ISNA(MATCH(D2378,ca_name,0)),"Cause inconnue",IF(H2378="","Cause à compléter dans Paramètres",IF(OR(NOT(ISNUMBER(E2378)),N(E2378)&lt;=0,N(E2378)&gt;1440),"Durée invalide",IF(COUNTIFS(sj_date,A2378,sj_eq,B2378,sj_po,C2378)=0,"Pas de saisie journalière ce jour-là","OK")))))))))))</f>
        <v/>
      </c>
      <c r="J2378">
        <f>IF(OR(I2378="OK",I2378="Pas de saisie journalière ce jour-là"),E2378,0)</f>
        <v>0.0</v>
      </c>
      <c r="K2378">
        <f>IF(AND(J2378&gt;0,A2378&gt;=p_from,A2378&lt;=p_to),1,0)</f>
        <v>0.0</v>
      </c>
      <c r="L2378">
        <f>IF(AND(K2378=1,OR(pa_po="",C2378=pa_po),OR(pa_eq="",B2378=pa_eq)),1,0)</f>
        <v>0.0</v>
      </c>
    </row>
    <row r="2379">
      <c r="A2379" s="51" t="n"/>
      <c r="B2379" s="52" t="n"/>
      <c r="C2379" s="52" t="n"/>
      <c r="D2379" s="53" t="n"/>
      <c r="E2379" s="60" t="n"/>
      <c r="F2379" s="53" t="n"/>
      <c r="G2379" s="61" t="str">
        <f>IF(OR(COUNTA(A2379:E2379)=0,D2379=""),"",IFERROR(INDEX(ca_fam,MATCH(D2379,ca_name,0))&amp;"",""))</f>
        <v/>
      </c>
      <c r="H2379" s="58" t="str">
        <f>IF(OR(COUNTA(A2379:E2379)=0,D2379=""),"",IFERROR(INDEX(ca_type,MATCH(D2379,ca_name,0))&amp;"",""))</f>
        <v/>
      </c>
      <c r="I2379" s="58" t="str">
        <f>IF(COUNTA(A2379:E2379)=0,"",IF(N(A2379)&lt;=0,"Date manquante ou invalide",IF(B2379="","Équipe manquante",IF(ISNA(MATCH(B2379,eq_code,0)),"Équipe inconnue",IF(C2379="","Poste manquant",IF(ISNA(MATCH(C2379,po_code,0)),"Poste inconnu",IF(D2379="","Cause manquante",IF(ISNA(MATCH(D2379,ca_name,0)),"Cause inconnue",IF(H2379="","Cause à compléter dans Paramètres",IF(OR(NOT(ISNUMBER(E2379)),N(E2379)&lt;=0,N(E2379)&gt;1440),"Durée invalide",IF(COUNTIFS(sj_date,A2379,sj_eq,B2379,sj_po,C2379)=0,"Pas de saisie journalière ce jour-là","OK")))))))))))</f>
        <v/>
      </c>
      <c r="J2379">
        <f>IF(OR(I2379="OK",I2379="Pas de saisie journalière ce jour-là"),E2379,0)</f>
        <v>0.0</v>
      </c>
      <c r="K2379">
        <f>IF(AND(J2379&gt;0,A2379&gt;=p_from,A2379&lt;=p_to),1,0)</f>
        <v>0.0</v>
      </c>
      <c r="L2379">
        <f>IF(AND(K2379=1,OR(pa_po="",C2379=pa_po),OR(pa_eq="",B2379=pa_eq)),1,0)</f>
        <v>0.0</v>
      </c>
    </row>
    <row r="2380">
      <c r="A2380" s="51" t="n"/>
      <c r="B2380" s="52" t="n"/>
      <c r="C2380" s="52" t="n"/>
      <c r="D2380" s="53" t="n"/>
      <c r="E2380" s="60" t="n"/>
      <c r="F2380" s="53" t="n"/>
      <c r="G2380" s="61" t="str">
        <f>IF(OR(COUNTA(A2380:E2380)=0,D2380=""),"",IFERROR(INDEX(ca_fam,MATCH(D2380,ca_name,0))&amp;"",""))</f>
        <v/>
      </c>
      <c r="H2380" s="58" t="str">
        <f>IF(OR(COUNTA(A2380:E2380)=0,D2380=""),"",IFERROR(INDEX(ca_type,MATCH(D2380,ca_name,0))&amp;"",""))</f>
        <v/>
      </c>
      <c r="I2380" s="58" t="str">
        <f>IF(COUNTA(A2380:E2380)=0,"",IF(N(A2380)&lt;=0,"Date manquante ou invalide",IF(B2380="","Équipe manquante",IF(ISNA(MATCH(B2380,eq_code,0)),"Équipe inconnue",IF(C2380="","Poste manquant",IF(ISNA(MATCH(C2380,po_code,0)),"Poste inconnu",IF(D2380="","Cause manquante",IF(ISNA(MATCH(D2380,ca_name,0)),"Cause inconnue",IF(H2380="","Cause à compléter dans Paramètres",IF(OR(NOT(ISNUMBER(E2380)),N(E2380)&lt;=0,N(E2380)&gt;1440),"Durée invalide",IF(COUNTIFS(sj_date,A2380,sj_eq,B2380,sj_po,C2380)=0,"Pas de saisie journalière ce jour-là","OK")))))))))))</f>
        <v/>
      </c>
      <c r="J2380">
        <f>IF(OR(I2380="OK",I2380="Pas de saisie journalière ce jour-là"),E2380,0)</f>
        <v>0.0</v>
      </c>
      <c r="K2380">
        <f>IF(AND(J2380&gt;0,A2380&gt;=p_from,A2380&lt;=p_to),1,0)</f>
        <v>0.0</v>
      </c>
      <c r="L2380">
        <f>IF(AND(K2380=1,OR(pa_po="",C2380=pa_po),OR(pa_eq="",B2380=pa_eq)),1,0)</f>
        <v>0.0</v>
      </c>
    </row>
    <row r="2381">
      <c r="A2381" s="51" t="n"/>
      <c r="B2381" s="52" t="n"/>
      <c r="C2381" s="52" t="n"/>
      <c r="D2381" s="53" t="n"/>
      <c r="E2381" s="60" t="n"/>
      <c r="F2381" s="53" t="n"/>
      <c r="G2381" s="61" t="str">
        <f>IF(OR(COUNTA(A2381:E2381)=0,D2381=""),"",IFERROR(INDEX(ca_fam,MATCH(D2381,ca_name,0))&amp;"",""))</f>
        <v/>
      </c>
      <c r="H2381" s="58" t="str">
        <f>IF(OR(COUNTA(A2381:E2381)=0,D2381=""),"",IFERROR(INDEX(ca_type,MATCH(D2381,ca_name,0))&amp;"",""))</f>
        <v/>
      </c>
      <c r="I2381" s="58" t="str">
        <f>IF(COUNTA(A2381:E2381)=0,"",IF(N(A2381)&lt;=0,"Date manquante ou invalide",IF(B2381="","Équipe manquante",IF(ISNA(MATCH(B2381,eq_code,0)),"Équipe inconnue",IF(C2381="","Poste manquant",IF(ISNA(MATCH(C2381,po_code,0)),"Poste inconnu",IF(D2381="","Cause manquante",IF(ISNA(MATCH(D2381,ca_name,0)),"Cause inconnue",IF(H2381="","Cause à compléter dans Paramètres",IF(OR(NOT(ISNUMBER(E2381)),N(E2381)&lt;=0,N(E2381)&gt;1440),"Durée invalide",IF(COUNTIFS(sj_date,A2381,sj_eq,B2381,sj_po,C2381)=0,"Pas de saisie journalière ce jour-là","OK")))))))))))</f>
        <v/>
      </c>
      <c r="J2381">
        <f>IF(OR(I2381="OK",I2381="Pas de saisie journalière ce jour-là"),E2381,0)</f>
        <v>0.0</v>
      </c>
      <c r="K2381">
        <f>IF(AND(J2381&gt;0,A2381&gt;=p_from,A2381&lt;=p_to),1,0)</f>
        <v>0.0</v>
      </c>
      <c r="L2381">
        <f>IF(AND(K2381=1,OR(pa_po="",C2381=pa_po),OR(pa_eq="",B2381=pa_eq)),1,0)</f>
        <v>0.0</v>
      </c>
    </row>
    <row r="2382">
      <c r="A2382" s="51" t="n"/>
      <c r="B2382" s="52" t="n"/>
      <c r="C2382" s="52" t="n"/>
      <c r="D2382" s="53" t="n"/>
      <c r="E2382" s="60" t="n"/>
      <c r="F2382" s="53" t="n"/>
      <c r="G2382" s="61" t="str">
        <f>IF(OR(COUNTA(A2382:E2382)=0,D2382=""),"",IFERROR(INDEX(ca_fam,MATCH(D2382,ca_name,0))&amp;"",""))</f>
        <v/>
      </c>
      <c r="H2382" s="58" t="str">
        <f>IF(OR(COUNTA(A2382:E2382)=0,D2382=""),"",IFERROR(INDEX(ca_type,MATCH(D2382,ca_name,0))&amp;"",""))</f>
        <v/>
      </c>
      <c r="I2382" s="58" t="str">
        <f>IF(COUNTA(A2382:E2382)=0,"",IF(N(A2382)&lt;=0,"Date manquante ou invalide",IF(B2382="","Équipe manquante",IF(ISNA(MATCH(B2382,eq_code,0)),"Équipe inconnue",IF(C2382="","Poste manquant",IF(ISNA(MATCH(C2382,po_code,0)),"Poste inconnu",IF(D2382="","Cause manquante",IF(ISNA(MATCH(D2382,ca_name,0)),"Cause inconnue",IF(H2382="","Cause à compléter dans Paramètres",IF(OR(NOT(ISNUMBER(E2382)),N(E2382)&lt;=0,N(E2382)&gt;1440),"Durée invalide",IF(COUNTIFS(sj_date,A2382,sj_eq,B2382,sj_po,C2382)=0,"Pas de saisie journalière ce jour-là","OK")))))))))))</f>
        <v/>
      </c>
      <c r="J2382">
        <f>IF(OR(I2382="OK",I2382="Pas de saisie journalière ce jour-là"),E2382,0)</f>
        <v>0.0</v>
      </c>
      <c r="K2382">
        <f>IF(AND(J2382&gt;0,A2382&gt;=p_from,A2382&lt;=p_to),1,0)</f>
        <v>0.0</v>
      </c>
      <c r="L2382">
        <f>IF(AND(K2382=1,OR(pa_po="",C2382=pa_po),OR(pa_eq="",B2382=pa_eq)),1,0)</f>
        <v>0.0</v>
      </c>
    </row>
    <row r="2383">
      <c r="A2383" s="51" t="n"/>
      <c r="B2383" s="52" t="n"/>
      <c r="C2383" s="52" t="n"/>
      <c r="D2383" s="53" t="n"/>
      <c r="E2383" s="60" t="n"/>
      <c r="F2383" s="53" t="n"/>
      <c r="G2383" s="61" t="str">
        <f>IF(OR(COUNTA(A2383:E2383)=0,D2383=""),"",IFERROR(INDEX(ca_fam,MATCH(D2383,ca_name,0))&amp;"",""))</f>
        <v/>
      </c>
      <c r="H2383" s="58" t="str">
        <f>IF(OR(COUNTA(A2383:E2383)=0,D2383=""),"",IFERROR(INDEX(ca_type,MATCH(D2383,ca_name,0))&amp;"",""))</f>
        <v/>
      </c>
      <c r="I2383" s="58" t="str">
        <f>IF(COUNTA(A2383:E2383)=0,"",IF(N(A2383)&lt;=0,"Date manquante ou invalide",IF(B2383="","Équipe manquante",IF(ISNA(MATCH(B2383,eq_code,0)),"Équipe inconnue",IF(C2383="","Poste manquant",IF(ISNA(MATCH(C2383,po_code,0)),"Poste inconnu",IF(D2383="","Cause manquante",IF(ISNA(MATCH(D2383,ca_name,0)),"Cause inconnue",IF(H2383="","Cause à compléter dans Paramètres",IF(OR(NOT(ISNUMBER(E2383)),N(E2383)&lt;=0,N(E2383)&gt;1440),"Durée invalide",IF(COUNTIFS(sj_date,A2383,sj_eq,B2383,sj_po,C2383)=0,"Pas de saisie journalière ce jour-là","OK")))))))))))</f>
        <v/>
      </c>
      <c r="J2383">
        <f>IF(OR(I2383="OK",I2383="Pas de saisie journalière ce jour-là"),E2383,0)</f>
        <v>0.0</v>
      </c>
      <c r="K2383">
        <f>IF(AND(J2383&gt;0,A2383&gt;=p_from,A2383&lt;=p_to),1,0)</f>
        <v>0.0</v>
      </c>
      <c r="L2383">
        <f>IF(AND(K2383=1,OR(pa_po="",C2383=pa_po),OR(pa_eq="",B2383=pa_eq)),1,0)</f>
        <v>0.0</v>
      </c>
    </row>
    <row r="2384">
      <c r="A2384" s="51" t="n"/>
      <c r="B2384" s="52" t="n"/>
      <c r="C2384" s="52" t="n"/>
      <c r="D2384" s="53" t="n"/>
      <c r="E2384" s="60" t="n"/>
      <c r="F2384" s="53" t="n"/>
      <c r="G2384" s="61" t="str">
        <f>IF(OR(COUNTA(A2384:E2384)=0,D2384=""),"",IFERROR(INDEX(ca_fam,MATCH(D2384,ca_name,0))&amp;"",""))</f>
        <v/>
      </c>
      <c r="H2384" s="58" t="str">
        <f>IF(OR(COUNTA(A2384:E2384)=0,D2384=""),"",IFERROR(INDEX(ca_type,MATCH(D2384,ca_name,0))&amp;"",""))</f>
        <v/>
      </c>
      <c r="I2384" s="58" t="str">
        <f>IF(COUNTA(A2384:E2384)=0,"",IF(N(A2384)&lt;=0,"Date manquante ou invalide",IF(B2384="","Équipe manquante",IF(ISNA(MATCH(B2384,eq_code,0)),"Équipe inconnue",IF(C2384="","Poste manquant",IF(ISNA(MATCH(C2384,po_code,0)),"Poste inconnu",IF(D2384="","Cause manquante",IF(ISNA(MATCH(D2384,ca_name,0)),"Cause inconnue",IF(H2384="","Cause à compléter dans Paramètres",IF(OR(NOT(ISNUMBER(E2384)),N(E2384)&lt;=0,N(E2384)&gt;1440),"Durée invalide",IF(COUNTIFS(sj_date,A2384,sj_eq,B2384,sj_po,C2384)=0,"Pas de saisie journalière ce jour-là","OK")))))))))))</f>
        <v/>
      </c>
      <c r="J2384">
        <f>IF(OR(I2384="OK",I2384="Pas de saisie journalière ce jour-là"),E2384,0)</f>
        <v>0.0</v>
      </c>
      <c r="K2384">
        <f>IF(AND(J2384&gt;0,A2384&gt;=p_from,A2384&lt;=p_to),1,0)</f>
        <v>0.0</v>
      </c>
      <c r="L2384">
        <f>IF(AND(K2384=1,OR(pa_po="",C2384=pa_po),OR(pa_eq="",B2384=pa_eq)),1,0)</f>
        <v>0.0</v>
      </c>
    </row>
    <row r="2385">
      <c r="A2385" s="51" t="n"/>
      <c r="B2385" s="52" t="n"/>
      <c r="C2385" s="52" t="n"/>
      <c r="D2385" s="53" t="n"/>
      <c r="E2385" s="60" t="n"/>
      <c r="F2385" s="53" t="n"/>
      <c r="G2385" s="61" t="str">
        <f>IF(OR(COUNTA(A2385:E2385)=0,D2385=""),"",IFERROR(INDEX(ca_fam,MATCH(D2385,ca_name,0))&amp;"",""))</f>
        <v/>
      </c>
      <c r="H2385" s="58" t="str">
        <f>IF(OR(COUNTA(A2385:E2385)=0,D2385=""),"",IFERROR(INDEX(ca_type,MATCH(D2385,ca_name,0))&amp;"",""))</f>
        <v/>
      </c>
      <c r="I2385" s="58" t="str">
        <f>IF(COUNTA(A2385:E2385)=0,"",IF(N(A2385)&lt;=0,"Date manquante ou invalide",IF(B2385="","Équipe manquante",IF(ISNA(MATCH(B2385,eq_code,0)),"Équipe inconnue",IF(C2385="","Poste manquant",IF(ISNA(MATCH(C2385,po_code,0)),"Poste inconnu",IF(D2385="","Cause manquante",IF(ISNA(MATCH(D2385,ca_name,0)),"Cause inconnue",IF(H2385="","Cause à compléter dans Paramètres",IF(OR(NOT(ISNUMBER(E2385)),N(E2385)&lt;=0,N(E2385)&gt;1440),"Durée invalide",IF(COUNTIFS(sj_date,A2385,sj_eq,B2385,sj_po,C2385)=0,"Pas de saisie journalière ce jour-là","OK")))))))))))</f>
        <v/>
      </c>
      <c r="J2385">
        <f>IF(OR(I2385="OK",I2385="Pas de saisie journalière ce jour-là"),E2385,0)</f>
        <v>0.0</v>
      </c>
      <c r="K2385">
        <f>IF(AND(J2385&gt;0,A2385&gt;=p_from,A2385&lt;=p_to),1,0)</f>
        <v>0.0</v>
      </c>
      <c r="L2385">
        <f>IF(AND(K2385=1,OR(pa_po="",C2385=pa_po),OR(pa_eq="",B2385=pa_eq)),1,0)</f>
        <v>0.0</v>
      </c>
    </row>
    <row r="2386">
      <c r="A2386" s="51" t="n"/>
      <c r="B2386" s="52" t="n"/>
      <c r="C2386" s="52" t="n"/>
      <c r="D2386" s="53" t="n"/>
      <c r="E2386" s="60" t="n"/>
      <c r="F2386" s="53" t="n"/>
      <c r="G2386" s="61" t="str">
        <f>IF(OR(COUNTA(A2386:E2386)=0,D2386=""),"",IFERROR(INDEX(ca_fam,MATCH(D2386,ca_name,0))&amp;"",""))</f>
        <v/>
      </c>
      <c r="H2386" s="58" t="str">
        <f>IF(OR(COUNTA(A2386:E2386)=0,D2386=""),"",IFERROR(INDEX(ca_type,MATCH(D2386,ca_name,0))&amp;"",""))</f>
        <v/>
      </c>
      <c r="I2386" s="58" t="str">
        <f>IF(COUNTA(A2386:E2386)=0,"",IF(N(A2386)&lt;=0,"Date manquante ou invalide",IF(B2386="","Équipe manquante",IF(ISNA(MATCH(B2386,eq_code,0)),"Équipe inconnue",IF(C2386="","Poste manquant",IF(ISNA(MATCH(C2386,po_code,0)),"Poste inconnu",IF(D2386="","Cause manquante",IF(ISNA(MATCH(D2386,ca_name,0)),"Cause inconnue",IF(H2386="","Cause à compléter dans Paramètres",IF(OR(NOT(ISNUMBER(E2386)),N(E2386)&lt;=0,N(E2386)&gt;1440),"Durée invalide",IF(COUNTIFS(sj_date,A2386,sj_eq,B2386,sj_po,C2386)=0,"Pas de saisie journalière ce jour-là","OK")))))))))))</f>
        <v/>
      </c>
      <c r="J2386">
        <f>IF(OR(I2386="OK",I2386="Pas de saisie journalière ce jour-là"),E2386,0)</f>
        <v>0.0</v>
      </c>
      <c r="K2386">
        <f>IF(AND(J2386&gt;0,A2386&gt;=p_from,A2386&lt;=p_to),1,0)</f>
        <v>0.0</v>
      </c>
      <c r="L2386">
        <f>IF(AND(K2386=1,OR(pa_po="",C2386=pa_po),OR(pa_eq="",B2386=pa_eq)),1,0)</f>
        <v>0.0</v>
      </c>
    </row>
    <row r="2387">
      <c r="A2387" s="51" t="n"/>
      <c r="B2387" s="52" t="n"/>
      <c r="C2387" s="52" t="n"/>
      <c r="D2387" s="53" t="n"/>
      <c r="E2387" s="60" t="n"/>
      <c r="F2387" s="53" t="n"/>
      <c r="G2387" s="61" t="str">
        <f>IF(OR(COUNTA(A2387:E2387)=0,D2387=""),"",IFERROR(INDEX(ca_fam,MATCH(D2387,ca_name,0))&amp;"",""))</f>
        <v/>
      </c>
      <c r="H2387" s="58" t="str">
        <f>IF(OR(COUNTA(A2387:E2387)=0,D2387=""),"",IFERROR(INDEX(ca_type,MATCH(D2387,ca_name,0))&amp;"",""))</f>
        <v/>
      </c>
      <c r="I2387" s="58" t="str">
        <f>IF(COUNTA(A2387:E2387)=0,"",IF(N(A2387)&lt;=0,"Date manquante ou invalide",IF(B2387="","Équipe manquante",IF(ISNA(MATCH(B2387,eq_code,0)),"Équipe inconnue",IF(C2387="","Poste manquant",IF(ISNA(MATCH(C2387,po_code,0)),"Poste inconnu",IF(D2387="","Cause manquante",IF(ISNA(MATCH(D2387,ca_name,0)),"Cause inconnue",IF(H2387="","Cause à compléter dans Paramètres",IF(OR(NOT(ISNUMBER(E2387)),N(E2387)&lt;=0,N(E2387)&gt;1440),"Durée invalide",IF(COUNTIFS(sj_date,A2387,sj_eq,B2387,sj_po,C2387)=0,"Pas de saisie journalière ce jour-là","OK")))))))))))</f>
        <v/>
      </c>
      <c r="J2387">
        <f>IF(OR(I2387="OK",I2387="Pas de saisie journalière ce jour-là"),E2387,0)</f>
        <v>0.0</v>
      </c>
      <c r="K2387">
        <f>IF(AND(J2387&gt;0,A2387&gt;=p_from,A2387&lt;=p_to),1,0)</f>
        <v>0.0</v>
      </c>
      <c r="L2387">
        <f>IF(AND(K2387=1,OR(pa_po="",C2387=pa_po),OR(pa_eq="",B2387=pa_eq)),1,0)</f>
        <v>0.0</v>
      </c>
    </row>
    <row r="2388">
      <c r="A2388" s="51" t="n"/>
      <c r="B2388" s="52" t="n"/>
      <c r="C2388" s="52" t="n"/>
      <c r="D2388" s="53" t="n"/>
      <c r="E2388" s="60" t="n"/>
      <c r="F2388" s="53" t="n"/>
      <c r="G2388" s="61" t="str">
        <f>IF(OR(COUNTA(A2388:E2388)=0,D2388=""),"",IFERROR(INDEX(ca_fam,MATCH(D2388,ca_name,0))&amp;"",""))</f>
        <v/>
      </c>
      <c r="H2388" s="58" t="str">
        <f>IF(OR(COUNTA(A2388:E2388)=0,D2388=""),"",IFERROR(INDEX(ca_type,MATCH(D2388,ca_name,0))&amp;"",""))</f>
        <v/>
      </c>
      <c r="I2388" s="58" t="str">
        <f>IF(COUNTA(A2388:E2388)=0,"",IF(N(A2388)&lt;=0,"Date manquante ou invalide",IF(B2388="","Équipe manquante",IF(ISNA(MATCH(B2388,eq_code,0)),"Équipe inconnue",IF(C2388="","Poste manquant",IF(ISNA(MATCH(C2388,po_code,0)),"Poste inconnu",IF(D2388="","Cause manquante",IF(ISNA(MATCH(D2388,ca_name,0)),"Cause inconnue",IF(H2388="","Cause à compléter dans Paramètres",IF(OR(NOT(ISNUMBER(E2388)),N(E2388)&lt;=0,N(E2388)&gt;1440),"Durée invalide",IF(COUNTIFS(sj_date,A2388,sj_eq,B2388,sj_po,C2388)=0,"Pas de saisie journalière ce jour-là","OK")))))))))))</f>
        <v/>
      </c>
      <c r="J2388">
        <f>IF(OR(I2388="OK",I2388="Pas de saisie journalière ce jour-là"),E2388,0)</f>
        <v>0.0</v>
      </c>
      <c r="K2388">
        <f>IF(AND(J2388&gt;0,A2388&gt;=p_from,A2388&lt;=p_to),1,0)</f>
        <v>0.0</v>
      </c>
      <c r="L2388">
        <f>IF(AND(K2388=1,OR(pa_po="",C2388=pa_po),OR(pa_eq="",B2388=pa_eq)),1,0)</f>
        <v>0.0</v>
      </c>
    </row>
    <row r="2389">
      <c r="A2389" s="51" t="n"/>
      <c r="B2389" s="52" t="n"/>
      <c r="C2389" s="52" t="n"/>
      <c r="D2389" s="53" t="n"/>
      <c r="E2389" s="60" t="n"/>
      <c r="F2389" s="53" t="n"/>
      <c r="G2389" s="61" t="str">
        <f>IF(OR(COUNTA(A2389:E2389)=0,D2389=""),"",IFERROR(INDEX(ca_fam,MATCH(D2389,ca_name,0))&amp;"",""))</f>
        <v/>
      </c>
      <c r="H2389" s="58" t="str">
        <f>IF(OR(COUNTA(A2389:E2389)=0,D2389=""),"",IFERROR(INDEX(ca_type,MATCH(D2389,ca_name,0))&amp;"",""))</f>
        <v/>
      </c>
      <c r="I2389" s="58" t="str">
        <f>IF(COUNTA(A2389:E2389)=0,"",IF(N(A2389)&lt;=0,"Date manquante ou invalide",IF(B2389="","Équipe manquante",IF(ISNA(MATCH(B2389,eq_code,0)),"Équipe inconnue",IF(C2389="","Poste manquant",IF(ISNA(MATCH(C2389,po_code,0)),"Poste inconnu",IF(D2389="","Cause manquante",IF(ISNA(MATCH(D2389,ca_name,0)),"Cause inconnue",IF(H2389="","Cause à compléter dans Paramètres",IF(OR(NOT(ISNUMBER(E2389)),N(E2389)&lt;=0,N(E2389)&gt;1440),"Durée invalide",IF(COUNTIFS(sj_date,A2389,sj_eq,B2389,sj_po,C2389)=0,"Pas de saisie journalière ce jour-là","OK")))))))))))</f>
        <v/>
      </c>
      <c r="J2389">
        <f>IF(OR(I2389="OK",I2389="Pas de saisie journalière ce jour-là"),E2389,0)</f>
        <v>0.0</v>
      </c>
      <c r="K2389">
        <f>IF(AND(J2389&gt;0,A2389&gt;=p_from,A2389&lt;=p_to),1,0)</f>
        <v>0.0</v>
      </c>
      <c r="L2389">
        <f>IF(AND(K2389=1,OR(pa_po="",C2389=pa_po),OR(pa_eq="",B2389=pa_eq)),1,0)</f>
        <v>0.0</v>
      </c>
    </row>
    <row r="2390">
      <c r="A2390" s="51" t="n"/>
      <c r="B2390" s="52" t="n"/>
      <c r="C2390" s="52" t="n"/>
      <c r="D2390" s="53" t="n"/>
      <c r="E2390" s="60" t="n"/>
      <c r="F2390" s="53" t="n"/>
      <c r="G2390" s="61" t="str">
        <f>IF(OR(COUNTA(A2390:E2390)=0,D2390=""),"",IFERROR(INDEX(ca_fam,MATCH(D2390,ca_name,0))&amp;"",""))</f>
        <v/>
      </c>
      <c r="H2390" s="58" t="str">
        <f>IF(OR(COUNTA(A2390:E2390)=0,D2390=""),"",IFERROR(INDEX(ca_type,MATCH(D2390,ca_name,0))&amp;"",""))</f>
        <v/>
      </c>
      <c r="I2390" s="58" t="str">
        <f>IF(COUNTA(A2390:E2390)=0,"",IF(N(A2390)&lt;=0,"Date manquante ou invalide",IF(B2390="","Équipe manquante",IF(ISNA(MATCH(B2390,eq_code,0)),"Équipe inconnue",IF(C2390="","Poste manquant",IF(ISNA(MATCH(C2390,po_code,0)),"Poste inconnu",IF(D2390="","Cause manquante",IF(ISNA(MATCH(D2390,ca_name,0)),"Cause inconnue",IF(H2390="","Cause à compléter dans Paramètres",IF(OR(NOT(ISNUMBER(E2390)),N(E2390)&lt;=0,N(E2390)&gt;1440),"Durée invalide",IF(COUNTIFS(sj_date,A2390,sj_eq,B2390,sj_po,C2390)=0,"Pas de saisie journalière ce jour-là","OK")))))))))))</f>
        <v/>
      </c>
      <c r="J2390">
        <f>IF(OR(I2390="OK",I2390="Pas de saisie journalière ce jour-là"),E2390,0)</f>
        <v>0.0</v>
      </c>
      <c r="K2390">
        <f>IF(AND(J2390&gt;0,A2390&gt;=p_from,A2390&lt;=p_to),1,0)</f>
        <v>0.0</v>
      </c>
      <c r="L2390">
        <f>IF(AND(K2390=1,OR(pa_po="",C2390=pa_po),OR(pa_eq="",B2390=pa_eq)),1,0)</f>
        <v>0.0</v>
      </c>
    </row>
    <row r="2391">
      <c r="A2391" s="51" t="n"/>
      <c r="B2391" s="52" t="n"/>
      <c r="C2391" s="52" t="n"/>
      <c r="D2391" s="53" t="n"/>
      <c r="E2391" s="60" t="n"/>
      <c r="F2391" s="53" t="n"/>
      <c r="G2391" s="61" t="str">
        <f>IF(OR(COUNTA(A2391:E2391)=0,D2391=""),"",IFERROR(INDEX(ca_fam,MATCH(D2391,ca_name,0))&amp;"",""))</f>
        <v/>
      </c>
      <c r="H2391" s="58" t="str">
        <f>IF(OR(COUNTA(A2391:E2391)=0,D2391=""),"",IFERROR(INDEX(ca_type,MATCH(D2391,ca_name,0))&amp;"",""))</f>
        <v/>
      </c>
      <c r="I2391" s="58" t="str">
        <f>IF(COUNTA(A2391:E2391)=0,"",IF(N(A2391)&lt;=0,"Date manquante ou invalide",IF(B2391="","Équipe manquante",IF(ISNA(MATCH(B2391,eq_code,0)),"Équipe inconnue",IF(C2391="","Poste manquant",IF(ISNA(MATCH(C2391,po_code,0)),"Poste inconnu",IF(D2391="","Cause manquante",IF(ISNA(MATCH(D2391,ca_name,0)),"Cause inconnue",IF(H2391="","Cause à compléter dans Paramètres",IF(OR(NOT(ISNUMBER(E2391)),N(E2391)&lt;=0,N(E2391)&gt;1440),"Durée invalide",IF(COUNTIFS(sj_date,A2391,sj_eq,B2391,sj_po,C2391)=0,"Pas de saisie journalière ce jour-là","OK")))))))))))</f>
        <v/>
      </c>
      <c r="J2391">
        <f>IF(OR(I2391="OK",I2391="Pas de saisie journalière ce jour-là"),E2391,0)</f>
        <v>0.0</v>
      </c>
      <c r="K2391">
        <f>IF(AND(J2391&gt;0,A2391&gt;=p_from,A2391&lt;=p_to),1,0)</f>
        <v>0.0</v>
      </c>
      <c r="L2391">
        <f>IF(AND(K2391=1,OR(pa_po="",C2391=pa_po),OR(pa_eq="",B2391=pa_eq)),1,0)</f>
        <v>0.0</v>
      </c>
    </row>
    <row r="2392">
      <c r="A2392" s="51" t="n"/>
      <c r="B2392" s="52" t="n"/>
      <c r="C2392" s="52" t="n"/>
      <c r="D2392" s="53" t="n"/>
      <c r="E2392" s="60" t="n"/>
      <c r="F2392" s="53" t="n"/>
      <c r="G2392" s="61" t="str">
        <f>IF(OR(COUNTA(A2392:E2392)=0,D2392=""),"",IFERROR(INDEX(ca_fam,MATCH(D2392,ca_name,0))&amp;"",""))</f>
        <v/>
      </c>
      <c r="H2392" s="58" t="str">
        <f>IF(OR(COUNTA(A2392:E2392)=0,D2392=""),"",IFERROR(INDEX(ca_type,MATCH(D2392,ca_name,0))&amp;"",""))</f>
        <v/>
      </c>
      <c r="I2392" s="58" t="str">
        <f>IF(COUNTA(A2392:E2392)=0,"",IF(N(A2392)&lt;=0,"Date manquante ou invalide",IF(B2392="","Équipe manquante",IF(ISNA(MATCH(B2392,eq_code,0)),"Équipe inconnue",IF(C2392="","Poste manquant",IF(ISNA(MATCH(C2392,po_code,0)),"Poste inconnu",IF(D2392="","Cause manquante",IF(ISNA(MATCH(D2392,ca_name,0)),"Cause inconnue",IF(H2392="","Cause à compléter dans Paramètres",IF(OR(NOT(ISNUMBER(E2392)),N(E2392)&lt;=0,N(E2392)&gt;1440),"Durée invalide",IF(COUNTIFS(sj_date,A2392,sj_eq,B2392,sj_po,C2392)=0,"Pas de saisie journalière ce jour-là","OK")))))))))))</f>
        <v/>
      </c>
      <c r="J2392">
        <f>IF(OR(I2392="OK",I2392="Pas de saisie journalière ce jour-là"),E2392,0)</f>
        <v>0.0</v>
      </c>
      <c r="K2392">
        <f>IF(AND(J2392&gt;0,A2392&gt;=p_from,A2392&lt;=p_to),1,0)</f>
        <v>0.0</v>
      </c>
      <c r="L2392">
        <f>IF(AND(K2392=1,OR(pa_po="",C2392=pa_po),OR(pa_eq="",B2392=pa_eq)),1,0)</f>
        <v>0.0</v>
      </c>
    </row>
    <row r="2393">
      <c r="A2393" s="51" t="n"/>
      <c r="B2393" s="52" t="n"/>
      <c r="C2393" s="52" t="n"/>
      <c r="D2393" s="53" t="n"/>
      <c r="E2393" s="60" t="n"/>
      <c r="F2393" s="53" t="n"/>
      <c r="G2393" s="61" t="str">
        <f>IF(OR(COUNTA(A2393:E2393)=0,D2393=""),"",IFERROR(INDEX(ca_fam,MATCH(D2393,ca_name,0))&amp;"",""))</f>
        <v/>
      </c>
      <c r="H2393" s="58" t="str">
        <f>IF(OR(COUNTA(A2393:E2393)=0,D2393=""),"",IFERROR(INDEX(ca_type,MATCH(D2393,ca_name,0))&amp;"",""))</f>
        <v/>
      </c>
      <c r="I2393" s="58" t="str">
        <f>IF(COUNTA(A2393:E2393)=0,"",IF(N(A2393)&lt;=0,"Date manquante ou invalide",IF(B2393="","Équipe manquante",IF(ISNA(MATCH(B2393,eq_code,0)),"Équipe inconnue",IF(C2393="","Poste manquant",IF(ISNA(MATCH(C2393,po_code,0)),"Poste inconnu",IF(D2393="","Cause manquante",IF(ISNA(MATCH(D2393,ca_name,0)),"Cause inconnue",IF(H2393="","Cause à compléter dans Paramètres",IF(OR(NOT(ISNUMBER(E2393)),N(E2393)&lt;=0,N(E2393)&gt;1440),"Durée invalide",IF(COUNTIFS(sj_date,A2393,sj_eq,B2393,sj_po,C2393)=0,"Pas de saisie journalière ce jour-là","OK")))))))))))</f>
        <v/>
      </c>
      <c r="J2393">
        <f>IF(OR(I2393="OK",I2393="Pas de saisie journalière ce jour-là"),E2393,0)</f>
        <v>0.0</v>
      </c>
      <c r="K2393">
        <f>IF(AND(J2393&gt;0,A2393&gt;=p_from,A2393&lt;=p_to),1,0)</f>
        <v>0.0</v>
      </c>
      <c r="L2393">
        <f>IF(AND(K2393=1,OR(pa_po="",C2393=pa_po),OR(pa_eq="",B2393=pa_eq)),1,0)</f>
        <v>0.0</v>
      </c>
    </row>
    <row r="2394">
      <c r="A2394" s="51" t="n"/>
      <c r="B2394" s="52" t="n"/>
      <c r="C2394" s="52" t="n"/>
      <c r="D2394" s="53" t="n"/>
      <c r="E2394" s="60" t="n"/>
      <c r="F2394" s="53" t="n"/>
      <c r="G2394" s="61" t="str">
        <f>IF(OR(COUNTA(A2394:E2394)=0,D2394=""),"",IFERROR(INDEX(ca_fam,MATCH(D2394,ca_name,0))&amp;"",""))</f>
        <v/>
      </c>
      <c r="H2394" s="58" t="str">
        <f>IF(OR(COUNTA(A2394:E2394)=0,D2394=""),"",IFERROR(INDEX(ca_type,MATCH(D2394,ca_name,0))&amp;"",""))</f>
        <v/>
      </c>
      <c r="I2394" s="58" t="str">
        <f>IF(COUNTA(A2394:E2394)=0,"",IF(N(A2394)&lt;=0,"Date manquante ou invalide",IF(B2394="","Équipe manquante",IF(ISNA(MATCH(B2394,eq_code,0)),"Équipe inconnue",IF(C2394="","Poste manquant",IF(ISNA(MATCH(C2394,po_code,0)),"Poste inconnu",IF(D2394="","Cause manquante",IF(ISNA(MATCH(D2394,ca_name,0)),"Cause inconnue",IF(H2394="","Cause à compléter dans Paramètres",IF(OR(NOT(ISNUMBER(E2394)),N(E2394)&lt;=0,N(E2394)&gt;1440),"Durée invalide",IF(COUNTIFS(sj_date,A2394,sj_eq,B2394,sj_po,C2394)=0,"Pas de saisie journalière ce jour-là","OK")))))))))))</f>
        <v/>
      </c>
      <c r="J2394">
        <f>IF(OR(I2394="OK",I2394="Pas de saisie journalière ce jour-là"),E2394,0)</f>
        <v>0.0</v>
      </c>
      <c r="K2394">
        <f>IF(AND(J2394&gt;0,A2394&gt;=p_from,A2394&lt;=p_to),1,0)</f>
        <v>0.0</v>
      </c>
      <c r="L2394">
        <f>IF(AND(K2394=1,OR(pa_po="",C2394=pa_po),OR(pa_eq="",B2394=pa_eq)),1,0)</f>
        <v>0.0</v>
      </c>
    </row>
    <row r="2395">
      <c r="A2395" s="51" t="n"/>
      <c r="B2395" s="52" t="n"/>
      <c r="C2395" s="52" t="n"/>
      <c r="D2395" s="53" t="n"/>
      <c r="E2395" s="60" t="n"/>
      <c r="F2395" s="53" t="n"/>
      <c r="G2395" s="61" t="str">
        <f>IF(OR(COUNTA(A2395:E2395)=0,D2395=""),"",IFERROR(INDEX(ca_fam,MATCH(D2395,ca_name,0))&amp;"",""))</f>
        <v/>
      </c>
      <c r="H2395" s="58" t="str">
        <f>IF(OR(COUNTA(A2395:E2395)=0,D2395=""),"",IFERROR(INDEX(ca_type,MATCH(D2395,ca_name,0))&amp;"",""))</f>
        <v/>
      </c>
      <c r="I2395" s="58" t="str">
        <f>IF(COUNTA(A2395:E2395)=0,"",IF(N(A2395)&lt;=0,"Date manquante ou invalide",IF(B2395="","Équipe manquante",IF(ISNA(MATCH(B2395,eq_code,0)),"Équipe inconnue",IF(C2395="","Poste manquant",IF(ISNA(MATCH(C2395,po_code,0)),"Poste inconnu",IF(D2395="","Cause manquante",IF(ISNA(MATCH(D2395,ca_name,0)),"Cause inconnue",IF(H2395="","Cause à compléter dans Paramètres",IF(OR(NOT(ISNUMBER(E2395)),N(E2395)&lt;=0,N(E2395)&gt;1440),"Durée invalide",IF(COUNTIFS(sj_date,A2395,sj_eq,B2395,sj_po,C2395)=0,"Pas de saisie journalière ce jour-là","OK")))))))))))</f>
        <v/>
      </c>
      <c r="J2395">
        <f>IF(OR(I2395="OK",I2395="Pas de saisie journalière ce jour-là"),E2395,0)</f>
        <v>0.0</v>
      </c>
      <c r="K2395">
        <f>IF(AND(J2395&gt;0,A2395&gt;=p_from,A2395&lt;=p_to),1,0)</f>
        <v>0.0</v>
      </c>
      <c r="L2395">
        <f>IF(AND(K2395=1,OR(pa_po="",C2395=pa_po),OR(pa_eq="",B2395=pa_eq)),1,0)</f>
        <v>0.0</v>
      </c>
    </row>
    <row r="2396">
      <c r="A2396" s="51" t="n"/>
      <c r="B2396" s="52" t="n"/>
      <c r="C2396" s="52" t="n"/>
      <c r="D2396" s="53" t="n"/>
      <c r="E2396" s="60" t="n"/>
      <c r="F2396" s="53" t="n"/>
      <c r="G2396" s="61" t="str">
        <f>IF(OR(COUNTA(A2396:E2396)=0,D2396=""),"",IFERROR(INDEX(ca_fam,MATCH(D2396,ca_name,0))&amp;"",""))</f>
        <v/>
      </c>
      <c r="H2396" s="58" t="str">
        <f>IF(OR(COUNTA(A2396:E2396)=0,D2396=""),"",IFERROR(INDEX(ca_type,MATCH(D2396,ca_name,0))&amp;"",""))</f>
        <v/>
      </c>
      <c r="I2396" s="58" t="str">
        <f>IF(COUNTA(A2396:E2396)=0,"",IF(N(A2396)&lt;=0,"Date manquante ou invalide",IF(B2396="","Équipe manquante",IF(ISNA(MATCH(B2396,eq_code,0)),"Équipe inconnue",IF(C2396="","Poste manquant",IF(ISNA(MATCH(C2396,po_code,0)),"Poste inconnu",IF(D2396="","Cause manquante",IF(ISNA(MATCH(D2396,ca_name,0)),"Cause inconnue",IF(H2396="","Cause à compléter dans Paramètres",IF(OR(NOT(ISNUMBER(E2396)),N(E2396)&lt;=0,N(E2396)&gt;1440),"Durée invalide",IF(COUNTIFS(sj_date,A2396,sj_eq,B2396,sj_po,C2396)=0,"Pas de saisie journalière ce jour-là","OK")))))))))))</f>
        <v/>
      </c>
      <c r="J2396">
        <f>IF(OR(I2396="OK",I2396="Pas de saisie journalière ce jour-là"),E2396,0)</f>
        <v>0.0</v>
      </c>
      <c r="K2396">
        <f>IF(AND(J2396&gt;0,A2396&gt;=p_from,A2396&lt;=p_to),1,0)</f>
        <v>0.0</v>
      </c>
      <c r="L2396">
        <f>IF(AND(K2396=1,OR(pa_po="",C2396=pa_po),OR(pa_eq="",B2396=pa_eq)),1,0)</f>
        <v>0.0</v>
      </c>
    </row>
    <row r="2397">
      <c r="A2397" s="51" t="n"/>
      <c r="B2397" s="52" t="n"/>
      <c r="C2397" s="52" t="n"/>
      <c r="D2397" s="53" t="n"/>
      <c r="E2397" s="60" t="n"/>
      <c r="F2397" s="53" t="n"/>
      <c r="G2397" s="61" t="str">
        <f>IF(OR(COUNTA(A2397:E2397)=0,D2397=""),"",IFERROR(INDEX(ca_fam,MATCH(D2397,ca_name,0))&amp;"",""))</f>
        <v/>
      </c>
      <c r="H2397" s="58" t="str">
        <f>IF(OR(COUNTA(A2397:E2397)=0,D2397=""),"",IFERROR(INDEX(ca_type,MATCH(D2397,ca_name,0))&amp;"",""))</f>
        <v/>
      </c>
      <c r="I2397" s="58" t="str">
        <f>IF(COUNTA(A2397:E2397)=0,"",IF(N(A2397)&lt;=0,"Date manquante ou invalide",IF(B2397="","Équipe manquante",IF(ISNA(MATCH(B2397,eq_code,0)),"Équipe inconnue",IF(C2397="","Poste manquant",IF(ISNA(MATCH(C2397,po_code,0)),"Poste inconnu",IF(D2397="","Cause manquante",IF(ISNA(MATCH(D2397,ca_name,0)),"Cause inconnue",IF(H2397="","Cause à compléter dans Paramètres",IF(OR(NOT(ISNUMBER(E2397)),N(E2397)&lt;=0,N(E2397)&gt;1440),"Durée invalide",IF(COUNTIFS(sj_date,A2397,sj_eq,B2397,sj_po,C2397)=0,"Pas de saisie journalière ce jour-là","OK")))))))))))</f>
        <v/>
      </c>
      <c r="J2397">
        <f>IF(OR(I2397="OK",I2397="Pas de saisie journalière ce jour-là"),E2397,0)</f>
        <v>0.0</v>
      </c>
      <c r="K2397">
        <f>IF(AND(J2397&gt;0,A2397&gt;=p_from,A2397&lt;=p_to),1,0)</f>
        <v>0.0</v>
      </c>
      <c r="L2397">
        <f>IF(AND(K2397=1,OR(pa_po="",C2397=pa_po),OR(pa_eq="",B2397=pa_eq)),1,0)</f>
        <v>0.0</v>
      </c>
    </row>
    <row r="2398">
      <c r="A2398" s="51" t="n"/>
      <c r="B2398" s="52" t="n"/>
      <c r="C2398" s="52" t="n"/>
      <c r="D2398" s="53" t="n"/>
      <c r="E2398" s="60" t="n"/>
      <c r="F2398" s="53" t="n"/>
      <c r="G2398" s="61" t="str">
        <f>IF(OR(COUNTA(A2398:E2398)=0,D2398=""),"",IFERROR(INDEX(ca_fam,MATCH(D2398,ca_name,0))&amp;"",""))</f>
        <v/>
      </c>
      <c r="H2398" s="58" t="str">
        <f>IF(OR(COUNTA(A2398:E2398)=0,D2398=""),"",IFERROR(INDEX(ca_type,MATCH(D2398,ca_name,0))&amp;"",""))</f>
        <v/>
      </c>
      <c r="I2398" s="58" t="str">
        <f>IF(COUNTA(A2398:E2398)=0,"",IF(N(A2398)&lt;=0,"Date manquante ou invalide",IF(B2398="","Équipe manquante",IF(ISNA(MATCH(B2398,eq_code,0)),"Équipe inconnue",IF(C2398="","Poste manquant",IF(ISNA(MATCH(C2398,po_code,0)),"Poste inconnu",IF(D2398="","Cause manquante",IF(ISNA(MATCH(D2398,ca_name,0)),"Cause inconnue",IF(H2398="","Cause à compléter dans Paramètres",IF(OR(NOT(ISNUMBER(E2398)),N(E2398)&lt;=0,N(E2398)&gt;1440),"Durée invalide",IF(COUNTIFS(sj_date,A2398,sj_eq,B2398,sj_po,C2398)=0,"Pas de saisie journalière ce jour-là","OK")))))))))))</f>
        <v/>
      </c>
      <c r="J2398">
        <f>IF(OR(I2398="OK",I2398="Pas de saisie journalière ce jour-là"),E2398,0)</f>
        <v>0.0</v>
      </c>
      <c r="K2398">
        <f>IF(AND(J2398&gt;0,A2398&gt;=p_from,A2398&lt;=p_to),1,0)</f>
        <v>0.0</v>
      </c>
      <c r="L2398">
        <f>IF(AND(K2398=1,OR(pa_po="",C2398=pa_po),OR(pa_eq="",B2398=pa_eq)),1,0)</f>
        <v>0.0</v>
      </c>
    </row>
    <row r="2399">
      <c r="A2399" s="51" t="n"/>
      <c r="B2399" s="52" t="n"/>
      <c r="C2399" s="52" t="n"/>
      <c r="D2399" s="53" t="n"/>
      <c r="E2399" s="60" t="n"/>
      <c r="F2399" s="53" t="n"/>
      <c r="G2399" s="61" t="str">
        <f>IF(OR(COUNTA(A2399:E2399)=0,D2399=""),"",IFERROR(INDEX(ca_fam,MATCH(D2399,ca_name,0))&amp;"",""))</f>
        <v/>
      </c>
      <c r="H2399" s="58" t="str">
        <f>IF(OR(COUNTA(A2399:E2399)=0,D2399=""),"",IFERROR(INDEX(ca_type,MATCH(D2399,ca_name,0))&amp;"",""))</f>
        <v/>
      </c>
      <c r="I2399" s="58" t="str">
        <f>IF(COUNTA(A2399:E2399)=0,"",IF(N(A2399)&lt;=0,"Date manquante ou invalide",IF(B2399="","Équipe manquante",IF(ISNA(MATCH(B2399,eq_code,0)),"Équipe inconnue",IF(C2399="","Poste manquant",IF(ISNA(MATCH(C2399,po_code,0)),"Poste inconnu",IF(D2399="","Cause manquante",IF(ISNA(MATCH(D2399,ca_name,0)),"Cause inconnue",IF(H2399="","Cause à compléter dans Paramètres",IF(OR(NOT(ISNUMBER(E2399)),N(E2399)&lt;=0,N(E2399)&gt;1440),"Durée invalide",IF(COUNTIFS(sj_date,A2399,sj_eq,B2399,sj_po,C2399)=0,"Pas de saisie journalière ce jour-là","OK")))))))))))</f>
        <v/>
      </c>
      <c r="J2399">
        <f>IF(OR(I2399="OK",I2399="Pas de saisie journalière ce jour-là"),E2399,0)</f>
        <v>0.0</v>
      </c>
      <c r="K2399">
        <f>IF(AND(J2399&gt;0,A2399&gt;=p_from,A2399&lt;=p_to),1,0)</f>
        <v>0.0</v>
      </c>
      <c r="L2399">
        <f>IF(AND(K2399=1,OR(pa_po="",C2399=pa_po),OR(pa_eq="",B2399=pa_eq)),1,0)</f>
        <v>0.0</v>
      </c>
    </row>
    <row r="2400">
      <c r="A2400" s="51" t="n"/>
      <c r="B2400" s="52" t="n"/>
      <c r="C2400" s="52" t="n"/>
      <c r="D2400" s="53" t="n"/>
      <c r="E2400" s="60" t="n"/>
      <c r="F2400" s="53" t="n"/>
      <c r="G2400" s="61" t="str">
        <f>IF(OR(COUNTA(A2400:E2400)=0,D2400=""),"",IFERROR(INDEX(ca_fam,MATCH(D2400,ca_name,0))&amp;"",""))</f>
        <v/>
      </c>
      <c r="H2400" s="58" t="str">
        <f>IF(OR(COUNTA(A2400:E2400)=0,D2400=""),"",IFERROR(INDEX(ca_type,MATCH(D2400,ca_name,0))&amp;"",""))</f>
        <v/>
      </c>
      <c r="I2400" s="58" t="str">
        <f>IF(COUNTA(A2400:E2400)=0,"",IF(N(A2400)&lt;=0,"Date manquante ou invalide",IF(B2400="","Équipe manquante",IF(ISNA(MATCH(B2400,eq_code,0)),"Équipe inconnue",IF(C2400="","Poste manquant",IF(ISNA(MATCH(C2400,po_code,0)),"Poste inconnu",IF(D2400="","Cause manquante",IF(ISNA(MATCH(D2400,ca_name,0)),"Cause inconnue",IF(H2400="","Cause à compléter dans Paramètres",IF(OR(NOT(ISNUMBER(E2400)),N(E2400)&lt;=0,N(E2400)&gt;1440),"Durée invalide",IF(COUNTIFS(sj_date,A2400,sj_eq,B2400,sj_po,C2400)=0,"Pas de saisie journalière ce jour-là","OK")))))))))))</f>
        <v/>
      </c>
      <c r="J2400">
        <f>IF(OR(I2400="OK",I2400="Pas de saisie journalière ce jour-là"),E2400,0)</f>
        <v>0.0</v>
      </c>
      <c r="K2400">
        <f>IF(AND(J2400&gt;0,A2400&gt;=p_from,A2400&lt;=p_to),1,0)</f>
        <v>0.0</v>
      </c>
      <c r="L2400">
        <f>IF(AND(K2400=1,OR(pa_po="",C2400=pa_po),OR(pa_eq="",B2400=pa_eq)),1,0)</f>
        <v>0.0</v>
      </c>
    </row>
    <row r="2401">
      <c r="A2401" s="51" t="n"/>
      <c r="B2401" s="52" t="n"/>
      <c r="C2401" s="52" t="n"/>
      <c r="D2401" s="53" t="n"/>
      <c r="E2401" s="60" t="n"/>
      <c r="F2401" s="53" t="n"/>
      <c r="G2401" s="61" t="str">
        <f>IF(OR(COUNTA(A2401:E2401)=0,D2401=""),"",IFERROR(INDEX(ca_fam,MATCH(D2401,ca_name,0))&amp;"",""))</f>
        <v/>
      </c>
      <c r="H2401" s="58" t="str">
        <f>IF(OR(COUNTA(A2401:E2401)=0,D2401=""),"",IFERROR(INDEX(ca_type,MATCH(D2401,ca_name,0))&amp;"",""))</f>
        <v/>
      </c>
      <c r="I2401" s="58" t="str">
        <f>IF(COUNTA(A2401:E2401)=0,"",IF(N(A2401)&lt;=0,"Date manquante ou invalide",IF(B2401="","Équipe manquante",IF(ISNA(MATCH(B2401,eq_code,0)),"Équipe inconnue",IF(C2401="","Poste manquant",IF(ISNA(MATCH(C2401,po_code,0)),"Poste inconnu",IF(D2401="","Cause manquante",IF(ISNA(MATCH(D2401,ca_name,0)),"Cause inconnue",IF(H2401="","Cause à compléter dans Paramètres",IF(OR(NOT(ISNUMBER(E2401)),N(E2401)&lt;=0,N(E2401)&gt;1440),"Durée invalide",IF(COUNTIFS(sj_date,A2401,sj_eq,B2401,sj_po,C2401)=0,"Pas de saisie journalière ce jour-là","OK")))))))))))</f>
        <v/>
      </c>
      <c r="J2401">
        <f>IF(OR(I2401="OK",I2401="Pas de saisie journalière ce jour-là"),E2401,0)</f>
        <v>0.0</v>
      </c>
      <c r="K2401">
        <f>IF(AND(J2401&gt;0,A2401&gt;=p_from,A2401&lt;=p_to),1,0)</f>
        <v>0.0</v>
      </c>
      <c r="L2401">
        <f>IF(AND(K2401=1,OR(pa_po="",C2401=pa_po),OR(pa_eq="",B2401=pa_eq)),1,0)</f>
        <v>0.0</v>
      </c>
    </row>
    <row r="2402">
      <c r="A2402" s="51" t="n"/>
      <c r="B2402" s="52" t="n"/>
      <c r="C2402" s="52" t="n"/>
      <c r="D2402" s="53" t="n"/>
      <c r="E2402" s="60" t="n"/>
      <c r="F2402" s="53" t="n"/>
      <c r="G2402" s="61" t="str">
        <f>IF(OR(COUNTA(A2402:E2402)=0,D2402=""),"",IFERROR(INDEX(ca_fam,MATCH(D2402,ca_name,0))&amp;"",""))</f>
        <v/>
      </c>
      <c r="H2402" s="58" t="str">
        <f>IF(OR(COUNTA(A2402:E2402)=0,D2402=""),"",IFERROR(INDEX(ca_type,MATCH(D2402,ca_name,0))&amp;"",""))</f>
        <v/>
      </c>
      <c r="I2402" s="58" t="str">
        <f>IF(COUNTA(A2402:E2402)=0,"",IF(N(A2402)&lt;=0,"Date manquante ou invalide",IF(B2402="","Équipe manquante",IF(ISNA(MATCH(B2402,eq_code,0)),"Équipe inconnue",IF(C2402="","Poste manquant",IF(ISNA(MATCH(C2402,po_code,0)),"Poste inconnu",IF(D2402="","Cause manquante",IF(ISNA(MATCH(D2402,ca_name,0)),"Cause inconnue",IF(H2402="","Cause à compléter dans Paramètres",IF(OR(NOT(ISNUMBER(E2402)),N(E2402)&lt;=0,N(E2402)&gt;1440),"Durée invalide",IF(COUNTIFS(sj_date,A2402,sj_eq,B2402,sj_po,C2402)=0,"Pas de saisie journalière ce jour-là","OK")))))))))))</f>
        <v/>
      </c>
      <c r="J2402">
        <f>IF(OR(I2402="OK",I2402="Pas de saisie journalière ce jour-là"),E2402,0)</f>
        <v>0.0</v>
      </c>
      <c r="K2402">
        <f>IF(AND(J2402&gt;0,A2402&gt;=p_from,A2402&lt;=p_to),1,0)</f>
        <v>0.0</v>
      </c>
      <c r="L2402">
        <f>IF(AND(K2402=1,OR(pa_po="",C2402=pa_po),OR(pa_eq="",B2402=pa_eq)),1,0)</f>
        <v>0.0</v>
      </c>
    </row>
    <row r="2403">
      <c r="A2403" s="51" t="n"/>
      <c r="B2403" s="52" t="n"/>
      <c r="C2403" s="52" t="n"/>
      <c r="D2403" s="53" t="n"/>
      <c r="E2403" s="60" t="n"/>
      <c r="F2403" s="53" t="n"/>
      <c r="G2403" s="61" t="str">
        <f>IF(OR(COUNTA(A2403:E2403)=0,D2403=""),"",IFERROR(INDEX(ca_fam,MATCH(D2403,ca_name,0))&amp;"",""))</f>
        <v/>
      </c>
      <c r="H2403" s="58" t="str">
        <f>IF(OR(COUNTA(A2403:E2403)=0,D2403=""),"",IFERROR(INDEX(ca_type,MATCH(D2403,ca_name,0))&amp;"",""))</f>
        <v/>
      </c>
      <c r="I2403" s="58" t="str">
        <f>IF(COUNTA(A2403:E2403)=0,"",IF(N(A2403)&lt;=0,"Date manquante ou invalide",IF(B2403="","Équipe manquante",IF(ISNA(MATCH(B2403,eq_code,0)),"Équipe inconnue",IF(C2403="","Poste manquant",IF(ISNA(MATCH(C2403,po_code,0)),"Poste inconnu",IF(D2403="","Cause manquante",IF(ISNA(MATCH(D2403,ca_name,0)),"Cause inconnue",IF(H2403="","Cause à compléter dans Paramètres",IF(OR(NOT(ISNUMBER(E2403)),N(E2403)&lt;=0,N(E2403)&gt;1440),"Durée invalide",IF(COUNTIFS(sj_date,A2403,sj_eq,B2403,sj_po,C2403)=0,"Pas de saisie journalière ce jour-là","OK")))))))))))</f>
        <v/>
      </c>
      <c r="J2403">
        <f>IF(OR(I2403="OK",I2403="Pas de saisie journalière ce jour-là"),E2403,0)</f>
        <v>0.0</v>
      </c>
      <c r="K2403">
        <f>IF(AND(J2403&gt;0,A2403&gt;=p_from,A2403&lt;=p_to),1,0)</f>
        <v>0.0</v>
      </c>
      <c r="L2403">
        <f>IF(AND(K2403=1,OR(pa_po="",C2403=pa_po),OR(pa_eq="",B2403=pa_eq)),1,0)</f>
        <v>0.0</v>
      </c>
    </row>
    <row r="2404">
      <c r="A2404" s="51" t="n"/>
      <c r="B2404" s="52" t="n"/>
      <c r="C2404" s="52" t="n"/>
      <c r="D2404" s="53" t="n"/>
      <c r="E2404" s="60" t="n"/>
      <c r="F2404" s="53" t="n"/>
      <c r="G2404" s="61" t="str">
        <f>IF(OR(COUNTA(A2404:E2404)=0,D2404=""),"",IFERROR(INDEX(ca_fam,MATCH(D2404,ca_name,0))&amp;"",""))</f>
        <v/>
      </c>
      <c r="H2404" s="58" t="str">
        <f>IF(OR(COUNTA(A2404:E2404)=0,D2404=""),"",IFERROR(INDEX(ca_type,MATCH(D2404,ca_name,0))&amp;"",""))</f>
        <v/>
      </c>
      <c r="I2404" s="58" t="str">
        <f>IF(COUNTA(A2404:E2404)=0,"",IF(N(A2404)&lt;=0,"Date manquante ou invalide",IF(B2404="","Équipe manquante",IF(ISNA(MATCH(B2404,eq_code,0)),"Équipe inconnue",IF(C2404="","Poste manquant",IF(ISNA(MATCH(C2404,po_code,0)),"Poste inconnu",IF(D2404="","Cause manquante",IF(ISNA(MATCH(D2404,ca_name,0)),"Cause inconnue",IF(H2404="","Cause à compléter dans Paramètres",IF(OR(NOT(ISNUMBER(E2404)),N(E2404)&lt;=0,N(E2404)&gt;1440),"Durée invalide",IF(COUNTIFS(sj_date,A2404,sj_eq,B2404,sj_po,C2404)=0,"Pas de saisie journalière ce jour-là","OK")))))))))))</f>
        <v/>
      </c>
      <c r="J2404">
        <f>IF(OR(I2404="OK",I2404="Pas de saisie journalière ce jour-là"),E2404,0)</f>
        <v>0.0</v>
      </c>
      <c r="K2404">
        <f>IF(AND(J2404&gt;0,A2404&gt;=p_from,A2404&lt;=p_to),1,0)</f>
        <v>0.0</v>
      </c>
      <c r="L2404">
        <f>IF(AND(K2404=1,OR(pa_po="",C2404=pa_po),OR(pa_eq="",B2404=pa_eq)),1,0)</f>
        <v>0.0</v>
      </c>
    </row>
    <row r="2405">
      <c r="A2405" s="51" t="n"/>
      <c r="B2405" s="52" t="n"/>
      <c r="C2405" s="52" t="n"/>
      <c r="D2405" s="53" t="n"/>
      <c r="E2405" s="60" t="n"/>
      <c r="F2405" s="53" t="n"/>
      <c r="G2405" s="61" t="str">
        <f>IF(OR(COUNTA(A2405:E2405)=0,D2405=""),"",IFERROR(INDEX(ca_fam,MATCH(D2405,ca_name,0))&amp;"",""))</f>
        <v/>
      </c>
      <c r="H2405" s="58" t="str">
        <f>IF(OR(COUNTA(A2405:E2405)=0,D2405=""),"",IFERROR(INDEX(ca_type,MATCH(D2405,ca_name,0))&amp;"",""))</f>
        <v/>
      </c>
      <c r="I2405" s="58" t="str">
        <f>IF(COUNTA(A2405:E2405)=0,"",IF(N(A2405)&lt;=0,"Date manquante ou invalide",IF(B2405="","Équipe manquante",IF(ISNA(MATCH(B2405,eq_code,0)),"Équipe inconnue",IF(C2405="","Poste manquant",IF(ISNA(MATCH(C2405,po_code,0)),"Poste inconnu",IF(D2405="","Cause manquante",IF(ISNA(MATCH(D2405,ca_name,0)),"Cause inconnue",IF(H2405="","Cause à compléter dans Paramètres",IF(OR(NOT(ISNUMBER(E2405)),N(E2405)&lt;=0,N(E2405)&gt;1440),"Durée invalide",IF(COUNTIFS(sj_date,A2405,sj_eq,B2405,sj_po,C2405)=0,"Pas de saisie journalière ce jour-là","OK")))))))))))</f>
        <v/>
      </c>
      <c r="J2405">
        <f>IF(OR(I2405="OK",I2405="Pas de saisie journalière ce jour-là"),E2405,0)</f>
        <v>0.0</v>
      </c>
      <c r="K2405">
        <f>IF(AND(J2405&gt;0,A2405&gt;=p_from,A2405&lt;=p_to),1,0)</f>
        <v>0.0</v>
      </c>
      <c r="L2405">
        <f>IF(AND(K2405=1,OR(pa_po="",C2405=pa_po),OR(pa_eq="",B2405=pa_eq)),1,0)</f>
        <v>0.0</v>
      </c>
    </row>
    <row r="2406">
      <c r="A2406" s="51" t="n"/>
      <c r="B2406" s="52" t="n"/>
      <c r="C2406" s="52" t="n"/>
      <c r="D2406" s="53" t="n"/>
      <c r="E2406" s="60" t="n"/>
      <c r="F2406" s="53" t="n"/>
      <c r="G2406" s="61" t="str">
        <f>IF(OR(COUNTA(A2406:E2406)=0,D2406=""),"",IFERROR(INDEX(ca_fam,MATCH(D2406,ca_name,0))&amp;"",""))</f>
        <v/>
      </c>
      <c r="H2406" s="58" t="str">
        <f>IF(OR(COUNTA(A2406:E2406)=0,D2406=""),"",IFERROR(INDEX(ca_type,MATCH(D2406,ca_name,0))&amp;"",""))</f>
        <v/>
      </c>
      <c r="I2406" s="58" t="str">
        <f>IF(COUNTA(A2406:E2406)=0,"",IF(N(A2406)&lt;=0,"Date manquante ou invalide",IF(B2406="","Équipe manquante",IF(ISNA(MATCH(B2406,eq_code,0)),"Équipe inconnue",IF(C2406="","Poste manquant",IF(ISNA(MATCH(C2406,po_code,0)),"Poste inconnu",IF(D2406="","Cause manquante",IF(ISNA(MATCH(D2406,ca_name,0)),"Cause inconnue",IF(H2406="","Cause à compléter dans Paramètres",IF(OR(NOT(ISNUMBER(E2406)),N(E2406)&lt;=0,N(E2406)&gt;1440),"Durée invalide",IF(COUNTIFS(sj_date,A2406,sj_eq,B2406,sj_po,C2406)=0,"Pas de saisie journalière ce jour-là","OK")))))))))))</f>
        <v/>
      </c>
      <c r="J2406">
        <f>IF(OR(I2406="OK",I2406="Pas de saisie journalière ce jour-là"),E2406,0)</f>
        <v>0.0</v>
      </c>
      <c r="K2406">
        <f>IF(AND(J2406&gt;0,A2406&gt;=p_from,A2406&lt;=p_to),1,0)</f>
        <v>0.0</v>
      </c>
      <c r="L2406">
        <f>IF(AND(K2406=1,OR(pa_po="",C2406=pa_po),OR(pa_eq="",B2406=pa_eq)),1,0)</f>
        <v>0.0</v>
      </c>
    </row>
    <row r="2407">
      <c r="A2407" s="51" t="n"/>
      <c r="B2407" s="52" t="n"/>
      <c r="C2407" s="52" t="n"/>
      <c r="D2407" s="53" t="n"/>
      <c r="E2407" s="60" t="n"/>
      <c r="F2407" s="53" t="n"/>
      <c r="G2407" s="61" t="str">
        <f>IF(OR(COUNTA(A2407:E2407)=0,D2407=""),"",IFERROR(INDEX(ca_fam,MATCH(D2407,ca_name,0))&amp;"",""))</f>
        <v/>
      </c>
      <c r="H2407" s="58" t="str">
        <f>IF(OR(COUNTA(A2407:E2407)=0,D2407=""),"",IFERROR(INDEX(ca_type,MATCH(D2407,ca_name,0))&amp;"",""))</f>
        <v/>
      </c>
      <c r="I2407" s="58" t="str">
        <f>IF(COUNTA(A2407:E2407)=0,"",IF(N(A2407)&lt;=0,"Date manquante ou invalide",IF(B2407="","Équipe manquante",IF(ISNA(MATCH(B2407,eq_code,0)),"Équipe inconnue",IF(C2407="","Poste manquant",IF(ISNA(MATCH(C2407,po_code,0)),"Poste inconnu",IF(D2407="","Cause manquante",IF(ISNA(MATCH(D2407,ca_name,0)),"Cause inconnue",IF(H2407="","Cause à compléter dans Paramètres",IF(OR(NOT(ISNUMBER(E2407)),N(E2407)&lt;=0,N(E2407)&gt;1440),"Durée invalide",IF(COUNTIFS(sj_date,A2407,sj_eq,B2407,sj_po,C2407)=0,"Pas de saisie journalière ce jour-là","OK")))))))))))</f>
        <v/>
      </c>
      <c r="J2407">
        <f>IF(OR(I2407="OK",I2407="Pas de saisie journalière ce jour-là"),E2407,0)</f>
        <v>0.0</v>
      </c>
      <c r="K2407">
        <f>IF(AND(J2407&gt;0,A2407&gt;=p_from,A2407&lt;=p_to),1,0)</f>
        <v>0.0</v>
      </c>
      <c r="L2407">
        <f>IF(AND(K2407=1,OR(pa_po="",C2407=pa_po),OR(pa_eq="",B2407=pa_eq)),1,0)</f>
        <v>0.0</v>
      </c>
    </row>
    <row r="2408">
      <c r="A2408" s="51" t="n"/>
      <c r="B2408" s="52" t="n"/>
      <c r="C2408" s="52" t="n"/>
      <c r="D2408" s="53" t="n"/>
      <c r="E2408" s="60" t="n"/>
      <c r="F2408" s="53" t="n"/>
      <c r="G2408" s="61" t="str">
        <f>IF(OR(COUNTA(A2408:E2408)=0,D2408=""),"",IFERROR(INDEX(ca_fam,MATCH(D2408,ca_name,0))&amp;"",""))</f>
        <v/>
      </c>
      <c r="H2408" s="58" t="str">
        <f>IF(OR(COUNTA(A2408:E2408)=0,D2408=""),"",IFERROR(INDEX(ca_type,MATCH(D2408,ca_name,0))&amp;"",""))</f>
        <v/>
      </c>
      <c r="I2408" s="58" t="str">
        <f>IF(COUNTA(A2408:E2408)=0,"",IF(N(A2408)&lt;=0,"Date manquante ou invalide",IF(B2408="","Équipe manquante",IF(ISNA(MATCH(B2408,eq_code,0)),"Équipe inconnue",IF(C2408="","Poste manquant",IF(ISNA(MATCH(C2408,po_code,0)),"Poste inconnu",IF(D2408="","Cause manquante",IF(ISNA(MATCH(D2408,ca_name,0)),"Cause inconnue",IF(H2408="","Cause à compléter dans Paramètres",IF(OR(NOT(ISNUMBER(E2408)),N(E2408)&lt;=0,N(E2408)&gt;1440),"Durée invalide",IF(COUNTIFS(sj_date,A2408,sj_eq,B2408,sj_po,C2408)=0,"Pas de saisie journalière ce jour-là","OK")))))))))))</f>
        <v/>
      </c>
      <c r="J2408">
        <f>IF(OR(I2408="OK",I2408="Pas de saisie journalière ce jour-là"),E2408,0)</f>
        <v>0.0</v>
      </c>
      <c r="K2408">
        <f>IF(AND(J2408&gt;0,A2408&gt;=p_from,A2408&lt;=p_to),1,0)</f>
        <v>0.0</v>
      </c>
      <c r="L2408">
        <f>IF(AND(K2408=1,OR(pa_po="",C2408=pa_po),OR(pa_eq="",B2408=pa_eq)),1,0)</f>
        <v>0.0</v>
      </c>
    </row>
    <row r="2409">
      <c r="A2409" s="51" t="n"/>
      <c r="B2409" s="52" t="n"/>
      <c r="C2409" s="52" t="n"/>
      <c r="D2409" s="53" t="n"/>
      <c r="E2409" s="60" t="n"/>
      <c r="F2409" s="53" t="n"/>
      <c r="G2409" s="61" t="str">
        <f>IF(OR(COUNTA(A2409:E2409)=0,D2409=""),"",IFERROR(INDEX(ca_fam,MATCH(D2409,ca_name,0))&amp;"",""))</f>
        <v/>
      </c>
      <c r="H2409" s="58" t="str">
        <f>IF(OR(COUNTA(A2409:E2409)=0,D2409=""),"",IFERROR(INDEX(ca_type,MATCH(D2409,ca_name,0))&amp;"",""))</f>
        <v/>
      </c>
      <c r="I2409" s="58" t="str">
        <f>IF(COUNTA(A2409:E2409)=0,"",IF(N(A2409)&lt;=0,"Date manquante ou invalide",IF(B2409="","Équipe manquante",IF(ISNA(MATCH(B2409,eq_code,0)),"Équipe inconnue",IF(C2409="","Poste manquant",IF(ISNA(MATCH(C2409,po_code,0)),"Poste inconnu",IF(D2409="","Cause manquante",IF(ISNA(MATCH(D2409,ca_name,0)),"Cause inconnue",IF(H2409="","Cause à compléter dans Paramètres",IF(OR(NOT(ISNUMBER(E2409)),N(E2409)&lt;=0,N(E2409)&gt;1440),"Durée invalide",IF(COUNTIFS(sj_date,A2409,sj_eq,B2409,sj_po,C2409)=0,"Pas de saisie journalière ce jour-là","OK")))))))))))</f>
        <v/>
      </c>
      <c r="J2409">
        <f>IF(OR(I2409="OK",I2409="Pas de saisie journalière ce jour-là"),E2409,0)</f>
        <v>0.0</v>
      </c>
      <c r="K2409">
        <f>IF(AND(J2409&gt;0,A2409&gt;=p_from,A2409&lt;=p_to),1,0)</f>
        <v>0.0</v>
      </c>
      <c r="L2409">
        <f>IF(AND(K2409=1,OR(pa_po="",C2409=pa_po),OR(pa_eq="",B2409=pa_eq)),1,0)</f>
        <v>0.0</v>
      </c>
    </row>
    <row r="2410">
      <c r="A2410" s="51" t="n"/>
      <c r="B2410" s="52" t="n"/>
      <c r="C2410" s="52" t="n"/>
      <c r="D2410" s="53" t="n"/>
      <c r="E2410" s="60" t="n"/>
      <c r="F2410" s="53" t="n"/>
      <c r="G2410" s="61" t="str">
        <f>IF(OR(COUNTA(A2410:E2410)=0,D2410=""),"",IFERROR(INDEX(ca_fam,MATCH(D2410,ca_name,0))&amp;"",""))</f>
        <v/>
      </c>
      <c r="H2410" s="58" t="str">
        <f>IF(OR(COUNTA(A2410:E2410)=0,D2410=""),"",IFERROR(INDEX(ca_type,MATCH(D2410,ca_name,0))&amp;"",""))</f>
        <v/>
      </c>
      <c r="I2410" s="58" t="str">
        <f>IF(COUNTA(A2410:E2410)=0,"",IF(N(A2410)&lt;=0,"Date manquante ou invalide",IF(B2410="","Équipe manquante",IF(ISNA(MATCH(B2410,eq_code,0)),"Équipe inconnue",IF(C2410="","Poste manquant",IF(ISNA(MATCH(C2410,po_code,0)),"Poste inconnu",IF(D2410="","Cause manquante",IF(ISNA(MATCH(D2410,ca_name,0)),"Cause inconnue",IF(H2410="","Cause à compléter dans Paramètres",IF(OR(NOT(ISNUMBER(E2410)),N(E2410)&lt;=0,N(E2410)&gt;1440),"Durée invalide",IF(COUNTIFS(sj_date,A2410,sj_eq,B2410,sj_po,C2410)=0,"Pas de saisie journalière ce jour-là","OK")))))))))))</f>
        <v/>
      </c>
      <c r="J2410">
        <f>IF(OR(I2410="OK",I2410="Pas de saisie journalière ce jour-là"),E2410,0)</f>
        <v>0.0</v>
      </c>
      <c r="K2410">
        <f>IF(AND(J2410&gt;0,A2410&gt;=p_from,A2410&lt;=p_to),1,0)</f>
        <v>0.0</v>
      </c>
      <c r="L2410">
        <f>IF(AND(K2410=1,OR(pa_po="",C2410=pa_po),OR(pa_eq="",B2410=pa_eq)),1,0)</f>
        <v>0.0</v>
      </c>
    </row>
    <row r="2411">
      <c r="A2411" s="51" t="n"/>
      <c r="B2411" s="52" t="n"/>
      <c r="C2411" s="52" t="n"/>
      <c r="D2411" s="53" t="n"/>
      <c r="E2411" s="60" t="n"/>
      <c r="F2411" s="53" t="n"/>
      <c r="G2411" s="61" t="str">
        <f>IF(OR(COUNTA(A2411:E2411)=0,D2411=""),"",IFERROR(INDEX(ca_fam,MATCH(D2411,ca_name,0))&amp;"",""))</f>
        <v/>
      </c>
      <c r="H2411" s="58" t="str">
        <f>IF(OR(COUNTA(A2411:E2411)=0,D2411=""),"",IFERROR(INDEX(ca_type,MATCH(D2411,ca_name,0))&amp;"",""))</f>
        <v/>
      </c>
      <c r="I2411" s="58" t="str">
        <f>IF(COUNTA(A2411:E2411)=0,"",IF(N(A2411)&lt;=0,"Date manquante ou invalide",IF(B2411="","Équipe manquante",IF(ISNA(MATCH(B2411,eq_code,0)),"Équipe inconnue",IF(C2411="","Poste manquant",IF(ISNA(MATCH(C2411,po_code,0)),"Poste inconnu",IF(D2411="","Cause manquante",IF(ISNA(MATCH(D2411,ca_name,0)),"Cause inconnue",IF(H2411="","Cause à compléter dans Paramètres",IF(OR(NOT(ISNUMBER(E2411)),N(E2411)&lt;=0,N(E2411)&gt;1440),"Durée invalide",IF(COUNTIFS(sj_date,A2411,sj_eq,B2411,sj_po,C2411)=0,"Pas de saisie journalière ce jour-là","OK")))))))))))</f>
        <v/>
      </c>
      <c r="J2411">
        <f>IF(OR(I2411="OK",I2411="Pas de saisie journalière ce jour-là"),E2411,0)</f>
        <v>0.0</v>
      </c>
      <c r="K2411">
        <f>IF(AND(J2411&gt;0,A2411&gt;=p_from,A2411&lt;=p_to),1,0)</f>
        <v>0.0</v>
      </c>
      <c r="L2411">
        <f>IF(AND(K2411=1,OR(pa_po="",C2411=pa_po),OR(pa_eq="",B2411=pa_eq)),1,0)</f>
        <v>0.0</v>
      </c>
    </row>
    <row r="2412">
      <c r="A2412" s="51" t="n"/>
      <c r="B2412" s="52" t="n"/>
      <c r="C2412" s="52" t="n"/>
      <c r="D2412" s="53" t="n"/>
      <c r="E2412" s="60" t="n"/>
      <c r="F2412" s="53" t="n"/>
      <c r="G2412" s="61" t="str">
        <f>IF(OR(COUNTA(A2412:E2412)=0,D2412=""),"",IFERROR(INDEX(ca_fam,MATCH(D2412,ca_name,0))&amp;"",""))</f>
        <v/>
      </c>
      <c r="H2412" s="58" t="str">
        <f>IF(OR(COUNTA(A2412:E2412)=0,D2412=""),"",IFERROR(INDEX(ca_type,MATCH(D2412,ca_name,0))&amp;"",""))</f>
        <v/>
      </c>
      <c r="I2412" s="58" t="str">
        <f>IF(COUNTA(A2412:E2412)=0,"",IF(N(A2412)&lt;=0,"Date manquante ou invalide",IF(B2412="","Équipe manquante",IF(ISNA(MATCH(B2412,eq_code,0)),"Équipe inconnue",IF(C2412="","Poste manquant",IF(ISNA(MATCH(C2412,po_code,0)),"Poste inconnu",IF(D2412="","Cause manquante",IF(ISNA(MATCH(D2412,ca_name,0)),"Cause inconnue",IF(H2412="","Cause à compléter dans Paramètres",IF(OR(NOT(ISNUMBER(E2412)),N(E2412)&lt;=0,N(E2412)&gt;1440),"Durée invalide",IF(COUNTIFS(sj_date,A2412,sj_eq,B2412,sj_po,C2412)=0,"Pas de saisie journalière ce jour-là","OK")))))))))))</f>
        <v/>
      </c>
      <c r="J2412">
        <f>IF(OR(I2412="OK",I2412="Pas de saisie journalière ce jour-là"),E2412,0)</f>
        <v>0.0</v>
      </c>
      <c r="K2412">
        <f>IF(AND(J2412&gt;0,A2412&gt;=p_from,A2412&lt;=p_to),1,0)</f>
        <v>0.0</v>
      </c>
      <c r="L2412">
        <f>IF(AND(K2412=1,OR(pa_po="",C2412=pa_po),OR(pa_eq="",B2412=pa_eq)),1,0)</f>
        <v>0.0</v>
      </c>
    </row>
    <row r="2413">
      <c r="A2413" s="51" t="n"/>
      <c r="B2413" s="52" t="n"/>
      <c r="C2413" s="52" t="n"/>
      <c r="D2413" s="53" t="n"/>
      <c r="E2413" s="60" t="n"/>
      <c r="F2413" s="53" t="n"/>
      <c r="G2413" s="61" t="str">
        <f>IF(OR(COUNTA(A2413:E2413)=0,D2413=""),"",IFERROR(INDEX(ca_fam,MATCH(D2413,ca_name,0))&amp;"",""))</f>
        <v/>
      </c>
      <c r="H2413" s="58" t="str">
        <f>IF(OR(COUNTA(A2413:E2413)=0,D2413=""),"",IFERROR(INDEX(ca_type,MATCH(D2413,ca_name,0))&amp;"",""))</f>
        <v/>
      </c>
      <c r="I2413" s="58" t="str">
        <f>IF(COUNTA(A2413:E2413)=0,"",IF(N(A2413)&lt;=0,"Date manquante ou invalide",IF(B2413="","Équipe manquante",IF(ISNA(MATCH(B2413,eq_code,0)),"Équipe inconnue",IF(C2413="","Poste manquant",IF(ISNA(MATCH(C2413,po_code,0)),"Poste inconnu",IF(D2413="","Cause manquante",IF(ISNA(MATCH(D2413,ca_name,0)),"Cause inconnue",IF(H2413="","Cause à compléter dans Paramètres",IF(OR(NOT(ISNUMBER(E2413)),N(E2413)&lt;=0,N(E2413)&gt;1440),"Durée invalide",IF(COUNTIFS(sj_date,A2413,sj_eq,B2413,sj_po,C2413)=0,"Pas de saisie journalière ce jour-là","OK")))))))))))</f>
        <v/>
      </c>
      <c r="J2413">
        <f>IF(OR(I2413="OK",I2413="Pas de saisie journalière ce jour-là"),E2413,0)</f>
        <v>0.0</v>
      </c>
      <c r="K2413">
        <f>IF(AND(J2413&gt;0,A2413&gt;=p_from,A2413&lt;=p_to),1,0)</f>
        <v>0.0</v>
      </c>
      <c r="L2413">
        <f>IF(AND(K2413=1,OR(pa_po="",C2413=pa_po),OR(pa_eq="",B2413=pa_eq)),1,0)</f>
        <v>0.0</v>
      </c>
    </row>
    <row r="2414">
      <c r="A2414" s="51" t="n"/>
      <c r="B2414" s="52" t="n"/>
      <c r="C2414" s="52" t="n"/>
      <c r="D2414" s="53" t="n"/>
      <c r="E2414" s="60" t="n"/>
      <c r="F2414" s="53" t="n"/>
      <c r="G2414" s="61" t="str">
        <f>IF(OR(COUNTA(A2414:E2414)=0,D2414=""),"",IFERROR(INDEX(ca_fam,MATCH(D2414,ca_name,0))&amp;"",""))</f>
        <v/>
      </c>
      <c r="H2414" s="58" t="str">
        <f>IF(OR(COUNTA(A2414:E2414)=0,D2414=""),"",IFERROR(INDEX(ca_type,MATCH(D2414,ca_name,0))&amp;"",""))</f>
        <v/>
      </c>
      <c r="I2414" s="58" t="str">
        <f>IF(COUNTA(A2414:E2414)=0,"",IF(N(A2414)&lt;=0,"Date manquante ou invalide",IF(B2414="","Équipe manquante",IF(ISNA(MATCH(B2414,eq_code,0)),"Équipe inconnue",IF(C2414="","Poste manquant",IF(ISNA(MATCH(C2414,po_code,0)),"Poste inconnu",IF(D2414="","Cause manquante",IF(ISNA(MATCH(D2414,ca_name,0)),"Cause inconnue",IF(H2414="","Cause à compléter dans Paramètres",IF(OR(NOT(ISNUMBER(E2414)),N(E2414)&lt;=0,N(E2414)&gt;1440),"Durée invalide",IF(COUNTIFS(sj_date,A2414,sj_eq,B2414,sj_po,C2414)=0,"Pas de saisie journalière ce jour-là","OK")))))))))))</f>
        <v/>
      </c>
      <c r="J2414">
        <f>IF(OR(I2414="OK",I2414="Pas de saisie journalière ce jour-là"),E2414,0)</f>
        <v>0.0</v>
      </c>
      <c r="K2414">
        <f>IF(AND(J2414&gt;0,A2414&gt;=p_from,A2414&lt;=p_to),1,0)</f>
        <v>0.0</v>
      </c>
      <c r="L2414">
        <f>IF(AND(K2414=1,OR(pa_po="",C2414=pa_po),OR(pa_eq="",B2414=pa_eq)),1,0)</f>
        <v>0.0</v>
      </c>
    </row>
    <row r="2415">
      <c r="A2415" s="51" t="n"/>
      <c r="B2415" s="52" t="n"/>
      <c r="C2415" s="52" t="n"/>
      <c r="D2415" s="53" t="n"/>
      <c r="E2415" s="60" t="n"/>
      <c r="F2415" s="53" t="n"/>
      <c r="G2415" s="61" t="str">
        <f>IF(OR(COUNTA(A2415:E2415)=0,D2415=""),"",IFERROR(INDEX(ca_fam,MATCH(D2415,ca_name,0))&amp;"",""))</f>
        <v/>
      </c>
      <c r="H2415" s="58" t="str">
        <f>IF(OR(COUNTA(A2415:E2415)=0,D2415=""),"",IFERROR(INDEX(ca_type,MATCH(D2415,ca_name,0))&amp;"",""))</f>
        <v/>
      </c>
      <c r="I2415" s="58" t="str">
        <f>IF(COUNTA(A2415:E2415)=0,"",IF(N(A2415)&lt;=0,"Date manquante ou invalide",IF(B2415="","Équipe manquante",IF(ISNA(MATCH(B2415,eq_code,0)),"Équipe inconnue",IF(C2415="","Poste manquant",IF(ISNA(MATCH(C2415,po_code,0)),"Poste inconnu",IF(D2415="","Cause manquante",IF(ISNA(MATCH(D2415,ca_name,0)),"Cause inconnue",IF(H2415="","Cause à compléter dans Paramètres",IF(OR(NOT(ISNUMBER(E2415)),N(E2415)&lt;=0,N(E2415)&gt;1440),"Durée invalide",IF(COUNTIFS(sj_date,A2415,sj_eq,B2415,sj_po,C2415)=0,"Pas de saisie journalière ce jour-là","OK")))))))))))</f>
        <v/>
      </c>
      <c r="J2415">
        <f>IF(OR(I2415="OK",I2415="Pas de saisie journalière ce jour-là"),E2415,0)</f>
        <v>0.0</v>
      </c>
      <c r="K2415">
        <f>IF(AND(J2415&gt;0,A2415&gt;=p_from,A2415&lt;=p_to),1,0)</f>
        <v>0.0</v>
      </c>
      <c r="L2415">
        <f>IF(AND(K2415=1,OR(pa_po="",C2415=pa_po),OR(pa_eq="",B2415=pa_eq)),1,0)</f>
        <v>0.0</v>
      </c>
    </row>
    <row r="2416">
      <c r="A2416" s="51" t="n"/>
      <c r="B2416" s="52" t="n"/>
      <c r="C2416" s="52" t="n"/>
      <c r="D2416" s="53" t="n"/>
      <c r="E2416" s="60" t="n"/>
      <c r="F2416" s="53" t="n"/>
      <c r="G2416" s="61" t="str">
        <f>IF(OR(COUNTA(A2416:E2416)=0,D2416=""),"",IFERROR(INDEX(ca_fam,MATCH(D2416,ca_name,0))&amp;"",""))</f>
        <v/>
      </c>
      <c r="H2416" s="58" t="str">
        <f>IF(OR(COUNTA(A2416:E2416)=0,D2416=""),"",IFERROR(INDEX(ca_type,MATCH(D2416,ca_name,0))&amp;"",""))</f>
        <v/>
      </c>
      <c r="I2416" s="58" t="str">
        <f>IF(COUNTA(A2416:E2416)=0,"",IF(N(A2416)&lt;=0,"Date manquante ou invalide",IF(B2416="","Équipe manquante",IF(ISNA(MATCH(B2416,eq_code,0)),"Équipe inconnue",IF(C2416="","Poste manquant",IF(ISNA(MATCH(C2416,po_code,0)),"Poste inconnu",IF(D2416="","Cause manquante",IF(ISNA(MATCH(D2416,ca_name,0)),"Cause inconnue",IF(H2416="","Cause à compléter dans Paramètres",IF(OR(NOT(ISNUMBER(E2416)),N(E2416)&lt;=0,N(E2416)&gt;1440),"Durée invalide",IF(COUNTIFS(sj_date,A2416,sj_eq,B2416,sj_po,C2416)=0,"Pas de saisie journalière ce jour-là","OK")))))))))))</f>
        <v/>
      </c>
      <c r="J2416">
        <f>IF(OR(I2416="OK",I2416="Pas de saisie journalière ce jour-là"),E2416,0)</f>
        <v>0.0</v>
      </c>
      <c r="K2416">
        <f>IF(AND(J2416&gt;0,A2416&gt;=p_from,A2416&lt;=p_to),1,0)</f>
        <v>0.0</v>
      </c>
      <c r="L2416">
        <f>IF(AND(K2416=1,OR(pa_po="",C2416=pa_po),OR(pa_eq="",B2416=pa_eq)),1,0)</f>
        <v>0.0</v>
      </c>
    </row>
    <row r="2417">
      <c r="A2417" s="51" t="n"/>
      <c r="B2417" s="52" t="n"/>
      <c r="C2417" s="52" t="n"/>
      <c r="D2417" s="53" t="n"/>
      <c r="E2417" s="60" t="n"/>
      <c r="F2417" s="53" t="n"/>
      <c r="G2417" s="61" t="str">
        <f>IF(OR(COUNTA(A2417:E2417)=0,D2417=""),"",IFERROR(INDEX(ca_fam,MATCH(D2417,ca_name,0))&amp;"",""))</f>
        <v/>
      </c>
      <c r="H2417" s="58" t="str">
        <f>IF(OR(COUNTA(A2417:E2417)=0,D2417=""),"",IFERROR(INDEX(ca_type,MATCH(D2417,ca_name,0))&amp;"",""))</f>
        <v/>
      </c>
      <c r="I2417" s="58" t="str">
        <f>IF(COUNTA(A2417:E2417)=0,"",IF(N(A2417)&lt;=0,"Date manquante ou invalide",IF(B2417="","Équipe manquante",IF(ISNA(MATCH(B2417,eq_code,0)),"Équipe inconnue",IF(C2417="","Poste manquant",IF(ISNA(MATCH(C2417,po_code,0)),"Poste inconnu",IF(D2417="","Cause manquante",IF(ISNA(MATCH(D2417,ca_name,0)),"Cause inconnue",IF(H2417="","Cause à compléter dans Paramètres",IF(OR(NOT(ISNUMBER(E2417)),N(E2417)&lt;=0,N(E2417)&gt;1440),"Durée invalide",IF(COUNTIFS(sj_date,A2417,sj_eq,B2417,sj_po,C2417)=0,"Pas de saisie journalière ce jour-là","OK")))))))))))</f>
        <v/>
      </c>
      <c r="J2417">
        <f>IF(OR(I2417="OK",I2417="Pas de saisie journalière ce jour-là"),E2417,0)</f>
        <v>0.0</v>
      </c>
      <c r="K2417">
        <f>IF(AND(J2417&gt;0,A2417&gt;=p_from,A2417&lt;=p_to),1,0)</f>
        <v>0.0</v>
      </c>
      <c r="L2417">
        <f>IF(AND(K2417=1,OR(pa_po="",C2417=pa_po),OR(pa_eq="",B2417=pa_eq)),1,0)</f>
        <v>0.0</v>
      </c>
    </row>
    <row r="2418">
      <c r="A2418" s="51" t="n"/>
      <c r="B2418" s="52" t="n"/>
      <c r="C2418" s="52" t="n"/>
      <c r="D2418" s="53" t="n"/>
      <c r="E2418" s="60" t="n"/>
      <c r="F2418" s="53" t="n"/>
      <c r="G2418" s="61" t="str">
        <f>IF(OR(COUNTA(A2418:E2418)=0,D2418=""),"",IFERROR(INDEX(ca_fam,MATCH(D2418,ca_name,0))&amp;"",""))</f>
        <v/>
      </c>
      <c r="H2418" s="58" t="str">
        <f>IF(OR(COUNTA(A2418:E2418)=0,D2418=""),"",IFERROR(INDEX(ca_type,MATCH(D2418,ca_name,0))&amp;"",""))</f>
        <v/>
      </c>
      <c r="I2418" s="58" t="str">
        <f>IF(COUNTA(A2418:E2418)=0,"",IF(N(A2418)&lt;=0,"Date manquante ou invalide",IF(B2418="","Équipe manquante",IF(ISNA(MATCH(B2418,eq_code,0)),"Équipe inconnue",IF(C2418="","Poste manquant",IF(ISNA(MATCH(C2418,po_code,0)),"Poste inconnu",IF(D2418="","Cause manquante",IF(ISNA(MATCH(D2418,ca_name,0)),"Cause inconnue",IF(H2418="","Cause à compléter dans Paramètres",IF(OR(NOT(ISNUMBER(E2418)),N(E2418)&lt;=0,N(E2418)&gt;1440),"Durée invalide",IF(COUNTIFS(sj_date,A2418,sj_eq,B2418,sj_po,C2418)=0,"Pas de saisie journalière ce jour-là","OK")))))))))))</f>
        <v/>
      </c>
      <c r="J2418">
        <f>IF(OR(I2418="OK",I2418="Pas de saisie journalière ce jour-là"),E2418,0)</f>
        <v>0.0</v>
      </c>
      <c r="K2418">
        <f>IF(AND(J2418&gt;0,A2418&gt;=p_from,A2418&lt;=p_to),1,0)</f>
        <v>0.0</v>
      </c>
      <c r="L2418">
        <f>IF(AND(K2418=1,OR(pa_po="",C2418=pa_po),OR(pa_eq="",B2418=pa_eq)),1,0)</f>
        <v>0.0</v>
      </c>
    </row>
    <row r="2419">
      <c r="A2419" s="51" t="n"/>
      <c r="B2419" s="52" t="n"/>
      <c r="C2419" s="52" t="n"/>
      <c r="D2419" s="53" t="n"/>
      <c r="E2419" s="60" t="n"/>
      <c r="F2419" s="53" t="n"/>
      <c r="G2419" s="61" t="str">
        <f>IF(OR(COUNTA(A2419:E2419)=0,D2419=""),"",IFERROR(INDEX(ca_fam,MATCH(D2419,ca_name,0))&amp;"",""))</f>
        <v/>
      </c>
      <c r="H2419" s="58" t="str">
        <f>IF(OR(COUNTA(A2419:E2419)=0,D2419=""),"",IFERROR(INDEX(ca_type,MATCH(D2419,ca_name,0))&amp;"",""))</f>
        <v/>
      </c>
      <c r="I2419" s="58" t="str">
        <f>IF(COUNTA(A2419:E2419)=0,"",IF(N(A2419)&lt;=0,"Date manquante ou invalide",IF(B2419="","Équipe manquante",IF(ISNA(MATCH(B2419,eq_code,0)),"Équipe inconnue",IF(C2419="","Poste manquant",IF(ISNA(MATCH(C2419,po_code,0)),"Poste inconnu",IF(D2419="","Cause manquante",IF(ISNA(MATCH(D2419,ca_name,0)),"Cause inconnue",IF(H2419="","Cause à compléter dans Paramètres",IF(OR(NOT(ISNUMBER(E2419)),N(E2419)&lt;=0,N(E2419)&gt;1440),"Durée invalide",IF(COUNTIFS(sj_date,A2419,sj_eq,B2419,sj_po,C2419)=0,"Pas de saisie journalière ce jour-là","OK")))))))))))</f>
        <v/>
      </c>
      <c r="J2419">
        <f>IF(OR(I2419="OK",I2419="Pas de saisie journalière ce jour-là"),E2419,0)</f>
        <v>0.0</v>
      </c>
      <c r="K2419">
        <f>IF(AND(J2419&gt;0,A2419&gt;=p_from,A2419&lt;=p_to),1,0)</f>
        <v>0.0</v>
      </c>
      <c r="L2419">
        <f>IF(AND(K2419=1,OR(pa_po="",C2419=pa_po),OR(pa_eq="",B2419=pa_eq)),1,0)</f>
        <v>0.0</v>
      </c>
    </row>
    <row r="2420">
      <c r="A2420" s="51" t="n"/>
      <c r="B2420" s="52" t="n"/>
      <c r="C2420" s="52" t="n"/>
      <c r="D2420" s="53" t="n"/>
      <c r="E2420" s="60" t="n"/>
      <c r="F2420" s="53" t="n"/>
      <c r="G2420" s="61" t="str">
        <f>IF(OR(COUNTA(A2420:E2420)=0,D2420=""),"",IFERROR(INDEX(ca_fam,MATCH(D2420,ca_name,0))&amp;"",""))</f>
        <v/>
      </c>
      <c r="H2420" s="58" t="str">
        <f>IF(OR(COUNTA(A2420:E2420)=0,D2420=""),"",IFERROR(INDEX(ca_type,MATCH(D2420,ca_name,0))&amp;"",""))</f>
        <v/>
      </c>
      <c r="I2420" s="58" t="str">
        <f>IF(COUNTA(A2420:E2420)=0,"",IF(N(A2420)&lt;=0,"Date manquante ou invalide",IF(B2420="","Équipe manquante",IF(ISNA(MATCH(B2420,eq_code,0)),"Équipe inconnue",IF(C2420="","Poste manquant",IF(ISNA(MATCH(C2420,po_code,0)),"Poste inconnu",IF(D2420="","Cause manquante",IF(ISNA(MATCH(D2420,ca_name,0)),"Cause inconnue",IF(H2420="","Cause à compléter dans Paramètres",IF(OR(NOT(ISNUMBER(E2420)),N(E2420)&lt;=0,N(E2420)&gt;1440),"Durée invalide",IF(COUNTIFS(sj_date,A2420,sj_eq,B2420,sj_po,C2420)=0,"Pas de saisie journalière ce jour-là","OK")))))))))))</f>
        <v/>
      </c>
      <c r="J2420">
        <f>IF(OR(I2420="OK",I2420="Pas de saisie journalière ce jour-là"),E2420,0)</f>
        <v>0.0</v>
      </c>
      <c r="K2420">
        <f>IF(AND(J2420&gt;0,A2420&gt;=p_from,A2420&lt;=p_to),1,0)</f>
        <v>0.0</v>
      </c>
      <c r="L2420">
        <f>IF(AND(K2420=1,OR(pa_po="",C2420=pa_po),OR(pa_eq="",B2420=pa_eq)),1,0)</f>
        <v>0.0</v>
      </c>
    </row>
    <row r="2421">
      <c r="A2421" s="51" t="n"/>
      <c r="B2421" s="52" t="n"/>
      <c r="C2421" s="52" t="n"/>
      <c r="D2421" s="53" t="n"/>
      <c r="E2421" s="60" t="n"/>
      <c r="F2421" s="53" t="n"/>
      <c r="G2421" s="61" t="str">
        <f>IF(OR(COUNTA(A2421:E2421)=0,D2421=""),"",IFERROR(INDEX(ca_fam,MATCH(D2421,ca_name,0))&amp;"",""))</f>
        <v/>
      </c>
      <c r="H2421" s="58" t="str">
        <f>IF(OR(COUNTA(A2421:E2421)=0,D2421=""),"",IFERROR(INDEX(ca_type,MATCH(D2421,ca_name,0))&amp;"",""))</f>
        <v/>
      </c>
      <c r="I2421" s="58" t="str">
        <f>IF(COUNTA(A2421:E2421)=0,"",IF(N(A2421)&lt;=0,"Date manquante ou invalide",IF(B2421="","Équipe manquante",IF(ISNA(MATCH(B2421,eq_code,0)),"Équipe inconnue",IF(C2421="","Poste manquant",IF(ISNA(MATCH(C2421,po_code,0)),"Poste inconnu",IF(D2421="","Cause manquante",IF(ISNA(MATCH(D2421,ca_name,0)),"Cause inconnue",IF(H2421="","Cause à compléter dans Paramètres",IF(OR(NOT(ISNUMBER(E2421)),N(E2421)&lt;=0,N(E2421)&gt;1440),"Durée invalide",IF(COUNTIFS(sj_date,A2421,sj_eq,B2421,sj_po,C2421)=0,"Pas de saisie journalière ce jour-là","OK")))))))))))</f>
        <v/>
      </c>
      <c r="J2421">
        <f>IF(OR(I2421="OK",I2421="Pas de saisie journalière ce jour-là"),E2421,0)</f>
        <v>0.0</v>
      </c>
      <c r="K2421">
        <f>IF(AND(J2421&gt;0,A2421&gt;=p_from,A2421&lt;=p_to),1,0)</f>
        <v>0.0</v>
      </c>
      <c r="L2421">
        <f>IF(AND(K2421=1,OR(pa_po="",C2421=pa_po),OR(pa_eq="",B2421=pa_eq)),1,0)</f>
        <v>0.0</v>
      </c>
    </row>
    <row r="2422">
      <c r="A2422" s="51" t="n"/>
      <c r="B2422" s="52" t="n"/>
      <c r="C2422" s="52" t="n"/>
      <c r="D2422" s="53" t="n"/>
      <c r="E2422" s="60" t="n"/>
      <c r="F2422" s="53" t="n"/>
      <c r="G2422" s="61" t="str">
        <f>IF(OR(COUNTA(A2422:E2422)=0,D2422=""),"",IFERROR(INDEX(ca_fam,MATCH(D2422,ca_name,0))&amp;"",""))</f>
        <v/>
      </c>
      <c r="H2422" s="58" t="str">
        <f>IF(OR(COUNTA(A2422:E2422)=0,D2422=""),"",IFERROR(INDEX(ca_type,MATCH(D2422,ca_name,0))&amp;"",""))</f>
        <v/>
      </c>
      <c r="I2422" s="58" t="str">
        <f>IF(COUNTA(A2422:E2422)=0,"",IF(N(A2422)&lt;=0,"Date manquante ou invalide",IF(B2422="","Équipe manquante",IF(ISNA(MATCH(B2422,eq_code,0)),"Équipe inconnue",IF(C2422="","Poste manquant",IF(ISNA(MATCH(C2422,po_code,0)),"Poste inconnu",IF(D2422="","Cause manquante",IF(ISNA(MATCH(D2422,ca_name,0)),"Cause inconnue",IF(H2422="","Cause à compléter dans Paramètres",IF(OR(NOT(ISNUMBER(E2422)),N(E2422)&lt;=0,N(E2422)&gt;1440),"Durée invalide",IF(COUNTIFS(sj_date,A2422,sj_eq,B2422,sj_po,C2422)=0,"Pas de saisie journalière ce jour-là","OK")))))))))))</f>
        <v/>
      </c>
      <c r="J2422">
        <f>IF(OR(I2422="OK",I2422="Pas de saisie journalière ce jour-là"),E2422,0)</f>
        <v>0.0</v>
      </c>
      <c r="K2422">
        <f>IF(AND(J2422&gt;0,A2422&gt;=p_from,A2422&lt;=p_to),1,0)</f>
        <v>0.0</v>
      </c>
      <c r="L2422">
        <f>IF(AND(K2422=1,OR(pa_po="",C2422=pa_po),OR(pa_eq="",B2422=pa_eq)),1,0)</f>
        <v>0.0</v>
      </c>
    </row>
    <row r="2423">
      <c r="A2423" s="51" t="n"/>
      <c r="B2423" s="52" t="n"/>
      <c r="C2423" s="52" t="n"/>
      <c r="D2423" s="53" t="n"/>
      <c r="E2423" s="60" t="n"/>
      <c r="F2423" s="53" t="n"/>
      <c r="G2423" s="61" t="str">
        <f>IF(OR(COUNTA(A2423:E2423)=0,D2423=""),"",IFERROR(INDEX(ca_fam,MATCH(D2423,ca_name,0))&amp;"",""))</f>
        <v/>
      </c>
      <c r="H2423" s="58" t="str">
        <f>IF(OR(COUNTA(A2423:E2423)=0,D2423=""),"",IFERROR(INDEX(ca_type,MATCH(D2423,ca_name,0))&amp;"",""))</f>
        <v/>
      </c>
      <c r="I2423" s="58" t="str">
        <f>IF(COUNTA(A2423:E2423)=0,"",IF(N(A2423)&lt;=0,"Date manquante ou invalide",IF(B2423="","Équipe manquante",IF(ISNA(MATCH(B2423,eq_code,0)),"Équipe inconnue",IF(C2423="","Poste manquant",IF(ISNA(MATCH(C2423,po_code,0)),"Poste inconnu",IF(D2423="","Cause manquante",IF(ISNA(MATCH(D2423,ca_name,0)),"Cause inconnue",IF(H2423="","Cause à compléter dans Paramètres",IF(OR(NOT(ISNUMBER(E2423)),N(E2423)&lt;=0,N(E2423)&gt;1440),"Durée invalide",IF(COUNTIFS(sj_date,A2423,sj_eq,B2423,sj_po,C2423)=0,"Pas de saisie journalière ce jour-là","OK")))))))))))</f>
        <v/>
      </c>
      <c r="J2423">
        <f>IF(OR(I2423="OK",I2423="Pas de saisie journalière ce jour-là"),E2423,0)</f>
        <v>0.0</v>
      </c>
      <c r="K2423">
        <f>IF(AND(J2423&gt;0,A2423&gt;=p_from,A2423&lt;=p_to),1,0)</f>
        <v>0.0</v>
      </c>
      <c r="L2423">
        <f>IF(AND(K2423=1,OR(pa_po="",C2423=pa_po),OR(pa_eq="",B2423=pa_eq)),1,0)</f>
        <v>0.0</v>
      </c>
    </row>
    <row r="2424">
      <c r="A2424" s="51" t="n"/>
      <c r="B2424" s="52" t="n"/>
      <c r="C2424" s="52" t="n"/>
      <c r="D2424" s="53" t="n"/>
      <c r="E2424" s="60" t="n"/>
      <c r="F2424" s="53" t="n"/>
      <c r="G2424" s="61" t="str">
        <f>IF(OR(COUNTA(A2424:E2424)=0,D2424=""),"",IFERROR(INDEX(ca_fam,MATCH(D2424,ca_name,0))&amp;"",""))</f>
        <v/>
      </c>
      <c r="H2424" s="58" t="str">
        <f>IF(OR(COUNTA(A2424:E2424)=0,D2424=""),"",IFERROR(INDEX(ca_type,MATCH(D2424,ca_name,0))&amp;"",""))</f>
        <v/>
      </c>
      <c r="I2424" s="58" t="str">
        <f>IF(COUNTA(A2424:E2424)=0,"",IF(N(A2424)&lt;=0,"Date manquante ou invalide",IF(B2424="","Équipe manquante",IF(ISNA(MATCH(B2424,eq_code,0)),"Équipe inconnue",IF(C2424="","Poste manquant",IF(ISNA(MATCH(C2424,po_code,0)),"Poste inconnu",IF(D2424="","Cause manquante",IF(ISNA(MATCH(D2424,ca_name,0)),"Cause inconnue",IF(H2424="","Cause à compléter dans Paramètres",IF(OR(NOT(ISNUMBER(E2424)),N(E2424)&lt;=0,N(E2424)&gt;1440),"Durée invalide",IF(COUNTIFS(sj_date,A2424,sj_eq,B2424,sj_po,C2424)=0,"Pas de saisie journalière ce jour-là","OK")))))))))))</f>
        <v/>
      </c>
      <c r="J2424">
        <f>IF(OR(I2424="OK",I2424="Pas de saisie journalière ce jour-là"),E2424,0)</f>
        <v>0.0</v>
      </c>
      <c r="K2424">
        <f>IF(AND(J2424&gt;0,A2424&gt;=p_from,A2424&lt;=p_to),1,0)</f>
        <v>0.0</v>
      </c>
      <c r="L2424">
        <f>IF(AND(K2424=1,OR(pa_po="",C2424=pa_po),OR(pa_eq="",B2424=pa_eq)),1,0)</f>
        <v>0.0</v>
      </c>
    </row>
    <row r="2425">
      <c r="A2425" s="51" t="n"/>
      <c r="B2425" s="52" t="n"/>
      <c r="C2425" s="52" t="n"/>
      <c r="D2425" s="53" t="n"/>
      <c r="E2425" s="60" t="n"/>
      <c r="F2425" s="53" t="n"/>
      <c r="G2425" s="61" t="str">
        <f>IF(OR(COUNTA(A2425:E2425)=0,D2425=""),"",IFERROR(INDEX(ca_fam,MATCH(D2425,ca_name,0))&amp;"",""))</f>
        <v/>
      </c>
      <c r="H2425" s="58" t="str">
        <f>IF(OR(COUNTA(A2425:E2425)=0,D2425=""),"",IFERROR(INDEX(ca_type,MATCH(D2425,ca_name,0))&amp;"",""))</f>
        <v/>
      </c>
      <c r="I2425" s="58" t="str">
        <f>IF(COUNTA(A2425:E2425)=0,"",IF(N(A2425)&lt;=0,"Date manquante ou invalide",IF(B2425="","Équipe manquante",IF(ISNA(MATCH(B2425,eq_code,0)),"Équipe inconnue",IF(C2425="","Poste manquant",IF(ISNA(MATCH(C2425,po_code,0)),"Poste inconnu",IF(D2425="","Cause manquante",IF(ISNA(MATCH(D2425,ca_name,0)),"Cause inconnue",IF(H2425="","Cause à compléter dans Paramètres",IF(OR(NOT(ISNUMBER(E2425)),N(E2425)&lt;=0,N(E2425)&gt;1440),"Durée invalide",IF(COUNTIFS(sj_date,A2425,sj_eq,B2425,sj_po,C2425)=0,"Pas de saisie journalière ce jour-là","OK")))))))))))</f>
        <v/>
      </c>
      <c r="J2425">
        <f>IF(OR(I2425="OK",I2425="Pas de saisie journalière ce jour-là"),E2425,0)</f>
        <v>0.0</v>
      </c>
      <c r="K2425">
        <f>IF(AND(J2425&gt;0,A2425&gt;=p_from,A2425&lt;=p_to),1,0)</f>
        <v>0.0</v>
      </c>
      <c r="L2425">
        <f>IF(AND(K2425=1,OR(pa_po="",C2425=pa_po),OR(pa_eq="",B2425=pa_eq)),1,0)</f>
        <v>0.0</v>
      </c>
    </row>
    <row r="2426">
      <c r="A2426" s="51" t="n"/>
      <c r="B2426" s="52" t="n"/>
      <c r="C2426" s="52" t="n"/>
      <c r="D2426" s="53" t="n"/>
      <c r="E2426" s="60" t="n"/>
      <c r="F2426" s="53" t="n"/>
      <c r="G2426" s="61" t="str">
        <f>IF(OR(COUNTA(A2426:E2426)=0,D2426=""),"",IFERROR(INDEX(ca_fam,MATCH(D2426,ca_name,0))&amp;"",""))</f>
        <v/>
      </c>
      <c r="H2426" s="58" t="str">
        <f>IF(OR(COUNTA(A2426:E2426)=0,D2426=""),"",IFERROR(INDEX(ca_type,MATCH(D2426,ca_name,0))&amp;"",""))</f>
        <v/>
      </c>
      <c r="I2426" s="58" t="str">
        <f>IF(COUNTA(A2426:E2426)=0,"",IF(N(A2426)&lt;=0,"Date manquante ou invalide",IF(B2426="","Équipe manquante",IF(ISNA(MATCH(B2426,eq_code,0)),"Équipe inconnue",IF(C2426="","Poste manquant",IF(ISNA(MATCH(C2426,po_code,0)),"Poste inconnu",IF(D2426="","Cause manquante",IF(ISNA(MATCH(D2426,ca_name,0)),"Cause inconnue",IF(H2426="","Cause à compléter dans Paramètres",IF(OR(NOT(ISNUMBER(E2426)),N(E2426)&lt;=0,N(E2426)&gt;1440),"Durée invalide",IF(COUNTIFS(sj_date,A2426,sj_eq,B2426,sj_po,C2426)=0,"Pas de saisie journalière ce jour-là","OK")))))))))))</f>
        <v/>
      </c>
      <c r="J2426">
        <f>IF(OR(I2426="OK",I2426="Pas de saisie journalière ce jour-là"),E2426,0)</f>
        <v>0.0</v>
      </c>
      <c r="K2426">
        <f>IF(AND(J2426&gt;0,A2426&gt;=p_from,A2426&lt;=p_to),1,0)</f>
        <v>0.0</v>
      </c>
      <c r="L2426">
        <f>IF(AND(K2426=1,OR(pa_po="",C2426=pa_po),OR(pa_eq="",B2426=pa_eq)),1,0)</f>
        <v>0.0</v>
      </c>
    </row>
    <row r="2427">
      <c r="A2427" s="51" t="n"/>
      <c r="B2427" s="52" t="n"/>
      <c r="C2427" s="52" t="n"/>
      <c r="D2427" s="53" t="n"/>
      <c r="E2427" s="60" t="n"/>
      <c r="F2427" s="53" t="n"/>
      <c r="G2427" s="61" t="str">
        <f>IF(OR(COUNTA(A2427:E2427)=0,D2427=""),"",IFERROR(INDEX(ca_fam,MATCH(D2427,ca_name,0))&amp;"",""))</f>
        <v/>
      </c>
      <c r="H2427" s="58" t="str">
        <f>IF(OR(COUNTA(A2427:E2427)=0,D2427=""),"",IFERROR(INDEX(ca_type,MATCH(D2427,ca_name,0))&amp;"",""))</f>
        <v/>
      </c>
      <c r="I2427" s="58" t="str">
        <f>IF(COUNTA(A2427:E2427)=0,"",IF(N(A2427)&lt;=0,"Date manquante ou invalide",IF(B2427="","Équipe manquante",IF(ISNA(MATCH(B2427,eq_code,0)),"Équipe inconnue",IF(C2427="","Poste manquant",IF(ISNA(MATCH(C2427,po_code,0)),"Poste inconnu",IF(D2427="","Cause manquante",IF(ISNA(MATCH(D2427,ca_name,0)),"Cause inconnue",IF(H2427="","Cause à compléter dans Paramètres",IF(OR(NOT(ISNUMBER(E2427)),N(E2427)&lt;=0,N(E2427)&gt;1440),"Durée invalide",IF(COUNTIFS(sj_date,A2427,sj_eq,B2427,sj_po,C2427)=0,"Pas de saisie journalière ce jour-là","OK")))))))))))</f>
        <v/>
      </c>
      <c r="J2427">
        <f>IF(OR(I2427="OK",I2427="Pas de saisie journalière ce jour-là"),E2427,0)</f>
        <v>0.0</v>
      </c>
      <c r="K2427">
        <f>IF(AND(J2427&gt;0,A2427&gt;=p_from,A2427&lt;=p_to),1,0)</f>
        <v>0.0</v>
      </c>
      <c r="L2427">
        <f>IF(AND(K2427=1,OR(pa_po="",C2427=pa_po),OR(pa_eq="",B2427=pa_eq)),1,0)</f>
        <v>0.0</v>
      </c>
    </row>
    <row r="2428">
      <c r="A2428" s="51" t="n"/>
      <c r="B2428" s="52" t="n"/>
      <c r="C2428" s="52" t="n"/>
      <c r="D2428" s="53" t="n"/>
      <c r="E2428" s="60" t="n"/>
      <c r="F2428" s="53" t="n"/>
      <c r="G2428" s="61" t="str">
        <f>IF(OR(COUNTA(A2428:E2428)=0,D2428=""),"",IFERROR(INDEX(ca_fam,MATCH(D2428,ca_name,0))&amp;"",""))</f>
        <v/>
      </c>
      <c r="H2428" s="58" t="str">
        <f>IF(OR(COUNTA(A2428:E2428)=0,D2428=""),"",IFERROR(INDEX(ca_type,MATCH(D2428,ca_name,0))&amp;"",""))</f>
        <v/>
      </c>
      <c r="I2428" s="58" t="str">
        <f>IF(COUNTA(A2428:E2428)=0,"",IF(N(A2428)&lt;=0,"Date manquante ou invalide",IF(B2428="","Équipe manquante",IF(ISNA(MATCH(B2428,eq_code,0)),"Équipe inconnue",IF(C2428="","Poste manquant",IF(ISNA(MATCH(C2428,po_code,0)),"Poste inconnu",IF(D2428="","Cause manquante",IF(ISNA(MATCH(D2428,ca_name,0)),"Cause inconnue",IF(H2428="","Cause à compléter dans Paramètres",IF(OR(NOT(ISNUMBER(E2428)),N(E2428)&lt;=0,N(E2428)&gt;1440),"Durée invalide",IF(COUNTIFS(sj_date,A2428,sj_eq,B2428,sj_po,C2428)=0,"Pas de saisie journalière ce jour-là","OK")))))))))))</f>
        <v/>
      </c>
      <c r="J2428">
        <f>IF(OR(I2428="OK",I2428="Pas de saisie journalière ce jour-là"),E2428,0)</f>
        <v>0.0</v>
      </c>
      <c r="K2428">
        <f>IF(AND(J2428&gt;0,A2428&gt;=p_from,A2428&lt;=p_to),1,0)</f>
        <v>0.0</v>
      </c>
      <c r="L2428">
        <f>IF(AND(K2428=1,OR(pa_po="",C2428=pa_po),OR(pa_eq="",B2428=pa_eq)),1,0)</f>
        <v>0.0</v>
      </c>
    </row>
    <row r="2429">
      <c r="A2429" s="51" t="n"/>
      <c r="B2429" s="52" t="n"/>
      <c r="C2429" s="52" t="n"/>
      <c r="D2429" s="53" t="n"/>
      <c r="E2429" s="60" t="n"/>
      <c r="F2429" s="53" t="n"/>
      <c r="G2429" s="61" t="str">
        <f>IF(OR(COUNTA(A2429:E2429)=0,D2429=""),"",IFERROR(INDEX(ca_fam,MATCH(D2429,ca_name,0))&amp;"",""))</f>
        <v/>
      </c>
      <c r="H2429" s="58" t="str">
        <f>IF(OR(COUNTA(A2429:E2429)=0,D2429=""),"",IFERROR(INDEX(ca_type,MATCH(D2429,ca_name,0))&amp;"",""))</f>
        <v/>
      </c>
      <c r="I2429" s="58" t="str">
        <f>IF(COUNTA(A2429:E2429)=0,"",IF(N(A2429)&lt;=0,"Date manquante ou invalide",IF(B2429="","Équipe manquante",IF(ISNA(MATCH(B2429,eq_code,0)),"Équipe inconnue",IF(C2429="","Poste manquant",IF(ISNA(MATCH(C2429,po_code,0)),"Poste inconnu",IF(D2429="","Cause manquante",IF(ISNA(MATCH(D2429,ca_name,0)),"Cause inconnue",IF(H2429="","Cause à compléter dans Paramètres",IF(OR(NOT(ISNUMBER(E2429)),N(E2429)&lt;=0,N(E2429)&gt;1440),"Durée invalide",IF(COUNTIFS(sj_date,A2429,sj_eq,B2429,sj_po,C2429)=0,"Pas de saisie journalière ce jour-là","OK")))))))))))</f>
        <v/>
      </c>
      <c r="J2429">
        <f>IF(OR(I2429="OK",I2429="Pas de saisie journalière ce jour-là"),E2429,0)</f>
        <v>0.0</v>
      </c>
      <c r="K2429">
        <f>IF(AND(J2429&gt;0,A2429&gt;=p_from,A2429&lt;=p_to),1,0)</f>
        <v>0.0</v>
      </c>
      <c r="L2429">
        <f>IF(AND(K2429=1,OR(pa_po="",C2429=pa_po),OR(pa_eq="",B2429=pa_eq)),1,0)</f>
        <v>0.0</v>
      </c>
    </row>
    <row r="2430">
      <c r="A2430" s="51" t="n"/>
      <c r="B2430" s="52" t="n"/>
      <c r="C2430" s="52" t="n"/>
      <c r="D2430" s="53" t="n"/>
      <c r="E2430" s="60" t="n"/>
      <c r="F2430" s="53" t="n"/>
      <c r="G2430" s="61" t="str">
        <f>IF(OR(COUNTA(A2430:E2430)=0,D2430=""),"",IFERROR(INDEX(ca_fam,MATCH(D2430,ca_name,0))&amp;"",""))</f>
        <v/>
      </c>
      <c r="H2430" s="58" t="str">
        <f>IF(OR(COUNTA(A2430:E2430)=0,D2430=""),"",IFERROR(INDEX(ca_type,MATCH(D2430,ca_name,0))&amp;"",""))</f>
        <v/>
      </c>
      <c r="I2430" s="58" t="str">
        <f>IF(COUNTA(A2430:E2430)=0,"",IF(N(A2430)&lt;=0,"Date manquante ou invalide",IF(B2430="","Équipe manquante",IF(ISNA(MATCH(B2430,eq_code,0)),"Équipe inconnue",IF(C2430="","Poste manquant",IF(ISNA(MATCH(C2430,po_code,0)),"Poste inconnu",IF(D2430="","Cause manquante",IF(ISNA(MATCH(D2430,ca_name,0)),"Cause inconnue",IF(H2430="","Cause à compléter dans Paramètres",IF(OR(NOT(ISNUMBER(E2430)),N(E2430)&lt;=0,N(E2430)&gt;1440),"Durée invalide",IF(COUNTIFS(sj_date,A2430,sj_eq,B2430,sj_po,C2430)=0,"Pas de saisie journalière ce jour-là","OK")))))))))))</f>
        <v/>
      </c>
      <c r="J2430">
        <f>IF(OR(I2430="OK",I2430="Pas de saisie journalière ce jour-là"),E2430,0)</f>
        <v>0.0</v>
      </c>
      <c r="K2430">
        <f>IF(AND(J2430&gt;0,A2430&gt;=p_from,A2430&lt;=p_to),1,0)</f>
        <v>0.0</v>
      </c>
      <c r="L2430">
        <f>IF(AND(K2430=1,OR(pa_po="",C2430=pa_po),OR(pa_eq="",B2430=pa_eq)),1,0)</f>
        <v>0.0</v>
      </c>
    </row>
    <row r="2431">
      <c r="A2431" s="51" t="n"/>
      <c r="B2431" s="52" t="n"/>
      <c r="C2431" s="52" t="n"/>
      <c r="D2431" s="53" t="n"/>
      <c r="E2431" s="60" t="n"/>
      <c r="F2431" s="53" t="n"/>
      <c r="G2431" s="61" t="str">
        <f>IF(OR(COUNTA(A2431:E2431)=0,D2431=""),"",IFERROR(INDEX(ca_fam,MATCH(D2431,ca_name,0))&amp;"",""))</f>
        <v/>
      </c>
      <c r="H2431" s="58" t="str">
        <f>IF(OR(COUNTA(A2431:E2431)=0,D2431=""),"",IFERROR(INDEX(ca_type,MATCH(D2431,ca_name,0))&amp;"",""))</f>
        <v/>
      </c>
      <c r="I2431" s="58" t="str">
        <f>IF(COUNTA(A2431:E2431)=0,"",IF(N(A2431)&lt;=0,"Date manquante ou invalide",IF(B2431="","Équipe manquante",IF(ISNA(MATCH(B2431,eq_code,0)),"Équipe inconnue",IF(C2431="","Poste manquant",IF(ISNA(MATCH(C2431,po_code,0)),"Poste inconnu",IF(D2431="","Cause manquante",IF(ISNA(MATCH(D2431,ca_name,0)),"Cause inconnue",IF(H2431="","Cause à compléter dans Paramètres",IF(OR(NOT(ISNUMBER(E2431)),N(E2431)&lt;=0,N(E2431)&gt;1440),"Durée invalide",IF(COUNTIFS(sj_date,A2431,sj_eq,B2431,sj_po,C2431)=0,"Pas de saisie journalière ce jour-là","OK")))))))))))</f>
        <v/>
      </c>
      <c r="J2431">
        <f>IF(OR(I2431="OK",I2431="Pas de saisie journalière ce jour-là"),E2431,0)</f>
        <v>0.0</v>
      </c>
      <c r="K2431">
        <f>IF(AND(J2431&gt;0,A2431&gt;=p_from,A2431&lt;=p_to),1,0)</f>
        <v>0.0</v>
      </c>
      <c r="L2431">
        <f>IF(AND(K2431=1,OR(pa_po="",C2431=pa_po),OR(pa_eq="",B2431=pa_eq)),1,0)</f>
        <v>0.0</v>
      </c>
    </row>
    <row r="2432">
      <c r="A2432" s="51" t="n"/>
      <c r="B2432" s="52" t="n"/>
      <c r="C2432" s="52" t="n"/>
      <c r="D2432" s="53" t="n"/>
      <c r="E2432" s="60" t="n"/>
      <c r="F2432" s="53" t="n"/>
      <c r="G2432" s="61" t="str">
        <f>IF(OR(COUNTA(A2432:E2432)=0,D2432=""),"",IFERROR(INDEX(ca_fam,MATCH(D2432,ca_name,0))&amp;"",""))</f>
        <v/>
      </c>
      <c r="H2432" s="58" t="str">
        <f>IF(OR(COUNTA(A2432:E2432)=0,D2432=""),"",IFERROR(INDEX(ca_type,MATCH(D2432,ca_name,0))&amp;"",""))</f>
        <v/>
      </c>
      <c r="I2432" s="58" t="str">
        <f>IF(COUNTA(A2432:E2432)=0,"",IF(N(A2432)&lt;=0,"Date manquante ou invalide",IF(B2432="","Équipe manquante",IF(ISNA(MATCH(B2432,eq_code,0)),"Équipe inconnue",IF(C2432="","Poste manquant",IF(ISNA(MATCH(C2432,po_code,0)),"Poste inconnu",IF(D2432="","Cause manquante",IF(ISNA(MATCH(D2432,ca_name,0)),"Cause inconnue",IF(H2432="","Cause à compléter dans Paramètres",IF(OR(NOT(ISNUMBER(E2432)),N(E2432)&lt;=0,N(E2432)&gt;1440),"Durée invalide",IF(COUNTIFS(sj_date,A2432,sj_eq,B2432,sj_po,C2432)=0,"Pas de saisie journalière ce jour-là","OK")))))))))))</f>
        <v/>
      </c>
      <c r="J2432">
        <f>IF(OR(I2432="OK",I2432="Pas de saisie journalière ce jour-là"),E2432,0)</f>
        <v>0.0</v>
      </c>
      <c r="K2432">
        <f>IF(AND(J2432&gt;0,A2432&gt;=p_from,A2432&lt;=p_to),1,0)</f>
        <v>0.0</v>
      </c>
      <c r="L2432">
        <f>IF(AND(K2432=1,OR(pa_po="",C2432=pa_po),OR(pa_eq="",B2432=pa_eq)),1,0)</f>
        <v>0.0</v>
      </c>
    </row>
    <row r="2433">
      <c r="A2433" s="51" t="n"/>
      <c r="B2433" s="52" t="n"/>
      <c r="C2433" s="52" t="n"/>
      <c r="D2433" s="53" t="n"/>
      <c r="E2433" s="60" t="n"/>
      <c r="F2433" s="53" t="n"/>
      <c r="G2433" s="61" t="str">
        <f>IF(OR(COUNTA(A2433:E2433)=0,D2433=""),"",IFERROR(INDEX(ca_fam,MATCH(D2433,ca_name,0))&amp;"",""))</f>
        <v/>
      </c>
      <c r="H2433" s="58" t="str">
        <f>IF(OR(COUNTA(A2433:E2433)=0,D2433=""),"",IFERROR(INDEX(ca_type,MATCH(D2433,ca_name,0))&amp;"",""))</f>
        <v/>
      </c>
      <c r="I2433" s="58" t="str">
        <f>IF(COUNTA(A2433:E2433)=0,"",IF(N(A2433)&lt;=0,"Date manquante ou invalide",IF(B2433="","Équipe manquante",IF(ISNA(MATCH(B2433,eq_code,0)),"Équipe inconnue",IF(C2433="","Poste manquant",IF(ISNA(MATCH(C2433,po_code,0)),"Poste inconnu",IF(D2433="","Cause manquante",IF(ISNA(MATCH(D2433,ca_name,0)),"Cause inconnue",IF(H2433="","Cause à compléter dans Paramètres",IF(OR(NOT(ISNUMBER(E2433)),N(E2433)&lt;=0,N(E2433)&gt;1440),"Durée invalide",IF(COUNTIFS(sj_date,A2433,sj_eq,B2433,sj_po,C2433)=0,"Pas de saisie journalière ce jour-là","OK")))))))))))</f>
        <v/>
      </c>
      <c r="J2433">
        <f>IF(OR(I2433="OK",I2433="Pas de saisie journalière ce jour-là"),E2433,0)</f>
        <v>0.0</v>
      </c>
      <c r="K2433">
        <f>IF(AND(J2433&gt;0,A2433&gt;=p_from,A2433&lt;=p_to),1,0)</f>
        <v>0.0</v>
      </c>
      <c r="L2433">
        <f>IF(AND(K2433=1,OR(pa_po="",C2433=pa_po),OR(pa_eq="",B2433=pa_eq)),1,0)</f>
        <v>0.0</v>
      </c>
    </row>
    <row r="2434">
      <c r="A2434" s="51" t="n"/>
      <c r="B2434" s="52" t="n"/>
      <c r="C2434" s="52" t="n"/>
      <c r="D2434" s="53" t="n"/>
      <c r="E2434" s="60" t="n"/>
      <c r="F2434" s="53" t="n"/>
      <c r="G2434" s="61" t="str">
        <f>IF(OR(COUNTA(A2434:E2434)=0,D2434=""),"",IFERROR(INDEX(ca_fam,MATCH(D2434,ca_name,0))&amp;"",""))</f>
        <v/>
      </c>
      <c r="H2434" s="58" t="str">
        <f>IF(OR(COUNTA(A2434:E2434)=0,D2434=""),"",IFERROR(INDEX(ca_type,MATCH(D2434,ca_name,0))&amp;"",""))</f>
        <v/>
      </c>
      <c r="I2434" s="58" t="str">
        <f>IF(COUNTA(A2434:E2434)=0,"",IF(N(A2434)&lt;=0,"Date manquante ou invalide",IF(B2434="","Équipe manquante",IF(ISNA(MATCH(B2434,eq_code,0)),"Équipe inconnue",IF(C2434="","Poste manquant",IF(ISNA(MATCH(C2434,po_code,0)),"Poste inconnu",IF(D2434="","Cause manquante",IF(ISNA(MATCH(D2434,ca_name,0)),"Cause inconnue",IF(H2434="","Cause à compléter dans Paramètres",IF(OR(NOT(ISNUMBER(E2434)),N(E2434)&lt;=0,N(E2434)&gt;1440),"Durée invalide",IF(COUNTIFS(sj_date,A2434,sj_eq,B2434,sj_po,C2434)=0,"Pas de saisie journalière ce jour-là","OK")))))))))))</f>
        <v/>
      </c>
      <c r="J2434">
        <f>IF(OR(I2434="OK",I2434="Pas de saisie journalière ce jour-là"),E2434,0)</f>
        <v>0.0</v>
      </c>
      <c r="K2434">
        <f>IF(AND(J2434&gt;0,A2434&gt;=p_from,A2434&lt;=p_to),1,0)</f>
        <v>0.0</v>
      </c>
      <c r="L2434">
        <f>IF(AND(K2434=1,OR(pa_po="",C2434=pa_po),OR(pa_eq="",B2434=pa_eq)),1,0)</f>
        <v>0.0</v>
      </c>
    </row>
    <row r="2435">
      <c r="A2435" s="51" t="n"/>
      <c r="B2435" s="52" t="n"/>
      <c r="C2435" s="52" t="n"/>
      <c r="D2435" s="53" t="n"/>
      <c r="E2435" s="60" t="n"/>
      <c r="F2435" s="53" t="n"/>
      <c r="G2435" s="61" t="str">
        <f>IF(OR(COUNTA(A2435:E2435)=0,D2435=""),"",IFERROR(INDEX(ca_fam,MATCH(D2435,ca_name,0))&amp;"",""))</f>
        <v/>
      </c>
      <c r="H2435" s="58" t="str">
        <f>IF(OR(COUNTA(A2435:E2435)=0,D2435=""),"",IFERROR(INDEX(ca_type,MATCH(D2435,ca_name,0))&amp;"",""))</f>
        <v/>
      </c>
      <c r="I2435" s="58" t="str">
        <f>IF(COUNTA(A2435:E2435)=0,"",IF(N(A2435)&lt;=0,"Date manquante ou invalide",IF(B2435="","Équipe manquante",IF(ISNA(MATCH(B2435,eq_code,0)),"Équipe inconnue",IF(C2435="","Poste manquant",IF(ISNA(MATCH(C2435,po_code,0)),"Poste inconnu",IF(D2435="","Cause manquante",IF(ISNA(MATCH(D2435,ca_name,0)),"Cause inconnue",IF(H2435="","Cause à compléter dans Paramètres",IF(OR(NOT(ISNUMBER(E2435)),N(E2435)&lt;=0,N(E2435)&gt;1440),"Durée invalide",IF(COUNTIFS(sj_date,A2435,sj_eq,B2435,sj_po,C2435)=0,"Pas de saisie journalière ce jour-là","OK")))))))))))</f>
        <v/>
      </c>
      <c r="J2435">
        <f>IF(OR(I2435="OK",I2435="Pas de saisie journalière ce jour-là"),E2435,0)</f>
        <v>0.0</v>
      </c>
      <c r="K2435">
        <f>IF(AND(J2435&gt;0,A2435&gt;=p_from,A2435&lt;=p_to),1,0)</f>
        <v>0.0</v>
      </c>
      <c r="L2435">
        <f>IF(AND(K2435=1,OR(pa_po="",C2435=pa_po),OR(pa_eq="",B2435=pa_eq)),1,0)</f>
        <v>0.0</v>
      </c>
    </row>
    <row r="2436">
      <c r="A2436" s="51" t="n"/>
      <c r="B2436" s="52" t="n"/>
      <c r="C2436" s="52" t="n"/>
      <c r="D2436" s="53" t="n"/>
      <c r="E2436" s="60" t="n"/>
      <c r="F2436" s="53" t="n"/>
      <c r="G2436" s="61" t="str">
        <f>IF(OR(COUNTA(A2436:E2436)=0,D2436=""),"",IFERROR(INDEX(ca_fam,MATCH(D2436,ca_name,0))&amp;"",""))</f>
        <v/>
      </c>
      <c r="H2436" s="58" t="str">
        <f>IF(OR(COUNTA(A2436:E2436)=0,D2436=""),"",IFERROR(INDEX(ca_type,MATCH(D2436,ca_name,0))&amp;"",""))</f>
        <v/>
      </c>
      <c r="I2436" s="58" t="str">
        <f>IF(COUNTA(A2436:E2436)=0,"",IF(N(A2436)&lt;=0,"Date manquante ou invalide",IF(B2436="","Équipe manquante",IF(ISNA(MATCH(B2436,eq_code,0)),"Équipe inconnue",IF(C2436="","Poste manquant",IF(ISNA(MATCH(C2436,po_code,0)),"Poste inconnu",IF(D2436="","Cause manquante",IF(ISNA(MATCH(D2436,ca_name,0)),"Cause inconnue",IF(H2436="","Cause à compléter dans Paramètres",IF(OR(NOT(ISNUMBER(E2436)),N(E2436)&lt;=0,N(E2436)&gt;1440),"Durée invalide",IF(COUNTIFS(sj_date,A2436,sj_eq,B2436,sj_po,C2436)=0,"Pas de saisie journalière ce jour-là","OK")))))))))))</f>
        <v/>
      </c>
      <c r="J2436">
        <f>IF(OR(I2436="OK",I2436="Pas de saisie journalière ce jour-là"),E2436,0)</f>
        <v>0.0</v>
      </c>
      <c r="K2436">
        <f>IF(AND(J2436&gt;0,A2436&gt;=p_from,A2436&lt;=p_to),1,0)</f>
        <v>0.0</v>
      </c>
      <c r="L2436">
        <f>IF(AND(K2436=1,OR(pa_po="",C2436=pa_po),OR(pa_eq="",B2436=pa_eq)),1,0)</f>
        <v>0.0</v>
      </c>
    </row>
    <row r="2437">
      <c r="A2437" s="51" t="n"/>
      <c r="B2437" s="52" t="n"/>
      <c r="C2437" s="52" t="n"/>
      <c r="D2437" s="53" t="n"/>
      <c r="E2437" s="60" t="n"/>
      <c r="F2437" s="53" t="n"/>
      <c r="G2437" s="61" t="str">
        <f>IF(OR(COUNTA(A2437:E2437)=0,D2437=""),"",IFERROR(INDEX(ca_fam,MATCH(D2437,ca_name,0))&amp;"",""))</f>
        <v/>
      </c>
      <c r="H2437" s="58" t="str">
        <f>IF(OR(COUNTA(A2437:E2437)=0,D2437=""),"",IFERROR(INDEX(ca_type,MATCH(D2437,ca_name,0))&amp;"",""))</f>
        <v/>
      </c>
      <c r="I2437" s="58" t="str">
        <f>IF(COUNTA(A2437:E2437)=0,"",IF(N(A2437)&lt;=0,"Date manquante ou invalide",IF(B2437="","Équipe manquante",IF(ISNA(MATCH(B2437,eq_code,0)),"Équipe inconnue",IF(C2437="","Poste manquant",IF(ISNA(MATCH(C2437,po_code,0)),"Poste inconnu",IF(D2437="","Cause manquante",IF(ISNA(MATCH(D2437,ca_name,0)),"Cause inconnue",IF(H2437="","Cause à compléter dans Paramètres",IF(OR(NOT(ISNUMBER(E2437)),N(E2437)&lt;=0,N(E2437)&gt;1440),"Durée invalide",IF(COUNTIFS(sj_date,A2437,sj_eq,B2437,sj_po,C2437)=0,"Pas de saisie journalière ce jour-là","OK")))))))))))</f>
        <v/>
      </c>
      <c r="J2437">
        <f>IF(OR(I2437="OK",I2437="Pas de saisie journalière ce jour-là"),E2437,0)</f>
        <v>0.0</v>
      </c>
      <c r="K2437">
        <f>IF(AND(J2437&gt;0,A2437&gt;=p_from,A2437&lt;=p_to),1,0)</f>
        <v>0.0</v>
      </c>
      <c r="L2437">
        <f>IF(AND(K2437=1,OR(pa_po="",C2437=pa_po),OR(pa_eq="",B2437=pa_eq)),1,0)</f>
        <v>0.0</v>
      </c>
    </row>
    <row r="2438">
      <c r="A2438" s="51" t="n"/>
      <c r="B2438" s="52" t="n"/>
      <c r="C2438" s="52" t="n"/>
      <c r="D2438" s="53" t="n"/>
      <c r="E2438" s="60" t="n"/>
      <c r="F2438" s="53" t="n"/>
      <c r="G2438" s="61" t="str">
        <f>IF(OR(COUNTA(A2438:E2438)=0,D2438=""),"",IFERROR(INDEX(ca_fam,MATCH(D2438,ca_name,0))&amp;"",""))</f>
        <v/>
      </c>
      <c r="H2438" s="58" t="str">
        <f>IF(OR(COUNTA(A2438:E2438)=0,D2438=""),"",IFERROR(INDEX(ca_type,MATCH(D2438,ca_name,0))&amp;"",""))</f>
        <v/>
      </c>
      <c r="I2438" s="58" t="str">
        <f>IF(COUNTA(A2438:E2438)=0,"",IF(N(A2438)&lt;=0,"Date manquante ou invalide",IF(B2438="","Équipe manquante",IF(ISNA(MATCH(B2438,eq_code,0)),"Équipe inconnue",IF(C2438="","Poste manquant",IF(ISNA(MATCH(C2438,po_code,0)),"Poste inconnu",IF(D2438="","Cause manquante",IF(ISNA(MATCH(D2438,ca_name,0)),"Cause inconnue",IF(H2438="","Cause à compléter dans Paramètres",IF(OR(NOT(ISNUMBER(E2438)),N(E2438)&lt;=0,N(E2438)&gt;1440),"Durée invalide",IF(COUNTIFS(sj_date,A2438,sj_eq,B2438,sj_po,C2438)=0,"Pas de saisie journalière ce jour-là","OK")))))))))))</f>
        <v/>
      </c>
      <c r="J2438">
        <f>IF(OR(I2438="OK",I2438="Pas de saisie journalière ce jour-là"),E2438,0)</f>
        <v>0.0</v>
      </c>
      <c r="K2438">
        <f>IF(AND(J2438&gt;0,A2438&gt;=p_from,A2438&lt;=p_to),1,0)</f>
        <v>0.0</v>
      </c>
      <c r="L2438">
        <f>IF(AND(K2438=1,OR(pa_po="",C2438=pa_po),OR(pa_eq="",B2438=pa_eq)),1,0)</f>
        <v>0.0</v>
      </c>
    </row>
    <row r="2439">
      <c r="A2439" s="51" t="n"/>
      <c r="B2439" s="52" t="n"/>
      <c r="C2439" s="52" t="n"/>
      <c r="D2439" s="53" t="n"/>
      <c r="E2439" s="60" t="n"/>
      <c r="F2439" s="53" t="n"/>
      <c r="G2439" s="61" t="str">
        <f>IF(OR(COUNTA(A2439:E2439)=0,D2439=""),"",IFERROR(INDEX(ca_fam,MATCH(D2439,ca_name,0))&amp;"",""))</f>
        <v/>
      </c>
      <c r="H2439" s="58" t="str">
        <f>IF(OR(COUNTA(A2439:E2439)=0,D2439=""),"",IFERROR(INDEX(ca_type,MATCH(D2439,ca_name,0))&amp;"",""))</f>
        <v/>
      </c>
      <c r="I2439" s="58" t="str">
        <f>IF(COUNTA(A2439:E2439)=0,"",IF(N(A2439)&lt;=0,"Date manquante ou invalide",IF(B2439="","Équipe manquante",IF(ISNA(MATCH(B2439,eq_code,0)),"Équipe inconnue",IF(C2439="","Poste manquant",IF(ISNA(MATCH(C2439,po_code,0)),"Poste inconnu",IF(D2439="","Cause manquante",IF(ISNA(MATCH(D2439,ca_name,0)),"Cause inconnue",IF(H2439="","Cause à compléter dans Paramètres",IF(OR(NOT(ISNUMBER(E2439)),N(E2439)&lt;=0,N(E2439)&gt;1440),"Durée invalide",IF(COUNTIFS(sj_date,A2439,sj_eq,B2439,sj_po,C2439)=0,"Pas de saisie journalière ce jour-là","OK")))))))))))</f>
        <v/>
      </c>
      <c r="J2439">
        <f>IF(OR(I2439="OK",I2439="Pas de saisie journalière ce jour-là"),E2439,0)</f>
        <v>0.0</v>
      </c>
      <c r="K2439">
        <f>IF(AND(J2439&gt;0,A2439&gt;=p_from,A2439&lt;=p_to),1,0)</f>
        <v>0.0</v>
      </c>
      <c r="L2439">
        <f>IF(AND(K2439=1,OR(pa_po="",C2439=pa_po),OR(pa_eq="",B2439=pa_eq)),1,0)</f>
        <v>0.0</v>
      </c>
    </row>
    <row r="2440">
      <c r="A2440" s="51" t="n"/>
      <c r="B2440" s="52" t="n"/>
      <c r="C2440" s="52" t="n"/>
      <c r="D2440" s="53" t="n"/>
      <c r="E2440" s="60" t="n"/>
      <c r="F2440" s="53" t="n"/>
      <c r="G2440" s="61" t="str">
        <f>IF(OR(COUNTA(A2440:E2440)=0,D2440=""),"",IFERROR(INDEX(ca_fam,MATCH(D2440,ca_name,0))&amp;"",""))</f>
        <v/>
      </c>
      <c r="H2440" s="58" t="str">
        <f>IF(OR(COUNTA(A2440:E2440)=0,D2440=""),"",IFERROR(INDEX(ca_type,MATCH(D2440,ca_name,0))&amp;"",""))</f>
        <v/>
      </c>
      <c r="I2440" s="58" t="str">
        <f>IF(COUNTA(A2440:E2440)=0,"",IF(N(A2440)&lt;=0,"Date manquante ou invalide",IF(B2440="","Équipe manquante",IF(ISNA(MATCH(B2440,eq_code,0)),"Équipe inconnue",IF(C2440="","Poste manquant",IF(ISNA(MATCH(C2440,po_code,0)),"Poste inconnu",IF(D2440="","Cause manquante",IF(ISNA(MATCH(D2440,ca_name,0)),"Cause inconnue",IF(H2440="","Cause à compléter dans Paramètres",IF(OR(NOT(ISNUMBER(E2440)),N(E2440)&lt;=0,N(E2440)&gt;1440),"Durée invalide",IF(COUNTIFS(sj_date,A2440,sj_eq,B2440,sj_po,C2440)=0,"Pas de saisie journalière ce jour-là","OK")))))))))))</f>
        <v/>
      </c>
      <c r="J2440">
        <f>IF(OR(I2440="OK",I2440="Pas de saisie journalière ce jour-là"),E2440,0)</f>
        <v>0.0</v>
      </c>
      <c r="K2440">
        <f>IF(AND(J2440&gt;0,A2440&gt;=p_from,A2440&lt;=p_to),1,0)</f>
        <v>0.0</v>
      </c>
      <c r="L2440">
        <f>IF(AND(K2440=1,OR(pa_po="",C2440=pa_po),OR(pa_eq="",B2440=pa_eq)),1,0)</f>
        <v>0.0</v>
      </c>
    </row>
    <row r="2441">
      <c r="A2441" s="51" t="n"/>
      <c r="B2441" s="52" t="n"/>
      <c r="C2441" s="52" t="n"/>
      <c r="D2441" s="53" t="n"/>
      <c r="E2441" s="60" t="n"/>
      <c r="F2441" s="53" t="n"/>
      <c r="G2441" s="61" t="str">
        <f>IF(OR(COUNTA(A2441:E2441)=0,D2441=""),"",IFERROR(INDEX(ca_fam,MATCH(D2441,ca_name,0))&amp;"",""))</f>
        <v/>
      </c>
      <c r="H2441" s="58" t="str">
        <f>IF(OR(COUNTA(A2441:E2441)=0,D2441=""),"",IFERROR(INDEX(ca_type,MATCH(D2441,ca_name,0))&amp;"",""))</f>
        <v/>
      </c>
      <c r="I2441" s="58" t="str">
        <f>IF(COUNTA(A2441:E2441)=0,"",IF(N(A2441)&lt;=0,"Date manquante ou invalide",IF(B2441="","Équipe manquante",IF(ISNA(MATCH(B2441,eq_code,0)),"Équipe inconnue",IF(C2441="","Poste manquant",IF(ISNA(MATCH(C2441,po_code,0)),"Poste inconnu",IF(D2441="","Cause manquante",IF(ISNA(MATCH(D2441,ca_name,0)),"Cause inconnue",IF(H2441="","Cause à compléter dans Paramètres",IF(OR(NOT(ISNUMBER(E2441)),N(E2441)&lt;=0,N(E2441)&gt;1440),"Durée invalide",IF(COUNTIFS(sj_date,A2441,sj_eq,B2441,sj_po,C2441)=0,"Pas de saisie journalière ce jour-là","OK")))))))))))</f>
        <v/>
      </c>
      <c r="J2441">
        <f>IF(OR(I2441="OK",I2441="Pas de saisie journalière ce jour-là"),E2441,0)</f>
        <v>0.0</v>
      </c>
      <c r="K2441">
        <f>IF(AND(J2441&gt;0,A2441&gt;=p_from,A2441&lt;=p_to),1,0)</f>
        <v>0.0</v>
      </c>
      <c r="L2441">
        <f>IF(AND(K2441=1,OR(pa_po="",C2441=pa_po),OR(pa_eq="",B2441=pa_eq)),1,0)</f>
        <v>0.0</v>
      </c>
    </row>
    <row r="2442">
      <c r="A2442" s="51" t="n"/>
      <c r="B2442" s="52" t="n"/>
      <c r="C2442" s="52" t="n"/>
      <c r="D2442" s="53" t="n"/>
      <c r="E2442" s="60" t="n"/>
      <c r="F2442" s="53" t="n"/>
      <c r="G2442" s="61" t="str">
        <f>IF(OR(COUNTA(A2442:E2442)=0,D2442=""),"",IFERROR(INDEX(ca_fam,MATCH(D2442,ca_name,0))&amp;"",""))</f>
        <v/>
      </c>
      <c r="H2442" s="58" t="str">
        <f>IF(OR(COUNTA(A2442:E2442)=0,D2442=""),"",IFERROR(INDEX(ca_type,MATCH(D2442,ca_name,0))&amp;"",""))</f>
        <v/>
      </c>
      <c r="I2442" s="58" t="str">
        <f>IF(COUNTA(A2442:E2442)=0,"",IF(N(A2442)&lt;=0,"Date manquante ou invalide",IF(B2442="","Équipe manquante",IF(ISNA(MATCH(B2442,eq_code,0)),"Équipe inconnue",IF(C2442="","Poste manquant",IF(ISNA(MATCH(C2442,po_code,0)),"Poste inconnu",IF(D2442="","Cause manquante",IF(ISNA(MATCH(D2442,ca_name,0)),"Cause inconnue",IF(H2442="","Cause à compléter dans Paramètres",IF(OR(NOT(ISNUMBER(E2442)),N(E2442)&lt;=0,N(E2442)&gt;1440),"Durée invalide",IF(COUNTIFS(sj_date,A2442,sj_eq,B2442,sj_po,C2442)=0,"Pas de saisie journalière ce jour-là","OK")))))))))))</f>
        <v/>
      </c>
      <c r="J2442">
        <f>IF(OR(I2442="OK",I2442="Pas de saisie journalière ce jour-là"),E2442,0)</f>
        <v>0.0</v>
      </c>
      <c r="K2442">
        <f>IF(AND(J2442&gt;0,A2442&gt;=p_from,A2442&lt;=p_to),1,0)</f>
        <v>0.0</v>
      </c>
      <c r="L2442">
        <f>IF(AND(K2442=1,OR(pa_po="",C2442=pa_po),OR(pa_eq="",B2442=pa_eq)),1,0)</f>
        <v>0.0</v>
      </c>
    </row>
    <row r="2443">
      <c r="A2443" s="51" t="n"/>
      <c r="B2443" s="52" t="n"/>
      <c r="C2443" s="52" t="n"/>
      <c r="D2443" s="53" t="n"/>
      <c r="E2443" s="60" t="n"/>
      <c r="F2443" s="53" t="n"/>
      <c r="G2443" s="61" t="str">
        <f>IF(OR(COUNTA(A2443:E2443)=0,D2443=""),"",IFERROR(INDEX(ca_fam,MATCH(D2443,ca_name,0))&amp;"",""))</f>
        <v/>
      </c>
      <c r="H2443" s="58" t="str">
        <f>IF(OR(COUNTA(A2443:E2443)=0,D2443=""),"",IFERROR(INDEX(ca_type,MATCH(D2443,ca_name,0))&amp;"",""))</f>
        <v/>
      </c>
      <c r="I2443" s="58" t="str">
        <f>IF(COUNTA(A2443:E2443)=0,"",IF(N(A2443)&lt;=0,"Date manquante ou invalide",IF(B2443="","Équipe manquante",IF(ISNA(MATCH(B2443,eq_code,0)),"Équipe inconnue",IF(C2443="","Poste manquant",IF(ISNA(MATCH(C2443,po_code,0)),"Poste inconnu",IF(D2443="","Cause manquante",IF(ISNA(MATCH(D2443,ca_name,0)),"Cause inconnue",IF(H2443="","Cause à compléter dans Paramètres",IF(OR(NOT(ISNUMBER(E2443)),N(E2443)&lt;=0,N(E2443)&gt;1440),"Durée invalide",IF(COUNTIFS(sj_date,A2443,sj_eq,B2443,sj_po,C2443)=0,"Pas de saisie journalière ce jour-là","OK")))))))))))</f>
        <v/>
      </c>
      <c r="J2443">
        <f>IF(OR(I2443="OK",I2443="Pas de saisie journalière ce jour-là"),E2443,0)</f>
        <v>0.0</v>
      </c>
      <c r="K2443">
        <f>IF(AND(J2443&gt;0,A2443&gt;=p_from,A2443&lt;=p_to),1,0)</f>
        <v>0.0</v>
      </c>
      <c r="L2443">
        <f>IF(AND(K2443=1,OR(pa_po="",C2443=pa_po),OR(pa_eq="",B2443=pa_eq)),1,0)</f>
        <v>0.0</v>
      </c>
    </row>
    <row r="2444">
      <c r="A2444" s="51" t="n"/>
      <c r="B2444" s="52" t="n"/>
      <c r="C2444" s="52" t="n"/>
      <c r="D2444" s="53" t="n"/>
      <c r="E2444" s="60" t="n"/>
      <c r="F2444" s="53" t="n"/>
      <c r="G2444" s="61" t="str">
        <f>IF(OR(COUNTA(A2444:E2444)=0,D2444=""),"",IFERROR(INDEX(ca_fam,MATCH(D2444,ca_name,0))&amp;"",""))</f>
        <v/>
      </c>
      <c r="H2444" s="58" t="str">
        <f>IF(OR(COUNTA(A2444:E2444)=0,D2444=""),"",IFERROR(INDEX(ca_type,MATCH(D2444,ca_name,0))&amp;"",""))</f>
        <v/>
      </c>
      <c r="I2444" s="58" t="str">
        <f>IF(COUNTA(A2444:E2444)=0,"",IF(N(A2444)&lt;=0,"Date manquante ou invalide",IF(B2444="","Équipe manquante",IF(ISNA(MATCH(B2444,eq_code,0)),"Équipe inconnue",IF(C2444="","Poste manquant",IF(ISNA(MATCH(C2444,po_code,0)),"Poste inconnu",IF(D2444="","Cause manquante",IF(ISNA(MATCH(D2444,ca_name,0)),"Cause inconnue",IF(H2444="","Cause à compléter dans Paramètres",IF(OR(NOT(ISNUMBER(E2444)),N(E2444)&lt;=0,N(E2444)&gt;1440),"Durée invalide",IF(COUNTIFS(sj_date,A2444,sj_eq,B2444,sj_po,C2444)=0,"Pas de saisie journalière ce jour-là","OK")))))))))))</f>
        <v/>
      </c>
      <c r="J2444">
        <f>IF(OR(I2444="OK",I2444="Pas de saisie journalière ce jour-là"),E2444,0)</f>
        <v>0.0</v>
      </c>
      <c r="K2444">
        <f>IF(AND(J2444&gt;0,A2444&gt;=p_from,A2444&lt;=p_to),1,0)</f>
        <v>0.0</v>
      </c>
      <c r="L2444">
        <f>IF(AND(K2444=1,OR(pa_po="",C2444=pa_po),OR(pa_eq="",B2444=pa_eq)),1,0)</f>
        <v>0.0</v>
      </c>
    </row>
    <row r="2445">
      <c r="A2445" s="51" t="n"/>
      <c r="B2445" s="52" t="n"/>
      <c r="C2445" s="52" t="n"/>
      <c r="D2445" s="53" t="n"/>
      <c r="E2445" s="60" t="n"/>
      <c r="F2445" s="53" t="n"/>
      <c r="G2445" s="61" t="str">
        <f>IF(OR(COUNTA(A2445:E2445)=0,D2445=""),"",IFERROR(INDEX(ca_fam,MATCH(D2445,ca_name,0))&amp;"",""))</f>
        <v/>
      </c>
      <c r="H2445" s="58" t="str">
        <f>IF(OR(COUNTA(A2445:E2445)=0,D2445=""),"",IFERROR(INDEX(ca_type,MATCH(D2445,ca_name,0))&amp;"",""))</f>
        <v/>
      </c>
      <c r="I2445" s="58" t="str">
        <f>IF(COUNTA(A2445:E2445)=0,"",IF(N(A2445)&lt;=0,"Date manquante ou invalide",IF(B2445="","Équipe manquante",IF(ISNA(MATCH(B2445,eq_code,0)),"Équipe inconnue",IF(C2445="","Poste manquant",IF(ISNA(MATCH(C2445,po_code,0)),"Poste inconnu",IF(D2445="","Cause manquante",IF(ISNA(MATCH(D2445,ca_name,0)),"Cause inconnue",IF(H2445="","Cause à compléter dans Paramètres",IF(OR(NOT(ISNUMBER(E2445)),N(E2445)&lt;=0,N(E2445)&gt;1440),"Durée invalide",IF(COUNTIFS(sj_date,A2445,sj_eq,B2445,sj_po,C2445)=0,"Pas de saisie journalière ce jour-là","OK")))))))))))</f>
        <v/>
      </c>
      <c r="J2445">
        <f>IF(OR(I2445="OK",I2445="Pas de saisie journalière ce jour-là"),E2445,0)</f>
        <v>0.0</v>
      </c>
      <c r="K2445">
        <f>IF(AND(J2445&gt;0,A2445&gt;=p_from,A2445&lt;=p_to),1,0)</f>
        <v>0.0</v>
      </c>
      <c r="L2445">
        <f>IF(AND(K2445=1,OR(pa_po="",C2445=pa_po),OR(pa_eq="",B2445=pa_eq)),1,0)</f>
        <v>0.0</v>
      </c>
    </row>
    <row r="2446">
      <c r="A2446" s="51" t="n"/>
      <c r="B2446" s="52" t="n"/>
      <c r="C2446" s="52" t="n"/>
      <c r="D2446" s="53" t="n"/>
      <c r="E2446" s="60" t="n"/>
      <c r="F2446" s="53" t="n"/>
      <c r="G2446" s="61" t="str">
        <f>IF(OR(COUNTA(A2446:E2446)=0,D2446=""),"",IFERROR(INDEX(ca_fam,MATCH(D2446,ca_name,0))&amp;"",""))</f>
        <v/>
      </c>
      <c r="H2446" s="58" t="str">
        <f>IF(OR(COUNTA(A2446:E2446)=0,D2446=""),"",IFERROR(INDEX(ca_type,MATCH(D2446,ca_name,0))&amp;"",""))</f>
        <v/>
      </c>
      <c r="I2446" s="58" t="str">
        <f>IF(COUNTA(A2446:E2446)=0,"",IF(N(A2446)&lt;=0,"Date manquante ou invalide",IF(B2446="","Équipe manquante",IF(ISNA(MATCH(B2446,eq_code,0)),"Équipe inconnue",IF(C2446="","Poste manquant",IF(ISNA(MATCH(C2446,po_code,0)),"Poste inconnu",IF(D2446="","Cause manquante",IF(ISNA(MATCH(D2446,ca_name,0)),"Cause inconnue",IF(H2446="","Cause à compléter dans Paramètres",IF(OR(NOT(ISNUMBER(E2446)),N(E2446)&lt;=0,N(E2446)&gt;1440),"Durée invalide",IF(COUNTIFS(sj_date,A2446,sj_eq,B2446,sj_po,C2446)=0,"Pas de saisie journalière ce jour-là","OK")))))))))))</f>
        <v/>
      </c>
      <c r="J2446">
        <f>IF(OR(I2446="OK",I2446="Pas de saisie journalière ce jour-là"),E2446,0)</f>
        <v>0.0</v>
      </c>
      <c r="K2446">
        <f>IF(AND(J2446&gt;0,A2446&gt;=p_from,A2446&lt;=p_to),1,0)</f>
        <v>0.0</v>
      </c>
      <c r="L2446">
        <f>IF(AND(K2446=1,OR(pa_po="",C2446=pa_po),OR(pa_eq="",B2446=pa_eq)),1,0)</f>
        <v>0.0</v>
      </c>
    </row>
    <row r="2447">
      <c r="A2447" s="51" t="n"/>
      <c r="B2447" s="52" t="n"/>
      <c r="C2447" s="52" t="n"/>
      <c r="D2447" s="53" t="n"/>
      <c r="E2447" s="60" t="n"/>
      <c r="F2447" s="53" t="n"/>
      <c r="G2447" s="61" t="str">
        <f>IF(OR(COUNTA(A2447:E2447)=0,D2447=""),"",IFERROR(INDEX(ca_fam,MATCH(D2447,ca_name,0))&amp;"",""))</f>
        <v/>
      </c>
      <c r="H2447" s="58" t="str">
        <f>IF(OR(COUNTA(A2447:E2447)=0,D2447=""),"",IFERROR(INDEX(ca_type,MATCH(D2447,ca_name,0))&amp;"",""))</f>
        <v/>
      </c>
      <c r="I2447" s="58" t="str">
        <f>IF(COUNTA(A2447:E2447)=0,"",IF(N(A2447)&lt;=0,"Date manquante ou invalide",IF(B2447="","Équipe manquante",IF(ISNA(MATCH(B2447,eq_code,0)),"Équipe inconnue",IF(C2447="","Poste manquant",IF(ISNA(MATCH(C2447,po_code,0)),"Poste inconnu",IF(D2447="","Cause manquante",IF(ISNA(MATCH(D2447,ca_name,0)),"Cause inconnue",IF(H2447="","Cause à compléter dans Paramètres",IF(OR(NOT(ISNUMBER(E2447)),N(E2447)&lt;=0,N(E2447)&gt;1440),"Durée invalide",IF(COUNTIFS(sj_date,A2447,sj_eq,B2447,sj_po,C2447)=0,"Pas de saisie journalière ce jour-là","OK")))))))))))</f>
        <v/>
      </c>
      <c r="J2447">
        <f>IF(OR(I2447="OK",I2447="Pas de saisie journalière ce jour-là"),E2447,0)</f>
        <v>0.0</v>
      </c>
      <c r="K2447">
        <f>IF(AND(J2447&gt;0,A2447&gt;=p_from,A2447&lt;=p_to),1,0)</f>
        <v>0.0</v>
      </c>
      <c r="L2447">
        <f>IF(AND(K2447=1,OR(pa_po="",C2447=pa_po),OR(pa_eq="",B2447=pa_eq)),1,0)</f>
        <v>0.0</v>
      </c>
    </row>
    <row r="2448">
      <c r="A2448" s="51" t="n"/>
      <c r="B2448" s="52" t="n"/>
      <c r="C2448" s="52" t="n"/>
      <c r="D2448" s="53" t="n"/>
      <c r="E2448" s="60" t="n"/>
      <c r="F2448" s="53" t="n"/>
      <c r="G2448" s="61" t="str">
        <f>IF(OR(COUNTA(A2448:E2448)=0,D2448=""),"",IFERROR(INDEX(ca_fam,MATCH(D2448,ca_name,0))&amp;"",""))</f>
        <v/>
      </c>
      <c r="H2448" s="58" t="str">
        <f>IF(OR(COUNTA(A2448:E2448)=0,D2448=""),"",IFERROR(INDEX(ca_type,MATCH(D2448,ca_name,0))&amp;"",""))</f>
        <v/>
      </c>
      <c r="I2448" s="58" t="str">
        <f>IF(COUNTA(A2448:E2448)=0,"",IF(N(A2448)&lt;=0,"Date manquante ou invalide",IF(B2448="","Équipe manquante",IF(ISNA(MATCH(B2448,eq_code,0)),"Équipe inconnue",IF(C2448="","Poste manquant",IF(ISNA(MATCH(C2448,po_code,0)),"Poste inconnu",IF(D2448="","Cause manquante",IF(ISNA(MATCH(D2448,ca_name,0)),"Cause inconnue",IF(H2448="","Cause à compléter dans Paramètres",IF(OR(NOT(ISNUMBER(E2448)),N(E2448)&lt;=0,N(E2448)&gt;1440),"Durée invalide",IF(COUNTIFS(sj_date,A2448,sj_eq,B2448,sj_po,C2448)=0,"Pas de saisie journalière ce jour-là","OK")))))))))))</f>
        <v/>
      </c>
      <c r="J2448">
        <f>IF(OR(I2448="OK",I2448="Pas de saisie journalière ce jour-là"),E2448,0)</f>
        <v>0.0</v>
      </c>
      <c r="K2448">
        <f>IF(AND(J2448&gt;0,A2448&gt;=p_from,A2448&lt;=p_to),1,0)</f>
        <v>0.0</v>
      </c>
      <c r="L2448">
        <f>IF(AND(K2448=1,OR(pa_po="",C2448=pa_po),OR(pa_eq="",B2448=pa_eq)),1,0)</f>
        <v>0.0</v>
      </c>
    </row>
    <row r="2449">
      <c r="A2449" s="51" t="n"/>
      <c r="B2449" s="52" t="n"/>
      <c r="C2449" s="52" t="n"/>
      <c r="D2449" s="53" t="n"/>
      <c r="E2449" s="60" t="n"/>
      <c r="F2449" s="53" t="n"/>
      <c r="G2449" s="61" t="str">
        <f>IF(OR(COUNTA(A2449:E2449)=0,D2449=""),"",IFERROR(INDEX(ca_fam,MATCH(D2449,ca_name,0))&amp;"",""))</f>
        <v/>
      </c>
      <c r="H2449" s="58" t="str">
        <f>IF(OR(COUNTA(A2449:E2449)=0,D2449=""),"",IFERROR(INDEX(ca_type,MATCH(D2449,ca_name,0))&amp;"",""))</f>
        <v/>
      </c>
      <c r="I2449" s="58" t="str">
        <f>IF(COUNTA(A2449:E2449)=0,"",IF(N(A2449)&lt;=0,"Date manquante ou invalide",IF(B2449="","Équipe manquante",IF(ISNA(MATCH(B2449,eq_code,0)),"Équipe inconnue",IF(C2449="","Poste manquant",IF(ISNA(MATCH(C2449,po_code,0)),"Poste inconnu",IF(D2449="","Cause manquante",IF(ISNA(MATCH(D2449,ca_name,0)),"Cause inconnue",IF(H2449="","Cause à compléter dans Paramètres",IF(OR(NOT(ISNUMBER(E2449)),N(E2449)&lt;=0,N(E2449)&gt;1440),"Durée invalide",IF(COUNTIFS(sj_date,A2449,sj_eq,B2449,sj_po,C2449)=0,"Pas de saisie journalière ce jour-là","OK")))))))))))</f>
        <v/>
      </c>
      <c r="J2449">
        <f>IF(OR(I2449="OK",I2449="Pas de saisie journalière ce jour-là"),E2449,0)</f>
        <v>0.0</v>
      </c>
      <c r="K2449">
        <f>IF(AND(J2449&gt;0,A2449&gt;=p_from,A2449&lt;=p_to),1,0)</f>
        <v>0.0</v>
      </c>
      <c r="L2449">
        <f>IF(AND(K2449=1,OR(pa_po="",C2449=pa_po),OR(pa_eq="",B2449=pa_eq)),1,0)</f>
        <v>0.0</v>
      </c>
    </row>
    <row r="2450">
      <c r="A2450" s="51" t="n"/>
      <c r="B2450" s="52" t="n"/>
      <c r="C2450" s="52" t="n"/>
      <c r="D2450" s="53" t="n"/>
      <c r="E2450" s="60" t="n"/>
      <c r="F2450" s="53" t="n"/>
      <c r="G2450" s="61" t="str">
        <f>IF(OR(COUNTA(A2450:E2450)=0,D2450=""),"",IFERROR(INDEX(ca_fam,MATCH(D2450,ca_name,0))&amp;"",""))</f>
        <v/>
      </c>
      <c r="H2450" s="58" t="str">
        <f>IF(OR(COUNTA(A2450:E2450)=0,D2450=""),"",IFERROR(INDEX(ca_type,MATCH(D2450,ca_name,0))&amp;"",""))</f>
        <v/>
      </c>
      <c r="I2450" s="58" t="str">
        <f>IF(COUNTA(A2450:E2450)=0,"",IF(N(A2450)&lt;=0,"Date manquante ou invalide",IF(B2450="","Équipe manquante",IF(ISNA(MATCH(B2450,eq_code,0)),"Équipe inconnue",IF(C2450="","Poste manquant",IF(ISNA(MATCH(C2450,po_code,0)),"Poste inconnu",IF(D2450="","Cause manquante",IF(ISNA(MATCH(D2450,ca_name,0)),"Cause inconnue",IF(H2450="","Cause à compléter dans Paramètres",IF(OR(NOT(ISNUMBER(E2450)),N(E2450)&lt;=0,N(E2450)&gt;1440),"Durée invalide",IF(COUNTIFS(sj_date,A2450,sj_eq,B2450,sj_po,C2450)=0,"Pas de saisie journalière ce jour-là","OK")))))))))))</f>
        <v/>
      </c>
      <c r="J2450">
        <f>IF(OR(I2450="OK",I2450="Pas de saisie journalière ce jour-là"),E2450,0)</f>
        <v>0.0</v>
      </c>
      <c r="K2450">
        <f>IF(AND(J2450&gt;0,A2450&gt;=p_from,A2450&lt;=p_to),1,0)</f>
        <v>0.0</v>
      </c>
      <c r="L2450">
        <f>IF(AND(K2450=1,OR(pa_po="",C2450=pa_po),OR(pa_eq="",B2450=pa_eq)),1,0)</f>
        <v>0.0</v>
      </c>
    </row>
    <row r="2451">
      <c r="A2451" s="51" t="n"/>
      <c r="B2451" s="52" t="n"/>
      <c r="C2451" s="52" t="n"/>
      <c r="D2451" s="53" t="n"/>
      <c r="E2451" s="60" t="n"/>
      <c r="F2451" s="53" t="n"/>
      <c r="G2451" s="61" t="str">
        <f>IF(OR(COUNTA(A2451:E2451)=0,D2451=""),"",IFERROR(INDEX(ca_fam,MATCH(D2451,ca_name,0))&amp;"",""))</f>
        <v/>
      </c>
      <c r="H2451" s="58" t="str">
        <f>IF(OR(COUNTA(A2451:E2451)=0,D2451=""),"",IFERROR(INDEX(ca_type,MATCH(D2451,ca_name,0))&amp;"",""))</f>
        <v/>
      </c>
      <c r="I2451" s="58" t="str">
        <f>IF(COUNTA(A2451:E2451)=0,"",IF(N(A2451)&lt;=0,"Date manquante ou invalide",IF(B2451="","Équipe manquante",IF(ISNA(MATCH(B2451,eq_code,0)),"Équipe inconnue",IF(C2451="","Poste manquant",IF(ISNA(MATCH(C2451,po_code,0)),"Poste inconnu",IF(D2451="","Cause manquante",IF(ISNA(MATCH(D2451,ca_name,0)),"Cause inconnue",IF(H2451="","Cause à compléter dans Paramètres",IF(OR(NOT(ISNUMBER(E2451)),N(E2451)&lt;=0,N(E2451)&gt;1440),"Durée invalide",IF(COUNTIFS(sj_date,A2451,sj_eq,B2451,sj_po,C2451)=0,"Pas de saisie journalière ce jour-là","OK")))))))))))</f>
        <v/>
      </c>
      <c r="J2451">
        <f>IF(OR(I2451="OK",I2451="Pas de saisie journalière ce jour-là"),E2451,0)</f>
        <v>0.0</v>
      </c>
      <c r="K2451">
        <f>IF(AND(J2451&gt;0,A2451&gt;=p_from,A2451&lt;=p_to),1,0)</f>
        <v>0.0</v>
      </c>
      <c r="L2451">
        <f>IF(AND(K2451=1,OR(pa_po="",C2451=pa_po),OR(pa_eq="",B2451=pa_eq)),1,0)</f>
        <v>0.0</v>
      </c>
    </row>
    <row r="2452">
      <c r="A2452" s="51" t="n"/>
      <c r="B2452" s="52" t="n"/>
      <c r="C2452" s="52" t="n"/>
      <c r="D2452" s="53" t="n"/>
      <c r="E2452" s="60" t="n"/>
      <c r="F2452" s="53" t="n"/>
      <c r="G2452" s="61" t="str">
        <f>IF(OR(COUNTA(A2452:E2452)=0,D2452=""),"",IFERROR(INDEX(ca_fam,MATCH(D2452,ca_name,0))&amp;"",""))</f>
        <v/>
      </c>
      <c r="H2452" s="58" t="str">
        <f>IF(OR(COUNTA(A2452:E2452)=0,D2452=""),"",IFERROR(INDEX(ca_type,MATCH(D2452,ca_name,0))&amp;"",""))</f>
        <v/>
      </c>
      <c r="I2452" s="58" t="str">
        <f>IF(COUNTA(A2452:E2452)=0,"",IF(N(A2452)&lt;=0,"Date manquante ou invalide",IF(B2452="","Équipe manquante",IF(ISNA(MATCH(B2452,eq_code,0)),"Équipe inconnue",IF(C2452="","Poste manquant",IF(ISNA(MATCH(C2452,po_code,0)),"Poste inconnu",IF(D2452="","Cause manquante",IF(ISNA(MATCH(D2452,ca_name,0)),"Cause inconnue",IF(H2452="","Cause à compléter dans Paramètres",IF(OR(NOT(ISNUMBER(E2452)),N(E2452)&lt;=0,N(E2452)&gt;1440),"Durée invalide",IF(COUNTIFS(sj_date,A2452,sj_eq,B2452,sj_po,C2452)=0,"Pas de saisie journalière ce jour-là","OK")))))))))))</f>
        <v/>
      </c>
      <c r="J2452">
        <f>IF(OR(I2452="OK",I2452="Pas de saisie journalière ce jour-là"),E2452,0)</f>
        <v>0.0</v>
      </c>
      <c r="K2452">
        <f>IF(AND(J2452&gt;0,A2452&gt;=p_from,A2452&lt;=p_to),1,0)</f>
        <v>0.0</v>
      </c>
      <c r="L2452">
        <f>IF(AND(K2452=1,OR(pa_po="",C2452=pa_po),OR(pa_eq="",B2452=pa_eq)),1,0)</f>
        <v>0.0</v>
      </c>
    </row>
    <row r="2453">
      <c r="A2453" s="51" t="n"/>
      <c r="B2453" s="52" t="n"/>
      <c r="C2453" s="52" t="n"/>
      <c r="D2453" s="53" t="n"/>
      <c r="E2453" s="60" t="n"/>
      <c r="F2453" s="53" t="n"/>
      <c r="G2453" s="61" t="str">
        <f>IF(OR(COUNTA(A2453:E2453)=0,D2453=""),"",IFERROR(INDEX(ca_fam,MATCH(D2453,ca_name,0))&amp;"",""))</f>
        <v/>
      </c>
      <c r="H2453" s="58" t="str">
        <f>IF(OR(COUNTA(A2453:E2453)=0,D2453=""),"",IFERROR(INDEX(ca_type,MATCH(D2453,ca_name,0))&amp;"",""))</f>
        <v/>
      </c>
      <c r="I2453" s="58" t="str">
        <f>IF(COUNTA(A2453:E2453)=0,"",IF(N(A2453)&lt;=0,"Date manquante ou invalide",IF(B2453="","Équipe manquante",IF(ISNA(MATCH(B2453,eq_code,0)),"Équipe inconnue",IF(C2453="","Poste manquant",IF(ISNA(MATCH(C2453,po_code,0)),"Poste inconnu",IF(D2453="","Cause manquante",IF(ISNA(MATCH(D2453,ca_name,0)),"Cause inconnue",IF(H2453="","Cause à compléter dans Paramètres",IF(OR(NOT(ISNUMBER(E2453)),N(E2453)&lt;=0,N(E2453)&gt;1440),"Durée invalide",IF(COUNTIFS(sj_date,A2453,sj_eq,B2453,sj_po,C2453)=0,"Pas de saisie journalière ce jour-là","OK")))))))))))</f>
        <v/>
      </c>
      <c r="J2453">
        <f>IF(OR(I2453="OK",I2453="Pas de saisie journalière ce jour-là"),E2453,0)</f>
        <v>0.0</v>
      </c>
      <c r="K2453">
        <f>IF(AND(J2453&gt;0,A2453&gt;=p_from,A2453&lt;=p_to),1,0)</f>
        <v>0.0</v>
      </c>
      <c r="L2453">
        <f>IF(AND(K2453=1,OR(pa_po="",C2453=pa_po),OR(pa_eq="",B2453=pa_eq)),1,0)</f>
        <v>0.0</v>
      </c>
    </row>
    <row r="2454">
      <c r="A2454" s="51" t="n"/>
      <c r="B2454" s="52" t="n"/>
      <c r="C2454" s="52" t="n"/>
      <c r="D2454" s="53" t="n"/>
      <c r="E2454" s="60" t="n"/>
      <c r="F2454" s="53" t="n"/>
      <c r="G2454" s="61" t="str">
        <f>IF(OR(COUNTA(A2454:E2454)=0,D2454=""),"",IFERROR(INDEX(ca_fam,MATCH(D2454,ca_name,0))&amp;"",""))</f>
        <v/>
      </c>
      <c r="H2454" s="58" t="str">
        <f>IF(OR(COUNTA(A2454:E2454)=0,D2454=""),"",IFERROR(INDEX(ca_type,MATCH(D2454,ca_name,0))&amp;"",""))</f>
        <v/>
      </c>
      <c r="I2454" s="58" t="str">
        <f>IF(COUNTA(A2454:E2454)=0,"",IF(N(A2454)&lt;=0,"Date manquante ou invalide",IF(B2454="","Équipe manquante",IF(ISNA(MATCH(B2454,eq_code,0)),"Équipe inconnue",IF(C2454="","Poste manquant",IF(ISNA(MATCH(C2454,po_code,0)),"Poste inconnu",IF(D2454="","Cause manquante",IF(ISNA(MATCH(D2454,ca_name,0)),"Cause inconnue",IF(H2454="","Cause à compléter dans Paramètres",IF(OR(NOT(ISNUMBER(E2454)),N(E2454)&lt;=0,N(E2454)&gt;1440),"Durée invalide",IF(COUNTIFS(sj_date,A2454,sj_eq,B2454,sj_po,C2454)=0,"Pas de saisie journalière ce jour-là","OK")))))))))))</f>
        <v/>
      </c>
      <c r="J2454">
        <f>IF(OR(I2454="OK",I2454="Pas de saisie journalière ce jour-là"),E2454,0)</f>
        <v>0.0</v>
      </c>
      <c r="K2454">
        <f>IF(AND(J2454&gt;0,A2454&gt;=p_from,A2454&lt;=p_to),1,0)</f>
        <v>0.0</v>
      </c>
      <c r="L2454">
        <f>IF(AND(K2454=1,OR(pa_po="",C2454=pa_po),OR(pa_eq="",B2454=pa_eq)),1,0)</f>
        <v>0.0</v>
      </c>
    </row>
    <row r="2455">
      <c r="A2455" s="51" t="n"/>
      <c r="B2455" s="52" t="n"/>
      <c r="C2455" s="52" t="n"/>
      <c r="D2455" s="53" t="n"/>
      <c r="E2455" s="60" t="n"/>
      <c r="F2455" s="53" t="n"/>
      <c r="G2455" s="61" t="str">
        <f>IF(OR(COUNTA(A2455:E2455)=0,D2455=""),"",IFERROR(INDEX(ca_fam,MATCH(D2455,ca_name,0))&amp;"",""))</f>
        <v/>
      </c>
      <c r="H2455" s="58" t="str">
        <f>IF(OR(COUNTA(A2455:E2455)=0,D2455=""),"",IFERROR(INDEX(ca_type,MATCH(D2455,ca_name,0))&amp;"",""))</f>
        <v/>
      </c>
      <c r="I2455" s="58" t="str">
        <f>IF(COUNTA(A2455:E2455)=0,"",IF(N(A2455)&lt;=0,"Date manquante ou invalide",IF(B2455="","Équipe manquante",IF(ISNA(MATCH(B2455,eq_code,0)),"Équipe inconnue",IF(C2455="","Poste manquant",IF(ISNA(MATCH(C2455,po_code,0)),"Poste inconnu",IF(D2455="","Cause manquante",IF(ISNA(MATCH(D2455,ca_name,0)),"Cause inconnue",IF(H2455="","Cause à compléter dans Paramètres",IF(OR(NOT(ISNUMBER(E2455)),N(E2455)&lt;=0,N(E2455)&gt;1440),"Durée invalide",IF(COUNTIFS(sj_date,A2455,sj_eq,B2455,sj_po,C2455)=0,"Pas de saisie journalière ce jour-là","OK")))))))))))</f>
        <v/>
      </c>
      <c r="J2455">
        <f>IF(OR(I2455="OK",I2455="Pas de saisie journalière ce jour-là"),E2455,0)</f>
        <v>0.0</v>
      </c>
      <c r="K2455">
        <f>IF(AND(J2455&gt;0,A2455&gt;=p_from,A2455&lt;=p_to),1,0)</f>
        <v>0.0</v>
      </c>
      <c r="L2455">
        <f>IF(AND(K2455=1,OR(pa_po="",C2455=pa_po),OR(pa_eq="",B2455=pa_eq)),1,0)</f>
        <v>0.0</v>
      </c>
    </row>
    <row r="2456">
      <c r="A2456" s="51" t="n"/>
      <c r="B2456" s="52" t="n"/>
      <c r="C2456" s="52" t="n"/>
      <c r="D2456" s="53" t="n"/>
      <c r="E2456" s="60" t="n"/>
      <c r="F2456" s="53" t="n"/>
      <c r="G2456" s="61" t="str">
        <f>IF(OR(COUNTA(A2456:E2456)=0,D2456=""),"",IFERROR(INDEX(ca_fam,MATCH(D2456,ca_name,0))&amp;"",""))</f>
        <v/>
      </c>
      <c r="H2456" s="58" t="str">
        <f>IF(OR(COUNTA(A2456:E2456)=0,D2456=""),"",IFERROR(INDEX(ca_type,MATCH(D2456,ca_name,0))&amp;"",""))</f>
        <v/>
      </c>
      <c r="I2456" s="58" t="str">
        <f>IF(COUNTA(A2456:E2456)=0,"",IF(N(A2456)&lt;=0,"Date manquante ou invalide",IF(B2456="","Équipe manquante",IF(ISNA(MATCH(B2456,eq_code,0)),"Équipe inconnue",IF(C2456="","Poste manquant",IF(ISNA(MATCH(C2456,po_code,0)),"Poste inconnu",IF(D2456="","Cause manquante",IF(ISNA(MATCH(D2456,ca_name,0)),"Cause inconnue",IF(H2456="","Cause à compléter dans Paramètres",IF(OR(NOT(ISNUMBER(E2456)),N(E2456)&lt;=0,N(E2456)&gt;1440),"Durée invalide",IF(COUNTIFS(sj_date,A2456,sj_eq,B2456,sj_po,C2456)=0,"Pas de saisie journalière ce jour-là","OK")))))))))))</f>
        <v/>
      </c>
      <c r="J2456">
        <f>IF(OR(I2456="OK",I2456="Pas de saisie journalière ce jour-là"),E2456,0)</f>
        <v>0.0</v>
      </c>
      <c r="K2456">
        <f>IF(AND(J2456&gt;0,A2456&gt;=p_from,A2456&lt;=p_to),1,0)</f>
        <v>0.0</v>
      </c>
      <c r="L2456">
        <f>IF(AND(K2456=1,OR(pa_po="",C2456=pa_po),OR(pa_eq="",B2456=pa_eq)),1,0)</f>
        <v>0.0</v>
      </c>
    </row>
    <row r="2457">
      <c r="A2457" s="51" t="n"/>
      <c r="B2457" s="52" t="n"/>
      <c r="C2457" s="52" t="n"/>
      <c r="D2457" s="53" t="n"/>
      <c r="E2457" s="60" t="n"/>
      <c r="F2457" s="53" t="n"/>
      <c r="G2457" s="61" t="str">
        <f>IF(OR(COUNTA(A2457:E2457)=0,D2457=""),"",IFERROR(INDEX(ca_fam,MATCH(D2457,ca_name,0))&amp;"",""))</f>
        <v/>
      </c>
      <c r="H2457" s="58" t="str">
        <f>IF(OR(COUNTA(A2457:E2457)=0,D2457=""),"",IFERROR(INDEX(ca_type,MATCH(D2457,ca_name,0))&amp;"",""))</f>
        <v/>
      </c>
      <c r="I2457" s="58" t="str">
        <f>IF(COUNTA(A2457:E2457)=0,"",IF(N(A2457)&lt;=0,"Date manquante ou invalide",IF(B2457="","Équipe manquante",IF(ISNA(MATCH(B2457,eq_code,0)),"Équipe inconnue",IF(C2457="","Poste manquant",IF(ISNA(MATCH(C2457,po_code,0)),"Poste inconnu",IF(D2457="","Cause manquante",IF(ISNA(MATCH(D2457,ca_name,0)),"Cause inconnue",IF(H2457="","Cause à compléter dans Paramètres",IF(OR(NOT(ISNUMBER(E2457)),N(E2457)&lt;=0,N(E2457)&gt;1440),"Durée invalide",IF(COUNTIFS(sj_date,A2457,sj_eq,B2457,sj_po,C2457)=0,"Pas de saisie journalière ce jour-là","OK")))))))))))</f>
        <v/>
      </c>
      <c r="J2457">
        <f>IF(OR(I2457="OK",I2457="Pas de saisie journalière ce jour-là"),E2457,0)</f>
        <v>0.0</v>
      </c>
      <c r="K2457">
        <f>IF(AND(J2457&gt;0,A2457&gt;=p_from,A2457&lt;=p_to),1,0)</f>
        <v>0.0</v>
      </c>
      <c r="L2457">
        <f>IF(AND(K2457=1,OR(pa_po="",C2457=pa_po),OR(pa_eq="",B2457=pa_eq)),1,0)</f>
        <v>0.0</v>
      </c>
    </row>
    <row r="2458">
      <c r="A2458" s="51" t="n"/>
      <c r="B2458" s="52" t="n"/>
      <c r="C2458" s="52" t="n"/>
      <c r="D2458" s="53" t="n"/>
      <c r="E2458" s="60" t="n"/>
      <c r="F2458" s="53" t="n"/>
      <c r="G2458" s="61" t="str">
        <f>IF(OR(COUNTA(A2458:E2458)=0,D2458=""),"",IFERROR(INDEX(ca_fam,MATCH(D2458,ca_name,0))&amp;"",""))</f>
        <v/>
      </c>
      <c r="H2458" s="58" t="str">
        <f>IF(OR(COUNTA(A2458:E2458)=0,D2458=""),"",IFERROR(INDEX(ca_type,MATCH(D2458,ca_name,0))&amp;"",""))</f>
        <v/>
      </c>
      <c r="I2458" s="58" t="str">
        <f>IF(COUNTA(A2458:E2458)=0,"",IF(N(A2458)&lt;=0,"Date manquante ou invalide",IF(B2458="","Équipe manquante",IF(ISNA(MATCH(B2458,eq_code,0)),"Équipe inconnue",IF(C2458="","Poste manquant",IF(ISNA(MATCH(C2458,po_code,0)),"Poste inconnu",IF(D2458="","Cause manquante",IF(ISNA(MATCH(D2458,ca_name,0)),"Cause inconnue",IF(H2458="","Cause à compléter dans Paramètres",IF(OR(NOT(ISNUMBER(E2458)),N(E2458)&lt;=0,N(E2458)&gt;1440),"Durée invalide",IF(COUNTIFS(sj_date,A2458,sj_eq,B2458,sj_po,C2458)=0,"Pas de saisie journalière ce jour-là","OK")))))))))))</f>
        <v/>
      </c>
      <c r="J2458">
        <f>IF(OR(I2458="OK",I2458="Pas de saisie journalière ce jour-là"),E2458,0)</f>
        <v>0.0</v>
      </c>
      <c r="K2458">
        <f>IF(AND(J2458&gt;0,A2458&gt;=p_from,A2458&lt;=p_to),1,0)</f>
        <v>0.0</v>
      </c>
      <c r="L2458">
        <f>IF(AND(K2458=1,OR(pa_po="",C2458=pa_po),OR(pa_eq="",B2458=pa_eq)),1,0)</f>
        <v>0.0</v>
      </c>
    </row>
    <row r="2459">
      <c r="A2459" s="51" t="n"/>
      <c r="B2459" s="52" t="n"/>
      <c r="C2459" s="52" t="n"/>
      <c r="D2459" s="53" t="n"/>
      <c r="E2459" s="60" t="n"/>
      <c r="F2459" s="53" t="n"/>
      <c r="G2459" s="61" t="str">
        <f>IF(OR(COUNTA(A2459:E2459)=0,D2459=""),"",IFERROR(INDEX(ca_fam,MATCH(D2459,ca_name,0))&amp;"",""))</f>
        <v/>
      </c>
      <c r="H2459" s="58" t="str">
        <f>IF(OR(COUNTA(A2459:E2459)=0,D2459=""),"",IFERROR(INDEX(ca_type,MATCH(D2459,ca_name,0))&amp;"",""))</f>
        <v/>
      </c>
      <c r="I2459" s="58" t="str">
        <f>IF(COUNTA(A2459:E2459)=0,"",IF(N(A2459)&lt;=0,"Date manquante ou invalide",IF(B2459="","Équipe manquante",IF(ISNA(MATCH(B2459,eq_code,0)),"Équipe inconnue",IF(C2459="","Poste manquant",IF(ISNA(MATCH(C2459,po_code,0)),"Poste inconnu",IF(D2459="","Cause manquante",IF(ISNA(MATCH(D2459,ca_name,0)),"Cause inconnue",IF(H2459="","Cause à compléter dans Paramètres",IF(OR(NOT(ISNUMBER(E2459)),N(E2459)&lt;=0,N(E2459)&gt;1440),"Durée invalide",IF(COUNTIFS(sj_date,A2459,sj_eq,B2459,sj_po,C2459)=0,"Pas de saisie journalière ce jour-là","OK")))))))))))</f>
        <v/>
      </c>
      <c r="J2459">
        <f>IF(OR(I2459="OK",I2459="Pas de saisie journalière ce jour-là"),E2459,0)</f>
        <v>0.0</v>
      </c>
      <c r="K2459">
        <f>IF(AND(J2459&gt;0,A2459&gt;=p_from,A2459&lt;=p_to),1,0)</f>
        <v>0.0</v>
      </c>
      <c r="L2459">
        <f>IF(AND(K2459=1,OR(pa_po="",C2459=pa_po),OR(pa_eq="",B2459=pa_eq)),1,0)</f>
        <v>0.0</v>
      </c>
    </row>
    <row r="2460">
      <c r="A2460" s="51" t="n"/>
      <c r="B2460" s="52" t="n"/>
      <c r="C2460" s="52" t="n"/>
      <c r="D2460" s="53" t="n"/>
      <c r="E2460" s="60" t="n"/>
      <c r="F2460" s="53" t="n"/>
      <c r="G2460" s="61" t="str">
        <f>IF(OR(COUNTA(A2460:E2460)=0,D2460=""),"",IFERROR(INDEX(ca_fam,MATCH(D2460,ca_name,0))&amp;"",""))</f>
        <v/>
      </c>
      <c r="H2460" s="58" t="str">
        <f>IF(OR(COUNTA(A2460:E2460)=0,D2460=""),"",IFERROR(INDEX(ca_type,MATCH(D2460,ca_name,0))&amp;"",""))</f>
        <v/>
      </c>
      <c r="I2460" s="58" t="str">
        <f>IF(COUNTA(A2460:E2460)=0,"",IF(N(A2460)&lt;=0,"Date manquante ou invalide",IF(B2460="","Équipe manquante",IF(ISNA(MATCH(B2460,eq_code,0)),"Équipe inconnue",IF(C2460="","Poste manquant",IF(ISNA(MATCH(C2460,po_code,0)),"Poste inconnu",IF(D2460="","Cause manquante",IF(ISNA(MATCH(D2460,ca_name,0)),"Cause inconnue",IF(H2460="","Cause à compléter dans Paramètres",IF(OR(NOT(ISNUMBER(E2460)),N(E2460)&lt;=0,N(E2460)&gt;1440),"Durée invalide",IF(COUNTIFS(sj_date,A2460,sj_eq,B2460,sj_po,C2460)=0,"Pas de saisie journalière ce jour-là","OK")))))))))))</f>
        <v/>
      </c>
      <c r="J2460">
        <f>IF(OR(I2460="OK",I2460="Pas de saisie journalière ce jour-là"),E2460,0)</f>
        <v>0.0</v>
      </c>
      <c r="K2460">
        <f>IF(AND(J2460&gt;0,A2460&gt;=p_from,A2460&lt;=p_to),1,0)</f>
        <v>0.0</v>
      </c>
      <c r="L2460">
        <f>IF(AND(K2460=1,OR(pa_po="",C2460=pa_po),OR(pa_eq="",B2460=pa_eq)),1,0)</f>
        <v>0.0</v>
      </c>
    </row>
    <row r="2461">
      <c r="A2461" s="51" t="n"/>
      <c r="B2461" s="52" t="n"/>
      <c r="C2461" s="52" t="n"/>
      <c r="D2461" s="53" t="n"/>
      <c r="E2461" s="60" t="n"/>
      <c r="F2461" s="53" t="n"/>
      <c r="G2461" s="61" t="str">
        <f>IF(OR(COUNTA(A2461:E2461)=0,D2461=""),"",IFERROR(INDEX(ca_fam,MATCH(D2461,ca_name,0))&amp;"",""))</f>
        <v/>
      </c>
      <c r="H2461" s="58" t="str">
        <f>IF(OR(COUNTA(A2461:E2461)=0,D2461=""),"",IFERROR(INDEX(ca_type,MATCH(D2461,ca_name,0))&amp;"",""))</f>
        <v/>
      </c>
      <c r="I2461" s="58" t="str">
        <f>IF(COUNTA(A2461:E2461)=0,"",IF(N(A2461)&lt;=0,"Date manquante ou invalide",IF(B2461="","Équipe manquante",IF(ISNA(MATCH(B2461,eq_code,0)),"Équipe inconnue",IF(C2461="","Poste manquant",IF(ISNA(MATCH(C2461,po_code,0)),"Poste inconnu",IF(D2461="","Cause manquante",IF(ISNA(MATCH(D2461,ca_name,0)),"Cause inconnue",IF(H2461="","Cause à compléter dans Paramètres",IF(OR(NOT(ISNUMBER(E2461)),N(E2461)&lt;=0,N(E2461)&gt;1440),"Durée invalide",IF(COUNTIFS(sj_date,A2461,sj_eq,B2461,sj_po,C2461)=0,"Pas de saisie journalière ce jour-là","OK")))))))))))</f>
        <v/>
      </c>
      <c r="J2461">
        <f>IF(OR(I2461="OK",I2461="Pas de saisie journalière ce jour-là"),E2461,0)</f>
        <v>0.0</v>
      </c>
      <c r="K2461">
        <f>IF(AND(J2461&gt;0,A2461&gt;=p_from,A2461&lt;=p_to),1,0)</f>
        <v>0.0</v>
      </c>
      <c r="L2461">
        <f>IF(AND(K2461=1,OR(pa_po="",C2461=pa_po),OR(pa_eq="",B2461=pa_eq)),1,0)</f>
        <v>0.0</v>
      </c>
    </row>
    <row r="2462">
      <c r="A2462" s="51" t="n"/>
      <c r="B2462" s="52" t="n"/>
      <c r="C2462" s="52" t="n"/>
      <c r="D2462" s="53" t="n"/>
      <c r="E2462" s="60" t="n"/>
      <c r="F2462" s="53" t="n"/>
      <c r="G2462" s="61" t="str">
        <f>IF(OR(COUNTA(A2462:E2462)=0,D2462=""),"",IFERROR(INDEX(ca_fam,MATCH(D2462,ca_name,0))&amp;"",""))</f>
        <v/>
      </c>
      <c r="H2462" s="58" t="str">
        <f>IF(OR(COUNTA(A2462:E2462)=0,D2462=""),"",IFERROR(INDEX(ca_type,MATCH(D2462,ca_name,0))&amp;"",""))</f>
        <v/>
      </c>
      <c r="I2462" s="58" t="str">
        <f>IF(COUNTA(A2462:E2462)=0,"",IF(N(A2462)&lt;=0,"Date manquante ou invalide",IF(B2462="","Équipe manquante",IF(ISNA(MATCH(B2462,eq_code,0)),"Équipe inconnue",IF(C2462="","Poste manquant",IF(ISNA(MATCH(C2462,po_code,0)),"Poste inconnu",IF(D2462="","Cause manquante",IF(ISNA(MATCH(D2462,ca_name,0)),"Cause inconnue",IF(H2462="","Cause à compléter dans Paramètres",IF(OR(NOT(ISNUMBER(E2462)),N(E2462)&lt;=0,N(E2462)&gt;1440),"Durée invalide",IF(COUNTIFS(sj_date,A2462,sj_eq,B2462,sj_po,C2462)=0,"Pas de saisie journalière ce jour-là","OK")))))))))))</f>
        <v/>
      </c>
      <c r="J2462">
        <f>IF(OR(I2462="OK",I2462="Pas de saisie journalière ce jour-là"),E2462,0)</f>
        <v>0.0</v>
      </c>
      <c r="K2462">
        <f>IF(AND(J2462&gt;0,A2462&gt;=p_from,A2462&lt;=p_to),1,0)</f>
        <v>0.0</v>
      </c>
      <c r="L2462">
        <f>IF(AND(K2462=1,OR(pa_po="",C2462=pa_po),OR(pa_eq="",B2462=pa_eq)),1,0)</f>
        <v>0.0</v>
      </c>
    </row>
    <row r="2463">
      <c r="A2463" s="51" t="n"/>
      <c r="B2463" s="52" t="n"/>
      <c r="C2463" s="52" t="n"/>
      <c r="D2463" s="53" t="n"/>
      <c r="E2463" s="60" t="n"/>
      <c r="F2463" s="53" t="n"/>
      <c r="G2463" s="61" t="str">
        <f>IF(OR(COUNTA(A2463:E2463)=0,D2463=""),"",IFERROR(INDEX(ca_fam,MATCH(D2463,ca_name,0))&amp;"",""))</f>
        <v/>
      </c>
      <c r="H2463" s="58" t="str">
        <f>IF(OR(COUNTA(A2463:E2463)=0,D2463=""),"",IFERROR(INDEX(ca_type,MATCH(D2463,ca_name,0))&amp;"",""))</f>
        <v/>
      </c>
      <c r="I2463" s="58" t="str">
        <f>IF(COUNTA(A2463:E2463)=0,"",IF(N(A2463)&lt;=0,"Date manquante ou invalide",IF(B2463="","Équipe manquante",IF(ISNA(MATCH(B2463,eq_code,0)),"Équipe inconnue",IF(C2463="","Poste manquant",IF(ISNA(MATCH(C2463,po_code,0)),"Poste inconnu",IF(D2463="","Cause manquante",IF(ISNA(MATCH(D2463,ca_name,0)),"Cause inconnue",IF(H2463="","Cause à compléter dans Paramètres",IF(OR(NOT(ISNUMBER(E2463)),N(E2463)&lt;=0,N(E2463)&gt;1440),"Durée invalide",IF(COUNTIFS(sj_date,A2463,sj_eq,B2463,sj_po,C2463)=0,"Pas de saisie journalière ce jour-là","OK")))))))))))</f>
        <v/>
      </c>
      <c r="J2463">
        <f>IF(OR(I2463="OK",I2463="Pas de saisie journalière ce jour-là"),E2463,0)</f>
        <v>0.0</v>
      </c>
      <c r="K2463">
        <f>IF(AND(J2463&gt;0,A2463&gt;=p_from,A2463&lt;=p_to),1,0)</f>
        <v>0.0</v>
      </c>
      <c r="L2463">
        <f>IF(AND(K2463=1,OR(pa_po="",C2463=pa_po),OR(pa_eq="",B2463=pa_eq)),1,0)</f>
        <v>0.0</v>
      </c>
    </row>
    <row r="2464">
      <c r="A2464" s="51" t="n"/>
      <c r="B2464" s="52" t="n"/>
      <c r="C2464" s="52" t="n"/>
      <c r="D2464" s="53" t="n"/>
      <c r="E2464" s="60" t="n"/>
      <c r="F2464" s="53" t="n"/>
      <c r="G2464" s="61" t="str">
        <f>IF(OR(COUNTA(A2464:E2464)=0,D2464=""),"",IFERROR(INDEX(ca_fam,MATCH(D2464,ca_name,0))&amp;"",""))</f>
        <v/>
      </c>
      <c r="H2464" s="58" t="str">
        <f>IF(OR(COUNTA(A2464:E2464)=0,D2464=""),"",IFERROR(INDEX(ca_type,MATCH(D2464,ca_name,0))&amp;"",""))</f>
        <v/>
      </c>
      <c r="I2464" s="58" t="str">
        <f>IF(COUNTA(A2464:E2464)=0,"",IF(N(A2464)&lt;=0,"Date manquante ou invalide",IF(B2464="","Équipe manquante",IF(ISNA(MATCH(B2464,eq_code,0)),"Équipe inconnue",IF(C2464="","Poste manquant",IF(ISNA(MATCH(C2464,po_code,0)),"Poste inconnu",IF(D2464="","Cause manquante",IF(ISNA(MATCH(D2464,ca_name,0)),"Cause inconnue",IF(H2464="","Cause à compléter dans Paramètres",IF(OR(NOT(ISNUMBER(E2464)),N(E2464)&lt;=0,N(E2464)&gt;1440),"Durée invalide",IF(COUNTIFS(sj_date,A2464,sj_eq,B2464,sj_po,C2464)=0,"Pas de saisie journalière ce jour-là","OK")))))))))))</f>
        <v/>
      </c>
      <c r="J2464">
        <f>IF(OR(I2464="OK",I2464="Pas de saisie journalière ce jour-là"),E2464,0)</f>
        <v>0.0</v>
      </c>
      <c r="K2464">
        <f>IF(AND(J2464&gt;0,A2464&gt;=p_from,A2464&lt;=p_to),1,0)</f>
        <v>0.0</v>
      </c>
      <c r="L2464">
        <f>IF(AND(K2464=1,OR(pa_po="",C2464=pa_po),OR(pa_eq="",B2464=pa_eq)),1,0)</f>
        <v>0.0</v>
      </c>
    </row>
    <row r="2465">
      <c r="A2465" s="51" t="n"/>
      <c r="B2465" s="52" t="n"/>
      <c r="C2465" s="52" t="n"/>
      <c r="D2465" s="53" t="n"/>
      <c r="E2465" s="60" t="n"/>
      <c r="F2465" s="53" t="n"/>
      <c r="G2465" s="61" t="str">
        <f>IF(OR(COUNTA(A2465:E2465)=0,D2465=""),"",IFERROR(INDEX(ca_fam,MATCH(D2465,ca_name,0))&amp;"",""))</f>
        <v/>
      </c>
      <c r="H2465" s="58" t="str">
        <f>IF(OR(COUNTA(A2465:E2465)=0,D2465=""),"",IFERROR(INDEX(ca_type,MATCH(D2465,ca_name,0))&amp;"",""))</f>
        <v/>
      </c>
      <c r="I2465" s="58" t="str">
        <f>IF(COUNTA(A2465:E2465)=0,"",IF(N(A2465)&lt;=0,"Date manquante ou invalide",IF(B2465="","Équipe manquante",IF(ISNA(MATCH(B2465,eq_code,0)),"Équipe inconnue",IF(C2465="","Poste manquant",IF(ISNA(MATCH(C2465,po_code,0)),"Poste inconnu",IF(D2465="","Cause manquante",IF(ISNA(MATCH(D2465,ca_name,0)),"Cause inconnue",IF(H2465="","Cause à compléter dans Paramètres",IF(OR(NOT(ISNUMBER(E2465)),N(E2465)&lt;=0,N(E2465)&gt;1440),"Durée invalide",IF(COUNTIFS(sj_date,A2465,sj_eq,B2465,sj_po,C2465)=0,"Pas de saisie journalière ce jour-là","OK")))))))))))</f>
        <v/>
      </c>
      <c r="J2465">
        <f>IF(OR(I2465="OK",I2465="Pas de saisie journalière ce jour-là"),E2465,0)</f>
        <v>0.0</v>
      </c>
      <c r="K2465">
        <f>IF(AND(J2465&gt;0,A2465&gt;=p_from,A2465&lt;=p_to),1,0)</f>
        <v>0.0</v>
      </c>
      <c r="L2465">
        <f>IF(AND(K2465=1,OR(pa_po="",C2465=pa_po),OR(pa_eq="",B2465=pa_eq)),1,0)</f>
        <v>0.0</v>
      </c>
    </row>
    <row r="2466">
      <c r="A2466" s="51" t="n"/>
      <c r="B2466" s="52" t="n"/>
      <c r="C2466" s="52" t="n"/>
      <c r="D2466" s="53" t="n"/>
      <c r="E2466" s="60" t="n"/>
      <c r="F2466" s="53" t="n"/>
      <c r="G2466" s="61" t="str">
        <f>IF(OR(COUNTA(A2466:E2466)=0,D2466=""),"",IFERROR(INDEX(ca_fam,MATCH(D2466,ca_name,0))&amp;"",""))</f>
        <v/>
      </c>
      <c r="H2466" s="58" t="str">
        <f>IF(OR(COUNTA(A2466:E2466)=0,D2466=""),"",IFERROR(INDEX(ca_type,MATCH(D2466,ca_name,0))&amp;"",""))</f>
        <v/>
      </c>
      <c r="I2466" s="58" t="str">
        <f>IF(COUNTA(A2466:E2466)=0,"",IF(N(A2466)&lt;=0,"Date manquante ou invalide",IF(B2466="","Équipe manquante",IF(ISNA(MATCH(B2466,eq_code,0)),"Équipe inconnue",IF(C2466="","Poste manquant",IF(ISNA(MATCH(C2466,po_code,0)),"Poste inconnu",IF(D2466="","Cause manquante",IF(ISNA(MATCH(D2466,ca_name,0)),"Cause inconnue",IF(H2466="","Cause à compléter dans Paramètres",IF(OR(NOT(ISNUMBER(E2466)),N(E2466)&lt;=0,N(E2466)&gt;1440),"Durée invalide",IF(COUNTIFS(sj_date,A2466,sj_eq,B2466,sj_po,C2466)=0,"Pas de saisie journalière ce jour-là","OK")))))))))))</f>
        <v/>
      </c>
      <c r="J2466">
        <f>IF(OR(I2466="OK",I2466="Pas de saisie journalière ce jour-là"),E2466,0)</f>
        <v>0.0</v>
      </c>
      <c r="K2466">
        <f>IF(AND(J2466&gt;0,A2466&gt;=p_from,A2466&lt;=p_to),1,0)</f>
        <v>0.0</v>
      </c>
      <c r="L2466">
        <f>IF(AND(K2466=1,OR(pa_po="",C2466=pa_po),OR(pa_eq="",B2466=pa_eq)),1,0)</f>
        <v>0.0</v>
      </c>
    </row>
    <row r="2467">
      <c r="A2467" s="51" t="n"/>
      <c r="B2467" s="52" t="n"/>
      <c r="C2467" s="52" t="n"/>
      <c r="D2467" s="53" t="n"/>
      <c r="E2467" s="60" t="n"/>
      <c r="F2467" s="53" t="n"/>
      <c r="G2467" s="61" t="str">
        <f>IF(OR(COUNTA(A2467:E2467)=0,D2467=""),"",IFERROR(INDEX(ca_fam,MATCH(D2467,ca_name,0))&amp;"",""))</f>
        <v/>
      </c>
      <c r="H2467" s="58" t="str">
        <f>IF(OR(COUNTA(A2467:E2467)=0,D2467=""),"",IFERROR(INDEX(ca_type,MATCH(D2467,ca_name,0))&amp;"",""))</f>
        <v/>
      </c>
      <c r="I2467" s="58" t="str">
        <f>IF(COUNTA(A2467:E2467)=0,"",IF(N(A2467)&lt;=0,"Date manquante ou invalide",IF(B2467="","Équipe manquante",IF(ISNA(MATCH(B2467,eq_code,0)),"Équipe inconnue",IF(C2467="","Poste manquant",IF(ISNA(MATCH(C2467,po_code,0)),"Poste inconnu",IF(D2467="","Cause manquante",IF(ISNA(MATCH(D2467,ca_name,0)),"Cause inconnue",IF(H2467="","Cause à compléter dans Paramètres",IF(OR(NOT(ISNUMBER(E2467)),N(E2467)&lt;=0,N(E2467)&gt;1440),"Durée invalide",IF(COUNTIFS(sj_date,A2467,sj_eq,B2467,sj_po,C2467)=0,"Pas de saisie journalière ce jour-là","OK")))))))))))</f>
        <v/>
      </c>
      <c r="J2467">
        <f>IF(OR(I2467="OK",I2467="Pas de saisie journalière ce jour-là"),E2467,0)</f>
        <v>0.0</v>
      </c>
      <c r="K2467">
        <f>IF(AND(J2467&gt;0,A2467&gt;=p_from,A2467&lt;=p_to),1,0)</f>
        <v>0.0</v>
      </c>
      <c r="L2467">
        <f>IF(AND(K2467=1,OR(pa_po="",C2467=pa_po),OR(pa_eq="",B2467=pa_eq)),1,0)</f>
        <v>0.0</v>
      </c>
    </row>
    <row r="2468">
      <c r="A2468" s="51" t="n"/>
      <c r="B2468" s="52" t="n"/>
      <c r="C2468" s="52" t="n"/>
      <c r="D2468" s="53" t="n"/>
      <c r="E2468" s="60" t="n"/>
      <c r="F2468" s="53" t="n"/>
      <c r="G2468" s="61" t="str">
        <f>IF(OR(COUNTA(A2468:E2468)=0,D2468=""),"",IFERROR(INDEX(ca_fam,MATCH(D2468,ca_name,0))&amp;"",""))</f>
        <v/>
      </c>
      <c r="H2468" s="58" t="str">
        <f>IF(OR(COUNTA(A2468:E2468)=0,D2468=""),"",IFERROR(INDEX(ca_type,MATCH(D2468,ca_name,0))&amp;"",""))</f>
        <v/>
      </c>
      <c r="I2468" s="58" t="str">
        <f>IF(COUNTA(A2468:E2468)=0,"",IF(N(A2468)&lt;=0,"Date manquante ou invalide",IF(B2468="","Équipe manquante",IF(ISNA(MATCH(B2468,eq_code,0)),"Équipe inconnue",IF(C2468="","Poste manquant",IF(ISNA(MATCH(C2468,po_code,0)),"Poste inconnu",IF(D2468="","Cause manquante",IF(ISNA(MATCH(D2468,ca_name,0)),"Cause inconnue",IF(H2468="","Cause à compléter dans Paramètres",IF(OR(NOT(ISNUMBER(E2468)),N(E2468)&lt;=0,N(E2468)&gt;1440),"Durée invalide",IF(COUNTIFS(sj_date,A2468,sj_eq,B2468,sj_po,C2468)=0,"Pas de saisie journalière ce jour-là","OK")))))))))))</f>
        <v/>
      </c>
      <c r="J2468">
        <f>IF(OR(I2468="OK",I2468="Pas de saisie journalière ce jour-là"),E2468,0)</f>
        <v>0.0</v>
      </c>
      <c r="K2468">
        <f>IF(AND(J2468&gt;0,A2468&gt;=p_from,A2468&lt;=p_to),1,0)</f>
        <v>0.0</v>
      </c>
      <c r="L2468">
        <f>IF(AND(K2468=1,OR(pa_po="",C2468=pa_po),OR(pa_eq="",B2468=pa_eq)),1,0)</f>
        <v>0.0</v>
      </c>
    </row>
    <row r="2469">
      <c r="A2469" s="51" t="n"/>
      <c r="B2469" s="52" t="n"/>
      <c r="C2469" s="52" t="n"/>
      <c r="D2469" s="53" t="n"/>
      <c r="E2469" s="60" t="n"/>
      <c r="F2469" s="53" t="n"/>
      <c r="G2469" s="61" t="str">
        <f>IF(OR(COUNTA(A2469:E2469)=0,D2469=""),"",IFERROR(INDEX(ca_fam,MATCH(D2469,ca_name,0))&amp;"",""))</f>
        <v/>
      </c>
      <c r="H2469" s="58" t="str">
        <f>IF(OR(COUNTA(A2469:E2469)=0,D2469=""),"",IFERROR(INDEX(ca_type,MATCH(D2469,ca_name,0))&amp;"",""))</f>
        <v/>
      </c>
      <c r="I2469" s="58" t="str">
        <f>IF(COUNTA(A2469:E2469)=0,"",IF(N(A2469)&lt;=0,"Date manquante ou invalide",IF(B2469="","Équipe manquante",IF(ISNA(MATCH(B2469,eq_code,0)),"Équipe inconnue",IF(C2469="","Poste manquant",IF(ISNA(MATCH(C2469,po_code,0)),"Poste inconnu",IF(D2469="","Cause manquante",IF(ISNA(MATCH(D2469,ca_name,0)),"Cause inconnue",IF(H2469="","Cause à compléter dans Paramètres",IF(OR(NOT(ISNUMBER(E2469)),N(E2469)&lt;=0,N(E2469)&gt;1440),"Durée invalide",IF(COUNTIFS(sj_date,A2469,sj_eq,B2469,sj_po,C2469)=0,"Pas de saisie journalière ce jour-là","OK")))))))))))</f>
        <v/>
      </c>
      <c r="J2469">
        <f>IF(OR(I2469="OK",I2469="Pas de saisie journalière ce jour-là"),E2469,0)</f>
        <v>0.0</v>
      </c>
      <c r="K2469">
        <f>IF(AND(J2469&gt;0,A2469&gt;=p_from,A2469&lt;=p_to),1,0)</f>
        <v>0.0</v>
      </c>
      <c r="L2469">
        <f>IF(AND(K2469=1,OR(pa_po="",C2469=pa_po),OR(pa_eq="",B2469=pa_eq)),1,0)</f>
        <v>0.0</v>
      </c>
    </row>
    <row r="2470">
      <c r="A2470" s="51" t="n"/>
      <c r="B2470" s="52" t="n"/>
      <c r="C2470" s="52" t="n"/>
      <c r="D2470" s="53" t="n"/>
      <c r="E2470" s="60" t="n"/>
      <c r="F2470" s="53" t="n"/>
      <c r="G2470" s="61" t="str">
        <f>IF(OR(COUNTA(A2470:E2470)=0,D2470=""),"",IFERROR(INDEX(ca_fam,MATCH(D2470,ca_name,0))&amp;"",""))</f>
        <v/>
      </c>
      <c r="H2470" s="58" t="str">
        <f>IF(OR(COUNTA(A2470:E2470)=0,D2470=""),"",IFERROR(INDEX(ca_type,MATCH(D2470,ca_name,0))&amp;"",""))</f>
        <v/>
      </c>
      <c r="I2470" s="58" t="str">
        <f>IF(COUNTA(A2470:E2470)=0,"",IF(N(A2470)&lt;=0,"Date manquante ou invalide",IF(B2470="","Équipe manquante",IF(ISNA(MATCH(B2470,eq_code,0)),"Équipe inconnue",IF(C2470="","Poste manquant",IF(ISNA(MATCH(C2470,po_code,0)),"Poste inconnu",IF(D2470="","Cause manquante",IF(ISNA(MATCH(D2470,ca_name,0)),"Cause inconnue",IF(H2470="","Cause à compléter dans Paramètres",IF(OR(NOT(ISNUMBER(E2470)),N(E2470)&lt;=0,N(E2470)&gt;1440),"Durée invalide",IF(COUNTIFS(sj_date,A2470,sj_eq,B2470,sj_po,C2470)=0,"Pas de saisie journalière ce jour-là","OK")))))))))))</f>
        <v/>
      </c>
      <c r="J2470">
        <f>IF(OR(I2470="OK",I2470="Pas de saisie journalière ce jour-là"),E2470,0)</f>
        <v>0.0</v>
      </c>
      <c r="K2470">
        <f>IF(AND(J2470&gt;0,A2470&gt;=p_from,A2470&lt;=p_to),1,0)</f>
        <v>0.0</v>
      </c>
      <c r="L2470">
        <f>IF(AND(K2470=1,OR(pa_po="",C2470=pa_po),OR(pa_eq="",B2470=pa_eq)),1,0)</f>
        <v>0.0</v>
      </c>
    </row>
    <row r="2471">
      <c r="A2471" s="51" t="n"/>
      <c r="B2471" s="52" t="n"/>
      <c r="C2471" s="52" t="n"/>
      <c r="D2471" s="53" t="n"/>
      <c r="E2471" s="60" t="n"/>
      <c r="F2471" s="53" t="n"/>
      <c r="G2471" s="61" t="str">
        <f>IF(OR(COUNTA(A2471:E2471)=0,D2471=""),"",IFERROR(INDEX(ca_fam,MATCH(D2471,ca_name,0))&amp;"",""))</f>
        <v/>
      </c>
      <c r="H2471" s="58" t="str">
        <f>IF(OR(COUNTA(A2471:E2471)=0,D2471=""),"",IFERROR(INDEX(ca_type,MATCH(D2471,ca_name,0))&amp;"",""))</f>
        <v/>
      </c>
      <c r="I2471" s="58" t="str">
        <f>IF(COUNTA(A2471:E2471)=0,"",IF(N(A2471)&lt;=0,"Date manquante ou invalide",IF(B2471="","Équipe manquante",IF(ISNA(MATCH(B2471,eq_code,0)),"Équipe inconnue",IF(C2471="","Poste manquant",IF(ISNA(MATCH(C2471,po_code,0)),"Poste inconnu",IF(D2471="","Cause manquante",IF(ISNA(MATCH(D2471,ca_name,0)),"Cause inconnue",IF(H2471="","Cause à compléter dans Paramètres",IF(OR(NOT(ISNUMBER(E2471)),N(E2471)&lt;=0,N(E2471)&gt;1440),"Durée invalide",IF(COUNTIFS(sj_date,A2471,sj_eq,B2471,sj_po,C2471)=0,"Pas de saisie journalière ce jour-là","OK")))))))))))</f>
        <v/>
      </c>
      <c r="J2471">
        <f>IF(OR(I2471="OK",I2471="Pas de saisie journalière ce jour-là"),E2471,0)</f>
        <v>0.0</v>
      </c>
      <c r="K2471">
        <f>IF(AND(J2471&gt;0,A2471&gt;=p_from,A2471&lt;=p_to),1,0)</f>
        <v>0.0</v>
      </c>
      <c r="L2471">
        <f>IF(AND(K2471=1,OR(pa_po="",C2471=pa_po),OR(pa_eq="",B2471=pa_eq)),1,0)</f>
        <v>0.0</v>
      </c>
    </row>
    <row r="2472">
      <c r="A2472" s="51" t="n"/>
      <c r="B2472" s="52" t="n"/>
      <c r="C2472" s="52" t="n"/>
      <c r="D2472" s="53" t="n"/>
      <c r="E2472" s="60" t="n"/>
      <c r="F2472" s="53" t="n"/>
      <c r="G2472" s="61" t="str">
        <f>IF(OR(COUNTA(A2472:E2472)=0,D2472=""),"",IFERROR(INDEX(ca_fam,MATCH(D2472,ca_name,0))&amp;"",""))</f>
        <v/>
      </c>
      <c r="H2472" s="58" t="str">
        <f>IF(OR(COUNTA(A2472:E2472)=0,D2472=""),"",IFERROR(INDEX(ca_type,MATCH(D2472,ca_name,0))&amp;"",""))</f>
        <v/>
      </c>
      <c r="I2472" s="58" t="str">
        <f>IF(COUNTA(A2472:E2472)=0,"",IF(N(A2472)&lt;=0,"Date manquante ou invalide",IF(B2472="","Équipe manquante",IF(ISNA(MATCH(B2472,eq_code,0)),"Équipe inconnue",IF(C2472="","Poste manquant",IF(ISNA(MATCH(C2472,po_code,0)),"Poste inconnu",IF(D2472="","Cause manquante",IF(ISNA(MATCH(D2472,ca_name,0)),"Cause inconnue",IF(H2472="","Cause à compléter dans Paramètres",IF(OR(NOT(ISNUMBER(E2472)),N(E2472)&lt;=0,N(E2472)&gt;1440),"Durée invalide",IF(COUNTIFS(sj_date,A2472,sj_eq,B2472,sj_po,C2472)=0,"Pas de saisie journalière ce jour-là","OK")))))))))))</f>
        <v/>
      </c>
      <c r="J2472">
        <f>IF(OR(I2472="OK",I2472="Pas de saisie journalière ce jour-là"),E2472,0)</f>
        <v>0.0</v>
      </c>
      <c r="K2472">
        <f>IF(AND(J2472&gt;0,A2472&gt;=p_from,A2472&lt;=p_to),1,0)</f>
        <v>0.0</v>
      </c>
      <c r="L2472">
        <f>IF(AND(K2472=1,OR(pa_po="",C2472=pa_po),OR(pa_eq="",B2472=pa_eq)),1,0)</f>
        <v>0.0</v>
      </c>
    </row>
    <row r="2473">
      <c r="A2473" s="51" t="n"/>
      <c r="B2473" s="52" t="n"/>
      <c r="C2473" s="52" t="n"/>
      <c r="D2473" s="53" t="n"/>
      <c r="E2473" s="60" t="n"/>
      <c r="F2473" s="53" t="n"/>
      <c r="G2473" s="61" t="str">
        <f>IF(OR(COUNTA(A2473:E2473)=0,D2473=""),"",IFERROR(INDEX(ca_fam,MATCH(D2473,ca_name,0))&amp;"",""))</f>
        <v/>
      </c>
      <c r="H2473" s="58" t="str">
        <f>IF(OR(COUNTA(A2473:E2473)=0,D2473=""),"",IFERROR(INDEX(ca_type,MATCH(D2473,ca_name,0))&amp;"",""))</f>
        <v/>
      </c>
      <c r="I2473" s="58" t="str">
        <f>IF(COUNTA(A2473:E2473)=0,"",IF(N(A2473)&lt;=0,"Date manquante ou invalide",IF(B2473="","Équipe manquante",IF(ISNA(MATCH(B2473,eq_code,0)),"Équipe inconnue",IF(C2473="","Poste manquant",IF(ISNA(MATCH(C2473,po_code,0)),"Poste inconnu",IF(D2473="","Cause manquante",IF(ISNA(MATCH(D2473,ca_name,0)),"Cause inconnue",IF(H2473="","Cause à compléter dans Paramètres",IF(OR(NOT(ISNUMBER(E2473)),N(E2473)&lt;=0,N(E2473)&gt;1440),"Durée invalide",IF(COUNTIFS(sj_date,A2473,sj_eq,B2473,sj_po,C2473)=0,"Pas de saisie journalière ce jour-là","OK")))))))))))</f>
        <v/>
      </c>
      <c r="J2473">
        <f>IF(OR(I2473="OK",I2473="Pas de saisie journalière ce jour-là"),E2473,0)</f>
        <v>0.0</v>
      </c>
      <c r="K2473">
        <f>IF(AND(J2473&gt;0,A2473&gt;=p_from,A2473&lt;=p_to),1,0)</f>
        <v>0.0</v>
      </c>
      <c r="L2473">
        <f>IF(AND(K2473=1,OR(pa_po="",C2473=pa_po),OR(pa_eq="",B2473=pa_eq)),1,0)</f>
        <v>0.0</v>
      </c>
    </row>
    <row r="2474">
      <c r="A2474" s="51" t="n"/>
      <c r="B2474" s="52" t="n"/>
      <c r="C2474" s="52" t="n"/>
      <c r="D2474" s="53" t="n"/>
      <c r="E2474" s="60" t="n"/>
      <c r="F2474" s="53" t="n"/>
      <c r="G2474" s="61" t="str">
        <f>IF(OR(COUNTA(A2474:E2474)=0,D2474=""),"",IFERROR(INDEX(ca_fam,MATCH(D2474,ca_name,0))&amp;"",""))</f>
        <v/>
      </c>
      <c r="H2474" s="58" t="str">
        <f>IF(OR(COUNTA(A2474:E2474)=0,D2474=""),"",IFERROR(INDEX(ca_type,MATCH(D2474,ca_name,0))&amp;"",""))</f>
        <v/>
      </c>
      <c r="I2474" s="58" t="str">
        <f>IF(COUNTA(A2474:E2474)=0,"",IF(N(A2474)&lt;=0,"Date manquante ou invalide",IF(B2474="","Équipe manquante",IF(ISNA(MATCH(B2474,eq_code,0)),"Équipe inconnue",IF(C2474="","Poste manquant",IF(ISNA(MATCH(C2474,po_code,0)),"Poste inconnu",IF(D2474="","Cause manquante",IF(ISNA(MATCH(D2474,ca_name,0)),"Cause inconnue",IF(H2474="","Cause à compléter dans Paramètres",IF(OR(NOT(ISNUMBER(E2474)),N(E2474)&lt;=0,N(E2474)&gt;1440),"Durée invalide",IF(COUNTIFS(sj_date,A2474,sj_eq,B2474,sj_po,C2474)=0,"Pas de saisie journalière ce jour-là","OK")))))))))))</f>
        <v/>
      </c>
      <c r="J2474">
        <f>IF(OR(I2474="OK",I2474="Pas de saisie journalière ce jour-là"),E2474,0)</f>
        <v>0.0</v>
      </c>
      <c r="K2474">
        <f>IF(AND(J2474&gt;0,A2474&gt;=p_from,A2474&lt;=p_to),1,0)</f>
        <v>0.0</v>
      </c>
      <c r="L2474">
        <f>IF(AND(K2474=1,OR(pa_po="",C2474=pa_po),OR(pa_eq="",B2474=pa_eq)),1,0)</f>
        <v>0.0</v>
      </c>
    </row>
    <row r="2475">
      <c r="A2475" s="51" t="n"/>
      <c r="B2475" s="52" t="n"/>
      <c r="C2475" s="52" t="n"/>
      <c r="D2475" s="53" t="n"/>
      <c r="E2475" s="60" t="n"/>
      <c r="F2475" s="53" t="n"/>
      <c r="G2475" s="61" t="str">
        <f>IF(OR(COUNTA(A2475:E2475)=0,D2475=""),"",IFERROR(INDEX(ca_fam,MATCH(D2475,ca_name,0))&amp;"",""))</f>
        <v/>
      </c>
      <c r="H2475" s="58" t="str">
        <f>IF(OR(COUNTA(A2475:E2475)=0,D2475=""),"",IFERROR(INDEX(ca_type,MATCH(D2475,ca_name,0))&amp;"",""))</f>
        <v/>
      </c>
      <c r="I2475" s="58" t="str">
        <f>IF(COUNTA(A2475:E2475)=0,"",IF(N(A2475)&lt;=0,"Date manquante ou invalide",IF(B2475="","Équipe manquante",IF(ISNA(MATCH(B2475,eq_code,0)),"Équipe inconnue",IF(C2475="","Poste manquant",IF(ISNA(MATCH(C2475,po_code,0)),"Poste inconnu",IF(D2475="","Cause manquante",IF(ISNA(MATCH(D2475,ca_name,0)),"Cause inconnue",IF(H2475="","Cause à compléter dans Paramètres",IF(OR(NOT(ISNUMBER(E2475)),N(E2475)&lt;=0,N(E2475)&gt;1440),"Durée invalide",IF(COUNTIFS(sj_date,A2475,sj_eq,B2475,sj_po,C2475)=0,"Pas de saisie journalière ce jour-là","OK")))))))))))</f>
        <v/>
      </c>
      <c r="J2475">
        <f>IF(OR(I2475="OK",I2475="Pas de saisie journalière ce jour-là"),E2475,0)</f>
        <v>0.0</v>
      </c>
      <c r="K2475">
        <f>IF(AND(J2475&gt;0,A2475&gt;=p_from,A2475&lt;=p_to),1,0)</f>
        <v>0.0</v>
      </c>
      <c r="L2475">
        <f>IF(AND(K2475=1,OR(pa_po="",C2475=pa_po),OR(pa_eq="",B2475=pa_eq)),1,0)</f>
        <v>0.0</v>
      </c>
    </row>
    <row r="2476">
      <c r="A2476" s="51" t="n"/>
      <c r="B2476" s="52" t="n"/>
      <c r="C2476" s="52" t="n"/>
      <c r="D2476" s="53" t="n"/>
      <c r="E2476" s="60" t="n"/>
      <c r="F2476" s="53" t="n"/>
      <c r="G2476" s="61" t="str">
        <f>IF(OR(COUNTA(A2476:E2476)=0,D2476=""),"",IFERROR(INDEX(ca_fam,MATCH(D2476,ca_name,0))&amp;"",""))</f>
        <v/>
      </c>
      <c r="H2476" s="58" t="str">
        <f>IF(OR(COUNTA(A2476:E2476)=0,D2476=""),"",IFERROR(INDEX(ca_type,MATCH(D2476,ca_name,0))&amp;"",""))</f>
        <v/>
      </c>
      <c r="I2476" s="58" t="str">
        <f>IF(COUNTA(A2476:E2476)=0,"",IF(N(A2476)&lt;=0,"Date manquante ou invalide",IF(B2476="","Équipe manquante",IF(ISNA(MATCH(B2476,eq_code,0)),"Équipe inconnue",IF(C2476="","Poste manquant",IF(ISNA(MATCH(C2476,po_code,0)),"Poste inconnu",IF(D2476="","Cause manquante",IF(ISNA(MATCH(D2476,ca_name,0)),"Cause inconnue",IF(H2476="","Cause à compléter dans Paramètres",IF(OR(NOT(ISNUMBER(E2476)),N(E2476)&lt;=0,N(E2476)&gt;1440),"Durée invalide",IF(COUNTIFS(sj_date,A2476,sj_eq,B2476,sj_po,C2476)=0,"Pas de saisie journalière ce jour-là","OK")))))))))))</f>
        <v/>
      </c>
      <c r="J2476">
        <f>IF(OR(I2476="OK",I2476="Pas de saisie journalière ce jour-là"),E2476,0)</f>
        <v>0.0</v>
      </c>
      <c r="K2476">
        <f>IF(AND(J2476&gt;0,A2476&gt;=p_from,A2476&lt;=p_to),1,0)</f>
        <v>0.0</v>
      </c>
      <c r="L2476">
        <f>IF(AND(K2476=1,OR(pa_po="",C2476=pa_po),OR(pa_eq="",B2476=pa_eq)),1,0)</f>
        <v>0.0</v>
      </c>
    </row>
    <row r="2477">
      <c r="A2477" s="51" t="n"/>
      <c r="B2477" s="52" t="n"/>
      <c r="C2477" s="52" t="n"/>
      <c r="D2477" s="53" t="n"/>
      <c r="E2477" s="60" t="n"/>
      <c r="F2477" s="53" t="n"/>
      <c r="G2477" s="61" t="str">
        <f>IF(OR(COUNTA(A2477:E2477)=0,D2477=""),"",IFERROR(INDEX(ca_fam,MATCH(D2477,ca_name,0))&amp;"",""))</f>
        <v/>
      </c>
      <c r="H2477" s="58" t="str">
        <f>IF(OR(COUNTA(A2477:E2477)=0,D2477=""),"",IFERROR(INDEX(ca_type,MATCH(D2477,ca_name,0))&amp;"",""))</f>
        <v/>
      </c>
      <c r="I2477" s="58" t="str">
        <f>IF(COUNTA(A2477:E2477)=0,"",IF(N(A2477)&lt;=0,"Date manquante ou invalide",IF(B2477="","Équipe manquante",IF(ISNA(MATCH(B2477,eq_code,0)),"Équipe inconnue",IF(C2477="","Poste manquant",IF(ISNA(MATCH(C2477,po_code,0)),"Poste inconnu",IF(D2477="","Cause manquante",IF(ISNA(MATCH(D2477,ca_name,0)),"Cause inconnue",IF(H2477="","Cause à compléter dans Paramètres",IF(OR(NOT(ISNUMBER(E2477)),N(E2477)&lt;=0,N(E2477)&gt;1440),"Durée invalide",IF(COUNTIFS(sj_date,A2477,sj_eq,B2477,sj_po,C2477)=0,"Pas de saisie journalière ce jour-là","OK")))))))))))</f>
        <v/>
      </c>
      <c r="J2477">
        <f>IF(OR(I2477="OK",I2477="Pas de saisie journalière ce jour-là"),E2477,0)</f>
        <v>0.0</v>
      </c>
      <c r="K2477">
        <f>IF(AND(J2477&gt;0,A2477&gt;=p_from,A2477&lt;=p_to),1,0)</f>
        <v>0.0</v>
      </c>
      <c r="L2477">
        <f>IF(AND(K2477=1,OR(pa_po="",C2477=pa_po),OR(pa_eq="",B2477=pa_eq)),1,0)</f>
        <v>0.0</v>
      </c>
    </row>
    <row r="2478">
      <c r="A2478" s="51" t="n"/>
      <c r="B2478" s="52" t="n"/>
      <c r="C2478" s="52" t="n"/>
      <c r="D2478" s="53" t="n"/>
      <c r="E2478" s="60" t="n"/>
      <c r="F2478" s="53" t="n"/>
      <c r="G2478" s="61" t="str">
        <f>IF(OR(COUNTA(A2478:E2478)=0,D2478=""),"",IFERROR(INDEX(ca_fam,MATCH(D2478,ca_name,0))&amp;"",""))</f>
        <v/>
      </c>
      <c r="H2478" s="58" t="str">
        <f>IF(OR(COUNTA(A2478:E2478)=0,D2478=""),"",IFERROR(INDEX(ca_type,MATCH(D2478,ca_name,0))&amp;"",""))</f>
        <v/>
      </c>
      <c r="I2478" s="58" t="str">
        <f>IF(COUNTA(A2478:E2478)=0,"",IF(N(A2478)&lt;=0,"Date manquante ou invalide",IF(B2478="","Équipe manquante",IF(ISNA(MATCH(B2478,eq_code,0)),"Équipe inconnue",IF(C2478="","Poste manquant",IF(ISNA(MATCH(C2478,po_code,0)),"Poste inconnu",IF(D2478="","Cause manquante",IF(ISNA(MATCH(D2478,ca_name,0)),"Cause inconnue",IF(H2478="","Cause à compléter dans Paramètres",IF(OR(NOT(ISNUMBER(E2478)),N(E2478)&lt;=0,N(E2478)&gt;1440),"Durée invalide",IF(COUNTIFS(sj_date,A2478,sj_eq,B2478,sj_po,C2478)=0,"Pas de saisie journalière ce jour-là","OK")))))))))))</f>
        <v/>
      </c>
      <c r="J2478">
        <f>IF(OR(I2478="OK",I2478="Pas de saisie journalière ce jour-là"),E2478,0)</f>
        <v>0.0</v>
      </c>
      <c r="K2478">
        <f>IF(AND(J2478&gt;0,A2478&gt;=p_from,A2478&lt;=p_to),1,0)</f>
        <v>0.0</v>
      </c>
      <c r="L2478">
        <f>IF(AND(K2478=1,OR(pa_po="",C2478=pa_po),OR(pa_eq="",B2478=pa_eq)),1,0)</f>
        <v>0.0</v>
      </c>
    </row>
    <row r="2479">
      <c r="A2479" s="51" t="n"/>
      <c r="B2479" s="52" t="n"/>
      <c r="C2479" s="52" t="n"/>
      <c r="D2479" s="53" t="n"/>
      <c r="E2479" s="60" t="n"/>
      <c r="F2479" s="53" t="n"/>
      <c r="G2479" s="61" t="str">
        <f>IF(OR(COUNTA(A2479:E2479)=0,D2479=""),"",IFERROR(INDEX(ca_fam,MATCH(D2479,ca_name,0))&amp;"",""))</f>
        <v/>
      </c>
      <c r="H2479" s="58" t="str">
        <f>IF(OR(COUNTA(A2479:E2479)=0,D2479=""),"",IFERROR(INDEX(ca_type,MATCH(D2479,ca_name,0))&amp;"",""))</f>
        <v/>
      </c>
      <c r="I2479" s="58" t="str">
        <f>IF(COUNTA(A2479:E2479)=0,"",IF(N(A2479)&lt;=0,"Date manquante ou invalide",IF(B2479="","Équipe manquante",IF(ISNA(MATCH(B2479,eq_code,0)),"Équipe inconnue",IF(C2479="","Poste manquant",IF(ISNA(MATCH(C2479,po_code,0)),"Poste inconnu",IF(D2479="","Cause manquante",IF(ISNA(MATCH(D2479,ca_name,0)),"Cause inconnue",IF(H2479="","Cause à compléter dans Paramètres",IF(OR(NOT(ISNUMBER(E2479)),N(E2479)&lt;=0,N(E2479)&gt;1440),"Durée invalide",IF(COUNTIFS(sj_date,A2479,sj_eq,B2479,sj_po,C2479)=0,"Pas de saisie journalière ce jour-là","OK")))))))))))</f>
        <v/>
      </c>
      <c r="J2479">
        <f>IF(OR(I2479="OK",I2479="Pas de saisie journalière ce jour-là"),E2479,0)</f>
        <v>0.0</v>
      </c>
      <c r="K2479">
        <f>IF(AND(J2479&gt;0,A2479&gt;=p_from,A2479&lt;=p_to),1,0)</f>
        <v>0.0</v>
      </c>
      <c r="L2479">
        <f>IF(AND(K2479=1,OR(pa_po="",C2479=pa_po),OR(pa_eq="",B2479=pa_eq)),1,0)</f>
        <v>0.0</v>
      </c>
    </row>
    <row r="2480">
      <c r="A2480" s="51" t="n"/>
      <c r="B2480" s="52" t="n"/>
      <c r="C2480" s="52" t="n"/>
      <c r="D2480" s="53" t="n"/>
      <c r="E2480" s="60" t="n"/>
      <c r="F2480" s="53" t="n"/>
      <c r="G2480" s="61" t="str">
        <f>IF(OR(COUNTA(A2480:E2480)=0,D2480=""),"",IFERROR(INDEX(ca_fam,MATCH(D2480,ca_name,0))&amp;"",""))</f>
        <v/>
      </c>
      <c r="H2480" s="58" t="str">
        <f>IF(OR(COUNTA(A2480:E2480)=0,D2480=""),"",IFERROR(INDEX(ca_type,MATCH(D2480,ca_name,0))&amp;"",""))</f>
        <v/>
      </c>
      <c r="I2480" s="58" t="str">
        <f>IF(COUNTA(A2480:E2480)=0,"",IF(N(A2480)&lt;=0,"Date manquante ou invalide",IF(B2480="","Équipe manquante",IF(ISNA(MATCH(B2480,eq_code,0)),"Équipe inconnue",IF(C2480="","Poste manquant",IF(ISNA(MATCH(C2480,po_code,0)),"Poste inconnu",IF(D2480="","Cause manquante",IF(ISNA(MATCH(D2480,ca_name,0)),"Cause inconnue",IF(H2480="","Cause à compléter dans Paramètres",IF(OR(NOT(ISNUMBER(E2480)),N(E2480)&lt;=0,N(E2480)&gt;1440),"Durée invalide",IF(COUNTIFS(sj_date,A2480,sj_eq,B2480,sj_po,C2480)=0,"Pas de saisie journalière ce jour-là","OK")))))))))))</f>
        <v/>
      </c>
      <c r="J2480">
        <f>IF(OR(I2480="OK",I2480="Pas de saisie journalière ce jour-là"),E2480,0)</f>
        <v>0.0</v>
      </c>
      <c r="K2480">
        <f>IF(AND(J2480&gt;0,A2480&gt;=p_from,A2480&lt;=p_to),1,0)</f>
        <v>0.0</v>
      </c>
      <c r="L2480">
        <f>IF(AND(K2480=1,OR(pa_po="",C2480=pa_po),OR(pa_eq="",B2480=pa_eq)),1,0)</f>
        <v>0.0</v>
      </c>
    </row>
    <row r="2481">
      <c r="A2481" s="51" t="n"/>
      <c r="B2481" s="52" t="n"/>
      <c r="C2481" s="52" t="n"/>
      <c r="D2481" s="53" t="n"/>
      <c r="E2481" s="60" t="n"/>
      <c r="F2481" s="53" t="n"/>
      <c r="G2481" s="61" t="str">
        <f>IF(OR(COUNTA(A2481:E2481)=0,D2481=""),"",IFERROR(INDEX(ca_fam,MATCH(D2481,ca_name,0))&amp;"",""))</f>
        <v/>
      </c>
      <c r="H2481" s="58" t="str">
        <f>IF(OR(COUNTA(A2481:E2481)=0,D2481=""),"",IFERROR(INDEX(ca_type,MATCH(D2481,ca_name,0))&amp;"",""))</f>
        <v/>
      </c>
      <c r="I2481" s="58" t="str">
        <f>IF(COUNTA(A2481:E2481)=0,"",IF(N(A2481)&lt;=0,"Date manquante ou invalide",IF(B2481="","Équipe manquante",IF(ISNA(MATCH(B2481,eq_code,0)),"Équipe inconnue",IF(C2481="","Poste manquant",IF(ISNA(MATCH(C2481,po_code,0)),"Poste inconnu",IF(D2481="","Cause manquante",IF(ISNA(MATCH(D2481,ca_name,0)),"Cause inconnue",IF(H2481="","Cause à compléter dans Paramètres",IF(OR(NOT(ISNUMBER(E2481)),N(E2481)&lt;=0,N(E2481)&gt;1440),"Durée invalide",IF(COUNTIFS(sj_date,A2481,sj_eq,B2481,sj_po,C2481)=0,"Pas de saisie journalière ce jour-là","OK")))))))))))</f>
        <v/>
      </c>
      <c r="J2481">
        <f>IF(OR(I2481="OK",I2481="Pas de saisie journalière ce jour-là"),E2481,0)</f>
        <v>0.0</v>
      </c>
      <c r="K2481">
        <f>IF(AND(J2481&gt;0,A2481&gt;=p_from,A2481&lt;=p_to),1,0)</f>
        <v>0.0</v>
      </c>
      <c r="L2481">
        <f>IF(AND(K2481=1,OR(pa_po="",C2481=pa_po),OR(pa_eq="",B2481=pa_eq)),1,0)</f>
        <v>0.0</v>
      </c>
    </row>
    <row r="2482">
      <c r="A2482" s="51" t="n"/>
      <c r="B2482" s="52" t="n"/>
      <c r="C2482" s="52" t="n"/>
      <c r="D2482" s="53" t="n"/>
      <c r="E2482" s="60" t="n"/>
      <c r="F2482" s="53" t="n"/>
      <c r="G2482" s="61" t="str">
        <f>IF(OR(COUNTA(A2482:E2482)=0,D2482=""),"",IFERROR(INDEX(ca_fam,MATCH(D2482,ca_name,0))&amp;"",""))</f>
        <v/>
      </c>
      <c r="H2482" s="58" t="str">
        <f>IF(OR(COUNTA(A2482:E2482)=0,D2482=""),"",IFERROR(INDEX(ca_type,MATCH(D2482,ca_name,0))&amp;"",""))</f>
        <v/>
      </c>
      <c r="I2482" s="58" t="str">
        <f>IF(COUNTA(A2482:E2482)=0,"",IF(N(A2482)&lt;=0,"Date manquante ou invalide",IF(B2482="","Équipe manquante",IF(ISNA(MATCH(B2482,eq_code,0)),"Équipe inconnue",IF(C2482="","Poste manquant",IF(ISNA(MATCH(C2482,po_code,0)),"Poste inconnu",IF(D2482="","Cause manquante",IF(ISNA(MATCH(D2482,ca_name,0)),"Cause inconnue",IF(H2482="","Cause à compléter dans Paramètres",IF(OR(NOT(ISNUMBER(E2482)),N(E2482)&lt;=0,N(E2482)&gt;1440),"Durée invalide",IF(COUNTIFS(sj_date,A2482,sj_eq,B2482,sj_po,C2482)=0,"Pas de saisie journalière ce jour-là","OK")))))))))))</f>
        <v/>
      </c>
      <c r="J2482">
        <f>IF(OR(I2482="OK",I2482="Pas de saisie journalière ce jour-là"),E2482,0)</f>
        <v>0.0</v>
      </c>
      <c r="K2482">
        <f>IF(AND(J2482&gt;0,A2482&gt;=p_from,A2482&lt;=p_to),1,0)</f>
        <v>0.0</v>
      </c>
      <c r="L2482">
        <f>IF(AND(K2482=1,OR(pa_po="",C2482=pa_po),OR(pa_eq="",B2482=pa_eq)),1,0)</f>
        <v>0.0</v>
      </c>
    </row>
    <row r="2483">
      <c r="A2483" s="51" t="n"/>
      <c r="B2483" s="52" t="n"/>
      <c r="C2483" s="52" t="n"/>
      <c r="D2483" s="53" t="n"/>
      <c r="E2483" s="60" t="n"/>
      <c r="F2483" s="53" t="n"/>
      <c r="G2483" s="61" t="str">
        <f>IF(OR(COUNTA(A2483:E2483)=0,D2483=""),"",IFERROR(INDEX(ca_fam,MATCH(D2483,ca_name,0))&amp;"",""))</f>
        <v/>
      </c>
      <c r="H2483" s="58" t="str">
        <f>IF(OR(COUNTA(A2483:E2483)=0,D2483=""),"",IFERROR(INDEX(ca_type,MATCH(D2483,ca_name,0))&amp;"",""))</f>
        <v/>
      </c>
      <c r="I2483" s="58" t="str">
        <f>IF(COUNTA(A2483:E2483)=0,"",IF(N(A2483)&lt;=0,"Date manquante ou invalide",IF(B2483="","Équipe manquante",IF(ISNA(MATCH(B2483,eq_code,0)),"Équipe inconnue",IF(C2483="","Poste manquant",IF(ISNA(MATCH(C2483,po_code,0)),"Poste inconnu",IF(D2483="","Cause manquante",IF(ISNA(MATCH(D2483,ca_name,0)),"Cause inconnue",IF(H2483="","Cause à compléter dans Paramètres",IF(OR(NOT(ISNUMBER(E2483)),N(E2483)&lt;=0,N(E2483)&gt;1440),"Durée invalide",IF(COUNTIFS(sj_date,A2483,sj_eq,B2483,sj_po,C2483)=0,"Pas de saisie journalière ce jour-là","OK")))))))))))</f>
        <v/>
      </c>
      <c r="J2483">
        <f>IF(OR(I2483="OK",I2483="Pas de saisie journalière ce jour-là"),E2483,0)</f>
        <v>0.0</v>
      </c>
      <c r="K2483">
        <f>IF(AND(J2483&gt;0,A2483&gt;=p_from,A2483&lt;=p_to),1,0)</f>
        <v>0.0</v>
      </c>
      <c r="L2483">
        <f>IF(AND(K2483=1,OR(pa_po="",C2483=pa_po),OR(pa_eq="",B2483=pa_eq)),1,0)</f>
        <v>0.0</v>
      </c>
    </row>
    <row r="2484">
      <c r="A2484" s="51" t="n"/>
      <c r="B2484" s="52" t="n"/>
      <c r="C2484" s="52" t="n"/>
      <c r="D2484" s="53" t="n"/>
      <c r="E2484" s="60" t="n"/>
      <c r="F2484" s="53" t="n"/>
      <c r="G2484" s="61" t="str">
        <f>IF(OR(COUNTA(A2484:E2484)=0,D2484=""),"",IFERROR(INDEX(ca_fam,MATCH(D2484,ca_name,0))&amp;"",""))</f>
        <v/>
      </c>
      <c r="H2484" s="58" t="str">
        <f>IF(OR(COUNTA(A2484:E2484)=0,D2484=""),"",IFERROR(INDEX(ca_type,MATCH(D2484,ca_name,0))&amp;"",""))</f>
        <v/>
      </c>
      <c r="I2484" s="58" t="str">
        <f>IF(COUNTA(A2484:E2484)=0,"",IF(N(A2484)&lt;=0,"Date manquante ou invalide",IF(B2484="","Équipe manquante",IF(ISNA(MATCH(B2484,eq_code,0)),"Équipe inconnue",IF(C2484="","Poste manquant",IF(ISNA(MATCH(C2484,po_code,0)),"Poste inconnu",IF(D2484="","Cause manquante",IF(ISNA(MATCH(D2484,ca_name,0)),"Cause inconnue",IF(H2484="","Cause à compléter dans Paramètres",IF(OR(NOT(ISNUMBER(E2484)),N(E2484)&lt;=0,N(E2484)&gt;1440),"Durée invalide",IF(COUNTIFS(sj_date,A2484,sj_eq,B2484,sj_po,C2484)=0,"Pas de saisie journalière ce jour-là","OK")))))))))))</f>
        <v/>
      </c>
      <c r="J2484">
        <f>IF(OR(I2484="OK",I2484="Pas de saisie journalière ce jour-là"),E2484,0)</f>
        <v>0.0</v>
      </c>
      <c r="K2484">
        <f>IF(AND(J2484&gt;0,A2484&gt;=p_from,A2484&lt;=p_to),1,0)</f>
        <v>0.0</v>
      </c>
      <c r="L2484">
        <f>IF(AND(K2484=1,OR(pa_po="",C2484=pa_po),OR(pa_eq="",B2484=pa_eq)),1,0)</f>
        <v>0.0</v>
      </c>
    </row>
    <row r="2485">
      <c r="A2485" s="51" t="n"/>
      <c r="B2485" s="52" t="n"/>
      <c r="C2485" s="52" t="n"/>
      <c r="D2485" s="53" t="n"/>
      <c r="E2485" s="60" t="n"/>
      <c r="F2485" s="53" t="n"/>
      <c r="G2485" s="61" t="str">
        <f>IF(OR(COUNTA(A2485:E2485)=0,D2485=""),"",IFERROR(INDEX(ca_fam,MATCH(D2485,ca_name,0))&amp;"",""))</f>
        <v/>
      </c>
      <c r="H2485" s="58" t="str">
        <f>IF(OR(COUNTA(A2485:E2485)=0,D2485=""),"",IFERROR(INDEX(ca_type,MATCH(D2485,ca_name,0))&amp;"",""))</f>
        <v/>
      </c>
      <c r="I2485" s="58" t="str">
        <f>IF(COUNTA(A2485:E2485)=0,"",IF(N(A2485)&lt;=0,"Date manquante ou invalide",IF(B2485="","Équipe manquante",IF(ISNA(MATCH(B2485,eq_code,0)),"Équipe inconnue",IF(C2485="","Poste manquant",IF(ISNA(MATCH(C2485,po_code,0)),"Poste inconnu",IF(D2485="","Cause manquante",IF(ISNA(MATCH(D2485,ca_name,0)),"Cause inconnue",IF(H2485="","Cause à compléter dans Paramètres",IF(OR(NOT(ISNUMBER(E2485)),N(E2485)&lt;=0,N(E2485)&gt;1440),"Durée invalide",IF(COUNTIFS(sj_date,A2485,sj_eq,B2485,sj_po,C2485)=0,"Pas de saisie journalière ce jour-là","OK")))))))))))</f>
        <v/>
      </c>
      <c r="J2485">
        <f>IF(OR(I2485="OK",I2485="Pas de saisie journalière ce jour-là"),E2485,0)</f>
        <v>0.0</v>
      </c>
      <c r="K2485">
        <f>IF(AND(J2485&gt;0,A2485&gt;=p_from,A2485&lt;=p_to),1,0)</f>
        <v>0.0</v>
      </c>
      <c r="L2485">
        <f>IF(AND(K2485=1,OR(pa_po="",C2485=pa_po),OR(pa_eq="",B2485=pa_eq)),1,0)</f>
        <v>0.0</v>
      </c>
    </row>
    <row r="2486">
      <c r="A2486" s="51" t="n"/>
      <c r="B2486" s="52" t="n"/>
      <c r="C2486" s="52" t="n"/>
      <c r="D2486" s="53" t="n"/>
      <c r="E2486" s="60" t="n"/>
      <c r="F2486" s="53" t="n"/>
      <c r="G2486" s="61" t="str">
        <f>IF(OR(COUNTA(A2486:E2486)=0,D2486=""),"",IFERROR(INDEX(ca_fam,MATCH(D2486,ca_name,0))&amp;"",""))</f>
        <v/>
      </c>
      <c r="H2486" s="58" t="str">
        <f>IF(OR(COUNTA(A2486:E2486)=0,D2486=""),"",IFERROR(INDEX(ca_type,MATCH(D2486,ca_name,0))&amp;"",""))</f>
        <v/>
      </c>
      <c r="I2486" s="58" t="str">
        <f>IF(COUNTA(A2486:E2486)=0,"",IF(N(A2486)&lt;=0,"Date manquante ou invalide",IF(B2486="","Équipe manquante",IF(ISNA(MATCH(B2486,eq_code,0)),"Équipe inconnue",IF(C2486="","Poste manquant",IF(ISNA(MATCH(C2486,po_code,0)),"Poste inconnu",IF(D2486="","Cause manquante",IF(ISNA(MATCH(D2486,ca_name,0)),"Cause inconnue",IF(H2486="","Cause à compléter dans Paramètres",IF(OR(NOT(ISNUMBER(E2486)),N(E2486)&lt;=0,N(E2486)&gt;1440),"Durée invalide",IF(COUNTIFS(sj_date,A2486,sj_eq,B2486,sj_po,C2486)=0,"Pas de saisie journalière ce jour-là","OK")))))))))))</f>
        <v/>
      </c>
      <c r="J2486">
        <f>IF(OR(I2486="OK",I2486="Pas de saisie journalière ce jour-là"),E2486,0)</f>
        <v>0.0</v>
      </c>
      <c r="K2486">
        <f>IF(AND(J2486&gt;0,A2486&gt;=p_from,A2486&lt;=p_to),1,0)</f>
        <v>0.0</v>
      </c>
      <c r="L2486">
        <f>IF(AND(K2486=1,OR(pa_po="",C2486=pa_po),OR(pa_eq="",B2486=pa_eq)),1,0)</f>
        <v>0.0</v>
      </c>
    </row>
    <row r="2487">
      <c r="A2487" s="51" t="n"/>
      <c r="B2487" s="52" t="n"/>
      <c r="C2487" s="52" t="n"/>
      <c r="D2487" s="53" t="n"/>
      <c r="E2487" s="60" t="n"/>
      <c r="F2487" s="53" t="n"/>
      <c r="G2487" s="61" t="str">
        <f>IF(OR(COUNTA(A2487:E2487)=0,D2487=""),"",IFERROR(INDEX(ca_fam,MATCH(D2487,ca_name,0))&amp;"",""))</f>
        <v/>
      </c>
      <c r="H2487" s="58" t="str">
        <f>IF(OR(COUNTA(A2487:E2487)=0,D2487=""),"",IFERROR(INDEX(ca_type,MATCH(D2487,ca_name,0))&amp;"",""))</f>
        <v/>
      </c>
      <c r="I2487" s="58" t="str">
        <f>IF(COUNTA(A2487:E2487)=0,"",IF(N(A2487)&lt;=0,"Date manquante ou invalide",IF(B2487="","Équipe manquante",IF(ISNA(MATCH(B2487,eq_code,0)),"Équipe inconnue",IF(C2487="","Poste manquant",IF(ISNA(MATCH(C2487,po_code,0)),"Poste inconnu",IF(D2487="","Cause manquante",IF(ISNA(MATCH(D2487,ca_name,0)),"Cause inconnue",IF(H2487="","Cause à compléter dans Paramètres",IF(OR(NOT(ISNUMBER(E2487)),N(E2487)&lt;=0,N(E2487)&gt;1440),"Durée invalide",IF(COUNTIFS(sj_date,A2487,sj_eq,B2487,sj_po,C2487)=0,"Pas de saisie journalière ce jour-là","OK")))))))))))</f>
        <v/>
      </c>
      <c r="J2487">
        <f>IF(OR(I2487="OK",I2487="Pas de saisie journalière ce jour-là"),E2487,0)</f>
        <v>0.0</v>
      </c>
      <c r="K2487">
        <f>IF(AND(J2487&gt;0,A2487&gt;=p_from,A2487&lt;=p_to),1,0)</f>
        <v>0.0</v>
      </c>
      <c r="L2487">
        <f>IF(AND(K2487=1,OR(pa_po="",C2487=pa_po),OR(pa_eq="",B2487=pa_eq)),1,0)</f>
        <v>0.0</v>
      </c>
    </row>
    <row r="2488">
      <c r="A2488" s="51" t="n"/>
      <c r="B2488" s="52" t="n"/>
      <c r="C2488" s="52" t="n"/>
      <c r="D2488" s="53" t="n"/>
      <c r="E2488" s="60" t="n"/>
      <c r="F2488" s="53" t="n"/>
      <c r="G2488" s="61" t="str">
        <f>IF(OR(COUNTA(A2488:E2488)=0,D2488=""),"",IFERROR(INDEX(ca_fam,MATCH(D2488,ca_name,0))&amp;"",""))</f>
        <v/>
      </c>
      <c r="H2488" s="58" t="str">
        <f>IF(OR(COUNTA(A2488:E2488)=0,D2488=""),"",IFERROR(INDEX(ca_type,MATCH(D2488,ca_name,0))&amp;"",""))</f>
        <v/>
      </c>
      <c r="I2488" s="58" t="str">
        <f>IF(COUNTA(A2488:E2488)=0,"",IF(N(A2488)&lt;=0,"Date manquante ou invalide",IF(B2488="","Équipe manquante",IF(ISNA(MATCH(B2488,eq_code,0)),"Équipe inconnue",IF(C2488="","Poste manquant",IF(ISNA(MATCH(C2488,po_code,0)),"Poste inconnu",IF(D2488="","Cause manquante",IF(ISNA(MATCH(D2488,ca_name,0)),"Cause inconnue",IF(H2488="","Cause à compléter dans Paramètres",IF(OR(NOT(ISNUMBER(E2488)),N(E2488)&lt;=0,N(E2488)&gt;1440),"Durée invalide",IF(COUNTIFS(sj_date,A2488,sj_eq,B2488,sj_po,C2488)=0,"Pas de saisie journalière ce jour-là","OK")))))))))))</f>
        <v/>
      </c>
      <c r="J2488">
        <f>IF(OR(I2488="OK",I2488="Pas de saisie journalière ce jour-là"),E2488,0)</f>
        <v>0.0</v>
      </c>
      <c r="K2488">
        <f>IF(AND(J2488&gt;0,A2488&gt;=p_from,A2488&lt;=p_to),1,0)</f>
        <v>0.0</v>
      </c>
      <c r="L2488">
        <f>IF(AND(K2488=1,OR(pa_po="",C2488=pa_po),OR(pa_eq="",B2488=pa_eq)),1,0)</f>
        <v>0.0</v>
      </c>
    </row>
    <row r="2489">
      <c r="A2489" s="51" t="n"/>
      <c r="B2489" s="52" t="n"/>
      <c r="C2489" s="52" t="n"/>
      <c r="D2489" s="53" t="n"/>
      <c r="E2489" s="60" t="n"/>
      <c r="F2489" s="53" t="n"/>
      <c r="G2489" s="61" t="str">
        <f>IF(OR(COUNTA(A2489:E2489)=0,D2489=""),"",IFERROR(INDEX(ca_fam,MATCH(D2489,ca_name,0))&amp;"",""))</f>
        <v/>
      </c>
      <c r="H2489" s="58" t="str">
        <f>IF(OR(COUNTA(A2489:E2489)=0,D2489=""),"",IFERROR(INDEX(ca_type,MATCH(D2489,ca_name,0))&amp;"",""))</f>
        <v/>
      </c>
      <c r="I2489" s="58" t="str">
        <f>IF(COUNTA(A2489:E2489)=0,"",IF(N(A2489)&lt;=0,"Date manquante ou invalide",IF(B2489="","Équipe manquante",IF(ISNA(MATCH(B2489,eq_code,0)),"Équipe inconnue",IF(C2489="","Poste manquant",IF(ISNA(MATCH(C2489,po_code,0)),"Poste inconnu",IF(D2489="","Cause manquante",IF(ISNA(MATCH(D2489,ca_name,0)),"Cause inconnue",IF(H2489="","Cause à compléter dans Paramètres",IF(OR(NOT(ISNUMBER(E2489)),N(E2489)&lt;=0,N(E2489)&gt;1440),"Durée invalide",IF(COUNTIFS(sj_date,A2489,sj_eq,B2489,sj_po,C2489)=0,"Pas de saisie journalière ce jour-là","OK")))))))))))</f>
        <v/>
      </c>
      <c r="J2489">
        <f>IF(OR(I2489="OK",I2489="Pas de saisie journalière ce jour-là"),E2489,0)</f>
        <v>0.0</v>
      </c>
      <c r="K2489">
        <f>IF(AND(J2489&gt;0,A2489&gt;=p_from,A2489&lt;=p_to),1,0)</f>
        <v>0.0</v>
      </c>
      <c r="L2489">
        <f>IF(AND(K2489=1,OR(pa_po="",C2489=pa_po),OR(pa_eq="",B2489=pa_eq)),1,0)</f>
        <v>0.0</v>
      </c>
    </row>
    <row r="2490">
      <c r="A2490" s="51" t="n"/>
      <c r="B2490" s="52" t="n"/>
      <c r="C2490" s="52" t="n"/>
      <c r="D2490" s="53" t="n"/>
      <c r="E2490" s="60" t="n"/>
      <c r="F2490" s="53" t="n"/>
      <c r="G2490" s="61" t="str">
        <f>IF(OR(COUNTA(A2490:E2490)=0,D2490=""),"",IFERROR(INDEX(ca_fam,MATCH(D2490,ca_name,0))&amp;"",""))</f>
        <v/>
      </c>
      <c r="H2490" s="58" t="str">
        <f>IF(OR(COUNTA(A2490:E2490)=0,D2490=""),"",IFERROR(INDEX(ca_type,MATCH(D2490,ca_name,0))&amp;"",""))</f>
        <v/>
      </c>
      <c r="I2490" s="58" t="str">
        <f>IF(COUNTA(A2490:E2490)=0,"",IF(N(A2490)&lt;=0,"Date manquante ou invalide",IF(B2490="","Équipe manquante",IF(ISNA(MATCH(B2490,eq_code,0)),"Équipe inconnue",IF(C2490="","Poste manquant",IF(ISNA(MATCH(C2490,po_code,0)),"Poste inconnu",IF(D2490="","Cause manquante",IF(ISNA(MATCH(D2490,ca_name,0)),"Cause inconnue",IF(H2490="","Cause à compléter dans Paramètres",IF(OR(NOT(ISNUMBER(E2490)),N(E2490)&lt;=0,N(E2490)&gt;1440),"Durée invalide",IF(COUNTIFS(sj_date,A2490,sj_eq,B2490,sj_po,C2490)=0,"Pas de saisie journalière ce jour-là","OK")))))))))))</f>
        <v/>
      </c>
      <c r="J2490">
        <f>IF(OR(I2490="OK",I2490="Pas de saisie journalière ce jour-là"),E2490,0)</f>
        <v>0.0</v>
      </c>
      <c r="K2490">
        <f>IF(AND(J2490&gt;0,A2490&gt;=p_from,A2490&lt;=p_to),1,0)</f>
        <v>0.0</v>
      </c>
      <c r="L2490">
        <f>IF(AND(K2490=1,OR(pa_po="",C2490=pa_po),OR(pa_eq="",B2490=pa_eq)),1,0)</f>
        <v>0.0</v>
      </c>
    </row>
    <row r="2491">
      <c r="A2491" s="51" t="n"/>
      <c r="B2491" s="52" t="n"/>
      <c r="C2491" s="52" t="n"/>
      <c r="D2491" s="53" t="n"/>
      <c r="E2491" s="60" t="n"/>
      <c r="F2491" s="53" t="n"/>
      <c r="G2491" s="61" t="str">
        <f>IF(OR(COUNTA(A2491:E2491)=0,D2491=""),"",IFERROR(INDEX(ca_fam,MATCH(D2491,ca_name,0))&amp;"",""))</f>
        <v/>
      </c>
      <c r="H2491" s="58" t="str">
        <f>IF(OR(COUNTA(A2491:E2491)=0,D2491=""),"",IFERROR(INDEX(ca_type,MATCH(D2491,ca_name,0))&amp;"",""))</f>
        <v/>
      </c>
      <c r="I2491" s="58" t="str">
        <f>IF(COUNTA(A2491:E2491)=0,"",IF(N(A2491)&lt;=0,"Date manquante ou invalide",IF(B2491="","Équipe manquante",IF(ISNA(MATCH(B2491,eq_code,0)),"Équipe inconnue",IF(C2491="","Poste manquant",IF(ISNA(MATCH(C2491,po_code,0)),"Poste inconnu",IF(D2491="","Cause manquante",IF(ISNA(MATCH(D2491,ca_name,0)),"Cause inconnue",IF(H2491="","Cause à compléter dans Paramètres",IF(OR(NOT(ISNUMBER(E2491)),N(E2491)&lt;=0,N(E2491)&gt;1440),"Durée invalide",IF(COUNTIFS(sj_date,A2491,sj_eq,B2491,sj_po,C2491)=0,"Pas de saisie journalière ce jour-là","OK")))))))))))</f>
        <v/>
      </c>
      <c r="J2491">
        <f>IF(OR(I2491="OK",I2491="Pas de saisie journalière ce jour-là"),E2491,0)</f>
        <v>0.0</v>
      </c>
      <c r="K2491">
        <f>IF(AND(J2491&gt;0,A2491&gt;=p_from,A2491&lt;=p_to),1,0)</f>
        <v>0.0</v>
      </c>
      <c r="L2491">
        <f>IF(AND(K2491=1,OR(pa_po="",C2491=pa_po),OR(pa_eq="",B2491=pa_eq)),1,0)</f>
        <v>0.0</v>
      </c>
    </row>
    <row r="2492">
      <c r="A2492" s="51" t="n"/>
      <c r="B2492" s="52" t="n"/>
      <c r="C2492" s="52" t="n"/>
      <c r="D2492" s="53" t="n"/>
      <c r="E2492" s="60" t="n"/>
      <c r="F2492" s="53" t="n"/>
      <c r="G2492" s="61" t="str">
        <f>IF(OR(COUNTA(A2492:E2492)=0,D2492=""),"",IFERROR(INDEX(ca_fam,MATCH(D2492,ca_name,0))&amp;"",""))</f>
        <v/>
      </c>
      <c r="H2492" s="58" t="str">
        <f>IF(OR(COUNTA(A2492:E2492)=0,D2492=""),"",IFERROR(INDEX(ca_type,MATCH(D2492,ca_name,0))&amp;"",""))</f>
        <v/>
      </c>
      <c r="I2492" s="58" t="str">
        <f>IF(COUNTA(A2492:E2492)=0,"",IF(N(A2492)&lt;=0,"Date manquante ou invalide",IF(B2492="","Équipe manquante",IF(ISNA(MATCH(B2492,eq_code,0)),"Équipe inconnue",IF(C2492="","Poste manquant",IF(ISNA(MATCH(C2492,po_code,0)),"Poste inconnu",IF(D2492="","Cause manquante",IF(ISNA(MATCH(D2492,ca_name,0)),"Cause inconnue",IF(H2492="","Cause à compléter dans Paramètres",IF(OR(NOT(ISNUMBER(E2492)),N(E2492)&lt;=0,N(E2492)&gt;1440),"Durée invalide",IF(COUNTIFS(sj_date,A2492,sj_eq,B2492,sj_po,C2492)=0,"Pas de saisie journalière ce jour-là","OK")))))))))))</f>
        <v/>
      </c>
      <c r="J2492">
        <f>IF(OR(I2492="OK",I2492="Pas de saisie journalière ce jour-là"),E2492,0)</f>
        <v>0.0</v>
      </c>
      <c r="K2492">
        <f>IF(AND(J2492&gt;0,A2492&gt;=p_from,A2492&lt;=p_to),1,0)</f>
        <v>0.0</v>
      </c>
      <c r="L2492">
        <f>IF(AND(K2492=1,OR(pa_po="",C2492=pa_po),OR(pa_eq="",B2492=pa_eq)),1,0)</f>
        <v>0.0</v>
      </c>
    </row>
    <row r="2493">
      <c r="A2493" s="51" t="n"/>
      <c r="B2493" s="52" t="n"/>
      <c r="C2493" s="52" t="n"/>
      <c r="D2493" s="53" t="n"/>
      <c r="E2493" s="60" t="n"/>
      <c r="F2493" s="53" t="n"/>
      <c r="G2493" s="61" t="str">
        <f>IF(OR(COUNTA(A2493:E2493)=0,D2493=""),"",IFERROR(INDEX(ca_fam,MATCH(D2493,ca_name,0))&amp;"",""))</f>
        <v/>
      </c>
      <c r="H2493" s="58" t="str">
        <f>IF(OR(COUNTA(A2493:E2493)=0,D2493=""),"",IFERROR(INDEX(ca_type,MATCH(D2493,ca_name,0))&amp;"",""))</f>
        <v/>
      </c>
      <c r="I2493" s="58" t="str">
        <f>IF(COUNTA(A2493:E2493)=0,"",IF(N(A2493)&lt;=0,"Date manquante ou invalide",IF(B2493="","Équipe manquante",IF(ISNA(MATCH(B2493,eq_code,0)),"Équipe inconnue",IF(C2493="","Poste manquant",IF(ISNA(MATCH(C2493,po_code,0)),"Poste inconnu",IF(D2493="","Cause manquante",IF(ISNA(MATCH(D2493,ca_name,0)),"Cause inconnue",IF(H2493="","Cause à compléter dans Paramètres",IF(OR(NOT(ISNUMBER(E2493)),N(E2493)&lt;=0,N(E2493)&gt;1440),"Durée invalide",IF(COUNTIFS(sj_date,A2493,sj_eq,B2493,sj_po,C2493)=0,"Pas de saisie journalière ce jour-là","OK")))))))))))</f>
        <v/>
      </c>
      <c r="J2493">
        <f>IF(OR(I2493="OK",I2493="Pas de saisie journalière ce jour-là"),E2493,0)</f>
        <v>0.0</v>
      </c>
      <c r="K2493">
        <f>IF(AND(J2493&gt;0,A2493&gt;=p_from,A2493&lt;=p_to),1,0)</f>
        <v>0.0</v>
      </c>
      <c r="L2493">
        <f>IF(AND(K2493=1,OR(pa_po="",C2493=pa_po),OR(pa_eq="",B2493=pa_eq)),1,0)</f>
        <v>0.0</v>
      </c>
    </row>
    <row r="2494">
      <c r="A2494" s="51" t="n"/>
      <c r="B2494" s="52" t="n"/>
      <c r="C2494" s="52" t="n"/>
      <c r="D2494" s="53" t="n"/>
      <c r="E2494" s="60" t="n"/>
      <c r="F2494" s="53" t="n"/>
      <c r="G2494" s="61" t="str">
        <f>IF(OR(COUNTA(A2494:E2494)=0,D2494=""),"",IFERROR(INDEX(ca_fam,MATCH(D2494,ca_name,0))&amp;"",""))</f>
        <v/>
      </c>
      <c r="H2494" s="58" t="str">
        <f>IF(OR(COUNTA(A2494:E2494)=0,D2494=""),"",IFERROR(INDEX(ca_type,MATCH(D2494,ca_name,0))&amp;"",""))</f>
        <v/>
      </c>
      <c r="I2494" s="58" t="str">
        <f>IF(COUNTA(A2494:E2494)=0,"",IF(N(A2494)&lt;=0,"Date manquante ou invalide",IF(B2494="","Équipe manquante",IF(ISNA(MATCH(B2494,eq_code,0)),"Équipe inconnue",IF(C2494="","Poste manquant",IF(ISNA(MATCH(C2494,po_code,0)),"Poste inconnu",IF(D2494="","Cause manquante",IF(ISNA(MATCH(D2494,ca_name,0)),"Cause inconnue",IF(H2494="","Cause à compléter dans Paramètres",IF(OR(NOT(ISNUMBER(E2494)),N(E2494)&lt;=0,N(E2494)&gt;1440),"Durée invalide",IF(COUNTIFS(sj_date,A2494,sj_eq,B2494,sj_po,C2494)=0,"Pas de saisie journalière ce jour-là","OK")))))))))))</f>
        <v/>
      </c>
      <c r="J2494">
        <f>IF(OR(I2494="OK",I2494="Pas de saisie journalière ce jour-là"),E2494,0)</f>
        <v>0.0</v>
      </c>
      <c r="K2494">
        <f>IF(AND(J2494&gt;0,A2494&gt;=p_from,A2494&lt;=p_to),1,0)</f>
        <v>0.0</v>
      </c>
      <c r="L2494">
        <f>IF(AND(K2494=1,OR(pa_po="",C2494=pa_po),OR(pa_eq="",B2494=pa_eq)),1,0)</f>
        <v>0.0</v>
      </c>
    </row>
    <row r="2495">
      <c r="A2495" s="51" t="n"/>
      <c r="B2495" s="52" t="n"/>
      <c r="C2495" s="52" t="n"/>
      <c r="D2495" s="53" t="n"/>
      <c r="E2495" s="60" t="n"/>
      <c r="F2495" s="53" t="n"/>
      <c r="G2495" s="61" t="str">
        <f>IF(OR(COUNTA(A2495:E2495)=0,D2495=""),"",IFERROR(INDEX(ca_fam,MATCH(D2495,ca_name,0))&amp;"",""))</f>
        <v/>
      </c>
      <c r="H2495" s="58" t="str">
        <f>IF(OR(COUNTA(A2495:E2495)=0,D2495=""),"",IFERROR(INDEX(ca_type,MATCH(D2495,ca_name,0))&amp;"",""))</f>
        <v/>
      </c>
      <c r="I2495" s="58" t="str">
        <f>IF(COUNTA(A2495:E2495)=0,"",IF(N(A2495)&lt;=0,"Date manquante ou invalide",IF(B2495="","Équipe manquante",IF(ISNA(MATCH(B2495,eq_code,0)),"Équipe inconnue",IF(C2495="","Poste manquant",IF(ISNA(MATCH(C2495,po_code,0)),"Poste inconnu",IF(D2495="","Cause manquante",IF(ISNA(MATCH(D2495,ca_name,0)),"Cause inconnue",IF(H2495="","Cause à compléter dans Paramètres",IF(OR(NOT(ISNUMBER(E2495)),N(E2495)&lt;=0,N(E2495)&gt;1440),"Durée invalide",IF(COUNTIFS(sj_date,A2495,sj_eq,B2495,sj_po,C2495)=0,"Pas de saisie journalière ce jour-là","OK")))))))))))</f>
        <v/>
      </c>
      <c r="J2495">
        <f>IF(OR(I2495="OK",I2495="Pas de saisie journalière ce jour-là"),E2495,0)</f>
        <v>0.0</v>
      </c>
      <c r="K2495">
        <f>IF(AND(J2495&gt;0,A2495&gt;=p_from,A2495&lt;=p_to),1,0)</f>
        <v>0.0</v>
      </c>
      <c r="L2495">
        <f>IF(AND(K2495=1,OR(pa_po="",C2495=pa_po),OR(pa_eq="",B2495=pa_eq)),1,0)</f>
        <v>0.0</v>
      </c>
    </row>
    <row r="2496">
      <c r="A2496" s="51" t="n"/>
      <c r="B2496" s="52" t="n"/>
      <c r="C2496" s="52" t="n"/>
      <c r="D2496" s="53" t="n"/>
      <c r="E2496" s="60" t="n"/>
      <c r="F2496" s="53" t="n"/>
      <c r="G2496" s="61" t="str">
        <f>IF(OR(COUNTA(A2496:E2496)=0,D2496=""),"",IFERROR(INDEX(ca_fam,MATCH(D2496,ca_name,0))&amp;"",""))</f>
        <v/>
      </c>
      <c r="H2496" s="58" t="str">
        <f>IF(OR(COUNTA(A2496:E2496)=0,D2496=""),"",IFERROR(INDEX(ca_type,MATCH(D2496,ca_name,0))&amp;"",""))</f>
        <v/>
      </c>
      <c r="I2496" s="58" t="str">
        <f>IF(COUNTA(A2496:E2496)=0,"",IF(N(A2496)&lt;=0,"Date manquante ou invalide",IF(B2496="","Équipe manquante",IF(ISNA(MATCH(B2496,eq_code,0)),"Équipe inconnue",IF(C2496="","Poste manquant",IF(ISNA(MATCH(C2496,po_code,0)),"Poste inconnu",IF(D2496="","Cause manquante",IF(ISNA(MATCH(D2496,ca_name,0)),"Cause inconnue",IF(H2496="","Cause à compléter dans Paramètres",IF(OR(NOT(ISNUMBER(E2496)),N(E2496)&lt;=0,N(E2496)&gt;1440),"Durée invalide",IF(COUNTIFS(sj_date,A2496,sj_eq,B2496,sj_po,C2496)=0,"Pas de saisie journalière ce jour-là","OK")))))))))))</f>
        <v/>
      </c>
      <c r="J2496">
        <f>IF(OR(I2496="OK",I2496="Pas de saisie journalière ce jour-là"),E2496,0)</f>
        <v>0.0</v>
      </c>
      <c r="K2496">
        <f>IF(AND(J2496&gt;0,A2496&gt;=p_from,A2496&lt;=p_to),1,0)</f>
        <v>0.0</v>
      </c>
      <c r="L2496">
        <f>IF(AND(K2496=1,OR(pa_po="",C2496=pa_po),OR(pa_eq="",B2496=pa_eq)),1,0)</f>
        <v>0.0</v>
      </c>
    </row>
    <row r="2497">
      <c r="A2497" s="51" t="n"/>
      <c r="B2497" s="52" t="n"/>
      <c r="C2497" s="52" t="n"/>
      <c r="D2497" s="53" t="n"/>
      <c r="E2497" s="60" t="n"/>
      <c r="F2497" s="53" t="n"/>
      <c r="G2497" s="61" t="str">
        <f>IF(OR(COUNTA(A2497:E2497)=0,D2497=""),"",IFERROR(INDEX(ca_fam,MATCH(D2497,ca_name,0))&amp;"",""))</f>
        <v/>
      </c>
      <c r="H2497" s="58" t="str">
        <f>IF(OR(COUNTA(A2497:E2497)=0,D2497=""),"",IFERROR(INDEX(ca_type,MATCH(D2497,ca_name,0))&amp;"",""))</f>
        <v/>
      </c>
      <c r="I2497" s="58" t="str">
        <f>IF(COUNTA(A2497:E2497)=0,"",IF(N(A2497)&lt;=0,"Date manquante ou invalide",IF(B2497="","Équipe manquante",IF(ISNA(MATCH(B2497,eq_code,0)),"Équipe inconnue",IF(C2497="","Poste manquant",IF(ISNA(MATCH(C2497,po_code,0)),"Poste inconnu",IF(D2497="","Cause manquante",IF(ISNA(MATCH(D2497,ca_name,0)),"Cause inconnue",IF(H2497="","Cause à compléter dans Paramètres",IF(OR(NOT(ISNUMBER(E2497)),N(E2497)&lt;=0,N(E2497)&gt;1440),"Durée invalide",IF(COUNTIFS(sj_date,A2497,sj_eq,B2497,sj_po,C2497)=0,"Pas de saisie journalière ce jour-là","OK")))))))))))</f>
        <v/>
      </c>
      <c r="J2497">
        <f>IF(OR(I2497="OK",I2497="Pas de saisie journalière ce jour-là"),E2497,0)</f>
        <v>0.0</v>
      </c>
      <c r="K2497">
        <f>IF(AND(J2497&gt;0,A2497&gt;=p_from,A2497&lt;=p_to),1,0)</f>
        <v>0.0</v>
      </c>
      <c r="L2497">
        <f>IF(AND(K2497=1,OR(pa_po="",C2497=pa_po),OR(pa_eq="",B2497=pa_eq)),1,0)</f>
        <v>0.0</v>
      </c>
    </row>
    <row r="2498">
      <c r="A2498" s="51" t="n"/>
      <c r="B2498" s="52" t="n"/>
      <c r="C2498" s="52" t="n"/>
      <c r="D2498" s="53" t="n"/>
      <c r="E2498" s="60" t="n"/>
      <c r="F2498" s="53" t="n"/>
      <c r="G2498" s="61" t="str">
        <f>IF(OR(COUNTA(A2498:E2498)=0,D2498=""),"",IFERROR(INDEX(ca_fam,MATCH(D2498,ca_name,0))&amp;"",""))</f>
        <v/>
      </c>
      <c r="H2498" s="58" t="str">
        <f>IF(OR(COUNTA(A2498:E2498)=0,D2498=""),"",IFERROR(INDEX(ca_type,MATCH(D2498,ca_name,0))&amp;"",""))</f>
        <v/>
      </c>
      <c r="I2498" s="58" t="str">
        <f>IF(COUNTA(A2498:E2498)=0,"",IF(N(A2498)&lt;=0,"Date manquante ou invalide",IF(B2498="","Équipe manquante",IF(ISNA(MATCH(B2498,eq_code,0)),"Équipe inconnue",IF(C2498="","Poste manquant",IF(ISNA(MATCH(C2498,po_code,0)),"Poste inconnu",IF(D2498="","Cause manquante",IF(ISNA(MATCH(D2498,ca_name,0)),"Cause inconnue",IF(H2498="","Cause à compléter dans Paramètres",IF(OR(NOT(ISNUMBER(E2498)),N(E2498)&lt;=0,N(E2498)&gt;1440),"Durée invalide",IF(COUNTIFS(sj_date,A2498,sj_eq,B2498,sj_po,C2498)=0,"Pas de saisie journalière ce jour-là","OK")))))))))))</f>
        <v/>
      </c>
      <c r="J2498">
        <f>IF(OR(I2498="OK",I2498="Pas de saisie journalière ce jour-là"),E2498,0)</f>
        <v>0.0</v>
      </c>
      <c r="K2498">
        <f>IF(AND(J2498&gt;0,A2498&gt;=p_from,A2498&lt;=p_to),1,0)</f>
        <v>0.0</v>
      </c>
      <c r="L2498">
        <f>IF(AND(K2498=1,OR(pa_po="",C2498=pa_po),OR(pa_eq="",B2498=pa_eq)),1,0)</f>
        <v>0.0</v>
      </c>
    </row>
    <row r="2499">
      <c r="A2499" s="51" t="n"/>
      <c r="B2499" s="52" t="n"/>
      <c r="C2499" s="52" t="n"/>
      <c r="D2499" s="53" t="n"/>
      <c r="E2499" s="60" t="n"/>
      <c r="F2499" s="53" t="n"/>
      <c r="G2499" s="61" t="str">
        <f>IF(OR(COUNTA(A2499:E2499)=0,D2499=""),"",IFERROR(INDEX(ca_fam,MATCH(D2499,ca_name,0))&amp;"",""))</f>
        <v/>
      </c>
      <c r="H2499" s="58" t="str">
        <f>IF(OR(COUNTA(A2499:E2499)=0,D2499=""),"",IFERROR(INDEX(ca_type,MATCH(D2499,ca_name,0))&amp;"",""))</f>
        <v/>
      </c>
      <c r="I2499" s="58" t="str">
        <f>IF(COUNTA(A2499:E2499)=0,"",IF(N(A2499)&lt;=0,"Date manquante ou invalide",IF(B2499="","Équipe manquante",IF(ISNA(MATCH(B2499,eq_code,0)),"Équipe inconnue",IF(C2499="","Poste manquant",IF(ISNA(MATCH(C2499,po_code,0)),"Poste inconnu",IF(D2499="","Cause manquante",IF(ISNA(MATCH(D2499,ca_name,0)),"Cause inconnue",IF(H2499="","Cause à compléter dans Paramètres",IF(OR(NOT(ISNUMBER(E2499)),N(E2499)&lt;=0,N(E2499)&gt;1440),"Durée invalide",IF(COUNTIFS(sj_date,A2499,sj_eq,B2499,sj_po,C2499)=0,"Pas de saisie journalière ce jour-là","OK")))))))))))</f>
        <v/>
      </c>
      <c r="J2499">
        <f>IF(OR(I2499="OK",I2499="Pas de saisie journalière ce jour-là"),E2499,0)</f>
        <v>0.0</v>
      </c>
      <c r="K2499">
        <f>IF(AND(J2499&gt;0,A2499&gt;=p_from,A2499&lt;=p_to),1,0)</f>
        <v>0.0</v>
      </c>
      <c r="L2499">
        <f>IF(AND(K2499=1,OR(pa_po="",C2499=pa_po),OR(pa_eq="",B2499=pa_eq)),1,0)</f>
        <v>0.0</v>
      </c>
    </row>
    <row r="2500">
      <c r="A2500" s="51" t="n"/>
      <c r="B2500" s="52" t="n"/>
      <c r="C2500" s="52" t="n"/>
      <c r="D2500" s="53" t="n"/>
      <c r="E2500" s="60" t="n"/>
      <c r="F2500" s="53" t="n"/>
      <c r="G2500" s="61" t="str">
        <f>IF(OR(COUNTA(A2500:E2500)=0,D2500=""),"",IFERROR(INDEX(ca_fam,MATCH(D2500,ca_name,0))&amp;"",""))</f>
        <v/>
      </c>
      <c r="H2500" s="58" t="str">
        <f>IF(OR(COUNTA(A2500:E2500)=0,D2500=""),"",IFERROR(INDEX(ca_type,MATCH(D2500,ca_name,0))&amp;"",""))</f>
        <v/>
      </c>
      <c r="I2500" s="58" t="str">
        <f>IF(COUNTA(A2500:E2500)=0,"",IF(N(A2500)&lt;=0,"Date manquante ou invalide",IF(B2500="","Équipe manquante",IF(ISNA(MATCH(B2500,eq_code,0)),"Équipe inconnue",IF(C2500="","Poste manquant",IF(ISNA(MATCH(C2500,po_code,0)),"Poste inconnu",IF(D2500="","Cause manquante",IF(ISNA(MATCH(D2500,ca_name,0)),"Cause inconnue",IF(H2500="","Cause à compléter dans Paramètres",IF(OR(NOT(ISNUMBER(E2500)),N(E2500)&lt;=0,N(E2500)&gt;1440),"Durée invalide",IF(COUNTIFS(sj_date,A2500,sj_eq,B2500,sj_po,C2500)=0,"Pas de saisie journalière ce jour-là","OK")))))))))))</f>
        <v/>
      </c>
      <c r="J2500">
        <f>IF(OR(I2500="OK",I2500="Pas de saisie journalière ce jour-là"),E2500,0)</f>
        <v>0.0</v>
      </c>
      <c r="K2500">
        <f>IF(AND(J2500&gt;0,A2500&gt;=p_from,A2500&lt;=p_to),1,0)</f>
        <v>0.0</v>
      </c>
      <c r="L2500">
        <f>IF(AND(K2500=1,OR(pa_po="",C2500=pa_po),OR(pa_eq="",B2500=pa_eq)),1,0)</f>
        <v>0.0</v>
      </c>
    </row>
    <row r="2501">
      <c r="A2501" s="51" t="n"/>
      <c r="B2501" s="52" t="n"/>
      <c r="C2501" s="52" t="n"/>
      <c r="D2501" s="53" t="n"/>
      <c r="E2501" s="60" t="n"/>
      <c r="F2501" s="53" t="n"/>
      <c r="G2501" s="61" t="str">
        <f>IF(OR(COUNTA(A2501:E2501)=0,D2501=""),"",IFERROR(INDEX(ca_fam,MATCH(D2501,ca_name,0))&amp;"",""))</f>
        <v/>
      </c>
      <c r="H2501" s="58" t="str">
        <f>IF(OR(COUNTA(A2501:E2501)=0,D2501=""),"",IFERROR(INDEX(ca_type,MATCH(D2501,ca_name,0))&amp;"",""))</f>
        <v/>
      </c>
      <c r="I2501" s="58" t="str">
        <f>IF(COUNTA(A2501:E2501)=0,"",IF(N(A2501)&lt;=0,"Date manquante ou invalide",IF(B2501="","Équipe manquante",IF(ISNA(MATCH(B2501,eq_code,0)),"Équipe inconnue",IF(C2501="","Poste manquant",IF(ISNA(MATCH(C2501,po_code,0)),"Poste inconnu",IF(D2501="","Cause manquante",IF(ISNA(MATCH(D2501,ca_name,0)),"Cause inconnue",IF(H2501="","Cause à compléter dans Paramètres",IF(OR(NOT(ISNUMBER(E2501)),N(E2501)&lt;=0,N(E2501)&gt;1440),"Durée invalide",IF(COUNTIFS(sj_date,A2501,sj_eq,B2501,sj_po,C2501)=0,"Pas de saisie journalière ce jour-là","OK")))))))))))</f>
        <v/>
      </c>
      <c r="J2501">
        <f>IF(OR(I2501="OK",I2501="Pas de saisie journalière ce jour-là"),E2501,0)</f>
        <v>0.0</v>
      </c>
      <c r="K2501">
        <f>IF(AND(J2501&gt;0,A2501&gt;=p_from,A2501&lt;=p_to),1,0)</f>
        <v>0.0</v>
      </c>
      <c r="L2501">
        <f>IF(AND(K2501=1,OR(pa_po="",C2501=pa_po),OR(pa_eq="",B2501=pa_eq)),1,0)</f>
        <v>0.0</v>
      </c>
    </row>
    <row r="2502">
      <c r="A2502" s="51" t="n"/>
      <c r="B2502" s="52" t="n"/>
      <c r="C2502" s="52" t="n"/>
      <c r="D2502" s="53" t="n"/>
      <c r="E2502" s="60" t="n"/>
      <c r="F2502" s="53" t="n"/>
      <c r="G2502" s="61" t="str">
        <f>IF(OR(COUNTA(A2502:E2502)=0,D2502=""),"",IFERROR(INDEX(ca_fam,MATCH(D2502,ca_name,0))&amp;"",""))</f>
        <v/>
      </c>
      <c r="H2502" s="58" t="str">
        <f>IF(OR(COUNTA(A2502:E2502)=0,D2502=""),"",IFERROR(INDEX(ca_type,MATCH(D2502,ca_name,0))&amp;"",""))</f>
        <v/>
      </c>
      <c r="I2502" s="58" t="str">
        <f>IF(COUNTA(A2502:E2502)=0,"",IF(N(A2502)&lt;=0,"Date manquante ou invalide",IF(B2502="","Équipe manquante",IF(ISNA(MATCH(B2502,eq_code,0)),"Équipe inconnue",IF(C2502="","Poste manquant",IF(ISNA(MATCH(C2502,po_code,0)),"Poste inconnu",IF(D2502="","Cause manquante",IF(ISNA(MATCH(D2502,ca_name,0)),"Cause inconnue",IF(H2502="","Cause à compléter dans Paramètres",IF(OR(NOT(ISNUMBER(E2502)),N(E2502)&lt;=0,N(E2502)&gt;1440),"Durée invalide",IF(COUNTIFS(sj_date,A2502,sj_eq,B2502,sj_po,C2502)=0,"Pas de saisie journalière ce jour-là","OK")))))))))))</f>
        <v/>
      </c>
      <c r="J2502">
        <f>IF(OR(I2502="OK",I2502="Pas de saisie journalière ce jour-là"),E2502,0)</f>
        <v>0.0</v>
      </c>
      <c r="K2502">
        <f>IF(AND(J2502&gt;0,A2502&gt;=p_from,A2502&lt;=p_to),1,0)</f>
        <v>0.0</v>
      </c>
      <c r="L2502">
        <f>IF(AND(K2502=1,OR(pa_po="",C2502=pa_po),OR(pa_eq="",B2502=pa_eq)),1,0)</f>
        <v>0.0</v>
      </c>
    </row>
    <row r="2503">
      <c r="A2503" s="51" t="n"/>
      <c r="B2503" s="52" t="n"/>
      <c r="C2503" s="52" t="n"/>
      <c r="D2503" s="53" t="n"/>
      <c r="E2503" s="60" t="n"/>
      <c r="F2503" s="53" t="n"/>
      <c r="G2503" s="61" t="str">
        <f>IF(OR(COUNTA(A2503:E2503)=0,D2503=""),"",IFERROR(INDEX(ca_fam,MATCH(D2503,ca_name,0))&amp;"",""))</f>
        <v/>
      </c>
      <c r="H2503" s="58" t="str">
        <f>IF(OR(COUNTA(A2503:E2503)=0,D2503=""),"",IFERROR(INDEX(ca_type,MATCH(D2503,ca_name,0))&amp;"",""))</f>
        <v/>
      </c>
      <c r="I2503" s="58" t="str">
        <f>IF(COUNTA(A2503:E2503)=0,"",IF(N(A2503)&lt;=0,"Date manquante ou invalide",IF(B2503="","Équipe manquante",IF(ISNA(MATCH(B2503,eq_code,0)),"Équipe inconnue",IF(C2503="","Poste manquant",IF(ISNA(MATCH(C2503,po_code,0)),"Poste inconnu",IF(D2503="","Cause manquante",IF(ISNA(MATCH(D2503,ca_name,0)),"Cause inconnue",IF(H2503="","Cause à compléter dans Paramètres",IF(OR(NOT(ISNUMBER(E2503)),N(E2503)&lt;=0,N(E2503)&gt;1440),"Durée invalide",IF(COUNTIFS(sj_date,A2503,sj_eq,B2503,sj_po,C2503)=0,"Pas de saisie journalière ce jour-là","OK")))))))))))</f>
        <v/>
      </c>
      <c r="J2503">
        <f>IF(OR(I2503="OK",I2503="Pas de saisie journalière ce jour-là"),E2503,0)</f>
        <v>0.0</v>
      </c>
      <c r="K2503">
        <f>IF(AND(J2503&gt;0,A2503&gt;=p_from,A2503&lt;=p_to),1,0)</f>
        <v>0.0</v>
      </c>
      <c r="L2503">
        <f>IF(AND(K2503=1,OR(pa_po="",C2503=pa_po),OR(pa_eq="",B2503=pa_eq)),1,0)</f>
        <v>0.0</v>
      </c>
    </row>
    <row r="2504">
      <c r="A2504" s="51" t="n"/>
      <c r="B2504" s="52" t="n"/>
      <c r="C2504" s="52" t="n"/>
      <c r="D2504" s="53" t="n"/>
      <c r="E2504" s="60" t="n"/>
      <c r="F2504" s="53" t="n"/>
      <c r="G2504" s="61" t="str">
        <f>IF(OR(COUNTA(A2504:E2504)=0,D2504=""),"",IFERROR(INDEX(ca_fam,MATCH(D2504,ca_name,0))&amp;"",""))</f>
        <v/>
      </c>
      <c r="H2504" s="58" t="str">
        <f>IF(OR(COUNTA(A2504:E2504)=0,D2504=""),"",IFERROR(INDEX(ca_type,MATCH(D2504,ca_name,0))&amp;"",""))</f>
        <v/>
      </c>
      <c r="I2504" s="58" t="str">
        <f>IF(COUNTA(A2504:E2504)=0,"",IF(N(A2504)&lt;=0,"Date manquante ou invalide",IF(B2504="","Équipe manquante",IF(ISNA(MATCH(B2504,eq_code,0)),"Équipe inconnue",IF(C2504="","Poste manquant",IF(ISNA(MATCH(C2504,po_code,0)),"Poste inconnu",IF(D2504="","Cause manquante",IF(ISNA(MATCH(D2504,ca_name,0)),"Cause inconnue",IF(H2504="","Cause à compléter dans Paramètres",IF(OR(NOT(ISNUMBER(E2504)),N(E2504)&lt;=0,N(E2504)&gt;1440),"Durée invalide",IF(COUNTIFS(sj_date,A2504,sj_eq,B2504,sj_po,C2504)=0,"Pas de saisie journalière ce jour-là","OK")))))))))))</f>
        <v/>
      </c>
      <c r="J2504">
        <f>IF(OR(I2504="OK",I2504="Pas de saisie journalière ce jour-là"),E2504,0)</f>
        <v>0.0</v>
      </c>
      <c r="K2504">
        <f>IF(AND(J2504&gt;0,A2504&gt;=p_from,A2504&lt;=p_to),1,0)</f>
        <v>0.0</v>
      </c>
      <c r="L2504">
        <f>IF(AND(K2504=1,OR(pa_po="",C2504=pa_po),OR(pa_eq="",B2504=pa_eq)),1,0)</f>
        <v>0.0</v>
      </c>
    </row>
    <row r="2505">
      <c r="A2505" s="51" t="n"/>
      <c r="B2505" s="52" t="n"/>
      <c r="C2505" s="52" t="n"/>
      <c r="D2505" s="53" t="n"/>
      <c r="E2505" s="60" t="n"/>
      <c r="F2505" s="53" t="n"/>
      <c r="G2505" s="61" t="str">
        <f>IF(OR(COUNTA(A2505:E2505)=0,D2505=""),"",IFERROR(INDEX(ca_fam,MATCH(D2505,ca_name,0))&amp;"",""))</f>
        <v/>
      </c>
      <c r="H2505" s="58" t="str">
        <f>IF(OR(COUNTA(A2505:E2505)=0,D2505=""),"",IFERROR(INDEX(ca_type,MATCH(D2505,ca_name,0))&amp;"",""))</f>
        <v/>
      </c>
      <c r="I2505" s="58" t="str">
        <f>IF(COUNTA(A2505:E2505)=0,"",IF(N(A2505)&lt;=0,"Date manquante ou invalide",IF(B2505="","Équipe manquante",IF(ISNA(MATCH(B2505,eq_code,0)),"Équipe inconnue",IF(C2505="","Poste manquant",IF(ISNA(MATCH(C2505,po_code,0)),"Poste inconnu",IF(D2505="","Cause manquante",IF(ISNA(MATCH(D2505,ca_name,0)),"Cause inconnue",IF(H2505="","Cause à compléter dans Paramètres",IF(OR(NOT(ISNUMBER(E2505)),N(E2505)&lt;=0,N(E2505)&gt;1440),"Durée invalide",IF(COUNTIFS(sj_date,A2505,sj_eq,B2505,sj_po,C2505)=0,"Pas de saisie journalière ce jour-là","OK")))))))))))</f>
        <v/>
      </c>
      <c r="J2505">
        <f>IF(OR(I2505="OK",I2505="Pas de saisie journalière ce jour-là"),E2505,0)</f>
        <v>0.0</v>
      </c>
      <c r="K2505">
        <f>IF(AND(J2505&gt;0,A2505&gt;=p_from,A2505&lt;=p_to),1,0)</f>
        <v>0.0</v>
      </c>
      <c r="L2505">
        <f>IF(AND(K2505=1,OR(pa_po="",C2505=pa_po),OR(pa_eq="",B2505=pa_eq)),1,0)</f>
        <v>0.0</v>
      </c>
    </row>
    <row r="2506">
      <c r="A2506" s="51" t="n"/>
      <c r="B2506" s="52" t="n"/>
      <c r="C2506" s="52" t="n"/>
      <c r="D2506" s="53" t="n"/>
      <c r="E2506" s="60" t="n"/>
      <c r="F2506" s="53" t="n"/>
      <c r="G2506" s="61" t="str">
        <f>IF(OR(COUNTA(A2506:E2506)=0,D2506=""),"",IFERROR(INDEX(ca_fam,MATCH(D2506,ca_name,0))&amp;"",""))</f>
        <v/>
      </c>
      <c r="H2506" s="58" t="str">
        <f>IF(OR(COUNTA(A2506:E2506)=0,D2506=""),"",IFERROR(INDEX(ca_type,MATCH(D2506,ca_name,0))&amp;"",""))</f>
        <v/>
      </c>
      <c r="I2506" s="58" t="str">
        <f>IF(COUNTA(A2506:E2506)=0,"",IF(N(A2506)&lt;=0,"Date manquante ou invalide",IF(B2506="","Équipe manquante",IF(ISNA(MATCH(B2506,eq_code,0)),"Équipe inconnue",IF(C2506="","Poste manquant",IF(ISNA(MATCH(C2506,po_code,0)),"Poste inconnu",IF(D2506="","Cause manquante",IF(ISNA(MATCH(D2506,ca_name,0)),"Cause inconnue",IF(H2506="","Cause à compléter dans Paramètres",IF(OR(NOT(ISNUMBER(E2506)),N(E2506)&lt;=0,N(E2506)&gt;1440),"Durée invalide",IF(COUNTIFS(sj_date,A2506,sj_eq,B2506,sj_po,C2506)=0,"Pas de saisie journalière ce jour-là","OK")))))))))))</f>
        <v/>
      </c>
      <c r="J2506">
        <f>IF(OR(I2506="OK",I2506="Pas de saisie journalière ce jour-là"),E2506,0)</f>
        <v>0.0</v>
      </c>
      <c r="K2506">
        <f>IF(AND(J2506&gt;0,A2506&gt;=p_from,A2506&lt;=p_to),1,0)</f>
        <v>0.0</v>
      </c>
      <c r="L2506">
        <f>IF(AND(K2506=1,OR(pa_po="",C2506=pa_po),OR(pa_eq="",B2506=pa_eq)),1,0)</f>
        <v>0.0</v>
      </c>
    </row>
    <row r="2507">
      <c r="A2507" s="51" t="n"/>
      <c r="B2507" s="52" t="n"/>
      <c r="C2507" s="52" t="n"/>
      <c r="D2507" s="53" t="n"/>
      <c r="E2507" s="60" t="n"/>
      <c r="F2507" s="53" t="n"/>
      <c r="G2507" s="61" t="str">
        <f>IF(OR(COUNTA(A2507:E2507)=0,D2507=""),"",IFERROR(INDEX(ca_fam,MATCH(D2507,ca_name,0))&amp;"",""))</f>
        <v/>
      </c>
      <c r="H2507" s="58" t="str">
        <f>IF(OR(COUNTA(A2507:E2507)=0,D2507=""),"",IFERROR(INDEX(ca_type,MATCH(D2507,ca_name,0))&amp;"",""))</f>
        <v/>
      </c>
      <c r="I2507" s="58" t="str">
        <f>IF(COUNTA(A2507:E2507)=0,"",IF(N(A2507)&lt;=0,"Date manquante ou invalide",IF(B2507="","Équipe manquante",IF(ISNA(MATCH(B2507,eq_code,0)),"Équipe inconnue",IF(C2507="","Poste manquant",IF(ISNA(MATCH(C2507,po_code,0)),"Poste inconnu",IF(D2507="","Cause manquante",IF(ISNA(MATCH(D2507,ca_name,0)),"Cause inconnue",IF(H2507="","Cause à compléter dans Paramètres",IF(OR(NOT(ISNUMBER(E2507)),N(E2507)&lt;=0,N(E2507)&gt;1440),"Durée invalide",IF(COUNTIFS(sj_date,A2507,sj_eq,B2507,sj_po,C2507)=0,"Pas de saisie journalière ce jour-là","OK")))))))))))</f>
        <v/>
      </c>
      <c r="J2507">
        <f>IF(OR(I2507="OK",I2507="Pas de saisie journalière ce jour-là"),E2507,0)</f>
        <v>0.0</v>
      </c>
      <c r="K2507">
        <f>IF(AND(J2507&gt;0,A2507&gt;=p_from,A2507&lt;=p_to),1,0)</f>
        <v>0.0</v>
      </c>
      <c r="L2507">
        <f>IF(AND(K2507=1,OR(pa_po="",C2507=pa_po),OR(pa_eq="",B2507=pa_eq)),1,0)</f>
        <v>0.0</v>
      </c>
    </row>
    <row r="2508">
      <c r="A2508" s="51" t="n"/>
      <c r="B2508" s="52" t="n"/>
      <c r="C2508" s="52" t="n"/>
      <c r="D2508" s="53" t="n"/>
      <c r="E2508" s="60" t="n"/>
      <c r="F2508" s="53" t="n"/>
      <c r="G2508" s="61" t="str">
        <f>IF(OR(COUNTA(A2508:E2508)=0,D2508=""),"",IFERROR(INDEX(ca_fam,MATCH(D2508,ca_name,0))&amp;"",""))</f>
        <v/>
      </c>
      <c r="H2508" s="58" t="str">
        <f>IF(OR(COUNTA(A2508:E2508)=0,D2508=""),"",IFERROR(INDEX(ca_type,MATCH(D2508,ca_name,0))&amp;"",""))</f>
        <v/>
      </c>
      <c r="I2508" s="58" t="str">
        <f>IF(COUNTA(A2508:E2508)=0,"",IF(N(A2508)&lt;=0,"Date manquante ou invalide",IF(B2508="","Équipe manquante",IF(ISNA(MATCH(B2508,eq_code,0)),"Équipe inconnue",IF(C2508="","Poste manquant",IF(ISNA(MATCH(C2508,po_code,0)),"Poste inconnu",IF(D2508="","Cause manquante",IF(ISNA(MATCH(D2508,ca_name,0)),"Cause inconnue",IF(H2508="","Cause à compléter dans Paramètres",IF(OR(NOT(ISNUMBER(E2508)),N(E2508)&lt;=0,N(E2508)&gt;1440),"Durée invalide",IF(COUNTIFS(sj_date,A2508,sj_eq,B2508,sj_po,C2508)=0,"Pas de saisie journalière ce jour-là","OK")))))))))))</f>
        <v/>
      </c>
      <c r="J2508">
        <f>IF(OR(I2508="OK",I2508="Pas de saisie journalière ce jour-là"),E2508,0)</f>
        <v>0.0</v>
      </c>
      <c r="K2508">
        <f>IF(AND(J2508&gt;0,A2508&gt;=p_from,A2508&lt;=p_to),1,0)</f>
        <v>0.0</v>
      </c>
      <c r="L2508">
        <f>IF(AND(K2508=1,OR(pa_po="",C2508=pa_po),OR(pa_eq="",B2508=pa_eq)),1,0)</f>
        <v>0.0</v>
      </c>
    </row>
    <row r="2509">
      <c r="A2509" s="51" t="n"/>
      <c r="B2509" s="52" t="n"/>
      <c r="C2509" s="52" t="n"/>
      <c r="D2509" s="53" t="n"/>
      <c r="E2509" s="60" t="n"/>
      <c r="F2509" s="53" t="n"/>
      <c r="G2509" s="61" t="str">
        <f>IF(OR(COUNTA(A2509:E2509)=0,D2509=""),"",IFERROR(INDEX(ca_fam,MATCH(D2509,ca_name,0))&amp;"",""))</f>
        <v/>
      </c>
      <c r="H2509" s="58" t="str">
        <f>IF(OR(COUNTA(A2509:E2509)=0,D2509=""),"",IFERROR(INDEX(ca_type,MATCH(D2509,ca_name,0))&amp;"",""))</f>
        <v/>
      </c>
      <c r="I2509" s="58" t="str">
        <f>IF(COUNTA(A2509:E2509)=0,"",IF(N(A2509)&lt;=0,"Date manquante ou invalide",IF(B2509="","Équipe manquante",IF(ISNA(MATCH(B2509,eq_code,0)),"Équipe inconnue",IF(C2509="","Poste manquant",IF(ISNA(MATCH(C2509,po_code,0)),"Poste inconnu",IF(D2509="","Cause manquante",IF(ISNA(MATCH(D2509,ca_name,0)),"Cause inconnue",IF(H2509="","Cause à compléter dans Paramètres",IF(OR(NOT(ISNUMBER(E2509)),N(E2509)&lt;=0,N(E2509)&gt;1440),"Durée invalide",IF(COUNTIFS(sj_date,A2509,sj_eq,B2509,sj_po,C2509)=0,"Pas de saisie journalière ce jour-là","OK")))))))))))</f>
        <v/>
      </c>
      <c r="J2509">
        <f>IF(OR(I2509="OK",I2509="Pas de saisie journalière ce jour-là"),E2509,0)</f>
        <v>0.0</v>
      </c>
      <c r="K2509">
        <f>IF(AND(J2509&gt;0,A2509&gt;=p_from,A2509&lt;=p_to),1,0)</f>
        <v>0.0</v>
      </c>
      <c r="L2509">
        <f>IF(AND(K2509=1,OR(pa_po="",C2509=pa_po),OR(pa_eq="",B2509=pa_eq)),1,0)</f>
        <v>0.0</v>
      </c>
    </row>
    <row r="2510">
      <c r="A2510" s="51" t="n"/>
      <c r="B2510" s="52" t="n"/>
      <c r="C2510" s="52" t="n"/>
      <c r="D2510" s="53" t="n"/>
      <c r="E2510" s="60" t="n"/>
      <c r="F2510" s="53" t="n"/>
      <c r="G2510" s="61" t="str">
        <f>IF(OR(COUNTA(A2510:E2510)=0,D2510=""),"",IFERROR(INDEX(ca_fam,MATCH(D2510,ca_name,0))&amp;"",""))</f>
        <v/>
      </c>
      <c r="H2510" s="58" t="str">
        <f>IF(OR(COUNTA(A2510:E2510)=0,D2510=""),"",IFERROR(INDEX(ca_type,MATCH(D2510,ca_name,0))&amp;"",""))</f>
        <v/>
      </c>
      <c r="I2510" s="58" t="str">
        <f>IF(COUNTA(A2510:E2510)=0,"",IF(N(A2510)&lt;=0,"Date manquante ou invalide",IF(B2510="","Équipe manquante",IF(ISNA(MATCH(B2510,eq_code,0)),"Équipe inconnue",IF(C2510="","Poste manquant",IF(ISNA(MATCH(C2510,po_code,0)),"Poste inconnu",IF(D2510="","Cause manquante",IF(ISNA(MATCH(D2510,ca_name,0)),"Cause inconnue",IF(H2510="","Cause à compléter dans Paramètres",IF(OR(NOT(ISNUMBER(E2510)),N(E2510)&lt;=0,N(E2510)&gt;1440),"Durée invalide",IF(COUNTIFS(sj_date,A2510,sj_eq,B2510,sj_po,C2510)=0,"Pas de saisie journalière ce jour-là","OK")))))))))))</f>
        <v/>
      </c>
      <c r="J2510">
        <f>IF(OR(I2510="OK",I2510="Pas de saisie journalière ce jour-là"),E2510,0)</f>
        <v>0.0</v>
      </c>
      <c r="K2510">
        <f>IF(AND(J2510&gt;0,A2510&gt;=p_from,A2510&lt;=p_to),1,0)</f>
        <v>0.0</v>
      </c>
      <c r="L2510">
        <f>IF(AND(K2510=1,OR(pa_po="",C2510=pa_po),OR(pa_eq="",B2510=pa_eq)),1,0)</f>
        <v>0.0</v>
      </c>
    </row>
    <row r="2511">
      <c r="A2511" s="51" t="n"/>
      <c r="B2511" s="52" t="n"/>
      <c r="C2511" s="52" t="n"/>
      <c r="D2511" s="53" t="n"/>
      <c r="E2511" s="60" t="n"/>
      <c r="F2511" s="53" t="n"/>
      <c r="G2511" s="61" t="str">
        <f>IF(OR(COUNTA(A2511:E2511)=0,D2511=""),"",IFERROR(INDEX(ca_fam,MATCH(D2511,ca_name,0))&amp;"",""))</f>
        <v/>
      </c>
      <c r="H2511" s="58" t="str">
        <f>IF(OR(COUNTA(A2511:E2511)=0,D2511=""),"",IFERROR(INDEX(ca_type,MATCH(D2511,ca_name,0))&amp;"",""))</f>
        <v/>
      </c>
      <c r="I2511" s="58" t="str">
        <f>IF(COUNTA(A2511:E2511)=0,"",IF(N(A2511)&lt;=0,"Date manquante ou invalide",IF(B2511="","Équipe manquante",IF(ISNA(MATCH(B2511,eq_code,0)),"Équipe inconnue",IF(C2511="","Poste manquant",IF(ISNA(MATCH(C2511,po_code,0)),"Poste inconnu",IF(D2511="","Cause manquante",IF(ISNA(MATCH(D2511,ca_name,0)),"Cause inconnue",IF(H2511="","Cause à compléter dans Paramètres",IF(OR(NOT(ISNUMBER(E2511)),N(E2511)&lt;=0,N(E2511)&gt;1440),"Durée invalide",IF(COUNTIFS(sj_date,A2511,sj_eq,B2511,sj_po,C2511)=0,"Pas de saisie journalière ce jour-là","OK")))))))))))</f>
        <v/>
      </c>
      <c r="J2511">
        <f>IF(OR(I2511="OK",I2511="Pas de saisie journalière ce jour-là"),E2511,0)</f>
        <v>0.0</v>
      </c>
      <c r="K2511">
        <f>IF(AND(J2511&gt;0,A2511&gt;=p_from,A2511&lt;=p_to),1,0)</f>
        <v>0.0</v>
      </c>
      <c r="L2511">
        <f>IF(AND(K2511=1,OR(pa_po="",C2511=pa_po),OR(pa_eq="",B2511=pa_eq)),1,0)</f>
        <v>0.0</v>
      </c>
    </row>
    <row r="2512">
      <c r="A2512" s="51" t="n"/>
      <c r="B2512" s="52" t="n"/>
      <c r="C2512" s="52" t="n"/>
      <c r="D2512" s="53" t="n"/>
      <c r="E2512" s="60" t="n"/>
      <c r="F2512" s="53" t="n"/>
      <c r="G2512" s="61" t="str">
        <f>IF(OR(COUNTA(A2512:E2512)=0,D2512=""),"",IFERROR(INDEX(ca_fam,MATCH(D2512,ca_name,0))&amp;"",""))</f>
        <v/>
      </c>
      <c r="H2512" s="58" t="str">
        <f>IF(OR(COUNTA(A2512:E2512)=0,D2512=""),"",IFERROR(INDEX(ca_type,MATCH(D2512,ca_name,0))&amp;"",""))</f>
        <v/>
      </c>
      <c r="I2512" s="58" t="str">
        <f>IF(COUNTA(A2512:E2512)=0,"",IF(N(A2512)&lt;=0,"Date manquante ou invalide",IF(B2512="","Équipe manquante",IF(ISNA(MATCH(B2512,eq_code,0)),"Équipe inconnue",IF(C2512="","Poste manquant",IF(ISNA(MATCH(C2512,po_code,0)),"Poste inconnu",IF(D2512="","Cause manquante",IF(ISNA(MATCH(D2512,ca_name,0)),"Cause inconnue",IF(H2512="","Cause à compléter dans Paramètres",IF(OR(NOT(ISNUMBER(E2512)),N(E2512)&lt;=0,N(E2512)&gt;1440),"Durée invalide",IF(COUNTIFS(sj_date,A2512,sj_eq,B2512,sj_po,C2512)=0,"Pas de saisie journalière ce jour-là","OK")))))))))))</f>
        <v/>
      </c>
      <c r="J2512">
        <f>IF(OR(I2512="OK",I2512="Pas de saisie journalière ce jour-là"),E2512,0)</f>
        <v>0.0</v>
      </c>
      <c r="K2512">
        <f>IF(AND(J2512&gt;0,A2512&gt;=p_from,A2512&lt;=p_to),1,0)</f>
        <v>0.0</v>
      </c>
      <c r="L2512">
        <f>IF(AND(K2512=1,OR(pa_po="",C2512=pa_po),OR(pa_eq="",B2512=pa_eq)),1,0)</f>
        <v>0.0</v>
      </c>
    </row>
    <row r="2513">
      <c r="A2513" s="51" t="n"/>
      <c r="B2513" s="52" t="n"/>
      <c r="C2513" s="52" t="n"/>
      <c r="D2513" s="53" t="n"/>
      <c r="E2513" s="60" t="n"/>
      <c r="F2513" s="53" t="n"/>
      <c r="G2513" s="61" t="str">
        <f>IF(OR(COUNTA(A2513:E2513)=0,D2513=""),"",IFERROR(INDEX(ca_fam,MATCH(D2513,ca_name,0))&amp;"",""))</f>
        <v/>
      </c>
      <c r="H2513" s="58" t="str">
        <f>IF(OR(COUNTA(A2513:E2513)=0,D2513=""),"",IFERROR(INDEX(ca_type,MATCH(D2513,ca_name,0))&amp;"",""))</f>
        <v/>
      </c>
      <c r="I2513" s="58" t="str">
        <f>IF(COUNTA(A2513:E2513)=0,"",IF(N(A2513)&lt;=0,"Date manquante ou invalide",IF(B2513="","Équipe manquante",IF(ISNA(MATCH(B2513,eq_code,0)),"Équipe inconnue",IF(C2513="","Poste manquant",IF(ISNA(MATCH(C2513,po_code,0)),"Poste inconnu",IF(D2513="","Cause manquante",IF(ISNA(MATCH(D2513,ca_name,0)),"Cause inconnue",IF(H2513="","Cause à compléter dans Paramètres",IF(OR(NOT(ISNUMBER(E2513)),N(E2513)&lt;=0,N(E2513)&gt;1440),"Durée invalide",IF(COUNTIFS(sj_date,A2513,sj_eq,B2513,sj_po,C2513)=0,"Pas de saisie journalière ce jour-là","OK")))))))))))</f>
        <v/>
      </c>
      <c r="J2513">
        <f>IF(OR(I2513="OK",I2513="Pas de saisie journalière ce jour-là"),E2513,0)</f>
        <v>0.0</v>
      </c>
      <c r="K2513">
        <f>IF(AND(J2513&gt;0,A2513&gt;=p_from,A2513&lt;=p_to),1,0)</f>
        <v>0.0</v>
      </c>
      <c r="L2513">
        <f>IF(AND(K2513=1,OR(pa_po="",C2513=pa_po),OR(pa_eq="",B2513=pa_eq)),1,0)</f>
        <v>0.0</v>
      </c>
    </row>
    <row r="2514">
      <c r="A2514" s="51" t="n"/>
      <c r="B2514" s="52" t="n"/>
      <c r="C2514" s="52" t="n"/>
      <c r="D2514" s="53" t="n"/>
      <c r="E2514" s="60" t="n"/>
      <c r="F2514" s="53" t="n"/>
      <c r="G2514" s="61" t="str">
        <f>IF(OR(COUNTA(A2514:E2514)=0,D2514=""),"",IFERROR(INDEX(ca_fam,MATCH(D2514,ca_name,0))&amp;"",""))</f>
        <v/>
      </c>
      <c r="H2514" s="58" t="str">
        <f>IF(OR(COUNTA(A2514:E2514)=0,D2514=""),"",IFERROR(INDEX(ca_type,MATCH(D2514,ca_name,0))&amp;"",""))</f>
        <v/>
      </c>
      <c r="I2514" s="58" t="str">
        <f>IF(COUNTA(A2514:E2514)=0,"",IF(N(A2514)&lt;=0,"Date manquante ou invalide",IF(B2514="","Équipe manquante",IF(ISNA(MATCH(B2514,eq_code,0)),"Équipe inconnue",IF(C2514="","Poste manquant",IF(ISNA(MATCH(C2514,po_code,0)),"Poste inconnu",IF(D2514="","Cause manquante",IF(ISNA(MATCH(D2514,ca_name,0)),"Cause inconnue",IF(H2514="","Cause à compléter dans Paramètres",IF(OR(NOT(ISNUMBER(E2514)),N(E2514)&lt;=0,N(E2514)&gt;1440),"Durée invalide",IF(COUNTIFS(sj_date,A2514,sj_eq,B2514,sj_po,C2514)=0,"Pas de saisie journalière ce jour-là","OK")))))))))))</f>
        <v/>
      </c>
      <c r="J2514">
        <f>IF(OR(I2514="OK",I2514="Pas de saisie journalière ce jour-là"),E2514,0)</f>
        <v>0.0</v>
      </c>
      <c r="K2514">
        <f>IF(AND(J2514&gt;0,A2514&gt;=p_from,A2514&lt;=p_to),1,0)</f>
        <v>0.0</v>
      </c>
      <c r="L2514">
        <f>IF(AND(K2514=1,OR(pa_po="",C2514=pa_po),OR(pa_eq="",B2514=pa_eq)),1,0)</f>
        <v>0.0</v>
      </c>
    </row>
    <row r="2515">
      <c r="A2515" s="51" t="n"/>
      <c r="B2515" s="52" t="n"/>
      <c r="C2515" s="52" t="n"/>
      <c r="D2515" s="53" t="n"/>
      <c r="E2515" s="60" t="n"/>
      <c r="F2515" s="53" t="n"/>
      <c r="G2515" s="61" t="str">
        <f>IF(OR(COUNTA(A2515:E2515)=0,D2515=""),"",IFERROR(INDEX(ca_fam,MATCH(D2515,ca_name,0))&amp;"",""))</f>
        <v/>
      </c>
      <c r="H2515" s="58" t="str">
        <f>IF(OR(COUNTA(A2515:E2515)=0,D2515=""),"",IFERROR(INDEX(ca_type,MATCH(D2515,ca_name,0))&amp;"",""))</f>
        <v/>
      </c>
      <c r="I2515" s="58" t="str">
        <f>IF(COUNTA(A2515:E2515)=0,"",IF(N(A2515)&lt;=0,"Date manquante ou invalide",IF(B2515="","Équipe manquante",IF(ISNA(MATCH(B2515,eq_code,0)),"Équipe inconnue",IF(C2515="","Poste manquant",IF(ISNA(MATCH(C2515,po_code,0)),"Poste inconnu",IF(D2515="","Cause manquante",IF(ISNA(MATCH(D2515,ca_name,0)),"Cause inconnue",IF(H2515="","Cause à compléter dans Paramètres",IF(OR(NOT(ISNUMBER(E2515)),N(E2515)&lt;=0,N(E2515)&gt;1440),"Durée invalide",IF(COUNTIFS(sj_date,A2515,sj_eq,B2515,sj_po,C2515)=0,"Pas de saisie journalière ce jour-là","OK")))))))))))</f>
        <v/>
      </c>
      <c r="J2515">
        <f>IF(OR(I2515="OK",I2515="Pas de saisie journalière ce jour-là"),E2515,0)</f>
        <v>0.0</v>
      </c>
      <c r="K2515">
        <f>IF(AND(J2515&gt;0,A2515&gt;=p_from,A2515&lt;=p_to),1,0)</f>
        <v>0.0</v>
      </c>
      <c r="L2515">
        <f>IF(AND(K2515=1,OR(pa_po="",C2515=pa_po),OR(pa_eq="",B2515=pa_eq)),1,0)</f>
        <v>0.0</v>
      </c>
    </row>
    <row r="2516">
      <c r="A2516" s="51" t="n"/>
      <c r="B2516" s="52" t="n"/>
      <c r="C2516" s="52" t="n"/>
      <c r="D2516" s="53" t="n"/>
      <c r="E2516" s="60" t="n"/>
      <c r="F2516" s="53" t="n"/>
      <c r="G2516" s="61" t="str">
        <f>IF(OR(COUNTA(A2516:E2516)=0,D2516=""),"",IFERROR(INDEX(ca_fam,MATCH(D2516,ca_name,0))&amp;"",""))</f>
        <v/>
      </c>
      <c r="H2516" s="58" t="str">
        <f>IF(OR(COUNTA(A2516:E2516)=0,D2516=""),"",IFERROR(INDEX(ca_type,MATCH(D2516,ca_name,0))&amp;"",""))</f>
        <v/>
      </c>
      <c r="I2516" s="58" t="str">
        <f>IF(COUNTA(A2516:E2516)=0,"",IF(N(A2516)&lt;=0,"Date manquante ou invalide",IF(B2516="","Équipe manquante",IF(ISNA(MATCH(B2516,eq_code,0)),"Équipe inconnue",IF(C2516="","Poste manquant",IF(ISNA(MATCH(C2516,po_code,0)),"Poste inconnu",IF(D2516="","Cause manquante",IF(ISNA(MATCH(D2516,ca_name,0)),"Cause inconnue",IF(H2516="","Cause à compléter dans Paramètres",IF(OR(NOT(ISNUMBER(E2516)),N(E2516)&lt;=0,N(E2516)&gt;1440),"Durée invalide",IF(COUNTIFS(sj_date,A2516,sj_eq,B2516,sj_po,C2516)=0,"Pas de saisie journalière ce jour-là","OK")))))))))))</f>
        <v/>
      </c>
      <c r="J2516">
        <f>IF(OR(I2516="OK",I2516="Pas de saisie journalière ce jour-là"),E2516,0)</f>
        <v>0.0</v>
      </c>
      <c r="K2516">
        <f>IF(AND(J2516&gt;0,A2516&gt;=p_from,A2516&lt;=p_to),1,0)</f>
        <v>0.0</v>
      </c>
      <c r="L2516">
        <f>IF(AND(K2516=1,OR(pa_po="",C2516=pa_po),OR(pa_eq="",B2516=pa_eq)),1,0)</f>
        <v>0.0</v>
      </c>
    </row>
    <row r="2517">
      <c r="A2517" s="51" t="n"/>
      <c r="B2517" s="52" t="n"/>
      <c r="C2517" s="52" t="n"/>
      <c r="D2517" s="53" t="n"/>
      <c r="E2517" s="60" t="n"/>
      <c r="F2517" s="53" t="n"/>
      <c r="G2517" s="61" t="str">
        <f>IF(OR(COUNTA(A2517:E2517)=0,D2517=""),"",IFERROR(INDEX(ca_fam,MATCH(D2517,ca_name,0))&amp;"",""))</f>
        <v/>
      </c>
      <c r="H2517" s="58" t="str">
        <f>IF(OR(COUNTA(A2517:E2517)=0,D2517=""),"",IFERROR(INDEX(ca_type,MATCH(D2517,ca_name,0))&amp;"",""))</f>
        <v/>
      </c>
      <c r="I2517" s="58" t="str">
        <f>IF(COUNTA(A2517:E2517)=0,"",IF(N(A2517)&lt;=0,"Date manquante ou invalide",IF(B2517="","Équipe manquante",IF(ISNA(MATCH(B2517,eq_code,0)),"Équipe inconnue",IF(C2517="","Poste manquant",IF(ISNA(MATCH(C2517,po_code,0)),"Poste inconnu",IF(D2517="","Cause manquante",IF(ISNA(MATCH(D2517,ca_name,0)),"Cause inconnue",IF(H2517="","Cause à compléter dans Paramètres",IF(OR(NOT(ISNUMBER(E2517)),N(E2517)&lt;=0,N(E2517)&gt;1440),"Durée invalide",IF(COUNTIFS(sj_date,A2517,sj_eq,B2517,sj_po,C2517)=0,"Pas de saisie journalière ce jour-là","OK")))))))))))</f>
        <v/>
      </c>
      <c r="J2517">
        <f>IF(OR(I2517="OK",I2517="Pas de saisie journalière ce jour-là"),E2517,0)</f>
        <v>0.0</v>
      </c>
      <c r="K2517">
        <f>IF(AND(J2517&gt;0,A2517&gt;=p_from,A2517&lt;=p_to),1,0)</f>
        <v>0.0</v>
      </c>
      <c r="L2517">
        <f>IF(AND(K2517=1,OR(pa_po="",C2517=pa_po),OR(pa_eq="",B2517=pa_eq)),1,0)</f>
        <v>0.0</v>
      </c>
    </row>
    <row r="2518">
      <c r="A2518" s="51" t="n"/>
      <c r="B2518" s="52" t="n"/>
      <c r="C2518" s="52" t="n"/>
      <c r="D2518" s="53" t="n"/>
      <c r="E2518" s="60" t="n"/>
      <c r="F2518" s="53" t="n"/>
      <c r="G2518" s="61" t="str">
        <f>IF(OR(COUNTA(A2518:E2518)=0,D2518=""),"",IFERROR(INDEX(ca_fam,MATCH(D2518,ca_name,0))&amp;"",""))</f>
        <v/>
      </c>
      <c r="H2518" s="58" t="str">
        <f>IF(OR(COUNTA(A2518:E2518)=0,D2518=""),"",IFERROR(INDEX(ca_type,MATCH(D2518,ca_name,0))&amp;"",""))</f>
        <v/>
      </c>
      <c r="I2518" s="58" t="str">
        <f>IF(COUNTA(A2518:E2518)=0,"",IF(N(A2518)&lt;=0,"Date manquante ou invalide",IF(B2518="","Équipe manquante",IF(ISNA(MATCH(B2518,eq_code,0)),"Équipe inconnue",IF(C2518="","Poste manquant",IF(ISNA(MATCH(C2518,po_code,0)),"Poste inconnu",IF(D2518="","Cause manquante",IF(ISNA(MATCH(D2518,ca_name,0)),"Cause inconnue",IF(H2518="","Cause à compléter dans Paramètres",IF(OR(NOT(ISNUMBER(E2518)),N(E2518)&lt;=0,N(E2518)&gt;1440),"Durée invalide",IF(COUNTIFS(sj_date,A2518,sj_eq,B2518,sj_po,C2518)=0,"Pas de saisie journalière ce jour-là","OK")))))))))))</f>
        <v/>
      </c>
      <c r="J2518">
        <f>IF(OR(I2518="OK",I2518="Pas de saisie journalière ce jour-là"),E2518,0)</f>
        <v>0.0</v>
      </c>
      <c r="K2518">
        <f>IF(AND(J2518&gt;0,A2518&gt;=p_from,A2518&lt;=p_to),1,0)</f>
        <v>0.0</v>
      </c>
      <c r="L2518">
        <f>IF(AND(K2518=1,OR(pa_po="",C2518=pa_po),OR(pa_eq="",B2518=pa_eq)),1,0)</f>
        <v>0.0</v>
      </c>
    </row>
    <row r="2519">
      <c r="A2519" s="51" t="n"/>
      <c r="B2519" s="52" t="n"/>
      <c r="C2519" s="52" t="n"/>
      <c r="D2519" s="53" t="n"/>
      <c r="E2519" s="60" t="n"/>
      <c r="F2519" s="53" t="n"/>
      <c r="G2519" s="61" t="str">
        <f>IF(OR(COUNTA(A2519:E2519)=0,D2519=""),"",IFERROR(INDEX(ca_fam,MATCH(D2519,ca_name,0))&amp;"",""))</f>
        <v/>
      </c>
      <c r="H2519" s="58" t="str">
        <f>IF(OR(COUNTA(A2519:E2519)=0,D2519=""),"",IFERROR(INDEX(ca_type,MATCH(D2519,ca_name,0))&amp;"",""))</f>
        <v/>
      </c>
      <c r="I2519" s="58" t="str">
        <f>IF(COUNTA(A2519:E2519)=0,"",IF(N(A2519)&lt;=0,"Date manquante ou invalide",IF(B2519="","Équipe manquante",IF(ISNA(MATCH(B2519,eq_code,0)),"Équipe inconnue",IF(C2519="","Poste manquant",IF(ISNA(MATCH(C2519,po_code,0)),"Poste inconnu",IF(D2519="","Cause manquante",IF(ISNA(MATCH(D2519,ca_name,0)),"Cause inconnue",IF(H2519="","Cause à compléter dans Paramètres",IF(OR(NOT(ISNUMBER(E2519)),N(E2519)&lt;=0,N(E2519)&gt;1440),"Durée invalide",IF(COUNTIFS(sj_date,A2519,sj_eq,B2519,sj_po,C2519)=0,"Pas de saisie journalière ce jour-là","OK")))))))))))</f>
        <v/>
      </c>
      <c r="J2519">
        <f>IF(OR(I2519="OK",I2519="Pas de saisie journalière ce jour-là"),E2519,0)</f>
        <v>0.0</v>
      </c>
      <c r="K2519">
        <f>IF(AND(J2519&gt;0,A2519&gt;=p_from,A2519&lt;=p_to),1,0)</f>
        <v>0.0</v>
      </c>
      <c r="L2519">
        <f>IF(AND(K2519=1,OR(pa_po="",C2519=pa_po),OR(pa_eq="",B2519=pa_eq)),1,0)</f>
        <v>0.0</v>
      </c>
    </row>
    <row r="2520">
      <c r="A2520" s="51" t="n"/>
      <c r="B2520" s="52" t="n"/>
      <c r="C2520" s="52" t="n"/>
      <c r="D2520" s="53" t="n"/>
      <c r="E2520" s="60" t="n"/>
      <c r="F2520" s="53" t="n"/>
      <c r="G2520" s="61" t="str">
        <f>IF(OR(COUNTA(A2520:E2520)=0,D2520=""),"",IFERROR(INDEX(ca_fam,MATCH(D2520,ca_name,0))&amp;"",""))</f>
        <v/>
      </c>
      <c r="H2520" s="58" t="str">
        <f>IF(OR(COUNTA(A2520:E2520)=0,D2520=""),"",IFERROR(INDEX(ca_type,MATCH(D2520,ca_name,0))&amp;"",""))</f>
        <v/>
      </c>
      <c r="I2520" s="58" t="str">
        <f>IF(COUNTA(A2520:E2520)=0,"",IF(N(A2520)&lt;=0,"Date manquante ou invalide",IF(B2520="","Équipe manquante",IF(ISNA(MATCH(B2520,eq_code,0)),"Équipe inconnue",IF(C2520="","Poste manquant",IF(ISNA(MATCH(C2520,po_code,0)),"Poste inconnu",IF(D2520="","Cause manquante",IF(ISNA(MATCH(D2520,ca_name,0)),"Cause inconnue",IF(H2520="","Cause à compléter dans Paramètres",IF(OR(NOT(ISNUMBER(E2520)),N(E2520)&lt;=0,N(E2520)&gt;1440),"Durée invalide",IF(COUNTIFS(sj_date,A2520,sj_eq,B2520,sj_po,C2520)=0,"Pas de saisie journalière ce jour-là","OK")))))))))))</f>
        <v/>
      </c>
      <c r="J2520">
        <f>IF(OR(I2520="OK",I2520="Pas de saisie journalière ce jour-là"),E2520,0)</f>
        <v>0.0</v>
      </c>
      <c r="K2520">
        <f>IF(AND(J2520&gt;0,A2520&gt;=p_from,A2520&lt;=p_to),1,0)</f>
        <v>0.0</v>
      </c>
      <c r="L2520">
        <f>IF(AND(K2520=1,OR(pa_po="",C2520=pa_po),OR(pa_eq="",B2520=pa_eq)),1,0)</f>
        <v>0.0</v>
      </c>
    </row>
    <row r="2521">
      <c r="A2521" s="51" t="n"/>
      <c r="B2521" s="52" t="n"/>
      <c r="C2521" s="52" t="n"/>
      <c r="D2521" s="53" t="n"/>
      <c r="E2521" s="60" t="n"/>
      <c r="F2521" s="53" t="n"/>
      <c r="G2521" s="61" t="str">
        <f>IF(OR(COUNTA(A2521:E2521)=0,D2521=""),"",IFERROR(INDEX(ca_fam,MATCH(D2521,ca_name,0))&amp;"",""))</f>
        <v/>
      </c>
      <c r="H2521" s="58" t="str">
        <f>IF(OR(COUNTA(A2521:E2521)=0,D2521=""),"",IFERROR(INDEX(ca_type,MATCH(D2521,ca_name,0))&amp;"",""))</f>
        <v/>
      </c>
      <c r="I2521" s="58" t="str">
        <f>IF(COUNTA(A2521:E2521)=0,"",IF(N(A2521)&lt;=0,"Date manquante ou invalide",IF(B2521="","Équipe manquante",IF(ISNA(MATCH(B2521,eq_code,0)),"Équipe inconnue",IF(C2521="","Poste manquant",IF(ISNA(MATCH(C2521,po_code,0)),"Poste inconnu",IF(D2521="","Cause manquante",IF(ISNA(MATCH(D2521,ca_name,0)),"Cause inconnue",IF(H2521="","Cause à compléter dans Paramètres",IF(OR(NOT(ISNUMBER(E2521)),N(E2521)&lt;=0,N(E2521)&gt;1440),"Durée invalide",IF(COUNTIFS(sj_date,A2521,sj_eq,B2521,sj_po,C2521)=0,"Pas de saisie journalière ce jour-là","OK")))))))))))</f>
        <v/>
      </c>
      <c r="J2521">
        <f>IF(OR(I2521="OK",I2521="Pas de saisie journalière ce jour-là"),E2521,0)</f>
        <v>0.0</v>
      </c>
      <c r="K2521">
        <f>IF(AND(J2521&gt;0,A2521&gt;=p_from,A2521&lt;=p_to),1,0)</f>
        <v>0.0</v>
      </c>
      <c r="L2521">
        <f>IF(AND(K2521=1,OR(pa_po="",C2521=pa_po),OR(pa_eq="",B2521=pa_eq)),1,0)</f>
        <v>0.0</v>
      </c>
    </row>
    <row r="2522">
      <c r="A2522" s="51" t="n"/>
      <c r="B2522" s="52" t="n"/>
      <c r="C2522" s="52" t="n"/>
      <c r="D2522" s="53" t="n"/>
      <c r="E2522" s="60" t="n"/>
      <c r="F2522" s="53" t="n"/>
      <c r="G2522" s="61" t="str">
        <f>IF(OR(COUNTA(A2522:E2522)=0,D2522=""),"",IFERROR(INDEX(ca_fam,MATCH(D2522,ca_name,0))&amp;"",""))</f>
        <v/>
      </c>
      <c r="H2522" s="58" t="str">
        <f>IF(OR(COUNTA(A2522:E2522)=0,D2522=""),"",IFERROR(INDEX(ca_type,MATCH(D2522,ca_name,0))&amp;"",""))</f>
        <v/>
      </c>
      <c r="I2522" s="58" t="str">
        <f>IF(COUNTA(A2522:E2522)=0,"",IF(N(A2522)&lt;=0,"Date manquante ou invalide",IF(B2522="","Équipe manquante",IF(ISNA(MATCH(B2522,eq_code,0)),"Équipe inconnue",IF(C2522="","Poste manquant",IF(ISNA(MATCH(C2522,po_code,0)),"Poste inconnu",IF(D2522="","Cause manquante",IF(ISNA(MATCH(D2522,ca_name,0)),"Cause inconnue",IF(H2522="","Cause à compléter dans Paramètres",IF(OR(NOT(ISNUMBER(E2522)),N(E2522)&lt;=0,N(E2522)&gt;1440),"Durée invalide",IF(COUNTIFS(sj_date,A2522,sj_eq,B2522,sj_po,C2522)=0,"Pas de saisie journalière ce jour-là","OK")))))))))))</f>
        <v/>
      </c>
      <c r="J2522">
        <f>IF(OR(I2522="OK",I2522="Pas de saisie journalière ce jour-là"),E2522,0)</f>
        <v>0.0</v>
      </c>
      <c r="K2522">
        <f>IF(AND(J2522&gt;0,A2522&gt;=p_from,A2522&lt;=p_to),1,0)</f>
        <v>0.0</v>
      </c>
      <c r="L2522">
        <f>IF(AND(K2522=1,OR(pa_po="",C2522=pa_po),OR(pa_eq="",B2522=pa_eq)),1,0)</f>
        <v>0.0</v>
      </c>
    </row>
    <row r="2523">
      <c r="A2523" s="51" t="n"/>
      <c r="B2523" s="52" t="n"/>
      <c r="C2523" s="52" t="n"/>
      <c r="D2523" s="53" t="n"/>
      <c r="E2523" s="60" t="n"/>
      <c r="F2523" s="53" t="n"/>
      <c r="G2523" s="61" t="str">
        <f>IF(OR(COUNTA(A2523:E2523)=0,D2523=""),"",IFERROR(INDEX(ca_fam,MATCH(D2523,ca_name,0))&amp;"",""))</f>
        <v/>
      </c>
      <c r="H2523" s="58" t="str">
        <f>IF(OR(COUNTA(A2523:E2523)=0,D2523=""),"",IFERROR(INDEX(ca_type,MATCH(D2523,ca_name,0))&amp;"",""))</f>
        <v/>
      </c>
      <c r="I2523" s="58" t="str">
        <f>IF(COUNTA(A2523:E2523)=0,"",IF(N(A2523)&lt;=0,"Date manquante ou invalide",IF(B2523="","Équipe manquante",IF(ISNA(MATCH(B2523,eq_code,0)),"Équipe inconnue",IF(C2523="","Poste manquant",IF(ISNA(MATCH(C2523,po_code,0)),"Poste inconnu",IF(D2523="","Cause manquante",IF(ISNA(MATCH(D2523,ca_name,0)),"Cause inconnue",IF(H2523="","Cause à compléter dans Paramètres",IF(OR(NOT(ISNUMBER(E2523)),N(E2523)&lt;=0,N(E2523)&gt;1440),"Durée invalide",IF(COUNTIFS(sj_date,A2523,sj_eq,B2523,sj_po,C2523)=0,"Pas de saisie journalière ce jour-là","OK")))))))))))</f>
        <v/>
      </c>
      <c r="J2523">
        <f>IF(OR(I2523="OK",I2523="Pas de saisie journalière ce jour-là"),E2523,0)</f>
        <v>0.0</v>
      </c>
      <c r="K2523">
        <f>IF(AND(J2523&gt;0,A2523&gt;=p_from,A2523&lt;=p_to),1,0)</f>
        <v>0.0</v>
      </c>
      <c r="L2523">
        <f>IF(AND(K2523=1,OR(pa_po="",C2523=pa_po),OR(pa_eq="",B2523=pa_eq)),1,0)</f>
        <v>0.0</v>
      </c>
    </row>
    <row r="2524">
      <c r="A2524" s="51" t="n"/>
      <c r="B2524" s="52" t="n"/>
      <c r="C2524" s="52" t="n"/>
      <c r="D2524" s="53" t="n"/>
      <c r="E2524" s="60" t="n"/>
      <c r="F2524" s="53" t="n"/>
      <c r="G2524" s="61" t="str">
        <f>IF(OR(COUNTA(A2524:E2524)=0,D2524=""),"",IFERROR(INDEX(ca_fam,MATCH(D2524,ca_name,0))&amp;"",""))</f>
        <v/>
      </c>
      <c r="H2524" s="58" t="str">
        <f>IF(OR(COUNTA(A2524:E2524)=0,D2524=""),"",IFERROR(INDEX(ca_type,MATCH(D2524,ca_name,0))&amp;"",""))</f>
        <v/>
      </c>
      <c r="I2524" s="58" t="str">
        <f>IF(COUNTA(A2524:E2524)=0,"",IF(N(A2524)&lt;=0,"Date manquante ou invalide",IF(B2524="","Équipe manquante",IF(ISNA(MATCH(B2524,eq_code,0)),"Équipe inconnue",IF(C2524="","Poste manquant",IF(ISNA(MATCH(C2524,po_code,0)),"Poste inconnu",IF(D2524="","Cause manquante",IF(ISNA(MATCH(D2524,ca_name,0)),"Cause inconnue",IF(H2524="","Cause à compléter dans Paramètres",IF(OR(NOT(ISNUMBER(E2524)),N(E2524)&lt;=0,N(E2524)&gt;1440),"Durée invalide",IF(COUNTIFS(sj_date,A2524,sj_eq,B2524,sj_po,C2524)=0,"Pas de saisie journalière ce jour-là","OK")))))))))))</f>
        <v/>
      </c>
      <c r="J2524">
        <f>IF(OR(I2524="OK",I2524="Pas de saisie journalière ce jour-là"),E2524,0)</f>
        <v>0.0</v>
      </c>
      <c r="K2524">
        <f>IF(AND(J2524&gt;0,A2524&gt;=p_from,A2524&lt;=p_to),1,0)</f>
        <v>0.0</v>
      </c>
      <c r="L2524">
        <f>IF(AND(K2524=1,OR(pa_po="",C2524=pa_po),OR(pa_eq="",B2524=pa_eq)),1,0)</f>
        <v>0.0</v>
      </c>
    </row>
    <row r="2525">
      <c r="A2525" s="51" t="n"/>
      <c r="B2525" s="52" t="n"/>
      <c r="C2525" s="52" t="n"/>
      <c r="D2525" s="53" t="n"/>
      <c r="E2525" s="60" t="n"/>
      <c r="F2525" s="53" t="n"/>
      <c r="G2525" s="61" t="str">
        <f>IF(OR(COUNTA(A2525:E2525)=0,D2525=""),"",IFERROR(INDEX(ca_fam,MATCH(D2525,ca_name,0))&amp;"",""))</f>
        <v/>
      </c>
      <c r="H2525" s="58" t="str">
        <f>IF(OR(COUNTA(A2525:E2525)=0,D2525=""),"",IFERROR(INDEX(ca_type,MATCH(D2525,ca_name,0))&amp;"",""))</f>
        <v/>
      </c>
      <c r="I2525" s="58" t="str">
        <f>IF(COUNTA(A2525:E2525)=0,"",IF(N(A2525)&lt;=0,"Date manquante ou invalide",IF(B2525="","Équipe manquante",IF(ISNA(MATCH(B2525,eq_code,0)),"Équipe inconnue",IF(C2525="","Poste manquant",IF(ISNA(MATCH(C2525,po_code,0)),"Poste inconnu",IF(D2525="","Cause manquante",IF(ISNA(MATCH(D2525,ca_name,0)),"Cause inconnue",IF(H2525="","Cause à compléter dans Paramètres",IF(OR(NOT(ISNUMBER(E2525)),N(E2525)&lt;=0,N(E2525)&gt;1440),"Durée invalide",IF(COUNTIFS(sj_date,A2525,sj_eq,B2525,sj_po,C2525)=0,"Pas de saisie journalière ce jour-là","OK")))))))))))</f>
        <v/>
      </c>
      <c r="J2525">
        <f>IF(OR(I2525="OK",I2525="Pas de saisie journalière ce jour-là"),E2525,0)</f>
        <v>0.0</v>
      </c>
      <c r="K2525">
        <f>IF(AND(J2525&gt;0,A2525&gt;=p_from,A2525&lt;=p_to),1,0)</f>
        <v>0.0</v>
      </c>
      <c r="L2525">
        <f>IF(AND(K2525=1,OR(pa_po="",C2525=pa_po),OR(pa_eq="",B2525=pa_eq)),1,0)</f>
        <v>0.0</v>
      </c>
    </row>
    <row r="2526">
      <c r="A2526" s="51" t="n"/>
      <c r="B2526" s="52" t="n"/>
      <c r="C2526" s="52" t="n"/>
      <c r="D2526" s="53" t="n"/>
      <c r="E2526" s="60" t="n"/>
      <c r="F2526" s="53" t="n"/>
      <c r="G2526" s="61" t="str">
        <f>IF(OR(COUNTA(A2526:E2526)=0,D2526=""),"",IFERROR(INDEX(ca_fam,MATCH(D2526,ca_name,0))&amp;"",""))</f>
        <v/>
      </c>
      <c r="H2526" s="58" t="str">
        <f>IF(OR(COUNTA(A2526:E2526)=0,D2526=""),"",IFERROR(INDEX(ca_type,MATCH(D2526,ca_name,0))&amp;"",""))</f>
        <v/>
      </c>
      <c r="I2526" s="58" t="str">
        <f>IF(COUNTA(A2526:E2526)=0,"",IF(N(A2526)&lt;=0,"Date manquante ou invalide",IF(B2526="","Équipe manquante",IF(ISNA(MATCH(B2526,eq_code,0)),"Équipe inconnue",IF(C2526="","Poste manquant",IF(ISNA(MATCH(C2526,po_code,0)),"Poste inconnu",IF(D2526="","Cause manquante",IF(ISNA(MATCH(D2526,ca_name,0)),"Cause inconnue",IF(H2526="","Cause à compléter dans Paramètres",IF(OR(NOT(ISNUMBER(E2526)),N(E2526)&lt;=0,N(E2526)&gt;1440),"Durée invalide",IF(COUNTIFS(sj_date,A2526,sj_eq,B2526,sj_po,C2526)=0,"Pas de saisie journalière ce jour-là","OK")))))))))))</f>
        <v/>
      </c>
      <c r="J2526">
        <f>IF(OR(I2526="OK",I2526="Pas de saisie journalière ce jour-là"),E2526,0)</f>
        <v>0.0</v>
      </c>
      <c r="K2526">
        <f>IF(AND(J2526&gt;0,A2526&gt;=p_from,A2526&lt;=p_to),1,0)</f>
        <v>0.0</v>
      </c>
      <c r="L2526">
        <f>IF(AND(K2526=1,OR(pa_po="",C2526=pa_po),OR(pa_eq="",B2526=pa_eq)),1,0)</f>
        <v>0.0</v>
      </c>
    </row>
    <row r="2527">
      <c r="A2527" s="51" t="n"/>
      <c r="B2527" s="52" t="n"/>
      <c r="C2527" s="52" t="n"/>
      <c r="D2527" s="53" t="n"/>
      <c r="E2527" s="60" t="n"/>
      <c r="F2527" s="53" t="n"/>
      <c r="G2527" s="61" t="str">
        <f>IF(OR(COUNTA(A2527:E2527)=0,D2527=""),"",IFERROR(INDEX(ca_fam,MATCH(D2527,ca_name,0))&amp;"",""))</f>
        <v/>
      </c>
      <c r="H2527" s="58" t="str">
        <f>IF(OR(COUNTA(A2527:E2527)=0,D2527=""),"",IFERROR(INDEX(ca_type,MATCH(D2527,ca_name,0))&amp;"",""))</f>
        <v/>
      </c>
      <c r="I2527" s="58" t="str">
        <f>IF(COUNTA(A2527:E2527)=0,"",IF(N(A2527)&lt;=0,"Date manquante ou invalide",IF(B2527="","Équipe manquante",IF(ISNA(MATCH(B2527,eq_code,0)),"Équipe inconnue",IF(C2527="","Poste manquant",IF(ISNA(MATCH(C2527,po_code,0)),"Poste inconnu",IF(D2527="","Cause manquante",IF(ISNA(MATCH(D2527,ca_name,0)),"Cause inconnue",IF(H2527="","Cause à compléter dans Paramètres",IF(OR(NOT(ISNUMBER(E2527)),N(E2527)&lt;=0,N(E2527)&gt;1440),"Durée invalide",IF(COUNTIFS(sj_date,A2527,sj_eq,B2527,sj_po,C2527)=0,"Pas de saisie journalière ce jour-là","OK")))))))))))</f>
        <v/>
      </c>
      <c r="J2527">
        <f>IF(OR(I2527="OK",I2527="Pas de saisie journalière ce jour-là"),E2527,0)</f>
        <v>0.0</v>
      </c>
      <c r="K2527">
        <f>IF(AND(J2527&gt;0,A2527&gt;=p_from,A2527&lt;=p_to),1,0)</f>
        <v>0.0</v>
      </c>
      <c r="L2527">
        <f>IF(AND(K2527=1,OR(pa_po="",C2527=pa_po),OR(pa_eq="",B2527=pa_eq)),1,0)</f>
        <v>0.0</v>
      </c>
    </row>
    <row r="2528">
      <c r="A2528" s="51" t="n"/>
      <c r="B2528" s="52" t="n"/>
      <c r="C2528" s="52" t="n"/>
      <c r="D2528" s="53" t="n"/>
      <c r="E2528" s="60" t="n"/>
      <c r="F2528" s="53" t="n"/>
      <c r="G2528" s="61" t="str">
        <f>IF(OR(COUNTA(A2528:E2528)=0,D2528=""),"",IFERROR(INDEX(ca_fam,MATCH(D2528,ca_name,0))&amp;"",""))</f>
        <v/>
      </c>
      <c r="H2528" s="58" t="str">
        <f>IF(OR(COUNTA(A2528:E2528)=0,D2528=""),"",IFERROR(INDEX(ca_type,MATCH(D2528,ca_name,0))&amp;"",""))</f>
        <v/>
      </c>
      <c r="I2528" s="58" t="str">
        <f>IF(COUNTA(A2528:E2528)=0,"",IF(N(A2528)&lt;=0,"Date manquante ou invalide",IF(B2528="","Équipe manquante",IF(ISNA(MATCH(B2528,eq_code,0)),"Équipe inconnue",IF(C2528="","Poste manquant",IF(ISNA(MATCH(C2528,po_code,0)),"Poste inconnu",IF(D2528="","Cause manquante",IF(ISNA(MATCH(D2528,ca_name,0)),"Cause inconnue",IF(H2528="","Cause à compléter dans Paramètres",IF(OR(NOT(ISNUMBER(E2528)),N(E2528)&lt;=0,N(E2528)&gt;1440),"Durée invalide",IF(COUNTIFS(sj_date,A2528,sj_eq,B2528,sj_po,C2528)=0,"Pas de saisie journalière ce jour-là","OK")))))))))))</f>
        <v/>
      </c>
      <c r="J2528">
        <f>IF(OR(I2528="OK",I2528="Pas de saisie journalière ce jour-là"),E2528,0)</f>
        <v>0.0</v>
      </c>
      <c r="K2528">
        <f>IF(AND(J2528&gt;0,A2528&gt;=p_from,A2528&lt;=p_to),1,0)</f>
        <v>0.0</v>
      </c>
      <c r="L2528">
        <f>IF(AND(K2528=1,OR(pa_po="",C2528=pa_po),OR(pa_eq="",B2528=pa_eq)),1,0)</f>
        <v>0.0</v>
      </c>
    </row>
    <row r="2529">
      <c r="A2529" s="51" t="n"/>
      <c r="B2529" s="52" t="n"/>
      <c r="C2529" s="52" t="n"/>
      <c r="D2529" s="53" t="n"/>
      <c r="E2529" s="60" t="n"/>
      <c r="F2529" s="53" t="n"/>
      <c r="G2529" s="61" t="str">
        <f>IF(OR(COUNTA(A2529:E2529)=0,D2529=""),"",IFERROR(INDEX(ca_fam,MATCH(D2529,ca_name,0))&amp;"",""))</f>
        <v/>
      </c>
      <c r="H2529" s="58" t="str">
        <f>IF(OR(COUNTA(A2529:E2529)=0,D2529=""),"",IFERROR(INDEX(ca_type,MATCH(D2529,ca_name,0))&amp;"",""))</f>
        <v/>
      </c>
      <c r="I2529" s="58" t="str">
        <f>IF(COUNTA(A2529:E2529)=0,"",IF(N(A2529)&lt;=0,"Date manquante ou invalide",IF(B2529="","Équipe manquante",IF(ISNA(MATCH(B2529,eq_code,0)),"Équipe inconnue",IF(C2529="","Poste manquant",IF(ISNA(MATCH(C2529,po_code,0)),"Poste inconnu",IF(D2529="","Cause manquante",IF(ISNA(MATCH(D2529,ca_name,0)),"Cause inconnue",IF(H2529="","Cause à compléter dans Paramètres",IF(OR(NOT(ISNUMBER(E2529)),N(E2529)&lt;=0,N(E2529)&gt;1440),"Durée invalide",IF(COUNTIFS(sj_date,A2529,sj_eq,B2529,sj_po,C2529)=0,"Pas de saisie journalière ce jour-là","OK")))))))))))</f>
        <v/>
      </c>
      <c r="J2529">
        <f>IF(OR(I2529="OK",I2529="Pas de saisie journalière ce jour-là"),E2529,0)</f>
        <v>0.0</v>
      </c>
      <c r="K2529">
        <f>IF(AND(J2529&gt;0,A2529&gt;=p_from,A2529&lt;=p_to),1,0)</f>
        <v>0.0</v>
      </c>
      <c r="L2529">
        <f>IF(AND(K2529=1,OR(pa_po="",C2529=pa_po),OR(pa_eq="",B2529=pa_eq)),1,0)</f>
        <v>0.0</v>
      </c>
    </row>
    <row r="2530">
      <c r="A2530" s="51" t="n"/>
      <c r="B2530" s="52" t="n"/>
      <c r="C2530" s="52" t="n"/>
      <c r="D2530" s="53" t="n"/>
      <c r="E2530" s="60" t="n"/>
      <c r="F2530" s="53" t="n"/>
      <c r="G2530" s="61" t="str">
        <f>IF(OR(COUNTA(A2530:E2530)=0,D2530=""),"",IFERROR(INDEX(ca_fam,MATCH(D2530,ca_name,0))&amp;"",""))</f>
        <v/>
      </c>
      <c r="H2530" s="58" t="str">
        <f>IF(OR(COUNTA(A2530:E2530)=0,D2530=""),"",IFERROR(INDEX(ca_type,MATCH(D2530,ca_name,0))&amp;"",""))</f>
        <v/>
      </c>
      <c r="I2530" s="58" t="str">
        <f>IF(COUNTA(A2530:E2530)=0,"",IF(N(A2530)&lt;=0,"Date manquante ou invalide",IF(B2530="","Équipe manquante",IF(ISNA(MATCH(B2530,eq_code,0)),"Équipe inconnue",IF(C2530="","Poste manquant",IF(ISNA(MATCH(C2530,po_code,0)),"Poste inconnu",IF(D2530="","Cause manquante",IF(ISNA(MATCH(D2530,ca_name,0)),"Cause inconnue",IF(H2530="","Cause à compléter dans Paramètres",IF(OR(NOT(ISNUMBER(E2530)),N(E2530)&lt;=0,N(E2530)&gt;1440),"Durée invalide",IF(COUNTIFS(sj_date,A2530,sj_eq,B2530,sj_po,C2530)=0,"Pas de saisie journalière ce jour-là","OK")))))))))))</f>
        <v/>
      </c>
      <c r="J2530">
        <f>IF(OR(I2530="OK",I2530="Pas de saisie journalière ce jour-là"),E2530,0)</f>
        <v>0.0</v>
      </c>
      <c r="K2530">
        <f>IF(AND(J2530&gt;0,A2530&gt;=p_from,A2530&lt;=p_to),1,0)</f>
        <v>0.0</v>
      </c>
      <c r="L2530">
        <f>IF(AND(K2530=1,OR(pa_po="",C2530=pa_po),OR(pa_eq="",B2530=pa_eq)),1,0)</f>
        <v>0.0</v>
      </c>
    </row>
    <row r="2531">
      <c r="A2531" s="51" t="n"/>
      <c r="B2531" s="52" t="n"/>
      <c r="C2531" s="52" t="n"/>
      <c r="D2531" s="53" t="n"/>
      <c r="E2531" s="60" t="n"/>
      <c r="F2531" s="53" t="n"/>
      <c r="G2531" s="61" t="str">
        <f>IF(OR(COUNTA(A2531:E2531)=0,D2531=""),"",IFERROR(INDEX(ca_fam,MATCH(D2531,ca_name,0))&amp;"",""))</f>
        <v/>
      </c>
      <c r="H2531" s="58" t="str">
        <f>IF(OR(COUNTA(A2531:E2531)=0,D2531=""),"",IFERROR(INDEX(ca_type,MATCH(D2531,ca_name,0))&amp;"",""))</f>
        <v/>
      </c>
      <c r="I2531" s="58" t="str">
        <f>IF(COUNTA(A2531:E2531)=0,"",IF(N(A2531)&lt;=0,"Date manquante ou invalide",IF(B2531="","Équipe manquante",IF(ISNA(MATCH(B2531,eq_code,0)),"Équipe inconnue",IF(C2531="","Poste manquant",IF(ISNA(MATCH(C2531,po_code,0)),"Poste inconnu",IF(D2531="","Cause manquante",IF(ISNA(MATCH(D2531,ca_name,0)),"Cause inconnue",IF(H2531="","Cause à compléter dans Paramètres",IF(OR(NOT(ISNUMBER(E2531)),N(E2531)&lt;=0,N(E2531)&gt;1440),"Durée invalide",IF(COUNTIFS(sj_date,A2531,sj_eq,B2531,sj_po,C2531)=0,"Pas de saisie journalière ce jour-là","OK")))))))))))</f>
        <v/>
      </c>
      <c r="J2531">
        <f>IF(OR(I2531="OK",I2531="Pas de saisie journalière ce jour-là"),E2531,0)</f>
        <v>0.0</v>
      </c>
      <c r="K2531">
        <f>IF(AND(J2531&gt;0,A2531&gt;=p_from,A2531&lt;=p_to),1,0)</f>
        <v>0.0</v>
      </c>
      <c r="L2531">
        <f>IF(AND(K2531=1,OR(pa_po="",C2531=pa_po),OR(pa_eq="",B2531=pa_eq)),1,0)</f>
        <v>0.0</v>
      </c>
    </row>
    <row r="2532">
      <c r="A2532" s="51" t="n"/>
      <c r="B2532" s="52" t="n"/>
      <c r="C2532" s="52" t="n"/>
      <c r="D2532" s="53" t="n"/>
      <c r="E2532" s="60" t="n"/>
      <c r="F2532" s="53" t="n"/>
      <c r="G2532" s="61" t="str">
        <f>IF(OR(COUNTA(A2532:E2532)=0,D2532=""),"",IFERROR(INDEX(ca_fam,MATCH(D2532,ca_name,0))&amp;"",""))</f>
        <v/>
      </c>
      <c r="H2532" s="58" t="str">
        <f>IF(OR(COUNTA(A2532:E2532)=0,D2532=""),"",IFERROR(INDEX(ca_type,MATCH(D2532,ca_name,0))&amp;"",""))</f>
        <v/>
      </c>
      <c r="I2532" s="58" t="str">
        <f>IF(COUNTA(A2532:E2532)=0,"",IF(N(A2532)&lt;=0,"Date manquante ou invalide",IF(B2532="","Équipe manquante",IF(ISNA(MATCH(B2532,eq_code,0)),"Équipe inconnue",IF(C2532="","Poste manquant",IF(ISNA(MATCH(C2532,po_code,0)),"Poste inconnu",IF(D2532="","Cause manquante",IF(ISNA(MATCH(D2532,ca_name,0)),"Cause inconnue",IF(H2532="","Cause à compléter dans Paramètres",IF(OR(NOT(ISNUMBER(E2532)),N(E2532)&lt;=0,N(E2532)&gt;1440),"Durée invalide",IF(COUNTIFS(sj_date,A2532,sj_eq,B2532,sj_po,C2532)=0,"Pas de saisie journalière ce jour-là","OK")))))))))))</f>
        <v/>
      </c>
      <c r="J2532">
        <f>IF(OR(I2532="OK",I2532="Pas de saisie journalière ce jour-là"),E2532,0)</f>
        <v>0.0</v>
      </c>
      <c r="K2532">
        <f>IF(AND(J2532&gt;0,A2532&gt;=p_from,A2532&lt;=p_to),1,0)</f>
        <v>0.0</v>
      </c>
      <c r="L2532">
        <f>IF(AND(K2532=1,OR(pa_po="",C2532=pa_po),OR(pa_eq="",B2532=pa_eq)),1,0)</f>
        <v>0.0</v>
      </c>
    </row>
    <row r="2533">
      <c r="A2533" s="51" t="n"/>
      <c r="B2533" s="52" t="n"/>
      <c r="C2533" s="52" t="n"/>
      <c r="D2533" s="53" t="n"/>
      <c r="E2533" s="60" t="n"/>
      <c r="F2533" s="53" t="n"/>
      <c r="G2533" s="61" t="str">
        <f>IF(OR(COUNTA(A2533:E2533)=0,D2533=""),"",IFERROR(INDEX(ca_fam,MATCH(D2533,ca_name,0))&amp;"",""))</f>
        <v/>
      </c>
      <c r="H2533" s="58" t="str">
        <f>IF(OR(COUNTA(A2533:E2533)=0,D2533=""),"",IFERROR(INDEX(ca_type,MATCH(D2533,ca_name,0))&amp;"",""))</f>
        <v/>
      </c>
      <c r="I2533" s="58" t="str">
        <f>IF(COUNTA(A2533:E2533)=0,"",IF(N(A2533)&lt;=0,"Date manquante ou invalide",IF(B2533="","Équipe manquante",IF(ISNA(MATCH(B2533,eq_code,0)),"Équipe inconnue",IF(C2533="","Poste manquant",IF(ISNA(MATCH(C2533,po_code,0)),"Poste inconnu",IF(D2533="","Cause manquante",IF(ISNA(MATCH(D2533,ca_name,0)),"Cause inconnue",IF(H2533="","Cause à compléter dans Paramètres",IF(OR(NOT(ISNUMBER(E2533)),N(E2533)&lt;=0,N(E2533)&gt;1440),"Durée invalide",IF(COUNTIFS(sj_date,A2533,sj_eq,B2533,sj_po,C2533)=0,"Pas de saisie journalière ce jour-là","OK")))))))))))</f>
        <v/>
      </c>
      <c r="J2533">
        <f>IF(OR(I2533="OK",I2533="Pas de saisie journalière ce jour-là"),E2533,0)</f>
        <v>0.0</v>
      </c>
      <c r="K2533">
        <f>IF(AND(J2533&gt;0,A2533&gt;=p_from,A2533&lt;=p_to),1,0)</f>
        <v>0.0</v>
      </c>
      <c r="L2533">
        <f>IF(AND(K2533=1,OR(pa_po="",C2533=pa_po),OR(pa_eq="",B2533=pa_eq)),1,0)</f>
        <v>0.0</v>
      </c>
    </row>
    <row r="2534">
      <c r="A2534" s="51" t="n"/>
      <c r="B2534" s="52" t="n"/>
      <c r="C2534" s="52" t="n"/>
      <c r="D2534" s="53" t="n"/>
      <c r="E2534" s="60" t="n"/>
      <c r="F2534" s="53" t="n"/>
      <c r="G2534" s="61" t="str">
        <f>IF(OR(COUNTA(A2534:E2534)=0,D2534=""),"",IFERROR(INDEX(ca_fam,MATCH(D2534,ca_name,0))&amp;"",""))</f>
        <v/>
      </c>
      <c r="H2534" s="58" t="str">
        <f>IF(OR(COUNTA(A2534:E2534)=0,D2534=""),"",IFERROR(INDEX(ca_type,MATCH(D2534,ca_name,0))&amp;"",""))</f>
        <v/>
      </c>
      <c r="I2534" s="58" t="str">
        <f>IF(COUNTA(A2534:E2534)=0,"",IF(N(A2534)&lt;=0,"Date manquante ou invalide",IF(B2534="","Équipe manquante",IF(ISNA(MATCH(B2534,eq_code,0)),"Équipe inconnue",IF(C2534="","Poste manquant",IF(ISNA(MATCH(C2534,po_code,0)),"Poste inconnu",IF(D2534="","Cause manquante",IF(ISNA(MATCH(D2534,ca_name,0)),"Cause inconnue",IF(H2534="","Cause à compléter dans Paramètres",IF(OR(NOT(ISNUMBER(E2534)),N(E2534)&lt;=0,N(E2534)&gt;1440),"Durée invalide",IF(COUNTIFS(sj_date,A2534,sj_eq,B2534,sj_po,C2534)=0,"Pas de saisie journalière ce jour-là","OK")))))))))))</f>
        <v/>
      </c>
      <c r="J2534">
        <f>IF(OR(I2534="OK",I2534="Pas de saisie journalière ce jour-là"),E2534,0)</f>
        <v>0.0</v>
      </c>
      <c r="K2534">
        <f>IF(AND(J2534&gt;0,A2534&gt;=p_from,A2534&lt;=p_to),1,0)</f>
        <v>0.0</v>
      </c>
      <c r="L2534">
        <f>IF(AND(K2534=1,OR(pa_po="",C2534=pa_po),OR(pa_eq="",B2534=pa_eq)),1,0)</f>
        <v>0.0</v>
      </c>
    </row>
    <row r="2535">
      <c r="A2535" s="51" t="n"/>
      <c r="B2535" s="52" t="n"/>
      <c r="C2535" s="52" t="n"/>
      <c r="D2535" s="53" t="n"/>
      <c r="E2535" s="60" t="n"/>
      <c r="F2535" s="53" t="n"/>
      <c r="G2535" s="61" t="str">
        <f>IF(OR(COUNTA(A2535:E2535)=0,D2535=""),"",IFERROR(INDEX(ca_fam,MATCH(D2535,ca_name,0))&amp;"",""))</f>
        <v/>
      </c>
      <c r="H2535" s="58" t="str">
        <f>IF(OR(COUNTA(A2535:E2535)=0,D2535=""),"",IFERROR(INDEX(ca_type,MATCH(D2535,ca_name,0))&amp;"",""))</f>
        <v/>
      </c>
      <c r="I2535" s="58" t="str">
        <f>IF(COUNTA(A2535:E2535)=0,"",IF(N(A2535)&lt;=0,"Date manquante ou invalide",IF(B2535="","Équipe manquante",IF(ISNA(MATCH(B2535,eq_code,0)),"Équipe inconnue",IF(C2535="","Poste manquant",IF(ISNA(MATCH(C2535,po_code,0)),"Poste inconnu",IF(D2535="","Cause manquante",IF(ISNA(MATCH(D2535,ca_name,0)),"Cause inconnue",IF(H2535="","Cause à compléter dans Paramètres",IF(OR(NOT(ISNUMBER(E2535)),N(E2535)&lt;=0,N(E2535)&gt;1440),"Durée invalide",IF(COUNTIFS(sj_date,A2535,sj_eq,B2535,sj_po,C2535)=0,"Pas de saisie journalière ce jour-là","OK")))))))))))</f>
        <v/>
      </c>
      <c r="J2535">
        <f>IF(OR(I2535="OK",I2535="Pas de saisie journalière ce jour-là"),E2535,0)</f>
        <v>0.0</v>
      </c>
      <c r="K2535">
        <f>IF(AND(J2535&gt;0,A2535&gt;=p_from,A2535&lt;=p_to),1,0)</f>
        <v>0.0</v>
      </c>
      <c r="L2535">
        <f>IF(AND(K2535=1,OR(pa_po="",C2535=pa_po),OR(pa_eq="",B2535=pa_eq)),1,0)</f>
        <v>0.0</v>
      </c>
    </row>
    <row r="2536">
      <c r="A2536" s="51" t="n"/>
      <c r="B2536" s="52" t="n"/>
      <c r="C2536" s="52" t="n"/>
      <c r="D2536" s="53" t="n"/>
      <c r="E2536" s="60" t="n"/>
      <c r="F2536" s="53" t="n"/>
      <c r="G2536" s="61" t="str">
        <f>IF(OR(COUNTA(A2536:E2536)=0,D2536=""),"",IFERROR(INDEX(ca_fam,MATCH(D2536,ca_name,0))&amp;"",""))</f>
        <v/>
      </c>
      <c r="H2536" s="58" t="str">
        <f>IF(OR(COUNTA(A2536:E2536)=0,D2536=""),"",IFERROR(INDEX(ca_type,MATCH(D2536,ca_name,0))&amp;"",""))</f>
        <v/>
      </c>
      <c r="I2536" s="58" t="str">
        <f>IF(COUNTA(A2536:E2536)=0,"",IF(N(A2536)&lt;=0,"Date manquante ou invalide",IF(B2536="","Équipe manquante",IF(ISNA(MATCH(B2536,eq_code,0)),"Équipe inconnue",IF(C2536="","Poste manquant",IF(ISNA(MATCH(C2536,po_code,0)),"Poste inconnu",IF(D2536="","Cause manquante",IF(ISNA(MATCH(D2536,ca_name,0)),"Cause inconnue",IF(H2536="","Cause à compléter dans Paramètres",IF(OR(NOT(ISNUMBER(E2536)),N(E2536)&lt;=0,N(E2536)&gt;1440),"Durée invalide",IF(COUNTIFS(sj_date,A2536,sj_eq,B2536,sj_po,C2536)=0,"Pas de saisie journalière ce jour-là","OK")))))))))))</f>
        <v/>
      </c>
      <c r="J2536">
        <f>IF(OR(I2536="OK",I2536="Pas de saisie journalière ce jour-là"),E2536,0)</f>
        <v>0.0</v>
      </c>
      <c r="K2536">
        <f>IF(AND(J2536&gt;0,A2536&gt;=p_from,A2536&lt;=p_to),1,0)</f>
        <v>0.0</v>
      </c>
      <c r="L2536">
        <f>IF(AND(K2536=1,OR(pa_po="",C2536=pa_po),OR(pa_eq="",B2536=pa_eq)),1,0)</f>
        <v>0.0</v>
      </c>
    </row>
    <row r="2537">
      <c r="A2537" s="51" t="n"/>
      <c r="B2537" s="52" t="n"/>
      <c r="C2537" s="52" t="n"/>
      <c r="D2537" s="53" t="n"/>
      <c r="E2537" s="60" t="n"/>
      <c r="F2537" s="53" t="n"/>
      <c r="G2537" s="61" t="str">
        <f>IF(OR(COUNTA(A2537:E2537)=0,D2537=""),"",IFERROR(INDEX(ca_fam,MATCH(D2537,ca_name,0))&amp;"",""))</f>
        <v/>
      </c>
      <c r="H2537" s="58" t="str">
        <f>IF(OR(COUNTA(A2537:E2537)=0,D2537=""),"",IFERROR(INDEX(ca_type,MATCH(D2537,ca_name,0))&amp;"",""))</f>
        <v/>
      </c>
      <c r="I2537" s="58" t="str">
        <f>IF(COUNTA(A2537:E2537)=0,"",IF(N(A2537)&lt;=0,"Date manquante ou invalide",IF(B2537="","Équipe manquante",IF(ISNA(MATCH(B2537,eq_code,0)),"Équipe inconnue",IF(C2537="","Poste manquant",IF(ISNA(MATCH(C2537,po_code,0)),"Poste inconnu",IF(D2537="","Cause manquante",IF(ISNA(MATCH(D2537,ca_name,0)),"Cause inconnue",IF(H2537="","Cause à compléter dans Paramètres",IF(OR(NOT(ISNUMBER(E2537)),N(E2537)&lt;=0,N(E2537)&gt;1440),"Durée invalide",IF(COUNTIFS(sj_date,A2537,sj_eq,B2537,sj_po,C2537)=0,"Pas de saisie journalière ce jour-là","OK")))))))))))</f>
        <v/>
      </c>
      <c r="J2537">
        <f>IF(OR(I2537="OK",I2537="Pas de saisie journalière ce jour-là"),E2537,0)</f>
        <v>0.0</v>
      </c>
      <c r="K2537">
        <f>IF(AND(J2537&gt;0,A2537&gt;=p_from,A2537&lt;=p_to),1,0)</f>
        <v>0.0</v>
      </c>
      <c r="L2537">
        <f>IF(AND(K2537=1,OR(pa_po="",C2537=pa_po),OR(pa_eq="",B2537=pa_eq)),1,0)</f>
        <v>0.0</v>
      </c>
    </row>
    <row r="2538">
      <c r="A2538" s="51" t="n"/>
      <c r="B2538" s="52" t="n"/>
      <c r="C2538" s="52" t="n"/>
      <c r="D2538" s="53" t="n"/>
      <c r="E2538" s="60" t="n"/>
      <c r="F2538" s="53" t="n"/>
      <c r="G2538" s="61" t="str">
        <f>IF(OR(COUNTA(A2538:E2538)=0,D2538=""),"",IFERROR(INDEX(ca_fam,MATCH(D2538,ca_name,0))&amp;"",""))</f>
        <v/>
      </c>
      <c r="H2538" s="58" t="str">
        <f>IF(OR(COUNTA(A2538:E2538)=0,D2538=""),"",IFERROR(INDEX(ca_type,MATCH(D2538,ca_name,0))&amp;"",""))</f>
        <v/>
      </c>
      <c r="I2538" s="58" t="str">
        <f>IF(COUNTA(A2538:E2538)=0,"",IF(N(A2538)&lt;=0,"Date manquante ou invalide",IF(B2538="","Équipe manquante",IF(ISNA(MATCH(B2538,eq_code,0)),"Équipe inconnue",IF(C2538="","Poste manquant",IF(ISNA(MATCH(C2538,po_code,0)),"Poste inconnu",IF(D2538="","Cause manquante",IF(ISNA(MATCH(D2538,ca_name,0)),"Cause inconnue",IF(H2538="","Cause à compléter dans Paramètres",IF(OR(NOT(ISNUMBER(E2538)),N(E2538)&lt;=0,N(E2538)&gt;1440),"Durée invalide",IF(COUNTIFS(sj_date,A2538,sj_eq,B2538,sj_po,C2538)=0,"Pas de saisie journalière ce jour-là","OK")))))))))))</f>
        <v/>
      </c>
      <c r="J2538">
        <f>IF(OR(I2538="OK",I2538="Pas de saisie journalière ce jour-là"),E2538,0)</f>
        <v>0.0</v>
      </c>
      <c r="K2538">
        <f>IF(AND(J2538&gt;0,A2538&gt;=p_from,A2538&lt;=p_to),1,0)</f>
        <v>0.0</v>
      </c>
      <c r="L2538">
        <f>IF(AND(K2538=1,OR(pa_po="",C2538=pa_po),OR(pa_eq="",B2538=pa_eq)),1,0)</f>
        <v>0.0</v>
      </c>
    </row>
    <row r="2539">
      <c r="A2539" s="51" t="n"/>
      <c r="B2539" s="52" t="n"/>
      <c r="C2539" s="52" t="n"/>
      <c r="D2539" s="53" t="n"/>
      <c r="E2539" s="60" t="n"/>
      <c r="F2539" s="53" t="n"/>
      <c r="G2539" s="61" t="str">
        <f>IF(OR(COUNTA(A2539:E2539)=0,D2539=""),"",IFERROR(INDEX(ca_fam,MATCH(D2539,ca_name,0))&amp;"",""))</f>
        <v/>
      </c>
      <c r="H2539" s="58" t="str">
        <f>IF(OR(COUNTA(A2539:E2539)=0,D2539=""),"",IFERROR(INDEX(ca_type,MATCH(D2539,ca_name,0))&amp;"",""))</f>
        <v/>
      </c>
      <c r="I2539" s="58" t="str">
        <f>IF(COUNTA(A2539:E2539)=0,"",IF(N(A2539)&lt;=0,"Date manquante ou invalide",IF(B2539="","Équipe manquante",IF(ISNA(MATCH(B2539,eq_code,0)),"Équipe inconnue",IF(C2539="","Poste manquant",IF(ISNA(MATCH(C2539,po_code,0)),"Poste inconnu",IF(D2539="","Cause manquante",IF(ISNA(MATCH(D2539,ca_name,0)),"Cause inconnue",IF(H2539="","Cause à compléter dans Paramètres",IF(OR(NOT(ISNUMBER(E2539)),N(E2539)&lt;=0,N(E2539)&gt;1440),"Durée invalide",IF(COUNTIFS(sj_date,A2539,sj_eq,B2539,sj_po,C2539)=0,"Pas de saisie journalière ce jour-là","OK")))))))))))</f>
        <v/>
      </c>
      <c r="J2539">
        <f>IF(OR(I2539="OK",I2539="Pas de saisie journalière ce jour-là"),E2539,0)</f>
        <v>0.0</v>
      </c>
      <c r="K2539">
        <f>IF(AND(J2539&gt;0,A2539&gt;=p_from,A2539&lt;=p_to),1,0)</f>
        <v>0.0</v>
      </c>
      <c r="L2539">
        <f>IF(AND(K2539=1,OR(pa_po="",C2539=pa_po),OR(pa_eq="",B2539=pa_eq)),1,0)</f>
        <v>0.0</v>
      </c>
    </row>
    <row r="2540">
      <c r="A2540" s="51" t="n"/>
      <c r="B2540" s="52" t="n"/>
      <c r="C2540" s="52" t="n"/>
      <c r="D2540" s="53" t="n"/>
      <c r="E2540" s="60" t="n"/>
      <c r="F2540" s="53" t="n"/>
      <c r="G2540" s="61" t="str">
        <f>IF(OR(COUNTA(A2540:E2540)=0,D2540=""),"",IFERROR(INDEX(ca_fam,MATCH(D2540,ca_name,0))&amp;"",""))</f>
        <v/>
      </c>
      <c r="H2540" s="58" t="str">
        <f>IF(OR(COUNTA(A2540:E2540)=0,D2540=""),"",IFERROR(INDEX(ca_type,MATCH(D2540,ca_name,0))&amp;"",""))</f>
        <v/>
      </c>
      <c r="I2540" s="58" t="str">
        <f>IF(COUNTA(A2540:E2540)=0,"",IF(N(A2540)&lt;=0,"Date manquante ou invalide",IF(B2540="","Équipe manquante",IF(ISNA(MATCH(B2540,eq_code,0)),"Équipe inconnue",IF(C2540="","Poste manquant",IF(ISNA(MATCH(C2540,po_code,0)),"Poste inconnu",IF(D2540="","Cause manquante",IF(ISNA(MATCH(D2540,ca_name,0)),"Cause inconnue",IF(H2540="","Cause à compléter dans Paramètres",IF(OR(NOT(ISNUMBER(E2540)),N(E2540)&lt;=0,N(E2540)&gt;1440),"Durée invalide",IF(COUNTIFS(sj_date,A2540,sj_eq,B2540,sj_po,C2540)=0,"Pas de saisie journalière ce jour-là","OK")))))))))))</f>
        <v/>
      </c>
      <c r="J2540">
        <f>IF(OR(I2540="OK",I2540="Pas de saisie journalière ce jour-là"),E2540,0)</f>
        <v>0.0</v>
      </c>
      <c r="K2540">
        <f>IF(AND(J2540&gt;0,A2540&gt;=p_from,A2540&lt;=p_to),1,0)</f>
        <v>0.0</v>
      </c>
      <c r="L2540">
        <f>IF(AND(K2540=1,OR(pa_po="",C2540=pa_po),OR(pa_eq="",B2540=pa_eq)),1,0)</f>
        <v>0.0</v>
      </c>
    </row>
    <row r="2541">
      <c r="A2541" s="51" t="n"/>
      <c r="B2541" s="52" t="n"/>
      <c r="C2541" s="52" t="n"/>
      <c r="D2541" s="53" t="n"/>
      <c r="E2541" s="60" t="n"/>
      <c r="F2541" s="53" t="n"/>
      <c r="G2541" s="61" t="str">
        <f>IF(OR(COUNTA(A2541:E2541)=0,D2541=""),"",IFERROR(INDEX(ca_fam,MATCH(D2541,ca_name,0))&amp;"",""))</f>
        <v/>
      </c>
      <c r="H2541" s="58" t="str">
        <f>IF(OR(COUNTA(A2541:E2541)=0,D2541=""),"",IFERROR(INDEX(ca_type,MATCH(D2541,ca_name,0))&amp;"",""))</f>
        <v/>
      </c>
      <c r="I2541" s="58" t="str">
        <f>IF(COUNTA(A2541:E2541)=0,"",IF(N(A2541)&lt;=0,"Date manquante ou invalide",IF(B2541="","Équipe manquante",IF(ISNA(MATCH(B2541,eq_code,0)),"Équipe inconnue",IF(C2541="","Poste manquant",IF(ISNA(MATCH(C2541,po_code,0)),"Poste inconnu",IF(D2541="","Cause manquante",IF(ISNA(MATCH(D2541,ca_name,0)),"Cause inconnue",IF(H2541="","Cause à compléter dans Paramètres",IF(OR(NOT(ISNUMBER(E2541)),N(E2541)&lt;=0,N(E2541)&gt;1440),"Durée invalide",IF(COUNTIFS(sj_date,A2541,sj_eq,B2541,sj_po,C2541)=0,"Pas de saisie journalière ce jour-là","OK")))))))))))</f>
        <v/>
      </c>
      <c r="J2541">
        <f>IF(OR(I2541="OK",I2541="Pas de saisie journalière ce jour-là"),E2541,0)</f>
        <v>0.0</v>
      </c>
      <c r="K2541">
        <f>IF(AND(J2541&gt;0,A2541&gt;=p_from,A2541&lt;=p_to),1,0)</f>
        <v>0.0</v>
      </c>
      <c r="L2541">
        <f>IF(AND(K2541=1,OR(pa_po="",C2541=pa_po),OR(pa_eq="",B2541=pa_eq)),1,0)</f>
        <v>0.0</v>
      </c>
    </row>
    <row r="2542">
      <c r="A2542" s="51" t="n"/>
      <c r="B2542" s="52" t="n"/>
      <c r="C2542" s="52" t="n"/>
      <c r="D2542" s="53" t="n"/>
      <c r="E2542" s="60" t="n"/>
      <c r="F2542" s="53" t="n"/>
      <c r="G2542" s="61" t="str">
        <f>IF(OR(COUNTA(A2542:E2542)=0,D2542=""),"",IFERROR(INDEX(ca_fam,MATCH(D2542,ca_name,0))&amp;"",""))</f>
        <v/>
      </c>
      <c r="H2542" s="58" t="str">
        <f>IF(OR(COUNTA(A2542:E2542)=0,D2542=""),"",IFERROR(INDEX(ca_type,MATCH(D2542,ca_name,0))&amp;"",""))</f>
        <v/>
      </c>
      <c r="I2542" s="58" t="str">
        <f>IF(COUNTA(A2542:E2542)=0,"",IF(N(A2542)&lt;=0,"Date manquante ou invalide",IF(B2542="","Équipe manquante",IF(ISNA(MATCH(B2542,eq_code,0)),"Équipe inconnue",IF(C2542="","Poste manquant",IF(ISNA(MATCH(C2542,po_code,0)),"Poste inconnu",IF(D2542="","Cause manquante",IF(ISNA(MATCH(D2542,ca_name,0)),"Cause inconnue",IF(H2542="","Cause à compléter dans Paramètres",IF(OR(NOT(ISNUMBER(E2542)),N(E2542)&lt;=0,N(E2542)&gt;1440),"Durée invalide",IF(COUNTIFS(sj_date,A2542,sj_eq,B2542,sj_po,C2542)=0,"Pas de saisie journalière ce jour-là","OK")))))))))))</f>
        <v/>
      </c>
      <c r="J2542">
        <f>IF(OR(I2542="OK",I2542="Pas de saisie journalière ce jour-là"),E2542,0)</f>
        <v>0.0</v>
      </c>
      <c r="K2542">
        <f>IF(AND(J2542&gt;0,A2542&gt;=p_from,A2542&lt;=p_to),1,0)</f>
        <v>0.0</v>
      </c>
      <c r="L2542">
        <f>IF(AND(K2542=1,OR(pa_po="",C2542=pa_po),OR(pa_eq="",B2542=pa_eq)),1,0)</f>
        <v>0.0</v>
      </c>
    </row>
    <row r="2543">
      <c r="A2543" s="51" t="n"/>
      <c r="B2543" s="52" t="n"/>
      <c r="C2543" s="52" t="n"/>
      <c r="D2543" s="53" t="n"/>
      <c r="E2543" s="60" t="n"/>
      <c r="F2543" s="53" t="n"/>
      <c r="G2543" s="61" t="str">
        <f>IF(OR(COUNTA(A2543:E2543)=0,D2543=""),"",IFERROR(INDEX(ca_fam,MATCH(D2543,ca_name,0))&amp;"",""))</f>
        <v/>
      </c>
      <c r="H2543" s="58" t="str">
        <f>IF(OR(COUNTA(A2543:E2543)=0,D2543=""),"",IFERROR(INDEX(ca_type,MATCH(D2543,ca_name,0))&amp;"",""))</f>
        <v/>
      </c>
      <c r="I2543" s="58" t="str">
        <f>IF(COUNTA(A2543:E2543)=0,"",IF(N(A2543)&lt;=0,"Date manquante ou invalide",IF(B2543="","Équipe manquante",IF(ISNA(MATCH(B2543,eq_code,0)),"Équipe inconnue",IF(C2543="","Poste manquant",IF(ISNA(MATCH(C2543,po_code,0)),"Poste inconnu",IF(D2543="","Cause manquante",IF(ISNA(MATCH(D2543,ca_name,0)),"Cause inconnue",IF(H2543="","Cause à compléter dans Paramètres",IF(OR(NOT(ISNUMBER(E2543)),N(E2543)&lt;=0,N(E2543)&gt;1440),"Durée invalide",IF(COUNTIFS(sj_date,A2543,sj_eq,B2543,sj_po,C2543)=0,"Pas de saisie journalière ce jour-là","OK")))))))))))</f>
        <v/>
      </c>
      <c r="J2543">
        <f>IF(OR(I2543="OK",I2543="Pas de saisie journalière ce jour-là"),E2543,0)</f>
        <v>0.0</v>
      </c>
      <c r="K2543">
        <f>IF(AND(J2543&gt;0,A2543&gt;=p_from,A2543&lt;=p_to),1,0)</f>
        <v>0.0</v>
      </c>
      <c r="L2543">
        <f>IF(AND(K2543=1,OR(pa_po="",C2543=pa_po),OR(pa_eq="",B2543=pa_eq)),1,0)</f>
        <v>0.0</v>
      </c>
    </row>
    <row r="2544">
      <c r="A2544" s="51" t="n"/>
      <c r="B2544" s="52" t="n"/>
      <c r="C2544" s="52" t="n"/>
      <c r="D2544" s="53" t="n"/>
      <c r="E2544" s="60" t="n"/>
      <c r="F2544" s="53" t="n"/>
      <c r="G2544" s="61" t="str">
        <f>IF(OR(COUNTA(A2544:E2544)=0,D2544=""),"",IFERROR(INDEX(ca_fam,MATCH(D2544,ca_name,0))&amp;"",""))</f>
        <v/>
      </c>
      <c r="H2544" s="58" t="str">
        <f>IF(OR(COUNTA(A2544:E2544)=0,D2544=""),"",IFERROR(INDEX(ca_type,MATCH(D2544,ca_name,0))&amp;"",""))</f>
        <v/>
      </c>
      <c r="I2544" s="58" t="str">
        <f>IF(COUNTA(A2544:E2544)=0,"",IF(N(A2544)&lt;=0,"Date manquante ou invalide",IF(B2544="","Équipe manquante",IF(ISNA(MATCH(B2544,eq_code,0)),"Équipe inconnue",IF(C2544="","Poste manquant",IF(ISNA(MATCH(C2544,po_code,0)),"Poste inconnu",IF(D2544="","Cause manquante",IF(ISNA(MATCH(D2544,ca_name,0)),"Cause inconnue",IF(H2544="","Cause à compléter dans Paramètres",IF(OR(NOT(ISNUMBER(E2544)),N(E2544)&lt;=0,N(E2544)&gt;1440),"Durée invalide",IF(COUNTIFS(sj_date,A2544,sj_eq,B2544,sj_po,C2544)=0,"Pas de saisie journalière ce jour-là","OK")))))))))))</f>
        <v/>
      </c>
      <c r="J2544">
        <f>IF(OR(I2544="OK",I2544="Pas de saisie journalière ce jour-là"),E2544,0)</f>
        <v>0.0</v>
      </c>
      <c r="K2544">
        <f>IF(AND(J2544&gt;0,A2544&gt;=p_from,A2544&lt;=p_to),1,0)</f>
        <v>0.0</v>
      </c>
      <c r="L2544">
        <f>IF(AND(K2544=1,OR(pa_po="",C2544=pa_po),OR(pa_eq="",B2544=pa_eq)),1,0)</f>
        <v>0.0</v>
      </c>
    </row>
    <row r="2545">
      <c r="A2545" s="51" t="n"/>
      <c r="B2545" s="52" t="n"/>
      <c r="C2545" s="52" t="n"/>
      <c r="D2545" s="53" t="n"/>
      <c r="E2545" s="60" t="n"/>
      <c r="F2545" s="53" t="n"/>
      <c r="G2545" s="61" t="str">
        <f>IF(OR(COUNTA(A2545:E2545)=0,D2545=""),"",IFERROR(INDEX(ca_fam,MATCH(D2545,ca_name,0))&amp;"",""))</f>
        <v/>
      </c>
      <c r="H2545" s="58" t="str">
        <f>IF(OR(COUNTA(A2545:E2545)=0,D2545=""),"",IFERROR(INDEX(ca_type,MATCH(D2545,ca_name,0))&amp;"",""))</f>
        <v/>
      </c>
      <c r="I2545" s="58" t="str">
        <f>IF(COUNTA(A2545:E2545)=0,"",IF(N(A2545)&lt;=0,"Date manquante ou invalide",IF(B2545="","Équipe manquante",IF(ISNA(MATCH(B2545,eq_code,0)),"Équipe inconnue",IF(C2545="","Poste manquant",IF(ISNA(MATCH(C2545,po_code,0)),"Poste inconnu",IF(D2545="","Cause manquante",IF(ISNA(MATCH(D2545,ca_name,0)),"Cause inconnue",IF(H2545="","Cause à compléter dans Paramètres",IF(OR(NOT(ISNUMBER(E2545)),N(E2545)&lt;=0,N(E2545)&gt;1440),"Durée invalide",IF(COUNTIFS(sj_date,A2545,sj_eq,B2545,sj_po,C2545)=0,"Pas de saisie journalière ce jour-là","OK")))))))))))</f>
        <v/>
      </c>
      <c r="J2545">
        <f>IF(OR(I2545="OK",I2545="Pas de saisie journalière ce jour-là"),E2545,0)</f>
        <v>0.0</v>
      </c>
      <c r="K2545">
        <f>IF(AND(J2545&gt;0,A2545&gt;=p_from,A2545&lt;=p_to),1,0)</f>
        <v>0.0</v>
      </c>
      <c r="L2545">
        <f>IF(AND(K2545=1,OR(pa_po="",C2545=pa_po),OR(pa_eq="",B2545=pa_eq)),1,0)</f>
        <v>0.0</v>
      </c>
    </row>
    <row r="2546">
      <c r="A2546" s="51" t="n"/>
      <c r="B2546" s="52" t="n"/>
      <c r="C2546" s="52" t="n"/>
      <c r="D2546" s="53" t="n"/>
      <c r="E2546" s="60" t="n"/>
      <c r="F2546" s="53" t="n"/>
      <c r="G2546" s="61" t="str">
        <f>IF(OR(COUNTA(A2546:E2546)=0,D2546=""),"",IFERROR(INDEX(ca_fam,MATCH(D2546,ca_name,0))&amp;"",""))</f>
        <v/>
      </c>
      <c r="H2546" s="58" t="str">
        <f>IF(OR(COUNTA(A2546:E2546)=0,D2546=""),"",IFERROR(INDEX(ca_type,MATCH(D2546,ca_name,0))&amp;"",""))</f>
        <v/>
      </c>
      <c r="I2546" s="58" t="str">
        <f>IF(COUNTA(A2546:E2546)=0,"",IF(N(A2546)&lt;=0,"Date manquante ou invalide",IF(B2546="","Équipe manquante",IF(ISNA(MATCH(B2546,eq_code,0)),"Équipe inconnue",IF(C2546="","Poste manquant",IF(ISNA(MATCH(C2546,po_code,0)),"Poste inconnu",IF(D2546="","Cause manquante",IF(ISNA(MATCH(D2546,ca_name,0)),"Cause inconnue",IF(H2546="","Cause à compléter dans Paramètres",IF(OR(NOT(ISNUMBER(E2546)),N(E2546)&lt;=0,N(E2546)&gt;1440),"Durée invalide",IF(COUNTIFS(sj_date,A2546,sj_eq,B2546,sj_po,C2546)=0,"Pas de saisie journalière ce jour-là","OK")))))))))))</f>
        <v/>
      </c>
      <c r="J2546">
        <f>IF(OR(I2546="OK",I2546="Pas de saisie journalière ce jour-là"),E2546,0)</f>
        <v>0.0</v>
      </c>
      <c r="K2546">
        <f>IF(AND(J2546&gt;0,A2546&gt;=p_from,A2546&lt;=p_to),1,0)</f>
        <v>0.0</v>
      </c>
      <c r="L2546">
        <f>IF(AND(K2546=1,OR(pa_po="",C2546=pa_po),OR(pa_eq="",B2546=pa_eq)),1,0)</f>
        <v>0.0</v>
      </c>
    </row>
    <row r="2547">
      <c r="A2547" s="51" t="n"/>
      <c r="B2547" s="52" t="n"/>
      <c r="C2547" s="52" t="n"/>
      <c r="D2547" s="53" t="n"/>
      <c r="E2547" s="60" t="n"/>
      <c r="F2547" s="53" t="n"/>
      <c r="G2547" s="61" t="str">
        <f>IF(OR(COUNTA(A2547:E2547)=0,D2547=""),"",IFERROR(INDEX(ca_fam,MATCH(D2547,ca_name,0))&amp;"",""))</f>
        <v/>
      </c>
      <c r="H2547" s="58" t="str">
        <f>IF(OR(COUNTA(A2547:E2547)=0,D2547=""),"",IFERROR(INDEX(ca_type,MATCH(D2547,ca_name,0))&amp;"",""))</f>
        <v/>
      </c>
      <c r="I2547" s="58" t="str">
        <f>IF(COUNTA(A2547:E2547)=0,"",IF(N(A2547)&lt;=0,"Date manquante ou invalide",IF(B2547="","Équipe manquante",IF(ISNA(MATCH(B2547,eq_code,0)),"Équipe inconnue",IF(C2547="","Poste manquant",IF(ISNA(MATCH(C2547,po_code,0)),"Poste inconnu",IF(D2547="","Cause manquante",IF(ISNA(MATCH(D2547,ca_name,0)),"Cause inconnue",IF(H2547="","Cause à compléter dans Paramètres",IF(OR(NOT(ISNUMBER(E2547)),N(E2547)&lt;=0,N(E2547)&gt;1440),"Durée invalide",IF(COUNTIFS(sj_date,A2547,sj_eq,B2547,sj_po,C2547)=0,"Pas de saisie journalière ce jour-là","OK")))))))))))</f>
        <v/>
      </c>
      <c r="J2547">
        <f>IF(OR(I2547="OK",I2547="Pas de saisie journalière ce jour-là"),E2547,0)</f>
        <v>0.0</v>
      </c>
      <c r="K2547">
        <f>IF(AND(J2547&gt;0,A2547&gt;=p_from,A2547&lt;=p_to),1,0)</f>
        <v>0.0</v>
      </c>
      <c r="L2547">
        <f>IF(AND(K2547=1,OR(pa_po="",C2547=pa_po),OR(pa_eq="",B2547=pa_eq)),1,0)</f>
        <v>0.0</v>
      </c>
    </row>
    <row r="2548">
      <c r="A2548" s="51" t="n"/>
      <c r="B2548" s="52" t="n"/>
      <c r="C2548" s="52" t="n"/>
      <c r="D2548" s="53" t="n"/>
      <c r="E2548" s="60" t="n"/>
      <c r="F2548" s="53" t="n"/>
      <c r="G2548" s="61" t="str">
        <f>IF(OR(COUNTA(A2548:E2548)=0,D2548=""),"",IFERROR(INDEX(ca_fam,MATCH(D2548,ca_name,0))&amp;"",""))</f>
        <v/>
      </c>
      <c r="H2548" s="58" t="str">
        <f>IF(OR(COUNTA(A2548:E2548)=0,D2548=""),"",IFERROR(INDEX(ca_type,MATCH(D2548,ca_name,0))&amp;"",""))</f>
        <v/>
      </c>
      <c r="I2548" s="58" t="str">
        <f>IF(COUNTA(A2548:E2548)=0,"",IF(N(A2548)&lt;=0,"Date manquante ou invalide",IF(B2548="","Équipe manquante",IF(ISNA(MATCH(B2548,eq_code,0)),"Équipe inconnue",IF(C2548="","Poste manquant",IF(ISNA(MATCH(C2548,po_code,0)),"Poste inconnu",IF(D2548="","Cause manquante",IF(ISNA(MATCH(D2548,ca_name,0)),"Cause inconnue",IF(H2548="","Cause à compléter dans Paramètres",IF(OR(NOT(ISNUMBER(E2548)),N(E2548)&lt;=0,N(E2548)&gt;1440),"Durée invalide",IF(COUNTIFS(sj_date,A2548,sj_eq,B2548,sj_po,C2548)=0,"Pas de saisie journalière ce jour-là","OK")))))))))))</f>
        <v/>
      </c>
      <c r="J2548">
        <f>IF(OR(I2548="OK",I2548="Pas de saisie journalière ce jour-là"),E2548,0)</f>
        <v>0.0</v>
      </c>
      <c r="K2548">
        <f>IF(AND(J2548&gt;0,A2548&gt;=p_from,A2548&lt;=p_to),1,0)</f>
        <v>0.0</v>
      </c>
      <c r="L2548">
        <f>IF(AND(K2548=1,OR(pa_po="",C2548=pa_po),OR(pa_eq="",B2548=pa_eq)),1,0)</f>
        <v>0.0</v>
      </c>
    </row>
    <row r="2549">
      <c r="A2549" s="51" t="n"/>
      <c r="B2549" s="52" t="n"/>
      <c r="C2549" s="52" t="n"/>
      <c r="D2549" s="53" t="n"/>
      <c r="E2549" s="60" t="n"/>
      <c r="F2549" s="53" t="n"/>
      <c r="G2549" s="61" t="str">
        <f>IF(OR(COUNTA(A2549:E2549)=0,D2549=""),"",IFERROR(INDEX(ca_fam,MATCH(D2549,ca_name,0))&amp;"",""))</f>
        <v/>
      </c>
      <c r="H2549" s="58" t="str">
        <f>IF(OR(COUNTA(A2549:E2549)=0,D2549=""),"",IFERROR(INDEX(ca_type,MATCH(D2549,ca_name,0))&amp;"",""))</f>
        <v/>
      </c>
      <c r="I2549" s="58" t="str">
        <f>IF(COUNTA(A2549:E2549)=0,"",IF(N(A2549)&lt;=0,"Date manquante ou invalide",IF(B2549="","Équipe manquante",IF(ISNA(MATCH(B2549,eq_code,0)),"Équipe inconnue",IF(C2549="","Poste manquant",IF(ISNA(MATCH(C2549,po_code,0)),"Poste inconnu",IF(D2549="","Cause manquante",IF(ISNA(MATCH(D2549,ca_name,0)),"Cause inconnue",IF(H2549="","Cause à compléter dans Paramètres",IF(OR(NOT(ISNUMBER(E2549)),N(E2549)&lt;=0,N(E2549)&gt;1440),"Durée invalide",IF(COUNTIFS(sj_date,A2549,sj_eq,B2549,sj_po,C2549)=0,"Pas de saisie journalière ce jour-là","OK")))))))))))</f>
        <v/>
      </c>
      <c r="J2549">
        <f>IF(OR(I2549="OK",I2549="Pas de saisie journalière ce jour-là"),E2549,0)</f>
        <v>0.0</v>
      </c>
      <c r="K2549">
        <f>IF(AND(J2549&gt;0,A2549&gt;=p_from,A2549&lt;=p_to),1,0)</f>
        <v>0.0</v>
      </c>
      <c r="L2549">
        <f>IF(AND(K2549=1,OR(pa_po="",C2549=pa_po),OR(pa_eq="",B2549=pa_eq)),1,0)</f>
        <v>0.0</v>
      </c>
    </row>
    <row r="2550">
      <c r="A2550" s="51" t="n"/>
      <c r="B2550" s="52" t="n"/>
      <c r="C2550" s="52" t="n"/>
      <c r="D2550" s="53" t="n"/>
      <c r="E2550" s="60" t="n"/>
      <c r="F2550" s="53" t="n"/>
      <c r="G2550" s="61" t="str">
        <f>IF(OR(COUNTA(A2550:E2550)=0,D2550=""),"",IFERROR(INDEX(ca_fam,MATCH(D2550,ca_name,0))&amp;"",""))</f>
        <v/>
      </c>
      <c r="H2550" s="58" t="str">
        <f>IF(OR(COUNTA(A2550:E2550)=0,D2550=""),"",IFERROR(INDEX(ca_type,MATCH(D2550,ca_name,0))&amp;"",""))</f>
        <v/>
      </c>
      <c r="I2550" s="58" t="str">
        <f>IF(COUNTA(A2550:E2550)=0,"",IF(N(A2550)&lt;=0,"Date manquante ou invalide",IF(B2550="","Équipe manquante",IF(ISNA(MATCH(B2550,eq_code,0)),"Équipe inconnue",IF(C2550="","Poste manquant",IF(ISNA(MATCH(C2550,po_code,0)),"Poste inconnu",IF(D2550="","Cause manquante",IF(ISNA(MATCH(D2550,ca_name,0)),"Cause inconnue",IF(H2550="","Cause à compléter dans Paramètres",IF(OR(NOT(ISNUMBER(E2550)),N(E2550)&lt;=0,N(E2550)&gt;1440),"Durée invalide",IF(COUNTIFS(sj_date,A2550,sj_eq,B2550,sj_po,C2550)=0,"Pas de saisie journalière ce jour-là","OK")))))))))))</f>
        <v/>
      </c>
      <c r="J2550">
        <f>IF(OR(I2550="OK",I2550="Pas de saisie journalière ce jour-là"),E2550,0)</f>
        <v>0.0</v>
      </c>
      <c r="K2550">
        <f>IF(AND(J2550&gt;0,A2550&gt;=p_from,A2550&lt;=p_to),1,0)</f>
        <v>0.0</v>
      </c>
      <c r="L2550">
        <f>IF(AND(K2550=1,OR(pa_po="",C2550=pa_po),OR(pa_eq="",B2550=pa_eq)),1,0)</f>
        <v>0.0</v>
      </c>
    </row>
    <row r="2551">
      <c r="A2551" s="51" t="n"/>
      <c r="B2551" s="52" t="n"/>
      <c r="C2551" s="52" t="n"/>
      <c r="D2551" s="53" t="n"/>
      <c r="E2551" s="60" t="n"/>
      <c r="F2551" s="53" t="n"/>
      <c r="G2551" s="61" t="str">
        <f>IF(OR(COUNTA(A2551:E2551)=0,D2551=""),"",IFERROR(INDEX(ca_fam,MATCH(D2551,ca_name,0))&amp;"",""))</f>
        <v/>
      </c>
      <c r="H2551" s="58" t="str">
        <f>IF(OR(COUNTA(A2551:E2551)=0,D2551=""),"",IFERROR(INDEX(ca_type,MATCH(D2551,ca_name,0))&amp;"",""))</f>
        <v/>
      </c>
      <c r="I2551" s="58" t="str">
        <f>IF(COUNTA(A2551:E2551)=0,"",IF(N(A2551)&lt;=0,"Date manquante ou invalide",IF(B2551="","Équipe manquante",IF(ISNA(MATCH(B2551,eq_code,0)),"Équipe inconnue",IF(C2551="","Poste manquant",IF(ISNA(MATCH(C2551,po_code,0)),"Poste inconnu",IF(D2551="","Cause manquante",IF(ISNA(MATCH(D2551,ca_name,0)),"Cause inconnue",IF(H2551="","Cause à compléter dans Paramètres",IF(OR(NOT(ISNUMBER(E2551)),N(E2551)&lt;=0,N(E2551)&gt;1440),"Durée invalide",IF(COUNTIFS(sj_date,A2551,sj_eq,B2551,sj_po,C2551)=0,"Pas de saisie journalière ce jour-là","OK")))))))))))</f>
        <v/>
      </c>
      <c r="J2551">
        <f>IF(OR(I2551="OK",I2551="Pas de saisie journalière ce jour-là"),E2551,0)</f>
        <v>0.0</v>
      </c>
      <c r="K2551">
        <f>IF(AND(J2551&gt;0,A2551&gt;=p_from,A2551&lt;=p_to),1,0)</f>
        <v>0.0</v>
      </c>
      <c r="L2551">
        <f>IF(AND(K2551=1,OR(pa_po="",C2551=pa_po),OR(pa_eq="",B2551=pa_eq)),1,0)</f>
        <v>0.0</v>
      </c>
    </row>
    <row r="2552">
      <c r="A2552" s="51" t="n"/>
      <c r="B2552" s="52" t="n"/>
      <c r="C2552" s="52" t="n"/>
      <c r="D2552" s="53" t="n"/>
      <c r="E2552" s="60" t="n"/>
      <c r="F2552" s="53" t="n"/>
      <c r="G2552" s="61" t="str">
        <f>IF(OR(COUNTA(A2552:E2552)=0,D2552=""),"",IFERROR(INDEX(ca_fam,MATCH(D2552,ca_name,0))&amp;"",""))</f>
        <v/>
      </c>
      <c r="H2552" s="58" t="str">
        <f>IF(OR(COUNTA(A2552:E2552)=0,D2552=""),"",IFERROR(INDEX(ca_type,MATCH(D2552,ca_name,0))&amp;"",""))</f>
        <v/>
      </c>
      <c r="I2552" s="58" t="str">
        <f>IF(COUNTA(A2552:E2552)=0,"",IF(N(A2552)&lt;=0,"Date manquante ou invalide",IF(B2552="","Équipe manquante",IF(ISNA(MATCH(B2552,eq_code,0)),"Équipe inconnue",IF(C2552="","Poste manquant",IF(ISNA(MATCH(C2552,po_code,0)),"Poste inconnu",IF(D2552="","Cause manquante",IF(ISNA(MATCH(D2552,ca_name,0)),"Cause inconnue",IF(H2552="","Cause à compléter dans Paramètres",IF(OR(NOT(ISNUMBER(E2552)),N(E2552)&lt;=0,N(E2552)&gt;1440),"Durée invalide",IF(COUNTIFS(sj_date,A2552,sj_eq,B2552,sj_po,C2552)=0,"Pas de saisie journalière ce jour-là","OK")))))))))))</f>
        <v/>
      </c>
      <c r="J2552">
        <f>IF(OR(I2552="OK",I2552="Pas de saisie journalière ce jour-là"),E2552,0)</f>
        <v>0.0</v>
      </c>
      <c r="K2552">
        <f>IF(AND(J2552&gt;0,A2552&gt;=p_from,A2552&lt;=p_to),1,0)</f>
        <v>0.0</v>
      </c>
      <c r="L2552">
        <f>IF(AND(K2552=1,OR(pa_po="",C2552=pa_po),OR(pa_eq="",B2552=pa_eq)),1,0)</f>
        <v>0.0</v>
      </c>
    </row>
    <row r="2553">
      <c r="A2553" s="51" t="n"/>
      <c r="B2553" s="52" t="n"/>
      <c r="C2553" s="52" t="n"/>
      <c r="D2553" s="53" t="n"/>
      <c r="E2553" s="60" t="n"/>
      <c r="F2553" s="53" t="n"/>
      <c r="G2553" s="61" t="str">
        <f>IF(OR(COUNTA(A2553:E2553)=0,D2553=""),"",IFERROR(INDEX(ca_fam,MATCH(D2553,ca_name,0))&amp;"",""))</f>
        <v/>
      </c>
      <c r="H2553" s="58" t="str">
        <f>IF(OR(COUNTA(A2553:E2553)=0,D2553=""),"",IFERROR(INDEX(ca_type,MATCH(D2553,ca_name,0))&amp;"",""))</f>
        <v/>
      </c>
      <c r="I2553" s="58" t="str">
        <f>IF(COUNTA(A2553:E2553)=0,"",IF(N(A2553)&lt;=0,"Date manquante ou invalide",IF(B2553="","Équipe manquante",IF(ISNA(MATCH(B2553,eq_code,0)),"Équipe inconnue",IF(C2553="","Poste manquant",IF(ISNA(MATCH(C2553,po_code,0)),"Poste inconnu",IF(D2553="","Cause manquante",IF(ISNA(MATCH(D2553,ca_name,0)),"Cause inconnue",IF(H2553="","Cause à compléter dans Paramètres",IF(OR(NOT(ISNUMBER(E2553)),N(E2553)&lt;=0,N(E2553)&gt;1440),"Durée invalide",IF(COUNTIFS(sj_date,A2553,sj_eq,B2553,sj_po,C2553)=0,"Pas de saisie journalière ce jour-là","OK")))))))))))</f>
        <v/>
      </c>
      <c r="J2553">
        <f>IF(OR(I2553="OK",I2553="Pas de saisie journalière ce jour-là"),E2553,0)</f>
        <v>0.0</v>
      </c>
      <c r="K2553">
        <f>IF(AND(J2553&gt;0,A2553&gt;=p_from,A2553&lt;=p_to),1,0)</f>
        <v>0.0</v>
      </c>
      <c r="L2553">
        <f>IF(AND(K2553=1,OR(pa_po="",C2553=pa_po),OR(pa_eq="",B2553=pa_eq)),1,0)</f>
        <v>0.0</v>
      </c>
    </row>
    <row r="2554">
      <c r="A2554" s="51" t="n"/>
      <c r="B2554" s="52" t="n"/>
      <c r="C2554" s="52" t="n"/>
      <c r="D2554" s="53" t="n"/>
      <c r="E2554" s="60" t="n"/>
      <c r="F2554" s="53" t="n"/>
      <c r="G2554" s="61" t="str">
        <f>IF(OR(COUNTA(A2554:E2554)=0,D2554=""),"",IFERROR(INDEX(ca_fam,MATCH(D2554,ca_name,0))&amp;"",""))</f>
        <v/>
      </c>
      <c r="H2554" s="58" t="str">
        <f>IF(OR(COUNTA(A2554:E2554)=0,D2554=""),"",IFERROR(INDEX(ca_type,MATCH(D2554,ca_name,0))&amp;"",""))</f>
        <v/>
      </c>
      <c r="I2554" s="58" t="str">
        <f>IF(COUNTA(A2554:E2554)=0,"",IF(N(A2554)&lt;=0,"Date manquante ou invalide",IF(B2554="","Équipe manquante",IF(ISNA(MATCH(B2554,eq_code,0)),"Équipe inconnue",IF(C2554="","Poste manquant",IF(ISNA(MATCH(C2554,po_code,0)),"Poste inconnu",IF(D2554="","Cause manquante",IF(ISNA(MATCH(D2554,ca_name,0)),"Cause inconnue",IF(H2554="","Cause à compléter dans Paramètres",IF(OR(NOT(ISNUMBER(E2554)),N(E2554)&lt;=0,N(E2554)&gt;1440),"Durée invalide",IF(COUNTIFS(sj_date,A2554,sj_eq,B2554,sj_po,C2554)=0,"Pas de saisie journalière ce jour-là","OK")))))))))))</f>
        <v/>
      </c>
      <c r="J2554">
        <f>IF(OR(I2554="OK",I2554="Pas de saisie journalière ce jour-là"),E2554,0)</f>
        <v>0.0</v>
      </c>
      <c r="K2554">
        <f>IF(AND(J2554&gt;0,A2554&gt;=p_from,A2554&lt;=p_to),1,0)</f>
        <v>0.0</v>
      </c>
      <c r="L2554">
        <f>IF(AND(K2554=1,OR(pa_po="",C2554=pa_po),OR(pa_eq="",B2554=pa_eq)),1,0)</f>
        <v>0.0</v>
      </c>
    </row>
    <row r="2555">
      <c r="A2555" s="51" t="n"/>
      <c r="B2555" s="52" t="n"/>
      <c r="C2555" s="52" t="n"/>
      <c r="D2555" s="53" t="n"/>
      <c r="E2555" s="60" t="n"/>
      <c r="F2555" s="53" t="n"/>
      <c r="G2555" s="61" t="str">
        <f>IF(OR(COUNTA(A2555:E2555)=0,D2555=""),"",IFERROR(INDEX(ca_fam,MATCH(D2555,ca_name,0))&amp;"",""))</f>
        <v/>
      </c>
      <c r="H2555" s="58" t="str">
        <f>IF(OR(COUNTA(A2555:E2555)=0,D2555=""),"",IFERROR(INDEX(ca_type,MATCH(D2555,ca_name,0))&amp;"",""))</f>
        <v/>
      </c>
      <c r="I2555" s="58" t="str">
        <f>IF(COUNTA(A2555:E2555)=0,"",IF(N(A2555)&lt;=0,"Date manquante ou invalide",IF(B2555="","Équipe manquante",IF(ISNA(MATCH(B2555,eq_code,0)),"Équipe inconnue",IF(C2555="","Poste manquant",IF(ISNA(MATCH(C2555,po_code,0)),"Poste inconnu",IF(D2555="","Cause manquante",IF(ISNA(MATCH(D2555,ca_name,0)),"Cause inconnue",IF(H2555="","Cause à compléter dans Paramètres",IF(OR(NOT(ISNUMBER(E2555)),N(E2555)&lt;=0,N(E2555)&gt;1440),"Durée invalide",IF(COUNTIFS(sj_date,A2555,sj_eq,B2555,sj_po,C2555)=0,"Pas de saisie journalière ce jour-là","OK")))))))))))</f>
        <v/>
      </c>
      <c r="J2555">
        <f>IF(OR(I2555="OK",I2555="Pas de saisie journalière ce jour-là"),E2555,0)</f>
        <v>0.0</v>
      </c>
      <c r="K2555">
        <f>IF(AND(J2555&gt;0,A2555&gt;=p_from,A2555&lt;=p_to),1,0)</f>
        <v>0.0</v>
      </c>
      <c r="L2555">
        <f>IF(AND(K2555=1,OR(pa_po="",C2555=pa_po),OR(pa_eq="",B2555=pa_eq)),1,0)</f>
        <v>0.0</v>
      </c>
    </row>
    <row r="2556">
      <c r="A2556" s="51" t="n"/>
      <c r="B2556" s="52" t="n"/>
      <c r="C2556" s="52" t="n"/>
      <c r="D2556" s="53" t="n"/>
      <c r="E2556" s="60" t="n"/>
      <c r="F2556" s="53" t="n"/>
      <c r="G2556" s="61" t="str">
        <f>IF(OR(COUNTA(A2556:E2556)=0,D2556=""),"",IFERROR(INDEX(ca_fam,MATCH(D2556,ca_name,0))&amp;"",""))</f>
        <v/>
      </c>
      <c r="H2556" s="58" t="str">
        <f>IF(OR(COUNTA(A2556:E2556)=0,D2556=""),"",IFERROR(INDEX(ca_type,MATCH(D2556,ca_name,0))&amp;"",""))</f>
        <v/>
      </c>
      <c r="I2556" s="58" t="str">
        <f>IF(COUNTA(A2556:E2556)=0,"",IF(N(A2556)&lt;=0,"Date manquante ou invalide",IF(B2556="","Équipe manquante",IF(ISNA(MATCH(B2556,eq_code,0)),"Équipe inconnue",IF(C2556="","Poste manquant",IF(ISNA(MATCH(C2556,po_code,0)),"Poste inconnu",IF(D2556="","Cause manquante",IF(ISNA(MATCH(D2556,ca_name,0)),"Cause inconnue",IF(H2556="","Cause à compléter dans Paramètres",IF(OR(NOT(ISNUMBER(E2556)),N(E2556)&lt;=0,N(E2556)&gt;1440),"Durée invalide",IF(COUNTIFS(sj_date,A2556,sj_eq,B2556,sj_po,C2556)=0,"Pas de saisie journalière ce jour-là","OK")))))))))))</f>
        <v/>
      </c>
      <c r="J2556">
        <f>IF(OR(I2556="OK",I2556="Pas de saisie journalière ce jour-là"),E2556,0)</f>
        <v>0.0</v>
      </c>
      <c r="K2556">
        <f>IF(AND(J2556&gt;0,A2556&gt;=p_from,A2556&lt;=p_to),1,0)</f>
        <v>0.0</v>
      </c>
      <c r="L2556">
        <f>IF(AND(K2556=1,OR(pa_po="",C2556=pa_po),OR(pa_eq="",B2556=pa_eq)),1,0)</f>
        <v>0.0</v>
      </c>
    </row>
    <row r="2557">
      <c r="A2557" s="51" t="n"/>
      <c r="B2557" s="52" t="n"/>
      <c r="C2557" s="52" t="n"/>
      <c r="D2557" s="53" t="n"/>
      <c r="E2557" s="60" t="n"/>
      <c r="F2557" s="53" t="n"/>
      <c r="G2557" s="61" t="str">
        <f>IF(OR(COUNTA(A2557:E2557)=0,D2557=""),"",IFERROR(INDEX(ca_fam,MATCH(D2557,ca_name,0))&amp;"",""))</f>
        <v/>
      </c>
      <c r="H2557" s="58" t="str">
        <f>IF(OR(COUNTA(A2557:E2557)=0,D2557=""),"",IFERROR(INDEX(ca_type,MATCH(D2557,ca_name,0))&amp;"",""))</f>
        <v/>
      </c>
      <c r="I2557" s="58" t="str">
        <f>IF(COUNTA(A2557:E2557)=0,"",IF(N(A2557)&lt;=0,"Date manquante ou invalide",IF(B2557="","Équipe manquante",IF(ISNA(MATCH(B2557,eq_code,0)),"Équipe inconnue",IF(C2557="","Poste manquant",IF(ISNA(MATCH(C2557,po_code,0)),"Poste inconnu",IF(D2557="","Cause manquante",IF(ISNA(MATCH(D2557,ca_name,0)),"Cause inconnue",IF(H2557="","Cause à compléter dans Paramètres",IF(OR(NOT(ISNUMBER(E2557)),N(E2557)&lt;=0,N(E2557)&gt;1440),"Durée invalide",IF(COUNTIFS(sj_date,A2557,sj_eq,B2557,sj_po,C2557)=0,"Pas de saisie journalière ce jour-là","OK")))))))))))</f>
        <v/>
      </c>
      <c r="J2557">
        <f>IF(OR(I2557="OK",I2557="Pas de saisie journalière ce jour-là"),E2557,0)</f>
        <v>0.0</v>
      </c>
      <c r="K2557">
        <f>IF(AND(J2557&gt;0,A2557&gt;=p_from,A2557&lt;=p_to),1,0)</f>
        <v>0.0</v>
      </c>
      <c r="L2557">
        <f>IF(AND(K2557=1,OR(pa_po="",C2557=pa_po),OR(pa_eq="",B2557=pa_eq)),1,0)</f>
        <v>0.0</v>
      </c>
    </row>
    <row r="2558">
      <c r="A2558" s="51" t="n"/>
      <c r="B2558" s="52" t="n"/>
      <c r="C2558" s="52" t="n"/>
      <c r="D2558" s="53" t="n"/>
      <c r="E2558" s="60" t="n"/>
      <c r="F2558" s="53" t="n"/>
      <c r="G2558" s="61" t="str">
        <f>IF(OR(COUNTA(A2558:E2558)=0,D2558=""),"",IFERROR(INDEX(ca_fam,MATCH(D2558,ca_name,0))&amp;"",""))</f>
        <v/>
      </c>
      <c r="H2558" s="58" t="str">
        <f>IF(OR(COUNTA(A2558:E2558)=0,D2558=""),"",IFERROR(INDEX(ca_type,MATCH(D2558,ca_name,0))&amp;"",""))</f>
        <v/>
      </c>
      <c r="I2558" s="58" t="str">
        <f>IF(COUNTA(A2558:E2558)=0,"",IF(N(A2558)&lt;=0,"Date manquante ou invalide",IF(B2558="","Équipe manquante",IF(ISNA(MATCH(B2558,eq_code,0)),"Équipe inconnue",IF(C2558="","Poste manquant",IF(ISNA(MATCH(C2558,po_code,0)),"Poste inconnu",IF(D2558="","Cause manquante",IF(ISNA(MATCH(D2558,ca_name,0)),"Cause inconnue",IF(H2558="","Cause à compléter dans Paramètres",IF(OR(NOT(ISNUMBER(E2558)),N(E2558)&lt;=0,N(E2558)&gt;1440),"Durée invalide",IF(COUNTIFS(sj_date,A2558,sj_eq,B2558,sj_po,C2558)=0,"Pas de saisie journalière ce jour-là","OK")))))))))))</f>
        <v/>
      </c>
      <c r="J2558">
        <f>IF(OR(I2558="OK",I2558="Pas de saisie journalière ce jour-là"),E2558,0)</f>
        <v>0.0</v>
      </c>
      <c r="K2558">
        <f>IF(AND(J2558&gt;0,A2558&gt;=p_from,A2558&lt;=p_to),1,0)</f>
        <v>0.0</v>
      </c>
      <c r="L2558">
        <f>IF(AND(K2558=1,OR(pa_po="",C2558=pa_po),OR(pa_eq="",B2558=pa_eq)),1,0)</f>
        <v>0.0</v>
      </c>
    </row>
    <row r="2559">
      <c r="A2559" s="51" t="n"/>
      <c r="B2559" s="52" t="n"/>
      <c r="C2559" s="52" t="n"/>
      <c r="D2559" s="53" t="n"/>
      <c r="E2559" s="60" t="n"/>
      <c r="F2559" s="53" t="n"/>
      <c r="G2559" s="61" t="str">
        <f>IF(OR(COUNTA(A2559:E2559)=0,D2559=""),"",IFERROR(INDEX(ca_fam,MATCH(D2559,ca_name,0))&amp;"",""))</f>
        <v/>
      </c>
      <c r="H2559" s="58" t="str">
        <f>IF(OR(COUNTA(A2559:E2559)=0,D2559=""),"",IFERROR(INDEX(ca_type,MATCH(D2559,ca_name,0))&amp;"",""))</f>
        <v/>
      </c>
      <c r="I2559" s="58" t="str">
        <f>IF(COUNTA(A2559:E2559)=0,"",IF(N(A2559)&lt;=0,"Date manquante ou invalide",IF(B2559="","Équipe manquante",IF(ISNA(MATCH(B2559,eq_code,0)),"Équipe inconnue",IF(C2559="","Poste manquant",IF(ISNA(MATCH(C2559,po_code,0)),"Poste inconnu",IF(D2559="","Cause manquante",IF(ISNA(MATCH(D2559,ca_name,0)),"Cause inconnue",IF(H2559="","Cause à compléter dans Paramètres",IF(OR(NOT(ISNUMBER(E2559)),N(E2559)&lt;=0,N(E2559)&gt;1440),"Durée invalide",IF(COUNTIFS(sj_date,A2559,sj_eq,B2559,sj_po,C2559)=0,"Pas de saisie journalière ce jour-là","OK")))))))))))</f>
        <v/>
      </c>
      <c r="J2559">
        <f>IF(OR(I2559="OK",I2559="Pas de saisie journalière ce jour-là"),E2559,0)</f>
        <v>0.0</v>
      </c>
      <c r="K2559">
        <f>IF(AND(J2559&gt;0,A2559&gt;=p_from,A2559&lt;=p_to),1,0)</f>
        <v>0.0</v>
      </c>
      <c r="L2559">
        <f>IF(AND(K2559=1,OR(pa_po="",C2559=pa_po),OR(pa_eq="",B2559=pa_eq)),1,0)</f>
        <v>0.0</v>
      </c>
    </row>
    <row r="2560">
      <c r="A2560" s="51" t="n"/>
      <c r="B2560" s="52" t="n"/>
      <c r="C2560" s="52" t="n"/>
      <c r="D2560" s="53" t="n"/>
      <c r="E2560" s="60" t="n"/>
      <c r="F2560" s="53" t="n"/>
      <c r="G2560" s="61" t="str">
        <f>IF(OR(COUNTA(A2560:E2560)=0,D2560=""),"",IFERROR(INDEX(ca_fam,MATCH(D2560,ca_name,0))&amp;"",""))</f>
        <v/>
      </c>
      <c r="H2560" s="58" t="str">
        <f>IF(OR(COUNTA(A2560:E2560)=0,D2560=""),"",IFERROR(INDEX(ca_type,MATCH(D2560,ca_name,0))&amp;"",""))</f>
        <v/>
      </c>
      <c r="I2560" s="58" t="str">
        <f>IF(COUNTA(A2560:E2560)=0,"",IF(N(A2560)&lt;=0,"Date manquante ou invalide",IF(B2560="","Équipe manquante",IF(ISNA(MATCH(B2560,eq_code,0)),"Équipe inconnue",IF(C2560="","Poste manquant",IF(ISNA(MATCH(C2560,po_code,0)),"Poste inconnu",IF(D2560="","Cause manquante",IF(ISNA(MATCH(D2560,ca_name,0)),"Cause inconnue",IF(H2560="","Cause à compléter dans Paramètres",IF(OR(NOT(ISNUMBER(E2560)),N(E2560)&lt;=0,N(E2560)&gt;1440),"Durée invalide",IF(COUNTIFS(sj_date,A2560,sj_eq,B2560,sj_po,C2560)=0,"Pas de saisie journalière ce jour-là","OK")))))))))))</f>
        <v/>
      </c>
      <c r="J2560">
        <f>IF(OR(I2560="OK",I2560="Pas de saisie journalière ce jour-là"),E2560,0)</f>
        <v>0.0</v>
      </c>
      <c r="K2560">
        <f>IF(AND(J2560&gt;0,A2560&gt;=p_from,A2560&lt;=p_to),1,0)</f>
        <v>0.0</v>
      </c>
      <c r="L2560">
        <f>IF(AND(K2560=1,OR(pa_po="",C2560=pa_po),OR(pa_eq="",B2560=pa_eq)),1,0)</f>
        <v>0.0</v>
      </c>
    </row>
    <row r="2561">
      <c r="A2561" s="51" t="n"/>
      <c r="B2561" s="52" t="n"/>
      <c r="C2561" s="52" t="n"/>
      <c r="D2561" s="53" t="n"/>
      <c r="E2561" s="60" t="n"/>
      <c r="F2561" s="53" t="n"/>
      <c r="G2561" s="61" t="str">
        <f>IF(OR(COUNTA(A2561:E2561)=0,D2561=""),"",IFERROR(INDEX(ca_fam,MATCH(D2561,ca_name,0))&amp;"",""))</f>
        <v/>
      </c>
      <c r="H2561" s="58" t="str">
        <f>IF(OR(COUNTA(A2561:E2561)=0,D2561=""),"",IFERROR(INDEX(ca_type,MATCH(D2561,ca_name,0))&amp;"",""))</f>
        <v/>
      </c>
      <c r="I2561" s="58" t="str">
        <f>IF(COUNTA(A2561:E2561)=0,"",IF(N(A2561)&lt;=0,"Date manquante ou invalide",IF(B2561="","Équipe manquante",IF(ISNA(MATCH(B2561,eq_code,0)),"Équipe inconnue",IF(C2561="","Poste manquant",IF(ISNA(MATCH(C2561,po_code,0)),"Poste inconnu",IF(D2561="","Cause manquante",IF(ISNA(MATCH(D2561,ca_name,0)),"Cause inconnue",IF(H2561="","Cause à compléter dans Paramètres",IF(OR(NOT(ISNUMBER(E2561)),N(E2561)&lt;=0,N(E2561)&gt;1440),"Durée invalide",IF(COUNTIFS(sj_date,A2561,sj_eq,B2561,sj_po,C2561)=0,"Pas de saisie journalière ce jour-là","OK")))))))))))</f>
        <v/>
      </c>
      <c r="J2561">
        <f>IF(OR(I2561="OK",I2561="Pas de saisie journalière ce jour-là"),E2561,0)</f>
        <v>0.0</v>
      </c>
      <c r="K2561">
        <f>IF(AND(J2561&gt;0,A2561&gt;=p_from,A2561&lt;=p_to),1,0)</f>
        <v>0.0</v>
      </c>
      <c r="L2561">
        <f>IF(AND(K2561=1,OR(pa_po="",C2561=pa_po),OR(pa_eq="",B2561=pa_eq)),1,0)</f>
        <v>0.0</v>
      </c>
    </row>
    <row r="2562">
      <c r="A2562" s="51" t="n"/>
      <c r="B2562" s="52" t="n"/>
      <c r="C2562" s="52" t="n"/>
      <c r="D2562" s="53" t="n"/>
      <c r="E2562" s="60" t="n"/>
      <c r="F2562" s="53" t="n"/>
      <c r="G2562" s="61" t="str">
        <f>IF(OR(COUNTA(A2562:E2562)=0,D2562=""),"",IFERROR(INDEX(ca_fam,MATCH(D2562,ca_name,0))&amp;"",""))</f>
        <v/>
      </c>
      <c r="H2562" s="58" t="str">
        <f>IF(OR(COUNTA(A2562:E2562)=0,D2562=""),"",IFERROR(INDEX(ca_type,MATCH(D2562,ca_name,0))&amp;"",""))</f>
        <v/>
      </c>
      <c r="I2562" s="58" t="str">
        <f>IF(COUNTA(A2562:E2562)=0,"",IF(N(A2562)&lt;=0,"Date manquante ou invalide",IF(B2562="","Équipe manquante",IF(ISNA(MATCH(B2562,eq_code,0)),"Équipe inconnue",IF(C2562="","Poste manquant",IF(ISNA(MATCH(C2562,po_code,0)),"Poste inconnu",IF(D2562="","Cause manquante",IF(ISNA(MATCH(D2562,ca_name,0)),"Cause inconnue",IF(H2562="","Cause à compléter dans Paramètres",IF(OR(NOT(ISNUMBER(E2562)),N(E2562)&lt;=0,N(E2562)&gt;1440),"Durée invalide",IF(COUNTIFS(sj_date,A2562,sj_eq,B2562,sj_po,C2562)=0,"Pas de saisie journalière ce jour-là","OK")))))))))))</f>
        <v/>
      </c>
      <c r="J2562">
        <f>IF(OR(I2562="OK",I2562="Pas de saisie journalière ce jour-là"),E2562,0)</f>
        <v>0.0</v>
      </c>
      <c r="K2562">
        <f>IF(AND(J2562&gt;0,A2562&gt;=p_from,A2562&lt;=p_to),1,0)</f>
        <v>0.0</v>
      </c>
      <c r="L2562">
        <f>IF(AND(K2562=1,OR(pa_po="",C2562=pa_po),OR(pa_eq="",B2562=pa_eq)),1,0)</f>
        <v>0.0</v>
      </c>
    </row>
    <row r="2563">
      <c r="A2563" s="51" t="n"/>
      <c r="B2563" s="52" t="n"/>
      <c r="C2563" s="52" t="n"/>
      <c r="D2563" s="53" t="n"/>
      <c r="E2563" s="60" t="n"/>
      <c r="F2563" s="53" t="n"/>
      <c r="G2563" s="61" t="str">
        <f>IF(OR(COUNTA(A2563:E2563)=0,D2563=""),"",IFERROR(INDEX(ca_fam,MATCH(D2563,ca_name,0))&amp;"",""))</f>
        <v/>
      </c>
      <c r="H2563" s="58" t="str">
        <f>IF(OR(COUNTA(A2563:E2563)=0,D2563=""),"",IFERROR(INDEX(ca_type,MATCH(D2563,ca_name,0))&amp;"",""))</f>
        <v/>
      </c>
      <c r="I2563" s="58" t="str">
        <f>IF(COUNTA(A2563:E2563)=0,"",IF(N(A2563)&lt;=0,"Date manquante ou invalide",IF(B2563="","Équipe manquante",IF(ISNA(MATCH(B2563,eq_code,0)),"Équipe inconnue",IF(C2563="","Poste manquant",IF(ISNA(MATCH(C2563,po_code,0)),"Poste inconnu",IF(D2563="","Cause manquante",IF(ISNA(MATCH(D2563,ca_name,0)),"Cause inconnue",IF(H2563="","Cause à compléter dans Paramètres",IF(OR(NOT(ISNUMBER(E2563)),N(E2563)&lt;=0,N(E2563)&gt;1440),"Durée invalide",IF(COUNTIFS(sj_date,A2563,sj_eq,B2563,sj_po,C2563)=0,"Pas de saisie journalière ce jour-là","OK")))))))))))</f>
        <v/>
      </c>
      <c r="J2563">
        <f>IF(OR(I2563="OK",I2563="Pas de saisie journalière ce jour-là"),E2563,0)</f>
        <v>0.0</v>
      </c>
      <c r="K2563">
        <f>IF(AND(J2563&gt;0,A2563&gt;=p_from,A2563&lt;=p_to),1,0)</f>
        <v>0.0</v>
      </c>
      <c r="L2563">
        <f>IF(AND(K2563=1,OR(pa_po="",C2563=pa_po),OR(pa_eq="",B2563=pa_eq)),1,0)</f>
        <v>0.0</v>
      </c>
    </row>
    <row r="2564">
      <c r="A2564" s="51" t="n"/>
      <c r="B2564" s="52" t="n"/>
      <c r="C2564" s="52" t="n"/>
      <c r="D2564" s="53" t="n"/>
      <c r="E2564" s="60" t="n"/>
      <c r="F2564" s="53" t="n"/>
      <c r="G2564" s="61" t="str">
        <f>IF(OR(COUNTA(A2564:E2564)=0,D2564=""),"",IFERROR(INDEX(ca_fam,MATCH(D2564,ca_name,0))&amp;"",""))</f>
        <v/>
      </c>
      <c r="H2564" s="58" t="str">
        <f>IF(OR(COUNTA(A2564:E2564)=0,D2564=""),"",IFERROR(INDEX(ca_type,MATCH(D2564,ca_name,0))&amp;"",""))</f>
        <v/>
      </c>
      <c r="I2564" s="58" t="str">
        <f>IF(COUNTA(A2564:E2564)=0,"",IF(N(A2564)&lt;=0,"Date manquante ou invalide",IF(B2564="","Équipe manquante",IF(ISNA(MATCH(B2564,eq_code,0)),"Équipe inconnue",IF(C2564="","Poste manquant",IF(ISNA(MATCH(C2564,po_code,0)),"Poste inconnu",IF(D2564="","Cause manquante",IF(ISNA(MATCH(D2564,ca_name,0)),"Cause inconnue",IF(H2564="","Cause à compléter dans Paramètres",IF(OR(NOT(ISNUMBER(E2564)),N(E2564)&lt;=0,N(E2564)&gt;1440),"Durée invalide",IF(COUNTIFS(sj_date,A2564,sj_eq,B2564,sj_po,C2564)=0,"Pas de saisie journalière ce jour-là","OK")))))))))))</f>
        <v/>
      </c>
      <c r="J2564">
        <f>IF(OR(I2564="OK",I2564="Pas de saisie journalière ce jour-là"),E2564,0)</f>
        <v>0.0</v>
      </c>
      <c r="K2564">
        <f>IF(AND(J2564&gt;0,A2564&gt;=p_from,A2564&lt;=p_to),1,0)</f>
        <v>0.0</v>
      </c>
      <c r="L2564">
        <f>IF(AND(K2564=1,OR(pa_po="",C2564=pa_po),OR(pa_eq="",B2564=pa_eq)),1,0)</f>
        <v>0.0</v>
      </c>
    </row>
    <row r="2565">
      <c r="A2565" s="51" t="n"/>
      <c r="B2565" s="52" t="n"/>
      <c r="C2565" s="52" t="n"/>
      <c r="D2565" s="53" t="n"/>
      <c r="E2565" s="60" t="n"/>
      <c r="F2565" s="53" t="n"/>
      <c r="G2565" s="61" t="str">
        <f>IF(OR(COUNTA(A2565:E2565)=0,D2565=""),"",IFERROR(INDEX(ca_fam,MATCH(D2565,ca_name,0))&amp;"",""))</f>
        <v/>
      </c>
      <c r="H2565" s="58" t="str">
        <f>IF(OR(COUNTA(A2565:E2565)=0,D2565=""),"",IFERROR(INDEX(ca_type,MATCH(D2565,ca_name,0))&amp;"",""))</f>
        <v/>
      </c>
      <c r="I2565" s="58" t="str">
        <f>IF(COUNTA(A2565:E2565)=0,"",IF(N(A2565)&lt;=0,"Date manquante ou invalide",IF(B2565="","Équipe manquante",IF(ISNA(MATCH(B2565,eq_code,0)),"Équipe inconnue",IF(C2565="","Poste manquant",IF(ISNA(MATCH(C2565,po_code,0)),"Poste inconnu",IF(D2565="","Cause manquante",IF(ISNA(MATCH(D2565,ca_name,0)),"Cause inconnue",IF(H2565="","Cause à compléter dans Paramètres",IF(OR(NOT(ISNUMBER(E2565)),N(E2565)&lt;=0,N(E2565)&gt;1440),"Durée invalide",IF(COUNTIFS(sj_date,A2565,sj_eq,B2565,sj_po,C2565)=0,"Pas de saisie journalière ce jour-là","OK")))))))))))</f>
        <v/>
      </c>
      <c r="J2565">
        <f>IF(OR(I2565="OK",I2565="Pas de saisie journalière ce jour-là"),E2565,0)</f>
        <v>0.0</v>
      </c>
      <c r="K2565">
        <f>IF(AND(J2565&gt;0,A2565&gt;=p_from,A2565&lt;=p_to),1,0)</f>
        <v>0.0</v>
      </c>
      <c r="L2565">
        <f>IF(AND(K2565=1,OR(pa_po="",C2565=pa_po),OR(pa_eq="",B2565=pa_eq)),1,0)</f>
        <v>0.0</v>
      </c>
    </row>
    <row r="2566">
      <c r="A2566" s="51" t="n"/>
      <c r="B2566" s="52" t="n"/>
      <c r="C2566" s="52" t="n"/>
      <c r="D2566" s="53" t="n"/>
      <c r="E2566" s="60" t="n"/>
      <c r="F2566" s="53" t="n"/>
      <c r="G2566" s="61" t="str">
        <f>IF(OR(COUNTA(A2566:E2566)=0,D2566=""),"",IFERROR(INDEX(ca_fam,MATCH(D2566,ca_name,0))&amp;"",""))</f>
        <v/>
      </c>
      <c r="H2566" s="58" t="str">
        <f>IF(OR(COUNTA(A2566:E2566)=0,D2566=""),"",IFERROR(INDEX(ca_type,MATCH(D2566,ca_name,0))&amp;"",""))</f>
        <v/>
      </c>
      <c r="I2566" s="58" t="str">
        <f>IF(COUNTA(A2566:E2566)=0,"",IF(N(A2566)&lt;=0,"Date manquante ou invalide",IF(B2566="","Équipe manquante",IF(ISNA(MATCH(B2566,eq_code,0)),"Équipe inconnue",IF(C2566="","Poste manquant",IF(ISNA(MATCH(C2566,po_code,0)),"Poste inconnu",IF(D2566="","Cause manquante",IF(ISNA(MATCH(D2566,ca_name,0)),"Cause inconnue",IF(H2566="","Cause à compléter dans Paramètres",IF(OR(NOT(ISNUMBER(E2566)),N(E2566)&lt;=0,N(E2566)&gt;1440),"Durée invalide",IF(COUNTIFS(sj_date,A2566,sj_eq,B2566,sj_po,C2566)=0,"Pas de saisie journalière ce jour-là","OK")))))))))))</f>
        <v/>
      </c>
      <c r="J2566">
        <f>IF(OR(I2566="OK",I2566="Pas de saisie journalière ce jour-là"),E2566,0)</f>
        <v>0.0</v>
      </c>
      <c r="K2566">
        <f>IF(AND(J2566&gt;0,A2566&gt;=p_from,A2566&lt;=p_to),1,0)</f>
        <v>0.0</v>
      </c>
      <c r="L2566">
        <f>IF(AND(K2566=1,OR(pa_po="",C2566=pa_po),OR(pa_eq="",B2566=pa_eq)),1,0)</f>
        <v>0.0</v>
      </c>
    </row>
    <row r="2567">
      <c r="A2567" s="51" t="n"/>
      <c r="B2567" s="52" t="n"/>
      <c r="C2567" s="52" t="n"/>
      <c r="D2567" s="53" t="n"/>
      <c r="E2567" s="60" t="n"/>
      <c r="F2567" s="53" t="n"/>
      <c r="G2567" s="61" t="str">
        <f>IF(OR(COUNTA(A2567:E2567)=0,D2567=""),"",IFERROR(INDEX(ca_fam,MATCH(D2567,ca_name,0))&amp;"",""))</f>
        <v/>
      </c>
      <c r="H2567" s="58" t="str">
        <f>IF(OR(COUNTA(A2567:E2567)=0,D2567=""),"",IFERROR(INDEX(ca_type,MATCH(D2567,ca_name,0))&amp;"",""))</f>
        <v/>
      </c>
      <c r="I2567" s="58" t="str">
        <f>IF(COUNTA(A2567:E2567)=0,"",IF(N(A2567)&lt;=0,"Date manquante ou invalide",IF(B2567="","Équipe manquante",IF(ISNA(MATCH(B2567,eq_code,0)),"Équipe inconnue",IF(C2567="","Poste manquant",IF(ISNA(MATCH(C2567,po_code,0)),"Poste inconnu",IF(D2567="","Cause manquante",IF(ISNA(MATCH(D2567,ca_name,0)),"Cause inconnue",IF(H2567="","Cause à compléter dans Paramètres",IF(OR(NOT(ISNUMBER(E2567)),N(E2567)&lt;=0,N(E2567)&gt;1440),"Durée invalide",IF(COUNTIFS(sj_date,A2567,sj_eq,B2567,sj_po,C2567)=0,"Pas de saisie journalière ce jour-là","OK")))))))))))</f>
        <v/>
      </c>
      <c r="J2567">
        <f>IF(OR(I2567="OK",I2567="Pas de saisie journalière ce jour-là"),E2567,0)</f>
        <v>0.0</v>
      </c>
      <c r="K2567">
        <f>IF(AND(J2567&gt;0,A2567&gt;=p_from,A2567&lt;=p_to),1,0)</f>
        <v>0.0</v>
      </c>
      <c r="L2567">
        <f>IF(AND(K2567=1,OR(pa_po="",C2567=pa_po),OR(pa_eq="",B2567=pa_eq)),1,0)</f>
        <v>0.0</v>
      </c>
    </row>
    <row r="2568">
      <c r="A2568" s="51" t="n"/>
      <c r="B2568" s="52" t="n"/>
      <c r="C2568" s="52" t="n"/>
      <c r="D2568" s="53" t="n"/>
      <c r="E2568" s="60" t="n"/>
      <c r="F2568" s="53" t="n"/>
      <c r="G2568" s="61" t="str">
        <f>IF(OR(COUNTA(A2568:E2568)=0,D2568=""),"",IFERROR(INDEX(ca_fam,MATCH(D2568,ca_name,0))&amp;"",""))</f>
        <v/>
      </c>
      <c r="H2568" s="58" t="str">
        <f>IF(OR(COUNTA(A2568:E2568)=0,D2568=""),"",IFERROR(INDEX(ca_type,MATCH(D2568,ca_name,0))&amp;"",""))</f>
        <v/>
      </c>
      <c r="I2568" s="58" t="str">
        <f>IF(COUNTA(A2568:E2568)=0,"",IF(N(A2568)&lt;=0,"Date manquante ou invalide",IF(B2568="","Équipe manquante",IF(ISNA(MATCH(B2568,eq_code,0)),"Équipe inconnue",IF(C2568="","Poste manquant",IF(ISNA(MATCH(C2568,po_code,0)),"Poste inconnu",IF(D2568="","Cause manquante",IF(ISNA(MATCH(D2568,ca_name,0)),"Cause inconnue",IF(H2568="","Cause à compléter dans Paramètres",IF(OR(NOT(ISNUMBER(E2568)),N(E2568)&lt;=0,N(E2568)&gt;1440),"Durée invalide",IF(COUNTIFS(sj_date,A2568,sj_eq,B2568,sj_po,C2568)=0,"Pas de saisie journalière ce jour-là","OK")))))))))))</f>
        <v/>
      </c>
      <c r="J2568">
        <f>IF(OR(I2568="OK",I2568="Pas de saisie journalière ce jour-là"),E2568,0)</f>
        <v>0.0</v>
      </c>
      <c r="K2568">
        <f>IF(AND(J2568&gt;0,A2568&gt;=p_from,A2568&lt;=p_to),1,0)</f>
        <v>0.0</v>
      </c>
      <c r="L2568">
        <f>IF(AND(K2568=1,OR(pa_po="",C2568=pa_po),OR(pa_eq="",B2568=pa_eq)),1,0)</f>
        <v>0.0</v>
      </c>
    </row>
    <row r="2569">
      <c r="A2569" s="51" t="n"/>
      <c r="B2569" s="52" t="n"/>
      <c r="C2569" s="52" t="n"/>
      <c r="D2569" s="53" t="n"/>
      <c r="E2569" s="60" t="n"/>
      <c r="F2569" s="53" t="n"/>
      <c r="G2569" s="61" t="str">
        <f>IF(OR(COUNTA(A2569:E2569)=0,D2569=""),"",IFERROR(INDEX(ca_fam,MATCH(D2569,ca_name,0))&amp;"",""))</f>
        <v/>
      </c>
      <c r="H2569" s="58" t="str">
        <f>IF(OR(COUNTA(A2569:E2569)=0,D2569=""),"",IFERROR(INDEX(ca_type,MATCH(D2569,ca_name,0))&amp;"",""))</f>
        <v/>
      </c>
      <c r="I2569" s="58" t="str">
        <f>IF(COUNTA(A2569:E2569)=0,"",IF(N(A2569)&lt;=0,"Date manquante ou invalide",IF(B2569="","Équipe manquante",IF(ISNA(MATCH(B2569,eq_code,0)),"Équipe inconnue",IF(C2569="","Poste manquant",IF(ISNA(MATCH(C2569,po_code,0)),"Poste inconnu",IF(D2569="","Cause manquante",IF(ISNA(MATCH(D2569,ca_name,0)),"Cause inconnue",IF(H2569="","Cause à compléter dans Paramètres",IF(OR(NOT(ISNUMBER(E2569)),N(E2569)&lt;=0,N(E2569)&gt;1440),"Durée invalide",IF(COUNTIFS(sj_date,A2569,sj_eq,B2569,sj_po,C2569)=0,"Pas de saisie journalière ce jour-là","OK")))))))))))</f>
        <v/>
      </c>
      <c r="J2569">
        <f>IF(OR(I2569="OK",I2569="Pas de saisie journalière ce jour-là"),E2569,0)</f>
        <v>0.0</v>
      </c>
      <c r="K2569">
        <f>IF(AND(J2569&gt;0,A2569&gt;=p_from,A2569&lt;=p_to),1,0)</f>
        <v>0.0</v>
      </c>
      <c r="L2569">
        <f>IF(AND(K2569=1,OR(pa_po="",C2569=pa_po),OR(pa_eq="",B2569=pa_eq)),1,0)</f>
        <v>0.0</v>
      </c>
    </row>
    <row r="2570">
      <c r="A2570" s="51" t="n"/>
      <c r="B2570" s="52" t="n"/>
      <c r="C2570" s="52" t="n"/>
      <c r="D2570" s="53" t="n"/>
      <c r="E2570" s="60" t="n"/>
      <c r="F2570" s="53" t="n"/>
      <c r="G2570" s="61" t="str">
        <f>IF(OR(COUNTA(A2570:E2570)=0,D2570=""),"",IFERROR(INDEX(ca_fam,MATCH(D2570,ca_name,0))&amp;"",""))</f>
        <v/>
      </c>
      <c r="H2570" s="58" t="str">
        <f>IF(OR(COUNTA(A2570:E2570)=0,D2570=""),"",IFERROR(INDEX(ca_type,MATCH(D2570,ca_name,0))&amp;"",""))</f>
        <v/>
      </c>
      <c r="I2570" s="58" t="str">
        <f>IF(COUNTA(A2570:E2570)=0,"",IF(N(A2570)&lt;=0,"Date manquante ou invalide",IF(B2570="","Équipe manquante",IF(ISNA(MATCH(B2570,eq_code,0)),"Équipe inconnue",IF(C2570="","Poste manquant",IF(ISNA(MATCH(C2570,po_code,0)),"Poste inconnu",IF(D2570="","Cause manquante",IF(ISNA(MATCH(D2570,ca_name,0)),"Cause inconnue",IF(H2570="","Cause à compléter dans Paramètres",IF(OR(NOT(ISNUMBER(E2570)),N(E2570)&lt;=0,N(E2570)&gt;1440),"Durée invalide",IF(COUNTIFS(sj_date,A2570,sj_eq,B2570,sj_po,C2570)=0,"Pas de saisie journalière ce jour-là","OK")))))))))))</f>
        <v/>
      </c>
      <c r="J2570">
        <f>IF(OR(I2570="OK",I2570="Pas de saisie journalière ce jour-là"),E2570,0)</f>
        <v>0.0</v>
      </c>
      <c r="K2570">
        <f>IF(AND(J2570&gt;0,A2570&gt;=p_from,A2570&lt;=p_to),1,0)</f>
        <v>0.0</v>
      </c>
      <c r="L2570">
        <f>IF(AND(K2570=1,OR(pa_po="",C2570=pa_po),OR(pa_eq="",B2570=pa_eq)),1,0)</f>
        <v>0.0</v>
      </c>
    </row>
    <row r="2571">
      <c r="A2571" s="51" t="n"/>
      <c r="B2571" s="52" t="n"/>
      <c r="C2571" s="52" t="n"/>
      <c r="D2571" s="53" t="n"/>
      <c r="E2571" s="60" t="n"/>
      <c r="F2571" s="53" t="n"/>
      <c r="G2571" s="61" t="str">
        <f>IF(OR(COUNTA(A2571:E2571)=0,D2571=""),"",IFERROR(INDEX(ca_fam,MATCH(D2571,ca_name,0))&amp;"",""))</f>
        <v/>
      </c>
      <c r="H2571" s="58" t="str">
        <f>IF(OR(COUNTA(A2571:E2571)=0,D2571=""),"",IFERROR(INDEX(ca_type,MATCH(D2571,ca_name,0))&amp;"",""))</f>
        <v/>
      </c>
      <c r="I2571" s="58" t="str">
        <f>IF(COUNTA(A2571:E2571)=0,"",IF(N(A2571)&lt;=0,"Date manquante ou invalide",IF(B2571="","Équipe manquante",IF(ISNA(MATCH(B2571,eq_code,0)),"Équipe inconnue",IF(C2571="","Poste manquant",IF(ISNA(MATCH(C2571,po_code,0)),"Poste inconnu",IF(D2571="","Cause manquante",IF(ISNA(MATCH(D2571,ca_name,0)),"Cause inconnue",IF(H2571="","Cause à compléter dans Paramètres",IF(OR(NOT(ISNUMBER(E2571)),N(E2571)&lt;=0,N(E2571)&gt;1440),"Durée invalide",IF(COUNTIFS(sj_date,A2571,sj_eq,B2571,sj_po,C2571)=0,"Pas de saisie journalière ce jour-là","OK")))))))))))</f>
        <v/>
      </c>
      <c r="J2571">
        <f>IF(OR(I2571="OK",I2571="Pas de saisie journalière ce jour-là"),E2571,0)</f>
        <v>0.0</v>
      </c>
      <c r="K2571">
        <f>IF(AND(J2571&gt;0,A2571&gt;=p_from,A2571&lt;=p_to),1,0)</f>
        <v>0.0</v>
      </c>
      <c r="L2571">
        <f>IF(AND(K2571=1,OR(pa_po="",C2571=pa_po),OR(pa_eq="",B2571=pa_eq)),1,0)</f>
        <v>0.0</v>
      </c>
    </row>
    <row r="2572">
      <c r="A2572" s="51" t="n"/>
      <c r="B2572" s="52" t="n"/>
      <c r="C2572" s="52" t="n"/>
      <c r="D2572" s="53" t="n"/>
      <c r="E2572" s="60" t="n"/>
      <c r="F2572" s="53" t="n"/>
      <c r="G2572" s="61" t="str">
        <f>IF(OR(COUNTA(A2572:E2572)=0,D2572=""),"",IFERROR(INDEX(ca_fam,MATCH(D2572,ca_name,0))&amp;"",""))</f>
        <v/>
      </c>
      <c r="H2572" s="58" t="str">
        <f>IF(OR(COUNTA(A2572:E2572)=0,D2572=""),"",IFERROR(INDEX(ca_type,MATCH(D2572,ca_name,0))&amp;"",""))</f>
        <v/>
      </c>
      <c r="I2572" s="58" t="str">
        <f>IF(COUNTA(A2572:E2572)=0,"",IF(N(A2572)&lt;=0,"Date manquante ou invalide",IF(B2572="","Équipe manquante",IF(ISNA(MATCH(B2572,eq_code,0)),"Équipe inconnue",IF(C2572="","Poste manquant",IF(ISNA(MATCH(C2572,po_code,0)),"Poste inconnu",IF(D2572="","Cause manquante",IF(ISNA(MATCH(D2572,ca_name,0)),"Cause inconnue",IF(H2572="","Cause à compléter dans Paramètres",IF(OR(NOT(ISNUMBER(E2572)),N(E2572)&lt;=0,N(E2572)&gt;1440),"Durée invalide",IF(COUNTIFS(sj_date,A2572,sj_eq,B2572,sj_po,C2572)=0,"Pas de saisie journalière ce jour-là","OK")))))))))))</f>
        <v/>
      </c>
      <c r="J2572">
        <f>IF(OR(I2572="OK",I2572="Pas de saisie journalière ce jour-là"),E2572,0)</f>
        <v>0.0</v>
      </c>
      <c r="K2572">
        <f>IF(AND(J2572&gt;0,A2572&gt;=p_from,A2572&lt;=p_to),1,0)</f>
        <v>0.0</v>
      </c>
      <c r="L2572">
        <f>IF(AND(K2572=1,OR(pa_po="",C2572=pa_po),OR(pa_eq="",B2572=pa_eq)),1,0)</f>
        <v>0.0</v>
      </c>
    </row>
    <row r="2573">
      <c r="A2573" s="51" t="n"/>
      <c r="B2573" s="52" t="n"/>
      <c r="C2573" s="52" t="n"/>
      <c r="D2573" s="53" t="n"/>
      <c r="E2573" s="60" t="n"/>
      <c r="F2573" s="53" t="n"/>
      <c r="G2573" s="61" t="str">
        <f>IF(OR(COUNTA(A2573:E2573)=0,D2573=""),"",IFERROR(INDEX(ca_fam,MATCH(D2573,ca_name,0))&amp;"",""))</f>
        <v/>
      </c>
      <c r="H2573" s="58" t="str">
        <f>IF(OR(COUNTA(A2573:E2573)=0,D2573=""),"",IFERROR(INDEX(ca_type,MATCH(D2573,ca_name,0))&amp;"",""))</f>
        <v/>
      </c>
      <c r="I2573" s="58" t="str">
        <f>IF(COUNTA(A2573:E2573)=0,"",IF(N(A2573)&lt;=0,"Date manquante ou invalide",IF(B2573="","Équipe manquante",IF(ISNA(MATCH(B2573,eq_code,0)),"Équipe inconnue",IF(C2573="","Poste manquant",IF(ISNA(MATCH(C2573,po_code,0)),"Poste inconnu",IF(D2573="","Cause manquante",IF(ISNA(MATCH(D2573,ca_name,0)),"Cause inconnue",IF(H2573="","Cause à compléter dans Paramètres",IF(OR(NOT(ISNUMBER(E2573)),N(E2573)&lt;=0,N(E2573)&gt;1440),"Durée invalide",IF(COUNTIFS(sj_date,A2573,sj_eq,B2573,sj_po,C2573)=0,"Pas de saisie journalière ce jour-là","OK")))))))))))</f>
        <v/>
      </c>
      <c r="J2573">
        <f>IF(OR(I2573="OK",I2573="Pas de saisie journalière ce jour-là"),E2573,0)</f>
        <v>0.0</v>
      </c>
      <c r="K2573">
        <f>IF(AND(J2573&gt;0,A2573&gt;=p_from,A2573&lt;=p_to),1,0)</f>
        <v>0.0</v>
      </c>
      <c r="L2573">
        <f>IF(AND(K2573=1,OR(pa_po="",C2573=pa_po),OR(pa_eq="",B2573=pa_eq)),1,0)</f>
        <v>0.0</v>
      </c>
    </row>
    <row r="2574">
      <c r="A2574" s="51" t="n"/>
      <c r="B2574" s="52" t="n"/>
      <c r="C2574" s="52" t="n"/>
      <c r="D2574" s="53" t="n"/>
      <c r="E2574" s="60" t="n"/>
      <c r="F2574" s="53" t="n"/>
      <c r="G2574" s="61" t="str">
        <f>IF(OR(COUNTA(A2574:E2574)=0,D2574=""),"",IFERROR(INDEX(ca_fam,MATCH(D2574,ca_name,0))&amp;"",""))</f>
        <v/>
      </c>
      <c r="H2574" s="58" t="str">
        <f>IF(OR(COUNTA(A2574:E2574)=0,D2574=""),"",IFERROR(INDEX(ca_type,MATCH(D2574,ca_name,0))&amp;"",""))</f>
        <v/>
      </c>
      <c r="I2574" s="58" t="str">
        <f>IF(COUNTA(A2574:E2574)=0,"",IF(N(A2574)&lt;=0,"Date manquante ou invalide",IF(B2574="","Équipe manquante",IF(ISNA(MATCH(B2574,eq_code,0)),"Équipe inconnue",IF(C2574="","Poste manquant",IF(ISNA(MATCH(C2574,po_code,0)),"Poste inconnu",IF(D2574="","Cause manquante",IF(ISNA(MATCH(D2574,ca_name,0)),"Cause inconnue",IF(H2574="","Cause à compléter dans Paramètres",IF(OR(NOT(ISNUMBER(E2574)),N(E2574)&lt;=0,N(E2574)&gt;1440),"Durée invalide",IF(COUNTIFS(sj_date,A2574,sj_eq,B2574,sj_po,C2574)=0,"Pas de saisie journalière ce jour-là","OK")))))))))))</f>
        <v/>
      </c>
      <c r="J2574">
        <f>IF(OR(I2574="OK",I2574="Pas de saisie journalière ce jour-là"),E2574,0)</f>
        <v>0.0</v>
      </c>
      <c r="K2574">
        <f>IF(AND(J2574&gt;0,A2574&gt;=p_from,A2574&lt;=p_to),1,0)</f>
        <v>0.0</v>
      </c>
      <c r="L2574">
        <f>IF(AND(K2574=1,OR(pa_po="",C2574=pa_po),OR(pa_eq="",B2574=pa_eq)),1,0)</f>
        <v>0.0</v>
      </c>
    </row>
    <row r="2575">
      <c r="A2575" s="51" t="n"/>
      <c r="B2575" s="52" t="n"/>
      <c r="C2575" s="52" t="n"/>
      <c r="D2575" s="53" t="n"/>
      <c r="E2575" s="60" t="n"/>
      <c r="F2575" s="53" t="n"/>
      <c r="G2575" s="61" t="str">
        <f>IF(OR(COUNTA(A2575:E2575)=0,D2575=""),"",IFERROR(INDEX(ca_fam,MATCH(D2575,ca_name,0))&amp;"",""))</f>
        <v/>
      </c>
      <c r="H2575" s="58" t="str">
        <f>IF(OR(COUNTA(A2575:E2575)=0,D2575=""),"",IFERROR(INDEX(ca_type,MATCH(D2575,ca_name,0))&amp;"",""))</f>
        <v/>
      </c>
      <c r="I2575" s="58" t="str">
        <f>IF(COUNTA(A2575:E2575)=0,"",IF(N(A2575)&lt;=0,"Date manquante ou invalide",IF(B2575="","Équipe manquante",IF(ISNA(MATCH(B2575,eq_code,0)),"Équipe inconnue",IF(C2575="","Poste manquant",IF(ISNA(MATCH(C2575,po_code,0)),"Poste inconnu",IF(D2575="","Cause manquante",IF(ISNA(MATCH(D2575,ca_name,0)),"Cause inconnue",IF(H2575="","Cause à compléter dans Paramètres",IF(OR(NOT(ISNUMBER(E2575)),N(E2575)&lt;=0,N(E2575)&gt;1440),"Durée invalide",IF(COUNTIFS(sj_date,A2575,sj_eq,B2575,sj_po,C2575)=0,"Pas de saisie journalière ce jour-là","OK")))))))))))</f>
        <v/>
      </c>
      <c r="J2575">
        <f>IF(OR(I2575="OK",I2575="Pas de saisie journalière ce jour-là"),E2575,0)</f>
        <v>0.0</v>
      </c>
      <c r="K2575">
        <f>IF(AND(J2575&gt;0,A2575&gt;=p_from,A2575&lt;=p_to),1,0)</f>
        <v>0.0</v>
      </c>
      <c r="L2575">
        <f>IF(AND(K2575=1,OR(pa_po="",C2575=pa_po),OR(pa_eq="",B2575=pa_eq)),1,0)</f>
        <v>0.0</v>
      </c>
    </row>
    <row r="2576">
      <c r="A2576" s="51" t="n"/>
      <c r="B2576" s="52" t="n"/>
      <c r="C2576" s="52" t="n"/>
      <c r="D2576" s="53" t="n"/>
      <c r="E2576" s="60" t="n"/>
      <c r="F2576" s="53" t="n"/>
      <c r="G2576" s="61" t="str">
        <f>IF(OR(COUNTA(A2576:E2576)=0,D2576=""),"",IFERROR(INDEX(ca_fam,MATCH(D2576,ca_name,0))&amp;"",""))</f>
        <v/>
      </c>
      <c r="H2576" s="58" t="str">
        <f>IF(OR(COUNTA(A2576:E2576)=0,D2576=""),"",IFERROR(INDEX(ca_type,MATCH(D2576,ca_name,0))&amp;"",""))</f>
        <v/>
      </c>
      <c r="I2576" s="58" t="str">
        <f>IF(COUNTA(A2576:E2576)=0,"",IF(N(A2576)&lt;=0,"Date manquante ou invalide",IF(B2576="","Équipe manquante",IF(ISNA(MATCH(B2576,eq_code,0)),"Équipe inconnue",IF(C2576="","Poste manquant",IF(ISNA(MATCH(C2576,po_code,0)),"Poste inconnu",IF(D2576="","Cause manquante",IF(ISNA(MATCH(D2576,ca_name,0)),"Cause inconnue",IF(H2576="","Cause à compléter dans Paramètres",IF(OR(NOT(ISNUMBER(E2576)),N(E2576)&lt;=0,N(E2576)&gt;1440),"Durée invalide",IF(COUNTIFS(sj_date,A2576,sj_eq,B2576,sj_po,C2576)=0,"Pas de saisie journalière ce jour-là","OK")))))))))))</f>
        <v/>
      </c>
      <c r="J2576">
        <f>IF(OR(I2576="OK",I2576="Pas de saisie journalière ce jour-là"),E2576,0)</f>
        <v>0.0</v>
      </c>
      <c r="K2576">
        <f>IF(AND(J2576&gt;0,A2576&gt;=p_from,A2576&lt;=p_to),1,0)</f>
        <v>0.0</v>
      </c>
      <c r="L2576">
        <f>IF(AND(K2576=1,OR(pa_po="",C2576=pa_po),OR(pa_eq="",B2576=pa_eq)),1,0)</f>
        <v>0.0</v>
      </c>
    </row>
    <row r="2577">
      <c r="A2577" s="51" t="n"/>
      <c r="B2577" s="52" t="n"/>
      <c r="C2577" s="52" t="n"/>
      <c r="D2577" s="53" t="n"/>
      <c r="E2577" s="60" t="n"/>
      <c r="F2577" s="53" t="n"/>
      <c r="G2577" s="61" t="str">
        <f>IF(OR(COUNTA(A2577:E2577)=0,D2577=""),"",IFERROR(INDEX(ca_fam,MATCH(D2577,ca_name,0))&amp;"",""))</f>
        <v/>
      </c>
      <c r="H2577" s="58" t="str">
        <f>IF(OR(COUNTA(A2577:E2577)=0,D2577=""),"",IFERROR(INDEX(ca_type,MATCH(D2577,ca_name,0))&amp;"",""))</f>
        <v/>
      </c>
      <c r="I2577" s="58" t="str">
        <f>IF(COUNTA(A2577:E2577)=0,"",IF(N(A2577)&lt;=0,"Date manquante ou invalide",IF(B2577="","Équipe manquante",IF(ISNA(MATCH(B2577,eq_code,0)),"Équipe inconnue",IF(C2577="","Poste manquant",IF(ISNA(MATCH(C2577,po_code,0)),"Poste inconnu",IF(D2577="","Cause manquante",IF(ISNA(MATCH(D2577,ca_name,0)),"Cause inconnue",IF(H2577="","Cause à compléter dans Paramètres",IF(OR(NOT(ISNUMBER(E2577)),N(E2577)&lt;=0,N(E2577)&gt;1440),"Durée invalide",IF(COUNTIFS(sj_date,A2577,sj_eq,B2577,sj_po,C2577)=0,"Pas de saisie journalière ce jour-là","OK")))))))))))</f>
        <v/>
      </c>
      <c r="J2577">
        <f>IF(OR(I2577="OK",I2577="Pas de saisie journalière ce jour-là"),E2577,0)</f>
        <v>0.0</v>
      </c>
      <c r="K2577">
        <f>IF(AND(J2577&gt;0,A2577&gt;=p_from,A2577&lt;=p_to),1,0)</f>
        <v>0.0</v>
      </c>
      <c r="L2577">
        <f>IF(AND(K2577=1,OR(pa_po="",C2577=pa_po),OR(pa_eq="",B2577=pa_eq)),1,0)</f>
        <v>0.0</v>
      </c>
    </row>
    <row r="2578">
      <c r="A2578" s="51" t="n"/>
      <c r="B2578" s="52" t="n"/>
      <c r="C2578" s="52" t="n"/>
      <c r="D2578" s="53" t="n"/>
      <c r="E2578" s="60" t="n"/>
      <c r="F2578" s="53" t="n"/>
      <c r="G2578" s="61" t="str">
        <f>IF(OR(COUNTA(A2578:E2578)=0,D2578=""),"",IFERROR(INDEX(ca_fam,MATCH(D2578,ca_name,0))&amp;"",""))</f>
        <v/>
      </c>
      <c r="H2578" s="58" t="str">
        <f>IF(OR(COUNTA(A2578:E2578)=0,D2578=""),"",IFERROR(INDEX(ca_type,MATCH(D2578,ca_name,0))&amp;"",""))</f>
        <v/>
      </c>
      <c r="I2578" s="58" t="str">
        <f>IF(COUNTA(A2578:E2578)=0,"",IF(N(A2578)&lt;=0,"Date manquante ou invalide",IF(B2578="","Équipe manquante",IF(ISNA(MATCH(B2578,eq_code,0)),"Équipe inconnue",IF(C2578="","Poste manquant",IF(ISNA(MATCH(C2578,po_code,0)),"Poste inconnu",IF(D2578="","Cause manquante",IF(ISNA(MATCH(D2578,ca_name,0)),"Cause inconnue",IF(H2578="","Cause à compléter dans Paramètres",IF(OR(NOT(ISNUMBER(E2578)),N(E2578)&lt;=0,N(E2578)&gt;1440),"Durée invalide",IF(COUNTIFS(sj_date,A2578,sj_eq,B2578,sj_po,C2578)=0,"Pas de saisie journalière ce jour-là","OK")))))))))))</f>
        <v/>
      </c>
      <c r="J2578">
        <f>IF(OR(I2578="OK",I2578="Pas de saisie journalière ce jour-là"),E2578,0)</f>
        <v>0.0</v>
      </c>
      <c r="K2578">
        <f>IF(AND(J2578&gt;0,A2578&gt;=p_from,A2578&lt;=p_to),1,0)</f>
        <v>0.0</v>
      </c>
      <c r="L2578">
        <f>IF(AND(K2578=1,OR(pa_po="",C2578=pa_po),OR(pa_eq="",B2578=pa_eq)),1,0)</f>
        <v>0.0</v>
      </c>
    </row>
    <row r="2579">
      <c r="A2579" s="51" t="n"/>
      <c r="B2579" s="52" t="n"/>
      <c r="C2579" s="52" t="n"/>
      <c r="D2579" s="53" t="n"/>
      <c r="E2579" s="60" t="n"/>
      <c r="F2579" s="53" t="n"/>
      <c r="G2579" s="61" t="str">
        <f>IF(OR(COUNTA(A2579:E2579)=0,D2579=""),"",IFERROR(INDEX(ca_fam,MATCH(D2579,ca_name,0))&amp;"",""))</f>
        <v/>
      </c>
      <c r="H2579" s="58" t="str">
        <f>IF(OR(COUNTA(A2579:E2579)=0,D2579=""),"",IFERROR(INDEX(ca_type,MATCH(D2579,ca_name,0))&amp;"",""))</f>
        <v/>
      </c>
      <c r="I2579" s="58" t="str">
        <f>IF(COUNTA(A2579:E2579)=0,"",IF(N(A2579)&lt;=0,"Date manquante ou invalide",IF(B2579="","Équipe manquante",IF(ISNA(MATCH(B2579,eq_code,0)),"Équipe inconnue",IF(C2579="","Poste manquant",IF(ISNA(MATCH(C2579,po_code,0)),"Poste inconnu",IF(D2579="","Cause manquante",IF(ISNA(MATCH(D2579,ca_name,0)),"Cause inconnue",IF(H2579="","Cause à compléter dans Paramètres",IF(OR(NOT(ISNUMBER(E2579)),N(E2579)&lt;=0,N(E2579)&gt;1440),"Durée invalide",IF(COUNTIFS(sj_date,A2579,sj_eq,B2579,sj_po,C2579)=0,"Pas de saisie journalière ce jour-là","OK")))))))))))</f>
        <v/>
      </c>
      <c r="J2579">
        <f>IF(OR(I2579="OK",I2579="Pas de saisie journalière ce jour-là"),E2579,0)</f>
        <v>0.0</v>
      </c>
      <c r="K2579">
        <f>IF(AND(J2579&gt;0,A2579&gt;=p_from,A2579&lt;=p_to),1,0)</f>
        <v>0.0</v>
      </c>
      <c r="L2579">
        <f>IF(AND(K2579=1,OR(pa_po="",C2579=pa_po),OR(pa_eq="",B2579=pa_eq)),1,0)</f>
        <v>0.0</v>
      </c>
    </row>
    <row r="2580">
      <c r="A2580" s="51" t="n"/>
      <c r="B2580" s="52" t="n"/>
      <c r="C2580" s="52" t="n"/>
      <c r="D2580" s="53" t="n"/>
      <c r="E2580" s="60" t="n"/>
      <c r="F2580" s="53" t="n"/>
      <c r="G2580" s="61" t="str">
        <f>IF(OR(COUNTA(A2580:E2580)=0,D2580=""),"",IFERROR(INDEX(ca_fam,MATCH(D2580,ca_name,0))&amp;"",""))</f>
        <v/>
      </c>
      <c r="H2580" s="58" t="str">
        <f>IF(OR(COUNTA(A2580:E2580)=0,D2580=""),"",IFERROR(INDEX(ca_type,MATCH(D2580,ca_name,0))&amp;"",""))</f>
        <v/>
      </c>
      <c r="I2580" s="58" t="str">
        <f>IF(COUNTA(A2580:E2580)=0,"",IF(N(A2580)&lt;=0,"Date manquante ou invalide",IF(B2580="","Équipe manquante",IF(ISNA(MATCH(B2580,eq_code,0)),"Équipe inconnue",IF(C2580="","Poste manquant",IF(ISNA(MATCH(C2580,po_code,0)),"Poste inconnu",IF(D2580="","Cause manquante",IF(ISNA(MATCH(D2580,ca_name,0)),"Cause inconnue",IF(H2580="","Cause à compléter dans Paramètres",IF(OR(NOT(ISNUMBER(E2580)),N(E2580)&lt;=0,N(E2580)&gt;1440),"Durée invalide",IF(COUNTIFS(sj_date,A2580,sj_eq,B2580,sj_po,C2580)=0,"Pas de saisie journalière ce jour-là","OK")))))))))))</f>
        <v/>
      </c>
      <c r="J2580">
        <f>IF(OR(I2580="OK",I2580="Pas de saisie journalière ce jour-là"),E2580,0)</f>
        <v>0.0</v>
      </c>
      <c r="K2580">
        <f>IF(AND(J2580&gt;0,A2580&gt;=p_from,A2580&lt;=p_to),1,0)</f>
        <v>0.0</v>
      </c>
      <c r="L2580">
        <f>IF(AND(K2580=1,OR(pa_po="",C2580=pa_po),OR(pa_eq="",B2580=pa_eq)),1,0)</f>
        <v>0.0</v>
      </c>
    </row>
    <row r="2581">
      <c r="A2581" s="51" t="n"/>
      <c r="B2581" s="52" t="n"/>
      <c r="C2581" s="52" t="n"/>
      <c r="D2581" s="53" t="n"/>
      <c r="E2581" s="60" t="n"/>
      <c r="F2581" s="53" t="n"/>
      <c r="G2581" s="61" t="str">
        <f>IF(OR(COUNTA(A2581:E2581)=0,D2581=""),"",IFERROR(INDEX(ca_fam,MATCH(D2581,ca_name,0))&amp;"",""))</f>
        <v/>
      </c>
      <c r="H2581" s="58" t="str">
        <f>IF(OR(COUNTA(A2581:E2581)=0,D2581=""),"",IFERROR(INDEX(ca_type,MATCH(D2581,ca_name,0))&amp;"",""))</f>
        <v/>
      </c>
      <c r="I2581" s="58" t="str">
        <f>IF(COUNTA(A2581:E2581)=0,"",IF(N(A2581)&lt;=0,"Date manquante ou invalide",IF(B2581="","Équipe manquante",IF(ISNA(MATCH(B2581,eq_code,0)),"Équipe inconnue",IF(C2581="","Poste manquant",IF(ISNA(MATCH(C2581,po_code,0)),"Poste inconnu",IF(D2581="","Cause manquante",IF(ISNA(MATCH(D2581,ca_name,0)),"Cause inconnue",IF(H2581="","Cause à compléter dans Paramètres",IF(OR(NOT(ISNUMBER(E2581)),N(E2581)&lt;=0,N(E2581)&gt;1440),"Durée invalide",IF(COUNTIFS(sj_date,A2581,sj_eq,B2581,sj_po,C2581)=0,"Pas de saisie journalière ce jour-là","OK")))))))))))</f>
        <v/>
      </c>
      <c r="J2581">
        <f>IF(OR(I2581="OK",I2581="Pas de saisie journalière ce jour-là"),E2581,0)</f>
        <v>0.0</v>
      </c>
      <c r="K2581">
        <f>IF(AND(J2581&gt;0,A2581&gt;=p_from,A2581&lt;=p_to),1,0)</f>
        <v>0.0</v>
      </c>
      <c r="L2581">
        <f>IF(AND(K2581=1,OR(pa_po="",C2581=pa_po),OR(pa_eq="",B2581=pa_eq)),1,0)</f>
        <v>0.0</v>
      </c>
    </row>
    <row r="2582">
      <c r="A2582" s="51" t="n"/>
      <c r="B2582" s="52" t="n"/>
      <c r="C2582" s="52" t="n"/>
      <c r="D2582" s="53" t="n"/>
      <c r="E2582" s="60" t="n"/>
      <c r="F2582" s="53" t="n"/>
      <c r="G2582" s="61" t="str">
        <f>IF(OR(COUNTA(A2582:E2582)=0,D2582=""),"",IFERROR(INDEX(ca_fam,MATCH(D2582,ca_name,0))&amp;"",""))</f>
        <v/>
      </c>
      <c r="H2582" s="58" t="str">
        <f>IF(OR(COUNTA(A2582:E2582)=0,D2582=""),"",IFERROR(INDEX(ca_type,MATCH(D2582,ca_name,0))&amp;"",""))</f>
        <v/>
      </c>
      <c r="I2582" s="58" t="str">
        <f>IF(COUNTA(A2582:E2582)=0,"",IF(N(A2582)&lt;=0,"Date manquante ou invalide",IF(B2582="","Équipe manquante",IF(ISNA(MATCH(B2582,eq_code,0)),"Équipe inconnue",IF(C2582="","Poste manquant",IF(ISNA(MATCH(C2582,po_code,0)),"Poste inconnu",IF(D2582="","Cause manquante",IF(ISNA(MATCH(D2582,ca_name,0)),"Cause inconnue",IF(H2582="","Cause à compléter dans Paramètres",IF(OR(NOT(ISNUMBER(E2582)),N(E2582)&lt;=0,N(E2582)&gt;1440),"Durée invalide",IF(COUNTIFS(sj_date,A2582,sj_eq,B2582,sj_po,C2582)=0,"Pas de saisie journalière ce jour-là","OK")))))))))))</f>
        <v/>
      </c>
      <c r="J2582">
        <f>IF(OR(I2582="OK",I2582="Pas de saisie journalière ce jour-là"),E2582,0)</f>
        <v>0.0</v>
      </c>
      <c r="K2582">
        <f>IF(AND(J2582&gt;0,A2582&gt;=p_from,A2582&lt;=p_to),1,0)</f>
        <v>0.0</v>
      </c>
      <c r="L2582">
        <f>IF(AND(K2582=1,OR(pa_po="",C2582=pa_po),OR(pa_eq="",B2582=pa_eq)),1,0)</f>
        <v>0.0</v>
      </c>
    </row>
    <row r="2583">
      <c r="A2583" s="51" t="n"/>
      <c r="B2583" s="52" t="n"/>
      <c r="C2583" s="52" t="n"/>
      <c r="D2583" s="53" t="n"/>
      <c r="E2583" s="60" t="n"/>
      <c r="F2583" s="53" t="n"/>
      <c r="G2583" s="61" t="str">
        <f>IF(OR(COUNTA(A2583:E2583)=0,D2583=""),"",IFERROR(INDEX(ca_fam,MATCH(D2583,ca_name,0))&amp;"",""))</f>
        <v/>
      </c>
      <c r="H2583" s="58" t="str">
        <f>IF(OR(COUNTA(A2583:E2583)=0,D2583=""),"",IFERROR(INDEX(ca_type,MATCH(D2583,ca_name,0))&amp;"",""))</f>
        <v/>
      </c>
      <c r="I2583" s="58" t="str">
        <f>IF(COUNTA(A2583:E2583)=0,"",IF(N(A2583)&lt;=0,"Date manquante ou invalide",IF(B2583="","Équipe manquante",IF(ISNA(MATCH(B2583,eq_code,0)),"Équipe inconnue",IF(C2583="","Poste manquant",IF(ISNA(MATCH(C2583,po_code,0)),"Poste inconnu",IF(D2583="","Cause manquante",IF(ISNA(MATCH(D2583,ca_name,0)),"Cause inconnue",IF(H2583="","Cause à compléter dans Paramètres",IF(OR(NOT(ISNUMBER(E2583)),N(E2583)&lt;=0,N(E2583)&gt;1440),"Durée invalide",IF(COUNTIFS(sj_date,A2583,sj_eq,B2583,sj_po,C2583)=0,"Pas de saisie journalière ce jour-là","OK")))))))))))</f>
        <v/>
      </c>
      <c r="J2583">
        <f>IF(OR(I2583="OK",I2583="Pas de saisie journalière ce jour-là"),E2583,0)</f>
        <v>0.0</v>
      </c>
      <c r="K2583">
        <f>IF(AND(J2583&gt;0,A2583&gt;=p_from,A2583&lt;=p_to),1,0)</f>
        <v>0.0</v>
      </c>
      <c r="L2583">
        <f>IF(AND(K2583=1,OR(pa_po="",C2583=pa_po),OR(pa_eq="",B2583=pa_eq)),1,0)</f>
        <v>0.0</v>
      </c>
    </row>
    <row r="2584">
      <c r="A2584" s="51" t="n"/>
      <c r="B2584" s="52" t="n"/>
      <c r="C2584" s="52" t="n"/>
      <c r="D2584" s="53" t="n"/>
      <c r="E2584" s="60" t="n"/>
      <c r="F2584" s="53" t="n"/>
      <c r="G2584" s="61" t="str">
        <f>IF(OR(COUNTA(A2584:E2584)=0,D2584=""),"",IFERROR(INDEX(ca_fam,MATCH(D2584,ca_name,0))&amp;"",""))</f>
        <v/>
      </c>
      <c r="H2584" s="58" t="str">
        <f>IF(OR(COUNTA(A2584:E2584)=0,D2584=""),"",IFERROR(INDEX(ca_type,MATCH(D2584,ca_name,0))&amp;"",""))</f>
        <v/>
      </c>
      <c r="I2584" s="58" t="str">
        <f>IF(COUNTA(A2584:E2584)=0,"",IF(N(A2584)&lt;=0,"Date manquante ou invalide",IF(B2584="","Équipe manquante",IF(ISNA(MATCH(B2584,eq_code,0)),"Équipe inconnue",IF(C2584="","Poste manquant",IF(ISNA(MATCH(C2584,po_code,0)),"Poste inconnu",IF(D2584="","Cause manquante",IF(ISNA(MATCH(D2584,ca_name,0)),"Cause inconnue",IF(H2584="","Cause à compléter dans Paramètres",IF(OR(NOT(ISNUMBER(E2584)),N(E2584)&lt;=0,N(E2584)&gt;1440),"Durée invalide",IF(COUNTIFS(sj_date,A2584,sj_eq,B2584,sj_po,C2584)=0,"Pas de saisie journalière ce jour-là","OK")))))))))))</f>
        <v/>
      </c>
      <c r="J2584">
        <f>IF(OR(I2584="OK",I2584="Pas de saisie journalière ce jour-là"),E2584,0)</f>
        <v>0.0</v>
      </c>
      <c r="K2584">
        <f>IF(AND(J2584&gt;0,A2584&gt;=p_from,A2584&lt;=p_to),1,0)</f>
        <v>0.0</v>
      </c>
      <c r="L2584">
        <f>IF(AND(K2584=1,OR(pa_po="",C2584=pa_po),OR(pa_eq="",B2584=pa_eq)),1,0)</f>
        <v>0.0</v>
      </c>
    </row>
    <row r="2585">
      <c r="A2585" s="51" t="n"/>
      <c r="B2585" s="52" t="n"/>
      <c r="C2585" s="52" t="n"/>
      <c r="D2585" s="53" t="n"/>
      <c r="E2585" s="60" t="n"/>
      <c r="F2585" s="53" t="n"/>
      <c r="G2585" s="61" t="str">
        <f>IF(OR(COUNTA(A2585:E2585)=0,D2585=""),"",IFERROR(INDEX(ca_fam,MATCH(D2585,ca_name,0))&amp;"",""))</f>
        <v/>
      </c>
      <c r="H2585" s="58" t="str">
        <f>IF(OR(COUNTA(A2585:E2585)=0,D2585=""),"",IFERROR(INDEX(ca_type,MATCH(D2585,ca_name,0))&amp;"",""))</f>
        <v/>
      </c>
      <c r="I2585" s="58" t="str">
        <f>IF(COUNTA(A2585:E2585)=0,"",IF(N(A2585)&lt;=0,"Date manquante ou invalide",IF(B2585="","Équipe manquante",IF(ISNA(MATCH(B2585,eq_code,0)),"Équipe inconnue",IF(C2585="","Poste manquant",IF(ISNA(MATCH(C2585,po_code,0)),"Poste inconnu",IF(D2585="","Cause manquante",IF(ISNA(MATCH(D2585,ca_name,0)),"Cause inconnue",IF(H2585="","Cause à compléter dans Paramètres",IF(OR(NOT(ISNUMBER(E2585)),N(E2585)&lt;=0,N(E2585)&gt;1440),"Durée invalide",IF(COUNTIFS(sj_date,A2585,sj_eq,B2585,sj_po,C2585)=0,"Pas de saisie journalière ce jour-là","OK")))))))))))</f>
        <v/>
      </c>
      <c r="J2585">
        <f>IF(OR(I2585="OK",I2585="Pas de saisie journalière ce jour-là"),E2585,0)</f>
        <v>0.0</v>
      </c>
      <c r="K2585">
        <f>IF(AND(J2585&gt;0,A2585&gt;=p_from,A2585&lt;=p_to),1,0)</f>
        <v>0.0</v>
      </c>
      <c r="L2585">
        <f>IF(AND(K2585=1,OR(pa_po="",C2585=pa_po),OR(pa_eq="",B2585=pa_eq)),1,0)</f>
        <v>0.0</v>
      </c>
    </row>
    <row r="2586">
      <c r="A2586" s="51" t="n"/>
      <c r="B2586" s="52" t="n"/>
      <c r="C2586" s="52" t="n"/>
      <c r="D2586" s="53" t="n"/>
      <c r="E2586" s="60" t="n"/>
      <c r="F2586" s="53" t="n"/>
      <c r="G2586" s="61" t="str">
        <f>IF(OR(COUNTA(A2586:E2586)=0,D2586=""),"",IFERROR(INDEX(ca_fam,MATCH(D2586,ca_name,0))&amp;"",""))</f>
        <v/>
      </c>
      <c r="H2586" s="58" t="str">
        <f>IF(OR(COUNTA(A2586:E2586)=0,D2586=""),"",IFERROR(INDEX(ca_type,MATCH(D2586,ca_name,0))&amp;"",""))</f>
        <v/>
      </c>
      <c r="I2586" s="58" t="str">
        <f>IF(COUNTA(A2586:E2586)=0,"",IF(N(A2586)&lt;=0,"Date manquante ou invalide",IF(B2586="","Équipe manquante",IF(ISNA(MATCH(B2586,eq_code,0)),"Équipe inconnue",IF(C2586="","Poste manquant",IF(ISNA(MATCH(C2586,po_code,0)),"Poste inconnu",IF(D2586="","Cause manquante",IF(ISNA(MATCH(D2586,ca_name,0)),"Cause inconnue",IF(H2586="","Cause à compléter dans Paramètres",IF(OR(NOT(ISNUMBER(E2586)),N(E2586)&lt;=0,N(E2586)&gt;1440),"Durée invalide",IF(COUNTIFS(sj_date,A2586,sj_eq,B2586,sj_po,C2586)=0,"Pas de saisie journalière ce jour-là","OK")))))))))))</f>
        <v/>
      </c>
      <c r="J2586">
        <f>IF(OR(I2586="OK",I2586="Pas de saisie journalière ce jour-là"),E2586,0)</f>
        <v>0.0</v>
      </c>
      <c r="K2586">
        <f>IF(AND(J2586&gt;0,A2586&gt;=p_from,A2586&lt;=p_to),1,0)</f>
        <v>0.0</v>
      </c>
      <c r="L2586">
        <f>IF(AND(K2586=1,OR(pa_po="",C2586=pa_po),OR(pa_eq="",B2586=pa_eq)),1,0)</f>
        <v>0.0</v>
      </c>
    </row>
    <row r="2587">
      <c r="A2587" s="51" t="n"/>
      <c r="B2587" s="52" t="n"/>
      <c r="C2587" s="52" t="n"/>
      <c r="D2587" s="53" t="n"/>
      <c r="E2587" s="60" t="n"/>
      <c r="F2587" s="53" t="n"/>
      <c r="G2587" s="61" t="str">
        <f>IF(OR(COUNTA(A2587:E2587)=0,D2587=""),"",IFERROR(INDEX(ca_fam,MATCH(D2587,ca_name,0))&amp;"",""))</f>
        <v/>
      </c>
      <c r="H2587" s="58" t="str">
        <f>IF(OR(COUNTA(A2587:E2587)=0,D2587=""),"",IFERROR(INDEX(ca_type,MATCH(D2587,ca_name,0))&amp;"",""))</f>
        <v/>
      </c>
      <c r="I2587" s="58" t="str">
        <f>IF(COUNTA(A2587:E2587)=0,"",IF(N(A2587)&lt;=0,"Date manquante ou invalide",IF(B2587="","Équipe manquante",IF(ISNA(MATCH(B2587,eq_code,0)),"Équipe inconnue",IF(C2587="","Poste manquant",IF(ISNA(MATCH(C2587,po_code,0)),"Poste inconnu",IF(D2587="","Cause manquante",IF(ISNA(MATCH(D2587,ca_name,0)),"Cause inconnue",IF(H2587="","Cause à compléter dans Paramètres",IF(OR(NOT(ISNUMBER(E2587)),N(E2587)&lt;=0,N(E2587)&gt;1440),"Durée invalide",IF(COUNTIFS(sj_date,A2587,sj_eq,B2587,sj_po,C2587)=0,"Pas de saisie journalière ce jour-là","OK")))))))))))</f>
        <v/>
      </c>
      <c r="J2587">
        <f>IF(OR(I2587="OK",I2587="Pas de saisie journalière ce jour-là"),E2587,0)</f>
        <v>0.0</v>
      </c>
      <c r="K2587">
        <f>IF(AND(J2587&gt;0,A2587&gt;=p_from,A2587&lt;=p_to),1,0)</f>
        <v>0.0</v>
      </c>
      <c r="L2587">
        <f>IF(AND(K2587=1,OR(pa_po="",C2587=pa_po),OR(pa_eq="",B2587=pa_eq)),1,0)</f>
        <v>0.0</v>
      </c>
    </row>
    <row r="2588">
      <c r="A2588" s="51" t="n"/>
      <c r="B2588" s="52" t="n"/>
      <c r="C2588" s="52" t="n"/>
      <c r="D2588" s="53" t="n"/>
      <c r="E2588" s="60" t="n"/>
      <c r="F2588" s="53" t="n"/>
      <c r="G2588" s="61" t="str">
        <f>IF(OR(COUNTA(A2588:E2588)=0,D2588=""),"",IFERROR(INDEX(ca_fam,MATCH(D2588,ca_name,0))&amp;"",""))</f>
        <v/>
      </c>
      <c r="H2588" s="58" t="str">
        <f>IF(OR(COUNTA(A2588:E2588)=0,D2588=""),"",IFERROR(INDEX(ca_type,MATCH(D2588,ca_name,0))&amp;"",""))</f>
        <v/>
      </c>
      <c r="I2588" s="58" t="str">
        <f>IF(COUNTA(A2588:E2588)=0,"",IF(N(A2588)&lt;=0,"Date manquante ou invalide",IF(B2588="","Équipe manquante",IF(ISNA(MATCH(B2588,eq_code,0)),"Équipe inconnue",IF(C2588="","Poste manquant",IF(ISNA(MATCH(C2588,po_code,0)),"Poste inconnu",IF(D2588="","Cause manquante",IF(ISNA(MATCH(D2588,ca_name,0)),"Cause inconnue",IF(H2588="","Cause à compléter dans Paramètres",IF(OR(NOT(ISNUMBER(E2588)),N(E2588)&lt;=0,N(E2588)&gt;1440),"Durée invalide",IF(COUNTIFS(sj_date,A2588,sj_eq,B2588,sj_po,C2588)=0,"Pas de saisie journalière ce jour-là","OK")))))))))))</f>
        <v/>
      </c>
      <c r="J2588">
        <f>IF(OR(I2588="OK",I2588="Pas de saisie journalière ce jour-là"),E2588,0)</f>
        <v>0.0</v>
      </c>
      <c r="K2588">
        <f>IF(AND(J2588&gt;0,A2588&gt;=p_from,A2588&lt;=p_to),1,0)</f>
        <v>0.0</v>
      </c>
      <c r="L2588">
        <f>IF(AND(K2588=1,OR(pa_po="",C2588=pa_po),OR(pa_eq="",B2588=pa_eq)),1,0)</f>
        <v>0.0</v>
      </c>
    </row>
    <row r="2589">
      <c r="A2589" s="51" t="n"/>
      <c r="B2589" s="52" t="n"/>
      <c r="C2589" s="52" t="n"/>
      <c r="D2589" s="53" t="n"/>
      <c r="E2589" s="60" t="n"/>
      <c r="F2589" s="53" t="n"/>
      <c r="G2589" s="61" t="str">
        <f>IF(OR(COUNTA(A2589:E2589)=0,D2589=""),"",IFERROR(INDEX(ca_fam,MATCH(D2589,ca_name,0))&amp;"",""))</f>
        <v/>
      </c>
      <c r="H2589" s="58" t="str">
        <f>IF(OR(COUNTA(A2589:E2589)=0,D2589=""),"",IFERROR(INDEX(ca_type,MATCH(D2589,ca_name,0))&amp;"",""))</f>
        <v/>
      </c>
      <c r="I2589" s="58" t="str">
        <f>IF(COUNTA(A2589:E2589)=0,"",IF(N(A2589)&lt;=0,"Date manquante ou invalide",IF(B2589="","Équipe manquante",IF(ISNA(MATCH(B2589,eq_code,0)),"Équipe inconnue",IF(C2589="","Poste manquant",IF(ISNA(MATCH(C2589,po_code,0)),"Poste inconnu",IF(D2589="","Cause manquante",IF(ISNA(MATCH(D2589,ca_name,0)),"Cause inconnue",IF(H2589="","Cause à compléter dans Paramètres",IF(OR(NOT(ISNUMBER(E2589)),N(E2589)&lt;=0,N(E2589)&gt;1440),"Durée invalide",IF(COUNTIFS(sj_date,A2589,sj_eq,B2589,sj_po,C2589)=0,"Pas de saisie journalière ce jour-là","OK")))))))))))</f>
        <v/>
      </c>
      <c r="J2589">
        <f>IF(OR(I2589="OK",I2589="Pas de saisie journalière ce jour-là"),E2589,0)</f>
        <v>0.0</v>
      </c>
      <c r="K2589">
        <f>IF(AND(J2589&gt;0,A2589&gt;=p_from,A2589&lt;=p_to),1,0)</f>
        <v>0.0</v>
      </c>
      <c r="L2589">
        <f>IF(AND(K2589=1,OR(pa_po="",C2589=pa_po),OR(pa_eq="",B2589=pa_eq)),1,0)</f>
        <v>0.0</v>
      </c>
    </row>
    <row r="2590">
      <c r="A2590" s="51" t="n"/>
      <c r="B2590" s="52" t="n"/>
      <c r="C2590" s="52" t="n"/>
      <c r="D2590" s="53" t="n"/>
      <c r="E2590" s="60" t="n"/>
      <c r="F2590" s="53" t="n"/>
      <c r="G2590" s="61" t="str">
        <f>IF(OR(COUNTA(A2590:E2590)=0,D2590=""),"",IFERROR(INDEX(ca_fam,MATCH(D2590,ca_name,0))&amp;"",""))</f>
        <v/>
      </c>
      <c r="H2590" s="58" t="str">
        <f>IF(OR(COUNTA(A2590:E2590)=0,D2590=""),"",IFERROR(INDEX(ca_type,MATCH(D2590,ca_name,0))&amp;"",""))</f>
        <v/>
      </c>
      <c r="I2590" s="58" t="str">
        <f>IF(COUNTA(A2590:E2590)=0,"",IF(N(A2590)&lt;=0,"Date manquante ou invalide",IF(B2590="","Équipe manquante",IF(ISNA(MATCH(B2590,eq_code,0)),"Équipe inconnue",IF(C2590="","Poste manquant",IF(ISNA(MATCH(C2590,po_code,0)),"Poste inconnu",IF(D2590="","Cause manquante",IF(ISNA(MATCH(D2590,ca_name,0)),"Cause inconnue",IF(H2590="","Cause à compléter dans Paramètres",IF(OR(NOT(ISNUMBER(E2590)),N(E2590)&lt;=0,N(E2590)&gt;1440),"Durée invalide",IF(COUNTIFS(sj_date,A2590,sj_eq,B2590,sj_po,C2590)=0,"Pas de saisie journalière ce jour-là","OK")))))))))))</f>
        <v/>
      </c>
      <c r="J2590">
        <f>IF(OR(I2590="OK",I2590="Pas de saisie journalière ce jour-là"),E2590,0)</f>
        <v>0.0</v>
      </c>
      <c r="K2590">
        <f>IF(AND(J2590&gt;0,A2590&gt;=p_from,A2590&lt;=p_to),1,0)</f>
        <v>0.0</v>
      </c>
      <c r="L2590">
        <f>IF(AND(K2590=1,OR(pa_po="",C2590=pa_po),OR(pa_eq="",B2590=pa_eq)),1,0)</f>
        <v>0.0</v>
      </c>
    </row>
    <row r="2591">
      <c r="A2591" s="51" t="n"/>
      <c r="B2591" s="52" t="n"/>
      <c r="C2591" s="52" t="n"/>
      <c r="D2591" s="53" t="n"/>
      <c r="E2591" s="60" t="n"/>
      <c r="F2591" s="53" t="n"/>
      <c r="G2591" s="61" t="str">
        <f>IF(OR(COUNTA(A2591:E2591)=0,D2591=""),"",IFERROR(INDEX(ca_fam,MATCH(D2591,ca_name,0))&amp;"",""))</f>
        <v/>
      </c>
      <c r="H2591" s="58" t="str">
        <f>IF(OR(COUNTA(A2591:E2591)=0,D2591=""),"",IFERROR(INDEX(ca_type,MATCH(D2591,ca_name,0))&amp;"",""))</f>
        <v/>
      </c>
      <c r="I2591" s="58" t="str">
        <f>IF(COUNTA(A2591:E2591)=0,"",IF(N(A2591)&lt;=0,"Date manquante ou invalide",IF(B2591="","Équipe manquante",IF(ISNA(MATCH(B2591,eq_code,0)),"Équipe inconnue",IF(C2591="","Poste manquant",IF(ISNA(MATCH(C2591,po_code,0)),"Poste inconnu",IF(D2591="","Cause manquante",IF(ISNA(MATCH(D2591,ca_name,0)),"Cause inconnue",IF(H2591="","Cause à compléter dans Paramètres",IF(OR(NOT(ISNUMBER(E2591)),N(E2591)&lt;=0,N(E2591)&gt;1440),"Durée invalide",IF(COUNTIFS(sj_date,A2591,sj_eq,B2591,sj_po,C2591)=0,"Pas de saisie journalière ce jour-là","OK")))))))))))</f>
        <v/>
      </c>
      <c r="J2591">
        <f>IF(OR(I2591="OK",I2591="Pas de saisie journalière ce jour-là"),E2591,0)</f>
        <v>0.0</v>
      </c>
      <c r="K2591">
        <f>IF(AND(J2591&gt;0,A2591&gt;=p_from,A2591&lt;=p_to),1,0)</f>
        <v>0.0</v>
      </c>
      <c r="L2591">
        <f>IF(AND(K2591=1,OR(pa_po="",C2591=pa_po),OR(pa_eq="",B2591=pa_eq)),1,0)</f>
        <v>0.0</v>
      </c>
    </row>
    <row r="2592">
      <c r="A2592" s="51" t="n"/>
      <c r="B2592" s="52" t="n"/>
      <c r="C2592" s="52" t="n"/>
      <c r="D2592" s="53" t="n"/>
      <c r="E2592" s="60" t="n"/>
      <c r="F2592" s="53" t="n"/>
      <c r="G2592" s="61" t="str">
        <f>IF(OR(COUNTA(A2592:E2592)=0,D2592=""),"",IFERROR(INDEX(ca_fam,MATCH(D2592,ca_name,0))&amp;"",""))</f>
        <v/>
      </c>
      <c r="H2592" s="58" t="str">
        <f>IF(OR(COUNTA(A2592:E2592)=0,D2592=""),"",IFERROR(INDEX(ca_type,MATCH(D2592,ca_name,0))&amp;"",""))</f>
        <v/>
      </c>
      <c r="I2592" s="58" t="str">
        <f>IF(COUNTA(A2592:E2592)=0,"",IF(N(A2592)&lt;=0,"Date manquante ou invalide",IF(B2592="","Équipe manquante",IF(ISNA(MATCH(B2592,eq_code,0)),"Équipe inconnue",IF(C2592="","Poste manquant",IF(ISNA(MATCH(C2592,po_code,0)),"Poste inconnu",IF(D2592="","Cause manquante",IF(ISNA(MATCH(D2592,ca_name,0)),"Cause inconnue",IF(H2592="","Cause à compléter dans Paramètres",IF(OR(NOT(ISNUMBER(E2592)),N(E2592)&lt;=0,N(E2592)&gt;1440),"Durée invalide",IF(COUNTIFS(sj_date,A2592,sj_eq,B2592,sj_po,C2592)=0,"Pas de saisie journalière ce jour-là","OK")))))))))))</f>
        <v/>
      </c>
      <c r="J2592">
        <f>IF(OR(I2592="OK",I2592="Pas de saisie journalière ce jour-là"),E2592,0)</f>
        <v>0.0</v>
      </c>
      <c r="K2592">
        <f>IF(AND(J2592&gt;0,A2592&gt;=p_from,A2592&lt;=p_to),1,0)</f>
        <v>0.0</v>
      </c>
      <c r="L2592">
        <f>IF(AND(K2592=1,OR(pa_po="",C2592=pa_po),OR(pa_eq="",B2592=pa_eq)),1,0)</f>
        <v>0.0</v>
      </c>
    </row>
    <row r="2593">
      <c r="A2593" s="51" t="n"/>
      <c r="B2593" s="52" t="n"/>
      <c r="C2593" s="52" t="n"/>
      <c r="D2593" s="53" t="n"/>
      <c r="E2593" s="60" t="n"/>
      <c r="F2593" s="53" t="n"/>
      <c r="G2593" s="61" t="str">
        <f>IF(OR(COUNTA(A2593:E2593)=0,D2593=""),"",IFERROR(INDEX(ca_fam,MATCH(D2593,ca_name,0))&amp;"",""))</f>
        <v/>
      </c>
      <c r="H2593" s="58" t="str">
        <f>IF(OR(COUNTA(A2593:E2593)=0,D2593=""),"",IFERROR(INDEX(ca_type,MATCH(D2593,ca_name,0))&amp;"",""))</f>
        <v/>
      </c>
      <c r="I2593" s="58" t="str">
        <f>IF(COUNTA(A2593:E2593)=0,"",IF(N(A2593)&lt;=0,"Date manquante ou invalide",IF(B2593="","Équipe manquante",IF(ISNA(MATCH(B2593,eq_code,0)),"Équipe inconnue",IF(C2593="","Poste manquant",IF(ISNA(MATCH(C2593,po_code,0)),"Poste inconnu",IF(D2593="","Cause manquante",IF(ISNA(MATCH(D2593,ca_name,0)),"Cause inconnue",IF(H2593="","Cause à compléter dans Paramètres",IF(OR(NOT(ISNUMBER(E2593)),N(E2593)&lt;=0,N(E2593)&gt;1440),"Durée invalide",IF(COUNTIFS(sj_date,A2593,sj_eq,B2593,sj_po,C2593)=0,"Pas de saisie journalière ce jour-là","OK")))))))))))</f>
        <v/>
      </c>
      <c r="J2593">
        <f>IF(OR(I2593="OK",I2593="Pas de saisie journalière ce jour-là"),E2593,0)</f>
        <v>0.0</v>
      </c>
      <c r="K2593">
        <f>IF(AND(J2593&gt;0,A2593&gt;=p_from,A2593&lt;=p_to),1,0)</f>
        <v>0.0</v>
      </c>
      <c r="L2593">
        <f>IF(AND(K2593=1,OR(pa_po="",C2593=pa_po),OR(pa_eq="",B2593=pa_eq)),1,0)</f>
        <v>0.0</v>
      </c>
    </row>
    <row r="2594">
      <c r="A2594" s="51" t="n"/>
      <c r="B2594" s="52" t="n"/>
      <c r="C2594" s="52" t="n"/>
      <c r="D2594" s="53" t="n"/>
      <c r="E2594" s="60" t="n"/>
      <c r="F2594" s="53" t="n"/>
      <c r="G2594" s="61" t="str">
        <f>IF(OR(COUNTA(A2594:E2594)=0,D2594=""),"",IFERROR(INDEX(ca_fam,MATCH(D2594,ca_name,0))&amp;"",""))</f>
        <v/>
      </c>
      <c r="H2594" s="58" t="str">
        <f>IF(OR(COUNTA(A2594:E2594)=0,D2594=""),"",IFERROR(INDEX(ca_type,MATCH(D2594,ca_name,0))&amp;"",""))</f>
        <v/>
      </c>
      <c r="I2594" s="58" t="str">
        <f>IF(COUNTA(A2594:E2594)=0,"",IF(N(A2594)&lt;=0,"Date manquante ou invalide",IF(B2594="","Équipe manquante",IF(ISNA(MATCH(B2594,eq_code,0)),"Équipe inconnue",IF(C2594="","Poste manquant",IF(ISNA(MATCH(C2594,po_code,0)),"Poste inconnu",IF(D2594="","Cause manquante",IF(ISNA(MATCH(D2594,ca_name,0)),"Cause inconnue",IF(H2594="","Cause à compléter dans Paramètres",IF(OR(NOT(ISNUMBER(E2594)),N(E2594)&lt;=0,N(E2594)&gt;1440),"Durée invalide",IF(COUNTIFS(sj_date,A2594,sj_eq,B2594,sj_po,C2594)=0,"Pas de saisie journalière ce jour-là","OK")))))))))))</f>
        <v/>
      </c>
      <c r="J2594">
        <f>IF(OR(I2594="OK",I2594="Pas de saisie journalière ce jour-là"),E2594,0)</f>
        <v>0.0</v>
      </c>
      <c r="K2594">
        <f>IF(AND(J2594&gt;0,A2594&gt;=p_from,A2594&lt;=p_to),1,0)</f>
        <v>0.0</v>
      </c>
      <c r="L2594">
        <f>IF(AND(K2594=1,OR(pa_po="",C2594=pa_po),OR(pa_eq="",B2594=pa_eq)),1,0)</f>
        <v>0.0</v>
      </c>
    </row>
    <row r="2595">
      <c r="A2595" s="51" t="n"/>
      <c r="B2595" s="52" t="n"/>
      <c r="C2595" s="52" t="n"/>
      <c r="D2595" s="53" t="n"/>
      <c r="E2595" s="60" t="n"/>
      <c r="F2595" s="53" t="n"/>
      <c r="G2595" s="61" t="str">
        <f>IF(OR(COUNTA(A2595:E2595)=0,D2595=""),"",IFERROR(INDEX(ca_fam,MATCH(D2595,ca_name,0))&amp;"",""))</f>
        <v/>
      </c>
      <c r="H2595" s="58" t="str">
        <f>IF(OR(COUNTA(A2595:E2595)=0,D2595=""),"",IFERROR(INDEX(ca_type,MATCH(D2595,ca_name,0))&amp;"",""))</f>
        <v/>
      </c>
      <c r="I2595" s="58" t="str">
        <f>IF(COUNTA(A2595:E2595)=0,"",IF(N(A2595)&lt;=0,"Date manquante ou invalide",IF(B2595="","Équipe manquante",IF(ISNA(MATCH(B2595,eq_code,0)),"Équipe inconnue",IF(C2595="","Poste manquant",IF(ISNA(MATCH(C2595,po_code,0)),"Poste inconnu",IF(D2595="","Cause manquante",IF(ISNA(MATCH(D2595,ca_name,0)),"Cause inconnue",IF(H2595="","Cause à compléter dans Paramètres",IF(OR(NOT(ISNUMBER(E2595)),N(E2595)&lt;=0,N(E2595)&gt;1440),"Durée invalide",IF(COUNTIFS(sj_date,A2595,sj_eq,B2595,sj_po,C2595)=0,"Pas de saisie journalière ce jour-là","OK")))))))))))</f>
        <v/>
      </c>
      <c r="J2595">
        <f>IF(OR(I2595="OK",I2595="Pas de saisie journalière ce jour-là"),E2595,0)</f>
        <v>0.0</v>
      </c>
      <c r="K2595">
        <f>IF(AND(J2595&gt;0,A2595&gt;=p_from,A2595&lt;=p_to),1,0)</f>
        <v>0.0</v>
      </c>
      <c r="L2595">
        <f>IF(AND(K2595=1,OR(pa_po="",C2595=pa_po),OR(pa_eq="",B2595=pa_eq)),1,0)</f>
        <v>0.0</v>
      </c>
    </row>
    <row r="2596">
      <c r="A2596" s="51" t="n"/>
      <c r="B2596" s="52" t="n"/>
      <c r="C2596" s="52" t="n"/>
      <c r="D2596" s="53" t="n"/>
      <c r="E2596" s="60" t="n"/>
      <c r="F2596" s="53" t="n"/>
      <c r="G2596" s="61" t="str">
        <f>IF(OR(COUNTA(A2596:E2596)=0,D2596=""),"",IFERROR(INDEX(ca_fam,MATCH(D2596,ca_name,0))&amp;"",""))</f>
        <v/>
      </c>
      <c r="H2596" s="58" t="str">
        <f>IF(OR(COUNTA(A2596:E2596)=0,D2596=""),"",IFERROR(INDEX(ca_type,MATCH(D2596,ca_name,0))&amp;"",""))</f>
        <v/>
      </c>
      <c r="I2596" s="58" t="str">
        <f>IF(COUNTA(A2596:E2596)=0,"",IF(N(A2596)&lt;=0,"Date manquante ou invalide",IF(B2596="","Équipe manquante",IF(ISNA(MATCH(B2596,eq_code,0)),"Équipe inconnue",IF(C2596="","Poste manquant",IF(ISNA(MATCH(C2596,po_code,0)),"Poste inconnu",IF(D2596="","Cause manquante",IF(ISNA(MATCH(D2596,ca_name,0)),"Cause inconnue",IF(H2596="","Cause à compléter dans Paramètres",IF(OR(NOT(ISNUMBER(E2596)),N(E2596)&lt;=0,N(E2596)&gt;1440),"Durée invalide",IF(COUNTIFS(sj_date,A2596,sj_eq,B2596,sj_po,C2596)=0,"Pas de saisie journalière ce jour-là","OK")))))))))))</f>
        <v/>
      </c>
      <c r="J2596">
        <f>IF(OR(I2596="OK",I2596="Pas de saisie journalière ce jour-là"),E2596,0)</f>
        <v>0.0</v>
      </c>
      <c r="K2596">
        <f>IF(AND(J2596&gt;0,A2596&gt;=p_from,A2596&lt;=p_to),1,0)</f>
        <v>0.0</v>
      </c>
      <c r="L2596">
        <f>IF(AND(K2596=1,OR(pa_po="",C2596=pa_po),OR(pa_eq="",B2596=pa_eq)),1,0)</f>
        <v>0.0</v>
      </c>
    </row>
    <row r="2597">
      <c r="A2597" s="51" t="n"/>
      <c r="B2597" s="52" t="n"/>
      <c r="C2597" s="52" t="n"/>
      <c r="D2597" s="53" t="n"/>
      <c r="E2597" s="60" t="n"/>
      <c r="F2597" s="53" t="n"/>
      <c r="G2597" s="61" t="str">
        <f>IF(OR(COUNTA(A2597:E2597)=0,D2597=""),"",IFERROR(INDEX(ca_fam,MATCH(D2597,ca_name,0))&amp;"",""))</f>
        <v/>
      </c>
      <c r="H2597" s="58" t="str">
        <f>IF(OR(COUNTA(A2597:E2597)=0,D2597=""),"",IFERROR(INDEX(ca_type,MATCH(D2597,ca_name,0))&amp;"",""))</f>
        <v/>
      </c>
      <c r="I2597" s="58" t="str">
        <f>IF(COUNTA(A2597:E2597)=0,"",IF(N(A2597)&lt;=0,"Date manquante ou invalide",IF(B2597="","Équipe manquante",IF(ISNA(MATCH(B2597,eq_code,0)),"Équipe inconnue",IF(C2597="","Poste manquant",IF(ISNA(MATCH(C2597,po_code,0)),"Poste inconnu",IF(D2597="","Cause manquante",IF(ISNA(MATCH(D2597,ca_name,0)),"Cause inconnue",IF(H2597="","Cause à compléter dans Paramètres",IF(OR(NOT(ISNUMBER(E2597)),N(E2597)&lt;=0,N(E2597)&gt;1440),"Durée invalide",IF(COUNTIFS(sj_date,A2597,sj_eq,B2597,sj_po,C2597)=0,"Pas de saisie journalière ce jour-là","OK")))))))))))</f>
        <v/>
      </c>
      <c r="J2597">
        <f>IF(OR(I2597="OK",I2597="Pas de saisie journalière ce jour-là"),E2597,0)</f>
        <v>0.0</v>
      </c>
      <c r="K2597">
        <f>IF(AND(J2597&gt;0,A2597&gt;=p_from,A2597&lt;=p_to),1,0)</f>
        <v>0.0</v>
      </c>
      <c r="L2597">
        <f>IF(AND(K2597=1,OR(pa_po="",C2597=pa_po),OR(pa_eq="",B2597=pa_eq)),1,0)</f>
        <v>0.0</v>
      </c>
    </row>
    <row r="2598">
      <c r="A2598" s="51" t="n"/>
      <c r="B2598" s="52" t="n"/>
      <c r="C2598" s="52" t="n"/>
      <c r="D2598" s="53" t="n"/>
      <c r="E2598" s="60" t="n"/>
      <c r="F2598" s="53" t="n"/>
      <c r="G2598" s="61" t="str">
        <f>IF(OR(COUNTA(A2598:E2598)=0,D2598=""),"",IFERROR(INDEX(ca_fam,MATCH(D2598,ca_name,0))&amp;"",""))</f>
        <v/>
      </c>
      <c r="H2598" s="58" t="str">
        <f>IF(OR(COUNTA(A2598:E2598)=0,D2598=""),"",IFERROR(INDEX(ca_type,MATCH(D2598,ca_name,0))&amp;"",""))</f>
        <v/>
      </c>
      <c r="I2598" s="58" t="str">
        <f>IF(COUNTA(A2598:E2598)=0,"",IF(N(A2598)&lt;=0,"Date manquante ou invalide",IF(B2598="","Équipe manquante",IF(ISNA(MATCH(B2598,eq_code,0)),"Équipe inconnue",IF(C2598="","Poste manquant",IF(ISNA(MATCH(C2598,po_code,0)),"Poste inconnu",IF(D2598="","Cause manquante",IF(ISNA(MATCH(D2598,ca_name,0)),"Cause inconnue",IF(H2598="","Cause à compléter dans Paramètres",IF(OR(NOT(ISNUMBER(E2598)),N(E2598)&lt;=0,N(E2598)&gt;1440),"Durée invalide",IF(COUNTIFS(sj_date,A2598,sj_eq,B2598,sj_po,C2598)=0,"Pas de saisie journalière ce jour-là","OK")))))))))))</f>
        <v/>
      </c>
      <c r="J2598">
        <f>IF(OR(I2598="OK",I2598="Pas de saisie journalière ce jour-là"),E2598,0)</f>
        <v>0.0</v>
      </c>
      <c r="K2598">
        <f>IF(AND(J2598&gt;0,A2598&gt;=p_from,A2598&lt;=p_to),1,0)</f>
        <v>0.0</v>
      </c>
      <c r="L2598">
        <f>IF(AND(K2598=1,OR(pa_po="",C2598=pa_po),OR(pa_eq="",B2598=pa_eq)),1,0)</f>
        <v>0.0</v>
      </c>
    </row>
    <row r="2599">
      <c r="A2599" s="51" t="n"/>
      <c r="B2599" s="52" t="n"/>
      <c r="C2599" s="52" t="n"/>
      <c r="D2599" s="53" t="n"/>
      <c r="E2599" s="60" t="n"/>
      <c r="F2599" s="53" t="n"/>
      <c r="G2599" s="61" t="str">
        <f>IF(OR(COUNTA(A2599:E2599)=0,D2599=""),"",IFERROR(INDEX(ca_fam,MATCH(D2599,ca_name,0))&amp;"",""))</f>
        <v/>
      </c>
      <c r="H2599" s="58" t="str">
        <f>IF(OR(COUNTA(A2599:E2599)=0,D2599=""),"",IFERROR(INDEX(ca_type,MATCH(D2599,ca_name,0))&amp;"",""))</f>
        <v/>
      </c>
      <c r="I2599" s="58" t="str">
        <f>IF(COUNTA(A2599:E2599)=0,"",IF(N(A2599)&lt;=0,"Date manquante ou invalide",IF(B2599="","Équipe manquante",IF(ISNA(MATCH(B2599,eq_code,0)),"Équipe inconnue",IF(C2599="","Poste manquant",IF(ISNA(MATCH(C2599,po_code,0)),"Poste inconnu",IF(D2599="","Cause manquante",IF(ISNA(MATCH(D2599,ca_name,0)),"Cause inconnue",IF(H2599="","Cause à compléter dans Paramètres",IF(OR(NOT(ISNUMBER(E2599)),N(E2599)&lt;=0,N(E2599)&gt;1440),"Durée invalide",IF(COUNTIFS(sj_date,A2599,sj_eq,B2599,sj_po,C2599)=0,"Pas de saisie journalière ce jour-là","OK")))))))))))</f>
        <v/>
      </c>
      <c r="J2599">
        <f>IF(OR(I2599="OK",I2599="Pas de saisie journalière ce jour-là"),E2599,0)</f>
        <v>0.0</v>
      </c>
      <c r="K2599">
        <f>IF(AND(J2599&gt;0,A2599&gt;=p_from,A2599&lt;=p_to),1,0)</f>
        <v>0.0</v>
      </c>
      <c r="L2599">
        <f>IF(AND(K2599=1,OR(pa_po="",C2599=pa_po),OR(pa_eq="",B2599=pa_eq)),1,0)</f>
        <v>0.0</v>
      </c>
    </row>
    <row r="2600">
      <c r="A2600" s="51" t="n"/>
      <c r="B2600" s="52" t="n"/>
      <c r="C2600" s="52" t="n"/>
      <c r="D2600" s="53" t="n"/>
      <c r="E2600" s="60" t="n"/>
      <c r="F2600" s="53" t="n"/>
      <c r="G2600" s="61" t="str">
        <f>IF(OR(COUNTA(A2600:E2600)=0,D2600=""),"",IFERROR(INDEX(ca_fam,MATCH(D2600,ca_name,0))&amp;"",""))</f>
        <v/>
      </c>
      <c r="H2600" s="58" t="str">
        <f>IF(OR(COUNTA(A2600:E2600)=0,D2600=""),"",IFERROR(INDEX(ca_type,MATCH(D2600,ca_name,0))&amp;"",""))</f>
        <v/>
      </c>
      <c r="I2600" s="58" t="str">
        <f>IF(COUNTA(A2600:E2600)=0,"",IF(N(A2600)&lt;=0,"Date manquante ou invalide",IF(B2600="","Équipe manquante",IF(ISNA(MATCH(B2600,eq_code,0)),"Équipe inconnue",IF(C2600="","Poste manquant",IF(ISNA(MATCH(C2600,po_code,0)),"Poste inconnu",IF(D2600="","Cause manquante",IF(ISNA(MATCH(D2600,ca_name,0)),"Cause inconnue",IF(H2600="","Cause à compléter dans Paramètres",IF(OR(NOT(ISNUMBER(E2600)),N(E2600)&lt;=0,N(E2600)&gt;1440),"Durée invalide",IF(COUNTIFS(sj_date,A2600,sj_eq,B2600,sj_po,C2600)=0,"Pas de saisie journalière ce jour-là","OK")))))))))))</f>
        <v/>
      </c>
      <c r="J2600">
        <f>IF(OR(I2600="OK",I2600="Pas de saisie journalière ce jour-là"),E2600,0)</f>
        <v>0.0</v>
      </c>
      <c r="K2600">
        <f>IF(AND(J2600&gt;0,A2600&gt;=p_from,A2600&lt;=p_to),1,0)</f>
        <v>0.0</v>
      </c>
      <c r="L2600">
        <f>IF(AND(K2600=1,OR(pa_po="",C2600=pa_po),OR(pa_eq="",B2600=pa_eq)),1,0)</f>
        <v>0.0</v>
      </c>
    </row>
    <row r="2601">
      <c r="A2601" s="51" t="n"/>
      <c r="B2601" s="52" t="n"/>
      <c r="C2601" s="52" t="n"/>
      <c r="D2601" s="53" t="n"/>
      <c r="E2601" s="60" t="n"/>
      <c r="F2601" s="53" t="n"/>
      <c r="G2601" s="61" t="str">
        <f>IF(OR(COUNTA(A2601:E2601)=0,D2601=""),"",IFERROR(INDEX(ca_fam,MATCH(D2601,ca_name,0))&amp;"",""))</f>
        <v/>
      </c>
      <c r="H2601" s="58" t="str">
        <f>IF(OR(COUNTA(A2601:E2601)=0,D2601=""),"",IFERROR(INDEX(ca_type,MATCH(D2601,ca_name,0))&amp;"",""))</f>
        <v/>
      </c>
      <c r="I2601" s="58" t="str">
        <f>IF(COUNTA(A2601:E2601)=0,"",IF(N(A2601)&lt;=0,"Date manquante ou invalide",IF(B2601="","Équipe manquante",IF(ISNA(MATCH(B2601,eq_code,0)),"Équipe inconnue",IF(C2601="","Poste manquant",IF(ISNA(MATCH(C2601,po_code,0)),"Poste inconnu",IF(D2601="","Cause manquante",IF(ISNA(MATCH(D2601,ca_name,0)),"Cause inconnue",IF(H2601="","Cause à compléter dans Paramètres",IF(OR(NOT(ISNUMBER(E2601)),N(E2601)&lt;=0,N(E2601)&gt;1440),"Durée invalide",IF(COUNTIFS(sj_date,A2601,sj_eq,B2601,sj_po,C2601)=0,"Pas de saisie journalière ce jour-là","OK")))))))))))</f>
        <v/>
      </c>
      <c r="J2601">
        <f>IF(OR(I2601="OK",I2601="Pas de saisie journalière ce jour-là"),E2601,0)</f>
        <v>0.0</v>
      </c>
      <c r="K2601">
        <f>IF(AND(J2601&gt;0,A2601&gt;=p_from,A2601&lt;=p_to),1,0)</f>
        <v>0.0</v>
      </c>
      <c r="L2601">
        <f>IF(AND(K2601=1,OR(pa_po="",C2601=pa_po),OR(pa_eq="",B2601=pa_eq)),1,0)</f>
        <v>0.0</v>
      </c>
    </row>
    <row r="2602">
      <c r="A2602" s="51" t="n"/>
      <c r="B2602" s="52" t="n"/>
      <c r="C2602" s="52" t="n"/>
      <c r="D2602" s="53" t="n"/>
      <c r="E2602" s="60" t="n"/>
      <c r="F2602" s="53" t="n"/>
      <c r="G2602" s="61" t="str">
        <f>IF(OR(COUNTA(A2602:E2602)=0,D2602=""),"",IFERROR(INDEX(ca_fam,MATCH(D2602,ca_name,0))&amp;"",""))</f>
        <v/>
      </c>
      <c r="H2602" s="58" t="str">
        <f>IF(OR(COUNTA(A2602:E2602)=0,D2602=""),"",IFERROR(INDEX(ca_type,MATCH(D2602,ca_name,0))&amp;"",""))</f>
        <v/>
      </c>
      <c r="I2602" s="58" t="str">
        <f>IF(COUNTA(A2602:E2602)=0,"",IF(N(A2602)&lt;=0,"Date manquante ou invalide",IF(B2602="","Équipe manquante",IF(ISNA(MATCH(B2602,eq_code,0)),"Équipe inconnue",IF(C2602="","Poste manquant",IF(ISNA(MATCH(C2602,po_code,0)),"Poste inconnu",IF(D2602="","Cause manquante",IF(ISNA(MATCH(D2602,ca_name,0)),"Cause inconnue",IF(H2602="","Cause à compléter dans Paramètres",IF(OR(NOT(ISNUMBER(E2602)),N(E2602)&lt;=0,N(E2602)&gt;1440),"Durée invalide",IF(COUNTIFS(sj_date,A2602,sj_eq,B2602,sj_po,C2602)=0,"Pas de saisie journalière ce jour-là","OK")))))))))))</f>
        <v/>
      </c>
      <c r="J2602">
        <f>IF(OR(I2602="OK",I2602="Pas de saisie journalière ce jour-là"),E2602,0)</f>
        <v>0.0</v>
      </c>
      <c r="K2602">
        <f>IF(AND(J2602&gt;0,A2602&gt;=p_from,A2602&lt;=p_to),1,0)</f>
        <v>0.0</v>
      </c>
      <c r="L2602">
        <f>IF(AND(K2602=1,OR(pa_po="",C2602=pa_po),OR(pa_eq="",B2602=pa_eq)),1,0)</f>
        <v>0.0</v>
      </c>
    </row>
    <row r="2603">
      <c r="A2603" s="51" t="n"/>
      <c r="B2603" s="52" t="n"/>
      <c r="C2603" s="52" t="n"/>
      <c r="D2603" s="53" t="n"/>
      <c r="E2603" s="60" t="n"/>
      <c r="F2603" s="53" t="n"/>
      <c r="G2603" s="61" t="str">
        <f>IF(OR(COUNTA(A2603:E2603)=0,D2603=""),"",IFERROR(INDEX(ca_fam,MATCH(D2603,ca_name,0))&amp;"",""))</f>
        <v/>
      </c>
      <c r="H2603" s="58" t="str">
        <f>IF(OR(COUNTA(A2603:E2603)=0,D2603=""),"",IFERROR(INDEX(ca_type,MATCH(D2603,ca_name,0))&amp;"",""))</f>
        <v/>
      </c>
      <c r="I2603" s="58" t="str">
        <f>IF(COUNTA(A2603:E2603)=0,"",IF(N(A2603)&lt;=0,"Date manquante ou invalide",IF(B2603="","Équipe manquante",IF(ISNA(MATCH(B2603,eq_code,0)),"Équipe inconnue",IF(C2603="","Poste manquant",IF(ISNA(MATCH(C2603,po_code,0)),"Poste inconnu",IF(D2603="","Cause manquante",IF(ISNA(MATCH(D2603,ca_name,0)),"Cause inconnue",IF(H2603="","Cause à compléter dans Paramètres",IF(OR(NOT(ISNUMBER(E2603)),N(E2603)&lt;=0,N(E2603)&gt;1440),"Durée invalide",IF(COUNTIFS(sj_date,A2603,sj_eq,B2603,sj_po,C2603)=0,"Pas de saisie journalière ce jour-là","OK")))))))))))</f>
        <v/>
      </c>
      <c r="J2603">
        <f>IF(OR(I2603="OK",I2603="Pas de saisie journalière ce jour-là"),E2603,0)</f>
        <v>0.0</v>
      </c>
      <c r="K2603">
        <f>IF(AND(J2603&gt;0,A2603&gt;=p_from,A2603&lt;=p_to),1,0)</f>
        <v>0.0</v>
      </c>
      <c r="L2603">
        <f>IF(AND(K2603=1,OR(pa_po="",C2603=pa_po),OR(pa_eq="",B2603=pa_eq)),1,0)</f>
        <v>0.0</v>
      </c>
    </row>
    <row r="2604">
      <c r="A2604" s="51" t="n"/>
      <c r="B2604" s="52" t="n"/>
      <c r="C2604" s="52" t="n"/>
      <c r="D2604" s="53" t="n"/>
      <c r="E2604" s="60" t="n"/>
      <c r="F2604" s="53" t="n"/>
      <c r="G2604" s="61" t="str">
        <f>IF(OR(COUNTA(A2604:E2604)=0,D2604=""),"",IFERROR(INDEX(ca_fam,MATCH(D2604,ca_name,0))&amp;"",""))</f>
        <v/>
      </c>
      <c r="H2604" s="58" t="str">
        <f>IF(OR(COUNTA(A2604:E2604)=0,D2604=""),"",IFERROR(INDEX(ca_type,MATCH(D2604,ca_name,0))&amp;"",""))</f>
        <v/>
      </c>
      <c r="I2604" s="58" t="str">
        <f>IF(COUNTA(A2604:E2604)=0,"",IF(N(A2604)&lt;=0,"Date manquante ou invalide",IF(B2604="","Équipe manquante",IF(ISNA(MATCH(B2604,eq_code,0)),"Équipe inconnue",IF(C2604="","Poste manquant",IF(ISNA(MATCH(C2604,po_code,0)),"Poste inconnu",IF(D2604="","Cause manquante",IF(ISNA(MATCH(D2604,ca_name,0)),"Cause inconnue",IF(H2604="","Cause à compléter dans Paramètres",IF(OR(NOT(ISNUMBER(E2604)),N(E2604)&lt;=0,N(E2604)&gt;1440),"Durée invalide",IF(COUNTIFS(sj_date,A2604,sj_eq,B2604,sj_po,C2604)=0,"Pas de saisie journalière ce jour-là","OK")))))))))))</f>
        <v/>
      </c>
      <c r="J2604">
        <f>IF(OR(I2604="OK",I2604="Pas de saisie journalière ce jour-là"),E2604,0)</f>
        <v>0.0</v>
      </c>
      <c r="K2604">
        <f>IF(AND(J2604&gt;0,A2604&gt;=p_from,A2604&lt;=p_to),1,0)</f>
        <v>0.0</v>
      </c>
      <c r="L2604">
        <f>IF(AND(K2604=1,OR(pa_po="",C2604=pa_po),OR(pa_eq="",B2604=pa_eq)),1,0)</f>
        <v>0.0</v>
      </c>
    </row>
    <row r="2605">
      <c r="A2605" s="51" t="n"/>
      <c r="B2605" s="52" t="n"/>
      <c r="C2605" s="52" t="n"/>
      <c r="D2605" s="53" t="n"/>
      <c r="E2605" s="60" t="n"/>
      <c r="F2605" s="53" t="n"/>
      <c r="G2605" s="61" t="str">
        <f>IF(OR(COUNTA(A2605:E2605)=0,D2605=""),"",IFERROR(INDEX(ca_fam,MATCH(D2605,ca_name,0))&amp;"",""))</f>
        <v/>
      </c>
      <c r="H2605" s="58" t="str">
        <f>IF(OR(COUNTA(A2605:E2605)=0,D2605=""),"",IFERROR(INDEX(ca_type,MATCH(D2605,ca_name,0))&amp;"",""))</f>
        <v/>
      </c>
      <c r="I2605" s="58" t="str">
        <f>IF(COUNTA(A2605:E2605)=0,"",IF(N(A2605)&lt;=0,"Date manquante ou invalide",IF(B2605="","Équipe manquante",IF(ISNA(MATCH(B2605,eq_code,0)),"Équipe inconnue",IF(C2605="","Poste manquant",IF(ISNA(MATCH(C2605,po_code,0)),"Poste inconnu",IF(D2605="","Cause manquante",IF(ISNA(MATCH(D2605,ca_name,0)),"Cause inconnue",IF(H2605="","Cause à compléter dans Paramètres",IF(OR(NOT(ISNUMBER(E2605)),N(E2605)&lt;=0,N(E2605)&gt;1440),"Durée invalide",IF(COUNTIFS(sj_date,A2605,sj_eq,B2605,sj_po,C2605)=0,"Pas de saisie journalière ce jour-là","OK")))))))))))</f>
        <v/>
      </c>
      <c r="J2605">
        <f>IF(OR(I2605="OK",I2605="Pas de saisie journalière ce jour-là"),E2605,0)</f>
        <v>0.0</v>
      </c>
      <c r="K2605">
        <f>IF(AND(J2605&gt;0,A2605&gt;=p_from,A2605&lt;=p_to),1,0)</f>
        <v>0.0</v>
      </c>
      <c r="L2605">
        <f>IF(AND(K2605=1,OR(pa_po="",C2605=pa_po),OR(pa_eq="",B2605=pa_eq)),1,0)</f>
        <v>0.0</v>
      </c>
    </row>
    <row r="2606">
      <c r="A2606" s="51" t="n"/>
      <c r="B2606" s="52" t="n"/>
      <c r="C2606" s="52" t="n"/>
      <c r="D2606" s="53" t="n"/>
      <c r="E2606" s="60" t="n"/>
      <c r="F2606" s="53" t="n"/>
      <c r="G2606" s="61" t="str">
        <f>IF(OR(COUNTA(A2606:E2606)=0,D2606=""),"",IFERROR(INDEX(ca_fam,MATCH(D2606,ca_name,0))&amp;"",""))</f>
        <v/>
      </c>
      <c r="H2606" s="58" t="str">
        <f>IF(OR(COUNTA(A2606:E2606)=0,D2606=""),"",IFERROR(INDEX(ca_type,MATCH(D2606,ca_name,0))&amp;"",""))</f>
        <v/>
      </c>
      <c r="I2606" s="58" t="str">
        <f>IF(COUNTA(A2606:E2606)=0,"",IF(N(A2606)&lt;=0,"Date manquante ou invalide",IF(B2606="","Équipe manquante",IF(ISNA(MATCH(B2606,eq_code,0)),"Équipe inconnue",IF(C2606="","Poste manquant",IF(ISNA(MATCH(C2606,po_code,0)),"Poste inconnu",IF(D2606="","Cause manquante",IF(ISNA(MATCH(D2606,ca_name,0)),"Cause inconnue",IF(H2606="","Cause à compléter dans Paramètres",IF(OR(NOT(ISNUMBER(E2606)),N(E2606)&lt;=0,N(E2606)&gt;1440),"Durée invalide",IF(COUNTIFS(sj_date,A2606,sj_eq,B2606,sj_po,C2606)=0,"Pas de saisie journalière ce jour-là","OK")))))))))))</f>
        <v/>
      </c>
      <c r="J2606">
        <f>IF(OR(I2606="OK",I2606="Pas de saisie journalière ce jour-là"),E2606,0)</f>
        <v>0.0</v>
      </c>
      <c r="K2606">
        <f>IF(AND(J2606&gt;0,A2606&gt;=p_from,A2606&lt;=p_to),1,0)</f>
        <v>0.0</v>
      </c>
      <c r="L2606">
        <f>IF(AND(K2606=1,OR(pa_po="",C2606=pa_po),OR(pa_eq="",B2606=pa_eq)),1,0)</f>
        <v>0.0</v>
      </c>
    </row>
    <row r="2607">
      <c r="A2607" s="51" t="n"/>
      <c r="B2607" s="52" t="n"/>
      <c r="C2607" s="52" t="n"/>
      <c r="D2607" s="53" t="n"/>
      <c r="E2607" s="60" t="n"/>
      <c r="F2607" s="53" t="n"/>
      <c r="G2607" s="61" t="str">
        <f>IF(OR(COUNTA(A2607:E2607)=0,D2607=""),"",IFERROR(INDEX(ca_fam,MATCH(D2607,ca_name,0))&amp;"",""))</f>
        <v/>
      </c>
      <c r="H2607" s="58" t="str">
        <f>IF(OR(COUNTA(A2607:E2607)=0,D2607=""),"",IFERROR(INDEX(ca_type,MATCH(D2607,ca_name,0))&amp;"",""))</f>
        <v/>
      </c>
      <c r="I2607" s="58" t="str">
        <f>IF(COUNTA(A2607:E2607)=0,"",IF(N(A2607)&lt;=0,"Date manquante ou invalide",IF(B2607="","Équipe manquante",IF(ISNA(MATCH(B2607,eq_code,0)),"Équipe inconnue",IF(C2607="","Poste manquant",IF(ISNA(MATCH(C2607,po_code,0)),"Poste inconnu",IF(D2607="","Cause manquante",IF(ISNA(MATCH(D2607,ca_name,0)),"Cause inconnue",IF(H2607="","Cause à compléter dans Paramètres",IF(OR(NOT(ISNUMBER(E2607)),N(E2607)&lt;=0,N(E2607)&gt;1440),"Durée invalide",IF(COUNTIFS(sj_date,A2607,sj_eq,B2607,sj_po,C2607)=0,"Pas de saisie journalière ce jour-là","OK")))))))))))</f>
        <v/>
      </c>
      <c r="J2607">
        <f>IF(OR(I2607="OK",I2607="Pas de saisie journalière ce jour-là"),E2607,0)</f>
        <v>0.0</v>
      </c>
      <c r="K2607">
        <f>IF(AND(J2607&gt;0,A2607&gt;=p_from,A2607&lt;=p_to),1,0)</f>
        <v>0.0</v>
      </c>
      <c r="L2607">
        <f>IF(AND(K2607=1,OR(pa_po="",C2607=pa_po),OR(pa_eq="",B2607=pa_eq)),1,0)</f>
        <v>0.0</v>
      </c>
    </row>
    <row r="2608">
      <c r="A2608" s="51" t="n"/>
      <c r="B2608" s="52" t="n"/>
      <c r="C2608" s="52" t="n"/>
      <c r="D2608" s="53" t="n"/>
      <c r="E2608" s="60" t="n"/>
      <c r="F2608" s="53" t="n"/>
      <c r="G2608" s="61" t="str">
        <f>IF(OR(COUNTA(A2608:E2608)=0,D2608=""),"",IFERROR(INDEX(ca_fam,MATCH(D2608,ca_name,0))&amp;"",""))</f>
        <v/>
      </c>
      <c r="H2608" s="58" t="str">
        <f>IF(OR(COUNTA(A2608:E2608)=0,D2608=""),"",IFERROR(INDEX(ca_type,MATCH(D2608,ca_name,0))&amp;"",""))</f>
        <v/>
      </c>
      <c r="I2608" s="58" t="str">
        <f>IF(COUNTA(A2608:E2608)=0,"",IF(N(A2608)&lt;=0,"Date manquante ou invalide",IF(B2608="","Équipe manquante",IF(ISNA(MATCH(B2608,eq_code,0)),"Équipe inconnue",IF(C2608="","Poste manquant",IF(ISNA(MATCH(C2608,po_code,0)),"Poste inconnu",IF(D2608="","Cause manquante",IF(ISNA(MATCH(D2608,ca_name,0)),"Cause inconnue",IF(H2608="","Cause à compléter dans Paramètres",IF(OR(NOT(ISNUMBER(E2608)),N(E2608)&lt;=0,N(E2608)&gt;1440),"Durée invalide",IF(COUNTIFS(sj_date,A2608,sj_eq,B2608,sj_po,C2608)=0,"Pas de saisie journalière ce jour-là","OK")))))))))))</f>
        <v/>
      </c>
      <c r="J2608">
        <f>IF(OR(I2608="OK",I2608="Pas de saisie journalière ce jour-là"),E2608,0)</f>
        <v>0.0</v>
      </c>
      <c r="K2608">
        <f>IF(AND(J2608&gt;0,A2608&gt;=p_from,A2608&lt;=p_to),1,0)</f>
        <v>0.0</v>
      </c>
      <c r="L2608">
        <f>IF(AND(K2608=1,OR(pa_po="",C2608=pa_po),OR(pa_eq="",B2608=pa_eq)),1,0)</f>
        <v>0.0</v>
      </c>
    </row>
    <row r="2609">
      <c r="A2609" s="51" t="n"/>
      <c r="B2609" s="52" t="n"/>
      <c r="C2609" s="52" t="n"/>
      <c r="D2609" s="53" t="n"/>
      <c r="E2609" s="60" t="n"/>
      <c r="F2609" s="53" t="n"/>
      <c r="G2609" s="61" t="str">
        <f>IF(OR(COUNTA(A2609:E2609)=0,D2609=""),"",IFERROR(INDEX(ca_fam,MATCH(D2609,ca_name,0))&amp;"",""))</f>
        <v/>
      </c>
      <c r="H2609" s="58" t="str">
        <f>IF(OR(COUNTA(A2609:E2609)=0,D2609=""),"",IFERROR(INDEX(ca_type,MATCH(D2609,ca_name,0))&amp;"",""))</f>
        <v/>
      </c>
      <c r="I2609" s="58" t="str">
        <f>IF(COUNTA(A2609:E2609)=0,"",IF(N(A2609)&lt;=0,"Date manquante ou invalide",IF(B2609="","Équipe manquante",IF(ISNA(MATCH(B2609,eq_code,0)),"Équipe inconnue",IF(C2609="","Poste manquant",IF(ISNA(MATCH(C2609,po_code,0)),"Poste inconnu",IF(D2609="","Cause manquante",IF(ISNA(MATCH(D2609,ca_name,0)),"Cause inconnue",IF(H2609="","Cause à compléter dans Paramètres",IF(OR(NOT(ISNUMBER(E2609)),N(E2609)&lt;=0,N(E2609)&gt;1440),"Durée invalide",IF(COUNTIFS(sj_date,A2609,sj_eq,B2609,sj_po,C2609)=0,"Pas de saisie journalière ce jour-là","OK")))))))))))</f>
        <v/>
      </c>
      <c r="J2609">
        <f>IF(OR(I2609="OK",I2609="Pas de saisie journalière ce jour-là"),E2609,0)</f>
        <v>0.0</v>
      </c>
      <c r="K2609">
        <f>IF(AND(J2609&gt;0,A2609&gt;=p_from,A2609&lt;=p_to),1,0)</f>
        <v>0.0</v>
      </c>
      <c r="L2609">
        <f>IF(AND(K2609=1,OR(pa_po="",C2609=pa_po),OR(pa_eq="",B2609=pa_eq)),1,0)</f>
        <v>0.0</v>
      </c>
    </row>
    <row r="2610">
      <c r="A2610" s="51" t="n"/>
      <c r="B2610" s="52" t="n"/>
      <c r="C2610" s="52" t="n"/>
      <c r="D2610" s="53" t="n"/>
      <c r="E2610" s="60" t="n"/>
      <c r="F2610" s="53" t="n"/>
      <c r="G2610" s="61" t="str">
        <f>IF(OR(COUNTA(A2610:E2610)=0,D2610=""),"",IFERROR(INDEX(ca_fam,MATCH(D2610,ca_name,0))&amp;"",""))</f>
        <v/>
      </c>
      <c r="H2610" s="58" t="str">
        <f>IF(OR(COUNTA(A2610:E2610)=0,D2610=""),"",IFERROR(INDEX(ca_type,MATCH(D2610,ca_name,0))&amp;"",""))</f>
        <v/>
      </c>
      <c r="I2610" s="58" t="str">
        <f>IF(COUNTA(A2610:E2610)=0,"",IF(N(A2610)&lt;=0,"Date manquante ou invalide",IF(B2610="","Équipe manquante",IF(ISNA(MATCH(B2610,eq_code,0)),"Équipe inconnue",IF(C2610="","Poste manquant",IF(ISNA(MATCH(C2610,po_code,0)),"Poste inconnu",IF(D2610="","Cause manquante",IF(ISNA(MATCH(D2610,ca_name,0)),"Cause inconnue",IF(H2610="","Cause à compléter dans Paramètres",IF(OR(NOT(ISNUMBER(E2610)),N(E2610)&lt;=0,N(E2610)&gt;1440),"Durée invalide",IF(COUNTIFS(sj_date,A2610,sj_eq,B2610,sj_po,C2610)=0,"Pas de saisie journalière ce jour-là","OK")))))))))))</f>
        <v/>
      </c>
      <c r="J2610">
        <f>IF(OR(I2610="OK",I2610="Pas de saisie journalière ce jour-là"),E2610,0)</f>
        <v>0.0</v>
      </c>
      <c r="K2610">
        <f>IF(AND(J2610&gt;0,A2610&gt;=p_from,A2610&lt;=p_to),1,0)</f>
        <v>0.0</v>
      </c>
      <c r="L2610">
        <f>IF(AND(K2610=1,OR(pa_po="",C2610=pa_po),OR(pa_eq="",B2610=pa_eq)),1,0)</f>
        <v>0.0</v>
      </c>
    </row>
    <row r="2611">
      <c r="A2611" s="51" t="n"/>
      <c r="B2611" s="52" t="n"/>
      <c r="C2611" s="52" t="n"/>
      <c r="D2611" s="53" t="n"/>
      <c r="E2611" s="60" t="n"/>
      <c r="F2611" s="53" t="n"/>
      <c r="G2611" s="61" t="str">
        <f>IF(OR(COUNTA(A2611:E2611)=0,D2611=""),"",IFERROR(INDEX(ca_fam,MATCH(D2611,ca_name,0))&amp;"",""))</f>
        <v/>
      </c>
      <c r="H2611" s="58" t="str">
        <f>IF(OR(COUNTA(A2611:E2611)=0,D2611=""),"",IFERROR(INDEX(ca_type,MATCH(D2611,ca_name,0))&amp;"",""))</f>
        <v/>
      </c>
      <c r="I2611" s="58" t="str">
        <f>IF(COUNTA(A2611:E2611)=0,"",IF(N(A2611)&lt;=0,"Date manquante ou invalide",IF(B2611="","Équipe manquante",IF(ISNA(MATCH(B2611,eq_code,0)),"Équipe inconnue",IF(C2611="","Poste manquant",IF(ISNA(MATCH(C2611,po_code,0)),"Poste inconnu",IF(D2611="","Cause manquante",IF(ISNA(MATCH(D2611,ca_name,0)),"Cause inconnue",IF(H2611="","Cause à compléter dans Paramètres",IF(OR(NOT(ISNUMBER(E2611)),N(E2611)&lt;=0,N(E2611)&gt;1440),"Durée invalide",IF(COUNTIFS(sj_date,A2611,sj_eq,B2611,sj_po,C2611)=0,"Pas de saisie journalière ce jour-là","OK")))))))))))</f>
        <v/>
      </c>
      <c r="J2611">
        <f>IF(OR(I2611="OK",I2611="Pas de saisie journalière ce jour-là"),E2611,0)</f>
        <v>0.0</v>
      </c>
      <c r="K2611">
        <f>IF(AND(J2611&gt;0,A2611&gt;=p_from,A2611&lt;=p_to),1,0)</f>
        <v>0.0</v>
      </c>
      <c r="L2611">
        <f>IF(AND(K2611=1,OR(pa_po="",C2611=pa_po),OR(pa_eq="",B2611=pa_eq)),1,0)</f>
        <v>0.0</v>
      </c>
    </row>
    <row r="2612">
      <c r="A2612" s="51" t="n"/>
      <c r="B2612" s="52" t="n"/>
      <c r="C2612" s="52" t="n"/>
      <c r="D2612" s="53" t="n"/>
      <c r="E2612" s="60" t="n"/>
      <c r="F2612" s="53" t="n"/>
      <c r="G2612" s="61" t="str">
        <f>IF(OR(COUNTA(A2612:E2612)=0,D2612=""),"",IFERROR(INDEX(ca_fam,MATCH(D2612,ca_name,0))&amp;"",""))</f>
        <v/>
      </c>
      <c r="H2612" s="58" t="str">
        <f>IF(OR(COUNTA(A2612:E2612)=0,D2612=""),"",IFERROR(INDEX(ca_type,MATCH(D2612,ca_name,0))&amp;"",""))</f>
        <v/>
      </c>
      <c r="I2612" s="58" t="str">
        <f>IF(COUNTA(A2612:E2612)=0,"",IF(N(A2612)&lt;=0,"Date manquante ou invalide",IF(B2612="","Équipe manquante",IF(ISNA(MATCH(B2612,eq_code,0)),"Équipe inconnue",IF(C2612="","Poste manquant",IF(ISNA(MATCH(C2612,po_code,0)),"Poste inconnu",IF(D2612="","Cause manquante",IF(ISNA(MATCH(D2612,ca_name,0)),"Cause inconnue",IF(H2612="","Cause à compléter dans Paramètres",IF(OR(NOT(ISNUMBER(E2612)),N(E2612)&lt;=0,N(E2612)&gt;1440),"Durée invalide",IF(COUNTIFS(sj_date,A2612,sj_eq,B2612,sj_po,C2612)=0,"Pas de saisie journalière ce jour-là","OK")))))))))))</f>
        <v/>
      </c>
      <c r="J2612">
        <f>IF(OR(I2612="OK",I2612="Pas de saisie journalière ce jour-là"),E2612,0)</f>
        <v>0.0</v>
      </c>
      <c r="K2612">
        <f>IF(AND(J2612&gt;0,A2612&gt;=p_from,A2612&lt;=p_to),1,0)</f>
        <v>0.0</v>
      </c>
      <c r="L2612">
        <f>IF(AND(K2612=1,OR(pa_po="",C2612=pa_po),OR(pa_eq="",B2612=pa_eq)),1,0)</f>
        <v>0.0</v>
      </c>
    </row>
    <row r="2613">
      <c r="A2613" s="51" t="n"/>
      <c r="B2613" s="52" t="n"/>
      <c r="C2613" s="52" t="n"/>
      <c r="D2613" s="53" t="n"/>
      <c r="E2613" s="60" t="n"/>
      <c r="F2613" s="53" t="n"/>
      <c r="G2613" s="61" t="str">
        <f>IF(OR(COUNTA(A2613:E2613)=0,D2613=""),"",IFERROR(INDEX(ca_fam,MATCH(D2613,ca_name,0))&amp;"",""))</f>
        <v/>
      </c>
      <c r="H2613" s="58" t="str">
        <f>IF(OR(COUNTA(A2613:E2613)=0,D2613=""),"",IFERROR(INDEX(ca_type,MATCH(D2613,ca_name,0))&amp;"",""))</f>
        <v/>
      </c>
      <c r="I2613" s="58" t="str">
        <f>IF(COUNTA(A2613:E2613)=0,"",IF(N(A2613)&lt;=0,"Date manquante ou invalide",IF(B2613="","Équipe manquante",IF(ISNA(MATCH(B2613,eq_code,0)),"Équipe inconnue",IF(C2613="","Poste manquant",IF(ISNA(MATCH(C2613,po_code,0)),"Poste inconnu",IF(D2613="","Cause manquante",IF(ISNA(MATCH(D2613,ca_name,0)),"Cause inconnue",IF(H2613="","Cause à compléter dans Paramètres",IF(OR(NOT(ISNUMBER(E2613)),N(E2613)&lt;=0,N(E2613)&gt;1440),"Durée invalide",IF(COUNTIFS(sj_date,A2613,sj_eq,B2613,sj_po,C2613)=0,"Pas de saisie journalière ce jour-là","OK")))))))))))</f>
        <v/>
      </c>
      <c r="J2613">
        <f>IF(OR(I2613="OK",I2613="Pas de saisie journalière ce jour-là"),E2613,0)</f>
        <v>0.0</v>
      </c>
      <c r="K2613">
        <f>IF(AND(J2613&gt;0,A2613&gt;=p_from,A2613&lt;=p_to),1,0)</f>
        <v>0.0</v>
      </c>
      <c r="L2613">
        <f>IF(AND(K2613=1,OR(pa_po="",C2613=pa_po),OR(pa_eq="",B2613=pa_eq)),1,0)</f>
        <v>0.0</v>
      </c>
    </row>
    <row r="2614">
      <c r="A2614" s="51" t="n"/>
      <c r="B2614" s="52" t="n"/>
      <c r="C2614" s="52" t="n"/>
      <c r="D2614" s="53" t="n"/>
      <c r="E2614" s="60" t="n"/>
      <c r="F2614" s="53" t="n"/>
      <c r="G2614" s="61" t="str">
        <f>IF(OR(COUNTA(A2614:E2614)=0,D2614=""),"",IFERROR(INDEX(ca_fam,MATCH(D2614,ca_name,0))&amp;"",""))</f>
        <v/>
      </c>
      <c r="H2614" s="58" t="str">
        <f>IF(OR(COUNTA(A2614:E2614)=0,D2614=""),"",IFERROR(INDEX(ca_type,MATCH(D2614,ca_name,0))&amp;"",""))</f>
        <v/>
      </c>
      <c r="I2614" s="58" t="str">
        <f>IF(COUNTA(A2614:E2614)=0,"",IF(N(A2614)&lt;=0,"Date manquante ou invalide",IF(B2614="","Équipe manquante",IF(ISNA(MATCH(B2614,eq_code,0)),"Équipe inconnue",IF(C2614="","Poste manquant",IF(ISNA(MATCH(C2614,po_code,0)),"Poste inconnu",IF(D2614="","Cause manquante",IF(ISNA(MATCH(D2614,ca_name,0)),"Cause inconnue",IF(H2614="","Cause à compléter dans Paramètres",IF(OR(NOT(ISNUMBER(E2614)),N(E2614)&lt;=0,N(E2614)&gt;1440),"Durée invalide",IF(COUNTIFS(sj_date,A2614,sj_eq,B2614,sj_po,C2614)=0,"Pas de saisie journalière ce jour-là","OK")))))))))))</f>
        <v/>
      </c>
      <c r="J2614">
        <f>IF(OR(I2614="OK",I2614="Pas de saisie journalière ce jour-là"),E2614,0)</f>
        <v>0.0</v>
      </c>
      <c r="K2614">
        <f>IF(AND(J2614&gt;0,A2614&gt;=p_from,A2614&lt;=p_to),1,0)</f>
        <v>0.0</v>
      </c>
      <c r="L2614">
        <f>IF(AND(K2614=1,OR(pa_po="",C2614=pa_po),OR(pa_eq="",B2614=pa_eq)),1,0)</f>
        <v>0.0</v>
      </c>
    </row>
    <row r="2615">
      <c r="A2615" s="51" t="n"/>
      <c r="B2615" s="52" t="n"/>
      <c r="C2615" s="52" t="n"/>
      <c r="D2615" s="53" t="n"/>
      <c r="E2615" s="60" t="n"/>
      <c r="F2615" s="53" t="n"/>
      <c r="G2615" s="61" t="str">
        <f>IF(OR(COUNTA(A2615:E2615)=0,D2615=""),"",IFERROR(INDEX(ca_fam,MATCH(D2615,ca_name,0))&amp;"",""))</f>
        <v/>
      </c>
      <c r="H2615" s="58" t="str">
        <f>IF(OR(COUNTA(A2615:E2615)=0,D2615=""),"",IFERROR(INDEX(ca_type,MATCH(D2615,ca_name,0))&amp;"",""))</f>
        <v/>
      </c>
      <c r="I2615" s="58" t="str">
        <f>IF(COUNTA(A2615:E2615)=0,"",IF(N(A2615)&lt;=0,"Date manquante ou invalide",IF(B2615="","Équipe manquante",IF(ISNA(MATCH(B2615,eq_code,0)),"Équipe inconnue",IF(C2615="","Poste manquant",IF(ISNA(MATCH(C2615,po_code,0)),"Poste inconnu",IF(D2615="","Cause manquante",IF(ISNA(MATCH(D2615,ca_name,0)),"Cause inconnue",IF(H2615="","Cause à compléter dans Paramètres",IF(OR(NOT(ISNUMBER(E2615)),N(E2615)&lt;=0,N(E2615)&gt;1440),"Durée invalide",IF(COUNTIFS(sj_date,A2615,sj_eq,B2615,sj_po,C2615)=0,"Pas de saisie journalière ce jour-là","OK")))))))))))</f>
        <v/>
      </c>
      <c r="J2615">
        <f>IF(OR(I2615="OK",I2615="Pas de saisie journalière ce jour-là"),E2615,0)</f>
        <v>0.0</v>
      </c>
      <c r="K2615">
        <f>IF(AND(J2615&gt;0,A2615&gt;=p_from,A2615&lt;=p_to),1,0)</f>
        <v>0.0</v>
      </c>
      <c r="L2615">
        <f>IF(AND(K2615=1,OR(pa_po="",C2615=pa_po),OR(pa_eq="",B2615=pa_eq)),1,0)</f>
        <v>0.0</v>
      </c>
    </row>
    <row r="2616">
      <c r="A2616" s="51" t="n"/>
      <c r="B2616" s="52" t="n"/>
      <c r="C2616" s="52" t="n"/>
      <c r="D2616" s="53" t="n"/>
      <c r="E2616" s="60" t="n"/>
      <c r="F2616" s="53" t="n"/>
      <c r="G2616" s="61" t="str">
        <f>IF(OR(COUNTA(A2616:E2616)=0,D2616=""),"",IFERROR(INDEX(ca_fam,MATCH(D2616,ca_name,0))&amp;"",""))</f>
        <v/>
      </c>
      <c r="H2616" s="58" t="str">
        <f>IF(OR(COUNTA(A2616:E2616)=0,D2616=""),"",IFERROR(INDEX(ca_type,MATCH(D2616,ca_name,0))&amp;"",""))</f>
        <v/>
      </c>
      <c r="I2616" s="58" t="str">
        <f>IF(COUNTA(A2616:E2616)=0,"",IF(N(A2616)&lt;=0,"Date manquante ou invalide",IF(B2616="","Équipe manquante",IF(ISNA(MATCH(B2616,eq_code,0)),"Équipe inconnue",IF(C2616="","Poste manquant",IF(ISNA(MATCH(C2616,po_code,0)),"Poste inconnu",IF(D2616="","Cause manquante",IF(ISNA(MATCH(D2616,ca_name,0)),"Cause inconnue",IF(H2616="","Cause à compléter dans Paramètres",IF(OR(NOT(ISNUMBER(E2616)),N(E2616)&lt;=0,N(E2616)&gt;1440),"Durée invalide",IF(COUNTIFS(sj_date,A2616,sj_eq,B2616,sj_po,C2616)=0,"Pas de saisie journalière ce jour-là","OK")))))))))))</f>
        <v/>
      </c>
      <c r="J2616">
        <f>IF(OR(I2616="OK",I2616="Pas de saisie journalière ce jour-là"),E2616,0)</f>
        <v>0.0</v>
      </c>
      <c r="K2616">
        <f>IF(AND(J2616&gt;0,A2616&gt;=p_from,A2616&lt;=p_to),1,0)</f>
        <v>0.0</v>
      </c>
      <c r="L2616">
        <f>IF(AND(K2616=1,OR(pa_po="",C2616=pa_po),OR(pa_eq="",B2616=pa_eq)),1,0)</f>
        <v>0.0</v>
      </c>
    </row>
    <row r="2617">
      <c r="A2617" s="51" t="n"/>
      <c r="B2617" s="52" t="n"/>
      <c r="C2617" s="52" t="n"/>
      <c r="D2617" s="53" t="n"/>
      <c r="E2617" s="60" t="n"/>
      <c r="F2617" s="53" t="n"/>
      <c r="G2617" s="61" t="str">
        <f>IF(OR(COUNTA(A2617:E2617)=0,D2617=""),"",IFERROR(INDEX(ca_fam,MATCH(D2617,ca_name,0))&amp;"",""))</f>
        <v/>
      </c>
      <c r="H2617" s="58" t="str">
        <f>IF(OR(COUNTA(A2617:E2617)=0,D2617=""),"",IFERROR(INDEX(ca_type,MATCH(D2617,ca_name,0))&amp;"",""))</f>
        <v/>
      </c>
      <c r="I2617" s="58" t="str">
        <f>IF(COUNTA(A2617:E2617)=0,"",IF(N(A2617)&lt;=0,"Date manquante ou invalide",IF(B2617="","Équipe manquante",IF(ISNA(MATCH(B2617,eq_code,0)),"Équipe inconnue",IF(C2617="","Poste manquant",IF(ISNA(MATCH(C2617,po_code,0)),"Poste inconnu",IF(D2617="","Cause manquante",IF(ISNA(MATCH(D2617,ca_name,0)),"Cause inconnue",IF(H2617="","Cause à compléter dans Paramètres",IF(OR(NOT(ISNUMBER(E2617)),N(E2617)&lt;=0,N(E2617)&gt;1440),"Durée invalide",IF(COUNTIFS(sj_date,A2617,sj_eq,B2617,sj_po,C2617)=0,"Pas de saisie journalière ce jour-là","OK")))))))))))</f>
        <v/>
      </c>
      <c r="J2617">
        <f>IF(OR(I2617="OK",I2617="Pas de saisie journalière ce jour-là"),E2617,0)</f>
        <v>0.0</v>
      </c>
      <c r="K2617">
        <f>IF(AND(J2617&gt;0,A2617&gt;=p_from,A2617&lt;=p_to),1,0)</f>
        <v>0.0</v>
      </c>
      <c r="L2617">
        <f>IF(AND(K2617=1,OR(pa_po="",C2617=pa_po),OR(pa_eq="",B2617=pa_eq)),1,0)</f>
        <v>0.0</v>
      </c>
    </row>
    <row r="2618">
      <c r="A2618" s="51" t="n"/>
      <c r="B2618" s="52" t="n"/>
      <c r="C2618" s="52" t="n"/>
      <c r="D2618" s="53" t="n"/>
      <c r="E2618" s="60" t="n"/>
      <c r="F2618" s="53" t="n"/>
      <c r="G2618" s="61" t="str">
        <f>IF(OR(COUNTA(A2618:E2618)=0,D2618=""),"",IFERROR(INDEX(ca_fam,MATCH(D2618,ca_name,0))&amp;"",""))</f>
        <v/>
      </c>
      <c r="H2618" s="58" t="str">
        <f>IF(OR(COUNTA(A2618:E2618)=0,D2618=""),"",IFERROR(INDEX(ca_type,MATCH(D2618,ca_name,0))&amp;"",""))</f>
        <v/>
      </c>
      <c r="I2618" s="58" t="str">
        <f>IF(COUNTA(A2618:E2618)=0,"",IF(N(A2618)&lt;=0,"Date manquante ou invalide",IF(B2618="","Équipe manquante",IF(ISNA(MATCH(B2618,eq_code,0)),"Équipe inconnue",IF(C2618="","Poste manquant",IF(ISNA(MATCH(C2618,po_code,0)),"Poste inconnu",IF(D2618="","Cause manquante",IF(ISNA(MATCH(D2618,ca_name,0)),"Cause inconnue",IF(H2618="","Cause à compléter dans Paramètres",IF(OR(NOT(ISNUMBER(E2618)),N(E2618)&lt;=0,N(E2618)&gt;1440),"Durée invalide",IF(COUNTIFS(sj_date,A2618,sj_eq,B2618,sj_po,C2618)=0,"Pas de saisie journalière ce jour-là","OK")))))))))))</f>
        <v/>
      </c>
      <c r="J2618">
        <f>IF(OR(I2618="OK",I2618="Pas de saisie journalière ce jour-là"),E2618,0)</f>
        <v>0.0</v>
      </c>
      <c r="K2618">
        <f>IF(AND(J2618&gt;0,A2618&gt;=p_from,A2618&lt;=p_to),1,0)</f>
        <v>0.0</v>
      </c>
      <c r="L2618">
        <f>IF(AND(K2618=1,OR(pa_po="",C2618=pa_po),OR(pa_eq="",B2618=pa_eq)),1,0)</f>
        <v>0.0</v>
      </c>
    </row>
    <row r="2619">
      <c r="A2619" s="51" t="n"/>
      <c r="B2619" s="52" t="n"/>
      <c r="C2619" s="52" t="n"/>
      <c r="D2619" s="53" t="n"/>
      <c r="E2619" s="60" t="n"/>
      <c r="F2619" s="53" t="n"/>
      <c r="G2619" s="61" t="str">
        <f>IF(OR(COUNTA(A2619:E2619)=0,D2619=""),"",IFERROR(INDEX(ca_fam,MATCH(D2619,ca_name,0))&amp;"",""))</f>
        <v/>
      </c>
      <c r="H2619" s="58" t="str">
        <f>IF(OR(COUNTA(A2619:E2619)=0,D2619=""),"",IFERROR(INDEX(ca_type,MATCH(D2619,ca_name,0))&amp;"",""))</f>
        <v/>
      </c>
      <c r="I2619" s="58" t="str">
        <f>IF(COUNTA(A2619:E2619)=0,"",IF(N(A2619)&lt;=0,"Date manquante ou invalide",IF(B2619="","Équipe manquante",IF(ISNA(MATCH(B2619,eq_code,0)),"Équipe inconnue",IF(C2619="","Poste manquant",IF(ISNA(MATCH(C2619,po_code,0)),"Poste inconnu",IF(D2619="","Cause manquante",IF(ISNA(MATCH(D2619,ca_name,0)),"Cause inconnue",IF(H2619="","Cause à compléter dans Paramètres",IF(OR(NOT(ISNUMBER(E2619)),N(E2619)&lt;=0,N(E2619)&gt;1440),"Durée invalide",IF(COUNTIFS(sj_date,A2619,sj_eq,B2619,sj_po,C2619)=0,"Pas de saisie journalière ce jour-là","OK")))))))))))</f>
        <v/>
      </c>
      <c r="J2619">
        <f>IF(OR(I2619="OK",I2619="Pas de saisie journalière ce jour-là"),E2619,0)</f>
        <v>0.0</v>
      </c>
      <c r="K2619">
        <f>IF(AND(J2619&gt;0,A2619&gt;=p_from,A2619&lt;=p_to),1,0)</f>
        <v>0.0</v>
      </c>
      <c r="L2619">
        <f>IF(AND(K2619=1,OR(pa_po="",C2619=pa_po),OR(pa_eq="",B2619=pa_eq)),1,0)</f>
        <v>0.0</v>
      </c>
    </row>
    <row r="2620">
      <c r="A2620" s="51" t="n"/>
      <c r="B2620" s="52" t="n"/>
      <c r="C2620" s="52" t="n"/>
      <c r="D2620" s="53" t="n"/>
      <c r="E2620" s="60" t="n"/>
      <c r="F2620" s="53" t="n"/>
      <c r="G2620" s="61" t="str">
        <f>IF(OR(COUNTA(A2620:E2620)=0,D2620=""),"",IFERROR(INDEX(ca_fam,MATCH(D2620,ca_name,0))&amp;"",""))</f>
        <v/>
      </c>
      <c r="H2620" s="58" t="str">
        <f>IF(OR(COUNTA(A2620:E2620)=0,D2620=""),"",IFERROR(INDEX(ca_type,MATCH(D2620,ca_name,0))&amp;"",""))</f>
        <v/>
      </c>
      <c r="I2620" s="58" t="str">
        <f>IF(COUNTA(A2620:E2620)=0,"",IF(N(A2620)&lt;=0,"Date manquante ou invalide",IF(B2620="","Équipe manquante",IF(ISNA(MATCH(B2620,eq_code,0)),"Équipe inconnue",IF(C2620="","Poste manquant",IF(ISNA(MATCH(C2620,po_code,0)),"Poste inconnu",IF(D2620="","Cause manquante",IF(ISNA(MATCH(D2620,ca_name,0)),"Cause inconnue",IF(H2620="","Cause à compléter dans Paramètres",IF(OR(NOT(ISNUMBER(E2620)),N(E2620)&lt;=0,N(E2620)&gt;1440),"Durée invalide",IF(COUNTIFS(sj_date,A2620,sj_eq,B2620,sj_po,C2620)=0,"Pas de saisie journalière ce jour-là","OK")))))))))))</f>
        <v/>
      </c>
      <c r="J2620">
        <f>IF(OR(I2620="OK",I2620="Pas de saisie journalière ce jour-là"),E2620,0)</f>
        <v>0.0</v>
      </c>
      <c r="K2620">
        <f>IF(AND(J2620&gt;0,A2620&gt;=p_from,A2620&lt;=p_to),1,0)</f>
        <v>0.0</v>
      </c>
      <c r="L2620">
        <f>IF(AND(K2620=1,OR(pa_po="",C2620=pa_po),OR(pa_eq="",B2620=pa_eq)),1,0)</f>
        <v>0.0</v>
      </c>
    </row>
    <row r="2621">
      <c r="A2621" s="51" t="n"/>
      <c r="B2621" s="52" t="n"/>
      <c r="C2621" s="52" t="n"/>
      <c r="D2621" s="53" t="n"/>
      <c r="E2621" s="60" t="n"/>
      <c r="F2621" s="53" t="n"/>
      <c r="G2621" s="61" t="str">
        <f>IF(OR(COUNTA(A2621:E2621)=0,D2621=""),"",IFERROR(INDEX(ca_fam,MATCH(D2621,ca_name,0))&amp;"",""))</f>
        <v/>
      </c>
      <c r="H2621" s="58" t="str">
        <f>IF(OR(COUNTA(A2621:E2621)=0,D2621=""),"",IFERROR(INDEX(ca_type,MATCH(D2621,ca_name,0))&amp;"",""))</f>
        <v/>
      </c>
      <c r="I2621" s="58" t="str">
        <f>IF(COUNTA(A2621:E2621)=0,"",IF(N(A2621)&lt;=0,"Date manquante ou invalide",IF(B2621="","Équipe manquante",IF(ISNA(MATCH(B2621,eq_code,0)),"Équipe inconnue",IF(C2621="","Poste manquant",IF(ISNA(MATCH(C2621,po_code,0)),"Poste inconnu",IF(D2621="","Cause manquante",IF(ISNA(MATCH(D2621,ca_name,0)),"Cause inconnue",IF(H2621="","Cause à compléter dans Paramètres",IF(OR(NOT(ISNUMBER(E2621)),N(E2621)&lt;=0,N(E2621)&gt;1440),"Durée invalide",IF(COUNTIFS(sj_date,A2621,sj_eq,B2621,sj_po,C2621)=0,"Pas de saisie journalière ce jour-là","OK")))))))))))</f>
        <v/>
      </c>
      <c r="J2621">
        <f>IF(OR(I2621="OK",I2621="Pas de saisie journalière ce jour-là"),E2621,0)</f>
        <v>0.0</v>
      </c>
      <c r="K2621">
        <f>IF(AND(J2621&gt;0,A2621&gt;=p_from,A2621&lt;=p_to),1,0)</f>
        <v>0.0</v>
      </c>
      <c r="L2621">
        <f>IF(AND(K2621=1,OR(pa_po="",C2621=pa_po),OR(pa_eq="",B2621=pa_eq)),1,0)</f>
        <v>0.0</v>
      </c>
    </row>
    <row r="2622">
      <c r="A2622" s="51" t="n"/>
      <c r="B2622" s="52" t="n"/>
      <c r="C2622" s="52" t="n"/>
      <c r="D2622" s="53" t="n"/>
      <c r="E2622" s="60" t="n"/>
      <c r="F2622" s="53" t="n"/>
      <c r="G2622" s="61" t="str">
        <f>IF(OR(COUNTA(A2622:E2622)=0,D2622=""),"",IFERROR(INDEX(ca_fam,MATCH(D2622,ca_name,0))&amp;"",""))</f>
        <v/>
      </c>
      <c r="H2622" s="58" t="str">
        <f>IF(OR(COUNTA(A2622:E2622)=0,D2622=""),"",IFERROR(INDEX(ca_type,MATCH(D2622,ca_name,0))&amp;"",""))</f>
        <v/>
      </c>
      <c r="I2622" s="58" t="str">
        <f>IF(COUNTA(A2622:E2622)=0,"",IF(N(A2622)&lt;=0,"Date manquante ou invalide",IF(B2622="","Équipe manquante",IF(ISNA(MATCH(B2622,eq_code,0)),"Équipe inconnue",IF(C2622="","Poste manquant",IF(ISNA(MATCH(C2622,po_code,0)),"Poste inconnu",IF(D2622="","Cause manquante",IF(ISNA(MATCH(D2622,ca_name,0)),"Cause inconnue",IF(H2622="","Cause à compléter dans Paramètres",IF(OR(NOT(ISNUMBER(E2622)),N(E2622)&lt;=0,N(E2622)&gt;1440),"Durée invalide",IF(COUNTIFS(sj_date,A2622,sj_eq,B2622,sj_po,C2622)=0,"Pas de saisie journalière ce jour-là","OK")))))))))))</f>
        <v/>
      </c>
      <c r="J2622">
        <f>IF(OR(I2622="OK",I2622="Pas de saisie journalière ce jour-là"),E2622,0)</f>
        <v>0.0</v>
      </c>
      <c r="K2622">
        <f>IF(AND(J2622&gt;0,A2622&gt;=p_from,A2622&lt;=p_to),1,0)</f>
        <v>0.0</v>
      </c>
      <c r="L2622">
        <f>IF(AND(K2622=1,OR(pa_po="",C2622=pa_po),OR(pa_eq="",B2622=pa_eq)),1,0)</f>
        <v>0.0</v>
      </c>
    </row>
    <row r="2623">
      <c r="A2623" s="51" t="n"/>
      <c r="B2623" s="52" t="n"/>
      <c r="C2623" s="52" t="n"/>
      <c r="D2623" s="53" t="n"/>
      <c r="E2623" s="60" t="n"/>
      <c r="F2623" s="53" t="n"/>
      <c r="G2623" s="61" t="str">
        <f>IF(OR(COUNTA(A2623:E2623)=0,D2623=""),"",IFERROR(INDEX(ca_fam,MATCH(D2623,ca_name,0))&amp;"",""))</f>
        <v/>
      </c>
      <c r="H2623" s="58" t="str">
        <f>IF(OR(COUNTA(A2623:E2623)=0,D2623=""),"",IFERROR(INDEX(ca_type,MATCH(D2623,ca_name,0))&amp;"",""))</f>
        <v/>
      </c>
      <c r="I2623" s="58" t="str">
        <f>IF(COUNTA(A2623:E2623)=0,"",IF(N(A2623)&lt;=0,"Date manquante ou invalide",IF(B2623="","Équipe manquante",IF(ISNA(MATCH(B2623,eq_code,0)),"Équipe inconnue",IF(C2623="","Poste manquant",IF(ISNA(MATCH(C2623,po_code,0)),"Poste inconnu",IF(D2623="","Cause manquante",IF(ISNA(MATCH(D2623,ca_name,0)),"Cause inconnue",IF(H2623="","Cause à compléter dans Paramètres",IF(OR(NOT(ISNUMBER(E2623)),N(E2623)&lt;=0,N(E2623)&gt;1440),"Durée invalide",IF(COUNTIFS(sj_date,A2623,sj_eq,B2623,sj_po,C2623)=0,"Pas de saisie journalière ce jour-là","OK")))))))))))</f>
        <v/>
      </c>
      <c r="J2623">
        <f>IF(OR(I2623="OK",I2623="Pas de saisie journalière ce jour-là"),E2623,0)</f>
        <v>0.0</v>
      </c>
      <c r="K2623">
        <f>IF(AND(J2623&gt;0,A2623&gt;=p_from,A2623&lt;=p_to),1,0)</f>
        <v>0.0</v>
      </c>
      <c r="L2623">
        <f>IF(AND(K2623=1,OR(pa_po="",C2623=pa_po),OR(pa_eq="",B2623=pa_eq)),1,0)</f>
        <v>0.0</v>
      </c>
    </row>
    <row r="2624">
      <c r="A2624" s="51" t="n"/>
      <c r="B2624" s="52" t="n"/>
      <c r="C2624" s="52" t="n"/>
      <c r="D2624" s="53" t="n"/>
      <c r="E2624" s="60" t="n"/>
      <c r="F2624" s="53" t="n"/>
      <c r="G2624" s="61" t="str">
        <f>IF(OR(COUNTA(A2624:E2624)=0,D2624=""),"",IFERROR(INDEX(ca_fam,MATCH(D2624,ca_name,0))&amp;"",""))</f>
        <v/>
      </c>
      <c r="H2624" s="58" t="str">
        <f>IF(OR(COUNTA(A2624:E2624)=0,D2624=""),"",IFERROR(INDEX(ca_type,MATCH(D2624,ca_name,0))&amp;"",""))</f>
        <v/>
      </c>
      <c r="I2624" s="58" t="str">
        <f>IF(COUNTA(A2624:E2624)=0,"",IF(N(A2624)&lt;=0,"Date manquante ou invalide",IF(B2624="","Équipe manquante",IF(ISNA(MATCH(B2624,eq_code,0)),"Équipe inconnue",IF(C2624="","Poste manquant",IF(ISNA(MATCH(C2624,po_code,0)),"Poste inconnu",IF(D2624="","Cause manquante",IF(ISNA(MATCH(D2624,ca_name,0)),"Cause inconnue",IF(H2624="","Cause à compléter dans Paramètres",IF(OR(NOT(ISNUMBER(E2624)),N(E2624)&lt;=0,N(E2624)&gt;1440),"Durée invalide",IF(COUNTIFS(sj_date,A2624,sj_eq,B2624,sj_po,C2624)=0,"Pas de saisie journalière ce jour-là","OK")))))))))))</f>
        <v/>
      </c>
      <c r="J2624">
        <f>IF(OR(I2624="OK",I2624="Pas de saisie journalière ce jour-là"),E2624,0)</f>
        <v>0.0</v>
      </c>
      <c r="K2624">
        <f>IF(AND(J2624&gt;0,A2624&gt;=p_from,A2624&lt;=p_to),1,0)</f>
        <v>0.0</v>
      </c>
      <c r="L2624">
        <f>IF(AND(K2624=1,OR(pa_po="",C2624=pa_po),OR(pa_eq="",B2624=pa_eq)),1,0)</f>
        <v>0.0</v>
      </c>
    </row>
    <row r="2625">
      <c r="A2625" s="51" t="n"/>
      <c r="B2625" s="52" t="n"/>
      <c r="C2625" s="52" t="n"/>
      <c r="D2625" s="53" t="n"/>
      <c r="E2625" s="60" t="n"/>
      <c r="F2625" s="53" t="n"/>
      <c r="G2625" s="61" t="str">
        <f>IF(OR(COUNTA(A2625:E2625)=0,D2625=""),"",IFERROR(INDEX(ca_fam,MATCH(D2625,ca_name,0))&amp;"",""))</f>
        <v/>
      </c>
      <c r="H2625" s="58" t="str">
        <f>IF(OR(COUNTA(A2625:E2625)=0,D2625=""),"",IFERROR(INDEX(ca_type,MATCH(D2625,ca_name,0))&amp;"",""))</f>
        <v/>
      </c>
      <c r="I2625" s="58" t="str">
        <f>IF(COUNTA(A2625:E2625)=0,"",IF(N(A2625)&lt;=0,"Date manquante ou invalide",IF(B2625="","Équipe manquante",IF(ISNA(MATCH(B2625,eq_code,0)),"Équipe inconnue",IF(C2625="","Poste manquant",IF(ISNA(MATCH(C2625,po_code,0)),"Poste inconnu",IF(D2625="","Cause manquante",IF(ISNA(MATCH(D2625,ca_name,0)),"Cause inconnue",IF(H2625="","Cause à compléter dans Paramètres",IF(OR(NOT(ISNUMBER(E2625)),N(E2625)&lt;=0,N(E2625)&gt;1440),"Durée invalide",IF(COUNTIFS(sj_date,A2625,sj_eq,B2625,sj_po,C2625)=0,"Pas de saisie journalière ce jour-là","OK")))))))))))</f>
        <v/>
      </c>
      <c r="J2625">
        <f>IF(OR(I2625="OK",I2625="Pas de saisie journalière ce jour-là"),E2625,0)</f>
        <v>0.0</v>
      </c>
      <c r="K2625">
        <f>IF(AND(J2625&gt;0,A2625&gt;=p_from,A2625&lt;=p_to),1,0)</f>
        <v>0.0</v>
      </c>
      <c r="L2625">
        <f>IF(AND(K2625=1,OR(pa_po="",C2625=pa_po),OR(pa_eq="",B2625=pa_eq)),1,0)</f>
        <v>0.0</v>
      </c>
    </row>
    <row r="2626">
      <c r="A2626" s="51" t="n"/>
      <c r="B2626" s="52" t="n"/>
      <c r="C2626" s="52" t="n"/>
      <c r="D2626" s="53" t="n"/>
      <c r="E2626" s="60" t="n"/>
      <c r="F2626" s="53" t="n"/>
      <c r="G2626" s="61" t="str">
        <f>IF(OR(COUNTA(A2626:E2626)=0,D2626=""),"",IFERROR(INDEX(ca_fam,MATCH(D2626,ca_name,0))&amp;"",""))</f>
        <v/>
      </c>
      <c r="H2626" s="58" t="str">
        <f>IF(OR(COUNTA(A2626:E2626)=0,D2626=""),"",IFERROR(INDEX(ca_type,MATCH(D2626,ca_name,0))&amp;"",""))</f>
        <v/>
      </c>
      <c r="I2626" s="58" t="str">
        <f>IF(COUNTA(A2626:E2626)=0,"",IF(N(A2626)&lt;=0,"Date manquante ou invalide",IF(B2626="","Équipe manquante",IF(ISNA(MATCH(B2626,eq_code,0)),"Équipe inconnue",IF(C2626="","Poste manquant",IF(ISNA(MATCH(C2626,po_code,0)),"Poste inconnu",IF(D2626="","Cause manquante",IF(ISNA(MATCH(D2626,ca_name,0)),"Cause inconnue",IF(H2626="","Cause à compléter dans Paramètres",IF(OR(NOT(ISNUMBER(E2626)),N(E2626)&lt;=0,N(E2626)&gt;1440),"Durée invalide",IF(COUNTIFS(sj_date,A2626,sj_eq,B2626,sj_po,C2626)=0,"Pas de saisie journalière ce jour-là","OK")))))))))))</f>
        <v/>
      </c>
      <c r="J2626">
        <f>IF(OR(I2626="OK",I2626="Pas de saisie journalière ce jour-là"),E2626,0)</f>
        <v>0.0</v>
      </c>
      <c r="K2626">
        <f>IF(AND(J2626&gt;0,A2626&gt;=p_from,A2626&lt;=p_to),1,0)</f>
        <v>0.0</v>
      </c>
      <c r="L2626">
        <f>IF(AND(K2626=1,OR(pa_po="",C2626=pa_po),OR(pa_eq="",B2626=pa_eq)),1,0)</f>
        <v>0.0</v>
      </c>
    </row>
    <row r="2627">
      <c r="A2627" s="51" t="n"/>
      <c r="B2627" s="52" t="n"/>
      <c r="C2627" s="52" t="n"/>
      <c r="D2627" s="53" t="n"/>
      <c r="E2627" s="60" t="n"/>
      <c r="F2627" s="53" t="n"/>
      <c r="G2627" s="61" t="str">
        <f>IF(OR(COUNTA(A2627:E2627)=0,D2627=""),"",IFERROR(INDEX(ca_fam,MATCH(D2627,ca_name,0))&amp;"",""))</f>
        <v/>
      </c>
      <c r="H2627" s="58" t="str">
        <f>IF(OR(COUNTA(A2627:E2627)=0,D2627=""),"",IFERROR(INDEX(ca_type,MATCH(D2627,ca_name,0))&amp;"",""))</f>
        <v/>
      </c>
      <c r="I2627" s="58" t="str">
        <f>IF(COUNTA(A2627:E2627)=0,"",IF(N(A2627)&lt;=0,"Date manquante ou invalide",IF(B2627="","Équipe manquante",IF(ISNA(MATCH(B2627,eq_code,0)),"Équipe inconnue",IF(C2627="","Poste manquant",IF(ISNA(MATCH(C2627,po_code,0)),"Poste inconnu",IF(D2627="","Cause manquante",IF(ISNA(MATCH(D2627,ca_name,0)),"Cause inconnue",IF(H2627="","Cause à compléter dans Paramètres",IF(OR(NOT(ISNUMBER(E2627)),N(E2627)&lt;=0,N(E2627)&gt;1440),"Durée invalide",IF(COUNTIFS(sj_date,A2627,sj_eq,B2627,sj_po,C2627)=0,"Pas de saisie journalière ce jour-là","OK")))))))))))</f>
        <v/>
      </c>
      <c r="J2627">
        <f>IF(OR(I2627="OK",I2627="Pas de saisie journalière ce jour-là"),E2627,0)</f>
        <v>0.0</v>
      </c>
      <c r="K2627">
        <f>IF(AND(J2627&gt;0,A2627&gt;=p_from,A2627&lt;=p_to),1,0)</f>
        <v>0.0</v>
      </c>
      <c r="L2627">
        <f>IF(AND(K2627=1,OR(pa_po="",C2627=pa_po),OR(pa_eq="",B2627=pa_eq)),1,0)</f>
        <v>0.0</v>
      </c>
    </row>
    <row r="2628">
      <c r="A2628" s="51" t="n"/>
      <c r="B2628" s="52" t="n"/>
      <c r="C2628" s="52" t="n"/>
      <c r="D2628" s="53" t="n"/>
      <c r="E2628" s="60" t="n"/>
      <c r="F2628" s="53" t="n"/>
      <c r="G2628" s="61" t="str">
        <f>IF(OR(COUNTA(A2628:E2628)=0,D2628=""),"",IFERROR(INDEX(ca_fam,MATCH(D2628,ca_name,0))&amp;"",""))</f>
        <v/>
      </c>
      <c r="H2628" s="58" t="str">
        <f>IF(OR(COUNTA(A2628:E2628)=0,D2628=""),"",IFERROR(INDEX(ca_type,MATCH(D2628,ca_name,0))&amp;"",""))</f>
        <v/>
      </c>
      <c r="I2628" s="58" t="str">
        <f>IF(COUNTA(A2628:E2628)=0,"",IF(N(A2628)&lt;=0,"Date manquante ou invalide",IF(B2628="","Équipe manquante",IF(ISNA(MATCH(B2628,eq_code,0)),"Équipe inconnue",IF(C2628="","Poste manquant",IF(ISNA(MATCH(C2628,po_code,0)),"Poste inconnu",IF(D2628="","Cause manquante",IF(ISNA(MATCH(D2628,ca_name,0)),"Cause inconnue",IF(H2628="","Cause à compléter dans Paramètres",IF(OR(NOT(ISNUMBER(E2628)),N(E2628)&lt;=0,N(E2628)&gt;1440),"Durée invalide",IF(COUNTIFS(sj_date,A2628,sj_eq,B2628,sj_po,C2628)=0,"Pas de saisie journalière ce jour-là","OK")))))))))))</f>
        <v/>
      </c>
      <c r="J2628">
        <f>IF(OR(I2628="OK",I2628="Pas de saisie journalière ce jour-là"),E2628,0)</f>
        <v>0.0</v>
      </c>
      <c r="K2628">
        <f>IF(AND(J2628&gt;0,A2628&gt;=p_from,A2628&lt;=p_to),1,0)</f>
        <v>0.0</v>
      </c>
      <c r="L2628">
        <f>IF(AND(K2628=1,OR(pa_po="",C2628=pa_po),OR(pa_eq="",B2628=pa_eq)),1,0)</f>
        <v>0.0</v>
      </c>
    </row>
    <row r="2629">
      <c r="A2629" s="51" t="n"/>
      <c r="B2629" s="52" t="n"/>
      <c r="C2629" s="52" t="n"/>
      <c r="D2629" s="53" t="n"/>
      <c r="E2629" s="60" t="n"/>
      <c r="F2629" s="53" t="n"/>
      <c r="G2629" s="61" t="str">
        <f>IF(OR(COUNTA(A2629:E2629)=0,D2629=""),"",IFERROR(INDEX(ca_fam,MATCH(D2629,ca_name,0))&amp;"",""))</f>
        <v/>
      </c>
      <c r="H2629" s="58" t="str">
        <f>IF(OR(COUNTA(A2629:E2629)=0,D2629=""),"",IFERROR(INDEX(ca_type,MATCH(D2629,ca_name,0))&amp;"",""))</f>
        <v/>
      </c>
      <c r="I2629" s="58" t="str">
        <f>IF(COUNTA(A2629:E2629)=0,"",IF(N(A2629)&lt;=0,"Date manquante ou invalide",IF(B2629="","Équipe manquante",IF(ISNA(MATCH(B2629,eq_code,0)),"Équipe inconnue",IF(C2629="","Poste manquant",IF(ISNA(MATCH(C2629,po_code,0)),"Poste inconnu",IF(D2629="","Cause manquante",IF(ISNA(MATCH(D2629,ca_name,0)),"Cause inconnue",IF(H2629="","Cause à compléter dans Paramètres",IF(OR(NOT(ISNUMBER(E2629)),N(E2629)&lt;=0,N(E2629)&gt;1440),"Durée invalide",IF(COUNTIFS(sj_date,A2629,sj_eq,B2629,sj_po,C2629)=0,"Pas de saisie journalière ce jour-là","OK")))))))))))</f>
        <v/>
      </c>
      <c r="J2629">
        <f>IF(OR(I2629="OK",I2629="Pas de saisie journalière ce jour-là"),E2629,0)</f>
        <v>0.0</v>
      </c>
      <c r="K2629">
        <f>IF(AND(J2629&gt;0,A2629&gt;=p_from,A2629&lt;=p_to),1,0)</f>
        <v>0.0</v>
      </c>
      <c r="L2629">
        <f>IF(AND(K2629=1,OR(pa_po="",C2629=pa_po),OR(pa_eq="",B2629=pa_eq)),1,0)</f>
        <v>0.0</v>
      </c>
    </row>
    <row r="2630">
      <c r="A2630" s="51" t="n"/>
      <c r="B2630" s="52" t="n"/>
      <c r="C2630" s="52" t="n"/>
      <c r="D2630" s="53" t="n"/>
      <c r="E2630" s="60" t="n"/>
      <c r="F2630" s="53" t="n"/>
      <c r="G2630" s="61" t="str">
        <f>IF(OR(COUNTA(A2630:E2630)=0,D2630=""),"",IFERROR(INDEX(ca_fam,MATCH(D2630,ca_name,0))&amp;"",""))</f>
        <v/>
      </c>
      <c r="H2630" s="58" t="str">
        <f>IF(OR(COUNTA(A2630:E2630)=0,D2630=""),"",IFERROR(INDEX(ca_type,MATCH(D2630,ca_name,0))&amp;"",""))</f>
        <v/>
      </c>
      <c r="I2630" s="58" t="str">
        <f>IF(COUNTA(A2630:E2630)=0,"",IF(N(A2630)&lt;=0,"Date manquante ou invalide",IF(B2630="","Équipe manquante",IF(ISNA(MATCH(B2630,eq_code,0)),"Équipe inconnue",IF(C2630="","Poste manquant",IF(ISNA(MATCH(C2630,po_code,0)),"Poste inconnu",IF(D2630="","Cause manquante",IF(ISNA(MATCH(D2630,ca_name,0)),"Cause inconnue",IF(H2630="","Cause à compléter dans Paramètres",IF(OR(NOT(ISNUMBER(E2630)),N(E2630)&lt;=0,N(E2630)&gt;1440),"Durée invalide",IF(COUNTIFS(sj_date,A2630,sj_eq,B2630,sj_po,C2630)=0,"Pas de saisie journalière ce jour-là","OK")))))))))))</f>
        <v/>
      </c>
      <c r="J2630">
        <f>IF(OR(I2630="OK",I2630="Pas de saisie journalière ce jour-là"),E2630,0)</f>
        <v>0.0</v>
      </c>
      <c r="K2630">
        <f>IF(AND(J2630&gt;0,A2630&gt;=p_from,A2630&lt;=p_to),1,0)</f>
        <v>0.0</v>
      </c>
      <c r="L2630">
        <f>IF(AND(K2630=1,OR(pa_po="",C2630=pa_po),OR(pa_eq="",B2630=pa_eq)),1,0)</f>
        <v>0.0</v>
      </c>
    </row>
    <row r="2631">
      <c r="A2631" s="51" t="n"/>
      <c r="B2631" s="52" t="n"/>
      <c r="C2631" s="52" t="n"/>
      <c r="D2631" s="53" t="n"/>
      <c r="E2631" s="60" t="n"/>
      <c r="F2631" s="53" t="n"/>
      <c r="G2631" s="61" t="str">
        <f>IF(OR(COUNTA(A2631:E2631)=0,D2631=""),"",IFERROR(INDEX(ca_fam,MATCH(D2631,ca_name,0))&amp;"",""))</f>
        <v/>
      </c>
      <c r="H2631" s="58" t="str">
        <f>IF(OR(COUNTA(A2631:E2631)=0,D2631=""),"",IFERROR(INDEX(ca_type,MATCH(D2631,ca_name,0))&amp;"",""))</f>
        <v/>
      </c>
      <c r="I2631" s="58" t="str">
        <f>IF(COUNTA(A2631:E2631)=0,"",IF(N(A2631)&lt;=0,"Date manquante ou invalide",IF(B2631="","Équipe manquante",IF(ISNA(MATCH(B2631,eq_code,0)),"Équipe inconnue",IF(C2631="","Poste manquant",IF(ISNA(MATCH(C2631,po_code,0)),"Poste inconnu",IF(D2631="","Cause manquante",IF(ISNA(MATCH(D2631,ca_name,0)),"Cause inconnue",IF(H2631="","Cause à compléter dans Paramètres",IF(OR(NOT(ISNUMBER(E2631)),N(E2631)&lt;=0,N(E2631)&gt;1440),"Durée invalide",IF(COUNTIFS(sj_date,A2631,sj_eq,B2631,sj_po,C2631)=0,"Pas de saisie journalière ce jour-là","OK")))))))))))</f>
        <v/>
      </c>
      <c r="J2631">
        <f>IF(OR(I2631="OK",I2631="Pas de saisie journalière ce jour-là"),E2631,0)</f>
        <v>0.0</v>
      </c>
      <c r="K2631">
        <f>IF(AND(J2631&gt;0,A2631&gt;=p_from,A2631&lt;=p_to),1,0)</f>
        <v>0.0</v>
      </c>
      <c r="L2631">
        <f>IF(AND(K2631=1,OR(pa_po="",C2631=pa_po),OR(pa_eq="",B2631=pa_eq)),1,0)</f>
        <v>0.0</v>
      </c>
    </row>
    <row r="2632">
      <c r="A2632" s="51" t="n"/>
      <c r="B2632" s="52" t="n"/>
      <c r="C2632" s="52" t="n"/>
      <c r="D2632" s="53" t="n"/>
      <c r="E2632" s="60" t="n"/>
      <c r="F2632" s="53" t="n"/>
      <c r="G2632" s="61" t="str">
        <f>IF(OR(COUNTA(A2632:E2632)=0,D2632=""),"",IFERROR(INDEX(ca_fam,MATCH(D2632,ca_name,0))&amp;"",""))</f>
        <v/>
      </c>
      <c r="H2632" s="58" t="str">
        <f>IF(OR(COUNTA(A2632:E2632)=0,D2632=""),"",IFERROR(INDEX(ca_type,MATCH(D2632,ca_name,0))&amp;"",""))</f>
        <v/>
      </c>
      <c r="I2632" s="58" t="str">
        <f>IF(COUNTA(A2632:E2632)=0,"",IF(N(A2632)&lt;=0,"Date manquante ou invalide",IF(B2632="","Équipe manquante",IF(ISNA(MATCH(B2632,eq_code,0)),"Équipe inconnue",IF(C2632="","Poste manquant",IF(ISNA(MATCH(C2632,po_code,0)),"Poste inconnu",IF(D2632="","Cause manquante",IF(ISNA(MATCH(D2632,ca_name,0)),"Cause inconnue",IF(H2632="","Cause à compléter dans Paramètres",IF(OR(NOT(ISNUMBER(E2632)),N(E2632)&lt;=0,N(E2632)&gt;1440),"Durée invalide",IF(COUNTIFS(sj_date,A2632,sj_eq,B2632,sj_po,C2632)=0,"Pas de saisie journalière ce jour-là","OK")))))))))))</f>
        <v/>
      </c>
      <c r="J2632">
        <f>IF(OR(I2632="OK",I2632="Pas de saisie journalière ce jour-là"),E2632,0)</f>
        <v>0.0</v>
      </c>
      <c r="K2632">
        <f>IF(AND(J2632&gt;0,A2632&gt;=p_from,A2632&lt;=p_to),1,0)</f>
        <v>0.0</v>
      </c>
      <c r="L2632">
        <f>IF(AND(K2632=1,OR(pa_po="",C2632=pa_po),OR(pa_eq="",B2632=pa_eq)),1,0)</f>
        <v>0.0</v>
      </c>
    </row>
    <row r="2633">
      <c r="A2633" s="51" t="n"/>
      <c r="B2633" s="52" t="n"/>
      <c r="C2633" s="52" t="n"/>
      <c r="D2633" s="53" t="n"/>
      <c r="E2633" s="60" t="n"/>
      <c r="F2633" s="53" t="n"/>
      <c r="G2633" s="61" t="str">
        <f>IF(OR(COUNTA(A2633:E2633)=0,D2633=""),"",IFERROR(INDEX(ca_fam,MATCH(D2633,ca_name,0))&amp;"",""))</f>
        <v/>
      </c>
      <c r="H2633" s="58" t="str">
        <f>IF(OR(COUNTA(A2633:E2633)=0,D2633=""),"",IFERROR(INDEX(ca_type,MATCH(D2633,ca_name,0))&amp;"",""))</f>
        <v/>
      </c>
      <c r="I2633" s="58" t="str">
        <f>IF(COUNTA(A2633:E2633)=0,"",IF(N(A2633)&lt;=0,"Date manquante ou invalide",IF(B2633="","Équipe manquante",IF(ISNA(MATCH(B2633,eq_code,0)),"Équipe inconnue",IF(C2633="","Poste manquant",IF(ISNA(MATCH(C2633,po_code,0)),"Poste inconnu",IF(D2633="","Cause manquante",IF(ISNA(MATCH(D2633,ca_name,0)),"Cause inconnue",IF(H2633="","Cause à compléter dans Paramètres",IF(OR(NOT(ISNUMBER(E2633)),N(E2633)&lt;=0,N(E2633)&gt;1440),"Durée invalide",IF(COUNTIFS(sj_date,A2633,sj_eq,B2633,sj_po,C2633)=0,"Pas de saisie journalière ce jour-là","OK")))))))))))</f>
        <v/>
      </c>
      <c r="J2633">
        <f>IF(OR(I2633="OK",I2633="Pas de saisie journalière ce jour-là"),E2633,0)</f>
        <v>0.0</v>
      </c>
      <c r="K2633">
        <f>IF(AND(J2633&gt;0,A2633&gt;=p_from,A2633&lt;=p_to),1,0)</f>
        <v>0.0</v>
      </c>
      <c r="L2633">
        <f>IF(AND(K2633=1,OR(pa_po="",C2633=pa_po),OR(pa_eq="",B2633=pa_eq)),1,0)</f>
        <v>0.0</v>
      </c>
    </row>
    <row r="2634">
      <c r="A2634" s="51" t="n"/>
      <c r="B2634" s="52" t="n"/>
      <c r="C2634" s="52" t="n"/>
      <c r="D2634" s="53" t="n"/>
      <c r="E2634" s="60" t="n"/>
      <c r="F2634" s="53" t="n"/>
      <c r="G2634" s="61" t="str">
        <f>IF(OR(COUNTA(A2634:E2634)=0,D2634=""),"",IFERROR(INDEX(ca_fam,MATCH(D2634,ca_name,0))&amp;"",""))</f>
        <v/>
      </c>
      <c r="H2634" s="58" t="str">
        <f>IF(OR(COUNTA(A2634:E2634)=0,D2634=""),"",IFERROR(INDEX(ca_type,MATCH(D2634,ca_name,0))&amp;"",""))</f>
        <v/>
      </c>
      <c r="I2634" s="58" t="str">
        <f>IF(COUNTA(A2634:E2634)=0,"",IF(N(A2634)&lt;=0,"Date manquante ou invalide",IF(B2634="","Équipe manquante",IF(ISNA(MATCH(B2634,eq_code,0)),"Équipe inconnue",IF(C2634="","Poste manquant",IF(ISNA(MATCH(C2634,po_code,0)),"Poste inconnu",IF(D2634="","Cause manquante",IF(ISNA(MATCH(D2634,ca_name,0)),"Cause inconnue",IF(H2634="","Cause à compléter dans Paramètres",IF(OR(NOT(ISNUMBER(E2634)),N(E2634)&lt;=0,N(E2634)&gt;1440),"Durée invalide",IF(COUNTIFS(sj_date,A2634,sj_eq,B2634,sj_po,C2634)=0,"Pas de saisie journalière ce jour-là","OK")))))))))))</f>
        <v/>
      </c>
      <c r="J2634">
        <f>IF(OR(I2634="OK",I2634="Pas de saisie journalière ce jour-là"),E2634,0)</f>
        <v>0.0</v>
      </c>
      <c r="K2634">
        <f>IF(AND(J2634&gt;0,A2634&gt;=p_from,A2634&lt;=p_to),1,0)</f>
        <v>0.0</v>
      </c>
      <c r="L2634">
        <f>IF(AND(K2634=1,OR(pa_po="",C2634=pa_po),OR(pa_eq="",B2634=pa_eq)),1,0)</f>
        <v>0.0</v>
      </c>
    </row>
    <row r="2635">
      <c r="A2635" s="51" t="n"/>
      <c r="B2635" s="52" t="n"/>
      <c r="C2635" s="52" t="n"/>
      <c r="D2635" s="53" t="n"/>
      <c r="E2635" s="60" t="n"/>
      <c r="F2635" s="53" t="n"/>
      <c r="G2635" s="61" t="str">
        <f>IF(OR(COUNTA(A2635:E2635)=0,D2635=""),"",IFERROR(INDEX(ca_fam,MATCH(D2635,ca_name,0))&amp;"",""))</f>
        <v/>
      </c>
      <c r="H2635" s="58" t="str">
        <f>IF(OR(COUNTA(A2635:E2635)=0,D2635=""),"",IFERROR(INDEX(ca_type,MATCH(D2635,ca_name,0))&amp;"",""))</f>
        <v/>
      </c>
      <c r="I2635" s="58" t="str">
        <f>IF(COUNTA(A2635:E2635)=0,"",IF(N(A2635)&lt;=0,"Date manquante ou invalide",IF(B2635="","Équipe manquante",IF(ISNA(MATCH(B2635,eq_code,0)),"Équipe inconnue",IF(C2635="","Poste manquant",IF(ISNA(MATCH(C2635,po_code,0)),"Poste inconnu",IF(D2635="","Cause manquante",IF(ISNA(MATCH(D2635,ca_name,0)),"Cause inconnue",IF(H2635="","Cause à compléter dans Paramètres",IF(OR(NOT(ISNUMBER(E2635)),N(E2635)&lt;=0,N(E2635)&gt;1440),"Durée invalide",IF(COUNTIFS(sj_date,A2635,sj_eq,B2635,sj_po,C2635)=0,"Pas de saisie journalière ce jour-là","OK")))))))))))</f>
        <v/>
      </c>
      <c r="J2635">
        <f>IF(OR(I2635="OK",I2635="Pas de saisie journalière ce jour-là"),E2635,0)</f>
        <v>0.0</v>
      </c>
      <c r="K2635">
        <f>IF(AND(J2635&gt;0,A2635&gt;=p_from,A2635&lt;=p_to),1,0)</f>
        <v>0.0</v>
      </c>
      <c r="L2635">
        <f>IF(AND(K2635=1,OR(pa_po="",C2635=pa_po),OR(pa_eq="",B2635=pa_eq)),1,0)</f>
        <v>0.0</v>
      </c>
    </row>
    <row r="2636">
      <c r="A2636" s="51" t="n"/>
      <c r="B2636" s="52" t="n"/>
      <c r="C2636" s="52" t="n"/>
      <c r="D2636" s="53" t="n"/>
      <c r="E2636" s="60" t="n"/>
      <c r="F2636" s="53" t="n"/>
      <c r="G2636" s="61" t="str">
        <f>IF(OR(COUNTA(A2636:E2636)=0,D2636=""),"",IFERROR(INDEX(ca_fam,MATCH(D2636,ca_name,0))&amp;"",""))</f>
        <v/>
      </c>
      <c r="H2636" s="58" t="str">
        <f>IF(OR(COUNTA(A2636:E2636)=0,D2636=""),"",IFERROR(INDEX(ca_type,MATCH(D2636,ca_name,0))&amp;"",""))</f>
        <v/>
      </c>
      <c r="I2636" s="58" t="str">
        <f>IF(COUNTA(A2636:E2636)=0,"",IF(N(A2636)&lt;=0,"Date manquante ou invalide",IF(B2636="","Équipe manquante",IF(ISNA(MATCH(B2636,eq_code,0)),"Équipe inconnue",IF(C2636="","Poste manquant",IF(ISNA(MATCH(C2636,po_code,0)),"Poste inconnu",IF(D2636="","Cause manquante",IF(ISNA(MATCH(D2636,ca_name,0)),"Cause inconnue",IF(H2636="","Cause à compléter dans Paramètres",IF(OR(NOT(ISNUMBER(E2636)),N(E2636)&lt;=0,N(E2636)&gt;1440),"Durée invalide",IF(COUNTIFS(sj_date,A2636,sj_eq,B2636,sj_po,C2636)=0,"Pas de saisie journalière ce jour-là","OK")))))))))))</f>
        <v/>
      </c>
      <c r="J2636">
        <f>IF(OR(I2636="OK",I2636="Pas de saisie journalière ce jour-là"),E2636,0)</f>
        <v>0.0</v>
      </c>
      <c r="K2636">
        <f>IF(AND(J2636&gt;0,A2636&gt;=p_from,A2636&lt;=p_to),1,0)</f>
        <v>0.0</v>
      </c>
      <c r="L2636">
        <f>IF(AND(K2636=1,OR(pa_po="",C2636=pa_po),OR(pa_eq="",B2636=pa_eq)),1,0)</f>
        <v>0.0</v>
      </c>
    </row>
    <row r="2637">
      <c r="A2637" s="51" t="n"/>
      <c r="B2637" s="52" t="n"/>
      <c r="C2637" s="52" t="n"/>
      <c r="D2637" s="53" t="n"/>
      <c r="E2637" s="60" t="n"/>
      <c r="F2637" s="53" t="n"/>
      <c r="G2637" s="61" t="str">
        <f>IF(OR(COUNTA(A2637:E2637)=0,D2637=""),"",IFERROR(INDEX(ca_fam,MATCH(D2637,ca_name,0))&amp;"",""))</f>
        <v/>
      </c>
      <c r="H2637" s="58" t="str">
        <f>IF(OR(COUNTA(A2637:E2637)=0,D2637=""),"",IFERROR(INDEX(ca_type,MATCH(D2637,ca_name,0))&amp;"",""))</f>
        <v/>
      </c>
      <c r="I2637" s="58" t="str">
        <f>IF(COUNTA(A2637:E2637)=0,"",IF(N(A2637)&lt;=0,"Date manquante ou invalide",IF(B2637="","Équipe manquante",IF(ISNA(MATCH(B2637,eq_code,0)),"Équipe inconnue",IF(C2637="","Poste manquant",IF(ISNA(MATCH(C2637,po_code,0)),"Poste inconnu",IF(D2637="","Cause manquante",IF(ISNA(MATCH(D2637,ca_name,0)),"Cause inconnue",IF(H2637="","Cause à compléter dans Paramètres",IF(OR(NOT(ISNUMBER(E2637)),N(E2637)&lt;=0,N(E2637)&gt;1440),"Durée invalide",IF(COUNTIFS(sj_date,A2637,sj_eq,B2637,sj_po,C2637)=0,"Pas de saisie journalière ce jour-là","OK")))))))))))</f>
        <v/>
      </c>
      <c r="J2637">
        <f>IF(OR(I2637="OK",I2637="Pas de saisie journalière ce jour-là"),E2637,0)</f>
        <v>0.0</v>
      </c>
      <c r="K2637">
        <f>IF(AND(J2637&gt;0,A2637&gt;=p_from,A2637&lt;=p_to),1,0)</f>
        <v>0.0</v>
      </c>
      <c r="L2637">
        <f>IF(AND(K2637=1,OR(pa_po="",C2637=pa_po),OR(pa_eq="",B2637=pa_eq)),1,0)</f>
        <v>0.0</v>
      </c>
    </row>
    <row r="2638">
      <c r="A2638" s="51" t="n"/>
      <c r="B2638" s="52" t="n"/>
      <c r="C2638" s="52" t="n"/>
      <c r="D2638" s="53" t="n"/>
      <c r="E2638" s="60" t="n"/>
      <c r="F2638" s="53" t="n"/>
      <c r="G2638" s="61" t="str">
        <f>IF(OR(COUNTA(A2638:E2638)=0,D2638=""),"",IFERROR(INDEX(ca_fam,MATCH(D2638,ca_name,0))&amp;"",""))</f>
        <v/>
      </c>
      <c r="H2638" s="58" t="str">
        <f>IF(OR(COUNTA(A2638:E2638)=0,D2638=""),"",IFERROR(INDEX(ca_type,MATCH(D2638,ca_name,0))&amp;"",""))</f>
        <v/>
      </c>
      <c r="I2638" s="58" t="str">
        <f>IF(COUNTA(A2638:E2638)=0,"",IF(N(A2638)&lt;=0,"Date manquante ou invalide",IF(B2638="","Équipe manquante",IF(ISNA(MATCH(B2638,eq_code,0)),"Équipe inconnue",IF(C2638="","Poste manquant",IF(ISNA(MATCH(C2638,po_code,0)),"Poste inconnu",IF(D2638="","Cause manquante",IF(ISNA(MATCH(D2638,ca_name,0)),"Cause inconnue",IF(H2638="","Cause à compléter dans Paramètres",IF(OR(NOT(ISNUMBER(E2638)),N(E2638)&lt;=0,N(E2638)&gt;1440),"Durée invalide",IF(COUNTIFS(sj_date,A2638,sj_eq,B2638,sj_po,C2638)=0,"Pas de saisie journalière ce jour-là","OK")))))))))))</f>
        <v/>
      </c>
      <c r="J2638">
        <f>IF(OR(I2638="OK",I2638="Pas de saisie journalière ce jour-là"),E2638,0)</f>
        <v>0.0</v>
      </c>
      <c r="K2638">
        <f>IF(AND(J2638&gt;0,A2638&gt;=p_from,A2638&lt;=p_to),1,0)</f>
        <v>0.0</v>
      </c>
      <c r="L2638">
        <f>IF(AND(K2638=1,OR(pa_po="",C2638=pa_po),OR(pa_eq="",B2638=pa_eq)),1,0)</f>
        <v>0.0</v>
      </c>
    </row>
    <row r="2639">
      <c r="A2639" s="51" t="n"/>
      <c r="B2639" s="52" t="n"/>
      <c r="C2639" s="52" t="n"/>
      <c r="D2639" s="53" t="n"/>
      <c r="E2639" s="60" t="n"/>
      <c r="F2639" s="53" t="n"/>
      <c r="G2639" s="61" t="str">
        <f>IF(OR(COUNTA(A2639:E2639)=0,D2639=""),"",IFERROR(INDEX(ca_fam,MATCH(D2639,ca_name,0))&amp;"",""))</f>
        <v/>
      </c>
      <c r="H2639" s="58" t="str">
        <f>IF(OR(COUNTA(A2639:E2639)=0,D2639=""),"",IFERROR(INDEX(ca_type,MATCH(D2639,ca_name,0))&amp;"",""))</f>
        <v/>
      </c>
      <c r="I2639" s="58" t="str">
        <f>IF(COUNTA(A2639:E2639)=0,"",IF(N(A2639)&lt;=0,"Date manquante ou invalide",IF(B2639="","Équipe manquante",IF(ISNA(MATCH(B2639,eq_code,0)),"Équipe inconnue",IF(C2639="","Poste manquant",IF(ISNA(MATCH(C2639,po_code,0)),"Poste inconnu",IF(D2639="","Cause manquante",IF(ISNA(MATCH(D2639,ca_name,0)),"Cause inconnue",IF(H2639="","Cause à compléter dans Paramètres",IF(OR(NOT(ISNUMBER(E2639)),N(E2639)&lt;=0,N(E2639)&gt;1440),"Durée invalide",IF(COUNTIFS(sj_date,A2639,sj_eq,B2639,sj_po,C2639)=0,"Pas de saisie journalière ce jour-là","OK")))))))))))</f>
        <v/>
      </c>
      <c r="J2639">
        <f>IF(OR(I2639="OK",I2639="Pas de saisie journalière ce jour-là"),E2639,0)</f>
        <v>0.0</v>
      </c>
      <c r="K2639">
        <f>IF(AND(J2639&gt;0,A2639&gt;=p_from,A2639&lt;=p_to),1,0)</f>
        <v>0.0</v>
      </c>
      <c r="L2639">
        <f>IF(AND(K2639=1,OR(pa_po="",C2639=pa_po),OR(pa_eq="",B2639=pa_eq)),1,0)</f>
        <v>0.0</v>
      </c>
    </row>
    <row r="2640">
      <c r="A2640" s="51" t="n"/>
      <c r="B2640" s="52" t="n"/>
      <c r="C2640" s="52" t="n"/>
      <c r="D2640" s="53" t="n"/>
      <c r="E2640" s="60" t="n"/>
      <c r="F2640" s="53" t="n"/>
      <c r="G2640" s="61" t="str">
        <f>IF(OR(COUNTA(A2640:E2640)=0,D2640=""),"",IFERROR(INDEX(ca_fam,MATCH(D2640,ca_name,0))&amp;"",""))</f>
        <v/>
      </c>
      <c r="H2640" s="58" t="str">
        <f>IF(OR(COUNTA(A2640:E2640)=0,D2640=""),"",IFERROR(INDEX(ca_type,MATCH(D2640,ca_name,0))&amp;"",""))</f>
        <v/>
      </c>
      <c r="I2640" s="58" t="str">
        <f>IF(COUNTA(A2640:E2640)=0,"",IF(N(A2640)&lt;=0,"Date manquante ou invalide",IF(B2640="","Équipe manquante",IF(ISNA(MATCH(B2640,eq_code,0)),"Équipe inconnue",IF(C2640="","Poste manquant",IF(ISNA(MATCH(C2640,po_code,0)),"Poste inconnu",IF(D2640="","Cause manquante",IF(ISNA(MATCH(D2640,ca_name,0)),"Cause inconnue",IF(H2640="","Cause à compléter dans Paramètres",IF(OR(NOT(ISNUMBER(E2640)),N(E2640)&lt;=0,N(E2640)&gt;1440),"Durée invalide",IF(COUNTIFS(sj_date,A2640,sj_eq,B2640,sj_po,C2640)=0,"Pas de saisie journalière ce jour-là","OK")))))))))))</f>
        <v/>
      </c>
      <c r="J2640">
        <f>IF(OR(I2640="OK",I2640="Pas de saisie journalière ce jour-là"),E2640,0)</f>
        <v>0.0</v>
      </c>
      <c r="K2640">
        <f>IF(AND(J2640&gt;0,A2640&gt;=p_from,A2640&lt;=p_to),1,0)</f>
        <v>0.0</v>
      </c>
      <c r="L2640">
        <f>IF(AND(K2640=1,OR(pa_po="",C2640=pa_po),OR(pa_eq="",B2640=pa_eq)),1,0)</f>
        <v>0.0</v>
      </c>
    </row>
    <row r="2641">
      <c r="A2641" s="51" t="n"/>
      <c r="B2641" s="52" t="n"/>
      <c r="C2641" s="52" t="n"/>
      <c r="D2641" s="53" t="n"/>
      <c r="E2641" s="60" t="n"/>
      <c r="F2641" s="53" t="n"/>
      <c r="G2641" s="61" t="str">
        <f>IF(OR(COUNTA(A2641:E2641)=0,D2641=""),"",IFERROR(INDEX(ca_fam,MATCH(D2641,ca_name,0))&amp;"",""))</f>
        <v/>
      </c>
      <c r="H2641" s="58" t="str">
        <f>IF(OR(COUNTA(A2641:E2641)=0,D2641=""),"",IFERROR(INDEX(ca_type,MATCH(D2641,ca_name,0))&amp;"",""))</f>
        <v/>
      </c>
      <c r="I2641" s="58" t="str">
        <f>IF(COUNTA(A2641:E2641)=0,"",IF(N(A2641)&lt;=0,"Date manquante ou invalide",IF(B2641="","Équipe manquante",IF(ISNA(MATCH(B2641,eq_code,0)),"Équipe inconnue",IF(C2641="","Poste manquant",IF(ISNA(MATCH(C2641,po_code,0)),"Poste inconnu",IF(D2641="","Cause manquante",IF(ISNA(MATCH(D2641,ca_name,0)),"Cause inconnue",IF(H2641="","Cause à compléter dans Paramètres",IF(OR(NOT(ISNUMBER(E2641)),N(E2641)&lt;=0,N(E2641)&gt;1440),"Durée invalide",IF(COUNTIFS(sj_date,A2641,sj_eq,B2641,sj_po,C2641)=0,"Pas de saisie journalière ce jour-là","OK")))))))))))</f>
        <v/>
      </c>
      <c r="J2641">
        <f>IF(OR(I2641="OK",I2641="Pas de saisie journalière ce jour-là"),E2641,0)</f>
        <v>0.0</v>
      </c>
      <c r="K2641">
        <f>IF(AND(J2641&gt;0,A2641&gt;=p_from,A2641&lt;=p_to),1,0)</f>
        <v>0.0</v>
      </c>
      <c r="L2641">
        <f>IF(AND(K2641=1,OR(pa_po="",C2641=pa_po),OR(pa_eq="",B2641=pa_eq)),1,0)</f>
        <v>0.0</v>
      </c>
    </row>
    <row r="2642">
      <c r="A2642" s="51" t="n"/>
      <c r="B2642" s="52" t="n"/>
      <c r="C2642" s="52" t="n"/>
      <c r="D2642" s="53" t="n"/>
      <c r="E2642" s="60" t="n"/>
      <c r="F2642" s="53" t="n"/>
      <c r="G2642" s="61" t="str">
        <f>IF(OR(COUNTA(A2642:E2642)=0,D2642=""),"",IFERROR(INDEX(ca_fam,MATCH(D2642,ca_name,0))&amp;"",""))</f>
        <v/>
      </c>
      <c r="H2642" s="58" t="str">
        <f>IF(OR(COUNTA(A2642:E2642)=0,D2642=""),"",IFERROR(INDEX(ca_type,MATCH(D2642,ca_name,0))&amp;"",""))</f>
        <v/>
      </c>
      <c r="I2642" s="58" t="str">
        <f>IF(COUNTA(A2642:E2642)=0,"",IF(N(A2642)&lt;=0,"Date manquante ou invalide",IF(B2642="","Équipe manquante",IF(ISNA(MATCH(B2642,eq_code,0)),"Équipe inconnue",IF(C2642="","Poste manquant",IF(ISNA(MATCH(C2642,po_code,0)),"Poste inconnu",IF(D2642="","Cause manquante",IF(ISNA(MATCH(D2642,ca_name,0)),"Cause inconnue",IF(H2642="","Cause à compléter dans Paramètres",IF(OR(NOT(ISNUMBER(E2642)),N(E2642)&lt;=0,N(E2642)&gt;1440),"Durée invalide",IF(COUNTIFS(sj_date,A2642,sj_eq,B2642,sj_po,C2642)=0,"Pas de saisie journalière ce jour-là","OK")))))))))))</f>
        <v/>
      </c>
      <c r="J2642">
        <f>IF(OR(I2642="OK",I2642="Pas de saisie journalière ce jour-là"),E2642,0)</f>
        <v>0.0</v>
      </c>
      <c r="K2642">
        <f>IF(AND(J2642&gt;0,A2642&gt;=p_from,A2642&lt;=p_to),1,0)</f>
        <v>0.0</v>
      </c>
      <c r="L2642">
        <f>IF(AND(K2642=1,OR(pa_po="",C2642=pa_po),OR(pa_eq="",B2642=pa_eq)),1,0)</f>
        <v>0.0</v>
      </c>
    </row>
    <row r="2643">
      <c r="A2643" s="51" t="n"/>
      <c r="B2643" s="52" t="n"/>
      <c r="C2643" s="52" t="n"/>
      <c r="D2643" s="53" t="n"/>
      <c r="E2643" s="60" t="n"/>
      <c r="F2643" s="53" t="n"/>
      <c r="G2643" s="61" t="str">
        <f>IF(OR(COUNTA(A2643:E2643)=0,D2643=""),"",IFERROR(INDEX(ca_fam,MATCH(D2643,ca_name,0))&amp;"",""))</f>
        <v/>
      </c>
      <c r="H2643" s="58" t="str">
        <f>IF(OR(COUNTA(A2643:E2643)=0,D2643=""),"",IFERROR(INDEX(ca_type,MATCH(D2643,ca_name,0))&amp;"",""))</f>
        <v/>
      </c>
      <c r="I2643" s="58" t="str">
        <f>IF(COUNTA(A2643:E2643)=0,"",IF(N(A2643)&lt;=0,"Date manquante ou invalide",IF(B2643="","Équipe manquante",IF(ISNA(MATCH(B2643,eq_code,0)),"Équipe inconnue",IF(C2643="","Poste manquant",IF(ISNA(MATCH(C2643,po_code,0)),"Poste inconnu",IF(D2643="","Cause manquante",IF(ISNA(MATCH(D2643,ca_name,0)),"Cause inconnue",IF(H2643="","Cause à compléter dans Paramètres",IF(OR(NOT(ISNUMBER(E2643)),N(E2643)&lt;=0,N(E2643)&gt;1440),"Durée invalide",IF(COUNTIFS(sj_date,A2643,sj_eq,B2643,sj_po,C2643)=0,"Pas de saisie journalière ce jour-là","OK")))))))))))</f>
        <v/>
      </c>
      <c r="J2643">
        <f>IF(OR(I2643="OK",I2643="Pas de saisie journalière ce jour-là"),E2643,0)</f>
        <v>0.0</v>
      </c>
      <c r="K2643">
        <f>IF(AND(J2643&gt;0,A2643&gt;=p_from,A2643&lt;=p_to),1,0)</f>
        <v>0.0</v>
      </c>
      <c r="L2643">
        <f>IF(AND(K2643=1,OR(pa_po="",C2643=pa_po),OR(pa_eq="",B2643=pa_eq)),1,0)</f>
        <v>0.0</v>
      </c>
    </row>
    <row r="2644">
      <c r="A2644" s="51" t="n"/>
      <c r="B2644" s="52" t="n"/>
      <c r="C2644" s="52" t="n"/>
      <c r="D2644" s="53" t="n"/>
      <c r="E2644" s="60" t="n"/>
      <c r="F2644" s="53" t="n"/>
      <c r="G2644" s="61" t="str">
        <f>IF(OR(COUNTA(A2644:E2644)=0,D2644=""),"",IFERROR(INDEX(ca_fam,MATCH(D2644,ca_name,0))&amp;"",""))</f>
        <v/>
      </c>
      <c r="H2644" s="58" t="str">
        <f>IF(OR(COUNTA(A2644:E2644)=0,D2644=""),"",IFERROR(INDEX(ca_type,MATCH(D2644,ca_name,0))&amp;"",""))</f>
        <v/>
      </c>
      <c r="I2644" s="58" t="str">
        <f>IF(COUNTA(A2644:E2644)=0,"",IF(N(A2644)&lt;=0,"Date manquante ou invalide",IF(B2644="","Équipe manquante",IF(ISNA(MATCH(B2644,eq_code,0)),"Équipe inconnue",IF(C2644="","Poste manquant",IF(ISNA(MATCH(C2644,po_code,0)),"Poste inconnu",IF(D2644="","Cause manquante",IF(ISNA(MATCH(D2644,ca_name,0)),"Cause inconnue",IF(H2644="","Cause à compléter dans Paramètres",IF(OR(NOT(ISNUMBER(E2644)),N(E2644)&lt;=0,N(E2644)&gt;1440),"Durée invalide",IF(COUNTIFS(sj_date,A2644,sj_eq,B2644,sj_po,C2644)=0,"Pas de saisie journalière ce jour-là","OK")))))))))))</f>
        <v/>
      </c>
      <c r="J2644">
        <f>IF(OR(I2644="OK",I2644="Pas de saisie journalière ce jour-là"),E2644,0)</f>
        <v>0.0</v>
      </c>
      <c r="K2644">
        <f>IF(AND(J2644&gt;0,A2644&gt;=p_from,A2644&lt;=p_to),1,0)</f>
        <v>0.0</v>
      </c>
      <c r="L2644">
        <f>IF(AND(K2644=1,OR(pa_po="",C2644=pa_po),OR(pa_eq="",B2644=pa_eq)),1,0)</f>
        <v>0.0</v>
      </c>
    </row>
    <row r="2645">
      <c r="A2645" s="51" t="n"/>
      <c r="B2645" s="52" t="n"/>
      <c r="C2645" s="52" t="n"/>
      <c r="D2645" s="53" t="n"/>
      <c r="E2645" s="60" t="n"/>
      <c r="F2645" s="53" t="n"/>
      <c r="G2645" s="61" t="str">
        <f>IF(OR(COUNTA(A2645:E2645)=0,D2645=""),"",IFERROR(INDEX(ca_fam,MATCH(D2645,ca_name,0))&amp;"",""))</f>
        <v/>
      </c>
      <c r="H2645" s="58" t="str">
        <f>IF(OR(COUNTA(A2645:E2645)=0,D2645=""),"",IFERROR(INDEX(ca_type,MATCH(D2645,ca_name,0))&amp;"",""))</f>
        <v/>
      </c>
      <c r="I2645" s="58" t="str">
        <f>IF(COUNTA(A2645:E2645)=0,"",IF(N(A2645)&lt;=0,"Date manquante ou invalide",IF(B2645="","Équipe manquante",IF(ISNA(MATCH(B2645,eq_code,0)),"Équipe inconnue",IF(C2645="","Poste manquant",IF(ISNA(MATCH(C2645,po_code,0)),"Poste inconnu",IF(D2645="","Cause manquante",IF(ISNA(MATCH(D2645,ca_name,0)),"Cause inconnue",IF(H2645="","Cause à compléter dans Paramètres",IF(OR(NOT(ISNUMBER(E2645)),N(E2645)&lt;=0,N(E2645)&gt;1440),"Durée invalide",IF(COUNTIFS(sj_date,A2645,sj_eq,B2645,sj_po,C2645)=0,"Pas de saisie journalière ce jour-là","OK")))))))))))</f>
        <v/>
      </c>
      <c r="J2645">
        <f>IF(OR(I2645="OK",I2645="Pas de saisie journalière ce jour-là"),E2645,0)</f>
        <v>0.0</v>
      </c>
      <c r="K2645">
        <f>IF(AND(J2645&gt;0,A2645&gt;=p_from,A2645&lt;=p_to),1,0)</f>
        <v>0.0</v>
      </c>
      <c r="L2645">
        <f>IF(AND(K2645=1,OR(pa_po="",C2645=pa_po),OR(pa_eq="",B2645=pa_eq)),1,0)</f>
        <v>0.0</v>
      </c>
    </row>
    <row r="2646">
      <c r="A2646" s="51" t="n"/>
      <c r="B2646" s="52" t="n"/>
      <c r="C2646" s="52" t="n"/>
      <c r="D2646" s="53" t="n"/>
      <c r="E2646" s="60" t="n"/>
      <c r="F2646" s="53" t="n"/>
      <c r="G2646" s="61" t="str">
        <f>IF(OR(COUNTA(A2646:E2646)=0,D2646=""),"",IFERROR(INDEX(ca_fam,MATCH(D2646,ca_name,0))&amp;"",""))</f>
        <v/>
      </c>
      <c r="H2646" s="58" t="str">
        <f>IF(OR(COUNTA(A2646:E2646)=0,D2646=""),"",IFERROR(INDEX(ca_type,MATCH(D2646,ca_name,0))&amp;"",""))</f>
        <v/>
      </c>
      <c r="I2646" s="58" t="str">
        <f>IF(COUNTA(A2646:E2646)=0,"",IF(N(A2646)&lt;=0,"Date manquante ou invalide",IF(B2646="","Équipe manquante",IF(ISNA(MATCH(B2646,eq_code,0)),"Équipe inconnue",IF(C2646="","Poste manquant",IF(ISNA(MATCH(C2646,po_code,0)),"Poste inconnu",IF(D2646="","Cause manquante",IF(ISNA(MATCH(D2646,ca_name,0)),"Cause inconnue",IF(H2646="","Cause à compléter dans Paramètres",IF(OR(NOT(ISNUMBER(E2646)),N(E2646)&lt;=0,N(E2646)&gt;1440),"Durée invalide",IF(COUNTIFS(sj_date,A2646,sj_eq,B2646,sj_po,C2646)=0,"Pas de saisie journalière ce jour-là","OK")))))))))))</f>
        <v/>
      </c>
      <c r="J2646">
        <f>IF(OR(I2646="OK",I2646="Pas de saisie journalière ce jour-là"),E2646,0)</f>
        <v>0.0</v>
      </c>
      <c r="K2646">
        <f>IF(AND(J2646&gt;0,A2646&gt;=p_from,A2646&lt;=p_to),1,0)</f>
        <v>0.0</v>
      </c>
      <c r="L2646">
        <f>IF(AND(K2646=1,OR(pa_po="",C2646=pa_po),OR(pa_eq="",B2646=pa_eq)),1,0)</f>
        <v>0.0</v>
      </c>
    </row>
    <row r="2647">
      <c r="A2647" s="51" t="n"/>
      <c r="B2647" s="52" t="n"/>
      <c r="C2647" s="52" t="n"/>
      <c r="D2647" s="53" t="n"/>
      <c r="E2647" s="60" t="n"/>
      <c r="F2647" s="53" t="n"/>
      <c r="G2647" s="61" t="str">
        <f>IF(OR(COUNTA(A2647:E2647)=0,D2647=""),"",IFERROR(INDEX(ca_fam,MATCH(D2647,ca_name,0))&amp;"",""))</f>
        <v/>
      </c>
      <c r="H2647" s="58" t="str">
        <f>IF(OR(COUNTA(A2647:E2647)=0,D2647=""),"",IFERROR(INDEX(ca_type,MATCH(D2647,ca_name,0))&amp;"",""))</f>
        <v/>
      </c>
      <c r="I2647" s="58" t="str">
        <f>IF(COUNTA(A2647:E2647)=0,"",IF(N(A2647)&lt;=0,"Date manquante ou invalide",IF(B2647="","Équipe manquante",IF(ISNA(MATCH(B2647,eq_code,0)),"Équipe inconnue",IF(C2647="","Poste manquant",IF(ISNA(MATCH(C2647,po_code,0)),"Poste inconnu",IF(D2647="","Cause manquante",IF(ISNA(MATCH(D2647,ca_name,0)),"Cause inconnue",IF(H2647="","Cause à compléter dans Paramètres",IF(OR(NOT(ISNUMBER(E2647)),N(E2647)&lt;=0,N(E2647)&gt;1440),"Durée invalide",IF(COUNTIFS(sj_date,A2647,sj_eq,B2647,sj_po,C2647)=0,"Pas de saisie journalière ce jour-là","OK")))))))))))</f>
        <v/>
      </c>
      <c r="J2647">
        <f>IF(OR(I2647="OK",I2647="Pas de saisie journalière ce jour-là"),E2647,0)</f>
        <v>0.0</v>
      </c>
      <c r="K2647">
        <f>IF(AND(J2647&gt;0,A2647&gt;=p_from,A2647&lt;=p_to),1,0)</f>
        <v>0.0</v>
      </c>
      <c r="L2647">
        <f>IF(AND(K2647=1,OR(pa_po="",C2647=pa_po),OR(pa_eq="",B2647=pa_eq)),1,0)</f>
        <v>0.0</v>
      </c>
    </row>
    <row r="2648">
      <c r="A2648" s="51" t="n"/>
      <c r="B2648" s="52" t="n"/>
      <c r="C2648" s="52" t="n"/>
      <c r="D2648" s="53" t="n"/>
      <c r="E2648" s="60" t="n"/>
      <c r="F2648" s="53" t="n"/>
      <c r="G2648" s="61" t="str">
        <f>IF(OR(COUNTA(A2648:E2648)=0,D2648=""),"",IFERROR(INDEX(ca_fam,MATCH(D2648,ca_name,0))&amp;"",""))</f>
        <v/>
      </c>
      <c r="H2648" s="58" t="str">
        <f>IF(OR(COUNTA(A2648:E2648)=0,D2648=""),"",IFERROR(INDEX(ca_type,MATCH(D2648,ca_name,0))&amp;"",""))</f>
        <v/>
      </c>
      <c r="I2648" s="58" t="str">
        <f>IF(COUNTA(A2648:E2648)=0,"",IF(N(A2648)&lt;=0,"Date manquante ou invalide",IF(B2648="","Équipe manquante",IF(ISNA(MATCH(B2648,eq_code,0)),"Équipe inconnue",IF(C2648="","Poste manquant",IF(ISNA(MATCH(C2648,po_code,0)),"Poste inconnu",IF(D2648="","Cause manquante",IF(ISNA(MATCH(D2648,ca_name,0)),"Cause inconnue",IF(H2648="","Cause à compléter dans Paramètres",IF(OR(NOT(ISNUMBER(E2648)),N(E2648)&lt;=0,N(E2648)&gt;1440),"Durée invalide",IF(COUNTIFS(sj_date,A2648,sj_eq,B2648,sj_po,C2648)=0,"Pas de saisie journalière ce jour-là","OK")))))))))))</f>
        <v/>
      </c>
      <c r="J2648">
        <f>IF(OR(I2648="OK",I2648="Pas de saisie journalière ce jour-là"),E2648,0)</f>
        <v>0.0</v>
      </c>
      <c r="K2648">
        <f>IF(AND(J2648&gt;0,A2648&gt;=p_from,A2648&lt;=p_to),1,0)</f>
        <v>0.0</v>
      </c>
      <c r="L2648">
        <f>IF(AND(K2648=1,OR(pa_po="",C2648=pa_po),OR(pa_eq="",B2648=pa_eq)),1,0)</f>
        <v>0.0</v>
      </c>
    </row>
    <row r="2649">
      <c r="A2649" s="51" t="n"/>
      <c r="B2649" s="52" t="n"/>
      <c r="C2649" s="52" t="n"/>
      <c r="D2649" s="53" t="n"/>
      <c r="E2649" s="60" t="n"/>
      <c r="F2649" s="53" t="n"/>
      <c r="G2649" s="61" t="str">
        <f>IF(OR(COUNTA(A2649:E2649)=0,D2649=""),"",IFERROR(INDEX(ca_fam,MATCH(D2649,ca_name,0))&amp;"",""))</f>
        <v/>
      </c>
      <c r="H2649" s="58" t="str">
        <f>IF(OR(COUNTA(A2649:E2649)=0,D2649=""),"",IFERROR(INDEX(ca_type,MATCH(D2649,ca_name,0))&amp;"",""))</f>
        <v/>
      </c>
      <c r="I2649" s="58" t="str">
        <f>IF(COUNTA(A2649:E2649)=0,"",IF(N(A2649)&lt;=0,"Date manquante ou invalide",IF(B2649="","Équipe manquante",IF(ISNA(MATCH(B2649,eq_code,0)),"Équipe inconnue",IF(C2649="","Poste manquant",IF(ISNA(MATCH(C2649,po_code,0)),"Poste inconnu",IF(D2649="","Cause manquante",IF(ISNA(MATCH(D2649,ca_name,0)),"Cause inconnue",IF(H2649="","Cause à compléter dans Paramètres",IF(OR(NOT(ISNUMBER(E2649)),N(E2649)&lt;=0,N(E2649)&gt;1440),"Durée invalide",IF(COUNTIFS(sj_date,A2649,sj_eq,B2649,sj_po,C2649)=0,"Pas de saisie journalière ce jour-là","OK")))))))))))</f>
        <v/>
      </c>
      <c r="J2649">
        <f>IF(OR(I2649="OK",I2649="Pas de saisie journalière ce jour-là"),E2649,0)</f>
        <v>0.0</v>
      </c>
      <c r="K2649">
        <f>IF(AND(J2649&gt;0,A2649&gt;=p_from,A2649&lt;=p_to),1,0)</f>
        <v>0.0</v>
      </c>
      <c r="L2649">
        <f>IF(AND(K2649=1,OR(pa_po="",C2649=pa_po),OR(pa_eq="",B2649=pa_eq)),1,0)</f>
        <v>0.0</v>
      </c>
    </row>
    <row r="2650">
      <c r="A2650" s="51" t="n"/>
      <c r="B2650" s="52" t="n"/>
      <c r="C2650" s="52" t="n"/>
      <c r="D2650" s="53" t="n"/>
      <c r="E2650" s="60" t="n"/>
      <c r="F2650" s="53" t="n"/>
      <c r="G2650" s="61" t="str">
        <f>IF(OR(COUNTA(A2650:E2650)=0,D2650=""),"",IFERROR(INDEX(ca_fam,MATCH(D2650,ca_name,0))&amp;"",""))</f>
        <v/>
      </c>
      <c r="H2650" s="58" t="str">
        <f>IF(OR(COUNTA(A2650:E2650)=0,D2650=""),"",IFERROR(INDEX(ca_type,MATCH(D2650,ca_name,0))&amp;"",""))</f>
        <v/>
      </c>
      <c r="I2650" s="58" t="str">
        <f>IF(COUNTA(A2650:E2650)=0,"",IF(N(A2650)&lt;=0,"Date manquante ou invalide",IF(B2650="","Équipe manquante",IF(ISNA(MATCH(B2650,eq_code,0)),"Équipe inconnue",IF(C2650="","Poste manquant",IF(ISNA(MATCH(C2650,po_code,0)),"Poste inconnu",IF(D2650="","Cause manquante",IF(ISNA(MATCH(D2650,ca_name,0)),"Cause inconnue",IF(H2650="","Cause à compléter dans Paramètres",IF(OR(NOT(ISNUMBER(E2650)),N(E2650)&lt;=0,N(E2650)&gt;1440),"Durée invalide",IF(COUNTIFS(sj_date,A2650,sj_eq,B2650,sj_po,C2650)=0,"Pas de saisie journalière ce jour-là","OK")))))))))))</f>
        <v/>
      </c>
      <c r="J2650">
        <f>IF(OR(I2650="OK",I2650="Pas de saisie journalière ce jour-là"),E2650,0)</f>
        <v>0.0</v>
      </c>
      <c r="K2650">
        <f>IF(AND(J2650&gt;0,A2650&gt;=p_from,A2650&lt;=p_to),1,0)</f>
        <v>0.0</v>
      </c>
      <c r="L2650">
        <f>IF(AND(K2650=1,OR(pa_po="",C2650=pa_po),OR(pa_eq="",B2650=pa_eq)),1,0)</f>
        <v>0.0</v>
      </c>
    </row>
    <row r="2651">
      <c r="A2651" s="51" t="n"/>
      <c r="B2651" s="52" t="n"/>
      <c r="C2651" s="52" t="n"/>
      <c r="D2651" s="53" t="n"/>
      <c r="E2651" s="60" t="n"/>
      <c r="F2651" s="53" t="n"/>
      <c r="G2651" s="61" t="str">
        <f>IF(OR(COUNTA(A2651:E2651)=0,D2651=""),"",IFERROR(INDEX(ca_fam,MATCH(D2651,ca_name,0))&amp;"",""))</f>
        <v/>
      </c>
      <c r="H2651" s="58" t="str">
        <f>IF(OR(COUNTA(A2651:E2651)=0,D2651=""),"",IFERROR(INDEX(ca_type,MATCH(D2651,ca_name,0))&amp;"",""))</f>
        <v/>
      </c>
      <c r="I2651" s="58" t="str">
        <f>IF(COUNTA(A2651:E2651)=0,"",IF(N(A2651)&lt;=0,"Date manquante ou invalide",IF(B2651="","Équipe manquante",IF(ISNA(MATCH(B2651,eq_code,0)),"Équipe inconnue",IF(C2651="","Poste manquant",IF(ISNA(MATCH(C2651,po_code,0)),"Poste inconnu",IF(D2651="","Cause manquante",IF(ISNA(MATCH(D2651,ca_name,0)),"Cause inconnue",IF(H2651="","Cause à compléter dans Paramètres",IF(OR(NOT(ISNUMBER(E2651)),N(E2651)&lt;=0,N(E2651)&gt;1440),"Durée invalide",IF(COUNTIFS(sj_date,A2651,sj_eq,B2651,sj_po,C2651)=0,"Pas de saisie journalière ce jour-là","OK")))))))))))</f>
        <v/>
      </c>
      <c r="J2651">
        <f>IF(OR(I2651="OK",I2651="Pas de saisie journalière ce jour-là"),E2651,0)</f>
        <v>0.0</v>
      </c>
      <c r="K2651">
        <f>IF(AND(J2651&gt;0,A2651&gt;=p_from,A2651&lt;=p_to),1,0)</f>
        <v>0.0</v>
      </c>
      <c r="L2651">
        <f>IF(AND(K2651=1,OR(pa_po="",C2651=pa_po),OR(pa_eq="",B2651=pa_eq)),1,0)</f>
        <v>0.0</v>
      </c>
    </row>
    <row r="2652">
      <c r="A2652" s="51" t="n"/>
      <c r="B2652" s="52" t="n"/>
      <c r="C2652" s="52" t="n"/>
      <c r="D2652" s="53" t="n"/>
      <c r="E2652" s="60" t="n"/>
      <c r="F2652" s="53" t="n"/>
      <c r="G2652" s="61" t="str">
        <f>IF(OR(COUNTA(A2652:E2652)=0,D2652=""),"",IFERROR(INDEX(ca_fam,MATCH(D2652,ca_name,0))&amp;"",""))</f>
        <v/>
      </c>
      <c r="H2652" s="58" t="str">
        <f>IF(OR(COUNTA(A2652:E2652)=0,D2652=""),"",IFERROR(INDEX(ca_type,MATCH(D2652,ca_name,0))&amp;"",""))</f>
        <v/>
      </c>
      <c r="I2652" s="58" t="str">
        <f>IF(COUNTA(A2652:E2652)=0,"",IF(N(A2652)&lt;=0,"Date manquante ou invalide",IF(B2652="","Équipe manquante",IF(ISNA(MATCH(B2652,eq_code,0)),"Équipe inconnue",IF(C2652="","Poste manquant",IF(ISNA(MATCH(C2652,po_code,0)),"Poste inconnu",IF(D2652="","Cause manquante",IF(ISNA(MATCH(D2652,ca_name,0)),"Cause inconnue",IF(H2652="","Cause à compléter dans Paramètres",IF(OR(NOT(ISNUMBER(E2652)),N(E2652)&lt;=0,N(E2652)&gt;1440),"Durée invalide",IF(COUNTIFS(sj_date,A2652,sj_eq,B2652,sj_po,C2652)=0,"Pas de saisie journalière ce jour-là","OK")))))))))))</f>
        <v/>
      </c>
      <c r="J2652">
        <f>IF(OR(I2652="OK",I2652="Pas de saisie journalière ce jour-là"),E2652,0)</f>
        <v>0.0</v>
      </c>
      <c r="K2652">
        <f>IF(AND(J2652&gt;0,A2652&gt;=p_from,A2652&lt;=p_to),1,0)</f>
        <v>0.0</v>
      </c>
      <c r="L2652">
        <f>IF(AND(K2652=1,OR(pa_po="",C2652=pa_po),OR(pa_eq="",B2652=pa_eq)),1,0)</f>
        <v>0.0</v>
      </c>
    </row>
    <row r="2653">
      <c r="A2653" s="51" t="n"/>
      <c r="B2653" s="52" t="n"/>
      <c r="C2653" s="52" t="n"/>
      <c r="D2653" s="53" t="n"/>
      <c r="E2653" s="60" t="n"/>
      <c r="F2653" s="53" t="n"/>
      <c r="G2653" s="61" t="str">
        <f>IF(OR(COUNTA(A2653:E2653)=0,D2653=""),"",IFERROR(INDEX(ca_fam,MATCH(D2653,ca_name,0))&amp;"",""))</f>
        <v/>
      </c>
      <c r="H2653" s="58" t="str">
        <f>IF(OR(COUNTA(A2653:E2653)=0,D2653=""),"",IFERROR(INDEX(ca_type,MATCH(D2653,ca_name,0))&amp;"",""))</f>
        <v/>
      </c>
      <c r="I2653" s="58" t="str">
        <f>IF(COUNTA(A2653:E2653)=0,"",IF(N(A2653)&lt;=0,"Date manquante ou invalide",IF(B2653="","Équipe manquante",IF(ISNA(MATCH(B2653,eq_code,0)),"Équipe inconnue",IF(C2653="","Poste manquant",IF(ISNA(MATCH(C2653,po_code,0)),"Poste inconnu",IF(D2653="","Cause manquante",IF(ISNA(MATCH(D2653,ca_name,0)),"Cause inconnue",IF(H2653="","Cause à compléter dans Paramètres",IF(OR(NOT(ISNUMBER(E2653)),N(E2653)&lt;=0,N(E2653)&gt;1440),"Durée invalide",IF(COUNTIFS(sj_date,A2653,sj_eq,B2653,sj_po,C2653)=0,"Pas de saisie journalière ce jour-là","OK")))))))))))</f>
        <v/>
      </c>
      <c r="J2653">
        <f>IF(OR(I2653="OK",I2653="Pas de saisie journalière ce jour-là"),E2653,0)</f>
        <v>0.0</v>
      </c>
      <c r="K2653">
        <f>IF(AND(J2653&gt;0,A2653&gt;=p_from,A2653&lt;=p_to),1,0)</f>
        <v>0.0</v>
      </c>
      <c r="L2653">
        <f>IF(AND(K2653=1,OR(pa_po="",C2653=pa_po),OR(pa_eq="",B2653=pa_eq)),1,0)</f>
        <v>0.0</v>
      </c>
    </row>
    <row r="2654">
      <c r="A2654" s="51" t="n"/>
      <c r="B2654" s="52" t="n"/>
      <c r="C2654" s="52" t="n"/>
      <c r="D2654" s="53" t="n"/>
      <c r="E2654" s="60" t="n"/>
      <c r="F2654" s="53" t="n"/>
      <c r="G2654" s="61" t="str">
        <f>IF(OR(COUNTA(A2654:E2654)=0,D2654=""),"",IFERROR(INDEX(ca_fam,MATCH(D2654,ca_name,0))&amp;"",""))</f>
        <v/>
      </c>
      <c r="H2654" s="58" t="str">
        <f>IF(OR(COUNTA(A2654:E2654)=0,D2654=""),"",IFERROR(INDEX(ca_type,MATCH(D2654,ca_name,0))&amp;"",""))</f>
        <v/>
      </c>
      <c r="I2654" s="58" t="str">
        <f>IF(COUNTA(A2654:E2654)=0,"",IF(N(A2654)&lt;=0,"Date manquante ou invalide",IF(B2654="","Équipe manquante",IF(ISNA(MATCH(B2654,eq_code,0)),"Équipe inconnue",IF(C2654="","Poste manquant",IF(ISNA(MATCH(C2654,po_code,0)),"Poste inconnu",IF(D2654="","Cause manquante",IF(ISNA(MATCH(D2654,ca_name,0)),"Cause inconnue",IF(H2654="","Cause à compléter dans Paramètres",IF(OR(NOT(ISNUMBER(E2654)),N(E2654)&lt;=0,N(E2654)&gt;1440),"Durée invalide",IF(COUNTIFS(sj_date,A2654,sj_eq,B2654,sj_po,C2654)=0,"Pas de saisie journalière ce jour-là","OK")))))))))))</f>
        <v/>
      </c>
      <c r="J2654">
        <f>IF(OR(I2654="OK",I2654="Pas de saisie journalière ce jour-là"),E2654,0)</f>
        <v>0.0</v>
      </c>
      <c r="K2654">
        <f>IF(AND(J2654&gt;0,A2654&gt;=p_from,A2654&lt;=p_to),1,0)</f>
        <v>0.0</v>
      </c>
      <c r="L2654">
        <f>IF(AND(K2654=1,OR(pa_po="",C2654=pa_po),OR(pa_eq="",B2654=pa_eq)),1,0)</f>
        <v>0.0</v>
      </c>
    </row>
    <row r="2655">
      <c r="A2655" s="51" t="n"/>
      <c r="B2655" s="52" t="n"/>
      <c r="C2655" s="52" t="n"/>
      <c r="D2655" s="53" t="n"/>
      <c r="E2655" s="60" t="n"/>
      <c r="F2655" s="53" t="n"/>
      <c r="G2655" s="61" t="str">
        <f>IF(OR(COUNTA(A2655:E2655)=0,D2655=""),"",IFERROR(INDEX(ca_fam,MATCH(D2655,ca_name,0))&amp;"",""))</f>
        <v/>
      </c>
      <c r="H2655" s="58" t="str">
        <f>IF(OR(COUNTA(A2655:E2655)=0,D2655=""),"",IFERROR(INDEX(ca_type,MATCH(D2655,ca_name,0))&amp;"",""))</f>
        <v/>
      </c>
      <c r="I2655" s="58" t="str">
        <f>IF(COUNTA(A2655:E2655)=0,"",IF(N(A2655)&lt;=0,"Date manquante ou invalide",IF(B2655="","Équipe manquante",IF(ISNA(MATCH(B2655,eq_code,0)),"Équipe inconnue",IF(C2655="","Poste manquant",IF(ISNA(MATCH(C2655,po_code,0)),"Poste inconnu",IF(D2655="","Cause manquante",IF(ISNA(MATCH(D2655,ca_name,0)),"Cause inconnue",IF(H2655="","Cause à compléter dans Paramètres",IF(OR(NOT(ISNUMBER(E2655)),N(E2655)&lt;=0,N(E2655)&gt;1440),"Durée invalide",IF(COUNTIFS(sj_date,A2655,sj_eq,B2655,sj_po,C2655)=0,"Pas de saisie journalière ce jour-là","OK")))))))))))</f>
        <v/>
      </c>
      <c r="J2655">
        <f>IF(OR(I2655="OK",I2655="Pas de saisie journalière ce jour-là"),E2655,0)</f>
        <v>0.0</v>
      </c>
      <c r="K2655">
        <f>IF(AND(J2655&gt;0,A2655&gt;=p_from,A2655&lt;=p_to),1,0)</f>
        <v>0.0</v>
      </c>
      <c r="L2655">
        <f>IF(AND(K2655=1,OR(pa_po="",C2655=pa_po),OR(pa_eq="",B2655=pa_eq)),1,0)</f>
        <v>0.0</v>
      </c>
    </row>
    <row r="2656">
      <c r="A2656" s="51" t="n"/>
      <c r="B2656" s="52" t="n"/>
      <c r="C2656" s="52" t="n"/>
      <c r="D2656" s="53" t="n"/>
      <c r="E2656" s="60" t="n"/>
      <c r="F2656" s="53" t="n"/>
      <c r="G2656" s="61" t="str">
        <f>IF(OR(COUNTA(A2656:E2656)=0,D2656=""),"",IFERROR(INDEX(ca_fam,MATCH(D2656,ca_name,0))&amp;"",""))</f>
        <v/>
      </c>
      <c r="H2656" s="58" t="str">
        <f>IF(OR(COUNTA(A2656:E2656)=0,D2656=""),"",IFERROR(INDEX(ca_type,MATCH(D2656,ca_name,0))&amp;"",""))</f>
        <v/>
      </c>
      <c r="I2656" s="58" t="str">
        <f>IF(COUNTA(A2656:E2656)=0,"",IF(N(A2656)&lt;=0,"Date manquante ou invalide",IF(B2656="","Équipe manquante",IF(ISNA(MATCH(B2656,eq_code,0)),"Équipe inconnue",IF(C2656="","Poste manquant",IF(ISNA(MATCH(C2656,po_code,0)),"Poste inconnu",IF(D2656="","Cause manquante",IF(ISNA(MATCH(D2656,ca_name,0)),"Cause inconnue",IF(H2656="","Cause à compléter dans Paramètres",IF(OR(NOT(ISNUMBER(E2656)),N(E2656)&lt;=0,N(E2656)&gt;1440),"Durée invalide",IF(COUNTIFS(sj_date,A2656,sj_eq,B2656,sj_po,C2656)=0,"Pas de saisie journalière ce jour-là","OK")))))))))))</f>
        <v/>
      </c>
      <c r="J2656">
        <f>IF(OR(I2656="OK",I2656="Pas de saisie journalière ce jour-là"),E2656,0)</f>
        <v>0.0</v>
      </c>
      <c r="K2656">
        <f>IF(AND(J2656&gt;0,A2656&gt;=p_from,A2656&lt;=p_to),1,0)</f>
        <v>0.0</v>
      </c>
      <c r="L2656">
        <f>IF(AND(K2656=1,OR(pa_po="",C2656=pa_po),OR(pa_eq="",B2656=pa_eq)),1,0)</f>
        <v>0.0</v>
      </c>
    </row>
    <row r="2657">
      <c r="A2657" s="51" t="n"/>
      <c r="B2657" s="52" t="n"/>
      <c r="C2657" s="52" t="n"/>
      <c r="D2657" s="53" t="n"/>
      <c r="E2657" s="60" t="n"/>
      <c r="F2657" s="53" t="n"/>
      <c r="G2657" s="61" t="str">
        <f>IF(OR(COUNTA(A2657:E2657)=0,D2657=""),"",IFERROR(INDEX(ca_fam,MATCH(D2657,ca_name,0))&amp;"",""))</f>
        <v/>
      </c>
      <c r="H2657" s="58" t="str">
        <f>IF(OR(COUNTA(A2657:E2657)=0,D2657=""),"",IFERROR(INDEX(ca_type,MATCH(D2657,ca_name,0))&amp;"",""))</f>
        <v/>
      </c>
      <c r="I2657" s="58" t="str">
        <f>IF(COUNTA(A2657:E2657)=0,"",IF(N(A2657)&lt;=0,"Date manquante ou invalide",IF(B2657="","Équipe manquante",IF(ISNA(MATCH(B2657,eq_code,0)),"Équipe inconnue",IF(C2657="","Poste manquant",IF(ISNA(MATCH(C2657,po_code,0)),"Poste inconnu",IF(D2657="","Cause manquante",IF(ISNA(MATCH(D2657,ca_name,0)),"Cause inconnue",IF(H2657="","Cause à compléter dans Paramètres",IF(OR(NOT(ISNUMBER(E2657)),N(E2657)&lt;=0,N(E2657)&gt;1440),"Durée invalide",IF(COUNTIFS(sj_date,A2657,sj_eq,B2657,sj_po,C2657)=0,"Pas de saisie journalière ce jour-là","OK")))))))))))</f>
        <v/>
      </c>
      <c r="J2657">
        <f>IF(OR(I2657="OK",I2657="Pas de saisie journalière ce jour-là"),E2657,0)</f>
        <v>0.0</v>
      </c>
      <c r="K2657">
        <f>IF(AND(J2657&gt;0,A2657&gt;=p_from,A2657&lt;=p_to),1,0)</f>
        <v>0.0</v>
      </c>
      <c r="L2657">
        <f>IF(AND(K2657=1,OR(pa_po="",C2657=pa_po),OR(pa_eq="",B2657=pa_eq)),1,0)</f>
        <v>0.0</v>
      </c>
    </row>
    <row r="2658">
      <c r="A2658" s="51" t="n"/>
      <c r="B2658" s="52" t="n"/>
      <c r="C2658" s="52" t="n"/>
      <c r="D2658" s="53" t="n"/>
      <c r="E2658" s="60" t="n"/>
      <c r="F2658" s="53" t="n"/>
      <c r="G2658" s="61" t="str">
        <f>IF(OR(COUNTA(A2658:E2658)=0,D2658=""),"",IFERROR(INDEX(ca_fam,MATCH(D2658,ca_name,0))&amp;"",""))</f>
        <v/>
      </c>
      <c r="H2658" s="58" t="str">
        <f>IF(OR(COUNTA(A2658:E2658)=0,D2658=""),"",IFERROR(INDEX(ca_type,MATCH(D2658,ca_name,0))&amp;"",""))</f>
        <v/>
      </c>
      <c r="I2658" s="58" t="str">
        <f>IF(COUNTA(A2658:E2658)=0,"",IF(N(A2658)&lt;=0,"Date manquante ou invalide",IF(B2658="","Équipe manquante",IF(ISNA(MATCH(B2658,eq_code,0)),"Équipe inconnue",IF(C2658="","Poste manquant",IF(ISNA(MATCH(C2658,po_code,0)),"Poste inconnu",IF(D2658="","Cause manquante",IF(ISNA(MATCH(D2658,ca_name,0)),"Cause inconnue",IF(H2658="","Cause à compléter dans Paramètres",IF(OR(NOT(ISNUMBER(E2658)),N(E2658)&lt;=0,N(E2658)&gt;1440),"Durée invalide",IF(COUNTIFS(sj_date,A2658,sj_eq,B2658,sj_po,C2658)=0,"Pas de saisie journalière ce jour-là","OK")))))))))))</f>
        <v/>
      </c>
      <c r="J2658">
        <f>IF(OR(I2658="OK",I2658="Pas de saisie journalière ce jour-là"),E2658,0)</f>
        <v>0.0</v>
      </c>
      <c r="K2658">
        <f>IF(AND(J2658&gt;0,A2658&gt;=p_from,A2658&lt;=p_to),1,0)</f>
        <v>0.0</v>
      </c>
      <c r="L2658">
        <f>IF(AND(K2658=1,OR(pa_po="",C2658=pa_po),OR(pa_eq="",B2658=pa_eq)),1,0)</f>
        <v>0.0</v>
      </c>
    </row>
    <row r="2659">
      <c r="A2659" s="51" t="n"/>
      <c r="B2659" s="52" t="n"/>
      <c r="C2659" s="52" t="n"/>
      <c r="D2659" s="53" t="n"/>
      <c r="E2659" s="60" t="n"/>
      <c r="F2659" s="53" t="n"/>
      <c r="G2659" s="61" t="str">
        <f>IF(OR(COUNTA(A2659:E2659)=0,D2659=""),"",IFERROR(INDEX(ca_fam,MATCH(D2659,ca_name,0))&amp;"",""))</f>
        <v/>
      </c>
      <c r="H2659" s="58" t="str">
        <f>IF(OR(COUNTA(A2659:E2659)=0,D2659=""),"",IFERROR(INDEX(ca_type,MATCH(D2659,ca_name,0))&amp;"",""))</f>
        <v/>
      </c>
      <c r="I2659" s="58" t="str">
        <f>IF(COUNTA(A2659:E2659)=0,"",IF(N(A2659)&lt;=0,"Date manquante ou invalide",IF(B2659="","Équipe manquante",IF(ISNA(MATCH(B2659,eq_code,0)),"Équipe inconnue",IF(C2659="","Poste manquant",IF(ISNA(MATCH(C2659,po_code,0)),"Poste inconnu",IF(D2659="","Cause manquante",IF(ISNA(MATCH(D2659,ca_name,0)),"Cause inconnue",IF(H2659="","Cause à compléter dans Paramètres",IF(OR(NOT(ISNUMBER(E2659)),N(E2659)&lt;=0,N(E2659)&gt;1440),"Durée invalide",IF(COUNTIFS(sj_date,A2659,sj_eq,B2659,sj_po,C2659)=0,"Pas de saisie journalière ce jour-là","OK")))))))))))</f>
        <v/>
      </c>
      <c r="J2659">
        <f>IF(OR(I2659="OK",I2659="Pas de saisie journalière ce jour-là"),E2659,0)</f>
        <v>0.0</v>
      </c>
      <c r="K2659">
        <f>IF(AND(J2659&gt;0,A2659&gt;=p_from,A2659&lt;=p_to),1,0)</f>
        <v>0.0</v>
      </c>
      <c r="L2659">
        <f>IF(AND(K2659=1,OR(pa_po="",C2659=pa_po),OR(pa_eq="",B2659=pa_eq)),1,0)</f>
        <v>0.0</v>
      </c>
    </row>
    <row r="2660">
      <c r="A2660" s="51" t="n"/>
      <c r="B2660" s="52" t="n"/>
      <c r="C2660" s="52" t="n"/>
      <c r="D2660" s="53" t="n"/>
      <c r="E2660" s="60" t="n"/>
      <c r="F2660" s="53" t="n"/>
      <c r="G2660" s="61" t="str">
        <f>IF(OR(COUNTA(A2660:E2660)=0,D2660=""),"",IFERROR(INDEX(ca_fam,MATCH(D2660,ca_name,0))&amp;"",""))</f>
        <v/>
      </c>
      <c r="H2660" s="58" t="str">
        <f>IF(OR(COUNTA(A2660:E2660)=0,D2660=""),"",IFERROR(INDEX(ca_type,MATCH(D2660,ca_name,0))&amp;"",""))</f>
        <v/>
      </c>
      <c r="I2660" s="58" t="str">
        <f>IF(COUNTA(A2660:E2660)=0,"",IF(N(A2660)&lt;=0,"Date manquante ou invalide",IF(B2660="","Équipe manquante",IF(ISNA(MATCH(B2660,eq_code,0)),"Équipe inconnue",IF(C2660="","Poste manquant",IF(ISNA(MATCH(C2660,po_code,0)),"Poste inconnu",IF(D2660="","Cause manquante",IF(ISNA(MATCH(D2660,ca_name,0)),"Cause inconnue",IF(H2660="","Cause à compléter dans Paramètres",IF(OR(NOT(ISNUMBER(E2660)),N(E2660)&lt;=0,N(E2660)&gt;1440),"Durée invalide",IF(COUNTIFS(sj_date,A2660,sj_eq,B2660,sj_po,C2660)=0,"Pas de saisie journalière ce jour-là","OK")))))))))))</f>
        <v/>
      </c>
      <c r="J2660">
        <f>IF(OR(I2660="OK",I2660="Pas de saisie journalière ce jour-là"),E2660,0)</f>
        <v>0.0</v>
      </c>
      <c r="K2660">
        <f>IF(AND(J2660&gt;0,A2660&gt;=p_from,A2660&lt;=p_to),1,0)</f>
        <v>0.0</v>
      </c>
      <c r="L2660">
        <f>IF(AND(K2660=1,OR(pa_po="",C2660=pa_po),OR(pa_eq="",B2660=pa_eq)),1,0)</f>
        <v>0.0</v>
      </c>
    </row>
    <row r="2661">
      <c r="A2661" s="51" t="n"/>
      <c r="B2661" s="52" t="n"/>
      <c r="C2661" s="52" t="n"/>
      <c r="D2661" s="53" t="n"/>
      <c r="E2661" s="60" t="n"/>
      <c r="F2661" s="53" t="n"/>
      <c r="G2661" s="61" t="str">
        <f>IF(OR(COUNTA(A2661:E2661)=0,D2661=""),"",IFERROR(INDEX(ca_fam,MATCH(D2661,ca_name,0))&amp;"",""))</f>
        <v/>
      </c>
      <c r="H2661" s="58" t="str">
        <f>IF(OR(COUNTA(A2661:E2661)=0,D2661=""),"",IFERROR(INDEX(ca_type,MATCH(D2661,ca_name,0))&amp;"",""))</f>
        <v/>
      </c>
      <c r="I2661" s="58" t="str">
        <f>IF(COUNTA(A2661:E2661)=0,"",IF(N(A2661)&lt;=0,"Date manquante ou invalide",IF(B2661="","Équipe manquante",IF(ISNA(MATCH(B2661,eq_code,0)),"Équipe inconnue",IF(C2661="","Poste manquant",IF(ISNA(MATCH(C2661,po_code,0)),"Poste inconnu",IF(D2661="","Cause manquante",IF(ISNA(MATCH(D2661,ca_name,0)),"Cause inconnue",IF(H2661="","Cause à compléter dans Paramètres",IF(OR(NOT(ISNUMBER(E2661)),N(E2661)&lt;=0,N(E2661)&gt;1440),"Durée invalide",IF(COUNTIFS(sj_date,A2661,sj_eq,B2661,sj_po,C2661)=0,"Pas de saisie journalière ce jour-là","OK")))))))))))</f>
        <v/>
      </c>
      <c r="J2661">
        <f>IF(OR(I2661="OK",I2661="Pas de saisie journalière ce jour-là"),E2661,0)</f>
        <v>0.0</v>
      </c>
      <c r="K2661">
        <f>IF(AND(J2661&gt;0,A2661&gt;=p_from,A2661&lt;=p_to),1,0)</f>
        <v>0.0</v>
      </c>
      <c r="L2661">
        <f>IF(AND(K2661=1,OR(pa_po="",C2661=pa_po),OR(pa_eq="",B2661=pa_eq)),1,0)</f>
        <v>0.0</v>
      </c>
    </row>
    <row r="2662">
      <c r="A2662" s="51" t="n"/>
      <c r="B2662" s="52" t="n"/>
      <c r="C2662" s="52" t="n"/>
      <c r="D2662" s="53" t="n"/>
      <c r="E2662" s="60" t="n"/>
      <c r="F2662" s="53" t="n"/>
      <c r="G2662" s="61" t="str">
        <f>IF(OR(COUNTA(A2662:E2662)=0,D2662=""),"",IFERROR(INDEX(ca_fam,MATCH(D2662,ca_name,0))&amp;"",""))</f>
        <v/>
      </c>
      <c r="H2662" s="58" t="str">
        <f>IF(OR(COUNTA(A2662:E2662)=0,D2662=""),"",IFERROR(INDEX(ca_type,MATCH(D2662,ca_name,0))&amp;"",""))</f>
        <v/>
      </c>
      <c r="I2662" s="58" t="str">
        <f>IF(COUNTA(A2662:E2662)=0,"",IF(N(A2662)&lt;=0,"Date manquante ou invalide",IF(B2662="","Équipe manquante",IF(ISNA(MATCH(B2662,eq_code,0)),"Équipe inconnue",IF(C2662="","Poste manquant",IF(ISNA(MATCH(C2662,po_code,0)),"Poste inconnu",IF(D2662="","Cause manquante",IF(ISNA(MATCH(D2662,ca_name,0)),"Cause inconnue",IF(H2662="","Cause à compléter dans Paramètres",IF(OR(NOT(ISNUMBER(E2662)),N(E2662)&lt;=0,N(E2662)&gt;1440),"Durée invalide",IF(COUNTIFS(sj_date,A2662,sj_eq,B2662,sj_po,C2662)=0,"Pas de saisie journalière ce jour-là","OK")))))))))))</f>
        <v/>
      </c>
      <c r="J2662">
        <f>IF(OR(I2662="OK",I2662="Pas de saisie journalière ce jour-là"),E2662,0)</f>
        <v>0.0</v>
      </c>
      <c r="K2662">
        <f>IF(AND(J2662&gt;0,A2662&gt;=p_from,A2662&lt;=p_to),1,0)</f>
        <v>0.0</v>
      </c>
      <c r="L2662">
        <f>IF(AND(K2662=1,OR(pa_po="",C2662=pa_po),OR(pa_eq="",B2662=pa_eq)),1,0)</f>
        <v>0.0</v>
      </c>
    </row>
    <row r="2663">
      <c r="A2663" s="51" t="n"/>
      <c r="B2663" s="52" t="n"/>
      <c r="C2663" s="52" t="n"/>
      <c r="D2663" s="53" t="n"/>
      <c r="E2663" s="60" t="n"/>
      <c r="F2663" s="53" t="n"/>
      <c r="G2663" s="61" t="str">
        <f>IF(OR(COUNTA(A2663:E2663)=0,D2663=""),"",IFERROR(INDEX(ca_fam,MATCH(D2663,ca_name,0))&amp;"",""))</f>
        <v/>
      </c>
      <c r="H2663" s="58" t="str">
        <f>IF(OR(COUNTA(A2663:E2663)=0,D2663=""),"",IFERROR(INDEX(ca_type,MATCH(D2663,ca_name,0))&amp;"",""))</f>
        <v/>
      </c>
      <c r="I2663" s="58" t="str">
        <f>IF(COUNTA(A2663:E2663)=0,"",IF(N(A2663)&lt;=0,"Date manquante ou invalide",IF(B2663="","Équipe manquante",IF(ISNA(MATCH(B2663,eq_code,0)),"Équipe inconnue",IF(C2663="","Poste manquant",IF(ISNA(MATCH(C2663,po_code,0)),"Poste inconnu",IF(D2663="","Cause manquante",IF(ISNA(MATCH(D2663,ca_name,0)),"Cause inconnue",IF(H2663="","Cause à compléter dans Paramètres",IF(OR(NOT(ISNUMBER(E2663)),N(E2663)&lt;=0,N(E2663)&gt;1440),"Durée invalide",IF(COUNTIFS(sj_date,A2663,sj_eq,B2663,sj_po,C2663)=0,"Pas de saisie journalière ce jour-là","OK")))))))))))</f>
        <v/>
      </c>
      <c r="J2663">
        <f>IF(OR(I2663="OK",I2663="Pas de saisie journalière ce jour-là"),E2663,0)</f>
        <v>0.0</v>
      </c>
      <c r="K2663">
        <f>IF(AND(J2663&gt;0,A2663&gt;=p_from,A2663&lt;=p_to),1,0)</f>
        <v>0.0</v>
      </c>
      <c r="L2663">
        <f>IF(AND(K2663=1,OR(pa_po="",C2663=pa_po),OR(pa_eq="",B2663=pa_eq)),1,0)</f>
        <v>0.0</v>
      </c>
    </row>
    <row r="2664">
      <c r="A2664" s="51" t="n"/>
      <c r="B2664" s="52" t="n"/>
      <c r="C2664" s="52" t="n"/>
      <c r="D2664" s="53" t="n"/>
      <c r="E2664" s="60" t="n"/>
      <c r="F2664" s="53" t="n"/>
      <c r="G2664" s="61" t="str">
        <f>IF(OR(COUNTA(A2664:E2664)=0,D2664=""),"",IFERROR(INDEX(ca_fam,MATCH(D2664,ca_name,0))&amp;"",""))</f>
        <v/>
      </c>
      <c r="H2664" s="58" t="str">
        <f>IF(OR(COUNTA(A2664:E2664)=0,D2664=""),"",IFERROR(INDEX(ca_type,MATCH(D2664,ca_name,0))&amp;"",""))</f>
        <v/>
      </c>
      <c r="I2664" s="58" t="str">
        <f>IF(COUNTA(A2664:E2664)=0,"",IF(N(A2664)&lt;=0,"Date manquante ou invalide",IF(B2664="","Équipe manquante",IF(ISNA(MATCH(B2664,eq_code,0)),"Équipe inconnue",IF(C2664="","Poste manquant",IF(ISNA(MATCH(C2664,po_code,0)),"Poste inconnu",IF(D2664="","Cause manquante",IF(ISNA(MATCH(D2664,ca_name,0)),"Cause inconnue",IF(H2664="","Cause à compléter dans Paramètres",IF(OR(NOT(ISNUMBER(E2664)),N(E2664)&lt;=0,N(E2664)&gt;1440),"Durée invalide",IF(COUNTIFS(sj_date,A2664,sj_eq,B2664,sj_po,C2664)=0,"Pas de saisie journalière ce jour-là","OK")))))))))))</f>
        <v/>
      </c>
      <c r="J2664">
        <f>IF(OR(I2664="OK",I2664="Pas de saisie journalière ce jour-là"),E2664,0)</f>
        <v>0.0</v>
      </c>
      <c r="K2664">
        <f>IF(AND(J2664&gt;0,A2664&gt;=p_from,A2664&lt;=p_to),1,0)</f>
        <v>0.0</v>
      </c>
      <c r="L2664">
        <f>IF(AND(K2664=1,OR(pa_po="",C2664=pa_po),OR(pa_eq="",B2664=pa_eq)),1,0)</f>
        <v>0.0</v>
      </c>
    </row>
    <row r="2665">
      <c r="A2665" s="51" t="n"/>
      <c r="B2665" s="52" t="n"/>
      <c r="C2665" s="52" t="n"/>
      <c r="D2665" s="53" t="n"/>
      <c r="E2665" s="60" t="n"/>
      <c r="F2665" s="53" t="n"/>
      <c r="G2665" s="61" t="str">
        <f>IF(OR(COUNTA(A2665:E2665)=0,D2665=""),"",IFERROR(INDEX(ca_fam,MATCH(D2665,ca_name,0))&amp;"",""))</f>
        <v/>
      </c>
      <c r="H2665" s="58" t="str">
        <f>IF(OR(COUNTA(A2665:E2665)=0,D2665=""),"",IFERROR(INDEX(ca_type,MATCH(D2665,ca_name,0))&amp;"",""))</f>
        <v/>
      </c>
      <c r="I2665" s="58" t="str">
        <f>IF(COUNTA(A2665:E2665)=0,"",IF(N(A2665)&lt;=0,"Date manquante ou invalide",IF(B2665="","Équipe manquante",IF(ISNA(MATCH(B2665,eq_code,0)),"Équipe inconnue",IF(C2665="","Poste manquant",IF(ISNA(MATCH(C2665,po_code,0)),"Poste inconnu",IF(D2665="","Cause manquante",IF(ISNA(MATCH(D2665,ca_name,0)),"Cause inconnue",IF(H2665="","Cause à compléter dans Paramètres",IF(OR(NOT(ISNUMBER(E2665)),N(E2665)&lt;=0,N(E2665)&gt;1440),"Durée invalide",IF(COUNTIFS(sj_date,A2665,sj_eq,B2665,sj_po,C2665)=0,"Pas de saisie journalière ce jour-là","OK")))))))))))</f>
        <v/>
      </c>
      <c r="J2665">
        <f>IF(OR(I2665="OK",I2665="Pas de saisie journalière ce jour-là"),E2665,0)</f>
        <v>0.0</v>
      </c>
      <c r="K2665">
        <f>IF(AND(J2665&gt;0,A2665&gt;=p_from,A2665&lt;=p_to),1,0)</f>
        <v>0.0</v>
      </c>
      <c r="L2665">
        <f>IF(AND(K2665=1,OR(pa_po="",C2665=pa_po),OR(pa_eq="",B2665=pa_eq)),1,0)</f>
        <v>0.0</v>
      </c>
    </row>
    <row r="2666">
      <c r="A2666" s="51" t="n"/>
      <c r="B2666" s="52" t="n"/>
      <c r="C2666" s="52" t="n"/>
      <c r="D2666" s="53" t="n"/>
      <c r="E2666" s="60" t="n"/>
      <c r="F2666" s="53" t="n"/>
      <c r="G2666" s="61" t="str">
        <f>IF(OR(COUNTA(A2666:E2666)=0,D2666=""),"",IFERROR(INDEX(ca_fam,MATCH(D2666,ca_name,0))&amp;"",""))</f>
        <v/>
      </c>
      <c r="H2666" s="58" t="str">
        <f>IF(OR(COUNTA(A2666:E2666)=0,D2666=""),"",IFERROR(INDEX(ca_type,MATCH(D2666,ca_name,0))&amp;"",""))</f>
        <v/>
      </c>
      <c r="I2666" s="58" t="str">
        <f>IF(COUNTA(A2666:E2666)=0,"",IF(N(A2666)&lt;=0,"Date manquante ou invalide",IF(B2666="","Équipe manquante",IF(ISNA(MATCH(B2666,eq_code,0)),"Équipe inconnue",IF(C2666="","Poste manquant",IF(ISNA(MATCH(C2666,po_code,0)),"Poste inconnu",IF(D2666="","Cause manquante",IF(ISNA(MATCH(D2666,ca_name,0)),"Cause inconnue",IF(H2666="","Cause à compléter dans Paramètres",IF(OR(NOT(ISNUMBER(E2666)),N(E2666)&lt;=0,N(E2666)&gt;1440),"Durée invalide",IF(COUNTIFS(sj_date,A2666,sj_eq,B2666,sj_po,C2666)=0,"Pas de saisie journalière ce jour-là","OK")))))))))))</f>
        <v/>
      </c>
      <c r="J2666">
        <f>IF(OR(I2666="OK",I2666="Pas de saisie journalière ce jour-là"),E2666,0)</f>
        <v>0.0</v>
      </c>
      <c r="K2666">
        <f>IF(AND(J2666&gt;0,A2666&gt;=p_from,A2666&lt;=p_to),1,0)</f>
        <v>0.0</v>
      </c>
      <c r="L2666">
        <f>IF(AND(K2666=1,OR(pa_po="",C2666=pa_po),OR(pa_eq="",B2666=pa_eq)),1,0)</f>
        <v>0.0</v>
      </c>
    </row>
    <row r="2667">
      <c r="A2667" s="51" t="n"/>
      <c r="B2667" s="52" t="n"/>
      <c r="C2667" s="52" t="n"/>
      <c r="D2667" s="53" t="n"/>
      <c r="E2667" s="60" t="n"/>
      <c r="F2667" s="53" t="n"/>
      <c r="G2667" s="61" t="str">
        <f>IF(OR(COUNTA(A2667:E2667)=0,D2667=""),"",IFERROR(INDEX(ca_fam,MATCH(D2667,ca_name,0))&amp;"",""))</f>
        <v/>
      </c>
      <c r="H2667" s="58" t="str">
        <f>IF(OR(COUNTA(A2667:E2667)=0,D2667=""),"",IFERROR(INDEX(ca_type,MATCH(D2667,ca_name,0))&amp;"",""))</f>
        <v/>
      </c>
      <c r="I2667" s="58" t="str">
        <f>IF(COUNTA(A2667:E2667)=0,"",IF(N(A2667)&lt;=0,"Date manquante ou invalide",IF(B2667="","Équipe manquante",IF(ISNA(MATCH(B2667,eq_code,0)),"Équipe inconnue",IF(C2667="","Poste manquant",IF(ISNA(MATCH(C2667,po_code,0)),"Poste inconnu",IF(D2667="","Cause manquante",IF(ISNA(MATCH(D2667,ca_name,0)),"Cause inconnue",IF(H2667="","Cause à compléter dans Paramètres",IF(OR(NOT(ISNUMBER(E2667)),N(E2667)&lt;=0,N(E2667)&gt;1440),"Durée invalide",IF(COUNTIFS(sj_date,A2667,sj_eq,B2667,sj_po,C2667)=0,"Pas de saisie journalière ce jour-là","OK")))))))))))</f>
        <v/>
      </c>
      <c r="J2667">
        <f>IF(OR(I2667="OK",I2667="Pas de saisie journalière ce jour-là"),E2667,0)</f>
        <v>0.0</v>
      </c>
      <c r="K2667">
        <f>IF(AND(J2667&gt;0,A2667&gt;=p_from,A2667&lt;=p_to),1,0)</f>
        <v>0.0</v>
      </c>
      <c r="L2667">
        <f>IF(AND(K2667=1,OR(pa_po="",C2667=pa_po),OR(pa_eq="",B2667=pa_eq)),1,0)</f>
        <v>0.0</v>
      </c>
    </row>
    <row r="2668">
      <c r="A2668" s="51" t="n"/>
      <c r="B2668" s="52" t="n"/>
      <c r="C2668" s="52" t="n"/>
      <c r="D2668" s="53" t="n"/>
      <c r="E2668" s="60" t="n"/>
      <c r="F2668" s="53" t="n"/>
      <c r="G2668" s="61" t="str">
        <f>IF(OR(COUNTA(A2668:E2668)=0,D2668=""),"",IFERROR(INDEX(ca_fam,MATCH(D2668,ca_name,0))&amp;"",""))</f>
        <v/>
      </c>
      <c r="H2668" s="58" t="str">
        <f>IF(OR(COUNTA(A2668:E2668)=0,D2668=""),"",IFERROR(INDEX(ca_type,MATCH(D2668,ca_name,0))&amp;"",""))</f>
        <v/>
      </c>
      <c r="I2668" s="58" t="str">
        <f>IF(COUNTA(A2668:E2668)=0,"",IF(N(A2668)&lt;=0,"Date manquante ou invalide",IF(B2668="","Équipe manquante",IF(ISNA(MATCH(B2668,eq_code,0)),"Équipe inconnue",IF(C2668="","Poste manquant",IF(ISNA(MATCH(C2668,po_code,0)),"Poste inconnu",IF(D2668="","Cause manquante",IF(ISNA(MATCH(D2668,ca_name,0)),"Cause inconnue",IF(H2668="","Cause à compléter dans Paramètres",IF(OR(NOT(ISNUMBER(E2668)),N(E2668)&lt;=0,N(E2668)&gt;1440),"Durée invalide",IF(COUNTIFS(sj_date,A2668,sj_eq,B2668,sj_po,C2668)=0,"Pas de saisie journalière ce jour-là","OK")))))))))))</f>
        <v/>
      </c>
      <c r="J2668">
        <f>IF(OR(I2668="OK",I2668="Pas de saisie journalière ce jour-là"),E2668,0)</f>
        <v>0.0</v>
      </c>
      <c r="K2668">
        <f>IF(AND(J2668&gt;0,A2668&gt;=p_from,A2668&lt;=p_to),1,0)</f>
        <v>0.0</v>
      </c>
      <c r="L2668">
        <f>IF(AND(K2668=1,OR(pa_po="",C2668=pa_po),OR(pa_eq="",B2668=pa_eq)),1,0)</f>
        <v>0.0</v>
      </c>
    </row>
    <row r="2669">
      <c r="A2669" s="51" t="n"/>
      <c r="B2669" s="52" t="n"/>
      <c r="C2669" s="52" t="n"/>
      <c r="D2669" s="53" t="n"/>
      <c r="E2669" s="60" t="n"/>
      <c r="F2669" s="53" t="n"/>
      <c r="G2669" s="61" t="str">
        <f>IF(OR(COUNTA(A2669:E2669)=0,D2669=""),"",IFERROR(INDEX(ca_fam,MATCH(D2669,ca_name,0))&amp;"",""))</f>
        <v/>
      </c>
      <c r="H2669" s="58" t="str">
        <f>IF(OR(COUNTA(A2669:E2669)=0,D2669=""),"",IFERROR(INDEX(ca_type,MATCH(D2669,ca_name,0))&amp;"",""))</f>
        <v/>
      </c>
      <c r="I2669" s="58" t="str">
        <f>IF(COUNTA(A2669:E2669)=0,"",IF(N(A2669)&lt;=0,"Date manquante ou invalide",IF(B2669="","Équipe manquante",IF(ISNA(MATCH(B2669,eq_code,0)),"Équipe inconnue",IF(C2669="","Poste manquant",IF(ISNA(MATCH(C2669,po_code,0)),"Poste inconnu",IF(D2669="","Cause manquante",IF(ISNA(MATCH(D2669,ca_name,0)),"Cause inconnue",IF(H2669="","Cause à compléter dans Paramètres",IF(OR(NOT(ISNUMBER(E2669)),N(E2669)&lt;=0,N(E2669)&gt;1440),"Durée invalide",IF(COUNTIFS(sj_date,A2669,sj_eq,B2669,sj_po,C2669)=0,"Pas de saisie journalière ce jour-là","OK")))))))))))</f>
        <v/>
      </c>
      <c r="J2669">
        <f>IF(OR(I2669="OK",I2669="Pas de saisie journalière ce jour-là"),E2669,0)</f>
        <v>0.0</v>
      </c>
      <c r="K2669">
        <f>IF(AND(J2669&gt;0,A2669&gt;=p_from,A2669&lt;=p_to),1,0)</f>
        <v>0.0</v>
      </c>
      <c r="L2669">
        <f>IF(AND(K2669=1,OR(pa_po="",C2669=pa_po),OR(pa_eq="",B2669=pa_eq)),1,0)</f>
        <v>0.0</v>
      </c>
    </row>
    <row r="2670">
      <c r="A2670" s="51" t="n"/>
      <c r="B2670" s="52" t="n"/>
      <c r="C2670" s="52" t="n"/>
      <c r="D2670" s="53" t="n"/>
      <c r="E2670" s="60" t="n"/>
      <c r="F2670" s="53" t="n"/>
      <c r="G2670" s="61" t="str">
        <f>IF(OR(COUNTA(A2670:E2670)=0,D2670=""),"",IFERROR(INDEX(ca_fam,MATCH(D2670,ca_name,0))&amp;"",""))</f>
        <v/>
      </c>
      <c r="H2670" s="58" t="str">
        <f>IF(OR(COUNTA(A2670:E2670)=0,D2670=""),"",IFERROR(INDEX(ca_type,MATCH(D2670,ca_name,0))&amp;"",""))</f>
        <v/>
      </c>
      <c r="I2670" s="58" t="str">
        <f>IF(COUNTA(A2670:E2670)=0,"",IF(N(A2670)&lt;=0,"Date manquante ou invalide",IF(B2670="","Équipe manquante",IF(ISNA(MATCH(B2670,eq_code,0)),"Équipe inconnue",IF(C2670="","Poste manquant",IF(ISNA(MATCH(C2670,po_code,0)),"Poste inconnu",IF(D2670="","Cause manquante",IF(ISNA(MATCH(D2670,ca_name,0)),"Cause inconnue",IF(H2670="","Cause à compléter dans Paramètres",IF(OR(NOT(ISNUMBER(E2670)),N(E2670)&lt;=0,N(E2670)&gt;1440),"Durée invalide",IF(COUNTIFS(sj_date,A2670,sj_eq,B2670,sj_po,C2670)=0,"Pas de saisie journalière ce jour-là","OK")))))))))))</f>
        <v/>
      </c>
      <c r="J2670">
        <f>IF(OR(I2670="OK",I2670="Pas de saisie journalière ce jour-là"),E2670,0)</f>
        <v>0.0</v>
      </c>
      <c r="K2670">
        <f>IF(AND(J2670&gt;0,A2670&gt;=p_from,A2670&lt;=p_to),1,0)</f>
        <v>0.0</v>
      </c>
      <c r="L2670">
        <f>IF(AND(K2670=1,OR(pa_po="",C2670=pa_po),OR(pa_eq="",B2670=pa_eq)),1,0)</f>
        <v>0.0</v>
      </c>
    </row>
    <row r="2671">
      <c r="A2671" s="51" t="n"/>
      <c r="B2671" s="52" t="n"/>
      <c r="C2671" s="52" t="n"/>
      <c r="D2671" s="53" t="n"/>
      <c r="E2671" s="60" t="n"/>
      <c r="F2671" s="53" t="n"/>
      <c r="G2671" s="61" t="str">
        <f>IF(OR(COUNTA(A2671:E2671)=0,D2671=""),"",IFERROR(INDEX(ca_fam,MATCH(D2671,ca_name,0))&amp;"",""))</f>
        <v/>
      </c>
      <c r="H2671" s="58" t="str">
        <f>IF(OR(COUNTA(A2671:E2671)=0,D2671=""),"",IFERROR(INDEX(ca_type,MATCH(D2671,ca_name,0))&amp;"",""))</f>
        <v/>
      </c>
      <c r="I2671" s="58" t="str">
        <f>IF(COUNTA(A2671:E2671)=0,"",IF(N(A2671)&lt;=0,"Date manquante ou invalide",IF(B2671="","Équipe manquante",IF(ISNA(MATCH(B2671,eq_code,0)),"Équipe inconnue",IF(C2671="","Poste manquant",IF(ISNA(MATCH(C2671,po_code,0)),"Poste inconnu",IF(D2671="","Cause manquante",IF(ISNA(MATCH(D2671,ca_name,0)),"Cause inconnue",IF(H2671="","Cause à compléter dans Paramètres",IF(OR(NOT(ISNUMBER(E2671)),N(E2671)&lt;=0,N(E2671)&gt;1440),"Durée invalide",IF(COUNTIFS(sj_date,A2671,sj_eq,B2671,sj_po,C2671)=0,"Pas de saisie journalière ce jour-là","OK")))))))))))</f>
        <v/>
      </c>
      <c r="J2671">
        <f>IF(OR(I2671="OK",I2671="Pas de saisie journalière ce jour-là"),E2671,0)</f>
        <v>0.0</v>
      </c>
      <c r="K2671">
        <f>IF(AND(J2671&gt;0,A2671&gt;=p_from,A2671&lt;=p_to),1,0)</f>
        <v>0.0</v>
      </c>
      <c r="L2671">
        <f>IF(AND(K2671=1,OR(pa_po="",C2671=pa_po),OR(pa_eq="",B2671=pa_eq)),1,0)</f>
        <v>0.0</v>
      </c>
    </row>
    <row r="2672">
      <c r="A2672" s="51" t="n"/>
      <c r="B2672" s="52" t="n"/>
      <c r="C2672" s="52" t="n"/>
      <c r="D2672" s="53" t="n"/>
      <c r="E2672" s="60" t="n"/>
      <c r="F2672" s="53" t="n"/>
      <c r="G2672" s="61" t="str">
        <f>IF(OR(COUNTA(A2672:E2672)=0,D2672=""),"",IFERROR(INDEX(ca_fam,MATCH(D2672,ca_name,0))&amp;"",""))</f>
        <v/>
      </c>
      <c r="H2672" s="58" t="str">
        <f>IF(OR(COUNTA(A2672:E2672)=0,D2672=""),"",IFERROR(INDEX(ca_type,MATCH(D2672,ca_name,0))&amp;"",""))</f>
        <v/>
      </c>
      <c r="I2672" s="58" t="str">
        <f>IF(COUNTA(A2672:E2672)=0,"",IF(N(A2672)&lt;=0,"Date manquante ou invalide",IF(B2672="","Équipe manquante",IF(ISNA(MATCH(B2672,eq_code,0)),"Équipe inconnue",IF(C2672="","Poste manquant",IF(ISNA(MATCH(C2672,po_code,0)),"Poste inconnu",IF(D2672="","Cause manquante",IF(ISNA(MATCH(D2672,ca_name,0)),"Cause inconnue",IF(H2672="","Cause à compléter dans Paramètres",IF(OR(NOT(ISNUMBER(E2672)),N(E2672)&lt;=0,N(E2672)&gt;1440),"Durée invalide",IF(COUNTIFS(sj_date,A2672,sj_eq,B2672,sj_po,C2672)=0,"Pas de saisie journalière ce jour-là","OK")))))))))))</f>
        <v/>
      </c>
      <c r="J2672">
        <f>IF(OR(I2672="OK",I2672="Pas de saisie journalière ce jour-là"),E2672,0)</f>
        <v>0.0</v>
      </c>
      <c r="K2672">
        <f>IF(AND(J2672&gt;0,A2672&gt;=p_from,A2672&lt;=p_to),1,0)</f>
        <v>0.0</v>
      </c>
      <c r="L2672">
        <f>IF(AND(K2672=1,OR(pa_po="",C2672=pa_po),OR(pa_eq="",B2672=pa_eq)),1,0)</f>
        <v>0.0</v>
      </c>
    </row>
    <row r="2673">
      <c r="A2673" s="51" t="n"/>
      <c r="B2673" s="52" t="n"/>
      <c r="C2673" s="52" t="n"/>
      <c r="D2673" s="53" t="n"/>
      <c r="E2673" s="60" t="n"/>
      <c r="F2673" s="53" t="n"/>
      <c r="G2673" s="61" t="str">
        <f>IF(OR(COUNTA(A2673:E2673)=0,D2673=""),"",IFERROR(INDEX(ca_fam,MATCH(D2673,ca_name,0))&amp;"",""))</f>
        <v/>
      </c>
      <c r="H2673" s="58" t="str">
        <f>IF(OR(COUNTA(A2673:E2673)=0,D2673=""),"",IFERROR(INDEX(ca_type,MATCH(D2673,ca_name,0))&amp;"",""))</f>
        <v/>
      </c>
      <c r="I2673" s="58" t="str">
        <f>IF(COUNTA(A2673:E2673)=0,"",IF(N(A2673)&lt;=0,"Date manquante ou invalide",IF(B2673="","Équipe manquante",IF(ISNA(MATCH(B2673,eq_code,0)),"Équipe inconnue",IF(C2673="","Poste manquant",IF(ISNA(MATCH(C2673,po_code,0)),"Poste inconnu",IF(D2673="","Cause manquante",IF(ISNA(MATCH(D2673,ca_name,0)),"Cause inconnue",IF(H2673="","Cause à compléter dans Paramètres",IF(OR(NOT(ISNUMBER(E2673)),N(E2673)&lt;=0,N(E2673)&gt;1440),"Durée invalide",IF(COUNTIFS(sj_date,A2673,sj_eq,B2673,sj_po,C2673)=0,"Pas de saisie journalière ce jour-là","OK")))))))))))</f>
        <v/>
      </c>
      <c r="J2673">
        <f>IF(OR(I2673="OK",I2673="Pas de saisie journalière ce jour-là"),E2673,0)</f>
        <v>0.0</v>
      </c>
      <c r="K2673">
        <f>IF(AND(J2673&gt;0,A2673&gt;=p_from,A2673&lt;=p_to),1,0)</f>
        <v>0.0</v>
      </c>
      <c r="L2673">
        <f>IF(AND(K2673=1,OR(pa_po="",C2673=pa_po),OR(pa_eq="",B2673=pa_eq)),1,0)</f>
        <v>0.0</v>
      </c>
    </row>
    <row r="2674">
      <c r="A2674" s="51" t="n"/>
      <c r="B2674" s="52" t="n"/>
      <c r="C2674" s="52" t="n"/>
      <c r="D2674" s="53" t="n"/>
      <c r="E2674" s="60" t="n"/>
      <c r="F2674" s="53" t="n"/>
      <c r="G2674" s="61" t="str">
        <f>IF(OR(COUNTA(A2674:E2674)=0,D2674=""),"",IFERROR(INDEX(ca_fam,MATCH(D2674,ca_name,0))&amp;"",""))</f>
        <v/>
      </c>
      <c r="H2674" s="58" t="str">
        <f>IF(OR(COUNTA(A2674:E2674)=0,D2674=""),"",IFERROR(INDEX(ca_type,MATCH(D2674,ca_name,0))&amp;"",""))</f>
        <v/>
      </c>
      <c r="I2674" s="58" t="str">
        <f>IF(COUNTA(A2674:E2674)=0,"",IF(N(A2674)&lt;=0,"Date manquante ou invalide",IF(B2674="","Équipe manquante",IF(ISNA(MATCH(B2674,eq_code,0)),"Équipe inconnue",IF(C2674="","Poste manquant",IF(ISNA(MATCH(C2674,po_code,0)),"Poste inconnu",IF(D2674="","Cause manquante",IF(ISNA(MATCH(D2674,ca_name,0)),"Cause inconnue",IF(H2674="","Cause à compléter dans Paramètres",IF(OR(NOT(ISNUMBER(E2674)),N(E2674)&lt;=0,N(E2674)&gt;1440),"Durée invalide",IF(COUNTIFS(sj_date,A2674,sj_eq,B2674,sj_po,C2674)=0,"Pas de saisie journalière ce jour-là","OK")))))))))))</f>
        <v/>
      </c>
      <c r="J2674">
        <f>IF(OR(I2674="OK",I2674="Pas de saisie journalière ce jour-là"),E2674,0)</f>
        <v>0.0</v>
      </c>
      <c r="K2674">
        <f>IF(AND(J2674&gt;0,A2674&gt;=p_from,A2674&lt;=p_to),1,0)</f>
        <v>0.0</v>
      </c>
      <c r="L2674">
        <f>IF(AND(K2674=1,OR(pa_po="",C2674=pa_po),OR(pa_eq="",B2674=pa_eq)),1,0)</f>
        <v>0.0</v>
      </c>
    </row>
    <row r="2675">
      <c r="A2675" s="51" t="n"/>
      <c r="B2675" s="52" t="n"/>
      <c r="C2675" s="52" t="n"/>
      <c r="D2675" s="53" t="n"/>
      <c r="E2675" s="60" t="n"/>
      <c r="F2675" s="53" t="n"/>
      <c r="G2675" s="61" t="str">
        <f>IF(OR(COUNTA(A2675:E2675)=0,D2675=""),"",IFERROR(INDEX(ca_fam,MATCH(D2675,ca_name,0))&amp;"",""))</f>
        <v/>
      </c>
      <c r="H2675" s="58" t="str">
        <f>IF(OR(COUNTA(A2675:E2675)=0,D2675=""),"",IFERROR(INDEX(ca_type,MATCH(D2675,ca_name,0))&amp;"",""))</f>
        <v/>
      </c>
      <c r="I2675" s="58" t="str">
        <f>IF(COUNTA(A2675:E2675)=0,"",IF(N(A2675)&lt;=0,"Date manquante ou invalide",IF(B2675="","Équipe manquante",IF(ISNA(MATCH(B2675,eq_code,0)),"Équipe inconnue",IF(C2675="","Poste manquant",IF(ISNA(MATCH(C2675,po_code,0)),"Poste inconnu",IF(D2675="","Cause manquante",IF(ISNA(MATCH(D2675,ca_name,0)),"Cause inconnue",IF(H2675="","Cause à compléter dans Paramètres",IF(OR(NOT(ISNUMBER(E2675)),N(E2675)&lt;=0,N(E2675)&gt;1440),"Durée invalide",IF(COUNTIFS(sj_date,A2675,sj_eq,B2675,sj_po,C2675)=0,"Pas de saisie journalière ce jour-là","OK")))))))))))</f>
        <v/>
      </c>
      <c r="J2675">
        <f>IF(OR(I2675="OK",I2675="Pas de saisie journalière ce jour-là"),E2675,0)</f>
        <v>0.0</v>
      </c>
      <c r="K2675">
        <f>IF(AND(J2675&gt;0,A2675&gt;=p_from,A2675&lt;=p_to),1,0)</f>
        <v>0.0</v>
      </c>
      <c r="L2675">
        <f>IF(AND(K2675=1,OR(pa_po="",C2675=pa_po),OR(pa_eq="",B2675=pa_eq)),1,0)</f>
        <v>0.0</v>
      </c>
    </row>
    <row r="2676">
      <c r="A2676" s="51" t="n"/>
      <c r="B2676" s="52" t="n"/>
      <c r="C2676" s="52" t="n"/>
      <c r="D2676" s="53" t="n"/>
      <c r="E2676" s="60" t="n"/>
      <c r="F2676" s="53" t="n"/>
      <c r="G2676" s="61" t="str">
        <f>IF(OR(COUNTA(A2676:E2676)=0,D2676=""),"",IFERROR(INDEX(ca_fam,MATCH(D2676,ca_name,0))&amp;"",""))</f>
        <v/>
      </c>
      <c r="H2676" s="58" t="str">
        <f>IF(OR(COUNTA(A2676:E2676)=0,D2676=""),"",IFERROR(INDEX(ca_type,MATCH(D2676,ca_name,0))&amp;"",""))</f>
        <v/>
      </c>
      <c r="I2676" s="58" t="str">
        <f>IF(COUNTA(A2676:E2676)=0,"",IF(N(A2676)&lt;=0,"Date manquante ou invalide",IF(B2676="","Équipe manquante",IF(ISNA(MATCH(B2676,eq_code,0)),"Équipe inconnue",IF(C2676="","Poste manquant",IF(ISNA(MATCH(C2676,po_code,0)),"Poste inconnu",IF(D2676="","Cause manquante",IF(ISNA(MATCH(D2676,ca_name,0)),"Cause inconnue",IF(H2676="","Cause à compléter dans Paramètres",IF(OR(NOT(ISNUMBER(E2676)),N(E2676)&lt;=0,N(E2676)&gt;1440),"Durée invalide",IF(COUNTIFS(sj_date,A2676,sj_eq,B2676,sj_po,C2676)=0,"Pas de saisie journalière ce jour-là","OK")))))))))))</f>
        <v/>
      </c>
      <c r="J2676">
        <f>IF(OR(I2676="OK",I2676="Pas de saisie journalière ce jour-là"),E2676,0)</f>
        <v>0.0</v>
      </c>
      <c r="K2676">
        <f>IF(AND(J2676&gt;0,A2676&gt;=p_from,A2676&lt;=p_to),1,0)</f>
        <v>0.0</v>
      </c>
      <c r="L2676">
        <f>IF(AND(K2676=1,OR(pa_po="",C2676=pa_po),OR(pa_eq="",B2676=pa_eq)),1,0)</f>
        <v>0.0</v>
      </c>
    </row>
    <row r="2677">
      <c r="A2677" s="51" t="n"/>
      <c r="B2677" s="52" t="n"/>
      <c r="C2677" s="52" t="n"/>
      <c r="D2677" s="53" t="n"/>
      <c r="E2677" s="60" t="n"/>
      <c r="F2677" s="53" t="n"/>
      <c r="G2677" s="61" t="str">
        <f>IF(OR(COUNTA(A2677:E2677)=0,D2677=""),"",IFERROR(INDEX(ca_fam,MATCH(D2677,ca_name,0))&amp;"",""))</f>
        <v/>
      </c>
      <c r="H2677" s="58" t="str">
        <f>IF(OR(COUNTA(A2677:E2677)=0,D2677=""),"",IFERROR(INDEX(ca_type,MATCH(D2677,ca_name,0))&amp;"",""))</f>
        <v/>
      </c>
      <c r="I2677" s="58" t="str">
        <f>IF(COUNTA(A2677:E2677)=0,"",IF(N(A2677)&lt;=0,"Date manquante ou invalide",IF(B2677="","Équipe manquante",IF(ISNA(MATCH(B2677,eq_code,0)),"Équipe inconnue",IF(C2677="","Poste manquant",IF(ISNA(MATCH(C2677,po_code,0)),"Poste inconnu",IF(D2677="","Cause manquante",IF(ISNA(MATCH(D2677,ca_name,0)),"Cause inconnue",IF(H2677="","Cause à compléter dans Paramètres",IF(OR(NOT(ISNUMBER(E2677)),N(E2677)&lt;=0,N(E2677)&gt;1440),"Durée invalide",IF(COUNTIFS(sj_date,A2677,sj_eq,B2677,sj_po,C2677)=0,"Pas de saisie journalière ce jour-là","OK")))))))))))</f>
        <v/>
      </c>
      <c r="J2677">
        <f>IF(OR(I2677="OK",I2677="Pas de saisie journalière ce jour-là"),E2677,0)</f>
        <v>0.0</v>
      </c>
      <c r="K2677">
        <f>IF(AND(J2677&gt;0,A2677&gt;=p_from,A2677&lt;=p_to),1,0)</f>
        <v>0.0</v>
      </c>
      <c r="L2677">
        <f>IF(AND(K2677=1,OR(pa_po="",C2677=pa_po),OR(pa_eq="",B2677=pa_eq)),1,0)</f>
        <v>0.0</v>
      </c>
    </row>
    <row r="2678">
      <c r="A2678" s="51" t="n"/>
      <c r="B2678" s="52" t="n"/>
      <c r="C2678" s="52" t="n"/>
      <c r="D2678" s="53" t="n"/>
      <c r="E2678" s="60" t="n"/>
      <c r="F2678" s="53" t="n"/>
      <c r="G2678" s="61" t="str">
        <f>IF(OR(COUNTA(A2678:E2678)=0,D2678=""),"",IFERROR(INDEX(ca_fam,MATCH(D2678,ca_name,0))&amp;"",""))</f>
        <v/>
      </c>
      <c r="H2678" s="58" t="str">
        <f>IF(OR(COUNTA(A2678:E2678)=0,D2678=""),"",IFERROR(INDEX(ca_type,MATCH(D2678,ca_name,0))&amp;"",""))</f>
        <v/>
      </c>
      <c r="I2678" s="58" t="str">
        <f>IF(COUNTA(A2678:E2678)=0,"",IF(N(A2678)&lt;=0,"Date manquante ou invalide",IF(B2678="","Équipe manquante",IF(ISNA(MATCH(B2678,eq_code,0)),"Équipe inconnue",IF(C2678="","Poste manquant",IF(ISNA(MATCH(C2678,po_code,0)),"Poste inconnu",IF(D2678="","Cause manquante",IF(ISNA(MATCH(D2678,ca_name,0)),"Cause inconnue",IF(H2678="","Cause à compléter dans Paramètres",IF(OR(NOT(ISNUMBER(E2678)),N(E2678)&lt;=0,N(E2678)&gt;1440),"Durée invalide",IF(COUNTIFS(sj_date,A2678,sj_eq,B2678,sj_po,C2678)=0,"Pas de saisie journalière ce jour-là","OK")))))))))))</f>
        <v/>
      </c>
      <c r="J2678">
        <f>IF(OR(I2678="OK",I2678="Pas de saisie journalière ce jour-là"),E2678,0)</f>
        <v>0.0</v>
      </c>
      <c r="K2678">
        <f>IF(AND(J2678&gt;0,A2678&gt;=p_from,A2678&lt;=p_to),1,0)</f>
        <v>0.0</v>
      </c>
      <c r="L2678">
        <f>IF(AND(K2678=1,OR(pa_po="",C2678=pa_po),OR(pa_eq="",B2678=pa_eq)),1,0)</f>
        <v>0.0</v>
      </c>
    </row>
    <row r="2679">
      <c r="A2679" s="51" t="n"/>
      <c r="B2679" s="52" t="n"/>
      <c r="C2679" s="52" t="n"/>
      <c r="D2679" s="53" t="n"/>
      <c r="E2679" s="60" t="n"/>
      <c r="F2679" s="53" t="n"/>
      <c r="G2679" s="61" t="str">
        <f>IF(OR(COUNTA(A2679:E2679)=0,D2679=""),"",IFERROR(INDEX(ca_fam,MATCH(D2679,ca_name,0))&amp;"",""))</f>
        <v/>
      </c>
      <c r="H2679" s="58" t="str">
        <f>IF(OR(COUNTA(A2679:E2679)=0,D2679=""),"",IFERROR(INDEX(ca_type,MATCH(D2679,ca_name,0))&amp;"",""))</f>
        <v/>
      </c>
      <c r="I2679" s="58" t="str">
        <f>IF(COUNTA(A2679:E2679)=0,"",IF(N(A2679)&lt;=0,"Date manquante ou invalide",IF(B2679="","Équipe manquante",IF(ISNA(MATCH(B2679,eq_code,0)),"Équipe inconnue",IF(C2679="","Poste manquant",IF(ISNA(MATCH(C2679,po_code,0)),"Poste inconnu",IF(D2679="","Cause manquante",IF(ISNA(MATCH(D2679,ca_name,0)),"Cause inconnue",IF(H2679="","Cause à compléter dans Paramètres",IF(OR(NOT(ISNUMBER(E2679)),N(E2679)&lt;=0,N(E2679)&gt;1440),"Durée invalide",IF(COUNTIFS(sj_date,A2679,sj_eq,B2679,sj_po,C2679)=0,"Pas de saisie journalière ce jour-là","OK")))))))))))</f>
        <v/>
      </c>
      <c r="J2679">
        <f>IF(OR(I2679="OK",I2679="Pas de saisie journalière ce jour-là"),E2679,0)</f>
        <v>0.0</v>
      </c>
      <c r="K2679">
        <f>IF(AND(J2679&gt;0,A2679&gt;=p_from,A2679&lt;=p_to),1,0)</f>
        <v>0.0</v>
      </c>
      <c r="L2679">
        <f>IF(AND(K2679=1,OR(pa_po="",C2679=pa_po),OR(pa_eq="",B2679=pa_eq)),1,0)</f>
        <v>0.0</v>
      </c>
    </row>
    <row r="2680">
      <c r="A2680" s="51" t="n"/>
      <c r="B2680" s="52" t="n"/>
      <c r="C2680" s="52" t="n"/>
      <c r="D2680" s="53" t="n"/>
      <c r="E2680" s="60" t="n"/>
      <c r="F2680" s="53" t="n"/>
      <c r="G2680" s="61" t="str">
        <f>IF(OR(COUNTA(A2680:E2680)=0,D2680=""),"",IFERROR(INDEX(ca_fam,MATCH(D2680,ca_name,0))&amp;"",""))</f>
        <v/>
      </c>
      <c r="H2680" s="58" t="str">
        <f>IF(OR(COUNTA(A2680:E2680)=0,D2680=""),"",IFERROR(INDEX(ca_type,MATCH(D2680,ca_name,0))&amp;"",""))</f>
        <v/>
      </c>
      <c r="I2680" s="58" t="str">
        <f>IF(COUNTA(A2680:E2680)=0,"",IF(N(A2680)&lt;=0,"Date manquante ou invalide",IF(B2680="","Équipe manquante",IF(ISNA(MATCH(B2680,eq_code,0)),"Équipe inconnue",IF(C2680="","Poste manquant",IF(ISNA(MATCH(C2680,po_code,0)),"Poste inconnu",IF(D2680="","Cause manquante",IF(ISNA(MATCH(D2680,ca_name,0)),"Cause inconnue",IF(H2680="","Cause à compléter dans Paramètres",IF(OR(NOT(ISNUMBER(E2680)),N(E2680)&lt;=0,N(E2680)&gt;1440),"Durée invalide",IF(COUNTIFS(sj_date,A2680,sj_eq,B2680,sj_po,C2680)=0,"Pas de saisie journalière ce jour-là","OK")))))))))))</f>
        <v/>
      </c>
      <c r="J2680">
        <f>IF(OR(I2680="OK",I2680="Pas de saisie journalière ce jour-là"),E2680,0)</f>
        <v>0.0</v>
      </c>
      <c r="K2680">
        <f>IF(AND(J2680&gt;0,A2680&gt;=p_from,A2680&lt;=p_to),1,0)</f>
        <v>0.0</v>
      </c>
      <c r="L2680">
        <f>IF(AND(K2680=1,OR(pa_po="",C2680=pa_po),OR(pa_eq="",B2680=pa_eq)),1,0)</f>
        <v>0.0</v>
      </c>
    </row>
    <row r="2681">
      <c r="A2681" s="51" t="n"/>
      <c r="B2681" s="52" t="n"/>
      <c r="C2681" s="52" t="n"/>
      <c r="D2681" s="53" t="n"/>
      <c r="E2681" s="60" t="n"/>
      <c r="F2681" s="53" t="n"/>
      <c r="G2681" s="61" t="str">
        <f>IF(OR(COUNTA(A2681:E2681)=0,D2681=""),"",IFERROR(INDEX(ca_fam,MATCH(D2681,ca_name,0))&amp;"",""))</f>
        <v/>
      </c>
      <c r="H2681" s="58" t="str">
        <f>IF(OR(COUNTA(A2681:E2681)=0,D2681=""),"",IFERROR(INDEX(ca_type,MATCH(D2681,ca_name,0))&amp;"",""))</f>
        <v/>
      </c>
      <c r="I2681" s="58" t="str">
        <f>IF(COUNTA(A2681:E2681)=0,"",IF(N(A2681)&lt;=0,"Date manquante ou invalide",IF(B2681="","Équipe manquante",IF(ISNA(MATCH(B2681,eq_code,0)),"Équipe inconnue",IF(C2681="","Poste manquant",IF(ISNA(MATCH(C2681,po_code,0)),"Poste inconnu",IF(D2681="","Cause manquante",IF(ISNA(MATCH(D2681,ca_name,0)),"Cause inconnue",IF(H2681="","Cause à compléter dans Paramètres",IF(OR(NOT(ISNUMBER(E2681)),N(E2681)&lt;=0,N(E2681)&gt;1440),"Durée invalide",IF(COUNTIFS(sj_date,A2681,sj_eq,B2681,sj_po,C2681)=0,"Pas de saisie journalière ce jour-là","OK")))))))))))</f>
        <v/>
      </c>
      <c r="J2681">
        <f>IF(OR(I2681="OK",I2681="Pas de saisie journalière ce jour-là"),E2681,0)</f>
        <v>0.0</v>
      </c>
      <c r="K2681">
        <f>IF(AND(J2681&gt;0,A2681&gt;=p_from,A2681&lt;=p_to),1,0)</f>
        <v>0.0</v>
      </c>
      <c r="L2681">
        <f>IF(AND(K2681=1,OR(pa_po="",C2681=pa_po),OR(pa_eq="",B2681=pa_eq)),1,0)</f>
        <v>0.0</v>
      </c>
    </row>
    <row r="2682">
      <c r="A2682" s="51" t="n"/>
      <c r="B2682" s="52" t="n"/>
      <c r="C2682" s="52" t="n"/>
      <c r="D2682" s="53" t="n"/>
      <c r="E2682" s="60" t="n"/>
      <c r="F2682" s="53" t="n"/>
      <c r="G2682" s="61" t="str">
        <f>IF(OR(COUNTA(A2682:E2682)=0,D2682=""),"",IFERROR(INDEX(ca_fam,MATCH(D2682,ca_name,0))&amp;"",""))</f>
        <v/>
      </c>
      <c r="H2682" s="58" t="str">
        <f>IF(OR(COUNTA(A2682:E2682)=0,D2682=""),"",IFERROR(INDEX(ca_type,MATCH(D2682,ca_name,0))&amp;"",""))</f>
        <v/>
      </c>
      <c r="I2682" s="58" t="str">
        <f>IF(COUNTA(A2682:E2682)=0,"",IF(N(A2682)&lt;=0,"Date manquante ou invalide",IF(B2682="","Équipe manquante",IF(ISNA(MATCH(B2682,eq_code,0)),"Équipe inconnue",IF(C2682="","Poste manquant",IF(ISNA(MATCH(C2682,po_code,0)),"Poste inconnu",IF(D2682="","Cause manquante",IF(ISNA(MATCH(D2682,ca_name,0)),"Cause inconnue",IF(H2682="","Cause à compléter dans Paramètres",IF(OR(NOT(ISNUMBER(E2682)),N(E2682)&lt;=0,N(E2682)&gt;1440),"Durée invalide",IF(COUNTIFS(sj_date,A2682,sj_eq,B2682,sj_po,C2682)=0,"Pas de saisie journalière ce jour-là","OK")))))))))))</f>
        <v/>
      </c>
      <c r="J2682">
        <f>IF(OR(I2682="OK",I2682="Pas de saisie journalière ce jour-là"),E2682,0)</f>
        <v>0.0</v>
      </c>
      <c r="K2682">
        <f>IF(AND(J2682&gt;0,A2682&gt;=p_from,A2682&lt;=p_to),1,0)</f>
        <v>0.0</v>
      </c>
      <c r="L2682">
        <f>IF(AND(K2682=1,OR(pa_po="",C2682=pa_po),OR(pa_eq="",B2682=pa_eq)),1,0)</f>
        <v>0.0</v>
      </c>
    </row>
    <row r="2683">
      <c r="A2683" s="51" t="n"/>
      <c r="B2683" s="52" t="n"/>
      <c r="C2683" s="52" t="n"/>
      <c r="D2683" s="53" t="n"/>
      <c r="E2683" s="60" t="n"/>
      <c r="F2683" s="53" t="n"/>
      <c r="G2683" s="61" t="str">
        <f>IF(OR(COUNTA(A2683:E2683)=0,D2683=""),"",IFERROR(INDEX(ca_fam,MATCH(D2683,ca_name,0))&amp;"",""))</f>
        <v/>
      </c>
      <c r="H2683" s="58" t="str">
        <f>IF(OR(COUNTA(A2683:E2683)=0,D2683=""),"",IFERROR(INDEX(ca_type,MATCH(D2683,ca_name,0))&amp;"",""))</f>
        <v/>
      </c>
      <c r="I2683" s="58" t="str">
        <f>IF(COUNTA(A2683:E2683)=0,"",IF(N(A2683)&lt;=0,"Date manquante ou invalide",IF(B2683="","Équipe manquante",IF(ISNA(MATCH(B2683,eq_code,0)),"Équipe inconnue",IF(C2683="","Poste manquant",IF(ISNA(MATCH(C2683,po_code,0)),"Poste inconnu",IF(D2683="","Cause manquante",IF(ISNA(MATCH(D2683,ca_name,0)),"Cause inconnue",IF(H2683="","Cause à compléter dans Paramètres",IF(OR(NOT(ISNUMBER(E2683)),N(E2683)&lt;=0,N(E2683)&gt;1440),"Durée invalide",IF(COUNTIFS(sj_date,A2683,sj_eq,B2683,sj_po,C2683)=0,"Pas de saisie journalière ce jour-là","OK")))))))))))</f>
        <v/>
      </c>
      <c r="J2683">
        <f>IF(OR(I2683="OK",I2683="Pas de saisie journalière ce jour-là"),E2683,0)</f>
        <v>0.0</v>
      </c>
      <c r="K2683">
        <f>IF(AND(J2683&gt;0,A2683&gt;=p_from,A2683&lt;=p_to),1,0)</f>
        <v>0.0</v>
      </c>
      <c r="L2683">
        <f>IF(AND(K2683=1,OR(pa_po="",C2683=pa_po),OR(pa_eq="",B2683=pa_eq)),1,0)</f>
        <v>0.0</v>
      </c>
    </row>
    <row r="2684">
      <c r="A2684" s="51" t="n"/>
      <c r="B2684" s="52" t="n"/>
      <c r="C2684" s="52" t="n"/>
      <c r="D2684" s="53" t="n"/>
      <c r="E2684" s="60" t="n"/>
      <c r="F2684" s="53" t="n"/>
      <c r="G2684" s="61" t="str">
        <f>IF(OR(COUNTA(A2684:E2684)=0,D2684=""),"",IFERROR(INDEX(ca_fam,MATCH(D2684,ca_name,0))&amp;"",""))</f>
        <v/>
      </c>
      <c r="H2684" s="58" t="str">
        <f>IF(OR(COUNTA(A2684:E2684)=0,D2684=""),"",IFERROR(INDEX(ca_type,MATCH(D2684,ca_name,0))&amp;"",""))</f>
        <v/>
      </c>
      <c r="I2684" s="58" t="str">
        <f>IF(COUNTA(A2684:E2684)=0,"",IF(N(A2684)&lt;=0,"Date manquante ou invalide",IF(B2684="","Équipe manquante",IF(ISNA(MATCH(B2684,eq_code,0)),"Équipe inconnue",IF(C2684="","Poste manquant",IF(ISNA(MATCH(C2684,po_code,0)),"Poste inconnu",IF(D2684="","Cause manquante",IF(ISNA(MATCH(D2684,ca_name,0)),"Cause inconnue",IF(H2684="","Cause à compléter dans Paramètres",IF(OR(NOT(ISNUMBER(E2684)),N(E2684)&lt;=0,N(E2684)&gt;1440),"Durée invalide",IF(COUNTIFS(sj_date,A2684,sj_eq,B2684,sj_po,C2684)=0,"Pas de saisie journalière ce jour-là","OK")))))))))))</f>
        <v/>
      </c>
      <c r="J2684">
        <f>IF(OR(I2684="OK",I2684="Pas de saisie journalière ce jour-là"),E2684,0)</f>
        <v>0.0</v>
      </c>
      <c r="K2684">
        <f>IF(AND(J2684&gt;0,A2684&gt;=p_from,A2684&lt;=p_to),1,0)</f>
        <v>0.0</v>
      </c>
      <c r="L2684">
        <f>IF(AND(K2684=1,OR(pa_po="",C2684=pa_po),OR(pa_eq="",B2684=pa_eq)),1,0)</f>
        <v>0.0</v>
      </c>
    </row>
    <row r="2685">
      <c r="A2685" s="51" t="n"/>
      <c r="B2685" s="52" t="n"/>
      <c r="C2685" s="52" t="n"/>
      <c r="D2685" s="53" t="n"/>
      <c r="E2685" s="60" t="n"/>
      <c r="F2685" s="53" t="n"/>
      <c r="G2685" s="61" t="str">
        <f>IF(OR(COUNTA(A2685:E2685)=0,D2685=""),"",IFERROR(INDEX(ca_fam,MATCH(D2685,ca_name,0))&amp;"",""))</f>
        <v/>
      </c>
      <c r="H2685" s="58" t="str">
        <f>IF(OR(COUNTA(A2685:E2685)=0,D2685=""),"",IFERROR(INDEX(ca_type,MATCH(D2685,ca_name,0))&amp;"",""))</f>
        <v/>
      </c>
      <c r="I2685" s="58" t="str">
        <f>IF(COUNTA(A2685:E2685)=0,"",IF(N(A2685)&lt;=0,"Date manquante ou invalide",IF(B2685="","Équipe manquante",IF(ISNA(MATCH(B2685,eq_code,0)),"Équipe inconnue",IF(C2685="","Poste manquant",IF(ISNA(MATCH(C2685,po_code,0)),"Poste inconnu",IF(D2685="","Cause manquante",IF(ISNA(MATCH(D2685,ca_name,0)),"Cause inconnue",IF(H2685="","Cause à compléter dans Paramètres",IF(OR(NOT(ISNUMBER(E2685)),N(E2685)&lt;=0,N(E2685)&gt;1440),"Durée invalide",IF(COUNTIFS(sj_date,A2685,sj_eq,B2685,sj_po,C2685)=0,"Pas de saisie journalière ce jour-là","OK")))))))))))</f>
        <v/>
      </c>
      <c r="J2685">
        <f>IF(OR(I2685="OK",I2685="Pas de saisie journalière ce jour-là"),E2685,0)</f>
        <v>0.0</v>
      </c>
      <c r="K2685">
        <f>IF(AND(J2685&gt;0,A2685&gt;=p_from,A2685&lt;=p_to),1,0)</f>
        <v>0.0</v>
      </c>
      <c r="L2685">
        <f>IF(AND(K2685=1,OR(pa_po="",C2685=pa_po),OR(pa_eq="",B2685=pa_eq)),1,0)</f>
        <v>0.0</v>
      </c>
    </row>
    <row r="2686">
      <c r="A2686" s="51" t="n"/>
      <c r="B2686" s="52" t="n"/>
      <c r="C2686" s="52" t="n"/>
      <c r="D2686" s="53" t="n"/>
      <c r="E2686" s="60" t="n"/>
      <c r="F2686" s="53" t="n"/>
      <c r="G2686" s="61" t="str">
        <f>IF(OR(COUNTA(A2686:E2686)=0,D2686=""),"",IFERROR(INDEX(ca_fam,MATCH(D2686,ca_name,0))&amp;"",""))</f>
        <v/>
      </c>
      <c r="H2686" s="58" t="str">
        <f>IF(OR(COUNTA(A2686:E2686)=0,D2686=""),"",IFERROR(INDEX(ca_type,MATCH(D2686,ca_name,0))&amp;"",""))</f>
        <v/>
      </c>
      <c r="I2686" s="58" t="str">
        <f>IF(COUNTA(A2686:E2686)=0,"",IF(N(A2686)&lt;=0,"Date manquante ou invalide",IF(B2686="","Équipe manquante",IF(ISNA(MATCH(B2686,eq_code,0)),"Équipe inconnue",IF(C2686="","Poste manquant",IF(ISNA(MATCH(C2686,po_code,0)),"Poste inconnu",IF(D2686="","Cause manquante",IF(ISNA(MATCH(D2686,ca_name,0)),"Cause inconnue",IF(H2686="","Cause à compléter dans Paramètres",IF(OR(NOT(ISNUMBER(E2686)),N(E2686)&lt;=0,N(E2686)&gt;1440),"Durée invalide",IF(COUNTIFS(sj_date,A2686,sj_eq,B2686,sj_po,C2686)=0,"Pas de saisie journalière ce jour-là","OK")))))))))))</f>
        <v/>
      </c>
      <c r="J2686">
        <f>IF(OR(I2686="OK",I2686="Pas de saisie journalière ce jour-là"),E2686,0)</f>
        <v>0.0</v>
      </c>
      <c r="K2686">
        <f>IF(AND(J2686&gt;0,A2686&gt;=p_from,A2686&lt;=p_to),1,0)</f>
        <v>0.0</v>
      </c>
      <c r="L2686">
        <f>IF(AND(K2686=1,OR(pa_po="",C2686=pa_po),OR(pa_eq="",B2686=pa_eq)),1,0)</f>
        <v>0.0</v>
      </c>
    </row>
    <row r="2687">
      <c r="A2687" s="51" t="n"/>
      <c r="B2687" s="52" t="n"/>
      <c r="C2687" s="52" t="n"/>
      <c r="D2687" s="53" t="n"/>
      <c r="E2687" s="60" t="n"/>
      <c r="F2687" s="53" t="n"/>
      <c r="G2687" s="61" t="str">
        <f>IF(OR(COUNTA(A2687:E2687)=0,D2687=""),"",IFERROR(INDEX(ca_fam,MATCH(D2687,ca_name,0))&amp;"",""))</f>
        <v/>
      </c>
      <c r="H2687" s="58" t="str">
        <f>IF(OR(COUNTA(A2687:E2687)=0,D2687=""),"",IFERROR(INDEX(ca_type,MATCH(D2687,ca_name,0))&amp;"",""))</f>
        <v/>
      </c>
      <c r="I2687" s="58" t="str">
        <f>IF(COUNTA(A2687:E2687)=0,"",IF(N(A2687)&lt;=0,"Date manquante ou invalide",IF(B2687="","Équipe manquante",IF(ISNA(MATCH(B2687,eq_code,0)),"Équipe inconnue",IF(C2687="","Poste manquant",IF(ISNA(MATCH(C2687,po_code,0)),"Poste inconnu",IF(D2687="","Cause manquante",IF(ISNA(MATCH(D2687,ca_name,0)),"Cause inconnue",IF(H2687="","Cause à compléter dans Paramètres",IF(OR(NOT(ISNUMBER(E2687)),N(E2687)&lt;=0,N(E2687)&gt;1440),"Durée invalide",IF(COUNTIFS(sj_date,A2687,sj_eq,B2687,sj_po,C2687)=0,"Pas de saisie journalière ce jour-là","OK")))))))))))</f>
        <v/>
      </c>
      <c r="J2687">
        <f>IF(OR(I2687="OK",I2687="Pas de saisie journalière ce jour-là"),E2687,0)</f>
        <v>0.0</v>
      </c>
      <c r="K2687">
        <f>IF(AND(J2687&gt;0,A2687&gt;=p_from,A2687&lt;=p_to),1,0)</f>
        <v>0.0</v>
      </c>
      <c r="L2687">
        <f>IF(AND(K2687=1,OR(pa_po="",C2687=pa_po),OR(pa_eq="",B2687=pa_eq)),1,0)</f>
        <v>0.0</v>
      </c>
    </row>
    <row r="2688">
      <c r="A2688" s="51" t="n"/>
      <c r="B2688" s="52" t="n"/>
      <c r="C2688" s="52" t="n"/>
      <c r="D2688" s="53" t="n"/>
      <c r="E2688" s="60" t="n"/>
      <c r="F2688" s="53" t="n"/>
      <c r="G2688" s="61" t="str">
        <f>IF(OR(COUNTA(A2688:E2688)=0,D2688=""),"",IFERROR(INDEX(ca_fam,MATCH(D2688,ca_name,0))&amp;"",""))</f>
        <v/>
      </c>
      <c r="H2688" s="58" t="str">
        <f>IF(OR(COUNTA(A2688:E2688)=0,D2688=""),"",IFERROR(INDEX(ca_type,MATCH(D2688,ca_name,0))&amp;"",""))</f>
        <v/>
      </c>
      <c r="I2688" s="58" t="str">
        <f>IF(COUNTA(A2688:E2688)=0,"",IF(N(A2688)&lt;=0,"Date manquante ou invalide",IF(B2688="","Équipe manquante",IF(ISNA(MATCH(B2688,eq_code,0)),"Équipe inconnue",IF(C2688="","Poste manquant",IF(ISNA(MATCH(C2688,po_code,0)),"Poste inconnu",IF(D2688="","Cause manquante",IF(ISNA(MATCH(D2688,ca_name,0)),"Cause inconnue",IF(H2688="","Cause à compléter dans Paramètres",IF(OR(NOT(ISNUMBER(E2688)),N(E2688)&lt;=0,N(E2688)&gt;1440),"Durée invalide",IF(COUNTIFS(sj_date,A2688,sj_eq,B2688,sj_po,C2688)=0,"Pas de saisie journalière ce jour-là","OK")))))))))))</f>
        <v/>
      </c>
      <c r="J2688">
        <f>IF(OR(I2688="OK",I2688="Pas de saisie journalière ce jour-là"),E2688,0)</f>
        <v>0.0</v>
      </c>
      <c r="K2688">
        <f>IF(AND(J2688&gt;0,A2688&gt;=p_from,A2688&lt;=p_to),1,0)</f>
        <v>0.0</v>
      </c>
      <c r="L2688">
        <f>IF(AND(K2688=1,OR(pa_po="",C2688=pa_po),OR(pa_eq="",B2688=pa_eq)),1,0)</f>
        <v>0.0</v>
      </c>
    </row>
    <row r="2689">
      <c r="A2689" s="51" t="n"/>
      <c r="B2689" s="52" t="n"/>
      <c r="C2689" s="52" t="n"/>
      <c r="D2689" s="53" t="n"/>
      <c r="E2689" s="60" t="n"/>
      <c r="F2689" s="53" t="n"/>
      <c r="G2689" s="61" t="str">
        <f>IF(OR(COUNTA(A2689:E2689)=0,D2689=""),"",IFERROR(INDEX(ca_fam,MATCH(D2689,ca_name,0))&amp;"",""))</f>
        <v/>
      </c>
      <c r="H2689" s="58" t="str">
        <f>IF(OR(COUNTA(A2689:E2689)=0,D2689=""),"",IFERROR(INDEX(ca_type,MATCH(D2689,ca_name,0))&amp;"",""))</f>
        <v/>
      </c>
      <c r="I2689" s="58" t="str">
        <f>IF(COUNTA(A2689:E2689)=0,"",IF(N(A2689)&lt;=0,"Date manquante ou invalide",IF(B2689="","Équipe manquante",IF(ISNA(MATCH(B2689,eq_code,0)),"Équipe inconnue",IF(C2689="","Poste manquant",IF(ISNA(MATCH(C2689,po_code,0)),"Poste inconnu",IF(D2689="","Cause manquante",IF(ISNA(MATCH(D2689,ca_name,0)),"Cause inconnue",IF(H2689="","Cause à compléter dans Paramètres",IF(OR(NOT(ISNUMBER(E2689)),N(E2689)&lt;=0,N(E2689)&gt;1440),"Durée invalide",IF(COUNTIFS(sj_date,A2689,sj_eq,B2689,sj_po,C2689)=0,"Pas de saisie journalière ce jour-là","OK")))))))))))</f>
        <v/>
      </c>
      <c r="J2689">
        <f>IF(OR(I2689="OK",I2689="Pas de saisie journalière ce jour-là"),E2689,0)</f>
        <v>0.0</v>
      </c>
      <c r="K2689">
        <f>IF(AND(J2689&gt;0,A2689&gt;=p_from,A2689&lt;=p_to),1,0)</f>
        <v>0.0</v>
      </c>
      <c r="L2689">
        <f>IF(AND(K2689=1,OR(pa_po="",C2689=pa_po),OR(pa_eq="",B2689=pa_eq)),1,0)</f>
        <v>0.0</v>
      </c>
    </row>
    <row r="2690">
      <c r="A2690" s="51" t="n"/>
      <c r="B2690" s="52" t="n"/>
      <c r="C2690" s="52" t="n"/>
      <c r="D2690" s="53" t="n"/>
      <c r="E2690" s="60" t="n"/>
      <c r="F2690" s="53" t="n"/>
      <c r="G2690" s="61" t="str">
        <f>IF(OR(COUNTA(A2690:E2690)=0,D2690=""),"",IFERROR(INDEX(ca_fam,MATCH(D2690,ca_name,0))&amp;"",""))</f>
        <v/>
      </c>
      <c r="H2690" s="58" t="str">
        <f>IF(OR(COUNTA(A2690:E2690)=0,D2690=""),"",IFERROR(INDEX(ca_type,MATCH(D2690,ca_name,0))&amp;"",""))</f>
        <v/>
      </c>
      <c r="I2690" s="58" t="str">
        <f>IF(COUNTA(A2690:E2690)=0,"",IF(N(A2690)&lt;=0,"Date manquante ou invalide",IF(B2690="","Équipe manquante",IF(ISNA(MATCH(B2690,eq_code,0)),"Équipe inconnue",IF(C2690="","Poste manquant",IF(ISNA(MATCH(C2690,po_code,0)),"Poste inconnu",IF(D2690="","Cause manquante",IF(ISNA(MATCH(D2690,ca_name,0)),"Cause inconnue",IF(H2690="","Cause à compléter dans Paramètres",IF(OR(NOT(ISNUMBER(E2690)),N(E2690)&lt;=0,N(E2690)&gt;1440),"Durée invalide",IF(COUNTIFS(sj_date,A2690,sj_eq,B2690,sj_po,C2690)=0,"Pas de saisie journalière ce jour-là","OK")))))))))))</f>
        <v/>
      </c>
      <c r="J2690">
        <f>IF(OR(I2690="OK",I2690="Pas de saisie journalière ce jour-là"),E2690,0)</f>
        <v>0.0</v>
      </c>
      <c r="K2690">
        <f>IF(AND(J2690&gt;0,A2690&gt;=p_from,A2690&lt;=p_to),1,0)</f>
        <v>0.0</v>
      </c>
      <c r="L2690">
        <f>IF(AND(K2690=1,OR(pa_po="",C2690=pa_po),OR(pa_eq="",B2690=pa_eq)),1,0)</f>
        <v>0.0</v>
      </c>
    </row>
    <row r="2691">
      <c r="A2691" s="51" t="n"/>
      <c r="B2691" s="52" t="n"/>
      <c r="C2691" s="52" t="n"/>
      <c r="D2691" s="53" t="n"/>
      <c r="E2691" s="60" t="n"/>
      <c r="F2691" s="53" t="n"/>
      <c r="G2691" s="61" t="str">
        <f>IF(OR(COUNTA(A2691:E2691)=0,D2691=""),"",IFERROR(INDEX(ca_fam,MATCH(D2691,ca_name,0))&amp;"",""))</f>
        <v/>
      </c>
      <c r="H2691" s="58" t="str">
        <f>IF(OR(COUNTA(A2691:E2691)=0,D2691=""),"",IFERROR(INDEX(ca_type,MATCH(D2691,ca_name,0))&amp;"",""))</f>
        <v/>
      </c>
      <c r="I2691" s="58" t="str">
        <f>IF(COUNTA(A2691:E2691)=0,"",IF(N(A2691)&lt;=0,"Date manquante ou invalide",IF(B2691="","Équipe manquante",IF(ISNA(MATCH(B2691,eq_code,0)),"Équipe inconnue",IF(C2691="","Poste manquant",IF(ISNA(MATCH(C2691,po_code,0)),"Poste inconnu",IF(D2691="","Cause manquante",IF(ISNA(MATCH(D2691,ca_name,0)),"Cause inconnue",IF(H2691="","Cause à compléter dans Paramètres",IF(OR(NOT(ISNUMBER(E2691)),N(E2691)&lt;=0,N(E2691)&gt;1440),"Durée invalide",IF(COUNTIFS(sj_date,A2691,sj_eq,B2691,sj_po,C2691)=0,"Pas de saisie journalière ce jour-là","OK")))))))))))</f>
        <v/>
      </c>
      <c r="J2691">
        <f>IF(OR(I2691="OK",I2691="Pas de saisie journalière ce jour-là"),E2691,0)</f>
        <v>0.0</v>
      </c>
      <c r="K2691">
        <f>IF(AND(J2691&gt;0,A2691&gt;=p_from,A2691&lt;=p_to),1,0)</f>
        <v>0.0</v>
      </c>
      <c r="L2691">
        <f>IF(AND(K2691=1,OR(pa_po="",C2691=pa_po),OR(pa_eq="",B2691=pa_eq)),1,0)</f>
        <v>0.0</v>
      </c>
    </row>
    <row r="2692">
      <c r="A2692" s="51" t="n"/>
      <c r="B2692" s="52" t="n"/>
      <c r="C2692" s="52" t="n"/>
      <c r="D2692" s="53" t="n"/>
      <c r="E2692" s="60" t="n"/>
      <c r="F2692" s="53" t="n"/>
      <c r="G2692" s="61" t="str">
        <f>IF(OR(COUNTA(A2692:E2692)=0,D2692=""),"",IFERROR(INDEX(ca_fam,MATCH(D2692,ca_name,0))&amp;"",""))</f>
        <v/>
      </c>
      <c r="H2692" s="58" t="str">
        <f>IF(OR(COUNTA(A2692:E2692)=0,D2692=""),"",IFERROR(INDEX(ca_type,MATCH(D2692,ca_name,0))&amp;"",""))</f>
        <v/>
      </c>
      <c r="I2692" s="58" t="str">
        <f>IF(COUNTA(A2692:E2692)=0,"",IF(N(A2692)&lt;=0,"Date manquante ou invalide",IF(B2692="","Équipe manquante",IF(ISNA(MATCH(B2692,eq_code,0)),"Équipe inconnue",IF(C2692="","Poste manquant",IF(ISNA(MATCH(C2692,po_code,0)),"Poste inconnu",IF(D2692="","Cause manquante",IF(ISNA(MATCH(D2692,ca_name,0)),"Cause inconnue",IF(H2692="","Cause à compléter dans Paramètres",IF(OR(NOT(ISNUMBER(E2692)),N(E2692)&lt;=0,N(E2692)&gt;1440),"Durée invalide",IF(COUNTIFS(sj_date,A2692,sj_eq,B2692,sj_po,C2692)=0,"Pas de saisie journalière ce jour-là","OK")))))))))))</f>
        <v/>
      </c>
      <c r="J2692">
        <f>IF(OR(I2692="OK",I2692="Pas de saisie journalière ce jour-là"),E2692,0)</f>
        <v>0.0</v>
      </c>
      <c r="K2692">
        <f>IF(AND(J2692&gt;0,A2692&gt;=p_from,A2692&lt;=p_to),1,0)</f>
        <v>0.0</v>
      </c>
      <c r="L2692">
        <f>IF(AND(K2692=1,OR(pa_po="",C2692=pa_po),OR(pa_eq="",B2692=pa_eq)),1,0)</f>
        <v>0.0</v>
      </c>
    </row>
    <row r="2693">
      <c r="A2693" s="51" t="n"/>
      <c r="B2693" s="52" t="n"/>
      <c r="C2693" s="52" t="n"/>
      <c r="D2693" s="53" t="n"/>
      <c r="E2693" s="60" t="n"/>
      <c r="F2693" s="53" t="n"/>
      <c r="G2693" s="61" t="str">
        <f>IF(OR(COUNTA(A2693:E2693)=0,D2693=""),"",IFERROR(INDEX(ca_fam,MATCH(D2693,ca_name,0))&amp;"",""))</f>
        <v/>
      </c>
      <c r="H2693" s="58" t="str">
        <f>IF(OR(COUNTA(A2693:E2693)=0,D2693=""),"",IFERROR(INDEX(ca_type,MATCH(D2693,ca_name,0))&amp;"",""))</f>
        <v/>
      </c>
      <c r="I2693" s="58" t="str">
        <f>IF(COUNTA(A2693:E2693)=0,"",IF(N(A2693)&lt;=0,"Date manquante ou invalide",IF(B2693="","Équipe manquante",IF(ISNA(MATCH(B2693,eq_code,0)),"Équipe inconnue",IF(C2693="","Poste manquant",IF(ISNA(MATCH(C2693,po_code,0)),"Poste inconnu",IF(D2693="","Cause manquante",IF(ISNA(MATCH(D2693,ca_name,0)),"Cause inconnue",IF(H2693="","Cause à compléter dans Paramètres",IF(OR(NOT(ISNUMBER(E2693)),N(E2693)&lt;=0,N(E2693)&gt;1440),"Durée invalide",IF(COUNTIFS(sj_date,A2693,sj_eq,B2693,sj_po,C2693)=0,"Pas de saisie journalière ce jour-là","OK")))))))))))</f>
        <v/>
      </c>
      <c r="J2693">
        <f>IF(OR(I2693="OK",I2693="Pas de saisie journalière ce jour-là"),E2693,0)</f>
        <v>0.0</v>
      </c>
      <c r="K2693">
        <f>IF(AND(J2693&gt;0,A2693&gt;=p_from,A2693&lt;=p_to),1,0)</f>
        <v>0.0</v>
      </c>
      <c r="L2693">
        <f>IF(AND(K2693=1,OR(pa_po="",C2693=pa_po),OR(pa_eq="",B2693=pa_eq)),1,0)</f>
        <v>0.0</v>
      </c>
    </row>
    <row r="2694">
      <c r="A2694" s="51" t="n"/>
      <c r="B2694" s="52" t="n"/>
      <c r="C2694" s="52" t="n"/>
      <c r="D2694" s="53" t="n"/>
      <c r="E2694" s="60" t="n"/>
      <c r="F2694" s="53" t="n"/>
      <c r="G2694" s="61" t="str">
        <f>IF(OR(COUNTA(A2694:E2694)=0,D2694=""),"",IFERROR(INDEX(ca_fam,MATCH(D2694,ca_name,0))&amp;"",""))</f>
        <v/>
      </c>
      <c r="H2694" s="58" t="str">
        <f>IF(OR(COUNTA(A2694:E2694)=0,D2694=""),"",IFERROR(INDEX(ca_type,MATCH(D2694,ca_name,0))&amp;"",""))</f>
        <v/>
      </c>
      <c r="I2694" s="58" t="str">
        <f>IF(COUNTA(A2694:E2694)=0,"",IF(N(A2694)&lt;=0,"Date manquante ou invalide",IF(B2694="","Équipe manquante",IF(ISNA(MATCH(B2694,eq_code,0)),"Équipe inconnue",IF(C2694="","Poste manquant",IF(ISNA(MATCH(C2694,po_code,0)),"Poste inconnu",IF(D2694="","Cause manquante",IF(ISNA(MATCH(D2694,ca_name,0)),"Cause inconnue",IF(H2694="","Cause à compléter dans Paramètres",IF(OR(NOT(ISNUMBER(E2694)),N(E2694)&lt;=0,N(E2694)&gt;1440),"Durée invalide",IF(COUNTIFS(sj_date,A2694,sj_eq,B2694,sj_po,C2694)=0,"Pas de saisie journalière ce jour-là","OK")))))))))))</f>
        <v/>
      </c>
      <c r="J2694">
        <f>IF(OR(I2694="OK",I2694="Pas de saisie journalière ce jour-là"),E2694,0)</f>
        <v>0.0</v>
      </c>
      <c r="K2694">
        <f>IF(AND(J2694&gt;0,A2694&gt;=p_from,A2694&lt;=p_to),1,0)</f>
        <v>0.0</v>
      </c>
      <c r="L2694">
        <f>IF(AND(K2694=1,OR(pa_po="",C2694=pa_po),OR(pa_eq="",B2694=pa_eq)),1,0)</f>
        <v>0.0</v>
      </c>
    </row>
    <row r="2695">
      <c r="A2695" s="51" t="n"/>
      <c r="B2695" s="52" t="n"/>
      <c r="C2695" s="52" t="n"/>
      <c r="D2695" s="53" t="n"/>
      <c r="E2695" s="60" t="n"/>
      <c r="F2695" s="53" t="n"/>
      <c r="G2695" s="61" t="str">
        <f>IF(OR(COUNTA(A2695:E2695)=0,D2695=""),"",IFERROR(INDEX(ca_fam,MATCH(D2695,ca_name,0))&amp;"",""))</f>
        <v/>
      </c>
      <c r="H2695" s="58" t="str">
        <f>IF(OR(COUNTA(A2695:E2695)=0,D2695=""),"",IFERROR(INDEX(ca_type,MATCH(D2695,ca_name,0))&amp;"",""))</f>
        <v/>
      </c>
      <c r="I2695" s="58" t="str">
        <f>IF(COUNTA(A2695:E2695)=0,"",IF(N(A2695)&lt;=0,"Date manquante ou invalide",IF(B2695="","Équipe manquante",IF(ISNA(MATCH(B2695,eq_code,0)),"Équipe inconnue",IF(C2695="","Poste manquant",IF(ISNA(MATCH(C2695,po_code,0)),"Poste inconnu",IF(D2695="","Cause manquante",IF(ISNA(MATCH(D2695,ca_name,0)),"Cause inconnue",IF(H2695="","Cause à compléter dans Paramètres",IF(OR(NOT(ISNUMBER(E2695)),N(E2695)&lt;=0,N(E2695)&gt;1440),"Durée invalide",IF(COUNTIFS(sj_date,A2695,sj_eq,B2695,sj_po,C2695)=0,"Pas de saisie journalière ce jour-là","OK")))))))))))</f>
        <v/>
      </c>
      <c r="J2695">
        <f>IF(OR(I2695="OK",I2695="Pas de saisie journalière ce jour-là"),E2695,0)</f>
        <v>0.0</v>
      </c>
      <c r="K2695">
        <f>IF(AND(J2695&gt;0,A2695&gt;=p_from,A2695&lt;=p_to),1,0)</f>
        <v>0.0</v>
      </c>
      <c r="L2695">
        <f>IF(AND(K2695=1,OR(pa_po="",C2695=pa_po),OR(pa_eq="",B2695=pa_eq)),1,0)</f>
        <v>0.0</v>
      </c>
    </row>
    <row r="2696">
      <c r="A2696" s="51" t="n"/>
      <c r="B2696" s="52" t="n"/>
      <c r="C2696" s="52" t="n"/>
      <c r="D2696" s="53" t="n"/>
      <c r="E2696" s="60" t="n"/>
      <c r="F2696" s="53" t="n"/>
      <c r="G2696" s="61" t="str">
        <f>IF(OR(COUNTA(A2696:E2696)=0,D2696=""),"",IFERROR(INDEX(ca_fam,MATCH(D2696,ca_name,0))&amp;"",""))</f>
        <v/>
      </c>
      <c r="H2696" s="58" t="str">
        <f>IF(OR(COUNTA(A2696:E2696)=0,D2696=""),"",IFERROR(INDEX(ca_type,MATCH(D2696,ca_name,0))&amp;"",""))</f>
        <v/>
      </c>
      <c r="I2696" s="58" t="str">
        <f>IF(COUNTA(A2696:E2696)=0,"",IF(N(A2696)&lt;=0,"Date manquante ou invalide",IF(B2696="","Équipe manquante",IF(ISNA(MATCH(B2696,eq_code,0)),"Équipe inconnue",IF(C2696="","Poste manquant",IF(ISNA(MATCH(C2696,po_code,0)),"Poste inconnu",IF(D2696="","Cause manquante",IF(ISNA(MATCH(D2696,ca_name,0)),"Cause inconnue",IF(H2696="","Cause à compléter dans Paramètres",IF(OR(NOT(ISNUMBER(E2696)),N(E2696)&lt;=0,N(E2696)&gt;1440),"Durée invalide",IF(COUNTIFS(sj_date,A2696,sj_eq,B2696,sj_po,C2696)=0,"Pas de saisie journalière ce jour-là","OK")))))))))))</f>
        <v/>
      </c>
      <c r="J2696">
        <f>IF(OR(I2696="OK",I2696="Pas de saisie journalière ce jour-là"),E2696,0)</f>
        <v>0.0</v>
      </c>
      <c r="K2696">
        <f>IF(AND(J2696&gt;0,A2696&gt;=p_from,A2696&lt;=p_to),1,0)</f>
        <v>0.0</v>
      </c>
      <c r="L2696">
        <f>IF(AND(K2696=1,OR(pa_po="",C2696=pa_po),OR(pa_eq="",B2696=pa_eq)),1,0)</f>
        <v>0.0</v>
      </c>
    </row>
    <row r="2697">
      <c r="A2697" s="51" t="n"/>
      <c r="B2697" s="52" t="n"/>
      <c r="C2697" s="52" t="n"/>
      <c r="D2697" s="53" t="n"/>
      <c r="E2697" s="60" t="n"/>
      <c r="F2697" s="53" t="n"/>
      <c r="G2697" s="61" t="str">
        <f>IF(OR(COUNTA(A2697:E2697)=0,D2697=""),"",IFERROR(INDEX(ca_fam,MATCH(D2697,ca_name,0))&amp;"",""))</f>
        <v/>
      </c>
      <c r="H2697" s="58" t="str">
        <f>IF(OR(COUNTA(A2697:E2697)=0,D2697=""),"",IFERROR(INDEX(ca_type,MATCH(D2697,ca_name,0))&amp;"",""))</f>
        <v/>
      </c>
      <c r="I2697" s="58" t="str">
        <f>IF(COUNTA(A2697:E2697)=0,"",IF(N(A2697)&lt;=0,"Date manquante ou invalide",IF(B2697="","Équipe manquante",IF(ISNA(MATCH(B2697,eq_code,0)),"Équipe inconnue",IF(C2697="","Poste manquant",IF(ISNA(MATCH(C2697,po_code,0)),"Poste inconnu",IF(D2697="","Cause manquante",IF(ISNA(MATCH(D2697,ca_name,0)),"Cause inconnue",IF(H2697="","Cause à compléter dans Paramètres",IF(OR(NOT(ISNUMBER(E2697)),N(E2697)&lt;=0,N(E2697)&gt;1440),"Durée invalide",IF(COUNTIFS(sj_date,A2697,sj_eq,B2697,sj_po,C2697)=0,"Pas de saisie journalière ce jour-là","OK")))))))))))</f>
        <v/>
      </c>
      <c r="J2697">
        <f>IF(OR(I2697="OK",I2697="Pas de saisie journalière ce jour-là"),E2697,0)</f>
        <v>0.0</v>
      </c>
      <c r="K2697">
        <f>IF(AND(J2697&gt;0,A2697&gt;=p_from,A2697&lt;=p_to),1,0)</f>
        <v>0.0</v>
      </c>
      <c r="L2697">
        <f>IF(AND(K2697=1,OR(pa_po="",C2697=pa_po),OR(pa_eq="",B2697=pa_eq)),1,0)</f>
        <v>0.0</v>
      </c>
    </row>
    <row r="2698">
      <c r="A2698" s="51" t="n"/>
      <c r="B2698" s="52" t="n"/>
      <c r="C2698" s="52" t="n"/>
      <c r="D2698" s="53" t="n"/>
      <c r="E2698" s="60" t="n"/>
      <c r="F2698" s="53" t="n"/>
      <c r="G2698" s="61" t="str">
        <f>IF(OR(COUNTA(A2698:E2698)=0,D2698=""),"",IFERROR(INDEX(ca_fam,MATCH(D2698,ca_name,0))&amp;"",""))</f>
        <v/>
      </c>
      <c r="H2698" s="58" t="str">
        <f>IF(OR(COUNTA(A2698:E2698)=0,D2698=""),"",IFERROR(INDEX(ca_type,MATCH(D2698,ca_name,0))&amp;"",""))</f>
        <v/>
      </c>
      <c r="I2698" s="58" t="str">
        <f>IF(COUNTA(A2698:E2698)=0,"",IF(N(A2698)&lt;=0,"Date manquante ou invalide",IF(B2698="","Équipe manquante",IF(ISNA(MATCH(B2698,eq_code,0)),"Équipe inconnue",IF(C2698="","Poste manquant",IF(ISNA(MATCH(C2698,po_code,0)),"Poste inconnu",IF(D2698="","Cause manquante",IF(ISNA(MATCH(D2698,ca_name,0)),"Cause inconnue",IF(H2698="","Cause à compléter dans Paramètres",IF(OR(NOT(ISNUMBER(E2698)),N(E2698)&lt;=0,N(E2698)&gt;1440),"Durée invalide",IF(COUNTIFS(sj_date,A2698,sj_eq,B2698,sj_po,C2698)=0,"Pas de saisie journalière ce jour-là","OK")))))))))))</f>
        <v/>
      </c>
      <c r="J2698">
        <f>IF(OR(I2698="OK",I2698="Pas de saisie journalière ce jour-là"),E2698,0)</f>
        <v>0.0</v>
      </c>
      <c r="K2698">
        <f>IF(AND(J2698&gt;0,A2698&gt;=p_from,A2698&lt;=p_to),1,0)</f>
        <v>0.0</v>
      </c>
      <c r="L2698">
        <f>IF(AND(K2698=1,OR(pa_po="",C2698=pa_po),OR(pa_eq="",B2698=pa_eq)),1,0)</f>
        <v>0.0</v>
      </c>
    </row>
    <row r="2699">
      <c r="A2699" s="51" t="n"/>
      <c r="B2699" s="52" t="n"/>
      <c r="C2699" s="52" t="n"/>
      <c r="D2699" s="53" t="n"/>
      <c r="E2699" s="60" t="n"/>
      <c r="F2699" s="53" t="n"/>
      <c r="G2699" s="61" t="str">
        <f>IF(OR(COUNTA(A2699:E2699)=0,D2699=""),"",IFERROR(INDEX(ca_fam,MATCH(D2699,ca_name,0))&amp;"",""))</f>
        <v/>
      </c>
      <c r="H2699" s="58" t="str">
        <f>IF(OR(COUNTA(A2699:E2699)=0,D2699=""),"",IFERROR(INDEX(ca_type,MATCH(D2699,ca_name,0))&amp;"",""))</f>
        <v/>
      </c>
      <c r="I2699" s="58" t="str">
        <f>IF(COUNTA(A2699:E2699)=0,"",IF(N(A2699)&lt;=0,"Date manquante ou invalide",IF(B2699="","Équipe manquante",IF(ISNA(MATCH(B2699,eq_code,0)),"Équipe inconnue",IF(C2699="","Poste manquant",IF(ISNA(MATCH(C2699,po_code,0)),"Poste inconnu",IF(D2699="","Cause manquante",IF(ISNA(MATCH(D2699,ca_name,0)),"Cause inconnue",IF(H2699="","Cause à compléter dans Paramètres",IF(OR(NOT(ISNUMBER(E2699)),N(E2699)&lt;=0,N(E2699)&gt;1440),"Durée invalide",IF(COUNTIFS(sj_date,A2699,sj_eq,B2699,sj_po,C2699)=0,"Pas de saisie journalière ce jour-là","OK")))))))))))</f>
        <v/>
      </c>
      <c r="J2699">
        <f>IF(OR(I2699="OK",I2699="Pas de saisie journalière ce jour-là"),E2699,0)</f>
        <v>0.0</v>
      </c>
      <c r="K2699">
        <f>IF(AND(J2699&gt;0,A2699&gt;=p_from,A2699&lt;=p_to),1,0)</f>
        <v>0.0</v>
      </c>
      <c r="L2699">
        <f>IF(AND(K2699=1,OR(pa_po="",C2699=pa_po),OR(pa_eq="",B2699=pa_eq)),1,0)</f>
        <v>0.0</v>
      </c>
    </row>
    <row r="2700">
      <c r="A2700" s="51" t="n"/>
      <c r="B2700" s="52" t="n"/>
      <c r="C2700" s="52" t="n"/>
      <c r="D2700" s="53" t="n"/>
      <c r="E2700" s="60" t="n"/>
      <c r="F2700" s="53" t="n"/>
      <c r="G2700" s="61" t="str">
        <f>IF(OR(COUNTA(A2700:E2700)=0,D2700=""),"",IFERROR(INDEX(ca_fam,MATCH(D2700,ca_name,0))&amp;"",""))</f>
        <v/>
      </c>
      <c r="H2700" s="58" t="str">
        <f>IF(OR(COUNTA(A2700:E2700)=0,D2700=""),"",IFERROR(INDEX(ca_type,MATCH(D2700,ca_name,0))&amp;"",""))</f>
        <v/>
      </c>
      <c r="I2700" s="58" t="str">
        <f>IF(COUNTA(A2700:E2700)=0,"",IF(N(A2700)&lt;=0,"Date manquante ou invalide",IF(B2700="","Équipe manquante",IF(ISNA(MATCH(B2700,eq_code,0)),"Équipe inconnue",IF(C2700="","Poste manquant",IF(ISNA(MATCH(C2700,po_code,0)),"Poste inconnu",IF(D2700="","Cause manquante",IF(ISNA(MATCH(D2700,ca_name,0)),"Cause inconnue",IF(H2700="","Cause à compléter dans Paramètres",IF(OR(NOT(ISNUMBER(E2700)),N(E2700)&lt;=0,N(E2700)&gt;1440),"Durée invalide",IF(COUNTIFS(sj_date,A2700,sj_eq,B2700,sj_po,C2700)=0,"Pas de saisie journalière ce jour-là","OK")))))))))))</f>
        <v/>
      </c>
      <c r="J2700">
        <f>IF(OR(I2700="OK",I2700="Pas de saisie journalière ce jour-là"),E2700,0)</f>
        <v>0.0</v>
      </c>
      <c r="K2700">
        <f>IF(AND(J2700&gt;0,A2700&gt;=p_from,A2700&lt;=p_to),1,0)</f>
        <v>0.0</v>
      </c>
      <c r="L2700">
        <f>IF(AND(K2700=1,OR(pa_po="",C2700=pa_po),OR(pa_eq="",B2700=pa_eq)),1,0)</f>
        <v>0.0</v>
      </c>
    </row>
    <row r="2701">
      <c r="A2701" s="51" t="n"/>
      <c r="B2701" s="52" t="n"/>
      <c r="C2701" s="52" t="n"/>
      <c r="D2701" s="53" t="n"/>
      <c r="E2701" s="60" t="n"/>
      <c r="F2701" s="53" t="n"/>
      <c r="G2701" s="61" t="str">
        <f>IF(OR(COUNTA(A2701:E2701)=0,D2701=""),"",IFERROR(INDEX(ca_fam,MATCH(D2701,ca_name,0))&amp;"",""))</f>
        <v/>
      </c>
      <c r="H2701" s="58" t="str">
        <f>IF(OR(COUNTA(A2701:E2701)=0,D2701=""),"",IFERROR(INDEX(ca_type,MATCH(D2701,ca_name,0))&amp;"",""))</f>
        <v/>
      </c>
      <c r="I2701" s="58" t="str">
        <f>IF(COUNTA(A2701:E2701)=0,"",IF(N(A2701)&lt;=0,"Date manquante ou invalide",IF(B2701="","Équipe manquante",IF(ISNA(MATCH(B2701,eq_code,0)),"Équipe inconnue",IF(C2701="","Poste manquant",IF(ISNA(MATCH(C2701,po_code,0)),"Poste inconnu",IF(D2701="","Cause manquante",IF(ISNA(MATCH(D2701,ca_name,0)),"Cause inconnue",IF(H2701="","Cause à compléter dans Paramètres",IF(OR(NOT(ISNUMBER(E2701)),N(E2701)&lt;=0,N(E2701)&gt;1440),"Durée invalide",IF(COUNTIFS(sj_date,A2701,sj_eq,B2701,sj_po,C2701)=0,"Pas de saisie journalière ce jour-là","OK")))))))))))</f>
        <v/>
      </c>
      <c r="J2701">
        <f>IF(OR(I2701="OK",I2701="Pas de saisie journalière ce jour-là"),E2701,0)</f>
        <v>0.0</v>
      </c>
      <c r="K2701">
        <f>IF(AND(J2701&gt;0,A2701&gt;=p_from,A2701&lt;=p_to),1,0)</f>
        <v>0.0</v>
      </c>
      <c r="L2701">
        <f>IF(AND(K2701=1,OR(pa_po="",C2701=pa_po),OR(pa_eq="",B2701=pa_eq)),1,0)</f>
        <v>0.0</v>
      </c>
    </row>
    <row r="2702">
      <c r="A2702" s="51" t="n"/>
      <c r="B2702" s="52" t="n"/>
      <c r="C2702" s="52" t="n"/>
      <c r="D2702" s="53" t="n"/>
      <c r="E2702" s="60" t="n"/>
      <c r="F2702" s="53" t="n"/>
      <c r="G2702" s="61" t="str">
        <f>IF(OR(COUNTA(A2702:E2702)=0,D2702=""),"",IFERROR(INDEX(ca_fam,MATCH(D2702,ca_name,0))&amp;"",""))</f>
        <v/>
      </c>
      <c r="H2702" s="58" t="str">
        <f>IF(OR(COUNTA(A2702:E2702)=0,D2702=""),"",IFERROR(INDEX(ca_type,MATCH(D2702,ca_name,0))&amp;"",""))</f>
        <v/>
      </c>
      <c r="I2702" s="58" t="str">
        <f>IF(COUNTA(A2702:E2702)=0,"",IF(N(A2702)&lt;=0,"Date manquante ou invalide",IF(B2702="","Équipe manquante",IF(ISNA(MATCH(B2702,eq_code,0)),"Équipe inconnue",IF(C2702="","Poste manquant",IF(ISNA(MATCH(C2702,po_code,0)),"Poste inconnu",IF(D2702="","Cause manquante",IF(ISNA(MATCH(D2702,ca_name,0)),"Cause inconnue",IF(H2702="","Cause à compléter dans Paramètres",IF(OR(NOT(ISNUMBER(E2702)),N(E2702)&lt;=0,N(E2702)&gt;1440),"Durée invalide",IF(COUNTIFS(sj_date,A2702,sj_eq,B2702,sj_po,C2702)=0,"Pas de saisie journalière ce jour-là","OK")))))))))))</f>
        <v/>
      </c>
      <c r="J2702">
        <f>IF(OR(I2702="OK",I2702="Pas de saisie journalière ce jour-là"),E2702,0)</f>
        <v>0.0</v>
      </c>
      <c r="K2702">
        <f>IF(AND(J2702&gt;0,A2702&gt;=p_from,A2702&lt;=p_to),1,0)</f>
        <v>0.0</v>
      </c>
      <c r="L2702">
        <f>IF(AND(K2702=1,OR(pa_po="",C2702=pa_po),OR(pa_eq="",B2702=pa_eq)),1,0)</f>
        <v>0.0</v>
      </c>
    </row>
    <row r="2703">
      <c r="A2703" s="51" t="n"/>
      <c r="B2703" s="52" t="n"/>
      <c r="C2703" s="52" t="n"/>
      <c r="D2703" s="53" t="n"/>
      <c r="E2703" s="60" t="n"/>
      <c r="F2703" s="53" t="n"/>
      <c r="G2703" s="61" t="str">
        <f>IF(OR(COUNTA(A2703:E2703)=0,D2703=""),"",IFERROR(INDEX(ca_fam,MATCH(D2703,ca_name,0))&amp;"",""))</f>
        <v/>
      </c>
      <c r="H2703" s="58" t="str">
        <f>IF(OR(COUNTA(A2703:E2703)=0,D2703=""),"",IFERROR(INDEX(ca_type,MATCH(D2703,ca_name,0))&amp;"",""))</f>
        <v/>
      </c>
      <c r="I2703" s="58" t="str">
        <f>IF(COUNTA(A2703:E2703)=0,"",IF(N(A2703)&lt;=0,"Date manquante ou invalide",IF(B2703="","Équipe manquante",IF(ISNA(MATCH(B2703,eq_code,0)),"Équipe inconnue",IF(C2703="","Poste manquant",IF(ISNA(MATCH(C2703,po_code,0)),"Poste inconnu",IF(D2703="","Cause manquante",IF(ISNA(MATCH(D2703,ca_name,0)),"Cause inconnue",IF(H2703="","Cause à compléter dans Paramètres",IF(OR(NOT(ISNUMBER(E2703)),N(E2703)&lt;=0,N(E2703)&gt;1440),"Durée invalide",IF(COUNTIFS(sj_date,A2703,sj_eq,B2703,sj_po,C2703)=0,"Pas de saisie journalière ce jour-là","OK")))))))))))</f>
        <v/>
      </c>
      <c r="J2703">
        <f>IF(OR(I2703="OK",I2703="Pas de saisie journalière ce jour-là"),E2703,0)</f>
        <v>0.0</v>
      </c>
      <c r="K2703">
        <f>IF(AND(J2703&gt;0,A2703&gt;=p_from,A2703&lt;=p_to),1,0)</f>
        <v>0.0</v>
      </c>
      <c r="L2703">
        <f>IF(AND(K2703=1,OR(pa_po="",C2703=pa_po),OR(pa_eq="",B2703=pa_eq)),1,0)</f>
        <v>0.0</v>
      </c>
    </row>
    <row r="2704">
      <c r="A2704" s="51" t="n"/>
      <c r="B2704" s="52" t="n"/>
      <c r="C2704" s="52" t="n"/>
      <c r="D2704" s="53" t="n"/>
      <c r="E2704" s="60" t="n"/>
      <c r="F2704" s="53" t="n"/>
      <c r="G2704" s="61" t="str">
        <f>IF(OR(COUNTA(A2704:E2704)=0,D2704=""),"",IFERROR(INDEX(ca_fam,MATCH(D2704,ca_name,0))&amp;"",""))</f>
        <v/>
      </c>
      <c r="H2704" s="58" t="str">
        <f>IF(OR(COUNTA(A2704:E2704)=0,D2704=""),"",IFERROR(INDEX(ca_type,MATCH(D2704,ca_name,0))&amp;"",""))</f>
        <v/>
      </c>
      <c r="I2704" s="58" t="str">
        <f>IF(COUNTA(A2704:E2704)=0,"",IF(N(A2704)&lt;=0,"Date manquante ou invalide",IF(B2704="","Équipe manquante",IF(ISNA(MATCH(B2704,eq_code,0)),"Équipe inconnue",IF(C2704="","Poste manquant",IF(ISNA(MATCH(C2704,po_code,0)),"Poste inconnu",IF(D2704="","Cause manquante",IF(ISNA(MATCH(D2704,ca_name,0)),"Cause inconnue",IF(H2704="","Cause à compléter dans Paramètres",IF(OR(NOT(ISNUMBER(E2704)),N(E2704)&lt;=0,N(E2704)&gt;1440),"Durée invalide",IF(COUNTIFS(sj_date,A2704,sj_eq,B2704,sj_po,C2704)=0,"Pas de saisie journalière ce jour-là","OK")))))))))))</f>
        <v/>
      </c>
      <c r="J2704">
        <f>IF(OR(I2704="OK",I2704="Pas de saisie journalière ce jour-là"),E2704,0)</f>
        <v>0.0</v>
      </c>
      <c r="K2704">
        <f>IF(AND(J2704&gt;0,A2704&gt;=p_from,A2704&lt;=p_to),1,0)</f>
        <v>0.0</v>
      </c>
      <c r="L2704">
        <f>IF(AND(K2704=1,OR(pa_po="",C2704=pa_po),OR(pa_eq="",B2704=pa_eq)),1,0)</f>
        <v>0.0</v>
      </c>
    </row>
    <row r="2705">
      <c r="A2705" s="51" t="n"/>
      <c r="B2705" s="52" t="n"/>
      <c r="C2705" s="52" t="n"/>
      <c r="D2705" s="53" t="n"/>
      <c r="E2705" s="60" t="n"/>
      <c r="F2705" s="53" t="n"/>
      <c r="G2705" s="61" t="str">
        <f>IF(OR(COUNTA(A2705:E2705)=0,D2705=""),"",IFERROR(INDEX(ca_fam,MATCH(D2705,ca_name,0))&amp;"",""))</f>
        <v/>
      </c>
      <c r="H2705" s="58" t="str">
        <f>IF(OR(COUNTA(A2705:E2705)=0,D2705=""),"",IFERROR(INDEX(ca_type,MATCH(D2705,ca_name,0))&amp;"",""))</f>
        <v/>
      </c>
      <c r="I2705" s="58" t="str">
        <f>IF(COUNTA(A2705:E2705)=0,"",IF(N(A2705)&lt;=0,"Date manquante ou invalide",IF(B2705="","Équipe manquante",IF(ISNA(MATCH(B2705,eq_code,0)),"Équipe inconnue",IF(C2705="","Poste manquant",IF(ISNA(MATCH(C2705,po_code,0)),"Poste inconnu",IF(D2705="","Cause manquante",IF(ISNA(MATCH(D2705,ca_name,0)),"Cause inconnue",IF(H2705="","Cause à compléter dans Paramètres",IF(OR(NOT(ISNUMBER(E2705)),N(E2705)&lt;=0,N(E2705)&gt;1440),"Durée invalide",IF(COUNTIFS(sj_date,A2705,sj_eq,B2705,sj_po,C2705)=0,"Pas de saisie journalière ce jour-là","OK")))))))))))</f>
        <v/>
      </c>
      <c r="J2705">
        <f>IF(OR(I2705="OK",I2705="Pas de saisie journalière ce jour-là"),E2705,0)</f>
        <v>0.0</v>
      </c>
      <c r="K2705">
        <f>IF(AND(J2705&gt;0,A2705&gt;=p_from,A2705&lt;=p_to),1,0)</f>
        <v>0.0</v>
      </c>
      <c r="L2705">
        <f>IF(AND(K2705=1,OR(pa_po="",C2705=pa_po),OR(pa_eq="",B2705=pa_eq)),1,0)</f>
        <v>0.0</v>
      </c>
    </row>
    <row r="2706">
      <c r="A2706" s="51" t="n"/>
      <c r="B2706" s="52" t="n"/>
      <c r="C2706" s="52" t="n"/>
      <c r="D2706" s="53" t="n"/>
      <c r="E2706" s="60" t="n"/>
      <c r="F2706" s="53" t="n"/>
      <c r="G2706" s="61" t="str">
        <f>IF(OR(COUNTA(A2706:E2706)=0,D2706=""),"",IFERROR(INDEX(ca_fam,MATCH(D2706,ca_name,0))&amp;"",""))</f>
        <v/>
      </c>
      <c r="H2706" s="58" t="str">
        <f>IF(OR(COUNTA(A2706:E2706)=0,D2706=""),"",IFERROR(INDEX(ca_type,MATCH(D2706,ca_name,0))&amp;"",""))</f>
        <v/>
      </c>
      <c r="I2706" s="58" t="str">
        <f>IF(COUNTA(A2706:E2706)=0,"",IF(N(A2706)&lt;=0,"Date manquante ou invalide",IF(B2706="","Équipe manquante",IF(ISNA(MATCH(B2706,eq_code,0)),"Équipe inconnue",IF(C2706="","Poste manquant",IF(ISNA(MATCH(C2706,po_code,0)),"Poste inconnu",IF(D2706="","Cause manquante",IF(ISNA(MATCH(D2706,ca_name,0)),"Cause inconnue",IF(H2706="","Cause à compléter dans Paramètres",IF(OR(NOT(ISNUMBER(E2706)),N(E2706)&lt;=0,N(E2706)&gt;1440),"Durée invalide",IF(COUNTIFS(sj_date,A2706,sj_eq,B2706,sj_po,C2706)=0,"Pas de saisie journalière ce jour-là","OK")))))))))))</f>
        <v/>
      </c>
      <c r="J2706">
        <f>IF(OR(I2706="OK",I2706="Pas de saisie journalière ce jour-là"),E2706,0)</f>
        <v>0.0</v>
      </c>
      <c r="K2706">
        <f>IF(AND(J2706&gt;0,A2706&gt;=p_from,A2706&lt;=p_to),1,0)</f>
        <v>0.0</v>
      </c>
      <c r="L2706">
        <f>IF(AND(K2706=1,OR(pa_po="",C2706=pa_po),OR(pa_eq="",B2706=pa_eq)),1,0)</f>
        <v>0.0</v>
      </c>
    </row>
    <row r="2707">
      <c r="A2707" s="51" t="n"/>
      <c r="B2707" s="52" t="n"/>
      <c r="C2707" s="52" t="n"/>
      <c r="D2707" s="53" t="n"/>
      <c r="E2707" s="60" t="n"/>
      <c r="F2707" s="53" t="n"/>
      <c r="G2707" s="61" t="str">
        <f>IF(OR(COUNTA(A2707:E2707)=0,D2707=""),"",IFERROR(INDEX(ca_fam,MATCH(D2707,ca_name,0))&amp;"",""))</f>
        <v/>
      </c>
      <c r="H2707" s="58" t="str">
        <f>IF(OR(COUNTA(A2707:E2707)=0,D2707=""),"",IFERROR(INDEX(ca_type,MATCH(D2707,ca_name,0))&amp;"",""))</f>
        <v/>
      </c>
      <c r="I2707" s="58" t="str">
        <f>IF(COUNTA(A2707:E2707)=0,"",IF(N(A2707)&lt;=0,"Date manquante ou invalide",IF(B2707="","Équipe manquante",IF(ISNA(MATCH(B2707,eq_code,0)),"Équipe inconnue",IF(C2707="","Poste manquant",IF(ISNA(MATCH(C2707,po_code,0)),"Poste inconnu",IF(D2707="","Cause manquante",IF(ISNA(MATCH(D2707,ca_name,0)),"Cause inconnue",IF(H2707="","Cause à compléter dans Paramètres",IF(OR(NOT(ISNUMBER(E2707)),N(E2707)&lt;=0,N(E2707)&gt;1440),"Durée invalide",IF(COUNTIFS(sj_date,A2707,sj_eq,B2707,sj_po,C2707)=0,"Pas de saisie journalière ce jour-là","OK")))))))))))</f>
        <v/>
      </c>
      <c r="J2707">
        <f>IF(OR(I2707="OK",I2707="Pas de saisie journalière ce jour-là"),E2707,0)</f>
        <v>0.0</v>
      </c>
      <c r="K2707">
        <f>IF(AND(J2707&gt;0,A2707&gt;=p_from,A2707&lt;=p_to),1,0)</f>
        <v>0.0</v>
      </c>
      <c r="L2707">
        <f>IF(AND(K2707=1,OR(pa_po="",C2707=pa_po),OR(pa_eq="",B2707=pa_eq)),1,0)</f>
        <v>0.0</v>
      </c>
    </row>
    <row r="2708">
      <c r="A2708" s="51" t="n"/>
      <c r="B2708" s="52" t="n"/>
      <c r="C2708" s="52" t="n"/>
      <c r="D2708" s="53" t="n"/>
      <c r="E2708" s="60" t="n"/>
      <c r="F2708" s="53" t="n"/>
      <c r="G2708" s="61" t="str">
        <f>IF(OR(COUNTA(A2708:E2708)=0,D2708=""),"",IFERROR(INDEX(ca_fam,MATCH(D2708,ca_name,0))&amp;"",""))</f>
        <v/>
      </c>
      <c r="H2708" s="58" t="str">
        <f>IF(OR(COUNTA(A2708:E2708)=0,D2708=""),"",IFERROR(INDEX(ca_type,MATCH(D2708,ca_name,0))&amp;"",""))</f>
        <v/>
      </c>
      <c r="I2708" s="58" t="str">
        <f>IF(COUNTA(A2708:E2708)=0,"",IF(N(A2708)&lt;=0,"Date manquante ou invalide",IF(B2708="","Équipe manquante",IF(ISNA(MATCH(B2708,eq_code,0)),"Équipe inconnue",IF(C2708="","Poste manquant",IF(ISNA(MATCH(C2708,po_code,0)),"Poste inconnu",IF(D2708="","Cause manquante",IF(ISNA(MATCH(D2708,ca_name,0)),"Cause inconnue",IF(H2708="","Cause à compléter dans Paramètres",IF(OR(NOT(ISNUMBER(E2708)),N(E2708)&lt;=0,N(E2708)&gt;1440),"Durée invalide",IF(COUNTIFS(sj_date,A2708,sj_eq,B2708,sj_po,C2708)=0,"Pas de saisie journalière ce jour-là","OK")))))))))))</f>
        <v/>
      </c>
      <c r="J2708">
        <f>IF(OR(I2708="OK",I2708="Pas de saisie journalière ce jour-là"),E2708,0)</f>
        <v>0.0</v>
      </c>
      <c r="K2708">
        <f>IF(AND(J2708&gt;0,A2708&gt;=p_from,A2708&lt;=p_to),1,0)</f>
        <v>0.0</v>
      </c>
      <c r="L2708">
        <f>IF(AND(K2708=1,OR(pa_po="",C2708=pa_po),OR(pa_eq="",B2708=pa_eq)),1,0)</f>
        <v>0.0</v>
      </c>
    </row>
    <row r="2709">
      <c r="A2709" s="51" t="n"/>
      <c r="B2709" s="52" t="n"/>
      <c r="C2709" s="52" t="n"/>
      <c r="D2709" s="53" t="n"/>
      <c r="E2709" s="60" t="n"/>
      <c r="F2709" s="53" t="n"/>
      <c r="G2709" s="61" t="str">
        <f>IF(OR(COUNTA(A2709:E2709)=0,D2709=""),"",IFERROR(INDEX(ca_fam,MATCH(D2709,ca_name,0))&amp;"",""))</f>
        <v/>
      </c>
      <c r="H2709" s="58" t="str">
        <f>IF(OR(COUNTA(A2709:E2709)=0,D2709=""),"",IFERROR(INDEX(ca_type,MATCH(D2709,ca_name,0))&amp;"",""))</f>
        <v/>
      </c>
      <c r="I2709" s="58" t="str">
        <f>IF(COUNTA(A2709:E2709)=0,"",IF(N(A2709)&lt;=0,"Date manquante ou invalide",IF(B2709="","Équipe manquante",IF(ISNA(MATCH(B2709,eq_code,0)),"Équipe inconnue",IF(C2709="","Poste manquant",IF(ISNA(MATCH(C2709,po_code,0)),"Poste inconnu",IF(D2709="","Cause manquante",IF(ISNA(MATCH(D2709,ca_name,0)),"Cause inconnue",IF(H2709="","Cause à compléter dans Paramètres",IF(OR(NOT(ISNUMBER(E2709)),N(E2709)&lt;=0,N(E2709)&gt;1440),"Durée invalide",IF(COUNTIFS(sj_date,A2709,sj_eq,B2709,sj_po,C2709)=0,"Pas de saisie journalière ce jour-là","OK")))))))))))</f>
        <v/>
      </c>
      <c r="J2709">
        <f>IF(OR(I2709="OK",I2709="Pas de saisie journalière ce jour-là"),E2709,0)</f>
        <v>0.0</v>
      </c>
      <c r="K2709">
        <f>IF(AND(J2709&gt;0,A2709&gt;=p_from,A2709&lt;=p_to),1,0)</f>
        <v>0.0</v>
      </c>
      <c r="L2709">
        <f>IF(AND(K2709=1,OR(pa_po="",C2709=pa_po),OR(pa_eq="",B2709=pa_eq)),1,0)</f>
        <v>0.0</v>
      </c>
    </row>
    <row r="2710">
      <c r="A2710" s="51" t="n"/>
      <c r="B2710" s="52" t="n"/>
      <c r="C2710" s="52" t="n"/>
      <c r="D2710" s="53" t="n"/>
      <c r="E2710" s="60" t="n"/>
      <c r="F2710" s="53" t="n"/>
      <c r="G2710" s="61" t="str">
        <f>IF(OR(COUNTA(A2710:E2710)=0,D2710=""),"",IFERROR(INDEX(ca_fam,MATCH(D2710,ca_name,0))&amp;"",""))</f>
        <v/>
      </c>
      <c r="H2710" s="58" t="str">
        <f>IF(OR(COUNTA(A2710:E2710)=0,D2710=""),"",IFERROR(INDEX(ca_type,MATCH(D2710,ca_name,0))&amp;"",""))</f>
        <v/>
      </c>
      <c r="I2710" s="58" t="str">
        <f>IF(COUNTA(A2710:E2710)=0,"",IF(N(A2710)&lt;=0,"Date manquante ou invalide",IF(B2710="","Équipe manquante",IF(ISNA(MATCH(B2710,eq_code,0)),"Équipe inconnue",IF(C2710="","Poste manquant",IF(ISNA(MATCH(C2710,po_code,0)),"Poste inconnu",IF(D2710="","Cause manquante",IF(ISNA(MATCH(D2710,ca_name,0)),"Cause inconnue",IF(H2710="","Cause à compléter dans Paramètres",IF(OR(NOT(ISNUMBER(E2710)),N(E2710)&lt;=0,N(E2710)&gt;1440),"Durée invalide",IF(COUNTIFS(sj_date,A2710,sj_eq,B2710,sj_po,C2710)=0,"Pas de saisie journalière ce jour-là","OK")))))))))))</f>
        <v/>
      </c>
      <c r="J2710">
        <f>IF(OR(I2710="OK",I2710="Pas de saisie journalière ce jour-là"),E2710,0)</f>
        <v>0.0</v>
      </c>
      <c r="K2710">
        <f>IF(AND(J2710&gt;0,A2710&gt;=p_from,A2710&lt;=p_to),1,0)</f>
        <v>0.0</v>
      </c>
      <c r="L2710">
        <f>IF(AND(K2710=1,OR(pa_po="",C2710=pa_po),OR(pa_eq="",B2710=pa_eq)),1,0)</f>
        <v>0.0</v>
      </c>
    </row>
    <row r="2711">
      <c r="A2711" s="51" t="n"/>
      <c r="B2711" s="52" t="n"/>
      <c r="C2711" s="52" t="n"/>
      <c r="D2711" s="53" t="n"/>
      <c r="E2711" s="60" t="n"/>
      <c r="F2711" s="53" t="n"/>
      <c r="G2711" s="61" t="str">
        <f>IF(OR(COUNTA(A2711:E2711)=0,D2711=""),"",IFERROR(INDEX(ca_fam,MATCH(D2711,ca_name,0))&amp;"",""))</f>
        <v/>
      </c>
      <c r="H2711" s="58" t="str">
        <f>IF(OR(COUNTA(A2711:E2711)=0,D2711=""),"",IFERROR(INDEX(ca_type,MATCH(D2711,ca_name,0))&amp;"",""))</f>
        <v/>
      </c>
      <c r="I2711" s="58" t="str">
        <f>IF(COUNTA(A2711:E2711)=0,"",IF(N(A2711)&lt;=0,"Date manquante ou invalide",IF(B2711="","Équipe manquante",IF(ISNA(MATCH(B2711,eq_code,0)),"Équipe inconnue",IF(C2711="","Poste manquant",IF(ISNA(MATCH(C2711,po_code,0)),"Poste inconnu",IF(D2711="","Cause manquante",IF(ISNA(MATCH(D2711,ca_name,0)),"Cause inconnue",IF(H2711="","Cause à compléter dans Paramètres",IF(OR(NOT(ISNUMBER(E2711)),N(E2711)&lt;=0,N(E2711)&gt;1440),"Durée invalide",IF(COUNTIFS(sj_date,A2711,sj_eq,B2711,sj_po,C2711)=0,"Pas de saisie journalière ce jour-là","OK")))))))))))</f>
        <v/>
      </c>
      <c r="J2711">
        <f>IF(OR(I2711="OK",I2711="Pas de saisie journalière ce jour-là"),E2711,0)</f>
        <v>0.0</v>
      </c>
      <c r="K2711">
        <f>IF(AND(J2711&gt;0,A2711&gt;=p_from,A2711&lt;=p_to),1,0)</f>
        <v>0.0</v>
      </c>
      <c r="L2711">
        <f>IF(AND(K2711=1,OR(pa_po="",C2711=pa_po),OR(pa_eq="",B2711=pa_eq)),1,0)</f>
        <v>0.0</v>
      </c>
    </row>
    <row r="2712">
      <c r="A2712" s="51" t="n"/>
      <c r="B2712" s="52" t="n"/>
      <c r="C2712" s="52" t="n"/>
      <c r="D2712" s="53" t="n"/>
      <c r="E2712" s="60" t="n"/>
      <c r="F2712" s="53" t="n"/>
      <c r="G2712" s="61" t="str">
        <f>IF(OR(COUNTA(A2712:E2712)=0,D2712=""),"",IFERROR(INDEX(ca_fam,MATCH(D2712,ca_name,0))&amp;"",""))</f>
        <v/>
      </c>
      <c r="H2712" s="58" t="str">
        <f>IF(OR(COUNTA(A2712:E2712)=0,D2712=""),"",IFERROR(INDEX(ca_type,MATCH(D2712,ca_name,0))&amp;"",""))</f>
        <v/>
      </c>
      <c r="I2712" s="58" t="str">
        <f>IF(COUNTA(A2712:E2712)=0,"",IF(N(A2712)&lt;=0,"Date manquante ou invalide",IF(B2712="","Équipe manquante",IF(ISNA(MATCH(B2712,eq_code,0)),"Équipe inconnue",IF(C2712="","Poste manquant",IF(ISNA(MATCH(C2712,po_code,0)),"Poste inconnu",IF(D2712="","Cause manquante",IF(ISNA(MATCH(D2712,ca_name,0)),"Cause inconnue",IF(H2712="","Cause à compléter dans Paramètres",IF(OR(NOT(ISNUMBER(E2712)),N(E2712)&lt;=0,N(E2712)&gt;1440),"Durée invalide",IF(COUNTIFS(sj_date,A2712,sj_eq,B2712,sj_po,C2712)=0,"Pas de saisie journalière ce jour-là","OK")))))))))))</f>
        <v/>
      </c>
      <c r="J2712">
        <f>IF(OR(I2712="OK",I2712="Pas de saisie journalière ce jour-là"),E2712,0)</f>
        <v>0.0</v>
      </c>
      <c r="K2712">
        <f>IF(AND(J2712&gt;0,A2712&gt;=p_from,A2712&lt;=p_to),1,0)</f>
        <v>0.0</v>
      </c>
      <c r="L2712">
        <f>IF(AND(K2712=1,OR(pa_po="",C2712=pa_po),OR(pa_eq="",B2712=pa_eq)),1,0)</f>
        <v>0.0</v>
      </c>
    </row>
    <row r="2713">
      <c r="A2713" s="51" t="n"/>
      <c r="B2713" s="52" t="n"/>
      <c r="C2713" s="52" t="n"/>
      <c r="D2713" s="53" t="n"/>
      <c r="E2713" s="60" t="n"/>
      <c r="F2713" s="53" t="n"/>
      <c r="G2713" s="61" t="str">
        <f>IF(OR(COUNTA(A2713:E2713)=0,D2713=""),"",IFERROR(INDEX(ca_fam,MATCH(D2713,ca_name,0))&amp;"",""))</f>
        <v/>
      </c>
      <c r="H2713" s="58" t="str">
        <f>IF(OR(COUNTA(A2713:E2713)=0,D2713=""),"",IFERROR(INDEX(ca_type,MATCH(D2713,ca_name,0))&amp;"",""))</f>
        <v/>
      </c>
      <c r="I2713" s="58" t="str">
        <f>IF(COUNTA(A2713:E2713)=0,"",IF(N(A2713)&lt;=0,"Date manquante ou invalide",IF(B2713="","Équipe manquante",IF(ISNA(MATCH(B2713,eq_code,0)),"Équipe inconnue",IF(C2713="","Poste manquant",IF(ISNA(MATCH(C2713,po_code,0)),"Poste inconnu",IF(D2713="","Cause manquante",IF(ISNA(MATCH(D2713,ca_name,0)),"Cause inconnue",IF(H2713="","Cause à compléter dans Paramètres",IF(OR(NOT(ISNUMBER(E2713)),N(E2713)&lt;=0,N(E2713)&gt;1440),"Durée invalide",IF(COUNTIFS(sj_date,A2713,sj_eq,B2713,sj_po,C2713)=0,"Pas de saisie journalière ce jour-là","OK")))))))))))</f>
        <v/>
      </c>
      <c r="J2713">
        <f>IF(OR(I2713="OK",I2713="Pas de saisie journalière ce jour-là"),E2713,0)</f>
        <v>0.0</v>
      </c>
      <c r="K2713">
        <f>IF(AND(J2713&gt;0,A2713&gt;=p_from,A2713&lt;=p_to),1,0)</f>
        <v>0.0</v>
      </c>
      <c r="L2713">
        <f>IF(AND(K2713=1,OR(pa_po="",C2713=pa_po),OR(pa_eq="",B2713=pa_eq)),1,0)</f>
        <v>0.0</v>
      </c>
    </row>
    <row r="2714">
      <c r="A2714" s="51" t="n"/>
      <c r="B2714" s="52" t="n"/>
      <c r="C2714" s="52" t="n"/>
      <c r="D2714" s="53" t="n"/>
      <c r="E2714" s="60" t="n"/>
      <c r="F2714" s="53" t="n"/>
      <c r="G2714" s="61" t="str">
        <f>IF(OR(COUNTA(A2714:E2714)=0,D2714=""),"",IFERROR(INDEX(ca_fam,MATCH(D2714,ca_name,0))&amp;"",""))</f>
        <v/>
      </c>
      <c r="H2714" s="58" t="str">
        <f>IF(OR(COUNTA(A2714:E2714)=0,D2714=""),"",IFERROR(INDEX(ca_type,MATCH(D2714,ca_name,0))&amp;"",""))</f>
        <v/>
      </c>
      <c r="I2714" s="58" t="str">
        <f>IF(COUNTA(A2714:E2714)=0,"",IF(N(A2714)&lt;=0,"Date manquante ou invalide",IF(B2714="","Équipe manquante",IF(ISNA(MATCH(B2714,eq_code,0)),"Équipe inconnue",IF(C2714="","Poste manquant",IF(ISNA(MATCH(C2714,po_code,0)),"Poste inconnu",IF(D2714="","Cause manquante",IF(ISNA(MATCH(D2714,ca_name,0)),"Cause inconnue",IF(H2714="","Cause à compléter dans Paramètres",IF(OR(NOT(ISNUMBER(E2714)),N(E2714)&lt;=0,N(E2714)&gt;1440),"Durée invalide",IF(COUNTIFS(sj_date,A2714,sj_eq,B2714,sj_po,C2714)=0,"Pas de saisie journalière ce jour-là","OK")))))))))))</f>
        <v/>
      </c>
      <c r="J2714">
        <f>IF(OR(I2714="OK",I2714="Pas de saisie journalière ce jour-là"),E2714,0)</f>
        <v>0.0</v>
      </c>
      <c r="K2714">
        <f>IF(AND(J2714&gt;0,A2714&gt;=p_from,A2714&lt;=p_to),1,0)</f>
        <v>0.0</v>
      </c>
      <c r="L2714">
        <f>IF(AND(K2714=1,OR(pa_po="",C2714=pa_po),OR(pa_eq="",B2714=pa_eq)),1,0)</f>
        <v>0.0</v>
      </c>
    </row>
    <row r="2715">
      <c r="A2715" s="51" t="n"/>
      <c r="B2715" s="52" t="n"/>
      <c r="C2715" s="52" t="n"/>
      <c r="D2715" s="53" t="n"/>
      <c r="E2715" s="60" t="n"/>
      <c r="F2715" s="53" t="n"/>
      <c r="G2715" s="61" t="str">
        <f>IF(OR(COUNTA(A2715:E2715)=0,D2715=""),"",IFERROR(INDEX(ca_fam,MATCH(D2715,ca_name,0))&amp;"",""))</f>
        <v/>
      </c>
      <c r="H2715" s="58" t="str">
        <f>IF(OR(COUNTA(A2715:E2715)=0,D2715=""),"",IFERROR(INDEX(ca_type,MATCH(D2715,ca_name,0))&amp;"",""))</f>
        <v/>
      </c>
      <c r="I2715" s="58" t="str">
        <f>IF(COUNTA(A2715:E2715)=0,"",IF(N(A2715)&lt;=0,"Date manquante ou invalide",IF(B2715="","Équipe manquante",IF(ISNA(MATCH(B2715,eq_code,0)),"Équipe inconnue",IF(C2715="","Poste manquant",IF(ISNA(MATCH(C2715,po_code,0)),"Poste inconnu",IF(D2715="","Cause manquante",IF(ISNA(MATCH(D2715,ca_name,0)),"Cause inconnue",IF(H2715="","Cause à compléter dans Paramètres",IF(OR(NOT(ISNUMBER(E2715)),N(E2715)&lt;=0,N(E2715)&gt;1440),"Durée invalide",IF(COUNTIFS(sj_date,A2715,sj_eq,B2715,sj_po,C2715)=0,"Pas de saisie journalière ce jour-là","OK")))))))))))</f>
        <v/>
      </c>
      <c r="J2715">
        <f>IF(OR(I2715="OK",I2715="Pas de saisie journalière ce jour-là"),E2715,0)</f>
        <v>0.0</v>
      </c>
      <c r="K2715">
        <f>IF(AND(J2715&gt;0,A2715&gt;=p_from,A2715&lt;=p_to),1,0)</f>
        <v>0.0</v>
      </c>
      <c r="L2715">
        <f>IF(AND(K2715=1,OR(pa_po="",C2715=pa_po),OR(pa_eq="",B2715=pa_eq)),1,0)</f>
        <v>0.0</v>
      </c>
    </row>
    <row r="2716">
      <c r="A2716" s="51" t="n"/>
      <c r="B2716" s="52" t="n"/>
      <c r="C2716" s="52" t="n"/>
      <c r="D2716" s="53" t="n"/>
      <c r="E2716" s="60" t="n"/>
      <c r="F2716" s="53" t="n"/>
      <c r="G2716" s="61" t="str">
        <f>IF(OR(COUNTA(A2716:E2716)=0,D2716=""),"",IFERROR(INDEX(ca_fam,MATCH(D2716,ca_name,0))&amp;"",""))</f>
        <v/>
      </c>
      <c r="H2716" s="58" t="str">
        <f>IF(OR(COUNTA(A2716:E2716)=0,D2716=""),"",IFERROR(INDEX(ca_type,MATCH(D2716,ca_name,0))&amp;"",""))</f>
        <v/>
      </c>
      <c r="I2716" s="58" t="str">
        <f>IF(COUNTA(A2716:E2716)=0,"",IF(N(A2716)&lt;=0,"Date manquante ou invalide",IF(B2716="","Équipe manquante",IF(ISNA(MATCH(B2716,eq_code,0)),"Équipe inconnue",IF(C2716="","Poste manquant",IF(ISNA(MATCH(C2716,po_code,0)),"Poste inconnu",IF(D2716="","Cause manquante",IF(ISNA(MATCH(D2716,ca_name,0)),"Cause inconnue",IF(H2716="","Cause à compléter dans Paramètres",IF(OR(NOT(ISNUMBER(E2716)),N(E2716)&lt;=0,N(E2716)&gt;1440),"Durée invalide",IF(COUNTIFS(sj_date,A2716,sj_eq,B2716,sj_po,C2716)=0,"Pas de saisie journalière ce jour-là","OK")))))))))))</f>
        <v/>
      </c>
      <c r="J2716">
        <f>IF(OR(I2716="OK",I2716="Pas de saisie journalière ce jour-là"),E2716,0)</f>
        <v>0.0</v>
      </c>
      <c r="K2716">
        <f>IF(AND(J2716&gt;0,A2716&gt;=p_from,A2716&lt;=p_to),1,0)</f>
        <v>0.0</v>
      </c>
      <c r="L2716">
        <f>IF(AND(K2716=1,OR(pa_po="",C2716=pa_po),OR(pa_eq="",B2716=pa_eq)),1,0)</f>
        <v>0.0</v>
      </c>
    </row>
    <row r="2717">
      <c r="A2717" s="51" t="n"/>
      <c r="B2717" s="52" t="n"/>
      <c r="C2717" s="52" t="n"/>
      <c r="D2717" s="53" t="n"/>
      <c r="E2717" s="60" t="n"/>
      <c r="F2717" s="53" t="n"/>
      <c r="G2717" s="61" t="str">
        <f>IF(OR(COUNTA(A2717:E2717)=0,D2717=""),"",IFERROR(INDEX(ca_fam,MATCH(D2717,ca_name,0))&amp;"",""))</f>
        <v/>
      </c>
      <c r="H2717" s="58" t="str">
        <f>IF(OR(COUNTA(A2717:E2717)=0,D2717=""),"",IFERROR(INDEX(ca_type,MATCH(D2717,ca_name,0))&amp;"",""))</f>
        <v/>
      </c>
      <c r="I2717" s="58" t="str">
        <f>IF(COUNTA(A2717:E2717)=0,"",IF(N(A2717)&lt;=0,"Date manquante ou invalide",IF(B2717="","Équipe manquante",IF(ISNA(MATCH(B2717,eq_code,0)),"Équipe inconnue",IF(C2717="","Poste manquant",IF(ISNA(MATCH(C2717,po_code,0)),"Poste inconnu",IF(D2717="","Cause manquante",IF(ISNA(MATCH(D2717,ca_name,0)),"Cause inconnue",IF(H2717="","Cause à compléter dans Paramètres",IF(OR(NOT(ISNUMBER(E2717)),N(E2717)&lt;=0,N(E2717)&gt;1440),"Durée invalide",IF(COUNTIFS(sj_date,A2717,sj_eq,B2717,sj_po,C2717)=0,"Pas de saisie journalière ce jour-là","OK")))))))))))</f>
        <v/>
      </c>
      <c r="J2717">
        <f>IF(OR(I2717="OK",I2717="Pas de saisie journalière ce jour-là"),E2717,0)</f>
        <v>0.0</v>
      </c>
      <c r="K2717">
        <f>IF(AND(J2717&gt;0,A2717&gt;=p_from,A2717&lt;=p_to),1,0)</f>
        <v>0.0</v>
      </c>
      <c r="L2717">
        <f>IF(AND(K2717=1,OR(pa_po="",C2717=pa_po),OR(pa_eq="",B2717=pa_eq)),1,0)</f>
        <v>0.0</v>
      </c>
    </row>
    <row r="2718">
      <c r="A2718" s="51" t="n"/>
      <c r="B2718" s="52" t="n"/>
      <c r="C2718" s="52" t="n"/>
      <c r="D2718" s="53" t="n"/>
      <c r="E2718" s="60" t="n"/>
      <c r="F2718" s="53" t="n"/>
      <c r="G2718" s="61" t="str">
        <f>IF(OR(COUNTA(A2718:E2718)=0,D2718=""),"",IFERROR(INDEX(ca_fam,MATCH(D2718,ca_name,0))&amp;"",""))</f>
        <v/>
      </c>
      <c r="H2718" s="58" t="str">
        <f>IF(OR(COUNTA(A2718:E2718)=0,D2718=""),"",IFERROR(INDEX(ca_type,MATCH(D2718,ca_name,0))&amp;"",""))</f>
        <v/>
      </c>
      <c r="I2718" s="58" t="str">
        <f>IF(COUNTA(A2718:E2718)=0,"",IF(N(A2718)&lt;=0,"Date manquante ou invalide",IF(B2718="","Équipe manquante",IF(ISNA(MATCH(B2718,eq_code,0)),"Équipe inconnue",IF(C2718="","Poste manquant",IF(ISNA(MATCH(C2718,po_code,0)),"Poste inconnu",IF(D2718="","Cause manquante",IF(ISNA(MATCH(D2718,ca_name,0)),"Cause inconnue",IF(H2718="","Cause à compléter dans Paramètres",IF(OR(NOT(ISNUMBER(E2718)),N(E2718)&lt;=0,N(E2718)&gt;1440),"Durée invalide",IF(COUNTIFS(sj_date,A2718,sj_eq,B2718,sj_po,C2718)=0,"Pas de saisie journalière ce jour-là","OK")))))))))))</f>
        <v/>
      </c>
      <c r="J2718">
        <f>IF(OR(I2718="OK",I2718="Pas de saisie journalière ce jour-là"),E2718,0)</f>
        <v>0.0</v>
      </c>
      <c r="K2718">
        <f>IF(AND(J2718&gt;0,A2718&gt;=p_from,A2718&lt;=p_to),1,0)</f>
        <v>0.0</v>
      </c>
      <c r="L2718">
        <f>IF(AND(K2718=1,OR(pa_po="",C2718=pa_po),OR(pa_eq="",B2718=pa_eq)),1,0)</f>
        <v>0.0</v>
      </c>
    </row>
    <row r="2719">
      <c r="A2719" s="51" t="n"/>
      <c r="B2719" s="52" t="n"/>
      <c r="C2719" s="52" t="n"/>
      <c r="D2719" s="53" t="n"/>
      <c r="E2719" s="60" t="n"/>
      <c r="F2719" s="53" t="n"/>
      <c r="G2719" s="61" t="str">
        <f>IF(OR(COUNTA(A2719:E2719)=0,D2719=""),"",IFERROR(INDEX(ca_fam,MATCH(D2719,ca_name,0))&amp;"",""))</f>
        <v/>
      </c>
      <c r="H2719" s="58" t="str">
        <f>IF(OR(COUNTA(A2719:E2719)=0,D2719=""),"",IFERROR(INDEX(ca_type,MATCH(D2719,ca_name,0))&amp;"",""))</f>
        <v/>
      </c>
      <c r="I2719" s="58" t="str">
        <f>IF(COUNTA(A2719:E2719)=0,"",IF(N(A2719)&lt;=0,"Date manquante ou invalide",IF(B2719="","Équipe manquante",IF(ISNA(MATCH(B2719,eq_code,0)),"Équipe inconnue",IF(C2719="","Poste manquant",IF(ISNA(MATCH(C2719,po_code,0)),"Poste inconnu",IF(D2719="","Cause manquante",IF(ISNA(MATCH(D2719,ca_name,0)),"Cause inconnue",IF(H2719="","Cause à compléter dans Paramètres",IF(OR(NOT(ISNUMBER(E2719)),N(E2719)&lt;=0,N(E2719)&gt;1440),"Durée invalide",IF(COUNTIFS(sj_date,A2719,sj_eq,B2719,sj_po,C2719)=0,"Pas de saisie journalière ce jour-là","OK")))))))))))</f>
        <v/>
      </c>
      <c r="J2719">
        <f>IF(OR(I2719="OK",I2719="Pas de saisie journalière ce jour-là"),E2719,0)</f>
        <v>0.0</v>
      </c>
      <c r="K2719">
        <f>IF(AND(J2719&gt;0,A2719&gt;=p_from,A2719&lt;=p_to),1,0)</f>
        <v>0.0</v>
      </c>
      <c r="L2719">
        <f>IF(AND(K2719=1,OR(pa_po="",C2719=pa_po),OR(pa_eq="",B2719=pa_eq)),1,0)</f>
        <v>0.0</v>
      </c>
    </row>
    <row r="2720">
      <c r="A2720" s="51" t="n"/>
      <c r="B2720" s="52" t="n"/>
      <c r="C2720" s="52" t="n"/>
      <c r="D2720" s="53" t="n"/>
      <c r="E2720" s="60" t="n"/>
      <c r="F2720" s="53" t="n"/>
      <c r="G2720" s="61" t="str">
        <f>IF(OR(COUNTA(A2720:E2720)=0,D2720=""),"",IFERROR(INDEX(ca_fam,MATCH(D2720,ca_name,0))&amp;"",""))</f>
        <v/>
      </c>
      <c r="H2720" s="58" t="str">
        <f>IF(OR(COUNTA(A2720:E2720)=0,D2720=""),"",IFERROR(INDEX(ca_type,MATCH(D2720,ca_name,0))&amp;"",""))</f>
        <v/>
      </c>
      <c r="I2720" s="58" t="str">
        <f>IF(COUNTA(A2720:E2720)=0,"",IF(N(A2720)&lt;=0,"Date manquante ou invalide",IF(B2720="","Équipe manquante",IF(ISNA(MATCH(B2720,eq_code,0)),"Équipe inconnue",IF(C2720="","Poste manquant",IF(ISNA(MATCH(C2720,po_code,0)),"Poste inconnu",IF(D2720="","Cause manquante",IF(ISNA(MATCH(D2720,ca_name,0)),"Cause inconnue",IF(H2720="","Cause à compléter dans Paramètres",IF(OR(NOT(ISNUMBER(E2720)),N(E2720)&lt;=0,N(E2720)&gt;1440),"Durée invalide",IF(COUNTIFS(sj_date,A2720,sj_eq,B2720,sj_po,C2720)=0,"Pas de saisie journalière ce jour-là","OK")))))))))))</f>
        <v/>
      </c>
      <c r="J2720">
        <f>IF(OR(I2720="OK",I2720="Pas de saisie journalière ce jour-là"),E2720,0)</f>
        <v>0.0</v>
      </c>
      <c r="K2720">
        <f>IF(AND(J2720&gt;0,A2720&gt;=p_from,A2720&lt;=p_to),1,0)</f>
        <v>0.0</v>
      </c>
      <c r="L2720">
        <f>IF(AND(K2720=1,OR(pa_po="",C2720=pa_po),OR(pa_eq="",B2720=pa_eq)),1,0)</f>
        <v>0.0</v>
      </c>
    </row>
    <row r="2721">
      <c r="A2721" s="51" t="n"/>
      <c r="B2721" s="52" t="n"/>
      <c r="C2721" s="52" t="n"/>
      <c r="D2721" s="53" t="n"/>
      <c r="E2721" s="60" t="n"/>
      <c r="F2721" s="53" t="n"/>
      <c r="G2721" s="61" t="str">
        <f>IF(OR(COUNTA(A2721:E2721)=0,D2721=""),"",IFERROR(INDEX(ca_fam,MATCH(D2721,ca_name,0))&amp;"",""))</f>
        <v/>
      </c>
      <c r="H2721" s="58" t="str">
        <f>IF(OR(COUNTA(A2721:E2721)=0,D2721=""),"",IFERROR(INDEX(ca_type,MATCH(D2721,ca_name,0))&amp;"",""))</f>
        <v/>
      </c>
      <c r="I2721" s="58" t="str">
        <f>IF(COUNTA(A2721:E2721)=0,"",IF(N(A2721)&lt;=0,"Date manquante ou invalide",IF(B2721="","Équipe manquante",IF(ISNA(MATCH(B2721,eq_code,0)),"Équipe inconnue",IF(C2721="","Poste manquant",IF(ISNA(MATCH(C2721,po_code,0)),"Poste inconnu",IF(D2721="","Cause manquante",IF(ISNA(MATCH(D2721,ca_name,0)),"Cause inconnue",IF(H2721="","Cause à compléter dans Paramètres",IF(OR(NOT(ISNUMBER(E2721)),N(E2721)&lt;=0,N(E2721)&gt;1440),"Durée invalide",IF(COUNTIFS(sj_date,A2721,sj_eq,B2721,sj_po,C2721)=0,"Pas de saisie journalière ce jour-là","OK")))))))))))</f>
        <v/>
      </c>
      <c r="J2721">
        <f>IF(OR(I2721="OK",I2721="Pas de saisie journalière ce jour-là"),E2721,0)</f>
        <v>0.0</v>
      </c>
      <c r="K2721">
        <f>IF(AND(J2721&gt;0,A2721&gt;=p_from,A2721&lt;=p_to),1,0)</f>
        <v>0.0</v>
      </c>
      <c r="L2721">
        <f>IF(AND(K2721=1,OR(pa_po="",C2721=pa_po),OR(pa_eq="",B2721=pa_eq)),1,0)</f>
        <v>0.0</v>
      </c>
    </row>
    <row r="2722">
      <c r="A2722" s="51" t="n"/>
      <c r="B2722" s="52" t="n"/>
      <c r="C2722" s="52" t="n"/>
      <c r="D2722" s="53" t="n"/>
      <c r="E2722" s="60" t="n"/>
      <c r="F2722" s="53" t="n"/>
      <c r="G2722" s="61" t="str">
        <f>IF(OR(COUNTA(A2722:E2722)=0,D2722=""),"",IFERROR(INDEX(ca_fam,MATCH(D2722,ca_name,0))&amp;"",""))</f>
        <v/>
      </c>
      <c r="H2722" s="58" t="str">
        <f>IF(OR(COUNTA(A2722:E2722)=0,D2722=""),"",IFERROR(INDEX(ca_type,MATCH(D2722,ca_name,0))&amp;"",""))</f>
        <v/>
      </c>
      <c r="I2722" s="58" t="str">
        <f>IF(COUNTA(A2722:E2722)=0,"",IF(N(A2722)&lt;=0,"Date manquante ou invalide",IF(B2722="","Équipe manquante",IF(ISNA(MATCH(B2722,eq_code,0)),"Équipe inconnue",IF(C2722="","Poste manquant",IF(ISNA(MATCH(C2722,po_code,0)),"Poste inconnu",IF(D2722="","Cause manquante",IF(ISNA(MATCH(D2722,ca_name,0)),"Cause inconnue",IF(H2722="","Cause à compléter dans Paramètres",IF(OR(NOT(ISNUMBER(E2722)),N(E2722)&lt;=0,N(E2722)&gt;1440),"Durée invalide",IF(COUNTIFS(sj_date,A2722,sj_eq,B2722,sj_po,C2722)=0,"Pas de saisie journalière ce jour-là","OK")))))))))))</f>
        <v/>
      </c>
      <c r="J2722">
        <f>IF(OR(I2722="OK",I2722="Pas de saisie journalière ce jour-là"),E2722,0)</f>
        <v>0.0</v>
      </c>
      <c r="K2722">
        <f>IF(AND(J2722&gt;0,A2722&gt;=p_from,A2722&lt;=p_to),1,0)</f>
        <v>0.0</v>
      </c>
      <c r="L2722">
        <f>IF(AND(K2722=1,OR(pa_po="",C2722=pa_po),OR(pa_eq="",B2722=pa_eq)),1,0)</f>
        <v>0.0</v>
      </c>
    </row>
    <row r="2723">
      <c r="A2723" s="51" t="n"/>
      <c r="B2723" s="52" t="n"/>
      <c r="C2723" s="52" t="n"/>
      <c r="D2723" s="53" t="n"/>
      <c r="E2723" s="60" t="n"/>
      <c r="F2723" s="53" t="n"/>
      <c r="G2723" s="61" t="str">
        <f>IF(OR(COUNTA(A2723:E2723)=0,D2723=""),"",IFERROR(INDEX(ca_fam,MATCH(D2723,ca_name,0))&amp;"",""))</f>
        <v/>
      </c>
      <c r="H2723" s="58" t="str">
        <f>IF(OR(COUNTA(A2723:E2723)=0,D2723=""),"",IFERROR(INDEX(ca_type,MATCH(D2723,ca_name,0))&amp;"",""))</f>
        <v/>
      </c>
      <c r="I2723" s="58" t="str">
        <f>IF(COUNTA(A2723:E2723)=0,"",IF(N(A2723)&lt;=0,"Date manquante ou invalide",IF(B2723="","Équipe manquante",IF(ISNA(MATCH(B2723,eq_code,0)),"Équipe inconnue",IF(C2723="","Poste manquant",IF(ISNA(MATCH(C2723,po_code,0)),"Poste inconnu",IF(D2723="","Cause manquante",IF(ISNA(MATCH(D2723,ca_name,0)),"Cause inconnue",IF(H2723="","Cause à compléter dans Paramètres",IF(OR(NOT(ISNUMBER(E2723)),N(E2723)&lt;=0,N(E2723)&gt;1440),"Durée invalide",IF(COUNTIFS(sj_date,A2723,sj_eq,B2723,sj_po,C2723)=0,"Pas de saisie journalière ce jour-là","OK")))))))))))</f>
        <v/>
      </c>
      <c r="J2723">
        <f>IF(OR(I2723="OK",I2723="Pas de saisie journalière ce jour-là"),E2723,0)</f>
        <v>0.0</v>
      </c>
      <c r="K2723">
        <f>IF(AND(J2723&gt;0,A2723&gt;=p_from,A2723&lt;=p_to),1,0)</f>
        <v>0.0</v>
      </c>
      <c r="L2723">
        <f>IF(AND(K2723=1,OR(pa_po="",C2723=pa_po),OR(pa_eq="",B2723=pa_eq)),1,0)</f>
        <v>0.0</v>
      </c>
    </row>
    <row r="2724">
      <c r="A2724" s="51" t="n"/>
      <c r="B2724" s="52" t="n"/>
      <c r="C2724" s="52" t="n"/>
      <c r="D2724" s="53" t="n"/>
      <c r="E2724" s="60" t="n"/>
      <c r="F2724" s="53" t="n"/>
      <c r="G2724" s="61" t="str">
        <f>IF(OR(COUNTA(A2724:E2724)=0,D2724=""),"",IFERROR(INDEX(ca_fam,MATCH(D2724,ca_name,0))&amp;"",""))</f>
        <v/>
      </c>
      <c r="H2724" s="58" t="str">
        <f>IF(OR(COUNTA(A2724:E2724)=0,D2724=""),"",IFERROR(INDEX(ca_type,MATCH(D2724,ca_name,0))&amp;"",""))</f>
        <v/>
      </c>
      <c r="I2724" s="58" t="str">
        <f>IF(COUNTA(A2724:E2724)=0,"",IF(N(A2724)&lt;=0,"Date manquante ou invalide",IF(B2724="","Équipe manquante",IF(ISNA(MATCH(B2724,eq_code,0)),"Équipe inconnue",IF(C2724="","Poste manquant",IF(ISNA(MATCH(C2724,po_code,0)),"Poste inconnu",IF(D2724="","Cause manquante",IF(ISNA(MATCH(D2724,ca_name,0)),"Cause inconnue",IF(H2724="","Cause à compléter dans Paramètres",IF(OR(NOT(ISNUMBER(E2724)),N(E2724)&lt;=0,N(E2724)&gt;1440),"Durée invalide",IF(COUNTIFS(sj_date,A2724,sj_eq,B2724,sj_po,C2724)=0,"Pas de saisie journalière ce jour-là","OK")))))))))))</f>
        <v/>
      </c>
      <c r="J2724">
        <f>IF(OR(I2724="OK",I2724="Pas de saisie journalière ce jour-là"),E2724,0)</f>
        <v>0.0</v>
      </c>
      <c r="K2724">
        <f>IF(AND(J2724&gt;0,A2724&gt;=p_from,A2724&lt;=p_to),1,0)</f>
        <v>0.0</v>
      </c>
      <c r="L2724">
        <f>IF(AND(K2724=1,OR(pa_po="",C2724=pa_po),OR(pa_eq="",B2724=pa_eq)),1,0)</f>
        <v>0.0</v>
      </c>
    </row>
    <row r="2725">
      <c r="A2725" s="51" t="n"/>
      <c r="B2725" s="52" t="n"/>
      <c r="C2725" s="52" t="n"/>
      <c r="D2725" s="53" t="n"/>
      <c r="E2725" s="60" t="n"/>
      <c r="F2725" s="53" t="n"/>
      <c r="G2725" s="61" t="str">
        <f>IF(OR(COUNTA(A2725:E2725)=0,D2725=""),"",IFERROR(INDEX(ca_fam,MATCH(D2725,ca_name,0))&amp;"",""))</f>
        <v/>
      </c>
      <c r="H2725" s="58" t="str">
        <f>IF(OR(COUNTA(A2725:E2725)=0,D2725=""),"",IFERROR(INDEX(ca_type,MATCH(D2725,ca_name,0))&amp;"",""))</f>
        <v/>
      </c>
      <c r="I2725" s="58" t="str">
        <f>IF(COUNTA(A2725:E2725)=0,"",IF(N(A2725)&lt;=0,"Date manquante ou invalide",IF(B2725="","Équipe manquante",IF(ISNA(MATCH(B2725,eq_code,0)),"Équipe inconnue",IF(C2725="","Poste manquant",IF(ISNA(MATCH(C2725,po_code,0)),"Poste inconnu",IF(D2725="","Cause manquante",IF(ISNA(MATCH(D2725,ca_name,0)),"Cause inconnue",IF(H2725="","Cause à compléter dans Paramètres",IF(OR(NOT(ISNUMBER(E2725)),N(E2725)&lt;=0,N(E2725)&gt;1440),"Durée invalide",IF(COUNTIFS(sj_date,A2725,sj_eq,B2725,sj_po,C2725)=0,"Pas de saisie journalière ce jour-là","OK")))))))))))</f>
        <v/>
      </c>
      <c r="J2725">
        <f>IF(OR(I2725="OK",I2725="Pas de saisie journalière ce jour-là"),E2725,0)</f>
        <v>0.0</v>
      </c>
      <c r="K2725">
        <f>IF(AND(J2725&gt;0,A2725&gt;=p_from,A2725&lt;=p_to),1,0)</f>
        <v>0.0</v>
      </c>
      <c r="L2725">
        <f>IF(AND(K2725=1,OR(pa_po="",C2725=pa_po),OR(pa_eq="",B2725=pa_eq)),1,0)</f>
        <v>0.0</v>
      </c>
    </row>
    <row r="2726">
      <c r="A2726" s="51" t="n"/>
      <c r="B2726" s="52" t="n"/>
      <c r="C2726" s="52" t="n"/>
      <c r="D2726" s="53" t="n"/>
      <c r="E2726" s="60" t="n"/>
      <c r="F2726" s="53" t="n"/>
      <c r="G2726" s="61" t="str">
        <f>IF(OR(COUNTA(A2726:E2726)=0,D2726=""),"",IFERROR(INDEX(ca_fam,MATCH(D2726,ca_name,0))&amp;"",""))</f>
        <v/>
      </c>
      <c r="H2726" s="58" t="str">
        <f>IF(OR(COUNTA(A2726:E2726)=0,D2726=""),"",IFERROR(INDEX(ca_type,MATCH(D2726,ca_name,0))&amp;"",""))</f>
        <v/>
      </c>
      <c r="I2726" s="58" t="str">
        <f>IF(COUNTA(A2726:E2726)=0,"",IF(N(A2726)&lt;=0,"Date manquante ou invalide",IF(B2726="","Équipe manquante",IF(ISNA(MATCH(B2726,eq_code,0)),"Équipe inconnue",IF(C2726="","Poste manquant",IF(ISNA(MATCH(C2726,po_code,0)),"Poste inconnu",IF(D2726="","Cause manquante",IF(ISNA(MATCH(D2726,ca_name,0)),"Cause inconnue",IF(H2726="","Cause à compléter dans Paramètres",IF(OR(NOT(ISNUMBER(E2726)),N(E2726)&lt;=0,N(E2726)&gt;1440),"Durée invalide",IF(COUNTIFS(sj_date,A2726,sj_eq,B2726,sj_po,C2726)=0,"Pas de saisie journalière ce jour-là","OK")))))))))))</f>
        <v/>
      </c>
      <c r="J2726">
        <f>IF(OR(I2726="OK",I2726="Pas de saisie journalière ce jour-là"),E2726,0)</f>
        <v>0.0</v>
      </c>
      <c r="K2726">
        <f>IF(AND(J2726&gt;0,A2726&gt;=p_from,A2726&lt;=p_to),1,0)</f>
        <v>0.0</v>
      </c>
      <c r="L2726">
        <f>IF(AND(K2726=1,OR(pa_po="",C2726=pa_po),OR(pa_eq="",B2726=pa_eq)),1,0)</f>
        <v>0.0</v>
      </c>
    </row>
    <row r="2727">
      <c r="A2727" s="51" t="n"/>
      <c r="B2727" s="52" t="n"/>
      <c r="C2727" s="52" t="n"/>
      <c r="D2727" s="53" t="n"/>
      <c r="E2727" s="60" t="n"/>
      <c r="F2727" s="53" t="n"/>
      <c r="G2727" s="61" t="str">
        <f>IF(OR(COUNTA(A2727:E2727)=0,D2727=""),"",IFERROR(INDEX(ca_fam,MATCH(D2727,ca_name,0))&amp;"",""))</f>
        <v/>
      </c>
      <c r="H2727" s="58" t="str">
        <f>IF(OR(COUNTA(A2727:E2727)=0,D2727=""),"",IFERROR(INDEX(ca_type,MATCH(D2727,ca_name,0))&amp;"",""))</f>
        <v/>
      </c>
      <c r="I2727" s="58" t="str">
        <f>IF(COUNTA(A2727:E2727)=0,"",IF(N(A2727)&lt;=0,"Date manquante ou invalide",IF(B2727="","Équipe manquante",IF(ISNA(MATCH(B2727,eq_code,0)),"Équipe inconnue",IF(C2727="","Poste manquant",IF(ISNA(MATCH(C2727,po_code,0)),"Poste inconnu",IF(D2727="","Cause manquante",IF(ISNA(MATCH(D2727,ca_name,0)),"Cause inconnue",IF(H2727="","Cause à compléter dans Paramètres",IF(OR(NOT(ISNUMBER(E2727)),N(E2727)&lt;=0,N(E2727)&gt;1440),"Durée invalide",IF(COUNTIFS(sj_date,A2727,sj_eq,B2727,sj_po,C2727)=0,"Pas de saisie journalière ce jour-là","OK")))))))))))</f>
        <v/>
      </c>
      <c r="J2727">
        <f>IF(OR(I2727="OK",I2727="Pas de saisie journalière ce jour-là"),E2727,0)</f>
        <v>0.0</v>
      </c>
      <c r="K2727">
        <f>IF(AND(J2727&gt;0,A2727&gt;=p_from,A2727&lt;=p_to),1,0)</f>
        <v>0.0</v>
      </c>
      <c r="L2727">
        <f>IF(AND(K2727=1,OR(pa_po="",C2727=pa_po),OR(pa_eq="",B2727=pa_eq)),1,0)</f>
        <v>0.0</v>
      </c>
    </row>
    <row r="2728">
      <c r="A2728" s="51" t="n"/>
      <c r="B2728" s="52" t="n"/>
      <c r="C2728" s="52" t="n"/>
      <c r="D2728" s="53" t="n"/>
      <c r="E2728" s="60" t="n"/>
      <c r="F2728" s="53" t="n"/>
      <c r="G2728" s="61" t="str">
        <f>IF(OR(COUNTA(A2728:E2728)=0,D2728=""),"",IFERROR(INDEX(ca_fam,MATCH(D2728,ca_name,0))&amp;"",""))</f>
        <v/>
      </c>
      <c r="H2728" s="58" t="str">
        <f>IF(OR(COUNTA(A2728:E2728)=0,D2728=""),"",IFERROR(INDEX(ca_type,MATCH(D2728,ca_name,0))&amp;"",""))</f>
        <v/>
      </c>
      <c r="I2728" s="58" t="str">
        <f>IF(COUNTA(A2728:E2728)=0,"",IF(N(A2728)&lt;=0,"Date manquante ou invalide",IF(B2728="","Équipe manquante",IF(ISNA(MATCH(B2728,eq_code,0)),"Équipe inconnue",IF(C2728="","Poste manquant",IF(ISNA(MATCH(C2728,po_code,0)),"Poste inconnu",IF(D2728="","Cause manquante",IF(ISNA(MATCH(D2728,ca_name,0)),"Cause inconnue",IF(H2728="","Cause à compléter dans Paramètres",IF(OR(NOT(ISNUMBER(E2728)),N(E2728)&lt;=0,N(E2728)&gt;1440),"Durée invalide",IF(COUNTIFS(sj_date,A2728,sj_eq,B2728,sj_po,C2728)=0,"Pas de saisie journalière ce jour-là","OK")))))))))))</f>
        <v/>
      </c>
      <c r="J2728">
        <f>IF(OR(I2728="OK",I2728="Pas de saisie journalière ce jour-là"),E2728,0)</f>
        <v>0.0</v>
      </c>
      <c r="K2728">
        <f>IF(AND(J2728&gt;0,A2728&gt;=p_from,A2728&lt;=p_to),1,0)</f>
        <v>0.0</v>
      </c>
      <c r="L2728">
        <f>IF(AND(K2728=1,OR(pa_po="",C2728=pa_po),OR(pa_eq="",B2728=pa_eq)),1,0)</f>
        <v>0.0</v>
      </c>
    </row>
    <row r="2729">
      <c r="A2729" s="51" t="n"/>
      <c r="B2729" s="52" t="n"/>
      <c r="C2729" s="52" t="n"/>
      <c r="D2729" s="53" t="n"/>
      <c r="E2729" s="60" t="n"/>
      <c r="F2729" s="53" t="n"/>
      <c r="G2729" s="61" t="str">
        <f>IF(OR(COUNTA(A2729:E2729)=0,D2729=""),"",IFERROR(INDEX(ca_fam,MATCH(D2729,ca_name,0))&amp;"",""))</f>
        <v/>
      </c>
      <c r="H2729" s="58" t="str">
        <f>IF(OR(COUNTA(A2729:E2729)=0,D2729=""),"",IFERROR(INDEX(ca_type,MATCH(D2729,ca_name,0))&amp;"",""))</f>
        <v/>
      </c>
      <c r="I2729" s="58" t="str">
        <f>IF(COUNTA(A2729:E2729)=0,"",IF(N(A2729)&lt;=0,"Date manquante ou invalide",IF(B2729="","Équipe manquante",IF(ISNA(MATCH(B2729,eq_code,0)),"Équipe inconnue",IF(C2729="","Poste manquant",IF(ISNA(MATCH(C2729,po_code,0)),"Poste inconnu",IF(D2729="","Cause manquante",IF(ISNA(MATCH(D2729,ca_name,0)),"Cause inconnue",IF(H2729="","Cause à compléter dans Paramètres",IF(OR(NOT(ISNUMBER(E2729)),N(E2729)&lt;=0,N(E2729)&gt;1440),"Durée invalide",IF(COUNTIFS(sj_date,A2729,sj_eq,B2729,sj_po,C2729)=0,"Pas de saisie journalière ce jour-là","OK")))))))))))</f>
        <v/>
      </c>
      <c r="J2729">
        <f>IF(OR(I2729="OK",I2729="Pas de saisie journalière ce jour-là"),E2729,0)</f>
        <v>0.0</v>
      </c>
      <c r="K2729">
        <f>IF(AND(J2729&gt;0,A2729&gt;=p_from,A2729&lt;=p_to),1,0)</f>
        <v>0.0</v>
      </c>
      <c r="L2729">
        <f>IF(AND(K2729=1,OR(pa_po="",C2729=pa_po),OR(pa_eq="",B2729=pa_eq)),1,0)</f>
        <v>0.0</v>
      </c>
    </row>
    <row r="2730">
      <c r="A2730" s="51" t="n"/>
      <c r="B2730" s="52" t="n"/>
      <c r="C2730" s="52" t="n"/>
      <c r="D2730" s="53" t="n"/>
      <c r="E2730" s="60" t="n"/>
      <c r="F2730" s="53" t="n"/>
      <c r="G2730" s="61" t="str">
        <f>IF(OR(COUNTA(A2730:E2730)=0,D2730=""),"",IFERROR(INDEX(ca_fam,MATCH(D2730,ca_name,0))&amp;"",""))</f>
        <v/>
      </c>
      <c r="H2730" s="58" t="str">
        <f>IF(OR(COUNTA(A2730:E2730)=0,D2730=""),"",IFERROR(INDEX(ca_type,MATCH(D2730,ca_name,0))&amp;"",""))</f>
        <v/>
      </c>
      <c r="I2730" s="58" t="str">
        <f>IF(COUNTA(A2730:E2730)=0,"",IF(N(A2730)&lt;=0,"Date manquante ou invalide",IF(B2730="","Équipe manquante",IF(ISNA(MATCH(B2730,eq_code,0)),"Équipe inconnue",IF(C2730="","Poste manquant",IF(ISNA(MATCH(C2730,po_code,0)),"Poste inconnu",IF(D2730="","Cause manquante",IF(ISNA(MATCH(D2730,ca_name,0)),"Cause inconnue",IF(H2730="","Cause à compléter dans Paramètres",IF(OR(NOT(ISNUMBER(E2730)),N(E2730)&lt;=0,N(E2730)&gt;1440),"Durée invalide",IF(COUNTIFS(sj_date,A2730,sj_eq,B2730,sj_po,C2730)=0,"Pas de saisie journalière ce jour-là","OK")))))))))))</f>
        <v/>
      </c>
      <c r="J2730">
        <f>IF(OR(I2730="OK",I2730="Pas de saisie journalière ce jour-là"),E2730,0)</f>
        <v>0.0</v>
      </c>
      <c r="K2730">
        <f>IF(AND(J2730&gt;0,A2730&gt;=p_from,A2730&lt;=p_to),1,0)</f>
        <v>0.0</v>
      </c>
      <c r="L2730">
        <f>IF(AND(K2730=1,OR(pa_po="",C2730=pa_po),OR(pa_eq="",B2730=pa_eq)),1,0)</f>
        <v>0.0</v>
      </c>
    </row>
    <row r="2731">
      <c r="A2731" s="51" t="n"/>
      <c r="B2731" s="52" t="n"/>
      <c r="C2731" s="52" t="n"/>
      <c r="D2731" s="53" t="n"/>
      <c r="E2731" s="60" t="n"/>
      <c r="F2731" s="53" t="n"/>
      <c r="G2731" s="61" t="str">
        <f>IF(OR(COUNTA(A2731:E2731)=0,D2731=""),"",IFERROR(INDEX(ca_fam,MATCH(D2731,ca_name,0))&amp;"",""))</f>
        <v/>
      </c>
      <c r="H2731" s="58" t="str">
        <f>IF(OR(COUNTA(A2731:E2731)=0,D2731=""),"",IFERROR(INDEX(ca_type,MATCH(D2731,ca_name,0))&amp;"",""))</f>
        <v/>
      </c>
      <c r="I2731" s="58" t="str">
        <f>IF(COUNTA(A2731:E2731)=0,"",IF(N(A2731)&lt;=0,"Date manquante ou invalide",IF(B2731="","Équipe manquante",IF(ISNA(MATCH(B2731,eq_code,0)),"Équipe inconnue",IF(C2731="","Poste manquant",IF(ISNA(MATCH(C2731,po_code,0)),"Poste inconnu",IF(D2731="","Cause manquante",IF(ISNA(MATCH(D2731,ca_name,0)),"Cause inconnue",IF(H2731="","Cause à compléter dans Paramètres",IF(OR(NOT(ISNUMBER(E2731)),N(E2731)&lt;=0,N(E2731)&gt;1440),"Durée invalide",IF(COUNTIFS(sj_date,A2731,sj_eq,B2731,sj_po,C2731)=0,"Pas de saisie journalière ce jour-là","OK")))))))))))</f>
        <v/>
      </c>
      <c r="J2731">
        <f>IF(OR(I2731="OK",I2731="Pas de saisie journalière ce jour-là"),E2731,0)</f>
        <v>0.0</v>
      </c>
      <c r="K2731">
        <f>IF(AND(J2731&gt;0,A2731&gt;=p_from,A2731&lt;=p_to),1,0)</f>
        <v>0.0</v>
      </c>
      <c r="L2731">
        <f>IF(AND(K2731=1,OR(pa_po="",C2731=pa_po),OR(pa_eq="",B2731=pa_eq)),1,0)</f>
        <v>0.0</v>
      </c>
    </row>
    <row r="2732">
      <c r="A2732" s="51" t="n"/>
      <c r="B2732" s="52" t="n"/>
      <c r="C2732" s="52" t="n"/>
      <c r="D2732" s="53" t="n"/>
      <c r="E2732" s="60" t="n"/>
      <c r="F2732" s="53" t="n"/>
      <c r="G2732" s="61" t="str">
        <f>IF(OR(COUNTA(A2732:E2732)=0,D2732=""),"",IFERROR(INDEX(ca_fam,MATCH(D2732,ca_name,0))&amp;"",""))</f>
        <v/>
      </c>
      <c r="H2732" s="58" t="str">
        <f>IF(OR(COUNTA(A2732:E2732)=0,D2732=""),"",IFERROR(INDEX(ca_type,MATCH(D2732,ca_name,0))&amp;"",""))</f>
        <v/>
      </c>
      <c r="I2732" s="58" t="str">
        <f>IF(COUNTA(A2732:E2732)=0,"",IF(N(A2732)&lt;=0,"Date manquante ou invalide",IF(B2732="","Équipe manquante",IF(ISNA(MATCH(B2732,eq_code,0)),"Équipe inconnue",IF(C2732="","Poste manquant",IF(ISNA(MATCH(C2732,po_code,0)),"Poste inconnu",IF(D2732="","Cause manquante",IF(ISNA(MATCH(D2732,ca_name,0)),"Cause inconnue",IF(H2732="","Cause à compléter dans Paramètres",IF(OR(NOT(ISNUMBER(E2732)),N(E2732)&lt;=0,N(E2732)&gt;1440),"Durée invalide",IF(COUNTIFS(sj_date,A2732,sj_eq,B2732,sj_po,C2732)=0,"Pas de saisie journalière ce jour-là","OK")))))))))))</f>
        <v/>
      </c>
      <c r="J2732">
        <f>IF(OR(I2732="OK",I2732="Pas de saisie journalière ce jour-là"),E2732,0)</f>
        <v>0.0</v>
      </c>
      <c r="K2732">
        <f>IF(AND(J2732&gt;0,A2732&gt;=p_from,A2732&lt;=p_to),1,0)</f>
        <v>0.0</v>
      </c>
      <c r="L2732">
        <f>IF(AND(K2732=1,OR(pa_po="",C2732=pa_po),OR(pa_eq="",B2732=pa_eq)),1,0)</f>
        <v>0.0</v>
      </c>
    </row>
    <row r="2733">
      <c r="A2733" s="51" t="n"/>
      <c r="B2733" s="52" t="n"/>
      <c r="C2733" s="52" t="n"/>
      <c r="D2733" s="53" t="n"/>
      <c r="E2733" s="60" t="n"/>
      <c r="F2733" s="53" t="n"/>
      <c r="G2733" s="61" t="str">
        <f>IF(OR(COUNTA(A2733:E2733)=0,D2733=""),"",IFERROR(INDEX(ca_fam,MATCH(D2733,ca_name,0))&amp;"",""))</f>
        <v/>
      </c>
      <c r="H2733" s="58" t="str">
        <f>IF(OR(COUNTA(A2733:E2733)=0,D2733=""),"",IFERROR(INDEX(ca_type,MATCH(D2733,ca_name,0))&amp;"",""))</f>
        <v/>
      </c>
      <c r="I2733" s="58" t="str">
        <f>IF(COUNTA(A2733:E2733)=0,"",IF(N(A2733)&lt;=0,"Date manquante ou invalide",IF(B2733="","Équipe manquante",IF(ISNA(MATCH(B2733,eq_code,0)),"Équipe inconnue",IF(C2733="","Poste manquant",IF(ISNA(MATCH(C2733,po_code,0)),"Poste inconnu",IF(D2733="","Cause manquante",IF(ISNA(MATCH(D2733,ca_name,0)),"Cause inconnue",IF(H2733="","Cause à compléter dans Paramètres",IF(OR(NOT(ISNUMBER(E2733)),N(E2733)&lt;=0,N(E2733)&gt;1440),"Durée invalide",IF(COUNTIFS(sj_date,A2733,sj_eq,B2733,sj_po,C2733)=0,"Pas de saisie journalière ce jour-là","OK")))))))))))</f>
        <v/>
      </c>
      <c r="J2733">
        <f>IF(OR(I2733="OK",I2733="Pas de saisie journalière ce jour-là"),E2733,0)</f>
        <v>0.0</v>
      </c>
      <c r="K2733">
        <f>IF(AND(J2733&gt;0,A2733&gt;=p_from,A2733&lt;=p_to),1,0)</f>
        <v>0.0</v>
      </c>
      <c r="L2733">
        <f>IF(AND(K2733=1,OR(pa_po="",C2733=pa_po),OR(pa_eq="",B2733=pa_eq)),1,0)</f>
        <v>0.0</v>
      </c>
    </row>
    <row r="2734">
      <c r="A2734" s="51" t="n"/>
      <c r="B2734" s="52" t="n"/>
      <c r="C2734" s="52" t="n"/>
      <c r="D2734" s="53" t="n"/>
      <c r="E2734" s="60" t="n"/>
      <c r="F2734" s="53" t="n"/>
      <c r="G2734" s="61" t="str">
        <f>IF(OR(COUNTA(A2734:E2734)=0,D2734=""),"",IFERROR(INDEX(ca_fam,MATCH(D2734,ca_name,0))&amp;"",""))</f>
        <v/>
      </c>
      <c r="H2734" s="58" t="str">
        <f>IF(OR(COUNTA(A2734:E2734)=0,D2734=""),"",IFERROR(INDEX(ca_type,MATCH(D2734,ca_name,0))&amp;"",""))</f>
        <v/>
      </c>
      <c r="I2734" s="58" t="str">
        <f>IF(COUNTA(A2734:E2734)=0,"",IF(N(A2734)&lt;=0,"Date manquante ou invalide",IF(B2734="","Équipe manquante",IF(ISNA(MATCH(B2734,eq_code,0)),"Équipe inconnue",IF(C2734="","Poste manquant",IF(ISNA(MATCH(C2734,po_code,0)),"Poste inconnu",IF(D2734="","Cause manquante",IF(ISNA(MATCH(D2734,ca_name,0)),"Cause inconnue",IF(H2734="","Cause à compléter dans Paramètres",IF(OR(NOT(ISNUMBER(E2734)),N(E2734)&lt;=0,N(E2734)&gt;1440),"Durée invalide",IF(COUNTIFS(sj_date,A2734,sj_eq,B2734,sj_po,C2734)=0,"Pas de saisie journalière ce jour-là","OK")))))))))))</f>
        <v/>
      </c>
      <c r="J2734">
        <f>IF(OR(I2734="OK",I2734="Pas de saisie journalière ce jour-là"),E2734,0)</f>
        <v>0.0</v>
      </c>
      <c r="K2734">
        <f>IF(AND(J2734&gt;0,A2734&gt;=p_from,A2734&lt;=p_to),1,0)</f>
        <v>0.0</v>
      </c>
      <c r="L2734">
        <f>IF(AND(K2734=1,OR(pa_po="",C2734=pa_po),OR(pa_eq="",B2734=pa_eq)),1,0)</f>
        <v>0.0</v>
      </c>
    </row>
    <row r="2735">
      <c r="A2735" s="51" t="n"/>
      <c r="B2735" s="52" t="n"/>
      <c r="C2735" s="52" t="n"/>
      <c r="D2735" s="53" t="n"/>
      <c r="E2735" s="60" t="n"/>
      <c r="F2735" s="53" t="n"/>
      <c r="G2735" s="61" t="str">
        <f>IF(OR(COUNTA(A2735:E2735)=0,D2735=""),"",IFERROR(INDEX(ca_fam,MATCH(D2735,ca_name,0))&amp;"",""))</f>
        <v/>
      </c>
      <c r="H2735" s="58" t="str">
        <f>IF(OR(COUNTA(A2735:E2735)=0,D2735=""),"",IFERROR(INDEX(ca_type,MATCH(D2735,ca_name,0))&amp;"",""))</f>
        <v/>
      </c>
      <c r="I2735" s="58" t="str">
        <f>IF(COUNTA(A2735:E2735)=0,"",IF(N(A2735)&lt;=0,"Date manquante ou invalide",IF(B2735="","Équipe manquante",IF(ISNA(MATCH(B2735,eq_code,0)),"Équipe inconnue",IF(C2735="","Poste manquant",IF(ISNA(MATCH(C2735,po_code,0)),"Poste inconnu",IF(D2735="","Cause manquante",IF(ISNA(MATCH(D2735,ca_name,0)),"Cause inconnue",IF(H2735="","Cause à compléter dans Paramètres",IF(OR(NOT(ISNUMBER(E2735)),N(E2735)&lt;=0,N(E2735)&gt;1440),"Durée invalide",IF(COUNTIFS(sj_date,A2735,sj_eq,B2735,sj_po,C2735)=0,"Pas de saisie journalière ce jour-là","OK")))))))))))</f>
        <v/>
      </c>
      <c r="J2735">
        <f>IF(OR(I2735="OK",I2735="Pas de saisie journalière ce jour-là"),E2735,0)</f>
        <v>0.0</v>
      </c>
      <c r="K2735">
        <f>IF(AND(J2735&gt;0,A2735&gt;=p_from,A2735&lt;=p_to),1,0)</f>
        <v>0.0</v>
      </c>
      <c r="L2735">
        <f>IF(AND(K2735=1,OR(pa_po="",C2735=pa_po),OR(pa_eq="",B2735=pa_eq)),1,0)</f>
        <v>0.0</v>
      </c>
    </row>
    <row r="2736">
      <c r="A2736" s="51" t="n"/>
      <c r="B2736" s="52" t="n"/>
      <c r="C2736" s="52" t="n"/>
      <c r="D2736" s="53" t="n"/>
      <c r="E2736" s="60" t="n"/>
      <c r="F2736" s="53" t="n"/>
      <c r="G2736" s="61" t="str">
        <f>IF(OR(COUNTA(A2736:E2736)=0,D2736=""),"",IFERROR(INDEX(ca_fam,MATCH(D2736,ca_name,0))&amp;"",""))</f>
        <v/>
      </c>
      <c r="H2736" s="58" t="str">
        <f>IF(OR(COUNTA(A2736:E2736)=0,D2736=""),"",IFERROR(INDEX(ca_type,MATCH(D2736,ca_name,0))&amp;"",""))</f>
        <v/>
      </c>
      <c r="I2736" s="58" t="str">
        <f>IF(COUNTA(A2736:E2736)=0,"",IF(N(A2736)&lt;=0,"Date manquante ou invalide",IF(B2736="","Équipe manquante",IF(ISNA(MATCH(B2736,eq_code,0)),"Équipe inconnue",IF(C2736="","Poste manquant",IF(ISNA(MATCH(C2736,po_code,0)),"Poste inconnu",IF(D2736="","Cause manquante",IF(ISNA(MATCH(D2736,ca_name,0)),"Cause inconnue",IF(H2736="","Cause à compléter dans Paramètres",IF(OR(NOT(ISNUMBER(E2736)),N(E2736)&lt;=0,N(E2736)&gt;1440),"Durée invalide",IF(COUNTIFS(sj_date,A2736,sj_eq,B2736,sj_po,C2736)=0,"Pas de saisie journalière ce jour-là","OK")))))))))))</f>
        <v/>
      </c>
      <c r="J2736">
        <f>IF(OR(I2736="OK",I2736="Pas de saisie journalière ce jour-là"),E2736,0)</f>
        <v>0.0</v>
      </c>
      <c r="K2736">
        <f>IF(AND(J2736&gt;0,A2736&gt;=p_from,A2736&lt;=p_to),1,0)</f>
        <v>0.0</v>
      </c>
      <c r="L2736">
        <f>IF(AND(K2736=1,OR(pa_po="",C2736=pa_po),OR(pa_eq="",B2736=pa_eq)),1,0)</f>
        <v>0.0</v>
      </c>
    </row>
    <row r="2737">
      <c r="A2737" s="51" t="n"/>
      <c r="B2737" s="52" t="n"/>
      <c r="C2737" s="52" t="n"/>
      <c r="D2737" s="53" t="n"/>
      <c r="E2737" s="60" t="n"/>
      <c r="F2737" s="53" t="n"/>
      <c r="G2737" s="61" t="str">
        <f>IF(OR(COUNTA(A2737:E2737)=0,D2737=""),"",IFERROR(INDEX(ca_fam,MATCH(D2737,ca_name,0))&amp;"",""))</f>
        <v/>
      </c>
      <c r="H2737" s="58" t="str">
        <f>IF(OR(COUNTA(A2737:E2737)=0,D2737=""),"",IFERROR(INDEX(ca_type,MATCH(D2737,ca_name,0))&amp;"",""))</f>
        <v/>
      </c>
      <c r="I2737" s="58" t="str">
        <f>IF(COUNTA(A2737:E2737)=0,"",IF(N(A2737)&lt;=0,"Date manquante ou invalide",IF(B2737="","Équipe manquante",IF(ISNA(MATCH(B2737,eq_code,0)),"Équipe inconnue",IF(C2737="","Poste manquant",IF(ISNA(MATCH(C2737,po_code,0)),"Poste inconnu",IF(D2737="","Cause manquante",IF(ISNA(MATCH(D2737,ca_name,0)),"Cause inconnue",IF(H2737="","Cause à compléter dans Paramètres",IF(OR(NOT(ISNUMBER(E2737)),N(E2737)&lt;=0,N(E2737)&gt;1440),"Durée invalide",IF(COUNTIFS(sj_date,A2737,sj_eq,B2737,sj_po,C2737)=0,"Pas de saisie journalière ce jour-là","OK")))))))))))</f>
        <v/>
      </c>
      <c r="J2737">
        <f>IF(OR(I2737="OK",I2737="Pas de saisie journalière ce jour-là"),E2737,0)</f>
        <v>0.0</v>
      </c>
      <c r="K2737">
        <f>IF(AND(J2737&gt;0,A2737&gt;=p_from,A2737&lt;=p_to),1,0)</f>
        <v>0.0</v>
      </c>
      <c r="L2737">
        <f>IF(AND(K2737=1,OR(pa_po="",C2737=pa_po),OR(pa_eq="",B2737=pa_eq)),1,0)</f>
        <v>0.0</v>
      </c>
    </row>
    <row r="2738">
      <c r="A2738" s="51" t="n"/>
      <c r="B2738" s="52" t="n"/>
      <c r="C2738" s="52" t="n"/>
      <c r="D2738" s="53" t="n"/>
      <c r="E2738" s="60" t="n"/>
      <c r="F2738" s="53" t="n"/>
      <c r="G2738" s="61" t="str">
        <f>IF(OR(COUNTA(A2738:E2738)=0,D2738=""),"",IFERROR(INDEX(ca_fam,MATCH(D2738,ca_name,0))&amp;"",""))</f>
        <v/>
      </c>
      <c r="H2738" s="58" t="str">
        <f>IF(OR(COUNTA(A2738:E2738)=0,D2738=""),"",IFERROR(INDEX(ca_type,MATCH(D2738,ca_name,0))&amp;"",""))</f>
        <v/>
      </c>
      <c r="I2738" s="58" t="str">
        <f>IF(COUNTA(A2738:E2738)=0,"",IF(N(A2738)&lt;=0,"Date manquante ou invalide",IF(B2738="","Équipe manquante",IF(ISNA(MATCH(B2738,eq_code,0)),"Équipe inconnue",IF(C2738="","Poste manquant",IF(ISNA(MATCH(C2738,po_code,0)),"Poste inconnu",IF(D2738="","Cause manquante",IF(ISNA(MATCH(D2738,ca_name,0)),"Cause inconnue",IF(H2738="","Cause à compléter dans Paramètres",IF(OR(NOT(ISNUMBER(E2738)),N(E2738)&lt;=0,N(E2738)&gt;1440),"Durée invalide",IF(COUNTIFS(sj_date,A2738,sj_eq,B2738,sj_po,C2738)=0,"Pas de saisie journalière ce jour-là","OK")))))))))))</f>
        <v/>
      </c>
      <c r="J2738">
        <f>IF(OR(I2738="OK",I2738="Pas de saisie journalière ce jour-là"),E2738,0)</f>
        <v>0.0</v>
      </c>
      <c r="K2738">
        <f>IF(AND(J2738&gt;0,A2738&gt;=p_from,A2738&lt;=p_to),1,0)</f>
        <v>0.0</v>
      </c>
      <c r="L2738">
        <f>IF(AND(K2738=1,OR(pa_po="",C2738=pa_po),OR(pa_eq="",B2738=pa_eq)),1,0)</f>
        <v>0.0</v>
      </c>
    </row>
    <row r="2739">
      <c r="A2739" s="51" t="n"/>
      <c r="B2739" s="52" t="n"/>
      <c r="C2739" s="52" t="n"/>
      <c r="D2739" s="53" t="n"/>
      <c r="E2739" s="60" t="n"/>
      <c r="F2739" s="53" t="n"/>
      <c r="G2739" s="61" t="str">
        <f>IF(OR(COUNTA(A2739:E2739)=0,D2739=""),"",IFERROR(INDEX(ca_fam,MATCH(D2739,ca_name,0))&amp;"",""))</f>
        <v/>
      </c>
      <c r="H2739" s="58" t="str">
        <f>IF(OR(COUNTA(A2739:E2739)=0,D2739=""),"",IFERROR(INDEX(ca_type,MATCH(D2739,ca_name,0))&amp;"",""))</f>
        <v/>
      </c>
      <c r="I2739" s="58" t="str">
        <f>IF(COUNTA(A2739:E2739)=0,"",IF(N(A2739)&lt;=0,"Date manquante ou invalide",IF(B2739="","Équipe manquante",IF(ISNA(MATCH(B2739,eq_code,0)),"Équipe inconnue",IF(C2739="","Poste manquant",IF(ISNA(MATCH(C2739,po_code,0)),"Poste inconnu",IF(D2739="","Cause manquante",IF(ISNA(MATCH(D2739,ca_name,0)),"Cause inconnue",IF(H2739="","Cause à compléter dans Paramètres",IF(OR(NOT(ISNUMBER(E2739)),N(E2739)&lt;=0,N(E2739)&gt;1440),"Durée invalide",IF(COUNTIFS(sj_date,A2739,sj_eq,B2739,sj_po,C2739)=0,"Pas de saisie journalière ce jour-là","OK")))))))))))</f>
        <v/>
      </c>
      <c r="J2739">
        <f>IF(OR(I2739="OK",I2739="Pas de saisie journalière ce jour-là"),E2739,0)</f>
        <v>0.0</v>
      </c>
      <c r="K2739">
        <f>IF(AND(J2739&gt;0,A2739&gt;=p_from,A2739&lt;=p_to),1,0)</f>
        <v>0.0</v>
      </c>
      <c r="L2739">
        <f>IF(AND(K2739=1,OR(pa_po="",C2739=pa_po),OR(pa_eq="",B2739=pa_eq)),1,0)</f>
        <v>0.0</v>
      </c>
    </row>
    <row r="2740">
      <c r="A2740" s="51" t="n"/>
      <c r="B2740" s="52" t="n"/>
      <c r="C2740" s="52" t="n"/>
      <c r="D2740" s="53" t="n"/>
      <c r="E2740" s="60" t="n"/>
      <c r="F2740" s="53" t="n"/>
      <c r="G2740" s="61" t="str">
        <f>IF(OR(COUNTA(A2740:E2740)=0,D2740=""),"",IFERROR(INDEX(ca_fam,MATCH(D2740,ca_name,0))&amp;"",""))</f>
        <v/>
      </c>
      <c r="H2740" s="58" t="str">
        <f>IF(OR(COUNTA(A2740:E2740)=0,D2740=""),"",IFERROR(INDEX(ca_type,MATCH(D2740,ca_name,0))&amp;"",""))</f>
        <v/>
      </c>
      <c r="I2740" s="58" t="str">
        <f>IF(COUNTA(A2740:E2740)=0,"",IF(N(A2740)&lt;=0,"Date manquante ou invalide",IF(B2740="","Équipe manquante",IF(ISNA(MATCH(B2740,eq_code,0)),"Équipe inconnue",IF(C2740="","Poste manquant",IF(ISNA(MATCH(C2740,po_code,0)),"Poste inconnu",IF(D2740="","Cause manquante",IF(ISNA(MATCH(D2740,ca_name,0)),"Cause inconnue",IF(H2740="","Cause à compléter dans Paramètres",IF(OR(NOT(ISNUMBER(E2740)),N(E2740)&lt;=0,N(E2740)&gt;1440),"Durée invalide",IF(COUNTIFS(sj_date,A2740,sj_eq,B2740,sj_po,C2740)=0,"Pas de saisie journalière ce jour-là","OK")))))))))))</f>
        <v/>
      </c>
      <c r="J2740">
        <f>IF(OR(I2740="OK",I2740="Pas de saisie journalière ce jour-là"),E2740,0)</f>
        <v>0.0</v>
      </c>
      <c r="K2740">
        <f>IF(AND(J2740&gt;0,A2740&gt;=p_from,A2740&lt;=p_to),1,0)</f>
        <v>0.0</v>
      </c>
      <c r="L2740">
        <f>IF(AND(K2740=1,OR(pa_po="",C2740=pa_po),OR(pa_eq="",B2740=pa_eq)),1,0)</f>
        <v>0.0</v>
      </c>
    </row>
    <row r="2741">
      <c r="A2741" s="51" t="n"/>
      <c r="B2741" s="52" t="n"/>
      <c r="C2741" s="52" t="n"/>
      <c r="D2741" s="53" t="n"/>
      <c r="E2741" s="60" t="n"/>
      <c r="F2741" s="53" t="n"/>
      <c r="G2741" s="61" t="str">
        <f>IF(OR(COUNTA(A2741:E2741)=0,D2741=""),"",IFERROR(INDEX(ca_fam,MATCH(D2741,ca_name,0))&amp;"",""))</f>
        <v/>
      </c>
      <c r="H2741" s="58" t="str">
        <f>IF(OR(COUNTA(A2741:E2741)=0,D2741=""),"",IFERROR(INDEX(ca_type,MATCH(D2741,ca_name,0))&amp;"",""))</f>
        <v/>
      </c>
      <c r="I2741" s="58" t="str">
        <f>IF(COUNTA(A2741:E2741)=0,"",IF(N(A2741)&lt;=0,"Date manquante ou invalide",IF(B2741="","Équipe manquante",IF(ISNA(MATCH(B2741,eq_code,0)),"Équipe inconnue",IF(C2741="","Poste manquant",IF(ISNA(MATCH(C2741,po_code,0)),"Poste inconnu",IF(D2741="","Cause manquante",IF(ISNA(MATCH(D2741,ca_name,0)),"Cause inconnue",IF(H2741="","Cause à compléter dans Paramètres",IF(OR(NOT(ISNUMBER(E2741)),N(E2741)&lt;=0,N(E2741)&gt;1440),"Durée invalide",IF(COUNTIFS(sj_date,A2741,sj_eq,B2741,sj_po,C2741)=0,"Pas de saisie journalière ce jour-là","OK")))))))))))</f>
        <v/>
      </c>
      <c r="J2741">
        <f>IF(OR(I2741="OK",I2741="Pas de saisie journalière ce jour-là"),E2741,0)</f>
        <v>0.0</v>
      </c>
      <c r="K2741">
        <f>IF(AND(J2741&gt;0,A2741&gt;=p_from,A2741&lt;=p_to),1,0)</f>
        <v>0.0</v>
      </c>
      <c r="L2741">
        <f>IF(AND(K2741=1,OR(pa_po="",C2741=pa_po),OR(pa_eq="",B2741=pa_eq)),1,0)</f>
        <v>0.0</v>
      </c>
    </row>
    <row r="2742">
      <c r="A2742" s="51" t="n"/>
      <c r="B2742" s="52" t="n"/>
      <c r="C2742" s="52" t="n"/>
      <c r="D2742" s="53" t="n"/>
      <c r="E2742" s="60" t="n"/>
      <c r="F2742" s="53" t="n"/>
      <c r="G2742" s="61" t="str">
        <f>IF(OR(COUNTA(A2742:E2742)=0,D2742=""),"",IFERROR(INDEX(ca_fam,MATCH(D2742,ca_name,0))&amp;"",""))</f>
        <v/>
      </c>
      <c r="H2742" s="58" t="str">
        <f>IF(OR(COUNTA(A2742:E2742)=0,D2742=""),"",IFERROR(INDEX(ca_type,MATCH(D2742,ca_name,0))&amp;"",""))</f>
        <v/>
      </c>
      <c r="I2742" s="58" t="str">
        <f>IF(COUNTA(A2742:E2742)=0,"",IF(N(A2742)&lt;=0,"Date manquante ou invalide",IF(B2742="","Équipe manquante",IF(ISNA(MATCH(B2742,eq_code,0)),"Équipe inconnue",IF(C2742="","Poste manquant",IF(ISNA(MATCH(C2742,po_code,0)),"Poste inconnu",IF(D2742="","Cause manquante",IF(ISNA(MATCH(D2742,ca_name,0)),"Cause inconnue",IF(H2742="","Cause à compléter dans Paramètres",IF(OR(NOT(ISNUMBER(E2742)),N(E2742)&lt;=0,N(E2742)&gt;1440),"Durée invalide",IF(COUNTIFS(sj_date,A2742,sj_eq,B2742,sj_po,C2742)=0,"Pas de saisie journalière ce jour-là","OK")))))))))))</f>
        <v/>
      </c>
      <c r="J2742">
        <f>IF(OR(I2742="OK",I2742="Pas de saisie journalière ce jour-là"),E2742,0)</f>
        <v>0.0</v>
      </c>
      <c r="K2742">
        <f>IF(AND(J2742&gt;0,A2742&gt;=p_from,A2742&lt;=p_to),1,0)</f>
        <v>0.0</v>
      </c>
      <c r="L2742">
        <f>IF(AND(K2742=1,OR(pa_po="",C2742=pa_po),OR(pa_eq="",B2742=pa_eq)),1,0)</f>
        <v>0.0</v>
      </c>
    </row>
    <row r="2743">
      <c r="A2743" s="51" t="n"/>
      <c r="B2743" s="52" t="n"/>
      <c r="C2743" s="52" t="n"/>
      <c r="D2743" s="53" t="n"/>
      <c r="E2743" s="60" t="n"/>
      <c r="F2743" s="53" t="n"/>
      <c r="G2743" s="61" t="str">
        <f>IF(OR(COUNTA(A2743:E2743)=0,D2743=""),"",IFERROR(INDEX(ca_fam,MATCH(D2743,ca_name,0))&amp;"",""))</f>
        <v/>
      </c>
      <c r="H2743" s="58" t="str">
        <f>IF(OR(COUNTA(A2743:E2743)=0,D2743=""),"",IFERROR(INDEX(ca_type,MATCH(D2743,ca_name,0))&amp;"",""))</f>
        <v/>
      </c>
      <c r="I2743" s="58" t="str">
        <f>IF(COUNTA(A2743:E2743)=0,"",IF(N(A2743)&lt;=0,"Date manquante ou invalide",IF(B2743="","Équipe manquante",IF(ISNA(MATCH(B2743,eq_code,0)),"Équipe inconnue",IF(C2743="","Poste manquant",IF(ISNA(MATCH(C2743,po_code,0)),"Poste inconnu",IF(D2743="","Cause manquante",IF(ISNA(MATCH(D2743,ca_name,0)),"Cause inconnue",IF(H2743="","Cause à compléter dans Paramètres",IF(OR(NOT(ISNUMBER(E2743)),N(E2743)&lt;=0,N(E2743)&gt;1440),"Durée invalide",IF(COUNTIFS(sj_date,A2743,sj_eq,B2743,sj_po,C2743)=0,"Pas de saisie journalière ce jour-là","OK")))))))))))</f>
        <v/>
      </c>
      <c r="J2743">
        <f>IF(OR(I2743="OK",I2743="Pas de saisie journalière ce jour-là"),E2743,0)</f>
        <v>0.0</v>
      </c>
      <c r="K2743">
        <f>IF(AND(J2743&gt;0,A2743&gt;=p_from,A2743&lt;=p_to),1,0)</f>
        <v>0.0</v>
      </c>
      <c r="L2743">
        <f>IF(AND(K2743=1,OR(pa_po="",C2743=pa_po),OR(pa_eq="",B2743=pa_eq)),1,0)</f>
        <v>0.0</v>
      </c>
    </row>
    <row r="2744">
      <c r="A2744" s="51" t="n"/>
      <c r="B2744" s="52" t="n"/>
      <c r="C2744" s="52" t="n"/>
      <c r="D2744" s="53" t="n"/>
      <c r="E2744" s="60" t="n"/>
      <c r="F2744" s="53" t="n"/>
      <c r="G2744" s="61" t="str">
        <f>IF(OR(COUNTA(A2744:E2744)=0,D2744=""),"",IFERROR(INDEX(ca_fam,MATCH(D2744,ca_name,0))&amp;"",""))</f>
        <v/>
      </c>
      <c r="H2744" s="58" t="str">
        <f>IF(OR(COUNTA(A2744:E2744)=0,D2744=""),"",IFERROR(INDEX(ca_type,MATCH(D2744,ca_name,0))&amp;"",""))</f>
        <v/>
      </c>
      <c r="I2744" s="58" t="str">
        <f>IF(COUNTA(A2744:E2744)=0,"",IF(N(A2744)&lt;=0,"Date manquante ou invalide",IF(B2744="","Équipe manquante",IF(ISNA(MATCH(B2744,eq_code,0)),"Équipe inconnue",IF(C2744="","Poste manquant",IF(ISNA(MATCH(C2744,po_code,0)),"Poste inconnu",IF(D2744="","Cause manquante",IF(ISNA(MATCH(D2744,ca_name,0)),"Cause inconnue",IF(H2744="","Cause à compléter dans Paramètres",IF(OR(NOT(ISNUMBER(E2744)),N(E2744)&lt;=0,N(E2744)&gt;1440),"Durée invalide",IF(COUNTIFS(sj_date,A2744,sj_eq,B2744,sj_po,C2744)=0,"Pas de saisie journalière ce jour-là","OK")))))))))))</f>
        <v/>
      </c>
      <c r="J2744">
        <f>IF(OR(I2744="OK",I2744="Pas de saisie journalière ce jour-là"),E2744,0)</f>
        <v>0.0</v>
      </c>
      <c r="K2744">
        <f>IF(AND(J2744&gt;0,A2744&gt;=p_from,A2744&lt;=p_to),1,0)</f>
        <v>0.0</v>
      </c>
      <c r="L2744">
        <f>IF(AND(K2744=1,OR(pa_po="",C2744=pa_po),OR(pa_eq="",B2744=pa_eq)),1,0)</f>
        <v>0.0</v>
      </c>
    </row>
    <row r="2745">
      <c r="A2745" s="51" t="n"/>
      <c r="B2745" s="52" t="n"/>
      <c r="C2745" s="52" t="n"/>
      <c r="D2745" s="53" t="n"/>
      <c r="E2745" s="60" t="n"/>
      <c r="F2745" s="53" t="n"/>
      <c r="G2745" s="61" t="str">
        <f>IF(OR(COUNTA(A2745:E2745)=0,D2745=""),"",IFERROR(INDEX(ca_fam,MATCH(D2745,ca_name,0))&amp;"",""))</f>
        <v/>
      </c>
      <c r="H2745" s="58" t="str">
        <f>IF(OR(COUNTA(A2745:E2745)=0,D2745=""),"",IFERROR(INDEX(ca_type,MATCH(D2745,ca_name,0))&amp;"",""))</f>
        <v/>
      </c>
      <c r="I2745" s="58" t="str">
        <f>IF(COUNTA(A2745:E2745)=0,"",IF(N(A2745)&lt;=0,"Date manquante ou invalide",IF(B2745="","Équipe manquante",IF(ISNA(MATCH(B2745,eq_code,0)),"Équipe inconnue",IF(C2745="","Poste manquant",IF(ISNA(MATCH(C2745,po_code,0)),"Poste inconnu",IF(D2745="","Cause manquante",IF(ISNA(MATCH(D2745,ca_name,0)),"Cause inconnue",IF(H2745="","Cause à compléter dans Paramètres",IF(OR(NOT(ISNUMBER(E2745)),N(E2745)&lt;=0,N(E2745)&gt;1440),"Durée invalide",IF(COUNTIFS(sj_date,A2745,sj_eq,B2745,sj_po,C2745)=0,"Pas de saisie journalière ce jour-là","OK")))))))))))</f>
        <v/>
      </c>
      <c r="J2745">
        <f>IF(OR(I2745="OK",I2745="Pas de saisie journalière ce jour-là"),E2745,0)</f>
        <v>0.0</v>
      </c>
      <c r="K2745">
        <f>IF(AND(J2745&gt;0,A2745&gt;=p_from,A2745&lt;=p_to),1,0)</f>
        <v>0.0</v>
      </c>
      <c r="L2745">
        <f>IF(AND(K2745=1,OR(pa_po="",C2745=pa_po),OR(pa_eq="",B2745=pa_eq)),1,0)</f>
        <v>0.0</v>
      </c>
    </row>
    <row r="2746">
      <c r="A2746" s="51" t="n"/>
      <c r="B2746" s="52" t="n"/>
      <c r="C2746" s="52" t="n"/>
      <c r="D2746" s="53" t="n"/>
      <c r="E2746" s="60" t="n"/>
      <c r="F2746" s="53" t="n"/>
      <c r="G2746" s="61" t="str">
        <f>IF(OR(COUNTA(A2746:E2746)=0,D2746=""),"",IFERROR(INDEX(ca_fam,MATCH(D2746,ca_name,0))&amp;"",""))</f>
        <v/>
      </c>
      <c r="H2746" s="58" t="str">
        <f>IF(OR(COUNTA(A2746:E2746)=0,D2746=""),"",IFERROR(INDEX(ca_type,MATCH(D2746,ca_name,0))&amp;"",""))</f>
        <v/>
      </c>
      <c r="I2746" s="58" t="str">
        <f>IF(COUNTA(A2746:E2746)=0,"",IF(N(A2746)&lt;=0,"Date manquante ou invalide",IF(B2746="","Équipe manquante",IF(ISNA(MATCH(B2746,eq_code,0)),"Équipe inconnue",IF(C2746="","Poste manquant",IF(ISNA(MATCH(C2746,po_code,0)),"Poste inconnu",IF(D2746="","Cause manquante",IF(ISNA(MATCH(D2746,ca_name,0)),"Cause inconnue",IF(H2746="","Cause à compléter dans Paramètres",IF(OR(NOT(ISNUMBER(E2746)),N(E2746)&lt;=0,N(E2746)&gt;1440),"Durée invalide",IF(COUNTIFS(sj_date,A2746,sj_eq,B2746,sj_po,C2746)=0,"Pas de saisie journalière ce jour-là","OK")))))))))))</f>
        <v/>
      </c>
      <c r="J2746">
        <f>IF(OR(I2746="OK",I2746="Pas de saisie journalière ce jour-là"),E2746,0)</f>
        <v>0.0</v>
      </c>
      <c r="K2746">
        <f>IF(AND(J2746&gt;0,A2746&gt;=p_from,A2746&lt;=p_to),1,0)</f>
        <v>0.0</v>
      </c>
      <c r="L2746">
        <f>IF(AND(K2746=1,OR(pa_po="",C2746=pa_po),OR(pa_eq="",B2746=pa_eq)),1,0)</f>
        <v>0.0</v>
      </c>
    </row>
    <row r="2747">
      <c r="A2747" s="51" t="n"/>
      <c r="B2747" s="52" t="n"/>
      <c r="C2747" s="52" t="n"/>
      <c r="D2747" s="53" t="n"/>
      <c r="E2747" s="60" t="n"/>
      <c r="F2747" s="53" t="n"/>
      <c r="G2747" s="61" t="str">
        <f>IF(OR(COUNTA(A2747:E2747)=0,D2747=""),"",IFERROR(INDEX(ca_fam,MATCH(D2747,ca_name,0))&amp;"",""))</f>
        <v/>
      </c>
      <c r="H2747" s="58" t="str">
        <f>IF(OR(COUNTA(A2747:E2747)=0,D2747=""),"",IFERROR(INDEX(ca_type,MATCH(D2747,ca_name,0))&amp;"",""))</f>
        <v/>
      </c>
      <c r="I2747" s="58" t="str">
        <f>IF(COUNTA(A2747:E2747)=0,"",IF(N(A2747)&lt;=0,"Date manquante ou invalide",IF(B2747="","Équipe manquante",IF(ISNA(MATCH(B2747,eq_code,0)),"Équipe inconnue",IF(C2747="","Poste manquant",IF(ISNA(MATCH(C2747,po_code,0)),"Poste inconnu",IF(D2747="","Cause manquante",IF(ISNA(MATCH(D2747,ca_name,0)),"Cause inconnue",IF(H2747="","Cause à compléter dans Paramètres",IF(OR(NOT(ISNUMBER(E2747)),N(E2747)&lt;=0,N(E2747)&gt;1440),"Durée invalide",IF(COUNTIFS(sj_date,A2747,sj_eq,B2747,sj_po,C2747)=0,"Pas de saisie journalière ce jour-là","OK")))))))))))</f>
        <v/>
      </c>
      <c r="J2747">
        <f>IF(OR(I2747="OK",I2747="Pas de saisie journalière ce jour-là"),E2747,0)</f>
        <v>0.0</v>
      </c>
      <c r="K2747">
        <f>IF(AND(J2747&gt;0,A2747&gt;=p_from,A2747&lt;=p_to),1,0)</f>
        <v>0.0</v>
      </c>
      <c r="L2747">
        <f>IF(AND(K2747=1,OR(pa_po="",C2747=pa_po),OR(pa_eq="",B2747=pa_eq)),1,0)</f>
        <v>0.0</v>
      </c>
    </row>
    <row r="2748">
      <c r="A2748" s="51" t="n"/>
      <c r="B2748" s="52" t="n"/>
      <c r="C2748" s="52" t="n"/>
      <c r="D2748" s="53" t="n"/>
      <c r="E2748" s="60" t="n"/>
      <c r="F2748" s="53" t="n"/>
      <c r="G2748" s="61" t="str">
        <f>IF(OR(COUNTA(A2748:E2748)=0,D2748=""),"",IFERROR(INDEX(ca_fam,MATCH(D2748,ca_name,0))&amp;"",""))</f>
        <v/>
      </c>
      <c r="H2748" s="58" t="str">
        <f>IF(OR(COUNTA(A2748:E2748)=0,D2748=""),"",IFERROR(INDEX(ca_type,MATCH(D2748,ca_name,0))&amp;"",""))</f>
        <v/>
      </c>
      <c r="I2748" s="58" t="str">
        <f>IF(COUNTA(A2748:E2748)=0,"",IF(N(A2748)&lt;=0,"Date manquante ou invalide",IF(B2748="","Équipe manquante",IF(ISNA(MATCH(B2748,eq_code,0)),"Équipe inconnue",IF(C2748="","Poste manquant",IF(ISNA(MATCH(C2748,po_code,0)),"Poste inconnu",IF(D2748="","Cause manquante",IF(ISNA(MATCH(D2748,ca_name,0)),"Cause inconnue",IF(H2748="","Cause à compléter dans Paramètres",IF(OR(NOT(ISNUMBER(E2748)),N(E2748)&lt;=0,N(E2748)&gt;1440),"Durée invalide",IF(COUNTIFS(sj_date,A2748,sj_eq,B2748,sj_po,C2748)=0,"Pas de saisie journalière ce jour-là","OK")))))))))))</f>
        <v/>
      </c>
      <c r="J2748">
        <f>IF(OR(I2748="OK",I2748="Pas de saisie journalière ce jour-là"),E2748,0)</f>
        <v>0.0</v>
      </c>
      <c r="K2748">
        <f>IF(AND(J2748&gt;0,A2748&gt;=p_from,A2748&lt;=p_to),1,0)</f>
        <v>0.0</v>
      </c>
      <c r="L2748">
        <f>IF(AND(K2748=1,OR(pa_po="",C2748=pa_po),OR(pa_eq="",B2748=pa_eq)),1,0)</f>
        <v>0.0</v>
      </c>
    </row>
    <row r="2749">
      <c r="A2749" s="51" t="n"/>
      <c r="B2749" s="52" t="n"/>
      <c r="C2749" s="52" t="n"/>
      <c r="D2749" s="53" t="n"/>
      <c r="E2749" s="60" t="n"/>
      <c r="F2749" s="53" t="n"/>
      <c r="G2749" s="61" t="str">
        <f>IF(OR(COUNTA(A2749:E2749)=0,D2749=""),"",IFERROR(INDEX(ca_fam,MATCH(D2749,ca_name,0))&amp;"",""))</f>
        <v/>
      </c>
      <c r="H2749" s="58" t="str">
        <f>IF(OR(COUNTA(A2749:E2749)=0,D2749=""),"",IFERROR(INDEX(ca_type,MATCH(D2749,ca_name,0))&amp;"",""))</f>
        <v/>
      </c>
      <c r="I2749" s="58" t="str">
        <f>IF(COUNTA(A2749:E2749)=0,"",IF(N(A2749)&lt;=0,"Date manquante ou invalide",IF(B2749="","Équipe manquante",IF(ISNA(MATCH(B2749,eq_code,0)),"Équipe inconnue",IF(C2749="","Poste manquant",IF(ISNA(MATCH(C2749,po_code,0)),"Poste inconnu",IF(D2749="","Cause manquante",IF(ISNA(MATCH(D2749,ca_name,0)),"Cause inconnue",IF(H2749="","Cause à compléter dans Paramètres",IF(OR(NOT(ISNUMBER(E2749)),N(E2749)&lt;=0,N(E2749)&gt;1440),"Durée invalide",IF(COUNTIFS(sj_date,A2749,sj_eq,B2749,sj_po,C2749)=0,"Pas de saisie journalière ce jour-là","OK")))))))))))</f>
        <v/>
      </c>
      <c r="J2749">
        <f>IF(OR(I2749="OK",I2749="Pas de saisie journalière ce jour-là"),E2749,0)</f>
        <v>0.0</v>
      </c>
      <c r="K2749">
        <f>IF(AND(J2749&gt;0,A2749&gt;=p_from,A2749&lt;=p_to),1,0)</f>
        <v>0.0</v>
      </c>
      <c r="L2749">
        <f>IF(AND(K2749=1,OR(pa_po="",C2749=pa_po),OR(pa_eq="",B2749=pa_eq)),1,0)</f>
        <v>0.0</v>
      </c>
    </row>
    <row r="2750">
      <c r="A2750" s="51" t="n"/>
      <c r="B2750" s="52" t="n"/>
      <c r="C2750" s="52" t="n"/>
      <c r="D2750" s="53" t="n"/>
      <c r="E2750" s="60" t="n"/>
      <c r="F2750" s="53" t="n"/>
      <c r="G2750" s="61" t="str">
        <f>IF(OR(COUNTA(A2750:E2750)=0,D2750=""),"",IFERROR(INDEX(ca_fam,MATCH(D2750,ca_name,0))&amp;"",""))</f>
        <v/>
      </c>
      <c r="H2750" s="58" t="str">
        <f>IF(OR(COUNTA(A2750:E2750)=0,D2750=""),"",IFERROR(INDEX(ca_type,MATCH(D2750,ca_name,0))&amp;"",""))</f>
        <v/>
      </c>
      <c r="I2750" s="58" t="str">
        <f>IF(COUNTA(A2750:E2750)=0,"",IF(N(A2750)&lt;=0,"Date manquante ou invalide",IF(B2750="","Équipe manquante",IF(ISNA(MATCH(B2750,eq_code,0)),"Équipe inconnue",IF(C2750="","Poste manquant",IF(ISNA(MATCH(C2750,po_code,0)),"Poste inconnu",IF(D2750="","Cause manquante",IF(ISNA(MATCH(D2750,ca_name,0)),"Cause inconnue",IF(H2750="","Cause à compléter dans Paramètres",IF(OR(NOT(ISNUMBER(E2750)),N(E2750)&lt;=0,N(E2750)&gt;1440),"Durée invalide",IF(COUNTIFS(sj_date,A2750,sj_eq,B2750,sj_po,C2750)=0,"Pas de saisie journalière ce jour-là","OK")))))))))))</f>
        <v/>
      </c>
      <c r="J2750">
        <f>IF(OR(I2750="OK",I2750="Pas de saisie journalière ce jour-là"),E2750,0)</f>
        <v>0.0</v>
      </c>
      <c r="K2750">
        <f>IF(AND(J2750&gt;0,A2750&gt;=p_from,A2750&lt;=p_to),1,0)</f>
        <v>0.0</v>
      </c>
      <c r="L2750">
        <f>IF(AND(K2750=1,OR(pa_po="",C2750=pa_po),OR(pa_eq="",B2750=pa_eq)),1,0)</f>
        <v>0.0</v>
      </c>
    </row>
    <row r="2751">
      <c r="A2751" s="51" t="n"/>
      <c r="B2751" s="52" t="n"/>
      <c r="C2751" s="52" t="n"/>
      <c r="D2751" s="53" t="n"/>
      <c r="E2751" s="60" t="n"/>
      <c r="F2751" s="53" t="n"/>
      <c r="G2751" s="61" t="str">
        <f>IF(OR(COUNTA(A2751:E2751)=0,D2751=""),"",IFERROR(INDEX(ca_fam,MATCH(D2751,ca_name,0))&amp;"",""))</f>
        <v/>
      </c>
      <c r="H2751" s="58" t="str">
        <f>IF(OR(COUNTA(A2751:E2751)=0,D2751=""),"",IFERROR(INDEX(ca_type,MATCH(D2751,ca_name,0))&amp;"",""))</f>
        <v/>
      </c>
      <c r="I2751" s="58" t="str">
        <f>IF(COUNTA(A2751:E2751)=0,"",IF(N(A2751)&lt;=0,"Date manquante ou invalide",IF(B2751="","Équipe manquante",IF(ISNA(MATCH(B2751,eq_code,0)),"Équipe inconnue",IF(C2751="","Poste manquant",IF(ISNA(MATCH(C2751,po_code,0)),"Poste inconnu",IF(D2751="","Cause manquante",IF(ISNA(MATCH(D2751,ca_name,0)),"Cause inconnue",IF(H2751="","Cause à compléter dans Paramètres",IF(OR(NOT(ISNUMBER(E2751)),N(E2751)&lt;=0,N(E2751)&gt;1440),"Durée invalide",IF(COUNTIFS(sj_date,A2751,sj_eq,B2751,sj_po,C2751)=0,"Pas de saisie journalière ce jour-là","OK")))))))))))</f>
        <v/>
      </c>
      <c r="J2751">
        <f>IF(OR(I2751="OK",I2751="Pas de saisie journalière ce jour-là"),E2751,0)</f>
        <v>0.0</v>
      </c>
      <c r="K2751">
        <f>IF(AND(J2751&gt;0,A2751&gt;=p_from,A2751&lt;=p_to),1,0)</f>
        <v>0.0</v>
      </c>
      <c r="L2751">
        <f>IF(AND(K2751=1,OR(pa_po="",C2751=pa_po),OR(pa_eq="",B2751=pa_eq)),1,0)</f>
        <v>0.0</v>
      </c>
    </row>
    <row r="2752">
      <c r="A2752" s="51" t="n"/>
      <c r="B2752" s="52" t="n"/>
      <c r="C2752" s="52" t="n"/>
      <c r="D2752" s="53" t="n"/>
      <c r="E2752" s="60" t="n"/>
      <c r="F2752" s="53" t="n"/>
      <c r="G2752" s="61" t="str">
        <f>IF(OR(COUNTA(A2752:E2752)=0,D2752=""),"",IFERROR(INDEX(ca_fam,MATCH(D2752,ca_name,0))&amp;"",""))</f>
        <v/>
      </c>
      <c r="H2752" s="58" t="str">
        <f>IF(OR(COUNTA(A2752:E2752)=0,D2752=""),"",IFERROR(INDEX(ca_type,MATCH(D2752,ca_name,0))&amp;"",""))</f>
        <v/>
      </c>
      <c r="I2752" s="58" t="str">
        <f>IF(COUNTA(A2752:E2752)=0,"",IF(N(A2752)&lt;=0,"Date manquante ou invalide",IF(B2752="","Équipe manquante",IF(ISNA(MATCH(B2752,eq_code,0)),"Équipe inconnue",IF(C2752="","Poste manquant",IF(ISNA(MATCH(C2752,po_code,0)),"Poste inconnu",IF(D2752="","Cause manquante",IF(ISNA(MATCH(D2752,ca_name,0)),"Cause inconnue",IF(H2752="","Cause à compléter dans Paramètres",IF(OR(NOT(ISNUMBER(E2752)),N(E2752)&lt;=0,N(E2752)&gt;1440),"Durée invalide",IF(COUNTIFS(sj_date,A2752,sj_eq,B2752,sj_po,C2752)=0,"Pas de saisie journalière ce jour-là","OK")))))))))))</f>
        <v/>
      </c>
      <c r="J2752">
        <f>IF(OR(I2752="OK",I2752="Pas de saisie journalière ce jour-là"),E2752,0)</f>
        <v>0.0</v>
      </c>
      <c r="K2752">
        <f>IF(AND(J2752&gt;0,A2752&gt;=p_from,A2752&lt;=p_to),1,0)</f>
        <v>0.0</v>
      </c>
      <c r="L2752">
        <f>IF(AND(K2752=1,OR(pa_po="",C2752=pa_po),OR(pa_eq="",B2752=pa_eq)),1,0)</f>
        <v>0.0</v>
      </c>
    </row>
    <row r="2753">
      <c r="A2753" s="51" t="n"/>
      <c r="B2753" s="52" t="n"/>
      <c r="C2753" s="52" t="n"/>
      <c r="D2753" s="53" t="n"/>
      <c r="E2753" s="60" t="n"/>
      <c r="F2753" s="53" t="n"/>
      <c r="G2753" s="61" t="str">
        <f>IF(OR(COUNTA(A2753:E2753)=0,D2753=""),"",IFERROR(INDEX(ca_fam,MATCH(D2753,ca_name,0))&amp;"",""))</f>
        <v/>
      </c>
      <c r="H2753" s="58" t="str">
        <f>IF(OR(COUNTA(A2753:E2753)=0,D2753=""),"",IFERROR(INDEX(ca_type,MATCH(D2753,ca_name,0))&amp;"",""))</f>
        <v/>
      </c>
      <c r="I2753" s="58" t="str">
        <f>IF(COUNTA(A2753:E2753)=0,"",IF(N(A2753)&lt;=0,"Date manquante ou invalide",IF(B2753="","Équipe manquante",IF(ISNA(MATCH(B2753,eq_code,0)),"Équipe inconnue",IF(C2753="","Poste manquant",IF(ISNA(MATCH(C2753,po_code,0)),"Poste inconnu",IF(D2753="","Cause manquante",IF(ISNA(MATCH(D2753,ca_name,0)),"Cause inconnue",IF(H2753="","Cause à compléter dans Paramètres",IF(OR(NOT(ISNUMBER(E2753)),N(E2753)&lt;=0,N(E2753)&gt;1440),"Durée invalide",IF(COUNTIFS(sj_date,A2753,sj_eq,B2753,sj_po,C2753)=0,"Pas de saisie journalière ce jour-là","OK")))))))))))</f>
        <v/>
      </c>
      <c r="J2753">
        <f>IF(OR(I2753="OK",I2753="Pas de saisie journalière ce jour-là"),E2753,0)</f>
        <v>0.0</v>
      </c>
      <c r="K2753">
        <f>IF(AND(J2753&gt;0,A2753&gt;=p_from,A2753&lt;=p_to),1,0)</f>
        <v>0.0</v>
      </c>
      <c r="L2753">
        <f>IF(AND(K2753=1,OR(pa_po="",C2753=pa_po),OR(pa_eq="",B2753=pa_eq)),1,0)</f>
        <v>0.0</v>
      </c>
    </row>
    <row r="2754">
      <c r="A2754" s="51" t="n"/>
      <c r="B2754" s="52" t="n"/>
      <c r="C2754" s="52" t="n"/>
      <c r="D2754" s="53" t="n"/>
      <c r="E2754" s="60" t="n"/>
      <c r="F2754" s="53" t="n"/>
      <c r="G2754" s="61" t="str">
        <f>IF(OR(COUNTA(A2754:E2754)=0,D2754=""),"",IFERROR(INDEX(ca_fam,MATCH(D2754,ca_name,0))&amp;"",""))</f>
        <v/>
      </c>
      <c r="H2754" s="58" t="str">
        <f>IF(OR(COUNTA(A2754:E2754)=0,D2754=""),"",IFERROR(INDEX(ca_type,MATCH(D2754,ca_name,0))&amp;"",""))</f>
        <v/>
      </c>
      <c r="I2754" s="58" t="str">
        <f>IF(COUNTA(A2754:E2754)=0,"",IF(N(A2754)&lt;=0,"Date manquante ou invalide",IF(B2754="","Équipe manquante",IF(ISNA(MATCH(B2754,eq_code,0)),"Équipe inconnue",IF(C2754="","Poste manquant",IF(ISNA(MATCH(C2754,po_code,0)),"Poste inconnu",IF(D2754="","Cause manquante",IF(ISNA(MATCH(D2754,ca_name,0)),"Cause inconnue",IF(H2754="","Cause à compléter dans Paramètres",IF(OR(NOT(ISNUMBER(E2754)),N(E2754)&lt;=0,N(E2754)&gt;1440),"Durée invalide",IF(COUNTIFS(sj_date,A2754,sj_eq,B2754,sj_po,C2754)=0,"Pas de saisie journalière ce jour-là","OK")))))))))))</f>
        <v/>
      </c>
      <c r="J2754">
        <f>IF(OR(I2754="OK",I2754="Pas de saisie journalière ce jour-là"),E2754,0)</f>
        <v>0.0</v>
      </c>
      <c r="K2754">
        <f>IF(AND(J2754&gt;0,A2754&gt;=p_from,A2754&lt;=p_to),1,0)</f>
        <v>0.0</v>
      </c>
      <c r="L2754">
        <f>IF(AND(K2754=1,OR(pa_po="",C2754=pa_po),OR(pa_eq="",B2754=pa_eq)),1,0)</f>
        <v>0.0</v>
      </c>
    </row>
    <row r="2755">
      <c r="A2755" s="51" t="n"/>
      <c r="B2755" s="52" t="n"/>
      <c r="C2755" s="52" t="n"/>
      <c r="D2755" s="53" t="n"/>
      <c r="E2755" s="60" t="n"/>
      <c r="F2755" s="53" t="n"/>
      <c r="G2755" s="61" t="str">
        <f>IF(OR(COUNTA(A2755:E2755)=0,D2755=""),"",IFERROR(INDEX(ca_fam,MATCH(D2755,ca_name,0))&amp;"",""))</f>
        <v/>
      </c>
      <c r="H2755" s="58" t="str">
        <f>IF(OR(COUNTA(A2755:E2755)=0,D2755=""),"",IFERROR(INDEX(ca_type,MATCH(D2755,ca_name,0))&amp;"",""))</f>
        <v/>
      </c>
      <c r="I2755" s="58" t="str">
        <f>IF(COUNTA(A2755:E2755)=0,"",IF(N(A2755)&lt;=0,"Date manquante ou invalide",IF(B2755="","Équipe manquante",IF(ISNA(MATCH(B2755,eq_code,0)),"Équipe inconnue",IF(C2755="","Poste manquant",IF(ISNA(MATCH(C2755,po_code,0)),"Poste inconnu",IF(D2755="","Cause manquante",IF(ISNA(MATCH(D2755,ca_name,0)),"Cause inconnue",IF(H2755="","Cause à compléter dans Paramètres",IF(OR(NOT(ISNUMBER(E2755)),N(E2755)&lt;=0,N(E2755)&gt;1440),"Durée invalide",IF(COUNTIFS(sj_date,A2755,sj_eq,B2755,sj_po,C2755)=0,"Pas de saisie journalière ce jour-là","OK")))))))))))</f>
        <v/>
      </c>
      <c r="J2755">
        <f>IF(OR(I2755="OK",I2755="Pas de saisie journalière ce jour-là"),E2755,0)</f>
        <v>0.0</v>
      </c>
      <c r="K2755">
        <f>IF(AND(J2755&gt;0,A2755&gt;=p_from,A2755&lt;=p_to),1,0)</f>
        <v>0.0</v>
      </c>
      <c r="L2755">
        <f>IF(AND(K2755=1,OR(pa_po="",C2755=pa_po),OR(pa_eq="",B2755=pa_eq)),1,0)</f>
        <v>0.0</v>
      </c>
    </row>
    <row r="2756">
      <c r="A2756" s="51" t="n"/>
      <c r="B2756" s="52" t="n"/>
      <c r="C2756" s="52" t="n"/>
      <c r="D2756" s="53" t="n"/>
      <c r="E2756" s="60" t="n"/>
      <c r="F2756" s="53" t="n"/>
      <c r="G2756" s="61" t="str">
        <f>IF(OR(COUNTA(A2756:E2756)=0,D2756=""),"",IFERROR(INDEX(ca_fam,MATCH(D2756,ca_name,0))&amp;"",""))</f>
        <v/>
      </c>
      <c r="H2756" s="58" t="str">
        <f>IF(OR(COUNTA(A2756:E2756)=0,D2756=""),"",IFERROR(INDEX(ca_type,MATCH(D2756,ca_name,0))&amp;"",""))</f>
        <v/>
      </c>
      <c r="I2756" s="58" t="str">
        <f>IF(COUNTA(A2756:E2756)=0,"",IF(N(A2756)&lt;=0,"Date manquante ou invalide",IF(B2756="","Équipe manquante",IF(ISNA(MATCH(B2756,eq_code,0)),"Équipe inconnue",IF(C2756="","Poste manquant",IF(ISNA(MATCH(C2756,po_code,0)),"Poste inconnu",IF(D2756="","Cause manquante",IF(ISNA(MATCH(D2756,ca_name,0)),"Cause inconnue",IF(H2756="","Cause à compléter dans Paramètres",IF(OR(NOT(ISNUMBER(E2756)),N(E2756)&lt;=0,N(E2756)&gt;1440),"Durée invalide",IF(COUNTIFS(sj_date,A2756,sj_eq,B2756,sj_po,C2756)=0,"Pas de saisie journalière ce jour-là","OK")))))))))))</f>
        <v/>
      </c>
      <c r="J2756">
        <f>IF(OR(I2756="OK",I2756="Pas de saisie journalière ce jour-là"),E2756,0)</f>
        <v>0.0</v>
      </c>
      <c r="K2756">
        <f>IF(AND(J2756&gt;0,A2756&gt;=p_from,A2756&lt;=p_to),1,0)</f>
        <v>0.0</v>
      </c>
      <c r="L2756">
        <f>IF(AND(K2756=1,OR(pa_po="",C2756=pa_po),OR(pa_eq="",B2756=pa_eq)),1,0)</f>
        <v>0.0</v>
      </c>
    </row>
    <row r="2757">
      <c r="A2757" s="51" t="n"/>
      <c r="B2757" s="52" t="n"/>
      <c r="C2757" s="52" t="n"/>
      <c r="D2757" s="53" t="n"/>
      <c r="E2757" s="60" t="n"/>
      <c r="F2757" s="53" t="n"/>
      <c r="G2757" s="61" t="str">
        <f>IF(OR(COUNTA(A2757:E2757)=0,D2757=""),"",IFERROR(INDEX(ca_fam,MATCH(D2757,ca_name,0))&amp;"",""))</f>
        <v/>
      </c>
      <c r="H2757" s="58" t="str">
        <f>IF(OR(COUNTA(A2757:E2757)=0,D2757=""),"",IFERROR(INDEX(ca_type,MATCH(D2757,ca_name,0))&amp;"",""))</f>
        <v/>
      </c>
      <c r="I2757" s="58" t="str">
        <f>IF(COUNTA(A2757:E2757)=0,"",IF(N(A2757)&lt;=0,"Date manquante ou invalide",IF(B2757="","Équipe manquante",IF(ISNA(MATCH(B2757,eq_code,0)),"Équipe inconnue",IF(C2757="","Poste manquant",IF(ISNA(MATCH(C2757,po_code,0)),"Poste inconnu",IF(D2757="","Cause manquante",IF(ISNA(MATCH(D2757,ca_name,0)),"Cause inconnue",IF(H2757="","Cause à compléter dans Paramètres",IF(OR(NOT(ISNUMBER(E2757)),N(E2757)&lt;=0,N(E2757)&gt;1440),"Durée invalide",IF(COUNTIFS(sj_date,A2757,sj_eq,B2757,sj_po,C2757)=0,"Pas de saisie journalière ce jour-là","OK")))))))))))</f>
        <v/>
      </c>
      <c r="J2757">
        <f>IF(OR(I2757="OK",I2757="Pas de saisie journalière ce jour-là"),E2757,0)</f>
        <v>0.0</v>
      </c>
      <c r="K2757">
        <f>IF(AND(J2757&gt;0,A2757&gt;=p_from,A2757&lt;=p_to),1,0)</f>
        <v>0.0</v>
      </c>
      <c r="L2757">
        <f>IF(AND(K2757=1,OR(pa_po="",C2757=pa_po),OR(pa_eq="",B2757=pa_eq)),1,0)</f>
        <v>0.0</v>
      </c>
    </row>
    <row r="2758">
      <c r="A2758" s="51" t="n"/>
      <c r="B2758" s="52" t="n"/>
      <c r="C2758" s="52" t="n"/>
      <c r="D2758" s="53" t="n"/>
      <c r="E2758" s="60" t="n"/>
      <c r="F2758" s="53" t="n"/>
      <c r="G2758" s="61" t="str">
        <f>IF(OR(COUNTA(A2758:E2758)=0,D2758=""),"",IFERROR(INDEX(ca_fam,MATCH(D2758,ca_name,0))&amp;"",""))</f>
        <v/>
      </c>
      <c r="H2758" s="58" t="str">
        <f>IF(OR(COUNTA(A2758:E2758)=0,D2758=""),"",IFERROR(INDEX(ca_type,MATCH(D2758,ca_name,0))&amp;"",""))</f>
        <v/>
      </c>
      <c r="I2758" s="58" t="str">
        <f>IF(COUNTA(A2758:E2758)=0,"",IF(N(A2758)&lt;=0,"Date manquante ou invalide",IF(B2758="","Équipe manquante",IF(ISNA(MATCH(B2758,eq_code,0)),"Équipe inconnue",IF(C2758="","Poste manquant",IF(ISNA(MATCH(C2758,po_code,0)),"Poste inconnu",IF(D2758="","Cause manquante",IF(ISNA(MATCH(D2758,ca_name,0)),"Cause inconnue",IF(H2758="","Cause à compléter dans Paramètres",IF(OR(NOT(ISNUMBER(E2758)),N(E2758)&lt;=0,N(E2758)&gt;1440),"Durée invalide",IF(COUNTIFS(sj_date,A2758,sj_eq,B2758,sj_po,C2758)=0,"Pas de saisie journalière ce jour-là","OK")))))))))))</f>
        <v/>
      </c>
      <c r="J2758">
        <f>IF(OR(I2758="OK",I2758="Pas de saisie journalière ce jour-là"),E2758,0)</f>
        <v>0.0</v>
      </c>
      <c r="K2758">
        <f>IF(AND(J2758&gt;0,A2758&gt;=p_from,A2758&lt;=p_to),1,0)</f>
        <v>0.0</v>
      </c>
      <c r="L2758">
        <f>IF(AND(K2758=1,OR(pa_po="",C2758=pa_po),OR(pa_eq="",B2758=pa_eq)),1,0)</f>
        <v>0.0</v>
      </c>
    </row>
    <row r="2759">
      <c r="A2759" s="51" t="n"/>
      <c r="B2759" s="52" t="n"/>
      <c r="C2759" s="52" t="n"/>
      <c r="D2759" s="53" t="n"/>
      <c r="E2759" s="60" t="n"/>
      <c r="F2759" s="53" t="n"/>
      <c r="G2759" s="61" t="str">
        <f>IF(OR(COUNTA(A2759:E2759)=0,D2759=""),"",IFERROR(INDEX(ca_fam,MATCH(D2759,ca_name,0))&amp;"",""))</f>
        <v/>
      </c>
      <c r="H2759" s="58" t="str">
        <f>IF(OR(COUNTA(A2759:E2759)=0,D2759=""),"",IFERROR(INDEX(ca_type,MATCH(D2759,ca_name,0))&amp;"",""))</f>
        <v/>
      </c>
      <c r="I2759" s="58" t="str">
        <f>IF(COUNTA(A2759:E2759)=0,"",IF(N(A2759)&lt;=0,"Date manquante ou invalide",IF(B2759="","Équipe manquante",IF(ISNA(MATCH(B2759,eq_code,0)),"Équipe inconnue",IF(C2759="","Poste manquant",IF(ISNA(MATCH(C2759,po_code,0)),"Poste inconnu",IF(D2759="","Cause manquante",IF(ISNA(MATCH(D2759,ca_name,0)),"Cause inconnue",IF(H2759="","Cause à compléter dans Paramètres",IF(OR(NOT(ISNUMBER(E2759)),N(E2759)&lt;=0,N(E2759)&gt;1440),"Durée invalide",IF(COUNTIFS(sj_date,A2759,sj_eq,B2759,sj_po,C2759)=0,"Pas de saisie journalière ce jour-là","OK")))))))))))</f>
        <v/>
      </c>
      <c r="J2759">
        <f>IF(OR(I2759="OK",I2759="Pas de saisie journalière ce jour-là"),E2759,0)</f>
        <v>0.0</v>
      </c>
      <c r="K2759">
        <f>IF(AND(J2759&gt;0,A2759&gt;=p_from,A2759&lt;=p_to),1,0)</f>
        <v>0.0</v>
      </c>
      <c r="L2759">
        <f>IF(AND(K2759=1,OR(pa_po="",C2759=pa_po),OR(pa_eq="",B2759=pa_eq)),1,0)</f>
        <v>0.0</v>
      </c>
    </row>
    <row r="2760">
      <c r="A2760" s="51" t="n"/>
      <c r="B2760" s="52" t="n"/>
      <c r="C2760" s="52" t="n"/>
      <c r="D2760" s="53" t="n"/>
      <c r="E2760" s="60" t="n"/>
      <c r="F2760" s="53" t="n"/>
      <c r="G2760" s="61" t="str">
        <f>IF(OR(COUNTA(A2760:E2760)=0,D2760=""),"",IFERROR(INDEX(ca_fam,MATCH(D2760,ca_name,0))&amp;"",""))</f>
        <v/>
      </c>
      <c r="H2760" s="58" t="str">
        <f>IF(OR(COUNTA(A2760:E2760)=0,D2760=""),"",IFERROR(INDEX(ca_type,MATCH(D2760,ca_name,0))&amp;"",""))</f>
        <v/>
      </c>
      <c r="I2760" s="58" t="str">
        <f>IF(COUNTA(A2760:E2760)=0,"",IF(N(A2760)&lt;=0,"Date manquante ou invalide",IF(B2760="","Équipe manquante",IF(ISNA(MATCH(B2760,eq_code,0)),"Équipe inconnue",IF(C2760="","Poste manquant",IF(ISNA(MATCH(C2760,po_code,0)),"Poste inconnu",IF(D2760="","Cause manquante",IF(ISNA(MATCH(D2760,ca_name,0)),"Cause inconnue",IF(H2760="","Cause à compléter dans Paramètres",IF(OR(NOT(ISNUMBER(E2760)),N(E2760)&lt;=0,N(E2760)&gt;1440),"Durée invalide",IF(COUNTIFS(sj_date,A2760,sj_eq,B2760,sj_po,C2760)=0,"Pas de saisie journalière ce jour-là","OK")))))))))))</f>
        <v/>
      </c>
      <c r="J2760">
        <f>IF(OR(I2760="OK",I2760="Pas de saisie journalière ce jour-là"),E2760,0)</f>
        <v>0.0</v>
      </c>
      <c r="K2760">
        <f>IF(AND(J2760&gt;0,A2760&gt;=p_from,A2760&lt;=p_to),1,0)</f>
        <v>0.0</v>
      </c>
      <c r="L2760">
        <f>IF(AND(K2760=1,OR(pa_po="",C2760=pa_po),OR(pa_eq="",B2760=pa_eq)),1,0)</f>
        <v>0.0</v>
      </c>
    </row>
    <row r="2761">
      <c r="A2761" s="51" t="n"/>
      <c r="B2761" s="52" t="n"/>
      <c r="C2761" s="52" t="n"/>
      <c r="D2761" s="53" t="n"/>
      <c r="E2761" s="60" t="n"/>
      <c r="F2761" s="53" t="n"/>
      <c r="G2761" s="61" t="str">
        <f>IF(OR(COUNTA(A2761:E2761)=0,D2761=""),"",IFERROR(INDEX(ca_fam,MATCH(D2761,ca_name,0))&amp;"",""))</f>
        <v/>
      </c>
      <c r="H2761" s="58" t="str">
        <f>IF(OR(COUNTA(A2761:E2761)=0,D2761=""),"",IFERROR(INDEX(ca_type,MATCH(D2761,ca_name,0))&amp;"",""))</f>
        <v/>
      </c>
      <c r="I2761" s="58" t="str">
        <f>IF(COUNTA(A2761:E2761)=0,"",IF(N(A2761)&lt;=0,"Date manquante ou invalide",IF(B2761="","Équipe manquante",IF(ISNA(MATCH(B2761,eq_code,0)),"Équipe inconnue",IF(C2761="","Poste manquant",IF(ISNA(MATCH(C2761,po_code,0)),"Poste inconnu",IF(D2761="","Cause manquante",IF(ISNA(MATCH(D2761,ca_name,0)),"Cause inconnue",IF(H2761="","Cause à compléter dans Paramètres",IF(OR(NOT(ISNUMBER(E2761)),N(E2761)&lt;=0,N(E2761)&gt;1440),"Durée invalide",IF(COUNTIFS(sj_date,A2761,sj_eq,B2761,sj_po,C2761)=0,"Pas de saisie journalière ce jour-là","OK")))))))))))</f>
        <v/>
      </c>
      <c r="J2761">
        <f>IF(OR(I2761="OK",I2761="Pas de saisie journalière ce jour-là"),E2761,0)</f>
        <v>0.0</v>
      </c>
      <c r="K2761">
        <f>IF(AND(J2761&gt;0,A2761&gt;=p_from,A2761&lt;=p_to),1,0)</f>
        <v>0.0</v>
      </c>
      <c r="L2761">
        <f>IF(AND(K2761=1,OR(pa_po="",C2761=pa_po),OR(pa_eq="",B2761=pa_eq)),1,0)</f>
        <v>0.0</v>
      </c>
    </row>
    <row r="2762">
      <c r="A2762" s="51" t="n"/>
      <c r="B2762" s="52" t="n"/>
      <c r="C2762" s="52" t="n"/>
      <c r="D2762" s="53" t="n"/>
      <c r="E2762" s="60" t="n"/>
      <c r="F2762" s="53" t="n"/>
      <c r="G2762" s="61" t="str">
        <f>IF(OR(COUNTA(A2762:E2762)=0,D2762=""),"",IFERROR(INDEX(ca_fam,MATCH(D2762,ca_name,0))&amp;"",""))</f>
        <v/>
      </c>
      <c r="H2762" s="58" t="str">
        <f>IF(OR(COUNTA(A2762:E2762)=0,D2762=""),"",IFERROR(INDEX(ca_type,MATCH(D2762,ca_name,0))&amp;"",""))</f>
        <v/>
      </c>
      <c r="I2762" s="58" t="str">
        <f>IF(COUNTA(A2762:E2762)=0,"",IF(N(A2762)&lt;=0,"Date manquante ou invalide",IF(B2762="","Équipe manquante",IF(ISNA(MATCH(B2762,eq_code,0)),"Équipe inconnue",IF(C2762="","Poste manquant",IF(ISNA(MATCH(C2762,po_code,0)),"Poste inconnu",IF(D2762="","Cause manquante",IF(ISNA(MATCH(D2762,ca_name,0)),"Cause inconnue",IF(H2762="","Cause à compléter dans Paramètres",IF(OR(NOT(ISNUMBER(E2762)),N(E2762)&lt;=0,N(E2762)&gt;1440),"Durée invalide",IF(COUNTIFS(sj_date,A2762,sj_eq,B2762,sj_po,C2762)=0,"Pas de saisie journalière ce jour-là","OK")))))))))))</f>
        <v/>
      </c>
      <c r="J2762">
        <f>IF(OR(I2762="OK",I2762="Pas de saisie journalière ce jour-là"),E2762,0)</f>
        <v>0.0</v>
      </c>
      <c r="K2762">
        <f>IF(AND(J2762&gt;0,A2762&gt;=p_from,A2762&lt;=p_to),1,0)</f>
        <v>0.0</v>
      </c>
      <c r="L2762">
        <f>IF(AND(K2762=1,OR(pa_po="",C2762=pa_po),OR(pa_eq="",B2762=pa_eq)),1,0)</f>
        <v>0.0</v>
      </c>
    </row>
    <row r="2763">
      <c r="A2763" s="51" t="n"/>
      <c r="B2763" s="52" t="n"/>
      <c r="C2763" s="52" t="n"/>
      <c r="D2763" s="53" t="n"/>
      <c r="E2763" s="60" t="n"/>
      <c r="F2763" s="53" t="n"/>
      <c r="G2763" s="61" t="str">
        <f>IF(OR(COUNTA(A2763:E2763)=0,D2763=""),"",IFERROR(INDEX(ca_fam,MATCH(D2763,ca_name,0))&amp;"",""))</f>
        <v/>
      </c>
      <c r="H2763" s="58" t="str">
        <f>IF(OR(COUNTA(A2763:E2763)=0,D2763=""),"",IFERROR(INDEX(ca_type,MATCH(D2763,ca_name,0))&amp;"",""))</f>
        <v/>
      </c>
      <c r="I2763" s="58" t="str">
        <f>IF(COUNTA(A2763:E2763)=0,"",IF(N(A2763)&lt;=0,"Date manquante ou invalide",IF(B2763="","Équipe manquante",IF(ISNA(MATCH(B2763,eq_code,0)),"Équipe inconnue",IF(C2763="","Poste manquant",IF(ISNA(MATCH(C2763,po_code,0)),"Poste inconnu",IF(D2763="","Cause manquante",IF(ISNA(MATCH(D2763,ca_name,0)),"Cause inconnue",IF(H2763="","Cause à compléter dans Paramètres",IF(OR(NOT(ISNUMBER(E2763)),N(E2763)&lt;=0,N(E2763)&gt;1440),"Durée invalide",IF(COUNTIFS(sj_date,A2763,sj_eq,B2763,sj_po,C2763)=0,"Pas de saisie journalière ce jour-là","OK")))))))))))</f>
        <v/>
      </c>
      <c r="J2763">
        <f>IF(OR(I2763="OK",I2763="Pas de saisie journalière ce jour-là"),E2763,0)</f>
        <v>0.0</v>
      </c>
      <c r="K2763">
        <f>IF(AND(J2763&gt;0,A2763&gt;=p_from,A2763&lt;=p_to),1,0)</f>
        <v>0.0</v>
      </c>
      <c r="L2763">
        <f>IF(AND(K2763=1,OR(pa_po="",C2763=pa_po),OR(pa_eq="",B2763=pa_eq)),1,0)</f>
        <v>0.0</v>
      </c>
    </row>
    <row r="2764">
      <c r="A2764" s="51" t="n"/>
      <c r="B2764" s="52" t="n"/>
      <c r="C2764" s="52" t="n"/>
      <c r="D2764" s="53" t="n"/>
      <c r="E2764" s="60" t="n"/>
      <c r="F2764" s="53" t="n"/>
      <c r="G2764" s="61" t="str">
        <f>IF(OR(COUNTA(A2764:E2764)=0,D2764=""),"",IFERROR(INDEX(ca_fam,MATCH(D2764,ca_name,0))&amp;"",""))</f>
        <v/>
      </c>
      <c r="H2764" s="58" t="str">
        <f>IF(OR(COUNTA(A2764:E2764)=0,D2764=""),"",IFERROR(INDEX(ca_type,MATCH(D2764,ca_name,0))&amp;"",""))</f>
        <v/>
      </c>
      <c r="I2764" s="58" t="str">
        <f>IF(COUNTA(A2764:E2764)=0,"",IF(N(A2764)&lt;=0,"Date manquante ou invalide",IF(B2764="","Équipe manquante",IF(ISNA(MATCH(B2764,eq_code,0)),"Équipe inconnue",IF(C2764="","Poste manquant",IF(ISNA(MATCH(C2764,po_code,0)),"Poste inconnu",IF(D2764="","Cause manquante",IF(ISNA(MATCH(D2764,ca_name,0)),"Cause inconnue",IF(H2764="","Cause à compléter dans Paramètres",IF(OR(NOT(ISNUMBER(E2764)),N(E2764)&lt;=0,N(E2764)&gt;1440),"Durée invalide",IF(COUNTIFS(sj_date,A2764,sj_eq,B2764,sj_po,C2764)=0,"Pas de saisie journalière ce jour-là","OK")))))))))))</f>
        <v/>
      </c>
      <c r="J2764">
        <f>IF(OR(I2764="OK",I2764="Pas de saisie journalière ce jour-là"),E2764,0)</f>
        <v>0.0</v>
      </c>
      <c r="K2764">
        <f>IF(AND(J2764&gt;0,A2764&gt;=p_from,A2764&lt;=p_to),1,0)</f>
        <v>0.0</v>
      </c>
      <c r="L2764">
        <f>IF(AND(K2764=1,OR(pa_po="",C2764=pa_po),OR(pa_eq="",B2764=pa_eq)),1,0)</f>
        <v>0.0</v>
      </c>
    </row>
    <row r="2765">
      <c r="A2765" s="51" t="n"/>
      <c r="B2765" s="52" t="n"/>
      <c r="C2765" s="52" t="n"/>
      <c r="D2765" s="53" t="n"/>
      <c r="E2765" s="60" t="n"/>
      <c r="F2765" s="53" t="n"/>
      <c r="G2765" s="61" t="str">
        <f>IF(OR(COUNTA(A2765:E2765)=0,D2765=""),"",IFERROR(INDEX(ca_fam,MATCH(D2765,ca_name,0))&amp;"",""))</f>
        <v/>
      </c>
      <c r="H2765" s="58" t="str">
        <f>IF(OR(COUNTA(A2765:E2765)=0,D2765=""),"",IFERROR(INDEX(ca_type,MATCH(D2765,ca_name,0))&amp;"",""))</f>
        <v/>
      </c>
      <c r="I2765" s="58" t="str">
        <f>IF(COUNTA(A2765:E2765)=0,"",IF(N(A2765)&lt;=0,"Date manquante ou invalide",IF(B2765="","Équipe manquante",IF(ISNA(MATCH(B2765,eq_code,0)),"Équipe inconnue",IF(C2765="","Poste manquant",IF(ISNA(MATCH(C2765,po_code,0)),"Poste inconnu",IF(D2765="","Cause manquante",IF(ISNA(MATCH(D2765,ca_name,0)),"Cause inconnue",IF(H2765="","Cause à compléter dans Paramètres",IF(OR(NOT(ISNUMBER(E2765)),N(E2765)&lt;=0,N(E2765)&gt;1440),"Durée invalide",IF(COUNTIFS(sj_date,A2765,sj_eq,B2765,sj_po,C2765)=0,"Pas de saisie journalière ce jour-là","OK")))))))))))</f>
        <v/>
      </c>
      <c r="J2765">
        <f>IF(OR(I2765="OK",I2765="Pas de saisie journalière ce jour-là"),E2765,0)</f>
        <v>0.0</v>
      </c>
      <c r="K2765">
        <f>IF(AND(J2765&gt;0,A2765&gt;=p_from,A2765&lt;=p_to),1,0)</f>
        <v>0.0</v>
      </c>
      <c r="L2765">
        <f>IF(AND(K2765=1,OR(pa_po="",C2765=pa_po),OR(pa_eq="",B2765=pa_eq)),1,0)</f>
        <v>0.0</v>
      </c>
    </row>
    <row r="2766">
      <c r="A2766" s="51" t="n"/>
      <c r="B2766" s="52" t="n"/>
      <c r="C2766" s="52" t="n"/>
      <c r="D2766" s="53" t="n"/>
      <c r="E2766" s="60" t="n"/>
      <c r="F2766" s="53" t="n"/>
      <c r="G2766" s="61" t="str">
        <f>IF(OR(COUNTA(A2766:E2766)=0,D2766=""),"",IFERROR(INDEX(ca_fam,MATCH(D2766,ca_name,0))&amp;"",""))</f>
        <v/>
      </c>
      <c r="H2766" s="58" t="str">
        <f>IF(OR(COUNTA(A2766:E2766)=0,D2766=""),"",IFERROR(INDEX(ca_type,MATCH(D2766,ca_name,0))&amp;"",""))</f>
        <v/>
      </c>
      <c r="I2766" s="58" t="str">
        <f>IF(COUNTA(A2766:E2766)=0,"",IF(N(A2766)&lt;=0,"Date manquante ou invalide",IF(B2766="","Équipe manquante",IF(ISNA(MATCH(B2766,eq_code,0)),"Équipe inconnue",IF(C2766="","Poste manquant",IF(ISNA(MATCH(C2766,po_code,0)),"Poste inconnu",IF(D2766="","Cause manquante",IF(ISNA(MATCH(D2766,ca_name,0)),"Cause inconnue",IF(H2766="","Cause à compléter dans Paramètres",IF(OR(NOT(ISNUMBER(E2766)),N(E2766)&lt;=0,N(E2766)&gt;1440),"Durée invalide",IF(COUNTIFS(sj_date,A2766,sj_eq,B2766,sj_po,C2766)=0,"Pas de saisie journalière ce jour-là","OK")))))))))))</f>
        <v/>
      </c>
      <c r="J2766">
        <f>IF(OR(I2766="OK",I2766="Pas de saisie journalière ce jour-là"),E2766,0)</f>
        <v>0.0</v>
      </c>
      <c r="K2766">
        <f>IF(AND(J2766&gt;0,A2766&gt;=p_from,A2766&lt;=p_to),1,0)</f>
        <v>0.0</v>
      </c>
      <c r="L2766">
        <f>IF(AND(K2766=1,OR(pa_po="",C2766=pa_po),OR(pa_eq="",B2766=pa_eq)),1,0)</f>
        <v>0.0</v>
      </c>
    </row>
    <row r="2767">
      <c r="A2767" s="51" t="n"/>
      <c r="B2767" s="52" t="n"/>
      <c r="C2767" s="52" t="n"/>
      <c r="D2767" s="53" t="n"/>
      <c r="E2767" s="60" t="n"/>
      <c r="F2767" s="53" t="n"/>
      <c r="G2767" s="61" t="str">
        <f>IF(OR(COUNTA(A2767:E2767)=0,D2767=""),"",IFERROR(INDEX(ca_fam,MATCH(D2767,ca_name,0))&amp;"",""))</f>
        <v/>
      </c>
      <c r="H2767" s="58" t="str">
        <f>IF(OR(COUNTA(A2767:E2767)=0,D2767=""),"",IFERROR(INDEX(ca_type,MATCH(D2767,ca_name,0))&amp;"",""))</f>
        <v/>
      </c>
      <c r="I2767" s="58" t="str">
        <f>IF(COUNTA(A2767:E2767)=0,"",IF(N(A2767)&lt;=0,"Date manquante ou invalide",IF(B2767="","Équipe manquante",IF(ISNA(MATCH(B2767,eq_code,0)),"Équipe inconnue",IF(C2767="","Poste manquant",IF(ISNA(MATCH(C2767,po_code,0)),"Poste inconnu",IF(D2767="","Cause manquante",IF(ISNA(MATCH(D2767,ca_name,0)),"Cause inconnue",IF(H2767="","Cause à compléter dans Paramètres",IF(OR(NOT(ISNUMBER(E2767)),N(E2767)&lt;=0,N(E2767)&gt;1440),"Durée invalide",IF(COUNTIFS(sj_date,A2767,sj_eq,B2767,sj_po,C2767)=0,"Pas de saisie journalière ce jour-là","OK")))))))))))</f>
        <v/>
      </c>
      <c r="J2767">
        <f>IF(OR(I2767="OK",I2767="Pas de saisie journalière ce jour-là"),E2767,0)</f>
        <v>0.0</v>
      </c>
      <c r="K2767">
        <f>IF(AND(J2767&gt;0,A2767&gt;=p_from,A2767&lt;=p_to),1,0)</f>
        <v>0.0</v>
      </c>
      <c r="L2767">
        <f>IF(AND(K2767=1,OR(pa_po="",C2767=pa_po),OR(pa_eq="",B2767=pa_eq)),1,0)</f>
        <v>0.0</v>
      </c>
    </row>
    <row r="2768">
      <c r="A2768" s="51" t="n"/>
      <c r="B2768" s="52" t="n"/>
      <c r="C2768" s="52" t="n"/>
      <c r="D2768" s="53" t="n"/>
      <c r="E2768" s="60" t="n"/>
      <c r="F2768" s="53" t="n"/>
      <c r="G2768" s="61" t="str">
        <f>IF(OR(COUNTA(A2768:E2768)=0,D2768=""),"",IFERROR(INDEX(ca_fam,MATCH(D2768,ca_name,0))&amp;"",""))</f>
        <v/>
      </c>
      <c r="H2768" s="58" t="str">
        <f>IF(OR(COUNTA(A2768:E2768)=0,D2768=""),"",IFERROR(INDEX(ca_type,MATCH(D2768,ca_name,0))&amp;"",""))</f>
        <v/>
      </c>
      <c r="I2768" s="58" t="str">
        <f>IF(COUNTA(A2768:E2768)=0,"",IF(N(A2768)&lt;=0,"Date manquante ou invalide",IF(B2768="","Équipe manquante",IF(ISNA(MATCH(B2768,eq_code,0)),"Équipe inconnue",IF(C2768="","Poste manquant",IF(ISNA(MATCH(C2768,po_code,0)),"Poste inconnu",IF(D2768="","Cause manquante",IF(ISNA(MATCH(D2768,ca_name,0)),"Cause inconnue",IF(H2768="","Cause à compléter dans Paramètres",IF(OR(NOT(ISNUMBER(E2768)),N(E2768)&lt;=0,N(E2768)&gt;1440),"Durée invalide",IF(COUNTIFS(sj_date,A2768,sj_eq,B2768,sj_po,C2768)=0,"Pas de saisie journalière ce jour-là","OK")))))))))))</f>
        <v/>
      </c>
      <c r="J2768">
        <f>IF(OR(I2768="OK",I2768="Pas de saisie journalière ce jour-là"),E2768,0)</f>
        <v>0.0</v>
      </c>
      <c r="K2768">
        <f>IF(AND(J2768&gt;0,A2768&gt;=p_from,A2768&lt;=p_to),1,0)</f>
        <v>0.0</v>
      </c>
      <c r="L2768">
        <f>IF(AND(K2768=1,OR(pa_po="",C2768=pa_po),OR(pa_eq="",B2768=pa_eq)),1,0)</f>
        <v>0.0</v>
      </c>
    </row>
    <row r="2769">
      <c r="A2769" s="51" t="n"/>
      <c r="B2769" s="52" t="n"/>
      <c r="C2769" s="52" t="n"/>
      <c r="D2769" s="53" t="n"/>
      <c r="E2769" s="60" t="n"/>
      <c r="F2769" s="53" t="n"/>
      <c r="G2769" s="61" t="str">
        <f>IF(OR(COUNTA(A2769:E2769)=0,D2769=""),"",IFERROR(INDEX(ca_fam,MATCH(D2769,ca_name,0))&amp;"",""))</f>
        <v/>
      </c>
      <c r="H2769" s="58" t="str">
        <f>IF(OR(COUNTA(A2769:E2769)=0,D2769=""),"",IFERROR(INDEX(ca_type,MATCH(D2769,ca_name,0))&amp;"",""))</f>
        <v/>
      </c>
      <c r="I2769" s="58" t="str">
        <f>IF(COUNTA(A2769:E2769)=0,"",IF(N(A2769)&lt;=0,"Date manquante ou invalide",IF(B2769="","Équipe manquante",IF(ISNA(MATCH(B2769,eq_code,0)),"Équipe inconnue",IF(C2769="","Poste manquant",IF(ISNA(MATCH(C2769,po_code,0)),"Poste inconnu",IF(D2769="","Cause manquante",IF(ISNA(MATCH(D2769,ca_name,0)),"Cause inconnue",IF(H2769="","Cause à compléter dans Paramètres",IF(OR(NOT(ISNUMBER(E2769)),N(E2769)&lt;=0,N(E2769)&gt;1440),"Durée invalide",IF(COUNTIFS(sj_date,A2769,sj_eq,B2769,sj_po,C2769)=0,"Pas de saisie journalière ce jour-là","OK")))))))))))</f>
        <v/>
      </c>
      <c r="J2769">
        <f>IF(OR(I2769="OK",I2769="Pas de saisie journalière ce jour-là"),E2769,0)</f>
        <v>0.0</v>
      </c>
      <c r="K2769">
        <f>IF(AND(J2769&gt;0,A2769&gt;=p_from,A2769&lt;=p_to),1,0)</f>
        <v>0.0</v>
      </c>
      <c r="L2769">
        <f>IF(AND(K2769=1,OR(pa_po="",C2769=pa_po),OR(pa_eq="",B2769=pa_eq)),1,0)</f>
        <v>0.0</v>
      </c>
    </row>
    <row r="2770">
      <c r="A2770" s="51" t="n"/>
      <c r="B2770" s="52" t="n"/>
      <c r="C2770" s="52" t="n"/>
      <c r="D2770" s="53" t="n"/>
      <c r="E2770" s="60" t="n"/>
      <c r="F2770" s="53" t="n"/>
      <c r="G2770" s="61" t="str">
        <f>IF(OR(COUNTA(A2770:E2770)=0,D2770=""),"",IFERROR(INDEX(ca_fam,MATCH(D2770,ca_name,0))&amp;"",""))</f>
        <v/>
      </c>
      <c r="H2770" s="58" t="str">
        <f>IF(OR(COUNTA(A2770:E2770)=0,D2770=""),"",IFERROR(INDEX(ca_type,MATCH(D2770,ca_name,0))&amp;"",""))</f>
        <v/>
      </c>
      <c r="I2770" s="58" t="str">
        <f>IF(COUNTA(A2770:E2770)=0,"",IF(N(A2770)&lt;=0,"Date manquante ou invalide",IF(B2770="","Équipe manquante",IF(ISNA(MATCH(B2770,eq_code,0)),"Équipe inconnue",IF(C2770="","Poste manquant",IF(ISNA(MATCH(C2770,po_code,0)),"Poste inconnu",IF(D2770="","Cause manquante",IF(ISNA(MATCH(D2770,ca_name,0)),"Cause inconnue",IF(H2770="","Cause à compléter dans Paramètres",IF(OR(NOT(ISNUMBER(E2770)),N(E2770)&lt;=0,N(E2770)&gt;1440),"Durée invalide",IF(COUNTIFS(sj_date,A2770,sj_eq,B2770,sj_po,C2770)=0,"Pas de saisie journalière ce jour-là","OK")))))))))))</f>
        <v/>
      </c>
      <c r="J2770">
        <f>IF(OR(I2770="OK",I2770="Pas de saisie journalière ce jour-là"),E2770,0)</f>
        <v>0.0</v>
      </c>
      <c r="K2770">
        <f>IF(AND(J2770&gt;0,A2770&gt;=p_from,A2770&lt;=p_to),1,0)</f>
        <v>0.0</v>
      </c>
      <c r="L2770">
        <f>IF(AND(K2770=1,OR(pa_po="",C2770=pa_po),OR(pa_eq="",B2770=pa_eq)),1,0)</f>
        <v>0.0</v>
      </c>
    </row>
    <row r="2771">
      <c r="A2771" s="51" t="n"/>
      <c r="B2771" s="52" t="n"/>
      <c r="C2771" s="52" t="n"/>
      <c r="D2771" s="53" t="n"/>
      <c r="E2771" s="60" t="n"/>
      <c r="F2771" s="53" t="n"/>
      <c r="G2771" s="61" t="str">
        <f>IF(OR(COUNTA(A2771:E2771)=0,D2771=""),"",IFERROR(INDEX(ca_fam,MATCH(D2771,ca_name,0))&amp;"",""))</f>
        <v/>
      </c>
      <c r="H2771" s="58" t="str">
        <f>IF(OR(COUNTA(A2771:E2771)=0,D2771=""),"",IFERROR(INDEX(ca_type,MATCH(D2771,ca_name,0))&amp;"",""))</f>
        <v/>
      </c>
      <c r="I2771" s="58" t="str">
        <f>IF(COUNTA(A2771:E2771)=0,"",IF(N(A2771)&lt;=0,"Date manquante ou invalide",IF(B2771="","Équipe manquante",IF(ISNA(MATCH(B2771,eq_code,0)),"Équipe inconnue",IF(C2771="","Poste manquant",IF(ISNA(MATCH(C2771,po_code,0)),"Poste inconnu",IF(D2771="","Cause manquante",IF(ISNA(MATCH(D2771,ca_name,0)),"Cause inconnue",IF(H2771="","Cause à compléter dans Paramètres",IF(OR(NOT(ISNUMBER(E2771)),N(E2771)&lt;=0,N(E2771)&gt;1440),"Durée invalide",IF(COUNTIFS(sj_date,A2771,sj_eq,B2771,sj_po,C2771)=0,"Pas de saisie journalière ce jour-là","OK")))))))))))</f>
        <v/>
      </c>
      <c r="J2771">
        <f>IF(OR(I2771="OK",I2771="Pas de saisie journalière ce jour-là"),E2771,0)</f>
        <v>0.0</v>
      </c>
      <c r="K2771">
        <f>IF(AND(J2771&gt;0,A2771&gt;=p_from,A2771&lt;=p_to),1,0)</f>
        <v>0.0</v>
      </c>
      <c r="L2771">
        <f>IF(AND(K2771=1,OR(pa_po="",C2771=pa_po),OR(pa_eq="",B2771=pa_eq)),1,0)</f>
        <v>0.0</v>
      </c>
    </row>
    <row r="2772">
      <c r="A2772" s="51" t="n"/>
      <c r="B2772" s="52" t="n"/>
      <c r="C2772" s="52" t="n"/>
      <c r="D2772" s="53" t="n"/>
      <c r="E2772" s="60" t="n"/>
      <c r="F2772" s="53" t="n"/>
      <c r="G2772" s="61" t="str">
        <f>IF(OR(COUNTA(A2772:E2772)=0,D2772=""),"",IFERROR(INDEX(ca_fam,MATCH(D2772,ca_name,0))&amp;"",""))</f>
        <v/>
      </c>
      <c r="H2772" s="58" t="str">
        <f>IF(OR(COUNTA(A2772:E2772)=0,D2772=""),"",IFERROR(INDEX(ca_type,MATCH(D2772,ca_name,0))&amp;"",""))</f>
        <v/>
      </c>
      <c r="I2772" s="58" t="str">
        <f>IF(COUNTA(A2772:E2772)=0,"",IF(N(A2772)&lt;=0,"Date manquante ou invalide",IF(B2772="","Équipe manquante",IF(ISNA(MATCH(B2772,eq_code,0)),"Équipe inconnue",IF(C2772="","Poste manquant",IF(ISNA(MATCH(C2772,po_code,0)),"Poste inconnu",IF(D2772="","Cause manquante",IF(ISNA(MATCH(D2772,ca_name,0)),"Cause inconnue",IF(H2772="","Cause à compléter dans Paramètres",IF(OR(NOT(ISNUMBER(E2772)),N(E2772)&lt;=0,N(E2772)&gt;1440),"Durée invalide",IF(COUNTIFS(sj_date,A2772,sj_eq,B2772,sj_po,C2772)=0,"Pas de saisie journalière ce jour-là","OK")))))))))))</f>
        <v/>
      </c>
      <c r="J2772">
        <f>IF(OR(I2772="OK",I2772="Pas de saisie journalière ce jour-là"),E2772,0)</f>
        <v>0.0</v>
      </c>
      <c r="K2772">
        <f>IF(AND(J2772&gt;0,A2772&gt;=p_from,A2772&lt;=p_to),1,0)</f>
        <v>0.0</v>
      </c>
      <c r="L2772">
        <f>IF(AND(K2772=1,OR(pa_po="",C2772=pa_po),OR(pa_eq="",B2772=pa_eq)),1,0)</f>
        <v>0.0</v>
      </c>
    </row>
    <row r="2773">
      <c r="A2773" s="51" t="n"/>
      <c r="B2773" s="52" t="n"/>
      <c r="C2773" s="52" t="n"/>
      <c r="D2773" s="53" t="n"/>
      <c r="E2773" s="60" t="n"/>
      <c r="F2773" s="53" t="n"/>
      <c r="G2773" s="61" t="str">
        <f>IF(OR(COUNTA(A2773:E2773)=0,D2773=""),"",IFERROR(INDEX(ca_fam,MATCH(D2773,ca_name,0))&amp;"",""))</f>
        <v/>
      </c>
      <c r="H2773" s="58" t="str">
        <f>IF(OR(COUNTA(A2773:E2773)=0,D2773=""),"",IFERROR(INDEX(ca_type,MATCH(D2773,ca_name,0))&amp;"",""))</f>
        <v/>
      </c>
      <c r="I2773" s="58" t="str">
        <f>IF(COUNTA(A2773:E2773)=0,"",IF(N(A2773)&lt;=0,"Date manquante ou invalide",IF(B2773="","Équipe manquante",IF(ISNA(MATCH(B2773,eq_code,0)),"Équipe inconnue",IF(C2773="","Poste manquant",IF(ISNA(MATCH(C2773,po_code,0)),"Poste inconnu",IF(D2773="","Cause manquante",IF(ISNA(MATCH(D2773,ca_name,0)),"Cause inconnue",IF(H2773="","Cause à compléter dans Paramètres",IF(OR(NOT(ISNUMBER(E2773)),N(E2773)&lt;=0,N(E2773)&gt;1440),"Durée invalide",IF(COUNTIFS(sj_date,A2773,sj_eq,B2773,sj_po,C2773)=0,"Pas de saisie journalière ce jour-là","OK")))))))))))</f>
        <v/>
      </c>
      <c r="J2773">
        <f>IF(OR(I2773="OK",I2773="Pas de saisie journalière ce jour-là"),E2773,0)</f>
        <v>0.0</v>
      </c>
      <c r="K2773">
        <f>IF(AND(J2773&gt;0,A2773&gt;=p_from,A2773&lt;=p_to),1,0)</f>
        <v>0.0</v>
      </c>
      <c r="L2773">
        <f>IF(AND(K2773=1,OR(pa_po="",C2773=pa_po),OR(pa_eq="",B2773=pa_eq)),1,0)</f>
        <v>0.0</v>
      </c>
    </row>
    <row r="2774">
      <c r="A2774" s="51" t="n"/>
      <c r="B2774" s="52" t="n"/>
      <c r="C2774" s="52" t="n"/>
      <c r="D2774" s="53" t="n"/>
      <c r="E2774" s="60" t="n"/>
      <c r="F2774" s="53" t="n"/>
      <c r="G2774" s="61" t="str">
        <f>IF(OR(COUNTA(A2774:E2774)=0,D2774=""),"",IFERROR(INDEX(ca_fam,MATCH(D2774,ca_name,0))&amp;"",""))</f>
        <v/>
      </c>
      <c r="H2774" s="58" t="str">
        <f>IF(OR(COUNTA(A2774:E2774)=0,D2774=""),"",IFERROR(INDEX(ca_type,MATCH(D2774,ca_name,0))&amp;"",""))</f>
        <v/>
      </c>
      <c r="I2774" s="58" t="str">
        <f>IF(COUNTA(A2774:E2774)=0,"",IF(N(A2774)&lt;=0,"Date manquante ou invalide",IF(B2774="","Équipe manquante",IF(ISNA(MATCH(B2774,eq_code,0)),"Équipe inconnue",IF(C2774="","Poste manquant",IF(ISNA(MATCH(C2774,po_code,0)),"Poste inconnu",IF(D2774="","Cause manquante",IF(ISNA(MATCH(D2774,ca_name,0)),"Cause inconnue",IF(H2774="","Cause à compléter dans Paramètres",IF(OR(NOT(ISNUMBER(E2774)),N(E2774)&lt;=0,N(E2774)&gt;1440),"Durée invalide",IF(COUNTIFS(sj_date,A2774,sj_eq,B2774,sj_po,C2774)=0,"Pas de saisie journalière ce jour-là","OK")))))))))))</f>
        <v/>
      </c>
      <c r="J2774">
        <f>IF(OR(I2774="OK",I2774="Pas de saisie journalière ce jour-là"),E2774,0)</f>
        <v>0.0</v>
      </c>
      <c r="K2774">
        <f>IF(AND(J2774&gt;0,A2774&gt;=p_from,A2774&lt;=p_to),1,0)</f>
        <v>0.0</v>
      </c>
      <c r="L2774">
        <f>IF(AND(K2774=1,OR(pa_po="",C2774=pa_po),OR(pa_eq="",B2774=pa_eq)),1,0)</f>
        <v>0.0</v>
      </c>
    </row>
    <row r="2775">
      <c r="A2775" s="51" t="n"/>
      <c r="B2775" s="52" t="n"/>
      <c r="C2775" s="52" t="n"/>
      <c r="D2775" s="53" t="n"/>
      <c r="E2775" s="60" t="n"/>
      <c r="F2775" s="53" t="n"/>
      <c r="G2775" s="61" t="str">
        <f>IF(OR(COUNTA(A2775:E2775)=0,D2775=""),"",IFERROR(INDEX(ca_fam,MATCH(D2775,ca_name,0))&amp;"",""))</f>
        <v/>
      </c>
      <c r="H2775" s="58" t="str">
        <f>IF(OR(COUNTA(A2775:E2775)=0,D2775=""),"",IFERROR(INDEX(ca_type,MATCH(D2775,ca_name,0))&amp;"",""))</f>
        <v/>
      </c>
      <c r="I2775" s="58" t="str">
        <f>IF(COUNTA(A2775:E2775)=0,"",IF(N(A2775)&lt;=0,"Date manquante ou invalide",IF(B2775="","Équipe manquante",IF(ISNA(MATCH(B2775,eq_code,0)),"Équipe inconnue",IF(C2775="","Poste manquant",IF(ISNA(MATCH(C2775,po_code,0)),"Poste inconnu",IF(D2775="","Cause manquante",IF(ISNA(MATCH(D2775,ca_name,0)),"Cause inconnue",IF(H2775="","Cause à compléter dans Paramètres",IF(OR(NOT(ISNUMBER(E2775)),N(E2775)&lt;=0,N(E2775)&gt;1440),"Durée invalide",IF(COUNTIFS(sj_date,A2775,sj_eq,B2775,sj_po,C2775)=0,"Pas de saisie journalière ce jour-là","OK")))))))))))</f>
        <v/>
      </c>
      <c r="J2775">
        <f>IF(OR(I2775="OK",I2775="Pas de saisie journalière ce jour-là"),E2775,0)</f>
        <v>0.0</v>
      </c>
      <c r="K2775">
        <f>IF(AND(J2775&gt;0,A2775&gt;=p_from,A2775&lt;=p_to),1,0)</f>
        <v>0.0</v>
      </c>
      <c r="L2775">
        <f>IF(AND(K2775=1,OR(pa_po="",C2775=pa_po),OR(pa_eq="",B2775=pa_eq)),1,0)</f>
        <v>0.0</v>
      </c>
    </row>
    <row r="2776">
      <c r="A2776" s="51" t="n"/>
      <c r="B2776" s="52" t="n"/>
      <c r="C2776" s="52" t="n"/>
      <c r="D2776" s="53" t="n"/>
      <c r="E2776" s="60" t="n"/>
      <c r="F2776" s="53" t="n"/>
      <c r="G2776" s="61" t="str">
        <f>IF(OR(COUNTA(A2776:E2776)=0,D2776=""),"",IFERROR(INDEX(ca_fam,MATCH(D2776,ca_name,0))&amp;"",""))</f>
        <v/>
      </c>
      <c r="H2776" s="58" t="str">
        <f>IF(OR(COUNTA(A2776:E2776)=0,D2776=""),"",IFERROR(INDEX(ca_type,MATCH(D2776,ca_name,0))&amp;"",""))</f>
        <v/>
      </c>
      <c r="I2776" s="58" t="str">
        <f>IF(COUNTA(A2776:E2776)=0,"",IF(N(A2776)&lt;=0,"Date manquante ou invalide",IF(B2776="","Équipe manquante",IF(ISNA(MATCH(B2776,eq_code,0)),"Équipe inconnue",IF(C2776="","Poste manquant",IF(ISNA(MATCH(C2776,po_code,0)),"Poste inconnu",IF(D2776="","Cause manquante",IF(ISNA(MATCH(D2776,ca_name,0)),"Cause inconnue",IF(H2776="","Cause à compléter dans Paramètres",IF(OR(NOT(ISNUMBER(E2776)),N(E2776)&lt;=0,N(E2776)&gt;1440),"Durée invalide",IF(COUNTIFS(sj_date,A2776,sj_eq,B2776,sj_po,C2776)=0,"Pas de saisie journalière ce jour-là","OK")))))))))))</f>
        <v/>
      </c>
      <c r="J2776">
        <f>IF(OR(I2776="OK",I2776="Pas de saisie journalière ce jour-là"),E2776,0)</f>
        <v>0.0</v>
      </c>
      <c r="K2776">
        <f>IF(AND(J2776&gt;0,A2776&gt;=p_from,A2776&lt;=p_to),1,0)</f>
        <v>0.0</v>
      </c>
      <c r="L2776">
        <f>IF(AND(K2776=1,OR(pa_po="",C2776=pa_po),OR(pa_eq="",B2776=pa_eq)),1,0)</f>
        <v>0.0</v>
      </c>
    </row>
    <row r="2777">
      <c r="A2777" s="51" t="n"/>
      <c r="B2777" s="52" t="n"/>
      <c r="C2777" s="52" t="n"/>
      <c r="D2777" s="53" t="n"/>
      <c r="E2777" s="60" t="n"/>
      <c r="F2777" s="53" t="n"/>
      <c r="G2777" s="61" t="str">
        <f>IF(OR(COUNTA(A2777:E2777)=0,D2777=""),"",IFERROR(INDEX(ca_fam,MATCH(D2777,ca_name,0))&amp;"",""))</f>
        <v/>
      </c>
      <c r="H2777" s="58" t="str">
        <f>IF(OR(COUNTA(A2777:E2777)=0,D2777=""),"",IFERROR(INDEX(ca_type,MATCH(D2777,ca_name,0))&amp;"",""))</f>
        <v/>
      </c>
      <c r="I2777" s="58" t="str">
        <f>IF(COUNTA(A2777:E2777)=0,"",IF(N(A2777)&lt;=0,"Date manquante ou invalide",IF(B2777="","Équipe manquante",IF(ISNA(MATCH(B2777,eq_code,0)),"Équipe inconnue",IF(C2777="","Poste manquant",IF(ISNA(MATCH(C2777,po_code,0)),"Poste inconnu",IF(D2777="","Cause manquante",IF(ISNA(MATCH(D2777,ca_name,0)),"Cause inconnue",IF(H2777="","Cause à compléter dans Paramètres",IF(OR(NOT(ISNUMBER(E2777)),N(E2777)&lt;=0,N(E2777)&gt;1440),"Durée invalide",IF(COUNTIFS(sj_date,A2777,sj_eq,B2777,sj_po,C2777)=0,"Pas de saisie journalière ce jour-là","OK")))))))))))</f>
        <v/>
      </c>
      <c r="J2777">
        <f>IF(OR(I2777="OK",I2777="Pas de saisie journalière ce jour-là"),E2777,0)</f>
        <v>0.0</v>
      </c>
      <c r="K2777">
        <f>IF(AND(J2777&gt;0,A2777&gt;=p_from,A2777&lt;=p_to),1,0)</f>
        <v>0.0</v>
      </c>
      <c r="L2777">
        <f>IF(AND(K2777=1,OR(pa_po="",C2777=pa_po),OR(pa_eq="",B2777=pa_eq)),1,0)</f>
        <v>0.0</v>
      </c>
    </row>
    <row r="2778">
      <c r="A2778" s="51" t="n"/>
      <c r="B2778" s="52" t="n"/>
      <c r="C2778" s="52" t="n"/>
      <c r="D2778" s="53" t="n"/>
      <c r="E2778" s="60" t="n"/>
      <c r="F2778" s="53" t="n"/>
      <c r="G2778" s="61" t="str">
        <f>IF(OR(COUNTA(A2778:E2778)=0,D2778=""),"",IFERROR(INDEX(ca_fam,MATCH(D2778,ca_name,0))&amp;"",""))</f>
        <v/>
      </c>
      <c r="H2778" s="58" t="str">
        <f>IF(OR(COUNTA(A2778:E2778)=0,D2778=""),"",IFERROR(INDEX(ca_type,MATCH(D2778,ca_name,0))&amp;"",""))</f>
        <v/>
      </c>
      <c r="I2778" s="58" t="str">
        <f>IF(COUNTA(A2778:E2778)=0,"",IF(N(A2778)&lt;=0,"Date manquante ou invalide",IF(B2778="","Équipe manquante",IF(ISNA(MATCH(B2778,eq_code,0)),"Équipe inconnue",IF(C2778="","Poste manquant",IF(ISNA(MATCH(C2778,po_code,0)),"Poste inconnu",IF(D2778="","Cause manquante",IF(ISNA(MATCH(D2778,ca_name,0)),"Cause inconnue",IF(H2778="","Cause à compléter dans Paramètres",IF(OR(NOT(ISNUMBER(E2778)),N(E2778)&lt;=0,N(E2778)&gt;1440),"Durée invalide",IF(COUNTIFS(sj_date,A2778,sj_eq,B2778,sj_po,C2778)=0,"Pas de saisie journalière ce jour-là","OK")))))))))))</f>
        <v/>
      </c>
      <c r="J2778">
        <f>IF(OR(I2778="OK",I2778="Pas de saisie journalière ce jour-là"),E2778,0)</f>
        <v>0.0</v>
      </c>
      <c r="K2778">
        <f>IF(AND(J2778&gt;0,A2778&gt;=p_from,A2778&lt;=p_to),1,0)</f>
        <v>0.0</v>
      </c>
      <c r="L2778">
        <f>IF(AND(K2778=1,OR(pa_po="",C2778=pa_po),OR(pa_eq="",B2778=pa_eq)),1,0)</f>
        <v>0.0</v>
      </c>
    </row>
    <row r="2779">
      <c r="A2779" s="51" t="n"/>
      <c r="B2779" s="52" t="n"/>
      <c r="C2779" s="52" t="n"/>
      <c r="D2779" s="53" t="n"/>
      <c r="E2779" s="60" t="n"/>
      <c r="F2779" s="53" t="n"/>
      <c r="G2779" s="61" t="str">
        <f>IF(OR(COUNTA(A2779:E2779)=0,D2779=""),"",IFERROR(INDEX(ca_fam,MATCH(D2779,ca_name,0))&amp;"",""))</f>
        <v/>
      </c>
      <c r="H2779" s="58" t="str">
        <f>IF(OR(COUNTA(A2779:E2779)=0,D2779=""),"",IFERROR(INDEX(ca_type,MATCH(D2779,ca_name,0))&amp;"",""))</f>
        <v/>
      </c>
      <c r="I2779" s="58" t="str">
        <f>IF(COUNTA(A2779:E2779)=0,"",IF(N(A2779)&lt;=0,"Date manquante ou invalide",IF(B2779="","Équipe manquante",IF(ISNA(MATCH(B2779,eq_code,0)),"Équipe inconnue",IF(C2779="","Poste manquant",IF(ISNA(MATCH(C2779,po_code,0)),"Poste inconnu",IF(D2779="","Cause manquante",IF(ISNA(MATCH(D2779,ca_name,0)),"Cause inconnue",IF(H2779="","Cause à compléter dans Paramètres",IF(OR(NOT(ISNUMBER(E2779)),N(E2779)&lt;=0,N(E2779)&gt;1440),"Durée invalide",IF(COUNTIFS(sj_date,A2779,sj_eq,B2779,sj_po,C2779)=0,"Pas de saisie journalière ce jour-là","OK")))))))))))</f>
        <v/>
      </c>
      <c r="J2779">
        <f>IF(OR(I2779="OK",I2779="Pas de saisie journalière ce jour-là"),E2779,0)</f>
        <v>0.0</v>
      </c>
      <c r="K2779">
        <f>IF(AND(J2779&gt;0,A2779&gt;=p_from,A2779&lt;=p_to),1,0)</f>
        <v>0.0</v>
      </c>
      <c r="L2779">
        <f>IF(AND(K2779=1,OR(pa_po="",C2779=pa_po),OR(pa_eq="",B2779=pa_eq)),1,0)</f>
        <v>0.0</v>
      </c>
    </row>
    <row r="2780">
      <c r="A2780" s="51" t="n"/>
      <c r="B2780" s="52" t="n"/>
      <c r="C2780" s="52" t="n"/>
      <c r="D2780" s="53" t="n"/>
      <c r="E2780" s="60" t="n"/>
      <c r="F2780" s="53" t="n"/>
      <c r="G2780" s="61" t="str">
        <f>IF(OR(COUNTA(A2780:E2780)=0,D2780=""),"",IFERROR(INDEX(ca_fam,MATCH(D2780,ca_name,0))&amp;"",""))</f>
        <v/>
      </c>
      <c r="H2780" s="58" t="str">
        <f>IF(OR(COUNTA(A2780:E2780)=0,D2780=""),"",IFERROR(INDEX(ca_type,MATCH(D2780,ca_name,0))&amp;"",""))</f>
        <v/>
      </c>
      <c r="I2780" s="58" t="str">
        <f>IF(COUNTA(A2780:E2780)=0,"",IF(N(A2780)&lt;=0,"Date manquante ou invalide",IF(B2780="","Équipe manquante",IF(ISNA(MATCH(B2780,eq_code,0)),"Équipe inconnue",IF(C2780="","Poste manquant",IF(ISNA(MATCH(C2780,po_code,0)),"Poste inconnu",IF(D2780="","Cause manquante",IF(ISNA(MATCH(D2780,ca_name,0)),"Cause inconnue",IF(H2780="","Cause à compléter dans Paramètres",IF(OR(NOT(ISNUMBER(E2780)),N(E2780)&lt;=0,N(E2780)&gt;1440),"Durée invalide",IF(COUNTIFS(sj_date,A2780,sj_eq,B2780,sj_po,C2780)=0,"Pas de saisie journalière ce jour-là","OK")))))))))))</f>
        <v/>
      </c>
      <c r="J2780">
        <f>IF(OR(I2780="OK",I2780="Pas de saisie journalière ce jour-là"),E2780,0)</f>
        <v>0.0</v>
      </c>
      <c r="K2780">
        <f>IF(AND(J2780&gt;0,A2780&gt;=p_from,A2780&lt;=p_to),1,0)</f>
        <v>0.0</v>
      </c>
      <c r="L2780">
        <f>IF(AND(K2780=1,OR(pa_po="",C2780=pa_po),OR(pa_eq="",B2780=pa_eq)),1,0)</f>
        <v>0.0</v>
      </c>
    </row>
    <row r="2781">
      <c r="A2781" s="51" t="n"/>
      <c r="B2781" s="52" t="n"/>
      <c r="C2781" s="52" t="n"/>
      <c r="D2781" s="53" t="n"/>
      <c r="E2781" s="60" t="n"/>
      <c r="F2781" s="53" t="n"/>
      <c r="G2781" s="61" t="str">
        <f>IF(OR(COUNTA(A2781:E2781)=0,D2781=""),"",IFERROR(INDEX(ca_fam,MATCH(D2781,ca_name,0))&amp;"",""))</f>
        <v/>
      </c>
      <c r="H2781" s="58" t="str">
        <f>IF(OR(COUNTA(A2781:E2781)=0,D2781=""),"",IFERROR(INDEX(ca_type,MATCH(D2781,ca_name,0))&amp;"",""))</f>
        <v/>
      </c>
      <c r="I2781" s="58" t="str">
        <f>IF(COUNTA(A2781:E2781)=0,"",IF(N(A2781)&lt;=0,"Date manquante ou invalide",IF(B2781="","Équipe manquante",IF(ISNA(MATCH(B2781,eq_code,0)),"Équipe inconnue",IF(C2781="","Poste manquant",IF(ISNA(MATCH(C2781,po_code,0)),"Poste inconnu",IF(D2781="","Cause manquante",IF(ISNA(MATCH(D2781,ca_name,0)),"Cause inconnue",IF(H2781="","Cause à compléter dans Paramètres",IF(OR(NOT(ISNUMBER(E2781)),N(E2781)&lt;=0,N(E2781)&gt;1440),"Durée invalide",IF(COUNTIFS(sj_date,A2781,sj_eq,B2781,sj_po,C2781)=0,"Pas de saisie journalière ce jour-là","OK")))))))))))</f>
        <v/>
      </c>
      <c r="J2781">
        <f>IF(OR(I2781="OK",I2781="Pas de saisie journalière ce jour-là"),E2781,0)</f>
        <v>0.0</v>
      </c>
      <c r="K2781">
        <f>IF(AND(J2781&gt;0,A2781&gt;=p_from,A2781&lt;=p_to),1,0)</f>
        <v>0.0</v>
      </c>
      <c r="L2781">
        <f>IF(AND(K2781=1,OR(pa_po="",C2781=pa_po),OR(pa_eq="",B2781=pa_eq)),1,0)</f>
        <v>0.0</v>
      </c>
    </row>
    <row r="2782">
      <c r="A2782" s="51" t="n"/>
      <c r="B2782" s="52" t="n"/>
      <c r="C2782" s="52" t="n"/>
      <c r="D2782" s="53" t="n"/>
      <c r="E2782" s="60" t="n"/>
      <c r="F2782" s="53" t="n"/>
      <c r="G2782" s="61" t="str">
        <f>IF(OR(COUNTA(A2782:E2782)=0,D2782=""),"",IFERROR(INDEX(ca_fam,MATCH(D2782,ca_name,0))&amp;"",""))</f>
        <v/>
      </c>
      <c r="H2782" s="58" t="str">
        <f>IF(OR(COUNTA(A2782:E2782)=0,D2782=""),"",IFERROR(INDEX(ca_type,MATCH(D2782,ca_name,0))&amp;"",""))</f>
        <v/>
      </c>
      <c r="I2782" s="58" t="str">
        <f>IF(COUNTA(A2782:E2782)=0,"",IF(N(A2782)&lt;=0,"Date manquante ou invalide",IF(B2782="","Équipe manquante",IF(ISNA(MATCH(B2782,eq_code,0)),"Équipe inconnue",IF(C2782="","Poste manquant",IF(ISNA(MATCH(C2782,po_code,0)),"Poste inconnu",IF(D2782="","Cause manquante",IF(ISNA(MATCH(D2782,ca_name,0)),"Cause inconnue",IF(H2782="","Cause à compléter dans Paramètres",IF(OR(NOT(ISNUMBER(E2782)),N(E2782)&lt;=0,N(E2782)&gt;1440),"Durée invalide",IF(COUNTIFS(sj_date,A2782,sj_eq,B2782,sj_po,C2782)=0,"Pas de saisie journalière ce jour-là","OK")))))))))))</f>
        <v/>
      </c>
      <c r="J2782">
        <f>IF(OR(I2782="OK",I2782="Pas de saisie journalière ce jour-là"),E2782,0)</f>
        <v>0.0</v>
      </c>
      <c r="K2782">
        <f>IF(AND(J2782&gt;0,A2782&gt;=p_from,A2782&lt;=p_to),1,0)</f>
        <v>0.0</v>
      </c>
      <c r="L2782">
        <f>IF(AND(K2782=1,OR(pa_po="",C2782=pa_po),OR(pa_eq="",B2782=pa_eq)),1,0)</f>
        <v>0.0</v>
      </c>
    </row>
    <row r="2783">
      <c r="A2783" s="51" t="n"/>
      <c r="B2783" s="52" t="n"/>
      <c r="C2783" s="52" t="n"/>
      <c r="D2783" s="53" t="n"/>
      <c r="E2783" s="60" t="n"/>
      <c r="F2783" s="53" t="n"/>
      <c r="G2783" s="61" t="str">
        <f>IF(OR(COUNTA(A2783:E2783)=0,D2783=""),"",IFERROR(INDEX(ca_fam,MATCH(D2783,ca_name,0))&amp;"",""))</f>
        <v/>
      </c>
      <c r="H2783" s="58" t="str">
        <f>IF(OR(COUNTA(A2783:E2783)=0,D2783=""),"",IFERROR(INDEX(ca_type,MATCH(D2783,ca_name,0))&amp;"",""))</f>
        <v/>
      </c>
      <c r="I2783" s="58" t="str">
        <f>IF(COUNTA(A2783:E2783)=0,"",IF(N(A2783)&lt;=0,"Date manquante ou invalide",IF(B2783="","Équipe manquante",IF(ISNA(MATCH(B2783,eq_code,0)),"Équipe inconnue",IF(C2783="","Poste manquant",IF(ISNA(MATCH(C2783,po_code,0)),"Poste inconnu",IF(D2783="","Cause manquante",IF(ISNA(MATCH(D2783,ca_name,0)),"Cause inconnue",IF(H2783="","Cause à compléter dans Paramètres",IF(OR(NOT(ISNUMBER(E2783)),N(E2783)&lt;=0,N(E2783)&gt;1440),"Durée invalide",IF(COUNTIFS(sj_date,A2783,sj_eq,B2783,sj_po,C2783)=0,"Pas de saisie journalière ce jour-là","OK")))))))))))</f>
        <v/>
      </c>
      <c r="J2783">
        <f>IF(OR(I2783="OK",I2783="Pas de saisie journalière ce jour-là"),E2783,0)</f>
        <v>0.0</v>
      </c>
      <c r="K2783">
        <f>IF(AND(J2783&gt;0,A2783&gt;=p_from,A2783&lt;=p_to),1,0)</f>
        <v>0.0</v>
      </c>
      <c r="L2783">
        <f>IF(AND(K2783=1,OR(pa_po="",C2783=pa_po),OR(pa_eq="",B2783=pa_eq)),1,0)</f>
        <v>0.0</v>
      </c>
    </row>
    <row r="2784">
      <c r="A2784" s="51" t="n"/>
      <c r="B2784" s="52" t="n"/>
      <c r="C2784" s="52" t="n"/>
      <c r="D2784" s="53" t="n"/>
      <c r="E2784" s="60" t="n"/>
      <c r="F2784" s="53" t="n"/>
      <c r="G2784" s="61" t="str">
        <f>IF(OR(COUNTA(A2784:E2784)=0,D2784=""),"",IFERROR(INDEX(ca_fam,MATCH(D2784,ca_name,0))&amp;"",""))</f>
        <v/>
      </c>
      <c r="H2784" s="58" t="str">
        <f>IF(OR(COUNTA(A2784:E2784)=0,D2784=""),"",IFERROR(INDEX(ca_type,MATCH(D2784,ca_name,0))&amp;"",""))</f>
        <v/>
      </c>
      <c r="I2784" s="58" t="str">
        <f>IF(COUNTA(A2784:E2784)=0,"",IF(N(A2784)&lt;=0,"Date manquante ou invalide",IF(B2784="","Équipe manquante",IF(ISNA(MATCH(B2784,eq_code,0)),"Équipe inconnue",IF(C2784="","Poste manquant",IF(ISNA(MATCH(C2784,po_code,0)),"Poste inconnu",IF(D2784="","Cause manquante",IF(ISNA(MATCH(D2784,ca_name,0)),"Cause inconnue",IF(H2784="","Cause à compléter dans Paramètres",IF(OR(NOT(ISNUMBER(E2784)),N(E2784)&lt;=0,N(E2784)&gt;1440),"Durée invalide",IF(COUNTIFS(sj_date,A2784,sj_eq,B2784,sj_po,C2784)=0,"Pas de saisie journalière ce jour-là","OK")))))))))))</f>
        <v/>
      </c>
      <c r="J2784">
        <f>IF(OR(I2784="OK",I2784="Pas de saisie journalière ce jour-là"),E2784,0)</f>
        <v>0.0</v>
      </c>
      <c r="K2784">
        <f>IF(AND(J2784&gt;0,A2784&gt;=p_from,A2784&lt;=p_to),1,0)</f>
        <v>0.0</v>
      </c>
      <c r="L2784">
        <f>IF(AND(K2784=1,OR(pa_po="",C2784=pa_po),OR(pa_eq="",B2784=pa_eq)),1,0)</f>
        <v>0.0</v>
      </c>
    </row>
    <row r="2785">
      <c r="A2785" s="51" t="n"/>
      <c r="B2785" s="52" t="n"/>
      <c r="C2785" s="52" t="n"/>
      <c r="D2785" s="53" t="n"/>
      <c r="E2785" s="60" t="n"/>
      <c r="F2785" s="53" t="n"/>
      <c r="G2785" s="61" t="str">
        <f>IF(OR(COUNTA(A2785:E2785)=0,D2785=""),"",IFERROR(INDEX(ca_fam,MATCH(D2785,ca_name,0))&amp;"",""))</f>
        <v/>
      </c>
      <c r="H2785" s="58" t="str">
        <f>IF(OR(COUNTA(A2785:E2785)=0,D2785=""),"",IFERROR(INDEX(ca_type,MATCH(D2785,ca_name,0))&amp;"",""))</f>
        <v/>
      </c>
      <c r="I2785" s="58" t="str">
        <f>IF(COUNTA(A2785:E2785)=0,"",IF(N(A2785)&lt;=0,"Date manquante ou invalide",IF(B2785="","Équipe manquante",IF(ISNA(MATCH(B2785,eq_code,0)),"Équipe inconnue",IF(C2785="","Poste manquant",IF(ISNA(MATCH(C2785,po_code,0)),"Poste inconnu",IF(D2785="","Cause manquante",IF(ISNA(MATCH(D2785,ca_name,0)),"Cause inconnue",IF(H2785="","Cause à compléter dans Paramètres",IF(OR(NOT(ISNUMBER(E2785)),N(E2785)&lt;=0,N(E2785)&gt;1440),"Durée invalide",IF(COUNTIFS(sj_date,A2785,sj_eq,B2785,sj_po,C2785)=0,"Pas de saisie journalière ce jour-là","OK")))))))))))</f>
        <v/>
      </c>
      <c r="J2785">
        <f>IF(OR(I2785="OK",I2785="Pas de saisie journalière ce jour-là"),E2785,0)</f>
        <v>0.0</v>
      </c>
      <c r="K2785">
        <f>IF(AND(J2785&gt;0,A2785&gt;=p_from,A2785&lt;=p_to),1,0)</f>
        <v>0.0</v>
      </c>
      <c r="L2785">
        <f>IF(AND(K2785=1,OR(pa_po="",C2785=pa_po),OR(pa_eq="",B2785=pa_eq)),1,0)</f>
        <v>0.0</v>
      </c>
    </row>
    <row r="2786">
      <c r="A2786" s="51" t="n"/>
      <c r="B2786" s="52" t="n"/>
      <c r="C2786" s="52" t="n"/>
      <c r="D2786" s="53" t="n"/>
      <c r="E2786" s="60" t="n"/>
      <c r="F2786" s="53" t="n"/>
      <c r="G2786" s="61" t="str">
        <f>IF(OR(COUNTA(A2786:E2786)=0,D2786=""),"",IFERROR(INDEX(ca_fam,MATCH(D2786,ca_name,0))&amp;"",""))</f>
        <v/>
      </c>
      <c r="H2786" s="58" t="str">
        <f>IF(OR(COUNTA(A2786:E2786)=0,D2786=""),"",IFERROR(INDEX(ca_type,MATCH(D2786,ca_name,0))&amp;"",""))</f>
        <v/>
      </c>
      <c r="I2786" s="58" t="str">
        <f>IF(COUNTA(A2786:E2786)=0,"",IF(N(A2786)&lt;=0,"Date manquante ou invalide",IF(B2786="","Équipe manquante",IF(ISNA(MATCH(B2786,eq_code,0)),"Équipe inconnue",IF(C2786="","Poste manquant",IF(ISNA(MATCH(C2786,po_code,0)),"Poste inconnu",IF(D2786="","Cause manquante",IF(ISNA(MATCH(D2786,ca_name,0)),"Cause inconnue",IF(H2786="","Cause à compléter dans Paramètres",IF(OR(NOT(ISNUMBER(E2786)),N(E2786)&lt;=0,N(E2786)&gt;1440),"Durée invalide",IF(COUNTIFS(sj_date,A2786,sj_eq,B2786,sj_po,C2786)=0,"Pas de saisie journalière ce jour-là","OK")))))))))))</f>
        <v/>
      </c>
      <c r="J2786">
        <f>IF(OR(I2786="OK",I2786="Pas de saisie journalière ce jour-là"),E2786,0)</f>
        <v>0.0</v>
      </c>
      <c r="K2786">
        <f>IF(AND(J2786&gt;0,A2786&gt;=p_from,A2786&lt;=p_to),1,0)</f>
        <v>0.0</v>
      </c>
      <c r="L2786">
        <f>IF(AND(K2786=1,OR(pa_po="",C2786=pa_po),OR(pa_eq="",B2786=pa_eq)),1,0)</f>
        <v>0.0</v>
      </c>
    </row>
    <row r="2787">
      <c r="A2787" s="51" t="n"/>
      <c r="B2787" s="52" t="n"/>
      <c r="C2787" s="52" t="n"/>
      <c r="D2787" s="53" t="n"/>
      <c r="E2787" s="60" t="n"/>
      <c r="F2787" s="53" t="n"/>
      <c r="G2787" s="61" t="str">
        <f>IF(OR(COUNTA(A2787:E2787)=0,D2787=""),"",IFERROR(INDEX(ca_fam,MATCH(D2787,ca_name,0))&amp;"",""))</f>
        <v/>
      </c>
      <c r="H2787" s="58" t="str">
        <f>IF(OR(COUNTA(A2787:E2787)=0,D2787=""),"",IFERROR(INDEX(ca_type,MATCH(D2787,ca_name,0))&amp;"",""))</f>
        <v/>
      </c>
      <c r="I2787" s="58" t="str">
        <f>IF(COUNTA(A2787:E2787)=0,"",IF(N(A2787)&lt;=0,"Date manquante ou invalide",IF(B2787="","Équipe manquante",IF(ISNA(MATCH(B2787,eq_code,0)),"Équipe inconnue",IF(C2787="","Poste manquant",IF(ISNA(MATCH(C2787,po_code,0)),"Poste inconnu",IF(D2787="","Cause manquante",IF(ISNA(MATCH(D2787,ca_name,0)),"Cause inconnue",IF(H2787="","Cause à compléter dans Paramètres",IF(OR(NOT(ISNUMBER(E2787)),N(E2787)&lt;=0,N(E2787)&gt;1440),"Durée invalide",IF(COUNTIFS(sj_date,A2787,sj_eq,B2787,sj_po,C2787)=0,"Pas de saisie journalière ce jour-là","OK")))))))))))</f>
        <v/>
      </c>
      <c r="J2787">
        <f>IF(OR(I2787="OK",I2787="Pas de saisie journalière ce jour-là"),E2787,0)</f>
        <v>0.0</v>
      </c>
      <c r="K2787">
        <f>IF(AND(J2787&gt;0,A2787&gt;=p_from,A2787&lt;=p_to),1,0)</f>
        <v>0.0</v>
      </c>
      <c r="L2787">
        <f>IF(AND(K2787=1,OR(pa_po="",C2787=pa_po),OR(pa_eq="",B2787=pa_eq)),1,0)</f>
        <v>0.0</v>
      </c>
    </row>
    <row r="2788">
      <c r="A2788" s="51" t="n"/>
      <c r="B2788" s="52" t="n"/>
      <c r="C2788" s="52" t="n"/>
      <c r="D2788" s="53" t="n"/>
      <c r="E2788" s="60" t="n"/>
      <c r="F2788" s="53" t="n"/>
      <c r="G2788" s="61" t="str">
        <f>IF(OR(COUNTA(A2788:E2788)=0,D2788=""),"",IFERROR(INDEX(ca_fam,MATCH(D2788,ca_name,0))&amp;"",""))</f>
        <v/>
      </c>
      <c r="H2788" s="58" t="str">
        <f>IF(OR(COUNTA(A2788:E2788)=0,D2788=""),"",IFERROR(INDEX(ca_type,MATCH(D2788,ca_name,0))&amp;"",""))</f>
        <v/>
      </c>
      <c r="I2788" s="58" t="str">
        <f>IF(COUNTA(A2788:E2788)=0,"",IF(N(A2788)&lt;=0,"Date manquante ou invalide",IF(B2788="","Équipe manquante",IF(ISNA(MATCH(B2788,eq_code,0)),"Équipe inconnue",IF(C2788="","Poste manquant",IF(ISNA(MATCH(C2788,po_code,0)),"Poste inconnu",IF(D2788="","Cause manquante",IF(ISNA(MATCH(D2788,ca_name,0)),"Cause inconnue",IF(H2788="","Cause à compléter dans Paramètres",IF(OR(NOT(ISNUMBER(E2788)),N(E2788)&lt;=0,N(E2788)&gt;1440),"Durée invalide",IF(COUNTIFS(sj_date,A2788,sj_eq,B2788,sj_po,C2788)=0,"Pas de saisie journalière ce jour-là","OK")))))))))))</f>
        <v/>
      </c>
      <c r="J2788">
        <f>IF(OR(I2788="OK",I2788="Pas de saisie journalière ce jour-là"),E2788,0)</f>
        <v>0.0</v>
      </c>
      <c r="K2788">
        <f>IF(AND(J2788&gt;0,A2788&gt;=p_from,A2788&lt;=p_to),1,0)</f>
        <v>0.0</v>
      </c>
      <c r="L2788">
        <f>IF(AND(K2788=1,OR(pa_po="",C2788=pa_po),OR(pa_eq="",B2788=pa_eq)),1,0)</f>
        <v>0.0</v>
      </c>
    </row>
    <row r="2789">
      <c r="A2789" s="51" t="n"/>
      <c r="B2789" s="52" t="n"/>
      <c r="C2789" s="52" t="n"/>
      <c r="D2789" s="53" t="n"/>
      <c r="E2789" s="60" t="n"/>
      <c r="F2789" s="53" t="n"/>
      <c r="G2789" s="61" t="str">
        <f>IF(OR(COUNTA(A2789:E2789)=0,D2789=""),"",IFERROR(INDEX(ca_fam,MATCH(D2789,ca_name,0))&amp;"",""))</f>
        <v/>
      </c>
      <c r="H2789" s="58" t="str">
        <f>IF(OR(COUNTA(A2789:E2789)=0,D2789=""),"",IFERROR(INDEX(ca_type,MATCH(D2789,ca_name,0))&amp;"",""))</f>
        <v/>
      </c>
      <c r="I2789" s="58" t="str">
        <f>IF(COUNTA(A2789:E2789)=0,"",IF(N(A2789)&lt;=0,"Date manquante ou invalide",IF(B2789="","Équipe manquante",IF(ISNA(MATCH(B2789,eq_code,0)),"Équipe inconnue",IF(C2789="","Poste manquant",IF(ISNA(MATCH(C2789,po_code,0)),"Poste inconnu",IF(D2789="","Cause manquante",IF(ISNA(MATCH(D2789,ca_name,0)),"Cause inconnue",IF(H2789="","Cause à compléter dans Paramètres",IF(OR(NOT(ISNUMBER(E2789)),N(E2789)&lt;=0,N(E2789)&gt;1440),"Durée invalide",IF(COUNTIFS(sj_date,A2789,sj_eq,B2789,sj_po,C2789)=0,"Pas de saisie journalière ce jour-là","OK")))))))))))</f>
        <v/>
      </c>
      <c r="J2789">
        <f>IF(OR(I2789="OK",I2789="Pas de saisie journalière ce jour-là"),E2789,0)</f>
        <v>0.0</v>
      </c>
      <c r="K2789">
        <f>IF(AND(J2789&gt;0,A2789&gt;=p_from,A2789&lt;=p_to),1,0)</f>
        <v>0.0</v>
      </c>
      <c r="L2789">
        <f>IF(AND(K2789=1,OR(pa_po="",C2789=pa_po),OR(pa_eq="",B2789=pa_eq)),1,0)</f>
        <v>0.0</v>
      </c>
    </row>
    <row r="2790">
      <c r="A2790" s="51" t="n"/>
      <c r="B2790" s="52" t="n"/>
      <c r="C2790" s="52" t="n"/>
      <c r="D2790" s="53" t="n"/>
      <c r="E2790" s="60" t="n"/>
      <c r="F2790" s="53" t="n"/>
      <c r="G2790" s="61" t="str">
        <f>IF(OR(COUNTA(A2790:E2790)=0,D2790=""),"",IFERROR(INDEX(ca_fam,MATCH(D2790,ca_name,0))&amp;"",""))</f>
        <v/>
      </c>
      <c r="H2790" s="58" t="str">
        <f>IF(OR(COUNTA(A2790:E2790)=0,D2790=""),"",IFERROR(INDEX(ca_type,MATCH(D2790,ca_name,0))&amp;"",""))</f>
        <v/>
      </c>
      <c r="I2790" s="58" t="str">
        <f>IF(COUNTA(A2790:E2790)=0,"",IF(N(A2790)&lt;=0,"Date manquante ou invalide",IF(B2790="","Équipe manquante",IF(ISNA(MATCH(B2790,eq_code,0)),"Équipe inconnue",IF(C2790="","Poste manquant",IF(ISNA(MATCH(C2790,po_code,0)),"Poste inconnu",IF(D2790="","Cause manquante",IF(ISNA(MATCH(D2790,ca_name,0)),"Cause inconnue",IF(H2790="","Cause à compléter dans Paramètres",IF(OR(NOT(ISNUMBER(E2790)),N(E2790)&lt;=0,N(E2790)&gt;1440),"Durée invalide",IF(COUNTIFS(sj_date,A2790,sj_eq,B2790,sj_po,C2790)=0,"Pas de saisie journalière ce jour-là","OK")))))))))))</f>
        <v/>
      </c>
      <c r="J2790">
        <f>IF(OR(I2790="OK",I2790="Pas de saisie journalière ce jour-là"),E2790,0)</f>
        <v>0.0</v>
      </c>
      <c r="K2790">
        <f>IF(AND(J2790&gt;0,A2790&gt;=p_from,A2790&lt;=p_to),1,0)</f>
        <v>0.0</v>
      </c>
      <c r="L2790">
        <f>IF(AND(K2790=1,OR(pa_po="",C2790=pa_po),OR(pa_eq="",B2790=pa_eq)),1,0)</f>
        <v>0.0</v>
      </c>
    </row>
    <row r="2791">
      <c r="A2791" s="51" t="n"/>
      <c r="B2791" s="52" t="n"/>
      <c r="C2791" s="52" t="n"/>
      <c r="D2791" s="53" t="n"/>
      <c r="E2791" s="60" t="n"/>
      <c r="F2791" s="53" t="n"/>
      <c r="G2791" s="61" t="str">
        <f>IF(OR(COUNTA(A2791:E2791)=0,D2791=""),"",IFERROR(INDEX(ca_fam,MATCH(D2791,ca_name,0))&amp;"",""))</f>
        <v/>
      </c>
      <c r="H2791" s="58" t="str">
        <f>IF(OR(COUNTA(A2791:E2791)=0,D2791=""),"",IFERROR(INDEX(ca_type,MATCH(D2791,ca_name,0))&amp;"",""))</f>
        <v/>
      </c>
      <c r="I2791" s="58" t="str">
        <f>IF(COUNTA(A2791:E2791)=0,"",IF(N(A2791)&lt;=0,"Date manquante ou invalide",IF(B2791="","Équipe manquante",IF(ISNA(MATCH(B2791,eq_code,0)),"Équipe inconnue",IF(C2791="","Poste manquant",IF(ISNA(MATCH(C2791,po_code,0)),"Poste inconnu",IF(D2791="","Cause manquante",IF(ISNA(MATCH(D2791,ca_name,0)),"Cause inconnue",IF(H2791="","Cause à compléter dans Paramètres",IF(OR(NOT(ISNUMBER(E2791)),N(E2791)&lt;=0,N(E2791)&gt;1440),"Durée invalide",IF(COUNTIFS(sj_date,A2791,sj_eq,B2791,sj_po,C2791)=0,"Pas de saisie journalière ce jour-là","OK")))))))))))</f>
        <v/>
      </c>
      <c r="J2791">
        <f>IF(OR(I2791="OK",I2791="Pas de saisie journalière ce jour-là"),E2791,0)</f>
        <v>0.0</v>
      </c>
      <c r="K2791">
        <f>IF(AND(J2791&gt;0,A2791&gt;=p_from,A2791&lt;=p_to),1,0)</f>
        <v>0.0</v>
      </c>
      <c r="L2791">
        <f>IF(AND(K2791=1,OR(pa_po="",C2791=pa_po),OR(pa_eq="",B2791=pa_eq)),1,0)</f>
        <v>0.0</v>
      </c>
    </row>
    <row r="2792">
      <c r="A2792" s="51" t="n"/>
      <c r="B2792" s="52" t="n"/>
      <c r="C2792" s="52" t="n"/>
      <c r="D2792" s="53" t="n"/>
      <c r="E2792" s="60" t="n"/>
      <c r="F2792" s="53" t="n"/>
      <c r="G2792" s="61" t="str">
        <f>IF(OR(COUNTA(A2792:E2792)=0,D2792=""),"",IFERROR(INDEX(ca_fam,MATCH(D2792,ca_name,0))&amp;"",""))</f>
        <v/>
      </c>
      <c r="H2792" s="58" t="str">
        <f>IF(OR(COUNTA(A2792:E2792)=0,D2792=""),"",IFERROR(INDEX(ca_type,MATCH(D2792,ca_name,0))&amp;"",""))</f>
        <v/>
      </c>
      <c r="I2792" s="58" t="str">
        <f>IF(COUNTA(A2792:E2792)=0,"",IF(N(A2792)&lt;=0,"Date manquante ou invalide",IF(B2792="","Équipe manquante",IF(ISNA(MATCH(B2792,eq_code,0)),"Équipe inconnue",IF(C2792="","Poste manquant",IF(ISNA(MATCH(C2792,po_code,0)),"Poste inconnu",IF(D2792="","Cause manquante",IF(ISNA(MATCH(D2792,ca_name,0)),"Cause inconnue",IF(H2792="","Cause à compléter dans Paramètres",IF(OR(NOT(ISNUMBER(E2792)),N(E2792)&lt;=0,N(E2792)&gt;1440),"Durée invalide",IF(COUNTIFS(sj_date,A2792,sj_eq,B2792,sj_po,C2792)=0,"Pas de saisie journalière ce jour-là","OK")))))))))))</f>
        <v/>
      </c>
      <c r="J2792">
        <f>IF(OR(I2792="OK",I2792="Pas de saisie journalière ce jour-là"),E2792,0)</f>
        <v>0.0</v>
      </c>
      <c r="K2792">
        <f>IF(AND(J2792&gt;0,A2792&gt;=p_from,A2792&lt;=p_to),1,0)</f>
        <v>0.0</v>
      </c>
      <c r="L2792">
        <f>IF(AND(K2792=1,OR(pa_po="",C2792=pa_po),OR(pa_eq="",B2792=pa_eq)),1,0)</f>
        <v>0.0</v>
      </c>
    </row>
    <row r="2793">
      <c r="A2793" s="51" t="n"/>
      <c r="B2793" s="52" t="n"/>
      <c r="C2793" s="52" t="n"/>
      <c r="D2793" s="53" t="n"/>
      <c r="E2793" s="60" t="n"/>
      <c r="F2793" s="53" t="n"/>
      <c r="G2793" s="61" t="str">
        <f>IF(OR(COUNTA(A2793:E2793)=0,D2793=""),"",IFERROR(INDEX(ca_fam,MATCH(D2793,ca_name,0))&amp;"",""))</f>
        <v/>
      </c>
      <c r="H2793" s="58" t="str">
        <f>IF(OR(COUNTA(A2793:E2793)=0,D2793=""),"",IFERROR(INDEX(ca_type,MATCH(D2793,ca_name,0))&amp;"",""))</f>
        <v/>
      </c>
      <c r="I2793" s="58" t="str">
        <f>IF(COUNTA(A2793:E2793)=0,"",IF(N(A2793)&lt;=0,"Date manquante ou invalide",IF(B2793="","Équipe manquante",IF(ISNA(MATCH(B2793,eq_code,0)),"Équipe inconnue",IF(C2793="","Poste manquant",IF(ISNA(MATCH(C2793,po_code,0)),"Poste inconnu",IF(D2793="","Cause manquante",IF(ISNA(MATCH(D2793,ca_name,0)),"Cause inconnue",IF(H2793="","Cause à compléter dans Paramètres",IF(OR(NOT(ISNUMBER(E2793)),N(E2793)&lt;=0,N(E2793)&gt;1440),"Durée invalide",IF(COUNTIFS(sj_date,A2793,sj_eq,B2793,sj_po,C2793)=0,"Pas de saisie journalière ce jour-là","OK")))))))))))</f>
        <v/>
      </c>
      <c r="J2793">
        <f>IF(OR(I2793="OK",I2793="Pas de saisie journalière ce jour-là"),E2793,0)</f>
        <v>0.0</v>
      </c>
      <c r="K2793">
        <f>IF(AND(J2793&gt;0,A2793&gt;=p_from,A2793&lt;=p_to),1,0)</f>
        <v>0.0</v>
      </c>
      <c r="L2793">
        <f>IF(AND(K2793=1,OR(pa_po="",C2793=pa_po),OR(pa_eq="",B2793=pa_eq)),1,0)</f>
        <v>0.0</v>
      </c>
    </row>
    <row r="2794">
      <c r="A2794" s="51" t="n"/>
      <c r="B2794" s="52" t="n"/>
      <c r="C2794" s="52" t="n"/>
      <c r="D2794" s="53" t="n"/>
      <c r="E2794" s="60" t="n"/>
      <c r="F2794" s="53" t="n"/>
      <c r="G2794" s="61" t="str">
        <f>IF(OR(COUNTA(A2794:E2794)=0,D2794=""),"",IFERROR(INDEX(ca_fam,MATCH(D2794,ca_name,0))&amp;"",""))</f>
        <v/>
      </c>
      <c r="H2794" s="58" t="str">
        <f>IF(OR(COUNTA(A2794:E2794)=0,D2794=""),"",IFERROR(INDEX(ca_type,MATCH(D2794,ca_name,0))&amp;"",""))</f>
        <v/>
      </c>
      <c r="I2794" s="58" t="str">
        <f>IF(COUNTA(A2794:E2794)=0,"",IF(N(A2794)&lt;=0,"Date manquante ou invalide",IF(B2794="","Équipe manquante",IF(ISNA(MATCH(B2794,eq_code,0)),"Équipe inconnue",IF(C2794="","Poste manquant",IF(ISNA(MATCH(C2794,po_code,0)),"Poste inconnu",IF(D2794="","Cause manquante",IF(ISNA(MATCH(D2794,ca_name,0)),"Cause inconnue",IF(H2794="","Cause à compléter dans Paramètres",IF(OR(NOT(ISNUMBER(E2794)),N(E2794)&lt;=0,N(E2794)&gt;1440),"Durée invalide",IF(COUNTIFS(sj_date,A2794,sj_eq,B2794,sj_po,C2794)=0,"Pas de saisie journalière ce jour-là","OK")))))))))))</f>
        <v/>
      </c>
      <c r="J2794">
        <f>IF(OR(I2794="OK",I2794="Pas de saisie journalière ce jour-là"),E2794,0)</f>
        <v>0.0</v>
      </c>
      <c r="K2794">
        <f>IF(AND(J2794&gt;0,A2794&gt;=p_from,A2794&lt;=p_to),1,0)</f>
        <v>0.0</v>
      </c>
      <c r="L2794">
        <f>IF(AND(K2794=1,OR(pa_po="",C2794=pa_po),OR(pa_eq="",B2794=pa_eq)),1,0)</f>
        <v>0.0</v>
      </c>
    </row>
    <row r="2795">
      <c r="A2795" s="51" t="n"/>
      <c r="B2795" s="52" t="n"/>
      <c r="C2795" s="52" t="n"/>
      <c r="D2795" s="53" t="n"/>
      <c r="E2795" s="60" t="n"/>
      <c r="F2795" s="53" t="n"/>
      <c r="G2795" s="61" t="str">
        <f>IF(OR(COUNTA(A2795:E2795)=0,D2795=""),"",IFERROR(INDEX(ca_fam,MATCH(D2795,ca_name,0))&amp;"",""))</f>
        <v/>
      </c>
      <c r="H2795" s="58" t="str">
        <f>IF(OR(COUNTA(A2795:E2795)=0,D2795=""),"",IFERROR(INDEX(ca_type,MATCH(D2795,ca_name,0))&amp;"",""))</f>
        <v/>
      </c>
      <c r="I2795" s="58" t="str">
        <f>IF(COUNTA(A2795:E2795)=0,"",IF(N(A2795)&lt;=0,"Date manquante ou invalide",IF(B2795="","Équipe manquante",IF(ISNA(MATCH(B2795,eq_code,0)),"Équipe inconnue",IF(C2795="","Poste manquant",IF(ISNA(MATCH(C2795,po_code,0)),"Poste inconnu",IF(D2795="","Cause manquante",IF(ISNA(MATCH(D2795,ca_name,0)),"Cause inconnue",IF(H2795="","Cause à compléter dans Paramètres",IF(OR(NOT(ISNUMBER(E2795)),N(E2795)&lt;=0,N(E2795)&gt;1440),"Durée invalide",IF(COUNTIFS(sj_date,A2795,sj_eq,B2795,sj_po,C2795)=0,"Pas de saisie journalière ce jour-là","OK")))))))))))</f>
        <v/>
      </c>
      <c r="J2795">
        <f>IF(OR(I2795="OK",I2795="Pas de saisie journalière ce jour-là"),E2795,0)</f>
        <v>0.0</v>
      </c>
      <c r="K2795">
        <f>IF(AND(J2795&gt;0,A2795&gt;=p_from,A2795&lt;=p_to),1,0)</f>
        <v>0.0</v>
      </c>
      <c r="L2795">
        <f>IF(AND(K2795=1,OR(pa_po="",C2795=pa_po),OR(pa_eq="",B2795=pa_eq)),1,0)</f>
        <v>0.0</v>
      </c>
    </row>
    <row r="2796">
      <c r="A2796" s="51" t="n"/>
      <c r="B2796" s="52" t="n"/>
      <c r="C2796" s="52" t="n"/>
      <c r="D2796" s="53" t="n"/>
      <c r="E2796" s="60" t="n"/>
      <c r="F2796" s="53" t="n"/>
      <c r="G2796" s="61" t="str">
        <f>IF(OR(COUNTA(A2796:E2796)=0,D2796=""),"",IFERROR(INDEX(ca_fam,MATCH(D2796,ca_name,0))&amp;"",""))</f>
        <v/>
      </c>
      <c r="H2796" s="58" t="str">
        <f>IF(OR(COUNTA(A2796:E2796)=0,D2796=""),"",IFERROR(INDEX(ca_type,MATCH(D2796,ca_name,0))&amp;"",""))</f>
        <v/>
      </c>
      <c r="I2796" s="58" t="str">
        <f>IF(COUNTA(A2796:E2796)=0,"",IF(N(A2796)&lt;=0,"Date manquante ou invalide",IF(B2796="","Équipe manquante",IF(ISNA(MATCH(B2796,eq_code,0)),"Équipe inconnue",IF(C2796="","Poste manquant",IF(ISNA(MATCH(C2796,po_code,0)),"Poste inconnu",IF(D2796="","Cause manquante",IF(ISNA(MATCH(D2796,ca_name,0)),"Cause inconnue",IF(H2796="","Cause à compléter dans Paramètres",IF(OR(NOT(ISNUMBER(E2796)),N(E2796)&lt;=0,N(E2796)&gt;1440),"Durée invalide",IF(COUNTIFS(sj_date,A2796,sj_eq,B2796,sj_po,C2796)=0,"Pas de saisie journalière ce jour-là","OK")))))))))))</f>
        <v/>
      </c>
      <c r="J2796">
        <f>IF(OR(I2796="OK",I2796="Pas de saisie journalière ce jour-là"),E2796,0)</f>
        <v>0.0</v>
      </c>
      <c r="K2796">
        <f>IF(AND(J2796&gt;0,A2796&gt;=p_from,A2796&lt;=p_to),1,0)</f>
        <v>0.0</v>
      </c>
      <c r="L2796">
        <f>IF(AND(K2796=1,OR(pa_po="",C2796=pa_po),OR(pa_eq="",B2796=pa_eq)),1,0)</f>
        <v>0.0</v>
      </c>
    </row>
    <row r="2797">
      <c r="A2797" s="51" t="n"/>
      <c r="B2797" s="52" t="n"/>
      <c r="C2797" s="52" t="n"/>
      <c r="D2797" s="53" t="n"/>
      <c r="E2797" s="60" t="n"/>
      <c r="F2797" s="53" t="n"/>
      <c r="G2797" s="61" t="str">
        <f>IF(OR(COUNTA(A2797:E2797)=0,D2797=""),"",IFERROR(INDEX(ca_fam,MATCH(D2797,ca_name,0))&amp;"",""))</f>
        <v/>
      </c>
      <c r="H2797" s="58" t="str">
        <f>IF(OR(COUNTA(A2797:E2797)=0,D2797=""),"",IFERROR(INDEX(ca_type,MATCH(D2797,ca_name,0))&amp;"",""))</f>
        <v/>
      </c>
      <c r="I2797" s="58" t="str">
        <f>IF(COUNTA(A2797:E2797)=0,"",IF(N(A2797)&lt;=0,"Date manquante ou invalide",IF(B2797="","Équipe manquante",IF(ISNA(MATCH(B2797,eq_code,0)),"Équipe inconnue",IF(C2797="","Poste manquant",IF(ISNA(MATCH(C2797,po_code,0)),"Poste inconnu",IF(D2797="","Cause manquante",IF(ISNA(MATCH(D2797,ca_name,0)),"Cause inconnue",IF(H2797="","Cause à compléter dans Paramètres",IF(OR(NOT(ISNUMBER(E2797)),N(E2797)&lt;=0,N(E2797)&gt;1440),"Durée invalide",IF(COUNTIFS(sj_date,A2797,sj_eq,B2797,sj_po,C2797)=0,"Pas de saisie journalière ce jour-là","OK")))))))))))</f>
        <v/>
      </c>
      <c r="J2797">
        <f>IF(OR(I2797="OK",I2797="Pas de saisie journalière ce jour-là"),E2797,0)</f>
        <v>0.0</v>
      </c>
      <c r="K2797">
        <f>IF(AND(J2797&gt;0,A2797&gt;=p_from,A2797&lt;=p_to),1,0)</f>
        <v>0.0</v>
      </c>
      <c r="L2797">
        <f>IF(AND(K2797=1,OR(pa_po="",C2797=pa_po),OR(pa_eq="",B2797=pa_eq)),1,0)</f>
        <v>0.0</v>
      </c>
    </row>
    <row r="2798">
      <c r="A2798" s="51" t="n"/>
      <c r="B2798" s="52" t="n"/>
      <c r="C2798" s="52" t="n"/>
      <c r="D2798" s="53" t="n"/>
      <c r="E2798" s="60" t="n"/>
      <c r="F2798" s="53" t="n"/>
      <c r="G2798" s="61" t="str">
        <f>IF(OR(COUNTA(A2798:E2798)=0,D2798=""),"",IFERROR(INDEX(ca_fam,MATCH(D2798,ca_name,0))&amp;"",""))</f>
        <v/>
      </c>
      <c r="H2798" s="58" t="str">
        <f>IF(OR(COUNTA(A2798:E2798)=0,D2798=""),"",IFERROR(INDEX(ca_type,MATCH(D2798,ca_name,0))&amp;"",""))</f>
        <v/>
      </c>
      <c r="I2798" s="58" t="str">
        <f>IF(COUNTA(A2798:E2798)=0,"",IF(N(A2798)&lt;=0,"Date manquante ou invalide",IF(B2798="","Équipe manquante",IF(ISNA(MATCH(B2798,eq_code,0)),"Équipe inconnue",IF(C2798="","Poste manquant",IF(ISNA(MATCH(C2798,po_code,0)),"Poste inconnu",IF(D2798="","Cause manquante",IF(ISNA(MATCH(D2798,ca_name,0)),"Cause inconnue",IF(H2798="","Cause à compléter dans Paramètres",IF(OR(NOT(ISNUMBER(E2798)),N(E2798)&lt;=0,N(E2798)&gt;1440),"Durée invalide",IF(COUNTIFS(sj_date,A2798,sj_eq,B2798,sj_po,C2798)=0,"Pas de saisie journalière ce jour-là","OK")))))))))))</f>
        <v/>
      </c>
      <c r="J2798">
        <f>IF(OR(I2798="OK",I2798="Pas de saisie journalière ce jour-là"),E2798,0)</f>
        <v>0.0</v>
      </c>
      <c r="K2798">
        <f>IF(AND(J2798&gt;0,A2798&gt;=p_from,A2798&lt;=p_to),1,0)</f>
        <v>0.0</v>
      </c>
      <c r="L2798">
        <f>IF(AND(K2798=1,OR(pa_po="",C2798=pa_po),OR(pa_eq="",B2798=pa_eq)),1,0)</f>
        <v>0.0</v>
      </c>
    </row>
    <row r="2799">
      <c r="A2799" s="51" t="n"/>
      <c r="B2799" s="52" t="n"/>
      <c r="C2799" s="52" t="n"/>
      <c r="D2799" s="53" t="n"/>
      <c r="E2799" s="60" t="n"/>
      <c r="F2799" s="53" t="n"/>
      <c r="G2799" s="61" t="str">
        <f>IF(OR(COUNTA(A2799:E2799)=0,D2799=""),"",IFERROR(INDEX(ca_fam,MATCH(D2799,ca_name,0))&amp;"",""))</f>
        <v/>
      </c>
      <c r="H2799" s="58" t="str">
        <f>IF(OR(COUNTA(A2799:E2799)=0,D2799=""),"",IFERROR(INDEX(ca_type,MATCH(D2799,ca_name,0))&amp;"",""))</f>
        <v/>
      </c>
      <c r="I2799" s="58" t="str">
        <f>IF(COUNTA(A2799:E2799)=0,"",IF(N(A2799)&lt;=0,"Date manquante ou invalide",IF(B2799="","Équipe manquante",IF(ISNA(MATCH(B2799,eq_code,0)),"Équipe inconnue",IF(C2799="","Poste manquant",IF(ISNA(MATCH(C2799,po_code,0)),"Poste inconnu",IF(D2799="","Cause manquante",IF(ISNA(MATCH(D2799,ca_name,0)),"Cause inconnue",IF(H2799="","Cause à compléter dans Paramètres",IF(OR(NOT(ISNUMBER(E2799)),N(E2799)&lt;=0,N(E2799)&gt;1440),"Durée invalide",IF(COUNTIFS(sj_date,A2799,sj_eq,B2799,sj_po,C2799)=0,"Pas de saisie journalière ce jour-là","OK")))))))))))</f>
        <v/>
      </c>
      <c r="J2799">
        <f>IF(OR(I2799="OK",I2799="Pas de saisie journalière ce jour-là"),E2799,0)</f>
        <v>0.0</v>
      </c>
      <c r="K2799">
        <f>IF(AND(J2799&gt;0,A2799&gt;=p_from,A2799&lt;=p_to),1,0)</f>
        <v>0.0</v>
      </c>
      <c r="L2799">
        <f>IF(AND(K2799=1,OR(pa_po="",C2799=pa_po),OR(pa_eq="",B2799=pa_eq)),1,0)</f>
        <v>0.0</v>
      </c>
    </row>
    <row r="2800">
      <c r="A2800" s="51" t="n"/>
      <c r="B2800" s="52" t="n"/>
      <c r="C2800" s="52" t="n"/>
      <c r="D2800" s="53" t="n"/>
      <c r="E2800" s="60" t="n"/>
      <c r="F2800" s="53" t="n"/>
      <c r="G2800" s="61" t="str">
        <f>IF(OR(COUNTA(A2800:E2800)=0,D2800=""),"",IFERROR(INDEX(ca_fam,MATCH(D2800,ca_name,0))&amp;"",""))</f>
        <v/>
      </c>
      <c r="H2800" s="58" t="str">
        <f>IF(OR(COUNTA(A2800:E2800)=0,D2800=""),"",IFERROR(INDEX(ca_type,MATCH(D2800,ca_name,0))&amp;"",""))</f>
        <v/>
      </c>
      <c r="I2800" s="58" t="str">
        <f>IF(COUNTA(A2800:E2800)=0,"",IF(N(A2800)&lt;=0,"Date manquante ou invalide",IF(B2800="","Équipe manquante",IF(ISNA(MATCH(B2800,eq_code,0)),"Équipe inconnue",IF(C2800="","Poste manquant",IF(ISNA(MATCH(C2800,po_code,0)),"Poste inconnu",IF(D2800="","Cause manquante",IF(ISNA(MATCH(D2800,ca_name,0)),"Cause inconnue",IF(H2800="","Cause à compléter dans Paramètres",IF(OR(NOT(ISNUMBER(E2800)),N(E2800)&lt;=0,N(E2800)&gt;1440),"Durée invalide",IF(COUNTIFS(sj_date,A2800,sj_eq,B2800,sj_po,C2800)=0,"Pas de saisie journalière ce jour-là","OK")))))))))))</f>
        <v/>
      </c>
      <c r="J2800">
        <f>IF(OR(I2800="OK",I2800="Pas de saisie journalière ce jour-là"),E2800,0)</f>
        <v>0.0</v>
      </c>
      <c r="K2800">
        <f>IF(AND(J2800&gt;0,A2800&gt;=p_from,A2800&lt;=p_to),1,0)</f>
        <v>0.0</v>
      </c>
      <c r="L2800">
        <f>IF(AND(K2800=1,OR(pa_po="",C2800=pa_po),OR(pa_eq="",B2800=pa_eq)),1,0)</f>
        <v>0.0</v>
      </c>
    </row>
    <row r="2801">
      <c r="A2801" s="51" t="n"/>
      <c r="B2801" s="52" t="n"/>
      <c r="C2801" s="52" t="n"/>
      <c r="D2801" s="53" t="n"/>
      <c r="E2801" s="60" t="n"/>
      <c r="F2801" s="53" t="n"/>
      <c r="G2801" s="61" t="str">
        <f>IF(OR(COUNTA(A2801:E2801)=0,D2801=""),"",IFERROR(INDEX(ca_fam,MATCH(D2801,ca_name,0))&amp;"",""))</f>
        <v/>
      </c>
      <c r="H2801" s="58" t="str">
        <f>IF(OR(COUNTA(A2801:E2801)=0,D2801=""),"",IFERROR(INDEX(ca_type,MATCH(D2801,ca_name,0))&amp;"",""))</f>
        <v/>
      </c>
      <c r="I2801" s="58" t="str">
        <f>IF(COUNTA(A2801:E2801)=0,"",IF(N(A2801)&lt;=0,"Date manquante ou invalide",IF(B2801="","Équipe manquante",IF(ISNA(MATCH(B2801,eq_code,0)),"Équipe inconnue",IF(C2801="","Poste manquant",IF(ISNA(MATCH(C2801,po_code,0)),"Poste inconnu",IF(D2801="","Cause manquante",IF(ISNA(MATCH(D2801,ca_name,0)),"Cause inconnue",IF(H2801="","Cause à compléter dans Paramètres",IF(OR(NOT(ISNUMBER(E2801)),N(E2801)&lt;=0,N(E2801)&gt;1440),"Durée invalide",IF(COUNTIFS(sj_date,A2801,sj_eq,B2801,sj_po,C2801)=0,"Pas de saisie journalière ce jour-là","OK")))))))))))</f>
        <v/>
      </c>
      <c r="J2801">
        <f>IF(OR(I2801="OK",I2801="Pas de saisie journalière ce jour-là"),E2801,0)</f>
        <v>0.0</v>
      </c>
      <c r="K2801">
        <f>IF(AND(J2801&gt;0,A2801&gt;=p_from,A2801&lt;=p_to),1,0)</f>
        <v>0.0</v>
      </c>
      <c r="L2801">
        <f>IF(AND(K2801=1,OR(pa_po="",C2801=pa_po),OR(pa_eq="",B2801=pa_eq)),1,0)</f>
        <v>0.0</v>
      </c>
    </row>
    <row r="2802">
      <c r="A2802" s="51" t="n"/>
      <c r="B2802" s="52" t="n"/>
      <c r="C2802" s="52" t="n"/>
      <c r="D2802" s="53" t="n"/>
      <c r="E2802" s="60" t="n"/>
      <c r="F2802" s="53" t="n"/>
      <c r="G2802" s="61" t="str">
        <f>IF(OR(COUNTA(A2802:E2802)=0,D2802=""),"",IFERROR(INDEX(ca_fam,MATCH(D2802,ca_name,0))&amp;"",""))</f>
        <v/>
      </c>
      <c r="H2802" s="58" t="str">
        <f>IF(OR(COUNTA(A2802:E2802)=0,D2802=""),"",IFERROR(INDEX(ca_type,MATCH(D2802,ca_name,0))&amp;"",""))</f>
        <v/>
      </c>
      <c r="I2802" s="58" t="str">
        <f>IF(COUNTA(A2802:E2802)=0,"",IF(N(A2802)&lt;=0,"Date manquante ou invalide",IF(B2802="","Équipe manquante",IF(ISNA(MATCH(B2802,eq_code,0)),"Équipe inconnue",IF(C2802="","Poste manquant",IF(ISNA(MATCH(C2802,po_code,0)),"Poste inconnu",IF(D2802="","Cause manquante",IF(ISNA(MATCH(D2802,ca_name,0)),"Cause inconnue",IF(H2802="","Cause à compléter dans Paramètres",IF(OR(NOT(ISNUMBER(E2802)),N(E2802)&lt;=0,N(E2802)&gt;1440),"Durée invalide",IF(COUNTIFS(sj_date,A2802,sj_eq,B2802,sj_po,C2802)=0,"Pas de saisie journalière ce jour-là","OK")))))))))))</f>
        <v/>
      </c>
      <c r="J2802">
        <f>IF(OR(I2802="OK",I2802="Pas de saisie journalière ce jour-là"),E2802,0)</f>
        <v>0.0</v>
      </c>
      <c r="K2802">
        <f>IF(AND(J2802&gt;0,A2802&gt;=p_from,A2802&lt;=p_to),1,0)</f>
        <v>0.0</v>
      </c>
      <c r="L2802">
        <f>IF(AND(K2802=1,OR(pa_po="",C2802=pa_po),OR(pa_eq="",B2802=pa_eq)),1,0)</f>
        <v>0.0</v>
      </c>
    </row>
    <row r="2803">
      <c r="A2803" s="51" t="n"/>
      <c r="B2803" s="52" t="n"/>
      <c r="C2803" s="52" t="n"/>
      <c r="D2803" s="53" t="n"/>
      <c r="E2803" s="60" t="n"/>
      <c r="F2803" s="53" t="n"/>
      <c r="G2803" s="61" t="str">
        <f>IF(OR(COUNTA(A2803:E2803)=0,D2803=""),"",IFERROR(INDEX(ca_fam,MATCH(D2803,ca_name,0))&amp;"",""))</f>
        <v/>
      </c>
      <c r="H2803" s="58" t="str">
        <f>IF(OR(COUNTA(A2803:E2803)=0,D2803=""),"",IFERROR(INDEX(ca_type,MATCH(D2803,ca_name,0))&amp;"",""))</f>
        <v/>
      </c>
      <c r="I2803" s="58" t="str">
        <f>IF(COUNTA(A2803:E2803)=0,"",IF(N(A2803)&lt;=0,"Date manquante ou invalide",IF(B2803="","Équipe manquante",IF(ISNA(MATCH(B2803,eq_code,0)),"Équipe inconnue",IF(C2803="","Poste manquant",IF(ISNA(MATCH(C2803,po_code,0)),"Poste inconnu",IF(D2803="","Cause manquante",IF(ISNA(MATCH(D2803,ca_name,0)),"Cause inconnue",IF(H2803="","Cause à compléter dans Paramètres",IF(OR(NOT(ISNUMBER(E2803)),N(E2803)&lt;=0,N(E2803)&gt;1440),"Durée invalide",IF(COUNTIFS(sj_date,A2803,sj_eq,B2803,sj_po,C2803)=0,"Pas de saisie journalière ce jour-là","OK")))))))))))</f>
        <v/>
      </c>
      <c r="J2803">
        <f>IF(OR(I2803="OK",I2803="Pas de saisie journalière ce jour-là"),E2803,0)</f>
        <v>0.0</v>
      </c>
      <c r="K2803">
        <f>IF(AND(J2803&gt;0,A2803&gt;=p_from,A2803&lt;=p_to),1,0)</f>
        <v>0.0</v>
      </c>
      <c r="L2803">
        <f>IF(AND(K2803=1,OR(pa_po="",C2803=pa_po),OR(pa_eq="",B2803=pa_eq)),1,0)</f>
        <v>0.0</v>
      </c>
    </row>
    <row r="2804">
      <c r="A2804" s="51" t="n"/>
      <c r="B2804" s="52" t="n"/>
      <c r="C2804" s="52" t="n"/>
      <c r="D2804" s="53" t="n"/>
      <c r="E2804" s="60" t="n"/>
      <c r="F2804" s="53" t="n"/>
      <c r="G2804" s="61" t="str">
        <f>IF(OR(COUNTA(A2804:E2804)=0,D2804=""),"",IFERROR(INDEX(ca_fam,MATCH(D2804,ca_name,0))&amp;"",""))</f>
        <v/>
      </c>
      <c r="H2804" s="58" t="str">
        <f>IF(OR(COUNTA(A2804:E2804)=0,D2804=""),"",IFERROR(INDEX(ca_type,MATCH(D2804,ca_name,0))&amp;"",""))</f>
        <v/>
      </c>
      <c r="I2804" s="58" t="str">
        <f>IF(COUNTA(A2804:E2804)=0,"",IF(N(A2804)&lt;=0,"Date manquante ou invalide",IF(B2804="","Équipe manquante",IF(ISNA(MATCH(B2804,eq_code,0)),"Équipe inconnue",IF(C2804="","Poste manquant",IF(ISNA(MATCH(C2804,po_code,0)),"Poste inconnu",IF(D2804="","Cause manquante",IF(ISNA(MATCH(D2804,ca_name,0)),"Cause inconnue",IF(H2804="","Cause à compléter dans Paramètres",IF(OR(NOT(ISNUMBER(E2804)),N(E2804)&lt;=0,N(E2804)&gt;1440),"Durée invalide",IF(COUNTIFS(sj_date,A2804,sj_eq,B2804,sj_po,C2804)=0,"Pas de saisie journalière ce jour-là","OK")))))))))))</f>
        <v/>
      </c>
      <c r="J2804">
        <f>IF(OR(I2804="OK",I2804="Pas de saisie journalière ce jour-là"),E2804,0)</f>
        <v>0.0</v>
      </c>
      <c r="K2804">
        <f>IF(AND(J2804&gt;0,A2804&gt;=p_from,A2804&lt;=p_to),1,0)</f>
        <v>0.0</v>
      </c>
      <c r="L2804">
        <f>IF(AND(K2804=1,OR(pa_po="",C2804=pa_po),OR(pa_eq="",B2804=pa_eq)),1,0)</f>
        <v>0.0</v>
      </c>
    </row>
    <row r="2805">
      <c r="A2805" s="51" t="n"/>
      <c r="B2805" s="52" t="n"/>
      <c r="C2805" s="52" t="n"/>
      <c r="D2805" s="53" t="n"/>
      <c r="E2805" s="60" t="n"/>
      <c r="F2805" s="53" t="n"/>
      <c r="G2805" s="61" t="str">
        <f>IF(OR(COUNTA(A2805:E2805)=0,D2805=""),"",IFERROR(INDEX(ca_fam,MATCH(D2805,ca_name,0))&amp;"",""))</f>
        <v/>
      </c>
      <c r="H2805" s="58" t="str">
        <f>IF(OR(COUNTA(A2805:E2805)=0,D2805=""),"",IFERROR(INDEX(ca_type,MATCH(D2805,ca_name,0))&amp;"",""))</f>
        <v/>
      </c>
      <c r="I2805" s="58" t="str">
        <f>IF(COUNTA(A2805:E2805)=0,"",IF(N(A2805)&lt;=0,"Date manquante ou invalide",IF(B2805="","Équipe manquante",IF(ISNA(MATCH(B2805,eq_code,0)),"Équipe inconnue",IF(C2805="","Poste manquant",IF(ISNA(MATCH(C2805,po_code,0)),"Poste inconnu",IF(D2805="","Cause manquante",IF(ISNA(MATCH(D2805,ca_name,0)),"Cause inconnue",IF(H2805="","Cause à compléter dans Paramètres",IF(OR(NOT(ISNUMBER(E2805)),N(E2805)&lt;=0,N(E2805)&gt;1440),"Durée invalide",IF(COUNTIFS(sj_date,A2805,sj_eq,B2805,sj_po,C2805)=0,"Pas de saisie journalière ce jour-là","OK")))))))))))</f>
        <v/>
      </c>
      <c r="J2805">
        <f>IF(OR(I2805="OK",I2805="Pas de saisie journalière ce jour-là"),E2805,0)</f>
        <v>0.0</v>
      </c>
      <c r="K2805">
        <f>IF(AND(J2805&gt;0,A2805&gt;=p_from,A2805&lt;=p_to),1,0)</f>
        <v>0.0</v>
      </c>
      <c r="L2805">
        <f>IF(AND(K2805=1,OR(pa_po="",C2805=pa_po),OR(pa_eq="",B2805=pa_eq)),1,0)</f>
        <v>0.0</v>
      </c>
    </row>
    <row r="2806">
      <c r="A2806" s="51" t="n"/>
      <c r="B2806" s="52" t="n"/>
      <c r="C2806" s="52" t="n"/>
      <c r="D2806" s="53" t="n"/>
      <c r="E2806" s="60" t="n"/>
      <c r="F2806" s="53" t="n"/>
      <c r="G2806" s="61" t="str">
        <f>IF(OR(COUNTA(A2806:E2806)=0,D2806=""),"",IFERROR(INDEX(ca_fam,MATCH(D2806,ca_name,0))&amp;"",""))</f>
        <v/>
      </c>
      <c r="H2806" s="58" t="str">
        <f>IF(OR(COUNTA(A2806:E2806)=0,D2806=""),"",IFERROR(INDEX(ca_type,MATCH(D2806,ca_name,0))&amp;"",""))</f>
        <v/>
      </c>
      <c r="I2806" s="58" t="str">
        <f>IF(COUNTA(A2806:E2806)=0,"",IF(N(A2806)&lt;=0,"Date manquante ou invalide",IF(B2806="","Équipe manquante",IF(ISNA(MATCH(B2806,eq_code,0)),"Équipe inconnue",IF(C2806="","Poste manquant",IF(ISNA(MATCH(C2806,po_code,0)),"Poste inconnu",IF(D2806="","Cause manquante",IF(ISNA(MATCH(D2806,ca_name,0)),"Cause inconnue",IF(H2806="","Cause à compléter dans Paramètres",IF(OR(NOT(ISNUMBER(E2806)),N(E2806)&lt;=0,N(E2806)&gt;1440),"Durée invalide",IF(COUNTIFS(sj_date,A2806,sj_eq,B2806,sj_po,C2806)=0,"Pas de saisie journalière ce jour-là","OK")))))))))))</f>
        <v/>
      </c>
      <c r="J2806">
        <f>IF(OR(I2806="OK",I2806="Pas de saisie journalière ce jour-là"),E2806,0)</f>
        <v>0.0</v>
      </c>
      <c r="K2806">
        <f>IF(AND(J2806&gt;0,A2806&gt;=p_from,A2806&lt;=p_to),1,0)</f>
        <v>0.0</v>
      </c>
      <c r="L2806">
        <f>IF(AND(K2806=1,OR(pa_po="",C2806=pa_po),OR(pa_eq="",B2806=pa_eq)),1,0)</f>
        <v>0.0</v>
      </c>
    </row>
    <row r="2807">
      <c r="A2807" s="51" t="n"/>
      <c r="B2807" s="52" t="n"/>
      <c r="C2807" s="52" t="n"/>
      <c r="D2807" s="53" t="n"/>
      <c r="E2807" s="60" t="n"/>
      <c r="F2807" s="53" t="n"/>
      <c r="G2807" s="61" t="str">
        <f>IF(OR(COUNTA(A2807:E2807)=0,D2807=""),"",IFERROR(INDEX(ca_fam,MATCH(D2807,ca_name,0))&amp;"",""))</f>
        <v/>
      </c>
      <c r="H2807" s="58" t="str">
        <f>IF(OR(COUNTA(A2807:E2807)=0,D2807=""),"",IFERROR(INDEX(ca_type,MATCH(D2807,ca_name,0))&amp;"",""))</f>
        <v/>
      </c>
      <c r="I2807" s="58" t="str">
        <f>IF(COUNTA(A2807:E2807)=0,"",IF(N(A2807)&lt;=0,"Date manquante ou invalide",IF(B2807="","Équipe manquante",IF(ISNA(MATCH(B2807,eq_code,0)),"Équipe inconnue",IF(C2807="","Poste manquant",IF(ISNA(MATCH(C2807,po_code,0)),"Poste inconnu",IF(D2807="","Cause manquante",IF(ISNA(MATCH(D2807,ca_name,0)),"Cause inconnue",IF(H2807="","Cause à compléter dans Paramètres",IF(OR(NOT(ISNUMBER(E2807)),N(E2807)&lt;=0,N(E2807)&gt;1440),"Durée invalide",IF(COUNTIFS(sj_date,A2807,sj_eq,B2807,sj_po,C2807)=0,"Pas de saisie journalière ce jour-là","OK")))))))))))</f>
        <v/>
      </c>
      <c r="J2807">
        <f>IF(OR(I2807="OK",I2807="Pas de saisie journalière ce jour-là"),E2807,0)</f>
        <v>0.0</v>
      </c>
      <c r="K2807">
        <f>IF(AND(J2807&gt;0,A2807&gt;=p_from,A2807&lt;=p_to),1,0)</f>
        <v>0.0</v>
      </c>
      <c r="L2807">
        <f>IF(AND(K2807=1,OR(pa_po="",C2807=pa_po),OR(pa_eq="",B2807=pa_eq)),1,0)</f>
        <v>0.0</v>
      </c>
    </row>
    <row r="2808">
      <c r="A2808" s="51" t="n"/>
      <c r="B2808" s="52" t="n"/>
      <c r="C2808" s="52" t="n"/>
      <c r="D2808" s="53" t="n"/>
      <c r="E2808" s="60" t="n"/>
      <c r="F2808" s="53" t="n"/>
      <c r="G2808" s="61" t="str">
        <f>IF(OR(COUNTA(A2808:E2808)=0,D2808=""),"",IFERROR(INDEX(ca_fam,MATCH(D2808,ca_name,0))&amp;"",""))</f>
        <v/>
      </c>
      <c r="H2808" s="58" t="str">
        <f>IF(OR(COUNTA(A2808:E2808)=0,D2808=""),"",IFERROR(INDEX(ca_type,MATCH(D2808,ca_name,0))&amp;"",""))</f>
        <v/>
      </c>
      <c r="I2808" s="58" t="str">
        <f>IF(COUNTA(A2808:E2808)=0,"",IF(N(A2808)&lt;=0,"Date manquante ou invalide",IF(B2808="","Équipe manquante",IF(ISNA(MATCH(B2808,eq_code,0)),"Équipe inconnue",IF(C2808="","Poste manquant",IF(ISNA(MATCH(C2808,po_code,0)),"Poste inconnu",IF(D2808="","Cause manquante",IF(ISNA(MATCH(D2808,ca_name,0)),"Cause inconnue",IF(H2808="","Cause à compléter dans Paramètres",IF(OR(NOT(ISNUMBER(E2808)),N(E2808)&lt;=0,N(E2808)&gt;1440),"Durée invalide",IF(COUNTIFS(sj_date,A2808,sj_eq,B2808,sj_po,C2808)=0,"Pas de saisie journalière ce jour-là","OK")))))))))))</f>
        <v/>
      </c>
      <c r="J2808">
        <f>IF(OR(I2808="OK",I2808="Pas de saisie journalière ce jour-là"),E2808,0)</f>
        <v>0.0</v>
      </c>
      <c r="K2808">
        <f>IF(AND(J2808&gt;0,A2808&gt;=p_from,A2808&lt;=p_to),1,0)</f>
        <v>0.0</v>
      </c>
      <c r="L2808">
        <f>IF(AND(K2808=1,OR(pa_po="",C2808=pa_po),OR(pa_eq="",B2808=pa_eq)),1,0)</f>
        <v>0.0</v>
      </c>
    </row>
    <row r="2809">
      <c r="A2809" s="51" t="n"/>
      <c r="B2809" s="52" t="n"/>
      <c r="C2809" s="52" t="n"/>
      <c r="D2809" s="53" t="n"/>
      <c r="E2809" s="60" t="n"/>
      <c r="F2809" s="53" t="n"/>
      <c r="G2809" s="61" t="str">
        <f>IF(OR(COUNTA(A2809:E2809)=0,D2809=""),"",IFERROR(INDEX(ca_fam,MATCH(D2809,ca_name,0))&amp;"",""))</f>
        <v/>
      </c>
      <c r="H2809" s="58" t="str">
        <f>IF(OR(COUNTA(A2809:E2809)=0,D2809=""),"",IFERROR(INDEX(ca_type,MATCH(D2809,ca_name,0))&amp;"",""))</f>
        <v/>
      </c>
      <c r="I2809" s="58" t="str">
        <f>IF(COUNTA(A2809:E2809)=0,"",IF(N(A2809)&lt;=0,"Date manquante ou invalide",IF(B2809="","Équipe manquante",IF(ISNA(MATCH(B2809,eq_code,0)),"Équipe inconnue",IF(C2809="","Poste manquant",IF(ISNA(MATCH(C2809,po_code,0)),"Poste inconnu",IF(D2809="","Cause manquante",IF(ISNA(MATCH(D2809,ca_name,0)),"Cause inconnue",IF(H2809="","Cause à compléter dans Paramètres",IF(OR(NOT(ISNUMBER(E2809)),N(E2809)&lt;=0,N(E2809)&gt;1440),"Durée invalide",IF(COUNTIFS(sj_date,A2809,sj_eq,B2809,sj_po,C2809)=0,"Pas de saisie journalière ce jour-là","OK")))))))))))</f>
        <v/>
      </c>
      <c r="J2809">
        <f>IF(OR(I2809="OK",I2809="Pas de saisie journalière ce jour-là"),E2809,0)</f>
        <v>0.0</v>
      </c>
      <c r="K2809">
        <f>IF(AND(J2809&gt;0,A2809&gt;=p_from,A2809&lt;=p_to),1,0)</f>
        <v>0.0</v>
      </c>
      <c r="L2809">
        <f>IF(AND(K2809=1,OR(pa_po="",C2809=pa_po),OR(pa_eq="",B2809=pa_eq)),1,0)</f>
        <v>0.0</v>
      </c>
    </row>
    <row r="2810">
      <c r="A2810" s="51" t="n"/>
      <c r="B2810" s="52" t="n"/>
      <c r="C2810" s="52" t="n"/>
      <c r="D2810" s="53" t="n"/>
      <c r="E2810" s="60" t="n"/>
      <c r="F2810" s="53" t="n"/>
      <c r="G2810" s="61" t="str">
        <f>IF(OR(COUNTA(A2810:E2810)=0,D2810=""),"",IFERROR(INDEX(ca_fam,MATCH(D2810,ca_name,0))&amp;"",""))</f>
        <v/>
      </c>
      <c r="H2810" s="58" t="str">
        <f>IF(OR(COUNTA(A2810:E2810)=0,D2810=""),"",IFERROR(INDEX(ca_type,MATCH(D2810,ca_name,0))&amp;"",""))</f>
        <v/>
      </c>
      <c r="I2810" s="58" t="str">
        <f>IF(COUNTA(A2810:E2810)=0,"",IF(N(A2810)&lt;=0,"Date manquante ou invalide",IF(B2810="","Équipe manquante",IF(ISNA(MATCH(B2810,eq_code,0)),"Équipe inconnue",IF(C2810="","Poste manquant",IF(ISNA(MATCH(C2810,po_code,0)),"Poste inconnu",IF(D2810="","Cause manquante",IF(ISNA(MATCH(D2810,ca_name,0)),"Cause inconnue",IF(H2810="","Cause à compléter dans Paramètres",IF(OR(NOT(ISNUMBER(E2810)),N(E2810)&lt;=0,N(E2810)&gt;1440),"Durée invalide",IF(COUNTIFS(sj_date,A2810,sj_eq,B2810,sj_po,C2810)=0,"Pas de saisie journalière ce jour-là","OK")))))))))))</f>
        <v/>
      </c>
      <c r="J2810">
        <f>IF(OR(I2810="OK",I2810="Pas de saisie journalière ce jour-là"),E2810,0)</f>
        <v>0.0</v>
      </c>
      <c r="K2810">
        <f>IF(AND(J2810&gt;0,A2810&gt;=p_from,A2810&lt;=p_to),1,0)</f>
        <v>0.0</v>
      </c>
      <c r="L2810">
        <f>IF(AND(K2810=1,OR(pa_po="",C2810=pa_po),OR(pa_eq="",B2810=pa_eq)),1,0)</f>
        <v>0.0</v>
      </c>
    </row>
    <row r="2811">
      <c r="A2811" s="51" t="n"/>
      <c r="B2811" s="52" t="n"/>
      <c r="C2811" s="52" t="n"/>
      <c r="D2811" s="53" t="n"/>
      <c r="E2811" s="60" t="n"/>
      <c r="F2811" s="53" t="n"/>
      <c r="G2811" s="61" t="str">
        <f>IF(OR(COUNTA(A2811:E2811)=0,D2811=""),"",IFERROR(INDEX(ca_fam,MATCH(D2811,ca_name,0))&amp;"",""))</f>
        <v/>
      </c>
      <c r="H2811" s="58" t="str">
        <f>IF(OR(COUNTA(A2811:E2811)=0,D2811=""),"",IFERROR(INDEX(ca_type,MATCH(D2811,ca_name,0))&amp;"",""))</f>
        <v/>
      </c>
      <c r="I2811" s="58" t="str">
        <f>IF(COUNTA(A2811:E2811)=0,"",IF(N(A2811)&lt;=0,"Date manquante ou invalide",IF(B2811="","Équipe manquante",IF(ISNA(MATCH(B2811,eq_code,0)),"Équipe inconnue",IF(C2811="","Poste manquant",IF(ISNA(MATCH(C2811,po_code,0)),"Poste inconnu",IF(D2811="","Cause manquante",IF(ISNA(MATCH(D2811,ca_name,0)),"Cause inconnue",IF(H2811="","Cause à compléter dans Paramètres",IF(OR(NOT(ISNUMBER(E2811)),N(E2811)&lt;=0,N(E2811)&gt;1440),"Durée invalide",IF(COUNTIFS(sj_date,A2811,sj_eq,B2811,sj_po,C2811)=0,"Pas de saisie journalière ce jour-là","OK")))))))))))</f>
        <v/>
      </c>
      <c r="J2811">
        <f>IF(OR(I2811="OK",I2811="Pas de saisie journalière ce jour-là"),E2811,0)</f>
        <v>0.0</v>
      </c>
      <c r="K2811">
        <f>IF(AND(J2811&gt;0,A2811&gt;=p_from,A2811&lt;=p_to),1,0)</f>
        <v>0.0</v>
      </c>
      <c r="L2811">
        <f>IF(AND(K2811=1,OR(pa_po="",C2811=pa_po),OR(pa_eq="",B2811=pa_eq)),1,0)</f>
        <v>0.0</v>
      </c>
    </row>
    <row r="2812">
      <c r="A2812" s="51" t="n"/>
      <c r="B2812" s="52" t="n"/>
      <c r="C2812" s="52" t="n"/>
      <c r="D2812" s="53" t="n"/>
      <c r="E2812" s="60" t="n"/>
      <c r="F2812" s="53" t="n"/>
      <c r="G2812" s="61" t="str">
        <f>IF(OR(COUNTA(A2812:E2812)=0,D2812=""),"",IFERROR(INDEX(ca_fam,MATCH(D2812,ca_name,0))&amp;"",""))</f>
        <v/>
      </c>
      <c r="H2812" s="58" t="str">
        <f>IF(OR(COUNTA(A2812:E2812)=0,D2812=""),"",IFERROR(INDEX(ca_type,MATCH(D2812,ca_name,0))&amp;"",""))</f>
        <v/>
      </c>
      <c r="I2812" s="58" t="str">
        <f>IF(COUNTA(A2812:E2812)=0,"",IF(N(A2812)&lt;=0,"Date manquante ou invalide",IF(B2812="","Équipe manquante",IF(ISNA(MATCH(B2812,eq_code,0)),"Équipe inconnue",IF(C2812="","Poste manquant",IF(ISNA(MATCH(C2812,po_code,0)),"Poste inconnu",IF(D2812="","Cause manquante",IF(ISNA(MATCH(D2812,ca_name,0)),"Cause inconnue",IF(H2812="","Cause à compléter dans Paramètres",IF(OR(NOT(ISNUMBER(E2812)),N(E2812)&lt;=0,N(E2812)&gt;1440),"Durée invalide",IF(COUNTIFS(sj_date,A2812,sj_eq,B2812,sj_po,C2812)=0,"Pas de saisie journalière ce jour-là","OK")))))))))))</f>
        <v/>
      </c>
      <c r="J2812">
        <f>IF(OR(I2812="OK",I2812="Pas de saisie journalière ce jour-là"),E2812,0)</f>
        <v>0.0</v>
      </c>
      <c r="K2812">
        <f>IF(AND(J2812&gt;0,A2812&gt;=p_from,A2812&lt;=p_to),1,0)</f>
        <v>0.0</v>
      </c>
      <c r="L2812">
        <f>IF(AND(K2812=1,OR(pa_po="",C2812=pa_po),OR(pa_eq="",B2812=pa_eq)),1,0)</f>
        <v>0.0</v>
      </c>
    </row>
    <row r="2813">
      <c r="A2813" s="51" t="n"/>
      <c r="B2813" s="52" t="n"/>
      <c r="C2813" s="52" t="n"/>
      <c r="D2813" s="53" t="n"/>
      <c r="E2813" s="60" t="n"/>
      <c r="F2813" s="53" t="n"/>
      <c r="G2813" s="61" t="str">
        <f>IF(OR(COUNTA(A2813:E2813)=0,D2813=""),"",IFERROR(INDEX(ca_fam,MATCH(D2813,ca_name,0))&amp;"",""))</f>
        <v/>
      </c>
      <c r="H2813" s="58" t="str">
        <f>IF(OR(COUNTA(A2813:E2813)=0,D2813=""),"",IFERROR(INDEX(ca_type,MATCH(D2813,ca_name,0))&amp;"",""))</f>
        <v/>
      </c>
      <c r="I2813" s="58" t="str">
        <f>IF(COUNTA(A2813:E2813)=0,"",IF(N(A2813)&lt;=0,"Date manquante ou invalide",IF(B2813="","Équipe manquante",IF(ISNA(MATCH(B2813,eq_code,0)),"Équipe inconnue",IF(C2813="","Poste manquant",IF(ISNA(MATCH(C2813,po_code,0)),"Poste inconnu",IF(D2813="","Cause manquante",IF(ISNA(MATCH(D2813,ca_name,0)),"Cause inconnue",IF(H2813="","Cause à compléter dans Paramètres",IF(OR(NOT(ISNUMBER(E2813)),N(E2813)&lt;=0,N(E2813)&gt;1440),"Durée invalide",IF(COUNTIFS(sj_date,A2813,sj_eq,B2813,sj_po,C2813)=0,"Pas de saisie journalière ce jour-là","OK")))))))))))</f>
        <v/>
      </c>
      <c r="J2813">
        <f>IF(OR(I2813="OK",I2813="Pas de saisie journalière ce jour-là"),E2813,0)</f>
        <v>0.0</v>
      </c>
      <c r="K2813">
        <f>IF(AND(J2813&gt;0,A2813&gt;=p_from,A2813&lt;=p_to),1,0)</f>
        <v>0.0</v>
      </c>
      <c r="L2813">
        <f>IF(AND(K2813=1,OR(pa_po="",C2813=pa_po),OR(pa_eq="",B2813=pa_eq)),1,0)</f>
        <v>0.0</v>
      </c>
    </row>
    <row r="2814">
      <c r="A2814" s="51" t="n"/>
      <c r="B2814" s="52" t="n"/>
      <c r="C2814" s="52" t="n"/>
      <c r="D2814" s="53" t="n"/>
      <c r="E2814" s="60" t="n"/>
      <c r="F2814" s="53" t="n"/>
      <c r="G2814" s="61" t="str">
        <f>IF(OR(COUNTA(A2814:E2814)=0,D2814=""),"",IFERROR(INDEX(ca_fam,MATCH(D2814,ca_name,0))&amp;"",""))</f>
        <v/>
      </c>
      <c r="H2814" s="58" t="str">
        <f>IF(OR(COUNTA(A2814:E2814)=0,D2814=""),"",IFERROR(INDEX(ca_type,MATCH(D2814,ca_name,0))&amp;"",""))</f>
        <v/>
      </c>
      <c r="I2814" s="58" t="str">
        <f>IF(COUNTA(A2814:E2814)=0,"",IF(N(A2814)&lt;=0,"Date manquante ou invalide",IF(B2814="","Équipe manquante",IF(ISNA(MATCH(B2814,eq_code,0)),"Équipe inconnue",IF(C2814="","Poste manquant",IF(ISNA(MATCH(C2814,po_code,0)),"Poste inconnu",IF(D2814="","Cause manquante",IF(ISNA(MATCH(D2814,ca_name,0)),"Cause inconnue",IF(H2814="","Cause à compléter dans Paramètres",IF(OR(NOT(ISNUMBER(E2814)),N(E2814)&lt;=0,N(E2814)&gt;1440),"Durée invalide",IF(COUNTIFS(sj_date,A2814,sj_eq,B2814,sj_po,C2814)=0,"Pas de saisie journalière ce jour-là","OK")))))))))))</f>
        <v/>
      </c>
      <c r="J2814">
        <f>IF(OR(I2814="OK",I2814="Pas de saisie journalière ce jour-là"),E2814,0)</f>
        <v>0.0</v>
      </c>
      <c r="K2814">
        <f>IF(AND(J2814&gt;0,A2814&gt;=p_from,A2814&lt;=p_to),1,0)</f>
        <v>0.0</v>
      </c>
      <c r="L2814">
        <f>IF(AND(K2814=1,OR(pa_po="",C2814=pa_po),OR(pa_eq="",B2814=pa_eq)),1,0)</f>
        <v>0.0</v>
      </c>
    </row>
    <row r="2815">
      <c r="A2815" s="51" t="n"/>
      <c r="B2815" s="52" t="n"/>
      <c r="C2815" s="52" t="n"/>
      <c r="D2815" s="53" t="n"/>
      <c r="E2815" s="60" t="n"/>
      <c r="F2815" s="53" t="n"/>
      <c r="G2815" s="61" t="str">
        <f>IF(OR(COUNTA(A2815:E2815)=0,D2815=""),"",IFERROR(INDEX(ca_fam,MATCH(D2815,ca_name,0))&amp;"",""))</f>
        <v/>
      </c>
      <c r="H2815" s="58" t="str">
        <f>IF(OR(COUNTA(A2815:E2815)=0,D2815=""),"",IFERROR(INDEX(ca_type,MATCH(D2815,ca_name,0))&amp;"",""))</f>
        <v/>
      </c>
      <c r="I2815" s="58" t="str">
        <f>IF(COUNTA(A2815:E2815)=0,"",IF(N(A2815)&lt;=0,"Date manquante ou invalide",IF(B2815="","Équipe manquante",IF(ISNA(MATCH(B2815,eq_code,0)),"Équipe inconnue",IF(C2815="","Poste manquant",IF(ISNA(MATCH(C2815,po_code,0)),"Poste inconnu",IF(D2815="","Cause manquante",IF(ISNA(MATCH(D2815,ca_name,0)),"Cause inconnue",IF(H2815="","Cause à compléter dans Paramètres",IF(OR(NOT(ISNUMBER(E2815)),N(E2815)&lt;=0,N(E2815)&gt;1440),"Durée invalide",IF(COUNTIFS(sj_date,A2815,sj_eq,B2815,sj_po,C2815)=0,"Pas de saisie journalière ce jour-là","OK")))))))))))</f>
        <v/>
      </c>
      <c r="J2815">
        <f>IF(OR(I2815="OK",I2815="Pas de saisie journalière ce jour-là"),E2815,0)</f>
        <v>0.0</v>
      </c>
      <c r="K2815">
        <f>IF(AND(J2815&gt;0,A2815&gt;=p_from,A2815&lt;=p_to),1,0)</f>
        <v>0.0</v>
      </c>
      <c r="L2815">
        <f>IF(AND(K2815=1,OR(pa_po="",C2815=pa_po),OR(pa_eq="",B2815=pa_eq)),1,0)</f>
        <v>0.0</v>
      </c>
    </row>
    <row r="2816">
      <c r="A2816" s="51" t="n"/>
      <c r="B2816" s="52" t="n"/>
      <c r="C2816" s="52" t="n"/>
      <c r="D2816" s="53" t="n"/>
      <c r="E2816" s="60" t="n"/>
      <c r="F2816" s="53" t="n"/>
      <c r="G2816" s="61" t="str">
        <f>IF(OR(COUNTA(A2816:E2816)=0,D2816=""),"",IFERROR(INDEX(ca_fam,MATCH(D2816,ca_name,0))&amp;"",""))</f>
        <v/>
      </c>
      <c r="H2816" s="58" t="str">
        <f>IF(OR(COUNTA(A2816:E2816)=0,D2816=""),"",IFERROR(INDEX(ca_type,MATCH(D2816,ca_name,0))&amp;"",""))</f>
        <v/>
      </c>
      <c r="I2816" s="58" t="str">
        <f>IF(COUNTA(A2816:E2816)=0,"",IF(N(A2816)&lt;=0,"Date manquante ou invalide",IF(B2816="","Équipe manquante",IF(ISNA(MATCH(B2816,eq_code,0)),"Équipe inconnue",IF(C2816="","Poste manquant",IF(ISNA(MATCH(C2816,po_code,0)),"Poste inconnu",IF(D2816="","Cause manquante",IF(ISNA(MATCH(D2816,ca_name,0)),"Cause inconnue",IF(H2816="","Cause à compléter dans Paramètres",IF(OR(NOT(ISNUMBER(E2816)),N(E2816)&lt;=0,N(E2816)&gt;1440),"Durée invalide",IF(COUNTIFS(sj_date,A2816,sj_eq,B2816,sj_po,C2816)=0,"Pas de saisie journalière ce jour-là","OK")))))))))))</f>
        <v/>
      </c>
      <c r="J2816">
        <f>IF(OR(I2816="OK",I2816="Pas de saisie journalière ce jour-là"),E2816,0)</f>
        <v>0.0</v>
      </c>
      <c r="K2816">
        <f>IF(AND(J2816&gt;0,A2816&gt;=p_from,A2816&lt;=p_to),1,0)</f>
        <v>0.0</v>
      </c>
      <c r="L2816">
        <f>IF(AND(K2816=1,OR(pa_po="",C2816=pa_po),OR(pa_eq="",B2816=pa_eq)),1,0)</f>
        <v>0.0</v>
      </c>
    </row>
    <row r="2817">
      <c r="A2817" s="51" t="n"/>
      <c r="B2817" s="52" t="n"/>
      <c r="C2817" s="52" t="n"/>
      <c r="D2817" s="53" t="n"/>
      <c r="E2817" s="60" t="n"/>
      <c r="F2817" s="53" t="n"/>
      <c r="G2817" s="61" t="str">
        <f>IF(OR(COUNTA(A2817:E2817)=0,D2817=""),"",IFERROR(INDEX(ca_fam,MATCH(D2817,ca_name,0))&amp;"",""))</f>
        <v/>
      </c>
      <c r="H2817" s="58" t="str">
        <f>IF(OR(COUNTA(A2817:E2817)=0,D2817=""),"",IFERROR(INDEX(ca_type,MATCH(D2817,ca_name,0))&amp;"",""))</f>
        <v/>
      </c>
      <c r="I2817" s="58" t="str">
        <f>IF(COUNTA(A2817:E2817)=0,"",IF(N(A2817)&lt;=0,"Date manquante ou invalide",IF(B2817="","Équipe manquante",IF(ISNA(MATCH(B2817,eq_code,0)),"Équipe inconnue",IF(C2817="","Poste manquant",IF(ISNA(MATCH(C2817,po_code,0)),"Poste inconnu",IF(D2817="","Cause manquante",IF(ISNA(MATCH(D2817,ca_name,0)),"Cause inconnue",IF(H2817="","Cause à compléter dans Paramètres",IF(OR(NOT(ISNUMBER(E2817)),N(E2817)&lt;=0,N(E2817)&gt;1440),"Durée invalide",IF(COUNTIFS(sj_date,A2817,sj_eq,B2817,sj_po,C2817)=0,"Pas de saisie journalière ce jour-là","OK")))))))))))</f>
        <v/>
      </c>
      <c r="J2817">
        <f>IF(OR(I2817="OK",I2817="Pas de saisie journalière ce jour-là"),E2817,0)</f>
        <v>0.0</v>
      </c>
      <c r="K2817">
        <f>IF(AND(J2817&gt;0,A2817&gt;=p_from,A2817&lt;=p_to),1,0)</f>
        <v>0.0</v>
      </c>
      <c r="L2817">
        <f>IF(AND(K2817=1,OR(pa_po="",C2817=pa_po),OR(pa_eq="",B2817=pa_eq)),1,0)</f>
        <v>0.0</v>
      </c>
    </row>
    <row r="2818">
      <c r="A2818" s="51" t="n"/>
      <c r="B2818" s="52" t="n"/>
      <c r="C2818" s="52" t="n"/>
      <c r="D2818" s="53" t="n"/>
      <c r="E2818" s="60" t="n"/>
      <c r="F2818" s="53" t="n"/>
      <c r="G2818" s="61" t="str">
        <f>IF(OR(COUNTA(A2818:E2818)=0,D2818=""),"",IFERROR(INDEX(ca_fam,MATCH(D2818,ca_name,0))&amp;"",""))</f>
        <v/>
      </c>
      <c r="H2818" s="58" t="str">
        <f>IF(OR(COUNTA(A2818:E2818)=0,D2818=""),"",IFERROR(INDEX(ca_type,MATCH(D2818,ca_name,0))&amp;"",""))</f>
        <v/>
      </c>
      <c r="I2818" s="58" t="str">
        <f>IF(COUNTA(A2818:E2818)=0,"",IF(N(A2818)&lt;=0,"Date manquante ou invalide",IF(B2818="","Équipe manquante",IF(ISNA(MATCH(B2818,eq_code,0)),"Équipe inconnue",IF(C2818="","Poste manquant",IF(ISNA(MATCH(C2818,po_code,0)),"Poste inconnu",IF(D2818="","Cause manquante",IF(ISNA(MATCH(D2818,ca_name,0)),"Cause inconnue",IF(H2818="","Cause à compléter dans Paramètres",IF(OR(NOT(ISNUMBER(E2818)),N(E2818)&lt;=0,N(E2818)&gt;1440),"Durée invalide",IF(COUNTIFS(sj_date,A2818,sj_eq,B2818,sj_po,C2818)=0,"Pas de saisie journalière ce jour-là","OK")))))))))))</f>
        <v/>
      </c>
      <c r="J2818">
        <f>IF(OR(I2818="OK",I2818="Pas de saisie journalière ce jour-là"),E2818,0)</f>
        <v>0.0</v>
      </c>
      <c r="K2818">
        <f>IF(AND(J2818&gt;0,A2818&gt;=p_from,A2818&lt;=p_to),1,0)</f>
        <v>0.0</v>
      </c>
      <c r="L2818">
        <f>IF(AND(K2818=1,OR(pa_po="",C2818=pa_po),OR(pa_eq="",B2818=pa_eq)),1,0)</f>
        <v>0.0</v>
      </c>
    </row>
    <row r="2819">
      <c r="A2819" s="51" t="n"/>
      <c r="B2819" s="52" t="n"/>
      <c r="C2819" s="52" t="n"/>
      <c r="D2819" s="53" t="n"/>
      <c r="E2819" s="60" t="n"/>
      <c r="F2819" s="53" t="n"/>
      <c r="G2819" s="61" t="str">
        <f>IF(OR(COUNTA(A2819:E2819)=0,D2819=""),"",IFERROR(INDEX(ca_fam,MATCH(D2819,ca_name,0))&amp;"",""))</f>
        <v/>
      </c>
      <c r="H2819" s="58" t="str">
        <f>IF(OR(COUNTA(A2819:E2819)=0,D2819=""),"",IFERROR(INDEX(ca_type,MATCH(D2819,ca_name,0))&amp;"",""))</f>
        <v/>
      </c>
      <c r="I2819" s="58" t="str">
        <f>IF(COUNTA(A2819:E2819)=0,"",IF(N(A2819)&lt;=0,"Date manquante ou invalide",IF(B2819="","Équipe manquante",IF(ISNA(MATCH(B2819,eq_code,0)),"Équipe inconnue",IF(C2819="","Poste manquant",IF(ISNA(MATCH(C2819,po_code,0)),"Poste inconnu",IF(D2819="","Cause manquante",IF(ISNA(MATCH(D2819,ca_name,0)),"Cause inconnue",IF(H2819="","Cause à compléter dans Paramètres",IF(OR(NOT(ISNUMBER(E2819)),N(E2819)&lt;=0,N(E2819)&gt;1440),"Durée invalide",IF(COUNTIFS(sj_date,A2819,sj_eq,B2819,sj_po,C2819)=0,"Pas de saisie journalière ce jour-là","OK")))))))))))</f>
        <v/>
      </c>
      <c r="J2819">
        <f>IF(OR(I2819="OK",I2819="Pas de saisie journalière ce jour-là"),E2819,0)</f>
        <v>0.0</v>
      </c>
      <c r="K2819">
        <f>IF(AND(J2819&gt;0,A2819&gt;=p_from,A2819&lt;=p_to),1,0)</f>
        <v>0.0</v>
      </c>
      <c r="L2819">
        <f>IF(AND(K2819=1,OR(pa_po="",C2819=pa_po),OR(pa_eq="",B2819=pa_eq)),1,0)</f>
        <v>0.0</v>
      </c>
    </row>
    <row r="2820">
      <c r="A2820" s="51" t="n"/>
      <c r="B2820" s="52" t="n"/>
      <c r="C2820" s="52" t="n"/>
      <c r="D2820" s="53" t="n"/>
      <c r="E2820" s="60" t="n"/>
      <c r="F2820" s="53" t="n"/>
      <c r="G2820" s="61" t="str">
        <f>IF(OR(COUNTA(A2820:E2820)=0,D2820=""),"",IFERROR(INDEX(ca_fam,MATCH(D2820,ca_name,0))&amp;"",""))</f>
        <v/>
      </c>
      <c r="H2820" s="58" t="str">
        <f>IF(OR(COUNTA(A2820:E2820)=0,D2820=""),"",IFERROR(INDEX(ca_type,MATCH(D2820,ca_name,0))&amp;"",""))</f>
        <v/>
      </c>
      <c r="I2820" s="58" t="str">
        <f>IF(COUNTA(A2820:E2820)=0,"",IF(N(A2820)&lt;=0,"Date manquante ou invalide",IF(B2820="","Équipe manquante",IF(ISNA(MATCH(B2820,eq_code,0)),"Équipe inconnue",IF(C2820="","Poste manquant",IF(ISNA(MATCH(C2820,po_code,0)),"Poste inconnu",IF(D2820="","Cause manquante",IF(ISNA(MATCH(D2820,ca_name,0)),"Cause inconnue",IF(H2820="","Cause à compléter dans Paramètres",IF(OR(NOT(ISNUMBER(E2820)),N(E2820)&lt;=0,N(E2820)&gt;1440),"Durée invalide",IF(COUNTIFS(sj_date,A2820,sj_eq,B2820,sj_po,C2820)=0,"Pas de saisie journalière ce jour-là","OK")))))))))))</f>
        <v/>
      </c>
      <c r="J2820">
        <f>IF(OR(I2820="OK",I2820="Pas de saisie journalière ce jour-là"),E2820,0)</f>
        <v>0.0</v>
      </c>
      <c r="K2820">
        <f>IF(AND(J2820&gt;0,A2820&gt;=p_from,A2820&lt;=p_to),1,0)</f>
        <v>0.0</v>
      </c>
      <c r="L2820">
        <f>IF(AND(K2820=1,OR(pa_po="",C2820=pa_po),OR(pa_eq="",B2820=pa_eq)),1,0)</f>
        <v>0.0</v>
      </c>
    </row>
    <row r="2821">
      <c r="A2821" s="51" t="n"/>
      <c r="B2821" s="52" t="n"/>
      <c r="C2821" s="52" t="n"/>
      <c r="D2821" s="53" t="n"/>
      <c r="E2821" s="60" t="n"/>
      <c r="F2821" s="53" t="n"/>
      <c r="G2821" s="61" t="str">
        <f>IF(OR(COUNTA(A2821:E2821)=0,D2821=""),"",IFERROR(INDEX(ca_fam,MATCH(D2821,ca_name,0))&amp;"",""))</f>
        <v/>
      </c>
      <c r="H2821" s="58" t="str">
        <f>IF(OR(COUNTA(A2821:E2821)=0,D2821=""),"",IFERROR(INDEX(ca_type,MATCH(D2821,ca_name,0))&amp;"",""))</f>
        <v/>
      </c>
      <c r="I2821" s="58" t="str">
        <f>IF(COUNTA(A2821:E2821)=0,"",IF(N(A2821)&lt;=0,"Date manquante ou invalide",IF(B2821="","Équipe manquante",IF(ISNA(MATCH(B2821,eq_code,0)),"Équipe inconnue",IF(C2821="","Poste manquant",IF(ISNA(MATCH(C2821,po_code,0)),"Poste inconnu",IF(D2821="","Cause manquante",IF(ISNA(MATCH(D2821,ca_name,0)),"Cause inconnue",IF(H2821="","Cause à compléter dans Paramètres",IF(OR(NOT(ISNUMBER(E2821)),N(E2821)&lt;=0,N(E2821)&gt;1440),"Durée invalide",IF(COUNTIFS(sj_date,A2821,sj_eq,B2821,sj_po,C2821)=0,"Pas de saisie journalière ce jour-là","OK")))))))))))</f>
        <v/>
      </c>
      <c r="J2821">
        <f>IF(OR(I2821="OK",I2821="Pas de saisie journalière ce jour-là"),E2821,0)</f>
        <v>0.0</v>
      </c>
      <c r="K2821">
        <f>IF(AND(J2821&gt;0,A2821&gt;=p_from,A2821&lt;=p_to),1,0)</f>
        <v>0.0</v>
      </c>
      <c r="L2821">
        <f>IF(AND(K2821=1,OR(pa_po="",C2821=pa_po),OR(pa_eq="",B2821=pa_eq)),1,0)</f>
        <v>0.0</v>
      </c>
    </row>
    <row r="2822">
      <c r="A2822" s="51" t="n"/>
      <c r="B2822" s="52" t="n"/>
      <c r="C2822" s="52" t="n"/>
      <c r="D2822" s="53" t="n"/>
      <c r="E2822" s="60" t="n"/>
      <c r="F2822" s="53" t="n"/>
      <c r="G2822" s="61" t="str">
        <f>IF(OR(COUNTA(A2822:E2822)=0,D2822=""),"",IFERROR(INDEX(ca_fam,MATCH(D2822,ca_name,0))&amp;"",""))</f>
        <v/>
      </c>
      <c r="H2822" s="58" t="str">
        <f>IF(OR(COUNTA(A2822:E2822)=0,D2822=""),"",IFERROR(INDEX(ca_type,MATCH(D2822,ca_name,0))&amp;"",""))</f>
        <v/>
      </c>
      <c r="I2822" s="58" t="str">
        <f>IF(COUNTA(A2822:E2822)=0,"",IF(N(A2822)&lt;=0,"Date manquante ou invalide",IF(B2822="","Équipe manquante",IF(ISNA(MATCH(B2822,eq_code,0)),"Équipe inconnue",IF(C2822="","Poste manquant",IF(ISNA(MATCH(C2822,po_code,0)),"Poste inconnu",IF(D2822="","Cause manquante",IF(ISNA(MATCH(D2822,ca_name,0)),"Cause inconnue",IF(H2822="","Cause à compléter dans Paramètres",IF(OR(NOT(ISNUMBER(E2822)),N(E2822)&lt;=0,N(E2822)&gt;1440),"Durée invalide",IF(COUNTIFS(sj_date,A2822,sj_eq,B2822,sj_po,C2822)=0,"Pas de saisie journalière ce jour-là","OK")))))))))))</f>
        <v/>
      </c>
      <c r="J2822">
        <f>IF(OR(I2822="OK",I2822="Pas de saisie journalière ce jour-là"),E2822,0)</f>
        <v>0.0</v>
      </c>
      <c r="K2822">
        <f>IF(AND(J2822&gt;0,A2822&gt;=p_from,A2822&lt;=p_to),1,0)</f>
        <v>0.0</v>
      </c>
      <c r="L2822">
        <f>IF(AND(K2822=1,OR(pa_po="",C2822=pa_po),OR(pa_eq="",B2822=pa_eq)),1,0)</f>
        <v>0.0</v>
      </c>
    </row>
    <row r="2823">
      <c r="A2823" s="51" t="n"/>
      <c r="B2823" s="52" t="n"/>
      <c r="C2823" s="52" t="n"/>
      <c r="D2823" s="53" t="n"/>
      <c r="E2823" s="60" t="n"/>
      <c r="F2823" s="53" t="n"/>
      <c r="G2823" s="61" t="str">
        <f>IF(OR(COUNTA(A2823:E2823)=0,D2823=""),"",IFERROR(INDEX(ca_fam,MATCH(D2823,ca_name,0))&amp;"",""))</f>
        <v/>
      </c>
      <c r="H2823" s="58" t="str">
        <f>IF(OR(COUNTA(A2823:E2823)=0,D2823=""),"",IFERROR(INDEX(ca_type,MATCH(D2823,ca_name,0))&amp;"",""))</f>
        <v/>
      </c>
      <c r="I2823" s="58" t="str">
        <f>IF(COUNTA(A2823:E2823)=0,"",IF(N(A2823)&lt;=0,"Date manquante ou invalide",IF(B2823="","Équipe manquante",IF(ISNA(MATCH(B2823,eq_code,0)),"Équipe inconnue",IF(C2823="","Poste manquant",IF(ISNA(MATCH(C2823,po_code,0)),"Poste inconnu",IF(D2823="","Cause manquante",IF(ISNA(MATCH(D2823,ca_name,0)),"Cause inconnue",IF(H2823="","Cause à compléter dans Paramètres",IF(OR(NOT(ISNUMBER(E2823)),N(E2823)&lt;=0,N(E2823)&gt;1440),"Durée invalide",IF(COUNTIFS(sj_date,A2823,sj_eq,B2823,sj_po,C2823)=0,"Pas de saisie journalière ce jour-là","OK")))))))))))</f>
        <v/>
      </c>
      <c r="J2823">
        <f>IF(OR(I2823="OK",I2823="Pas de saisie journalière ce jour-là"),E2823,0)</f>
        <v>0.0</v>
      </c>
      <c r="K2823">
        <f>IF(AND(J2823&gt;0,A2823&gt;=p_from,A2823&lt;=p_to),1,0)</f>
        <v>0.0</v>
      </c>
      <c r="L2823">
        <f>IF(AND(K2823=1,OR(pa_po="",C2823=pa_po),OR(pa_eq="",B2823=pa_eq)),1,0)</f>
        <v>0.0</v>
      </c>
    </row>
    <row r="2824">
      <c r="A2824" s="51" t="n"/>
      <c r="B2824" s="52" t="n"/>
      <c r="C2824" s="52" t="n"/>
      <c r="D2824" s="53" t="n"/>
      <c r="E2824" s="60" t="n"/>
      <c r="F2824" s="53" t="n"/>
      <c r="G2824" s="61" t="str">
        <f>IF(OR(COUNTA(A2824:E2824)=0,D2824=""),"",IFERROR(INDEX(ca_fam,MATCH(D2824,ca_name,0))&amp;"",""))</f>
        <v/>
      </c>
      <c r="H2824" s="58" t="str">
        <f>IF(OR(COUNTA(A2824:E2824)=0,D2824=""),"",IFERROR(INDEX(ca_type,MATCH(D2824,ca_name,0))&amp;"",""))</f>
        <v/>
      </c>
      <c r="I2824" s="58" t="str">
        <f>IF(COUNTA(A2824:E2824)=0,"",IF(N(A2824)&lt;=0,"Date manquante ou invalide",IF(B2824="","Équipe manquante",IF(ISNA(MATCH(B2824,eq_code,0)),"Équipe inconnue",IF(C2824="","Poste manquant",IF(ISNA(MATCH(C2824,po_code,0)),"Poste inconnu",IF(D2824="","Cause manquante",IF(ISNA(MATCH(D2824,ca_name,0)),"Cause inconnue",IF(H2824="","Cause à compléter dans Paramètres",IF(OR(NOT(ISNUMBER(E2824)),N(E2824)&lt;=0,N(E2824)&gt;1440),"Durée invalide",IF(COUNTIFS(sj_date,A2824,sj_eq,B2824,sj_po,C2824)=0,"Pas de saisie journalière ce jour-là","OK")))))))))))</f>
        <v/>
      </c>
      <c r="J2824">
        <f>IF(OR(I2824="OK",I2824="Pas de saisie journalière ce jour-là"),E2824,0)</f>
        <v>0.0</v>
      </c>
      <c r="K2824">
        <f>IF(AND(J2824&gt;0,A2824&gt;=p_from,A2824&lt;=p_to),1,0)</f>
        <v>0.0</v>
      </c>
      <c r="L2824">
        <f>IF(AND(K2824=1,OR(pa_po="",C2824=pa_po),OR(pa_eq="",B2824=pa_eq)),1,0)</f>
        <v>0.0</v>
      </c>
    </row>
    <row r="2825">
      <c r="A2825" s="51" t="n"/>
      <c r="B2825" s="52" t="n"/>
      <c r="C2825" s="52" t="n"/>
      <c r="D2825" s="53" t="n"/>
      <c r="E2825" s="60" t="n"/>
      <c r="F2825" s="53" t="n"/>
      <c r="G2825" s="61" t="str">
        <f>IF(OR(COUNTA(A2825:E2825)=0,D2825=""),"",IFERROR(INDEX(ca_fam,MATCH(D2825,ca_name,0))&amp;"",""))</f>
        <v/>
      </c>
      <c r="H2825" s="58" t="str">
        <f>IF(OR(COUNTA(A2825:E2825)=0,D2825=""),"",IFERROR(INDEX(ca_type,MATCH(D2825,ca_name,0))&amp;"",""))</f>
        <v/>
      </c>
      <c r="I2825" s="58" t="str">
        <f>IF(COUNTA(A2825:E2825)=0,"",IF(N(A2825)&lt;=0,"Date manquante ou invalide",IF(B2825="","Équipe manquante",IF(ISNA(MATCH(B2825,eq_code,0)),"Équipe inconnue",IF(C2825="","Poste manquant",IF(ISNA(MATCH(C2825,po_code,0)),"Poste inconnu",IF(D2825="","Cause manquante",IF(ISNA(MATCH(D2825,ca_name,0)),"Cause inconnue",IF(H2825="","Cause à compléter dans Paramètres",IF(OR(NOT(ISNUMBER(E2825)),N(E2825)&lt;=0,N(E2825)&gt;1440),"Durée invalide",IF(COUNTIFS(sj_date,A2825,sj_eq,B2825,sj_po,C2825)=0,"Pas de saisie journalière ce jour-là","OK")))))))))))</f>
        <v/>
      </c>
      <c r="J2825">
        <f>IF(OR(I2825="OK",I2825="Pas de saisie journalière ce jour-là"),E2825,0)</f>
        <v>0.0</v>
      </c>
      <c r="K2825">
        <f>IF(AND(J2825&gt;0,A2825&gt;=p_from,A2825&lt;=p_to),1,0)</f>
        <v>0.0</v>
      </c>
      <c r="L2825">
        <f>IF(AND(K2825=1,OR(pa_po="",C2825=pa_po),OR(pa_eq="",B2825=pa_eq)),1,0)</f>
        <v>0.0</v>
      </c>
    </row>
    <row r="2826">
      <c r="A2826" s="51" t="n"/>
      <c r="B2826" s="52" t="n"/>
      <c r="C2826" s="52" t="n"/>
      <c r="D2826" s="53" t="n"/>
      <c r="E2826" s="60" t="n"/>
      <c r="F2826" s="53" t="n"/>
      <c r="G2826" s="61" t="str">
        <f>IF(OR(COUNTA(A2826:E2826)=0,D2826=""),"",IFERROR(INDEX(ca_fam,MATCH(D2826,ca_name,0))&amp;"",""))</f>
        <v/>
      </c>
      <c r="H2826" s="58" t="str">
        <f>IF(OR(COUNTA(A2826:E2826)=0,D2826=""),"",IFERROR(INDEX(ca_type,MATCH(D2826,ca_name,0))&amp;"",""))</f>
        <v/>
      </c>
      <c r="I2826" s="58" t="str">
        <f>IF(COUNTA(A2826:E2826)=0,"",IF(N(A2826)&lt;=0,"Date manquante ou invalide",IF(B2826="","Équipe manquante",IF(ISNA(MATCH(B2826,eq_code,0)),"Équipe inconnue",IF(C2826="","Poste manquant",IF(ISNA(MATCH(C2826,po_code,0)),"Poste inconnu",IF(D2826="","Cause manquante",IF(ISNA(MATCH(D2826,ca_name,0)),"Cause inconnue",IF(H2826="","Cause à compléter dans Paramètres",IF(OR(NOT(ISNUMBER(E2826)),N(E2826)&lt;=0,N(E2826)&gt;1440),"Durée invalide",IF(COUNTIFS(sj_date,A2826,sj_eq,B2826,sj_po,C2826)=0,"Pas de saisie journalière ce jour-là","OK")))))))))))</f>
        <v/>
      </c>
      <c r="J2826">
        <f>IF(OR(I2826="OK",I2826="Pas de saisie journalière ce jour-là"),E2826,0)</f>
        <v>0.0</v>
      </c>
      <c r="K2826">
        <f>IF(AND(J2826&gt;0,A2826&gt;=p_from,A2826&lt;=p_to),1,0)</f>
        <v>0.0</v>
      </c>
      <c r="L2826">
        <f>IF(AND(K2826=1,OR(pa_po="",C2826=pa_po),OR(pa_eq="",B2826=pa_eq)),1,0)</f>
        <v>0.0</v>
      </c>
    </row>
    <row r="2827">
      <c r="A2827" s="51" t="n"/>
      <c r="B2827" s="52" t="n"/>
      <c r="C2827" s="52" t="n"/>
      <c r="D2827" s="53" t="n"/>
      <c r="E2827" s="60" t="n"/>
      <c r="F2827" s="53" t="n"/>
      <c r="G2827" s="61" t="str">
        <f>IF(OR(COUNTA(A2827:E2827)=0,D2827=""),"",IFERROR(INDEX(ca_fam,MATCH(D2827,ca_name,0))&amp;"",""))</f>
        <v/>
      </c>
      <c r="H2827" s="58" t="str">
        <f>IF(OR(COUNTA(A2827:E2827)=0,D2827=""),"",IFERROR(INDEX(ca_type,MATCH(D2827,ca_name,0))&amp;"",""))</f>
        <v/>
      </c>
      <c r="I2827" s="58" t="str">
        <f>IF(COUNTA(A2827:E2827)=0,"",IF(N(A2827)&lt;=0,"Date manquante ou invalide",IF(B2827="","Équipe manquante",IF(ISNA(MATCH(B2827,eq_code,0)),"Équipe inconnue",IF(C2827="","Poste manquant",IF(ISNA(MATCH(C2827,po_code,0)),"Poste inconnu",IF(D2827="","Cause manquante",IF(ISNA(MATCH(D2827,ca_name,0)),"Cause inconnue",IF(H2827="","Cause à compléter dans Paramètres",IF(OR(NOT(ISNUMBER(E2827)),N(E2827)&lt;=0,N(E2827)&gt;1440),"Durée invalide",IF(COUNTIFS(sj_date,A2827,sj_eq,B2827,sj_po,C2827)=0,"Pas de saisie journalière ce jour-là","OK")))))))))))</f>
        <v/>
      </c>
      <c r="J2827">
        <f>IF(OR(I2827="OK",I2827="Pas de saisie journalière ce jour-là"),E2827,0)</f>
        <v>0.0</v>
      </c>
      <c r="K2827">
        <f>IF(AND(J2827&gt;0,A2827&gt;=p_from,A2827&lt;=p_to),1,0)</f>
        <v>0.0</v>
      </c>
      <c r="L2827">
        <f>IF(AND(K2827=1,OR(pa_po="",C2827=pa_po),OR(pa_eq="",B2827=pa_eq)),1,0)</f>
        <v>0.0</v>
      </c>
    </row>
    <row r="2828">
      <c r="A2828" s="51" t="n"/>
      <c r="B2828" s="52" t="n"/>
      <c r="C2828" s="52" t="n"/>
      <c r="D2828" s="53" t="n"/>
      <c r="E2828" s="60" t="n"/>
      <c r="F2828" s="53" t="n"/>
      <c r="G2828" s="61" t="str">
        <f>IF(OR(COUNTA(A2828:E2828)=0,D2828=""),"",IFERROR(INDEX(ca_fam,MATCH(D2828,ca_name,0))&amp;"",""))</f>
        <v/>
      </c>
      <c r="H2828" s="58" t="str">
        <f>IF(OR(COUNTA(A2828:E2828)=0,D2828=""),"",IFERROR(INDEX(ca_type,MATCH(D2828,ca_name,0))&amp;"",""))</f>
        <v/>
      </c>
      <c r="I2828" s="58" t="str">
        <f>IF(COUNTA(A2828:E2828)=0,"",IF(N(A2828)&lt;=0,"Date manquante ou invalide",IF(B2828="","Équipe manquante",IF(ISNA(MATCH(B2828,eq_code,0)),"Équipe inconnue",IF(C2828="","Poste manquant",IF(ISNA(MATCH(C2828,po_code,0)),"Poste inconnu",IF(D2828="","Cause manquante",IF(ISNA(MATCH(D2828,ca_name,0)),"Cause inconnue",IF(H2828="","Cause à compléter dans Paramètres",IF(OR(NOT(ISNUMBER(E2828)),N(E2828)&lt;=0,N(E2828)&gt;1440),"Durée invalide",IF(COUNTIFS(sj_date,A2828,sj_eq,B2828,sj_po,C2828)=0,"Pas de saisie journalière ce jour-là","OK")))))))))))</f>
        <v/>
      </c>
      <c r="J2828">
        <f>IF(OR(I2828="OK",I2828="Pas de saisie journalière ce jour-là"),E2828,0)</f>
        <v>0.0</v>
      </c>
      <c r="K2828">
        <f>IF(AND(J2828&gt;0,A2828&gt;=p_from,A2828&lt;=p_to),1,0)</f>
        <v>0.0</v>
      </c>
      <c r="L2828">
        <f>IF(AND(K2828=1,OR(pa_po="",C2828=pa_po),OR(pa_eq="",B2828=pa_eq)),1,0)</f>
        <v>0.0</v>
      </c>
    </row>
    <row r="2829">
      <c r="A2829" s="51" t="n"/>
      <c r="B2829" s="52" t="n"/>
      <c r="C2829" s="52" t="n"/>
      <c r="D2829" s="53" t="n"/>
      <c r="E2829" s="60" t="n"/>
      <c r="F2829" s="53" t="n"/>
      <c r="G2829" s="61" t="str">
        <f>IF(OR(COUNTA(A2829:E2829)=0,D2829=""),"",IFERROR(INDEX(ca_fam,MATCH(D2829,ca_name,0))&amp;"",""))</f>
        <v/>
      </c>
      <c r="H2829" s="58" t="str">
        <f>IF(OR(COUNTA(A2829:E2829)=0,D2829=""),"",IFERROR(INDEX(ca_type,MATCH(D2829,ca_name,0))&amp;"",""))</f>
        <v/>
      </c>
      <c r="I2829" s="58" t="str">
        <f>IF(COUNTA(A2829:E2829)=0,"",IF(N(A2829)&lt;=0,"Date manquante ou invalide",IF(B2829="","Équipe manquante",IF(ISNA(MATCH(B2829,eq_code,0)),"Équipe inconnue",IF(C2829="","Poste manquant",IF(ISNA(MATCH(C2829,po_code,0)),"Poste inconnu",IF(D2829="","Cause manquante",IF(ISNA(MATCH(D2829,ca_name,0)),"Cause inconnue",IF(H2829="","Cause à compléter dans Paramètres",IF(OR(NOT(ISNUMBER(E2829)),N(E2829)&lt;=0,N(E2829)&gt;1440),"Durée invalide",IF(COUNTIFS(sj_date,A2829,sj_eq,B2829,sj_po,C2829)=0,"Pas de saisie journalière ce jour-là","OK")))))))))))</f>
        <v/>
      </c>
      <c r="J2829">
        <f>IF(OR(I2829="OK",I2829="Pas de saisie journalière ce jour-là"),E2829,0)</f>
        <v>0.0</v>
      </c>
      <c r="K2829">
        <f>IF(AND(J2829&gt;0,A2829&gt;=p_from,A2829&lt;=p_to),1,0)</f>
        <v>0.0</v>
      </c>
      <c r="L2829">
        <f>IF(AND(K2829=1,OR(pa_po="",C2829=pa_po),OR(pa_eq="",B2829=pa_eq)),1,0)</f>
        <v>0.0</v>
      </c>
    </row>
    <row r="2830">
      <c r="A2830" s="51" t="n"/>
      <c r="B2830" s="52" t="n"/>
      <c r="C2830" s="52" t="n"/>
      <c r="D2830" s="53" t="n"/>
      <c r="E2830" s="60" t="n"/>
      <c r="F2830" s="53" t="n"/>
      <c r="G2830" s="61" t="str">
        <f>IF(OR(COUNTA(A2830:E2830)=0,D2830=""),"",IFERROR(INDEX(ca_fam,MATCH(D2830,ca_name,0))&amp;"",""))</f>
        <v/>
      </c>
      <c r="H2830" s="58" t="str">
        <f>IF(OR(COUNTA(A2830:E2830)=0,D2830=""),"",IFERROR(INDEX(ca_type,MATCH(D2830,ca_name,0))&amp;"",""))</f>
        <v/>
      </c>
      <c r="I2830" s="58" t="str">
        <f>IF(COUNTA(A2830:E2830)=0,"",IF(N(A2830)&lt;=0,"Date manquante ou invalide",IF(B2830="","Équipe manquante",IF(ISNA(MATCH(B2830,eq_code,0)),"Équipe inconnue",IF(C2830="","Poste manquant",IF(ISNA(MATCH(C2830,po_code,0)),"Poste inconnu",IF(D2830="","Cause manquante",IF(ISNA(MATCH(D2830,ca_name,0)),"Cause inconnue",IF(H2830="","Cause à compléter dans Paramètres",IF(OR(NOT(ISNUMBER(E2830)),N(E2830)&lt;=0,N(E2830)&gt;1440),"Durée invalide",IF(COUNTIFS(sj_date,A2830,sj_eq,B2830,sj_po,C2830)=0,"Pas de saisie journalière ce jour-là","OK")))))))))))</f>
        <v/>
      </c>
      <c r="J2830">
        <f>IF(OR(I2830="OK",I2830="Pas de saisie journalière ce jour-là"),E2830,0)</f>
        <v>0.0</v>
      </c>
      <c r="K2830">
        <f>IF(AND(J2830&gt;0,A2830&gt;=p_from,A2830&lt;=p_to),1,0)</f>
        <v>0.0</v>
      </c>
      <c r="L2830">
        <f>IF(AND(K2830=1,OR(pa_po="",C2830=pa_po),OR(pa_eq="",B2830=pa_eq)),1,0)</f>
        <v>0.0</v>
      </c>
    </row>
    <row r="2831">
      <c r="A2831" s="51" t="n"/>
      <c r="B2831" s="52" t="n"/>
      <c r="C2831" s="52" t="n"/>
      <c r="D2831" s="53" t="n"/>
      <c r="E2831" s="60" t="n"/>
      <c r="F2831" s="53" t="n"/>
      <c r="G2831" s="61" t="str">
        <f>IF(OR(COUNTA(A2831:E2831)=0,D2831=""),"",IFERROR(INDEX(ca_fam,MATCH(D2831,ca_name,0))&amp;"",""))</f>
        <v/>
      </c>
      <c r="H2831" s="58" t="str">
        <f>IF(OR(COUNTA(A2831:E2831)=0,D2831=""),"",IFERROR(INDEX(ca_type,MATCH(D2831,ca_name,0))&amp;"",""))</f>
        <v/>
      </c>
      <c r="I2831" s="58" t="str">
        <f>IF(COUNTA(A2831:E2831)=0,"",IF(N(A2831)&lt;=0,"Date manquante ou invalide",IF(B2831="","Équipe manquante",IF(ISNA(MATCH(B2831,eq_code,0)),"Équipe inconnue",IF(C2831="","Poste manquant",IF(ISNA(MATCH(C2831,po_code,0)),"Poste inconnu",IF(D2831="","Cause manquante",IF(ISNA(MATCH(D2831,ca_name,0)),"Cause inconnue",IF(H2831="","Cause à compléter dans Paramètres",IF(OR(NOT(ISNUMBER(E2831)),N(E2831)&lt;=0,N(E2831)&gt;1440),"Durée invalide",IF(COUNTIFS(sj_date,A2831,sj_eq,B2831,sj_po,C2831)=0,"Pas de saisie journalière ce jour-là","OK")))))))))))</f>
        <v/>
      </c>
      <c r="J2831">
        <f>IF(OR(I2831="OK",I2831="Pas de saisie journalière ce jour-là"),E2831,0)</f>
        <v>0.0</v>
      </c>
      <c r="K2831">
        <f>IF(AND(J2831&gt;0,A2831&gt;=p_from,A2831&lt;=p_to),1,0)</f>
        <v>0.0</v>
      </c>
      <c r="L2831">
        <f>IF(AND(K2831=1,OR(pa_po="",C2831=pa_po),OR(pa_eq="",B2831=pa_eq)),1,0)</f>
        <v>0.0</v>
      </c>
    </row>
    <row r="2832">
      <c r="A2832" s="51" t="n"/>
      <c r="B2832" s="52" t="n"/>
      <c r="C2832" s="52" t="n"/>
      <c r="D2832" s="53" t="n"/>
      <c r="E2832" s="60" t="n"/>
      <c r="F2832" s="53" t="n"/>
      <c r="G2832" s="61" t="str">
        <f>IF(OR(COUNTA(A2832:E2832)=0,D2832=""),"",IFERROR(INDEX(ca_fam,MATCH(D2832,ca_name,0))&amp;"",""))</f>
        <v/>
      </c>
      <c r="H2832" s="58" t="str">
        <f>IF(OR(COUNTA(A2832:E2832)=0,D2832=""),"",IFERROR(INDEX(ca_type,MATCH(D2832,ca_name,0))&amp;"",""))</f>
        <v/>
      </c>
      <c r="I2832" s="58" t="str">
        <f>IF(COUNTA(A2832:E2832)=0,"",IF(N(A2832)&lt;=0,"Date manquante ou invalide",IF(B2832="","Équipe manquante",IF(ISNA(MATCH(B2832,eq_code,0)),"Équipe inconnue",IF(C2832="","Poste manquant",IF(ISNA(MATCH(C2832,po_code,0)),"Poste inconnu",IF(D2832="","Cause manquante",IF(ISNA(MATCH(D2832,ca_name,0)),"Cause inconnue",IF(H2832="","Cause à compléter dans Paramètres",IF(OR(NOT(ISNUMBER(E2832)),N(E2832)&lt;=0,N(E2832)&gt;1440),"Durée invalide",IF(COUNTIFS(sj_date,A2832,sj_eq,B2832,sj_po,C2832)=0,"Pas de saisie journalière ce jour-là","OK")))))))))))</f>
        <v/>
      </c>
      <c r="J2832">
        <f>IF(OR(I2832="OK",I2832="Pas de saisie journalière ce jour-là"),E2832,0)</f>
        <v>0.0</v>
      </c>
      <c r="K2832">
        <f>IF(AND(J2832&gt;0,A2832&gt;=p_from,A2832&lt;=p_to),1,0)</f>
        <v>0.0</v>
      </c>
      <c r="L2832">
        <f>IF(AND(K2832=1,OR(pa_po="",C2832=pa_po),OR(pa_eq="",B2832=pa_eq)),1,0)</f>
        <v>0.0</v>
      </c>
    </row>
    <row r="2833">
      <c r="A2833" s="51" t="n"/>
      <c r="B2833" s="52" t="n"/>
      <c r="C2833" s="52" t="n"/>
      <c r="D2833" s="53" t="n"/>
      <c r="E2833" s="60" t="n"/>
      <c r="F2833" s="53" t="n"/>
      <c r="G2833" s="61" t="str">
        <f>IF(OR(COUNTA(A2833:E2833)=0,D2833=""),"",IFERROR(INDEX(ca_fam,MATCH(D2833,ca_name,0))&amp;"",""))</f>
        <v/>
      </c>
      <c r="H2833" s="58" t="str">
        <f>IF(OR(COUNTA(A2833:E2833)=0,D2833=""),"",IFERROR(INDEX(ca_type,MATCH(D2833,ca_name,0))&amp;"",""))</f>
        <v/>
      </c>
      <c r="I2833" s="58" t="str">
        <f>IF(COUNTA(A2833:E2833)=0,"",IF(N(A2833)&lt;=0,"Date manquante ou invalide",IF(B2833="","Équipe manquante",IF(ISNA(MATCH(B2833,eq_code,0)),"Équipe inconnue",IF(C2833="","Poste manquant",IF(ISNA(MATCH(C2833,po_code,0)),"Poste inconnu",IF(D2833="","Cause manquante",IF(ISNA(MATCH(D2833,ca_name,0)),"Cause inconnue",IF(H2833="","Cause à compléter dans Paramètres",IF(OR(NOT(ISNUMBER(E2833)),N(E2833)&lt;=0,N(E2833)&gt;1440),"Durée invalide",IF(COUNTIFS(sj_date,A2833,sj_eq,B2833,sj_po,C2833)=0,"Pas de saisie journalière ce jour-là","OK")))))))))))</f>
        <v/>
      </c>
      <c r="J2833">
        <f>IF(OR(I2833="OK",I2833="Pas de saisie journalière ce jour-là"),E2833,0)</f>
        <v>0.0</v>
      </c>
      <c r="K2833">
        <f>IF(AND(J2833&gt;0,A2833&gt;=p_from,A2833&lt;=p_to),1,0)</f>
        <v>0.0</v>
      </c>
      <c r="L2833">
        <f>IF(AND(K2833=1,OR(pa_po="",C2833=pa_po),OR(pa_eq="",B2833=pa_eq)),1,0)</f>
        <v>0.0</v>
      </c>
    </row>
    <row r="2834">
      <c r="A2834" s="51" t="n"/>
      <c r="B2834" s="52" t="n"/>
      <c r="C2834" s="52" t="n"/>
      <c r="D2834" s="53" t="n"/>
      <c r="E2834" s="60" t="n"/>
      <c r="F2834" s="53" t="n"/>
      <c r="G2834" s="61" t="str">
        <f>IF(OR(COUNTA(A2834:E2834)=0,D2834=""),"",IFERROR(INDEX(ca_fam,MATCH(D2834,ca_name,0))&amp;"",""))</f>
        <v/>
      </c>
      <c r="H2834" s="58" t="str">
        <f>IF(OR(COUNTA(A2834:E2834)=0,D2834=""),"",IFERROR(INDEX(ca_type,MATCH(D2834,ca_name,0))&amp;"",""))</f>
        <v/>
      </c>
      <c r="I2834" s="58" t="str">
        <f>IF(COUNTA(A2834:E2834)=0,"",IF(N(A2834)&lt;=0,"Date manquante ou invalide",IF(B2834="","Équipe manquante",IF(ISNA(MATCH(B2834,eq_code,0)),"Équipe inconnue",IF(C2834="","Poste manquant",IF(ISNA(MATCH(C2834,po_code,0)),"Poste inconnu",IF(D2834="","Cause manquante",IF(ISNA(MATCH(D2834,ca_name,0)),"Cause inconnue",IF(H2834="","Cause à compléter dans Paramètres",IF(OR(NOT(ISNUMBER(E2834)),N(E2834)&lt;=0,N(E2834)&gt;1440),"Durée invalide",IF(COUNTIFS(sj_date,A2834,sj_eq,B2834,sj_po,C2834)=0,"Pas de saisie journalière ce jour-là","OK")))))))))))</f>
        <v/>
      </c>
      <c r="J2834">
        <f>IF(OR(I2834="OK",I2834="Pas de saisie journalière ce jour-là"),E2834,0)</f>
        <v>0.0</v>
      </c>
      <c r="K2834">
        <f>IF(AND(J2834&gt;0,A2834&gt;=p_from,A2834&lt;=p_to),1,0)</f>
        <v>0.0</v>
      </c>
      <c r="L2834">
        <f>IF(AND(K2834=1,OR(pa_po="",C2834=pa_po),OR(pa_eq="",B2834=pa_eq)),1,0)</f>
        <v>0.0</v>
      </c>
    </row>
    <row r="2835">
      <c r="A2835" s="51" t="n"/>
      <c r="B2835" s="52" t="n"/>
      <c r="C2835" s="52" t="n"/>
      <c r="D2835" s="53" t="n"/>
      <c r="E2835" s="60" t="n"/>
      <c r="F2835" s="53" t="n"/>
      <c r="G2835" s="61" t="str">
        <f>IF(OR(COUNTA(A2835:E2835)=0,D2835=""),"",IFERROR(INDEX(ca_fam,MATCH(D2835,ca_name,0))&amp;"",""))</f>
        <v/>
      </c>
      <c r="H2835" s="58" t="str">
        <f>IF(OR(COUNTA(A2835:E2835)=0,D2835=""),"",IFERROR(INDEX(ca_type,MATCH(D2835,ca_name,0))&amp;"",""))</f>
        <v/>
      </c>
      <c r="I2835" s="58" t="str">
        <f>IF(COUNTA(A2835:E2835)=0,"",IF(N(A2835)&lt;=0,"Date manquante ou invalide",IF(B2835="","Équipe manquante",IF(ISNA(MATCH(B2835,eq_code,0)),"Équipe inconnue",IF(C2835="","Poste manquant",IF(ISNA(MATCH(C2835,po_code,0)),"Poste inconnu",IF(D2835="","Cause manquante",IF(ISNA(MATCH(D2835,ca_name,0)),"Cause inconnue",IF(H2835="","Cause à compléter dans Paramètres",IF(OR(NOT(ISNUMBER(E2835)),N(E2835)&lt;=0,N(E2835)&gt;1440),"Durée invalide",IF(COUNTIFS(sj_date,A2835,sj_eq,B2835,sj_po,C2835)=0,"Pas de saisie journalière ce jour-là","OK")))))))))))</f>
        <v/>
      </c>
      <c r="J2835">
        <f>IF(OR(I2835="OK",I2835="Pas de saisie journalière ce jour-là"),E2835,0)</f>
        <v>0.0</v>
      </c>
      <c r="K2835">
        <f>IF(AND(J2835&gt;0,A2835&gt;=p_from,A2835&lt;=p_to),1,0)</f>
        <v>0.0</v>
      </c>
      <c r="L2835">
        <f>IF(AND(K2835=1,OR(pa_po="",C2835=pa_po),OR(pa_eq="",B2835=pa_eq)),1,0)</f>
        <v>0.0</v>
      </c>
    </row>
    <row r="2836">
      <c r="A2836" s="51" t="n"/>
      <c r="B2836" s="52" t="n"/>
      <c r="C2836" s="52" t="n"/>
      <c r="D2836" s="53" t="n"/>
      <c r="E2836" s="60" t="n"/>
      <c r="F2836" s="53" t="n"/>
      <c r="G2836" s="61" t="str">
        <f>IF(OR(COUNTA(A2836:E2836)=0,D2836=""),"",IFERROR(INDEX(ca_fam,MATCH(D2836,ca_name,0))&amp;"",""))</f>
        <v/>
      </c>
      <c r="H2836" s="58" t="str">
        <f>IF(OR(COUNTA(A2836:E2836)=0,D2836=""),"",IFERROR(INDEX(ca_type,MATCH(D2836,ca_name,0))&amp;"",""))</f>
        <v/>
      </c>
      <c r="I2836" s="58" t="str">
        <f>IF(COUNTA(A2836:E2836)=0,"",IF(N(A2836)&lt;=0,"Date manquante ou invalide",IF(B2836="","Équipe manquante",IF(ISNA(MATCH(B2836,eq_code,0)),"Équipe inconnue",IF(C2836="","Poste manquant",IF(ISNA(MATCH(C2836,po_code,0)),"Poste inconnu",IF(D2836="","Cause manquante",IF(ISNA(MATCH(D2836,ca_name,0)),"Cause inconnue",IF(H2836="","Cause à compléter dans Paramètres",IF(OR(NOT(ISNUMBER(E2836)),N(E2836)&lt;=0,N(E2836)&gt;1440),"Durée invalide",IF(COUNTIFS(sj_date,A2836,sj_eq,B2836,sj_po,C2836)=0,"Pas de saisie journalière ce jour-là","OK")))))))))))</f>
        <v/>
      </c>
      <c r="J2836">
        <f>IF(OR(I2836="OK",I2836="Pas de saisie journalière ce jour-là"),E2836,0)</f>
        <v>0.0</v>
      </c>
      <c r="K2836">
        <f>IF(AND(J2836&gt;0,A2836&gt;=p_from,A2836&lt;=p_to),1,0)</f>
        <v>0.0</v>
      </c>
      <c r="L2836">
        <f>IF(AND(K2836=1,OR(pa_po="",C2836=pa_po),OR(pa_eq="",B2836=pa_eq)),1,0)</f>
        <v>0.0</v>
      </c>
    </row>
    <row r="2837">
      <c r="A2837" s="51" t="n"/>
      <c r="B2837" s="52" t="n"/>
      <c r="C2837" s="52" t="n"/>
      <c r="D2837" s="53" t="n"/>
      <c r="E2837" s="60" t="n"/>
      <c r="F2837" s="53" t="n"/>
      <c r="G2837" s="61" t="str">
        <f>IF(OR(COUNTA(A2837:E2837)=0,D2837=""),"",IFERROR(INDEX(ca_fam,MATCH(D2837,ca_name,0))&amp;"",""))</f>
        <v/>
      </c>
      <c r="H2837" s="58" t="str">
        <f>IF(OR(COUNTA(A2837:E2837)=0,D2837=""),"",IFERROR(INDEX(ca_type,MATCH(D2837,ca_name,0))&amp;"",""))</f>
        <v/>
      </c>
      <c r="I2837" s="58" t="str">
        <f>IF(COUNTA(A2837:E2837)=0,"",IF(N(A2837)&lt;=0,"Date manquante ou invalide",IF(B2837="","Équipe manquante",IF(ISNA(MATCH(B2837,eq_code,0)),"Équipe inconnue",IF(C2837="","Poste manquant",IF(ISNA(MATCH(C2837,po_code,0)),"Poste inconnu",IF(D2837="","Cause manquante",IF(ISNA(MATCH(D2837,ca_name,0)),"Cause inconnue",IF(H2837="","Cause à compléter dans Paramètres",IF(OR(NOT(ISNUMBER(E2837)),N(E2837)&lt;=0,N(E2837)&gt;1440),"Durée invalide",IF(COUNTIFS(sj_date,A2837,sj_eq,B2837,sj_po,C2837)=0,"Pas de saisie journalière ce jour-là","OK")))))))))))</f>
        <v/>
      </c>
      <c r="J2837">
        <f>IF(OR(I2837="OK",I2837="Pas de saisie journalière ce jour-là"),E2837,0)</f>
        <v>0.0</v>
      </c>
      <c r="K2837">
        <f>IF(AND(J2837&gt;0,A2837&gt;=p_from,A2837&lt;=p_to),1,0)</f>
        <v>0.0</v>
      </c>
      <c r="L2837">
        <f>IF(AND(K2837=1,OR(pa_po="",C2837=pa_po),OR(pa_eq="",B2837=pa_eq)),1,0)</f>
        <v>0.0</v>
      </c>
    </row>
    <row r="2838">
      <c r="A2838" s="51" t="n"/>
      <c r="B2838" s="52" t="n"/>
      <c r="C2838" s="52" t="n"/>
      <c r="D2838" s="53" t="n"/>
      <c r="E2838" s="60" t="n"/>
      <c r="F2838" s="53" t="n"/>
      <c r="G2838" s="61" t="str">
        <f>IF(OR(COUNTA(A2838:E2838)=0,D2838=""),"",IFERROR(INDEX(ca_fam,MATCH(D2838,ca_name,0))&amp;"",""))</f>
        <v/>
      </c>
      <c r="H2838" s="58" t="str">
        <f>IF(OR(COUNTA(A2838:E2838)=0,D2838=""),"",IFERROR(INDEX(ca_type,MATCH(D2838,ca_name,0))&amp;"",""))</f>
        <v/>
      </c>
      <c r="I2838" s="58" t="str">
        <f>IF(COUNTA(A2838:E2838)=0,"",IF(N(A2838)&lt;=0,"Date manquante ou invalide",IF(B2838="","Équipe manquante",IF(ISNA(MATCH(B2838,eq_code,0)),"Équipe inconnue",IF(C2838="","Poste manquant",IF(ISNA(MATCH(C2838,po_code,0)),"Poste inconnu",IF(D2838="","Cause manquante",IF(ISNA(MATCH(D2838,ca_name,0)),"Cause inconnue",IF(H2838="","Cause à compléter dans Paramètres",IF(OR(NOT(ISNUMBER(E2838)),N(E2838)&lt;=0,N(E2838)&gt;1440),"Durée invalide",IF(COUNTIFS(sj_date,A2838,sj_eq,B2838,sj_po,C2838)=0,"Pas de saisie journalière ce jour-là","OK")))))))))))</f>
        <v/>
      </c>
      <c r="J2838">
        <f>IF(OR(I2838="OK",I2838="Pas de saisie journalière ce jour-là"),E2838,0)</f>
        <v>0.0</v>
      </c>
      <c r="K2838">
        <f>IF(AND(J2838&gt;0,A2838&gt;=p_from,A2838&lt;=p_to),1,0)</f>
        <v>0.0</v>
      </c>
      <c r="L2838">
        <f>IF(AND(K2838=1,OR(pa_po="",C2838=pa_po),OR(pa_eq="",B2838=pa_eq)),1,0)</f>
        <v>0.0</v>
      </c>
    </row>
    <row r="2839">
      <c r="A2839" s="51" t="n"/>
      <c r="B2839" s="52" t="n"/>
      <c r="C2839" s="52" t="n"/>
      <c r="D2839" s="53" t="n"/>
      <c r="E2839" s="60" t="n"/>
      <c r="F2839" s="53" t="n"/>
      <c r="G2839" s="61" t="str">
        <f>IF(OR(COUNTA(A2839:E2839)=0,D2839=""),"",IFERROR(INDEX(ca_fam,MATCH(D2839,ca_name,0))&amp;"",""))</f>
        <v/>
      </c>
      <c r="H2839" s="58" t="str">
        <f>IF(OR(COUNTA(A2839:E2839)=0,D2839=""),"",IFERROR(INDEX(ca_type,MATCH(D2839,ca_name,0))&amp;"",""))</f>
        <v/>
      </c>
      <c r="I2839" s="58" t="str">
        <f>IF(COUNTA(A2839:E2839)=0,"",IF(N(A2839)&lt;=0,"Date manquante ou invalide",IF(B2839="","Équipe manquante",IF(ISNA(MATCH(B2839,eq_code,0)),"Équipe inconnue",IF(C2839="","Poste manquant",IF(ISNA(MATCH(C2839,po_code,0)),"Poste inconnu",IF(D2839="","Cause manquante",IF(ISNA(MATCH(D2839,ca_name,0)),"Cause inconnue",IF(H2839="","Cause à compléter dans Paramètres",IF(OR(NOT(ISNUMBER(E2839)),N(E2839)&lt;=0,N(E2839)&gt;1440),"Durée invalide",IF(COUNTIFS(sj_date,A2839,sj_eq,B2839,sj_po,C2839)=0,"Pas de saisie journalière ce jour-là","OK")))))))))))</f>
        <v/>
      </c>
      <c r="J2839">
        <f>IF(OR(I2839="OK",I2839="Pas de saisie journalière ce jour-là"),E2839,0)</f>
        <v>0.0</v>
      </c>
      <c r="K2839">
        <f>IF(AND(J2839&gt;0,A2839&gt;=p_from,A2839&lt;=p_to),1,0)</f>
        <v>0.0</v>
      </c>
      <c r="L2839">
        <f>IF(AND(K2839=1,OR(pa_po="",C2839=pa_po),OR(pa_eq="",B2839=pa_eq)),1,0)</f>
        <v>0.0</v>
      </c>
    </row>
    <row r="2840">
      <c r="A2840" s="51" t="n"/>
      <c r="B2840" s="52" t="n"/>
      <c r="C2840" s="52" t="n"/>
      <c r="D2840" s="53" t="n"/>
      <c r="E2840" s="60" t="n"/>
      <c r="F2840" s="53" t="n"/>
      <c r="G2840" s="61" t="str">
        <f>IF(OR(COUNTA(A2840:E2840)=0,D2840=""),"",IFERROR(INDEX(ca_fam,MATCH(D2840,ca_name,0))&amp;"",""))</f>
        <v/>
      </c>
      <c r="H2840" s="58" t="str">
        <f>IF(OR(COUNTA(A2840:E2840)=0,D2840=""),"",IFERROR(INDEX(ca_type,MATCH(D2840,ca_name,0))&amp;"",""))</f>
        <v/>
      </c>
      <c r="I2840" s="58" t="str">
        <f>IF(COUNTA(A2840:E2840)=0,"",IF(N(A2840)&lt;=0,"Date manquante ou invalide",IF(B2840="","Équipe manquante",IF(ISNA(MATCH(B2840,eq_code,0)),"Équipe inconnue",IF(C2840="","Poste manquant",IF(ISNA(MATCH(C2840,po_code,0)),"Poste inconnu",IF(D2840="","Cause manquante",IF(ISNA(MATCH(D2840,ca_name,0)),"Cause inconnue",IF(H2840="","Cause à compléter dans Paramètres",IF(OR(NOT(ISNUMBER(E2840)),N(E2840)&lt;=0,N(E2840)&gt;1440),"Durée invalide",IF(COUNTIFS(sj_date,A2840,sj_eq,B2840,sj_po,C2840)=0,"Pas de saisie journalière ce jour-là","OK")))))))))))</f>
        <v/>
      </c>
      <c r="J2840">
        <f>IF(OR(I2840="OK",I2840="Pas de saisie journalière ce jour-là"),E2840,0)</f>
        <v>0.0</v>
      </c>
      <c r="K2840">
        <f>IF(AND(J2840&gt;0,A2840&gt;=p_from,A2840&lt;=p_to),1,0)</f>
        <v>0.0</v>
      </c>
      <c r="L2840">
        <f>IF(AND(K2840=1,OR(pa_po="",C2840=pa_po),OR(pa_eq="",B2840=pa_eq)),1,0)</f>
        <v>0.0</v>
      </c>
    </row>
    <row r="2841">
      <c r="A2841" s="51" t="n"/>
      <c r="B2841" s="52" t="n"/>
      <c r="C2841" s="52" t="n"/>
      <c r="D2841" s="53" t="n"/>
      <c r="E2841" s="60" t="n"/>
      <c r="F2841" s="53" t="n"/>
      <c r="G2841" s="61" t="str">
        <f>IF(OR(COUNTA(A2841:E2841)=0,D2841=""),"",IFERROR(INDEX(ca_fam,MATCH(D2841,ca_name,0))&amp;"",""))</f>
        <v/>
      </c>
      <c r="H2841" s="58" t="str">
        <f>IF(OR(COUNTA(A2841:E2841)=0,D2841=""),"",IFERROR(INDEX(ca_type,MATCH(D2841,ca_name,0))&amp;"",""))</f>
        <v/>
      </c>
      <c r="I2841" s="58" t="str">
        <f>IF(COUNTA(A2841:E2841)=0,"",IF(N(A2841)&lt;=0,"Date manquante ou invalide",IF(B2841="","Équipe manquante",IF(ISNA(MATCH(B2841,eq_code,0)),"Équipe inconnue",IF(C2841="","Poste manquant",IF(ISNA(MATCH(C2841,po_code,0)),"Poste inconnu",IF(D2841="","Cause manquante",IF(ISNA(MATCH(D2841,ca_name,0)),"Cause inconnue",IF(H2841="","Cause à compléter dans Paramètres",IF(OR(NOT(ISNUMBER(E2841)),N(E2841)&lt;=0,N(E2841)&gt;1440),"Durée invalide",IF(COUNTIFS(sj_date,A2841,sj_eq,B2841,sj_po,C2841)=0,"Pas de saisie journalière ce jour-là","OK")))))))))))</f>
        <v/>
      </c>
      <c r="J2841">
        <f>IF(OR(I2841="OK",I2841="Pas de saisie journalière ce jour-là"),E2841,0)</f>
        <v>0.0</v>
      </c>
      <c r="K2841">
        <f>IF(AND(J2841&gt;0,A2841&gt;=p_from,A2841&lt;=p_to),1,0)</f>
        <v>0.0</v>
      </c>
      <c r="L2841">
        <f>IF(AND(K2841=1,OR(pa_po="",C2841=pa_po),OR(pa_eq="",B2841=pa_eq)),1,0)</f>
        <v>0.0</v>
      </c>
    </row>
    <row r="2842">
      <c r="A2842" s="51" t="n"/>
      <c r="B2842" s="52" t="n"/>
      <c r="C2842" s="52" t="n"/>
      <c r="D2842" s="53" t="n"/>
      <c r="E2842" s="60" t="n"/>
      <c r="F2842" s="53" t="n"/>
      <c r="G2842" s="61" t="str">
        <f>IF(OR(COUNTA(A2842:E2842)=0,D2842=""),"",IFERROR(INDEX(ca_fam,MATCH(D2842,ca_name,0))&amp;"",""))</f>
        <v/>
      </c>
      <c r="H2842" s="58" t="str">
        <f>IF(OR(COUNTA(A2842:E2842)=0,D2842=""),"",IFERROR(INDEX(ca_type,MATCH(D2842,ca_name,0))&amp;"",""))</f>
        <v/>
      </c>
      <c r="I2842" s="58" t="str">
        <f>IF(COUNTA(A2842:E2842)=0,"",IF(N(A2842)&lt;=0,"Date manquante ou invalide",IF(B2842="","Équipe manquante",IF(ISNA(MATCH(B2842,eq_code,0)),"Équipe inconnue",IF(C2842="","Poste manquant",IF(ISNA(MATCH(C2842,po_code,0)),"Poste inconnu",IF(D2842="","Cause manquante",IF(ISNA(MATCH(D2842,ca_name,0)),"Cause inconnue",IF(H2842="","Cause à compléter dans Paramètres",IF(OR(NOT(ISNUMBER(E2842)),N(E2842)&lt;=0,N(E2842)&gt;1440),"Durée invalide",IF(COUNTIFS(sj_date,A2842,sj_eq,B2842,sj_po,C2842)=0,"Pas de saisie journalière ce jour-là","OK")))))))))))</f>
        <v/>
      </c>
      <c r="J2842">
        <f>IF(OR(I2842="OK",I2842="Pas de saisie journalière ce jour-là"),E2842,0)</f>
        <v>0.0</v>
      </c>
      <c r="K2842">
        <f>IF(AND(J2842&gt;0,A2842&gt;=p_from,A2842&lt;=p_to),1,0)</f>
        <v>0.0</v>
      </c>
      <c r="L2842">
        <f>IF(AND(K2842=1,OR(pa_po="",C2842=pa_po),OR(pa_eq="",B2842=pa_eq)),1,0)</f>
        <v>0.0</v>
      </c>
    </row>
    <row r="2843">
      <c r="A2843" s="51" t="n"/>
      <c r="B2843" s="52" t="n"/>
      <c r="C2843" s="52" t="n"/>
      <c r="D2843" s="53" t="n"/>
      <c r="E2843" s="60" t="n"/>
      <c r="F2843" s="53" t="n"/>
      <c r="G2843" s="61" t="str">
        <f>IF(OR(COUNTA(A2843:E2843)=0,D2843=""),"",IFERROR(INDEX(ca_fam,MATCH(D2843,ca_name,0))&amp;"",""))</f>
        <v/>
      </c>
      <c r="H2843" s="58" t="str">
        <f>IF(OR(COUNTA(A2843:E2843)=0,D2843=""),"",IFERROR(INDEX(ca_type,MATCH(D2843,ca_name,0))&amp;"",""))</f>
        <v/>
      </c>
      <c r="I2843" s="58" t="str">
        <f>IF(COUNTA(A2843:E2843)=0,"",IF(N(A2843)&lt;=0,"Date manquante ou invalide",IF(B2843="","Équipe manquante",IF(ISNA(MATCH(B2843,eq_code,0)),"Équipe inconnue",IF(C2843="","Poste manquant",IF(ISNA(MATCH(C2843,po_code,0)),"Poste inconnu",IF(D2843="","Cause manquante",IF(ISNA(MATCH(D2843,ca_name,0)),"Cause inconnue",IF(H2843="","Cause à compléter dans Paramètres",IF(OR(NOT(ISNUMBER(E2843)),N(E2843)&lt;=0,N(E2843)&gt;1440),"Durée invalide",IF(COUNTIFS(sj_date,A2843,sj_eq,B2843,sj_po,C2843)=0,"Pas de saisie journalière ce jour-là","OK")))))))))))</f>
        <v/>
      </c>
      <c r="J2843">
        <f>IF(OR(I2843="OK",I2843="Pas de saisie journalière ce jour-là"),E2843,0)</f>
        <v>0.0</v>
      </c>
      <c r="K2843">
        <f>IF(AND(J2843&gt;0,A2843&gt;=p_from,A2843&lt;=p_to),1,0)</f>
        <v>0.0</v>
      </c>
      <c r="L2843">
        <f>IF(AND(K2843=1,OR(pa_po="",C2843=pa_po),OR(pa_eq="",B2843=pa_eq)),1,0)</f>
        <v>0.0</v>
      </c>
    </row>
    <row r="2844">
      <c r="A2844" s="51" t="n"/>
      <c r="B2844" s="52" t="n"/>
      <c r="C2844" s="52" t="n"/>
      <c r="D2844" s="53" t="n"/>
      <c r="E2844" s="60" t="n"/>
      <c r="F2844" s="53" t="n"/>
      <c r="G2844" s="61" t="str">
        <f>IF(OR(COUNTA(A2844:E2844)=0,D2844=""),"",IFERROR(INDEX(ca_fam,MATCH(D2844,ca_name,0))&amp;"",""))</f>
        <v/>
      </c>
      <c r="H2844" s="58" t="str">
        <f>IF(OR(COUNTA(A2844:E2844)=0,D2844=""),"",IFERROR(INDEX(ca_type,MATCH(D2844,ca_name,0))&amp;"",""))</f>
        <v/>
      </c>
      <c r="I2844" s="58" t="str">
        <f>IF(COUNTA(A2844:E2844)=0,"",IF(N(A2844)&lt;=0,"Date manquante ou invalide",IF(B2844="","Équipe manquante",IF(ISNA(MATCH(B2844,eq_code,0)),"Équipe inconnue",IF(C2844="","Poste manquant",IF(ISNA(MATCH(C2844,po_code,0)),"Poste inconnu",IF(D2844="","Cause manquante",IF(ISNA(MATCH(D2844,ca_name,0)),"Cause inconnue",IF(H2844="","Cause à compléter dans Paramètres",IF(OR(NOT(ISNUMBER(E2844)),N(E2844)&lt;=0,N(E2844)&gt;1440),"Durée invalide",IF(COUNTIFS(sj_date,A2844,sj_eq,B2844,sj_po,C2844)=0,"Pas de saisie journalière ce jour-là","OK")))))))))))</f>
        <v/>
      </c>
      <c r="J2844">
        <f>IF(OR(I2844="OK",I2844="Pas de saisie journalière ce jour-là"),E2844,0)</f>
        <v>0.0</v>
      </c>
      <c r="K2844">
        <f>IF(AND(J2844&gt;0,A2844&gt;=p_from,A2844&lt;=p_to),1,0)</f>
        <v>0.0</v>
      </c>
      <c r="L2844">
        <f>IF(AND(K2844=1,OR(pa_po="",C2844=pa_po),OR(pa_eq="",B2844=pa_eq)),1,0)</f>
        <v>0.0</v>
      </c>
    </row>
    <row r="2845">
      <c r="A2845" s="51" t="n"/>
      <c r="B2845" s="52" t="n"/>
      <c r="C2845" s="52" t="n"/>
      <c r="D2845" s="53" t="n"/>
      <c r="E2845" s="60" t="n"/>
      <c r="F2845" s="53" t="n"/>
      <c r="G2845" s="61" t="str">
        <f>IF(OR(COUNTA(A2845:E2845)=0,D2845=""),"",IFERROR(INDEX(ca_fam,MATCH(D2845,ca_name,0))&amp;"",""))</f>
        <v/>
      </c>
      <c r="H2845" s="58" t="str">
        <f>IF(OR(COUNTA(A2845:E2845)=0,D2845=""),"",IFERROR(INDEX(ca_type,MATCH(D2845,ca_name,0))&amp;"",""))</f>
        <v/>
      </c>
      <c r="I2845" s="58" t="str">
        <f>IF(COUNTA(A2845:E2845)=0,"",IF(N(A2845)&lt;=0,"Date manquante ou invalide",IF(B2845="","Équipe manquante",IF(ISNA(MATCH(B2845,eq_code,0)),"Équipe inconnue",IF(C2845="","Poste manquant",IF(ISNA(MATCH(C2845,po_code,0)),"Poste inconnu",IF(D2845="","Cause manquante",IF(ISNA(MATCH(D2845,ca_name,0)),"Cause inconnue",IF(H2845="","Cause à compléter dans Paramètres",IF(OR(NOT(ISNUMBER(E2845)),N(E2845)&lt;=0,N(E2845)&gt;1440),"Durée invalide",IF(COUNTIFS(sj_date,A2845,sj_eq,B2845,sj_po,C2845)=0,"Pas de saisie journalière ce jour-là","OK")))))))))))</f>
        <v/>
      </c>
      <c r="J2845">
        <f>IF(OR(I2845="OK",I2845="Pas de saisie journalière ce jour-là"),E2845,0)</f>
        <v>0.0</v>
      </c>
      <c r="K2845">
        <f>IF(AND(J2845&gt;0,A2845&gt;=p_from,A2845&lt;=p_to),1,0)</f>
        <v>0.0</v>
      </c>
      <c r="L2845">
        <f>IF(AND(K2845=1,OR(pa_po="",C2845=pa_po),OR(pa_eq="",B2845=pa_eq)),1,0)</f>
        <v>0.0</v>
      </c>
    </row>
    <row r="2846">
      <c r="A2846" s="51" t="n"/>
      <c r="B2846" s="52" t="n"/>
      <c r="C2846" s="52" t="n"/>
      <c r="D2846" s="53" t="n"/>
      <c r="E2846" s="60" t="n"/>
      <c r="F2846" s="53" t="n"/>
      <c r="G2846" s="61" t="str">
        <f>IF(OR(COUNTA(A2846:E2846)=0,D2846=""),"",IFERROR(INDEX(ca_fam,MATCH(D2846,ca_name,0))&amp;"",""))</f>
        <v/>
      </c>
      <c r="H2846" s="58" t="str">
        <f>IF(OR(COUNTA(A2846:E2846)=0,D2846=""),"",IFERROR(INDEX(ca_type,MATCH(D2846,ca_name,0))&amp;"",""))</f>
        <v/>
      </c>
      <c r="I2846" s="58" t="str">
        <f>IF(COUNTA(A2846:E2846)=0,"",IF(N(A2846)&lt;=0,"Date manquante ou invalide",IF(B2846="","Équipe manquante",IF(ISNA(MATCH(B2846,eq_code,0)),"Équipe inconnue",IF(C2846="","Poste manquant",IF(ISNA(MATCH(C2846,po_code,0)),"Poste inconnu",IF(D2846="","Cause manquante",IF(ISNA(MATCH(D2846,ca_name,0)),"Cause inconnue",IF(H2846="","Cause à compléter dans Paramètres",IF(OR(NOT(ISNUMBER(E2846)),N(E2846)&lt;=0,N(E2846)&gt;1440),"Durée invalide",IF(COUNTIFS(sj_date,A2846,sj_eq,B2846,sj_po,C2846)=0,"Pas de saisie journalière ce jour-là","OK")))))))))))</f>
        <v/>
      </c>
      <c r="J2846">
        <f>IF(OR(I2846="OK",I2846="Pas de saisie journalière ce jour-là"),E2846,0)</f>
        <v>0.0</v>
      </c>
      <c r="K2846">
        <f>IF(AND(J2846&gt;0,A2846&gt;=p_from,A2846&lt;=p_to),1,0)</f>
        <v>0.0</v>
      </c>
      <c r="L2846">
        <f>IF(AND(K2846=1,OR(pa_po="",C2846=pa_po),OR(pa_eq="",B2846=pa_eq)),1,0)</f>
        <v>0.0</v>
      </c>
    </row>
    <row r="2847">
      <c r="A2847" s="51" t="n"/>
      <c r="B2847" s="52" t="n"/>
      <c r="C2847" s="52" t="n"/>
      <c r="D2847" s="53" t="n"/>
      <c r="E2847" s="60" t="n"/>
      <c r="F2847" s="53" t="n"/>
      <c r="G2847" s="61" t="str">
        <f>IF(OR(COUNTA(A2847:E2847)=0,D2847=""),"",IFERROR(INDEX(ca_fam,MATCH(D2847,ca_name,0))&amp;"",""))</f>
        <v/>
      </c>
      <c r="H2847" s="58" t="str">
        <f>IF(OR(COUNTA(A2847:E2847)=0,D2847=""),"",IFERROR(INDEX(ca_type,MATCH(D2847,ca_name,0))&amp;"",""))</f>
        <v/>
      </c>
      <c r="I2847" s="58" t="str">
        <f>IF(COUNTA(A2847:E2847)=0,"",IF(N(A2847)&lt;=0,"Date manquante ou invalide",IF(B2847="","Équipe manquante",IF(ISNA(MATCH(B2847,eq_code,0)),"Équipe inconnue",IF(C2847="","Poste manquant",IF(ISNA(MATCH(C2847,po_code,0)),"Poste inconnu",IF(D2847="","Cause manquante",IF(ISNA(MATCH(D2847,ca_name,0)),"Cause inconnue",IF(H2847="","Cause à compléter dans Paramètres",IF(OR(NOT(ISNUMBER(E2847)),N(E2847)&lt;=0,N(E2847)&gt;1440),"Durée invalide",IF(COUNTIFS(sj_date,A2847,sj_eq,B2847,sj_po,C2847)=0,"Pas de saisie journalière ce jour-là","OK")))))))))))</f>
        <v/>
      </c>
      <c r="J2847">
        <f>IF(OR(I2847="OK",I2847="Pas de saisie journalière ce jour-là"),E2847,0)</f>
        <v>0.0</v>
      </c>
      <c r="K2847">
        <f>IF(AND(J2847&gt;0,A2847&gt;=p_from,A2847&lt;=p_to),1,0)</f>
        <v>0.0</v>
      </c>
      <c r="L2847">
        <f>IF(AND(K2847=1,OR(pa_po="",C2847=pa_po),OR(pa_eq="",B2847=pa_eq)),1,0)</f>
        <v>0.0</v>
      </c>
    </row>
    <row r="2848">
      <c r="A2848" s="51" t="n"/>
      <c r="B2848" s="52" t="n"/>
      <c r="C2848" s="52" t="n"/>
      <c r="D2848" s="53" t="n"/>
      <c r="E2848" s="60" t="n"/>
      <c r="F2848" s="53" t="n"/>
      <c r="G2848" s="61" t="str">
        <f>IF(OR(COUNTA(A2848:E2848)=0,D2848=""),"",IFERROR(INDEX(ca_fam,MATCH(D2848,ca_name,0))&amp;"",""))</f>
        <v/>
      </c>
      <c r="H2848" s="58" t="str">
        <f>IF(OR(COUNTA(A2848:E2848)=0,D2848=""),"",IFERROR(INDEX(ca_type,MATCH(D2848,ca_name,0))&amp;"",""))</f>
        <v/>
      </c>
      <c r="I2848" s="58" t="str">
        <f>IF(COUNTA(A2848:E2848)=0,"",IF(N(A2848)&lt;=0,"Date manquante ou invalide",IF(B2848="","Équipe manquante",IF(ISNA(MATCH(B2848,eq_code,0)),"Équipe inconnue",IF(C2848="","Poste manquant",IF(ISNA(MATCH(C2848,po_code,0)),"Poste inconnu",IF(D2848="","Cause manquante",IF(ISNA(MATCH(D2848,ca_name,0)),"Cause inconnue",IF(H2848="","Cause à compléter dans Paramètres",IF(OR(NOT(ISNUMBER(E2848)),N(E2848)&lt;=0,N(E2848)&gt;1440),"Durée invalide",IF(COUNTIFS(sj_date,A2848,sj_eq,B2848,sj_po,C2848)=0,"Pas de saisie journalière ce jour-là","OK")))))))))))</f>
        <v/>
      </c>
      <c r="J2848">
        <f>IF(OR(I2848="OK",I2848="Pas de saisie journalière ce jour-là"),E2848,0)</f>
        <v>0.0</v>
      </c>
      <c r="K2848">
        <f>IF(AND(J2848&gt;0,A2848&gt;=p_from,A2848&lt;=p_to),1,0)</f>
        <v>0.0</v>
      </c>
      <c r="L2848">
        <f>IF(AND(K2848=1,OR(pa_po="",C2848=pa_po),OR(pa_eq="",B2848=pa_eq)),1,0)</f>
        <v>0.0</v>
      </c>
    </row>
    <row r="2849">
      <c r="A2849" s="51" t="n"/>
      <c r="B2849" s="52" t="n"/>
      <c r="C2849" s="52" t="n"/>
      <c r="D2849" s="53" t="n"/>
      <c r="E2849" s="60" t="n"/>
      <c r="F2849" s="53" t="n"/>
      <c r="G2849" s="61" t="str">
        <f>IF(OR(COUNTA(A2849:E2849)=0,D2849=""),"",IFERROR(INDEX(ca_fam,MATCH(D2849,ca_name,0))&amp;"",""))</f>
        <v/>
      </c>
      <c r="H2849" s="58" t="str">
        <f>IF(OR(COUNTA(A2849:E2849)=0,D2849=""),"",IFERROR(INDEX(ca_type,MATCH(D2849,ca_name,0))&amp;"",""))</f>
        <v/>
      </c>
      <c r="I2849" s="58" t="str">
        <f>IF(COUNTA(A2849:E2849)=0,"",IF(N(A2849)&lt;=0,"Date manquante ou invalide",IF(B2849="","Équipe manquante",IF(ISNA(MATCH(B2849,eq_code,0)),"Équipe inconnue",IF(C2849="","Poste manquant",IF(ISNA(MATCH(C2849,po_code,0)),"Poste inconnu",IF(D2849="","Cause manquante",IF(ISNA(MATCH(D2849,ca_name,0)),"Cause inconnue",IF(H2849="","Cause à compléter dans Paramètres",IF(OR(NOT(ISNUMBER(E2849)),N(E2849)&lt;=0,N(E2849)&gt;1440),"Durée invalide",IF(COUNTIFS(sj_date,A2849,sj_eq,B2849,sj_po,C2849)=0,"Pas de saisie journalière ce jour-là","OK")))))))))))</f>
        <v/>
      </c>
      <c r="J2849">
        <f>IF(OR(I2849="OK",I2849="Pas de saisie journalière ce jour-là"),E2849,0)</f>
        <v>0.0</v>
      </c>
      <c r="K2849">
        <f>IF(AND(J2849&gt;0,A2849&gt;=p_from,A2849&lt;=p_to),1,0)</f>
        <v>0.0</v>
      </c>
      <c r="L2849">
        <f>IF(AND(K2849=1,OR(pa_po="",C2849=pa_po),OR(pa_eq="",B2849=pa_eq)),1,0)</f>
        <v>0.0</v>
      </c>
    </row>
    <row r="2850">
      <c r="A2850" s="51" t="n"/>
      <c r="B2850" s="52" t="n"/>
      <c r="C2850" s="52" t="n"/>
      <c r="D2850" s="53" t="n"/>
      <c r="E2850" s="60" t="n"/>
      <c r="F2850" s="53" t="n"/>
      <c r="G2850" s="61" t="str">
        <f>IF(OR(COUNTA(A2850:E2850)=0,D2850=""),"",IFERROR(INDEX(ca_fam,MATCH(D2850,ca_name,0))&amp;"",""))</f>
        <v/>
      </c>
      <c r="H2850" s="58" t="str">
        <f>IF(OR(COUNTA(A2850:E2850)=0,D2850=""),"",IFERROR(INDEX(ca_type,MATCH(D2850,ca_name,0))&amp;"",""))</f>
        <v/>
      </c>
      <c r="I2850" s="58" t="str">
        <f>IF(COUNTA(A2850:E2850)=0,"",IF(N(A2850)&lt;=0,"Date manquante ou invalide",IF(B2850="","Équipe manquante",IF(ISNA(MATCH(B2850,eq_code,0)),"Équipe inconnue",IF(C2850="","Poste manquant",IF(ISNA(MATCH(C2850,po_code,0)),"Poste inconnu",IF(D2850="","Cause manquante",IF(ISNA(MATCH(D2850,ca_name,0)),"Cause inconnue",IF(H2850="","Cause à compléter dans Paramètres",IF(OR(NOT(ISNUMBER(E2850)),N(E2850)&lt;=0,N(E2850)&gt;1440),"Durée invalide",IF(COUNTIFS(sj_date,A2850,sj_eq,B2850,sj_po,C2850)=0,"Pas de saisie journalière ce jour-là","OK")))))))))))</f>
        <v/>
      </c>
      <c r="J2850">
        <f>IF(OR(I2850="OK",I2850="Pas de saisie journalière ce jour-là"),E2850,0)</f>
        <v>0.0</v>
      </c>
      <c r="K2850">
        <f>IF(AND(J2850&gt;0,A2850&gt;=p_from,A2850&lt;=p_to),1,0)</f>
        <v>0.0</v>
      </c>
      <c r="L2850">
        <f>IF(AND(K2850=1,OR(pa_po="",C2850=pa_po),OR(pa_eq="",B2850=pa_eq)),1,0)</f>
        <v>0.0</v>
      </c>
    </row>
    <row r="2851">
      <c r="A2851" s="51" t="n"/>
      <c r="B2851" s="52" t="n"/>
      <c r="C2851" s="52" t="n"/>
      <c r="D2851" s="53" t="n"/>
      <c r="E2851" s="60" t="n"/>
      <c r="F2851" s="53" t="n"/>
      <c r="G2851" s="61" t="str">
        <f>IF(OR(COUNTA(A2851:E2851)=0,D2851=""),"",IFERROR(INDEX(ca_fam,MATCH(D2851,ca_name,0))&amp;"",""))</f>
        <v/>
      </c>
      <c r="H2851" s="58" t="str">
        <f>IF(OR(COUNTA(A2851:E2851)=0,D2851=""),"",IFERROR(INDEX(ca_type,MATCH(D2851,ca_name,0))&amp;"",""))</f>
        <v/>
      </c>
      <c r="I2851" s="58" t="str">
        <f>IF(COUNTA(A2851:E2851)=0,"",IF(N(A2851)&lt;=0,"Date manquante ou invalide",IF(B2851="","Équipe manquante",IF(ISNA(MATCH(B2851,eq_code,0)),"Équipe inconnue",IF(C2851="","Poste manquant",IF(ISNA(MATCH(C2851,po_code,0)),"Poste inconnu",IF(D2851="","Cause manquante",IF(ISNA(MATCH(D2851,ca_name,0)),"Cause inconnue",IF(H2851="","Cause à compléter dans Paramètres",IF(OR(NOT(ISNUMBER(E2851)),N(E2851)&lt;=0,N(E2851)&gt;1440),"Durée invalide",IF(COUNTIFS(sj_date,A2851,sj_eq,B2851,sj_po,C2851)=0,"Pas de saisie journalière ce jour-là","OK")))))))))))</f>
        <v/>
      </c>
      <c r="J2851">
        <f>IF(OR(I2851="OK",I2851="Pas de saisie journalière ce jour-là"),E2851,0)</f>
        <v>0.0</v>
      </c>
      <c r="K2851">
        <f>IF(AND(J2851&gt;0,A2851&gt;=p_from,A2851&lt;=p_to),1,0)</f>
        <v>0.0</v>
      </c>
      <c r="L2851">
        <f>IF(AND(K2851=1,OR(pa_po="",C2851=pa_po),OR(pa_eq="",B2851=pa_eq)),1,0)</f>
        <v>0.0</v>
      </c>
    </row>
    <row r="2852">
      <c r="A2852" s="51" t="n"/>
      <c r="B2852" s="52" t="n"/>
      <c r="C2852" s="52" t="n"/>
      <c r="D2852" s="53" t="n"/>
      <c r="E2852" s="60" t="n"/>
      <c r="F2852" s="53" t="n"/>
      <c r="G2852" s="61" t="str">
        <f>IF(OR(COUNTA(A2852:E2852)=0,D2852=""),"",IFERROR(INDEX(ca_fam,MATCH(D2852,ca_name,0))&amp;"",""))</f>
        <v/>
      </c>
      <c r="H2852" s="58" t="str">
        <f>IF(OR(COUNTA(A2852:E2852)=0,D2852=""),"",IFERROR(INDEX(ca_type,MATCH(D2852,ca_name,0))&amp;"",""))</f>
        <v/>
      </c>
      <c r="I2852" s="58" t="str">
        <f>IF(COUNTA(A2852:E2852)=0,"",IF(N(A2852)&lt;=0,"Date manquante ou invalide",IF(B2852="","Équipe manquante",IF(ISNA(MATCH(B2852,eq_code,0)),"Équipe inconnue",IF(C2852="","Poste manquant",IF(ISNA(MATCH(C2852,po_code,0)),"Poste inconnu",IF(D2852="","Cause manquante",IF(ISNA(MATCH(D2852,ca_name,0)),"Cause inconnue",IF(H2852="","Cause à compléter dans Paramètres",IF(OR(NOT(ISNUMBER(E2852)),N(E2852)&lt;=0,N(E2852)&gt;1440),"Durée invalide",IF(COUNTIFS(sj_date,A2852,sj_eq,B2852,sj_po,C2852)=0,"Pas de saisie journalière ce jour-là","OK")))))))))))</f>
        <v/>
      </c>
      <c r="J2852">
        <f>IF(OR(I2852="OK",I2852="Pas de saisie journalière ce jour-là"),E2852,0)</f>
        <v>0.0</v>
      </c>
      <c r="K2852">
        <f>IF(AND(J2852&gt;0,A2852&gt;=p_from,A2852&lt;=p_to),1,0)</f>
        <v>0.0</v>
      </c>
      <c r="L2852">
        <f>IF(AND(K2852=1,OR(pa_po="",C2852=pa_po),OR(pa_eq="",B2852=pa_eq)),1,0)</f>
        <v>0.0</v>
      </c>
    </row>
    <row r="2853">
      <c r="A2853" s="51" t="n"/>
      <c r="B2853" s="52" t="n"/>
      <c r="C2853" s="52" t="n"/>
      <c r="D2853" s="53" t="n"/>
      <c r="E2853" s="60" t="n"/>
      <c r="F2853" s="53" t="n"/>
      <c r="G2853" s="61" t="str">
        <f>IF(OR(COUNTA(A2853:E2853)=0,D2853=""),"",IFERROR(INDEX(ca_fam,MATCH(D2853,ca_name,0))&amp;"",""))</f>
        <v/>
      </c>
      <c r="H2853" s="58" t="str">
        <f>IF(OR(COUNTA(A2853:E2853)=0,D2853=""),"",IFERROR(INDEX(ca_type,MATCH(D2853,ca_name,0))&amp;"",""))</f>
        <v/>
      </c>
      <c r="I2853" s="58" t="str">
        <f>IF(COUNTA(A2853:E2853)=0,"",IF(N(A2853)&lt;=0,"Date manquante ou invalide",IF(B2853="","Équipe manquante",IF(ISNA(MATCH(B2853,eq_code,0)),"Équipe inconnue",IF(C2853="","Poste manquant",IF(ISNA(MATCH(C2853,po_code,0)),"Poste inconnu",IF(D2853="","Cause manquante",IF(ISNA(MATCH(D2853,ca_name,0)),"Cause inconnue",IF(H2853="","Cause à compléter dans Paramètres",IF(OR(NOT(ISNUMBER(E2853)),N(E2853)&lt;=0,N(E2853)&gt;1440),"Durée invalide",IF(COUNTIFS(sj_date,A2853,sj_eq,B2853,sj_po,C2853)=0,"Pas de saisie journalière ce jour-là","OK")))))))))))</f>
        <v/>
      </c>
      <c r="J2853">
        <f>IF(OR(I2853="OK",I2853="Pas de saisie journalière ce jour-là"),E2853,0)</f>
        <v>0.0</v>
      </c>
      <c r="K2853">
        <f>IF(AND(J2853&gt;0,A2853&gt;=p_from,A2853&lt;=p_to),1,0)</f>
        <v>0.0</v>
      </c>
      <c r="L2853">
        <f>IF(AND(K2853=1,OR(pa_po="",C2853=pa_po),OR(pa_eq="",B2853=pa_eq)),1,0)</f>
        <v>0.0</v>
      </c>
    </row>
    <row r="2854">
      <c r="A2854" s="51" t="n"/>
      <c r="B2854" s="52" t="n"/>
      <c r="C2854" s="52" t="n"/>
      <c r="D2854" s="53" t="n"/>
      <c r="E2854" s="60" t="n"/>
      <c r="F2854" s="53" t="n"/>
      <c r="G2854" s="61" t="str">
        <f>IF(OR(COUNTA(A2854:E2854)=0,D2854=""),"",IFERROR(INDEX(ca_fam,MATCH(D2854,ca_name,0))&amp;"",""))</f>
        <v/>
      </c>
      <c r="H2854" s="58" t="str">
        <f>IF(OR(COUNTA(A2854:E2854)=0,D2854=""),"",IFERROR(INDEX(ca_type,MATCH(D2854,ca_name,0))&amp;"",""))</f>
        <v/>
      </c>
      <c r="I2854" s="58" t="str">
        <f>IF(COUNTA(A2854:E2854)=0,"",IF(N(A2854)&lt;=0,"Date manquante ou invalide",IF(B2854="","Équipe manquante",IF(ISNA(MATCH(B2854,eq_code,0)),"Équipe inconnue",IF(C2854="","Poste manquant",IF(ISNA(MATCH(C2854,po_code,0)),"Poste inconnu",IF(D2854="","Cause manquante",IF(ISNA(MATCH(D2854,ca_name,0)),"Cause inconnue",IF(H2854="","Cause à compléter dans Paramètres",IF(OR(NOT(ISNUMBER(E2854)),N(E2854)&lt;=0,N(E2854)&gt;1440),"Durée invalide",IF(COUNTIFS(sj_date,A2854,sj_eq,B2854,sj_po,C2854)=0,"Pas de saisie journalière ce jour-là","OK")))))))))))</f>
        <v/>
      </c>
      <c r="J2854">
        <f>IF(OR(I2854="OK",I2854="Pas de saisie journalière ce jour-là"),E2854,0)</f>
        <v>0.0</v>
      </c>
      <c r="K2854">
        <f>IF(AND(J2854&gt;0,A2854&gt;=p_from,A2854&lt;=p_to),1,0)</f>
        <v>0.0</v>
      </c>
      <c r="L2854">
        <f>IF(AND(K2854=1,OR(pa_po="",C2854=pa_po),OR(pa_eq="",B2854=pa_eq)),1,0)</f>
        <v>0.0</v>
      </c>
    </row>
    <row r="2855">
      <c r="A2855" s="51" t="n"/>
      <c r="B2855" s="52" t="n"/>
      <c r="C2855" s="52" t="n"/>
      <c r="D2855" s="53" t="n"/>
      <c r="E2855" s="60" t="n"/>
      <c r="F2855" s="53" t="n"/>
      <c r="G2855" s="61" t="str">
        <f>IF(OR(COUNTA(A2855:E2855)=0,D2855=""),"",IFERROR(INDEX(ca_fam,MATCH(D2855,ca_name,0))&amp;"",""))</f>
        <v/>
      </c>
      <c r="H2855" s="58" t="str">
        <f>IF(OR(COUNTA(A2855:E2855)=0,D2855=""),"",IFERROR(INDEX(ca_type,MATCH(D2855,ca_name,0))&amp;"",""))</f>
        <v/>
      </c>
      <c r="I2855" s="58" t="str">
        <f>IF(COUNTA(A2855:E2855)=0,"",IF(N(A2855)&lt;=0,"Date manquante ou invalide",IF(B2855="","Équipe manquante",IF(ISNA(MATCH(B2855,eq_code,0)),"Équipe inconnue",IF(C2855="","Poste manquant",IF(ISNA(MATCH(C2855,po_code,0)),"Poste inconnu",IF(D2855="","Cause manquante",IF(ISNA(MATCH(D2855,ca_name,0)),"Cause inconnue",IF(H2855="","Cause à compléter dans Paramètres",IF(OR(NOT(ISNUMBER(E2855)),N(E2855)&lt;=0,N(E2855)&gt;1440),"Durée invalide",IF(COUNTIFS(sj_date,A2855,sj_eq,B2855,sj_po,C2855)=0,"Pas de saisie journalière ce jour-là","OK")))))))))))</f>
        <v/>
      </c>
      <c r="J2855">
        <f>IF(OR(I2855="OK",I2855="Pas de saisie journalière ce jour-là"),E2855,0)</f>
        <v>0.0</v>
      </c>
      <c r="K2855">
        <f>IF(AND(J2855&gt;0,A2855&gt;=p_from,A2855&lt;=p_to),1,0)</f>
        <v>0.0</v>
      </c>
      <c r="L2855">
        <f>IF(AND(K2855=1,OR(pa_po="",C2855=pa_po),OR(pa_eq="",B2855=pa_eq)),1,0)</f>
        <v>0.0</v>
      </c>
    </row>
    <row r="2856">
      <c r="A2856" s="51" t="n"/>
      <c r="B2856" s="52" t="n"/>
      <c r="C2856" s="52" t="n"/>
      <c r="D2856" s="53" t="n"/>
      <c r="E2856" s="60" t="n"/>
      <c r="F2856" s="53" t="n"/>
      <c r="G2856" s="61" t="str">
        <f>IF(OR(COUNTA(A2856:E2856)=0,D2856=""),"",IFERROR(INDEX(ca_fam,MATCH(D2856,ca_name,0))&amp;"",""))</f>
        <v/>
      </c>
      <c r="H2856" s="58" t="str">
        <f>IF(OR(COUNTA(A2856:E2856)=0,D2856=""),"",IFERROR(INDEX(ca_type,MATCH(D2856,ca_name,0))&amp;"",""))</f>
        <v/>
      </c>
      <c r="I2856" s="58" t="str">
        <f>IF(COUNTA(A2856:E2856)=0,"",IF(N(A2856)&lt;=0,"Date manquante ou invalide",IF(B2856="","Équipe manquante",IF(ISNA(MATCH(B2856,eq_code,0)),"Équipe inconnue",IF(C2856="","Poste manquant",IF(ISNA(MATCH(C2856,po_code,0)),"Poste inconnu",IF(D2856="","Cause manquante",IF(ISNA(MATCH(D2856,ca_name,0)),"Cause inconnue",IF(H2856="","Cause à compléter dans Paramètres",IF(OR(NOT(ISNUMBER(E2856)),N(E2856)&lt;=0,N(E2856)&gt;1440),"Durée invalide",IF(COUNTIFS(sj_date,A2856,sj_eq,B2856,sj_po,C2856)=0,"Pas de saisie journalière ce jour-là","OK")))))))))))</f>
        <v/>
      </c>
      <c r="J2856">
        <f>IF(OR(I2856="OK",I2856="Pas de saisie journalière ce jour-là"),E2856,0)</f>
        <v>0.0</v>
      </c>
      <c r="K2856">
        <f>IF(AND(J2856&gt;0,A2856&gt;=p_from,A2856&lt;=p_to),1,0)</f>
        <v>0.0</v>
      </c>
      <c r="L2856">
        <f>IF(AND(K2856=1,OR(pa_po="",C2856=pa_po),OR(pa_eq="",B2856=pa_eq)),1,0)</f>
        <v>0.0</v>
      </c>
    </row>
    <row r="2857">
      <c r="A2857" s="51" t="n"/>
      <c r="B2857" s="52" t="n"/>
      <c r="C2857" s="52" t="n"/>
      <c r="D2857" s="53" t="n"/>
      <c r="E2857" s="60" t="n"/>
      <c r="F2857" s="53" t="n"/>
      <c r="G2857" s="61" t="str">
        <f>IF(OR(COUNTA(A2857:E2857)=0,D2857=""),"",IFERROR(INDEX(ca_fam,MATCH(D2857,ca_name,0))&amp;"",""))</f>
        <v/>
      </c>
      <c r="H2857" s="58" t="str">
        <f>IF(OR(COUNTA(A2857:E2857)=0,D2857=""),"",IFERROR(INDEX(ca_type,MATCH(D2857,ca_name,0))&amp;"",""))</f>
        <v/>
      </c>
      <c r="I2857" s="58" t="str">
        <f>IF(COUNTA(A2857:E2857)=0,"",IF(N(A2857)&lt;=0,"Date manquante ou invalide",IF(B2857="","Équipe manquante",IF(ISNA(MATCH(B2857,eq_code,0)),"Équipe inconnue",IF(C2857="","Poste manquant",IF(ISNA(MATCH(C2857,po_code,0)),"Poste inconnu",IF(D2857="","Cause manquante",IF(ISNA(MATCH(D2857,ca_name,0)),"Cause inconnue",IF(H2857="","Cause à compléter dans Paramètres",IF(OR(NOT(ISNUMBER(E2857)),N(E2857)&lt;=0,N(E2857)&gt;1440),"Durée invalide",IF(COUNTIFS(sj_date,A2857,sj_eq,B2857,sj_po,C2857)=0,"Pas de saisie journalière ce jour-là","OK")))))))))))</f>
        <v/>
      </c>
      <c r="J2857">
        <f>IF(OR(I2857="OK",I2857="Pas de saisie journalière ce jour-là"),E2857,0)</f>
        <v>0.0</v>
      </c>
      <c r="K2857">
        <f>IF(AND(J2857&gt;0,A2857&gt;=p_from,A2857&lt;=p_to),1,0)</f>
        <v>0.0</v>
      </c>
      <c r="L2857">
        <f>IF(AND(K2857=1,OR(pa_po="",C2857=pa_po),OR(pa_eq="",B2857=pa_eq)),1,0)</f>
        <v>0.0</v>
      </c>
    </row>
    <row r="2858">
      <c r="A2858" s="51" t="n"/>
      <c r="B2858" s="52" t="n"/>
      <c r="C2858" s="52" t="n"/>
      <c r="D2858" s="53" t="n"/>
      <c r="E2858" s="60" t="n"/>
      <c r="F2858" s="53" t="n"/>
      <c r="G2858" s="61" t="str">
        <f>IF(OR(COUNTA(A2858:E2858)=0,D2858=""),"",IFERROR(INDEX(ca_fam,MATCH(D2858,ca_name,0))&amp;"",""))</f>
        <v/>
      </c>
      <c r="H2858" s="58" t="str">
        <f>IF(OR(COUNTA(A2858:E2858)=0,D2858=""),"",IFERROR(INDEX(ca_type,MATCH(D2858,ca_name,0))&amp;"",""))</f>
        <v/>
      </c>
      <c r="I2858" s="58" t="str">
        <f>IF(COUNTA(A2858:E2858)=0,"",IF(N(A2858)&lt;=0,"Date manquante ou invalide",IF(B2858="","Équipe manquante",IF(ISNA(MATCH(B2858,eq_code,0)),"Équipe inconnue",IF(C2858="","Poste manquant",IF(ISNA(MATCH(C2858,po_code,0)),"Poste inconnu",IF(D2858="","Cause manquante",IF(ISNA(MATCH(D2858,ca_name,0)),"Cause inconnue",IF(H2858="","Cause à compléter dans Paramètres",IF(OR(NOT(ISNUMBER(E2858)),N(E2858)&lt;=0,N(E2858)&gt;1440),"Durée invalide",IF(COUNTIFS(sj_date,A2858,sj_eq,B2858,sj_po,C2858)=0,"Pas de saisie journalière ce jour-là","OK")))))))))))</f>
        <v/>
      </c>
      <c r="J2858">
        <f>IF(OR(I2858="OK",I2858="Pas de saisie journalière ce jour-là"),E2858,0)</f>
        <v>0.0</v>
      </c>
      <c r="K2858">
        <f>IF(AND(J2858&gt;0,A2858&gt;=p_from,A2858&lt;=p_to),1,0)</f>
        <v>0.0</v>
      </c>
      <c r="L2858">
        <f>IF(AND(K2858=1,OR(pa_po="",C2858=pa_po),OR(pa_eq="",B2858=pa_eq)),1,0)</f>
        <v>0.0</v>
      </c>
    </row>
    <row r="2859">
      <c r="A2859" s="51" t="n"/>
      <c r="B2859" s="52" t="n"/>
      <c r="C2859" s="52" t="n"/>
      <c r="D2859" s="53" t="n"/>
      <c r="E2859" s="60" t="n"/>
      <c r="F2859" s="53" t="n"/>
      <c r="G2859" s="61" t="str">
        <f>IF(OR(COUNTA(A2859:E2859)=0,D2859=""),"",IFERROR(INDEX(ca_fam,MATCH(D2859,ca_name,0))&amp;"",""))</f>
        <v/>
      </c>
      <c r="H2859" s="58" t="str">
        <f>IF(OR(COUNTA(A2859:E2859)=0,D2859=""),"",IFERROR(INDEX(ca_type,MATCH(D2859,ca_name,0))&amp;"",""))</f>
        <v/>
      </c>
      <c r="I2859" s="58" t="str">
        <f>IF(COUNTA(A2859:E2859)=0,"",IF(N(A2859)&lt;=0,"Date manquante ou invalide",IF(B2859="","Équipe manquante",IF(ISNA(MATCH(B2859,eq_code,0)),"Équipe inconnue",IF(C2859="","Poste manquant",IF(ISNA(MATCH(C2859,po_code,0)),"Poste inconnu",IF(D2859="","Cause manquante",IF(ISNA(MATCH(D2859,ca_name,0)),"Cause inconnue",IF(H2859="","Cause à compléter dans Paramètres",IF(OR(NOT(ISNUMBER(E2859)),N(E2859)&lt;=0,N(E2859)&gt;1440),"Durée invalide",IF(COUNTIFS(sj_date,A2859,sj_eq,B2859,sj_po,C2859)=0,"Pas de saisie journalière ce jour-là","OK")))))))))))</f>
        <v/>
      </c>
      <c r="J2859">
        <f>IF(OR(I2859="OK",I2859="Pas de saisie journalière ce jour-là"),E2859,0)</f>
        <v>0.0</v>
      </c>
      <c r="K2859">
        <f>IF(AND(J2859&gt;0,A2859&gt;=p_from,A2859&lt;=p_to),1,0)</f>
        <v>0.0</v>
      </c>
      <c r="L2859">
        <f>IF(AND(K2859=1,OR(pa_po="",C2859=pa_po),OR(pa_eq="",B2859=pa_eq)),1,0)</f>
        <v>0.0</v>
      </c>
    </row>
    <row r="2860">
      <c r="A2860" s="51" t="n"/>
      <c r="B2860" s="52" t="n"/>
      <c r="C2860" s="52" t="n"/>
      <c r="D2860" s="53" t="n"/>
      <c r="E2860" s="60" t="n"/>
      <c r="F2860" s="53" t="n"/>
      <c r="G2860" s="61" t="str">
        <f>IF(OR(COUNTA(A2860:E2860)=0,D2860=""),"",IFERROR(INDEX(ca_fam,MATCH(D2860,ca_name,0))&amp;"",""))</f>
        <v/>
      </c>
      <c r="H2860" s="58" t="str">
        <f>IF(OR(COUNTA(A2860:E2860)=0,D2860=""),"",IFERROR(INDEX(ca_type,MATCH(D2860,ca_name,0))&amp;"",""))</f>
        <v/>
      </c>
      <c r="I2860" s="58" t="str">
        <f>IF(COUNTA(A2860:E2860)=0,"",IF(N(A2860)&lt;=0,"Date manquante ou invalide",IF(B2860="","Équipe manquante",IF(ISNA(MATCH(B2860,eq_code,0)),"Équipe inconnue",IF(C2860="","Poste manquant",IF(ISNA(MATCH(C2860,po_code,0)),"Poste inconnu",IF(D2860="","Cause manquante",IF(ISNA(MATCH(D2860,ca_name,0)),"Cause inconnue",IF(H2860="","Cause à compléter dans Paramètres",IF(OR(NOT(ISNUMBER(E2860)),N(E2860)&lt;=0,N(E2860)&gt;1440),"Durée invalide",IF(COUNTIFS(sj_date,A2860,sj_eq,B2860,sj_po,C2860)=0,"Pas de saisie journalière ce jour-là","OK")))))))))))</f>
        <v/>
      </c>
      <c r="J2860">
        <f>IF(OR(I2860="OK",I2860="Pas de saisie journalière ce jour-là"),E2860,0)</f>
        <v>0.0</v>
      </c>
      <c r="K2860">
        <f>IF(AND(J2860&gt;0,A2860&gt;=p_from,A2860&lt;=p_to),1,0)</f>
        <v>0.0</v>
      </c>
      <c r="L2860">
        <f>IF(AND(K2860=1,OR(pa_po="",C2860=pa_po),OR(pa_eq="",B2860=pa_eq)),1,0)</f>
        <v>0.0</v>
      </c>
    </row>
    <row r="2861">
      <c r="A2861" s="51" t="n"/>
      <c r="B2861" s="52" t="n"/>
      <c r="C2861" s="52" t="n"/>
      <c r="D2861" s="53" t="n"/>
      <c r="E2861" s="60" t="n"/>
      <c r="F2861" s="53" t="n"/>
      <c r="G2861" s="61" t="str">
        <f>IF(OR(COUNTA(A2861:E2861)=0,D2861=""),"",IFERROR(INDEX(ca_fam,MATCH(D2861,ca_name,0))&amp;"",""))</f>
        <v/>
      </c>
      <c r="H2861" s="58" t="str">
        <f>IF(OR(COUNTA(A2861:E2861)=0,D2861=""),"",IFERROR(INDEX(ca_type,MATCH(D2861,ca_name,0))&amp;"",""))</f>
        <v/>
      </c>
      <c r="I2861" s="58" t="str">
        <f>IF(COUNTA(A2861:E2861)=0,"",IF(N(A2861)&lt;=0,"Date manquante ou invalide",IF(B2861="","Équipe manquante",IF(ISNA(MATCH(B2861,eq_code,0)),"Équipe inconnue",IF(C2861="","Poste manquant",IF(ISNA(MATCH(C2861,po_code,0)),"Poste inconnu",IF(D2861="","Cause manquante",IF(ISNA(MATCH(D2861,ca_name,0)),"Cause inconnue",IF(H2861="","Cause à compléter dans Paramètres",IF(OR(NOT(ISNUMBER(E2861)),N(E2861)&lt;=0,N(E2861)&gt;1440),"Durée invalide",IF(COUNTIFS(sj_date,A2861,sj_eq,B2861,sj_po,C2861)=0,"Pas de saisie journalière ce jour-là","OK")))))))))))</f>
        <v/>
      </c>
      <c r="J2861">
        <f>IF(OR(I2861="OK",I2861="Pas de saisie journalière ce jour-là"),E2861,0)</f>
        <v>0.0</v>
      </c>
      <c r="K2861">
        <f>IF(AND(J2861&gt;0,A2861&gt;=p_from,A2861&lt;=p_to),1,0)</f>
        <v>0.0</v>
      </c>
      <c r="L2861">
        <f>IF(AND(K2861=1,OR(pa_po="",C2861=pa_po),OR(pa_eq="",B2861=pa_eq)),1,0)</f>
        <v>0.0</v>
      </c>
    </row>
    <row r="2862">
      <c r="A2862" s="51" t="n"/>
      <c r="B2862" s="52" t="n"/>
      <c r="C2862" s="52" t="n"/>
      <c r="D2862" s="53" t="n"/>
      <c r="E2862" s="60" t="n"/>
      <c r="F2862" s="53" t="n"/>
      <c r="G2862" s="61" t="str">
        <f>IF(OR(COUNTA(A2862:E2862)=0,D2862=""),"",IFERROR(INDEX(ca_fam,MATCH(D2862,ca_name,0))&amp;"",""))</f>
        <v/>
      </c>
      <c r="H2862" s="58" t="str">
        <f>IF(OR(COUNTA(A2862:E2862)=0,D2862=""),"",IFERROR(INDEX(ca_type,MATCH(D2862,ca_name,0))&amp;"",""))</f>
        <v/>
      </c>
      <c r="I2862" s="58" t="str">
        <f>IF(COUNTA(A2862:E2862)=0,"",IF(N(A2862)&lt;=0,"Date manquante ou invalide",IF(B2862="","Équipe manquante",IF(ISNA(MATCH(B2862,eq_code,0)),"Équipe inconnue",IF(C2862="","Poste manquant",IF(ISNA(MATCH(C2862,po_code,0)),"Poste inconnu",IF(D2862="","Cause manquante",IF(ISNA(MATCH(D2862,ca_name,0)),"Cause inconnue",IF(H2862="","Cause à compléter dans Paramètres",IF(OR(NOT(ISNUMBER(E2862)),N(E2862)&lt;=0,N(E2862)&gt;1440),"Durée invalide",IF(COUNTIFS(sj_date,A2862,sj_eq,B2862,sj_po,C2862)=0,"Pas de saisie journalière ce jour-là","OK")))))))))))</f>
        <v/>
      </c>
      <c r="J2862">
        <f>IF(OR(I2862="OK",I2862="Pas de saisie journalière ce jour-là"),E2862,0)</f>
        <v>0.0</v>
      </c>
      <c r="K2862">
        <f>IF(AND(J2862&gt;0,A2862&gt;=p_from,A2862&lt;=p_to),1,0)</f>
        <v>0.0</v>
      </c>
      <c r="L2862">
        <f>IF(AND(K2862=1,OR(pa_po="",C2862=pa_po),OR(pa_eq="",B2862=pa_eq)),1,0)</f>
        <v>0.0</v>
      </c>
    </row>
    <row r="2863">
      <c r="A2863" s="51" t="n"/>
      <c r="B2863" s="52" t="n"/>
      <c r="C2863" s="52" t="n"/>
      <c r="D2863" s="53" t="n"/>
      <c r="E2863" s="60" t="n"/>
      <c r="F2863" s="53" t="n"/>
      <c r="G2863" s="61" t="str">
        <f>IF(OR(COUNTA(A2863:E2863)=0,D2863=""),"",IFERROR(INDEX(ca_fam,MATCH(D2863,ca_name,0))&amp;"",""))</f>
        <v/>
      </c>
      <c r="H2863" s="58" t="str">
        <f>IF(OR(COUNTA(A2863:E2863)=0,D2863=""),"",IFERROR(INDEX(ca_type,MATCH(D2863,ca_name,0))&amp;"",""))</f>
        <v/>
      </c>
      <c r="I2863" s="58" t="str">
        <f>IF(COUNTA(A2863:E2863)=0,"",IF(N(A2863)&lt;=0,"Date manquante ou invalide",IF(B2863="","Équipe manquante",IF(ISNA(MATCH(B2863,eq_code,0)),"Équipe inconnue",IF(C2863="","Poste manquant",IF(ISNA(MATCH(C2863,po_code,0)),"Poste inconnu",IF(D2863="","Cause manquante",IF(ISNA(MATCH(D2863,ca_name,0)),"Cause inconnue",IF(H2863="","Cause à compléter dans Paramètres",IF(OR(NOT(ISNUMBER(E2863)),N(E2863)&lt;=0,N(E2863)&gt;1440),"Durée invalide",IF(COUNTIFS(sj_date,A2863,sj_eq,B2863,sj_po,C2863)=0,"Pas de saisie journalière ce jour-là","OK")))))))))))</f>
        <v/>
      </c>
      <c r="J2863">
        <f>IF(OR(I2863="OK",I2863="Pas de saisie journalière ce jour-là"),E2863,0)</f>
        <v>0.0</v>
      </c>
      <c r="K2863">
        <f>IF(AND(J2863&gt;0,A2863&gt;=p_from,A2863&lt;=p_to),1,0)</f>
        <v>0.0</v>
      </c>
      <c r="L2863">
        <f>IF(AND(K2863=1,OR(pa_po="",C2863=pa_po),OR(pa_eq="",B2863=pa_eq)),1,0)</f>
        <v>0.0</v>
      </c>
    </row>
    <row r="2864">
      <c r="A2864" s="51" t="n"/>
      <c r="B2864" s="52" t="n"/>
      <c r="C2864" s="52" t="n"/>
      <c r="D2864" s="53" t="n"/>
      <c r="E2864" s="60" t="n"/>
      <c r="F2864" s="53" t="n"/>
      <c r="G2864" s="61" t="str">
        <f>IF(OR(COUNTA(A2864:E2864)=0,D2864=""),"",IFERROR(INDEX(ca_fam,MATCH(D2864,ca_name,0))&amp;"",""))</f>
        <v/>
      </c>
      <c r="H2864" s="58" t="str">
        <f>IF(OR(COUNTA(A2864:E2864)=0,D2864=""),"",IFERROR(INDEX(ca_type,MATCH(D2864,ca_name,0))&amp;"",""))</f>
        <v/>
      </c>
      <c r="I2864" s="58" t="str">
        <f>IF(COUNTA(A2864:E2864)=0,"",IF(N(A2864)&lt;=0,"Date manquante ou invalide",IF(B2864="","Équipe manquante",IF(ISNA(MATCH(B2864,eq_code,0)),"Équipe inconnue",IF(C2864="","Poste manquant",IF(ISNA(MATCH(C2864,po_code,0)),"Poste inconnu",IF(D2864="","Cause manquante",IF(ISNA(MATCH(D2864,ca_name,0)),"Cause inconnue",IF(H2864="","Cause à compléter dans Paramètres",IF(OR(NOT(ISNUMBER(E2864)),N(E2864)&lt;=0,N(E2864)&gt;1440),"Durée invalide",IF(COUNTIFS(sj_date,A2864,sj_eq,B2864,sj_po,C2864)=0,"Pas de saisie journalière ce jour-là","OK")))))))))))</f>
        <v/>
      </c>
      <c r="J2864">
        <f>IF(OR(I2864="OK",I2864="Pas de saisie journalière ce jour-là"),E2864,0)</f>
        <v>0.0</v>
      </c>
      <c r="K2864">
        <f>IF(AND(J2864&gt;0,A2864&gt;=p_from,A2864&lt;=p_to),1,0)</f>
        <v>0.0</v>
      </c>
      <c r="L2864">
        <f>IF(AND(K2864=1,OR(pa_po="",C2864=pa_po),OR(pa_eq="",B2864=pa_eq)),1,0)</f>
        <v>0.0</v>
      </c>
    </row>
    <row r="2865">
      <c r="A2865" s="51" t="n"/>
      <c r="B2865" s="52" t="n"/>
      <c r="C2865" s="52" t="n"/>
      <c r="D2865" s="53" t="n"/>
      <c r="E2865" s="60" t="n"/>
      <c r="F2865" s="53" t="n"/>
      <c r="G2865" s="61" t="str">
        <f>IF(OR(COUNTA(A2865:E2865)=0,D2865=""),"",IFERROR(INDEX(ca_fam,MATCH(D2865,ca_name,0))&amp;"",""))</f>
        <v/>
      </c>
      <c r="H2865" s="58" t="str">
        <f>IF(OR(COUNTA(A2865:E2865)=0,D2865=""),"",IFERROR(INDEX(ca_type,MATCH(D2865,ca_name,0))&amp;"",""))</f>
        <v/>
      </c>
      <c r="I2865" s="58" t="str">
        <f>IF(COUNTA(A2865:E2865)=0,"",IF(N(A2865)&lt;=0,"Date manquante ou invalide",IF(B2865="","Équipe manquante",IF(ISNA(MATCH(B2865,eq_code,0)),"Équipe inconnue",IF(C2865="","Poste manquant",IF(ISNA(MATCH(C2865,po_code,0)),"Poste inconnu",IF(D2865="","Cause manquante",IF(ISNA(MATCH(D2865,ca_name,0)),"Cause inconnue",IF(H2865="","Cause à compléter dans Paramètres",IF(OR(NOT(ISNUMBER(E2865)),N(E2865)&lt;=0,N(E2865)&gt;1440),"Durée invalide",IF(COUNTIFS(sj_date,A2865,sj_eq,B2865,sj_po,C2865)=0,"Pas de saisie journalière ce jour-là","OK")))))))))))</f>
        <v/>
      </c>
      <c r="J2865">
        <f>IF(OR(I2865="OK",I2865="Pas de saisie journalière ce jour-là"),E2865,0)</f>
        <v>0.0</v>
      </c>
      <c r="K2865">
        <f>IF(AND(J2865&gt;0,A2865&gt;=p_from,A2865&lt;=p_to),1,0)</f>
        <v>0.0</v>
      </c>
      <c r="L2865">
        <f>IF(AND(K2865=1,OR(pa_po="",C2865=pa_po),OR(pa_eq="",B2865=pa_eq)),1,0)</f>
        <v>0.0</v>
      </c>
    </row>
    <row r="2866">
      <c r="A2866" s="51" t="n"/>
      <c r="B2866" s="52" t="n"/>
      <c r="C2866" s="52" t="n"/>
      <c r="D2866" s="53" t="n"/>
      <c r="E2866" s="60" t="n"/>
      <c r="F2866" s="53" t="n"/>
      <c r="G2866" s="61" t="str">
        <f>IF(OR(COUNTA(A2866:E2866)=0,D2866=""),"",IFERROR(INDEX(ca_fam,MATCH(D2866,ca_name,0))&amp;"",""))</f>
        <v/>
      </c>
      <c r="H2866" s="58" t="str">
        <f>IF(OR(COUNTA(A2866:E2866)=0,D2866=""),"",IFERROR(INDEX(ca_type,MATCH(D2866,ca_name,0))&amp;"",""))</f>
        <v/>
      </c>
      <c r="I2866" s="58" t="str">
        <f>IF(COUNTA(A2866:E2866)=0,"",IF(N(A2866)&lt;=0,"Date manquante ou invalide",IF(B2866="","Équipe manquante",IF(ISNA(MATCH(B2866,eq_code,0)),"Équipe inconnue",IF(C2866="","Poste manquant",IF(ISNA(MATCH(C2866,po_code,0)),"Poste inconnu",IF(D2866="","Cause manquante",IF(ISNA(MATCH(D2866,ca_name,0)),"Cause inconnue",IF(H2866="","Cause à compléter dans Paramètres",IF(OR(NOT(ISNUMBER(E2866)),N(E2866)&lt;=0,N(E2866)&gt;1440),"Durée invalide",IF(COUNTIFS(sj_date,A2866,sj_eq,B2866,sj_po,C2866)=0,"Pas de saisie journalière ce jour-là","OK")))))))))))</f>
        <v/>
      </c>
      <c r="J2866">
        <f>IF(OR(I2866="OK",I2866="Pas de saisie journalière ce jour-là"),E2866,0)</f>
        <v>0.0</v>
      </c>
      <c r="K2866">
        <f>IF(AND(J2866&gt;0,A2866&gt;=p_from,A2866&lt;=p_to),1,0)</f>
        <v>0.0</v>
      </c>
      <c r="L2866">
        <f>IF(AND(K2866=1,OR(pa_po="",C2866=pa_po),OR(pa_eq="",B2866=pa_eq)),1,0)</f>
        <v>0.0</v>
      </c>
    </row>
    <row r="2867">
      <c r="A2867" s="51" t="n"/>
      <c r="B2867" s="52" t="n"/>
      <c r="C2867" s="52" t="n"/>
      <c r="D2867" s="53" t="n"/>
      <c r="E2867" s="60" t="n"/>
      <c r="F2867" s="53" t="n"/>
      <c r="G2867" s="61" t="str">
        <f>IF(OR(COUNTA(A2867:E2867)=0,D2867=""),"",IFERROR(INDEX(ca_fam,MATCH(D2867,ca_name,0))&amp;"",""))</f>
        <v/>
      </c>
      <c r="H2867" s="58" t="str">
        <f>IF(OR(COUNTA(A2867:E2867)=0,D2867=""),"",IFERROR(INDEX(ca_type,MATCH(D2867,ca_name,0))&amp;"",""))</f>
        <v/>
      </c>
      <c r="I2867" s="58" t="str">
        <f>IF(COUNTA(A2867:E2867)=0,"",IF(N(A2867)&lt;=0,"Date manquante ou invalide",IF(B2867="","Équipe manquante",IF(ISNA(MATCH(B2867,eq_code,0)),"Équipe inconnue",IF(C2867="","Poste manquant",IF(ISNA(MATCH(C2867,po_code,0)),"Poste inconnu",IF(D2867="","Cause manquante",IF(ISNA(MATCH(D2867,ca_name,0)),"Cause inconnue",IF(H2867="","Cause à compléter dans Paramètres",IF(OR(NOT(ISNUMBER(E2867)),N(E2867)&lt;=0,N(E2867)&gt;1440),"Durée invalide",IF(COUNTIFS(sj_date,A2867,sj_eq,B2867,sj_po,C2867)=0,"Pas de saisie journalière ce jour-là","OK")))))))))))</f>
        <v/>
      </c>
      <c r="J2867">
        <f>IF(OR(I2867="OK",I2867="Pas de saisie journalière ce jour-là"),E2867,0)</f>
        <v>0.0</v>
      </c>
      <c r="K2867">
        <f>IF(AND(J2867&gt;0,A2867&gt;=p_from,A2867&lt;=p_to),1,0)</f>
        <v>0.0</v>
      </c>
      <c r="L2867">
        <f>IF(AND(K2867=1,OR(pa_po="",C2867=pa_po),OR(pa_eq="",B2867=pa_eq)),1,0)</f>
        <v>0.0</v>
      </c>
    </row>
    <row r="2868">
      <c r="A2868" s="51" t="n"/>
      <c r="B2868" s="52" t="n"/>
      <c r="C2868" s="52" t="n"/>
      <c r="D2868" s="53" t="n"/>
      <c r="E2868" s="60" t="n"/>
      <c r="F2868" s="53" t="n"/>
      <c r="G2868" s="61" t="str">
        <f>IF(OR(COUNTA(A2868:E2868)=0,D2868=""),"",IFERROR(INDEX(ca_fam,MATCH(D2868,ca_name,0))&amp;"",""))</f>
        <v/>
      </c>
      <c r="H2868" s="58" t="str">
        <f>IF(OR(COUNTA(A2868:E2868)=0,D2868=""),"",IFERROR(INDEX(ca_type,MATCH(D2868,ca_name,0))&amp;"",""))</f>
        <v/>
      </c>
      <c r="I2868" s="58" t="str">
        <f>IF(COUNTA(A2868:E2868)=0,"",IF(N(A2868)&lt;=0,"Date manquante ou invalide",IF(B2868="","Équipe manquante",IF(ISNA(MATCH(B2868,eq_code,0)),"Équipe inconnue",IF(C2868="","Poste manquant",IF(ISNA(MATCH(C2868,po_code,0)),"Poste inconnu",IF(D2868="","Cause manquante",IF(ISNA(MATCH(D2868,ca_name,0)),"Cause inconnue",IF(H2868="","Cause à compléter dans Paramètres",IF(OR(NOT(ISNUMBER(E2868)),N(E2868)&lt;=0,N(E2868)&gt;1440),"Durée invalide",IF(COUNTIFS(sj_date,A2868,sj_eq,B2868,sj_po,C2868)=0,"Pas de saisie journalière ce jour-là","OK")))))))))))</f>
        <v/>
      </c>
      <c r="J2868">
        <f>IF(OR(I2868="OK",I2868="Pas de saisie journalière ce jour-là"),E2868,0)</f>
        <v>0.0</v>
      </c>
      <c r="K2868">
        <f>IF(AND(J2868&gt;0,A2868&gt;=p_from,A2868&lt;=p_to),1,0)</f>
        <v>0.0</v>
      </c>
      <c r="L2868">
        <f>IF(AND(K2868=1,OR(pa_po="",C2868=pa_po),OR(pa_eq="",B2868=pa_eq)),1,0)</f>
        <v>0.0</v>
      </c>
    </row>
    <row r="2869">
      <c r="A2869" s="51" t="n"/>
      <c r="B2869" s="52" t="n"/>
      <c r="C2869" s="52" t="n"/>
      <c r="D2869" s="53" t="n"/>
      <c r="E2869" s="60" t="n"/>
      <c r="F2869" s="53" t="n"/>
      <c r="G2869" s="61" t="str">
        <f>IF(OR(COUNTA(A2869:E2869)=0,D2869=""),"",IFERROR(INDEX(ca_fam,MATCH(D2869,ca_name,0))&amp;"",""))</f>
        <v/>
      </c>
      <c r="H2869" s="58" t="str">
        <f>IF(OR(COUNTA(A2869:E2869)=0,D2869=""),"",IFERROR(INDEX(ca_type,MATCH(D2869,ca_name,0))&amp;"",""))</f>
        <v/>
      </c>
      <c r="I2869" s="58" t="str">
        <f>IF(COUNTA(A2869:E2869)=0,"",IF(N(A2869)&lt;=0,"Date manquante ou invalide",IF(B2869="","Équipe manquante",IF(ISNA(MATCH(B2869,eq_code,0)),"Équipe inconnue",IF(C2869="","Poste manquant",IF(ISNA(MATCH(C2869,po_code,0)),"Poste inconnu",IF(D2869="","Cause manquante",IF(ISNA(MATCH(D2869,ca_name,0)),"Cause inconnue",IF(H2869="","Cause à compléter dans Paramètres",IF(OR(NOT(ISNUMBER(E2869)),N(E2869)&lt;=0,N(E2869)&gt;1440),"Durée invalide",IF(COUNTIFS(sj_date,A2869,sj_eq,B2869,sj_po,C2869)=0,"Pas de saisie journalière ce jour-là","OK")))))))))))</f>
        <v/>
      </c>
      <c r="J2869">
        <f>IF(OR(I2869="OK",I2869="Pas de saisie journalière ce jour-là"),E2869,0)</f>
        <v>0.0</v>
      </c>
      <c r="K2869">
        <f>IF(AND(J2869&gt;0,A2869&gt;=p_from,A2869&lt;=p_to),1,0)</f>
        <v>0.0</v>
      </c>
      <c r="L2869">
        <f>IF(AND(K2869=1,OR(pa_po="",C2869=pa_po),OR(pa_eq="",B2869=pa_eq)),1,0)</f>
        <v>0.0</v>
      </c>
    </row>
    <row r="2870">
      <c r="A2870" s="51" t="n"/>
      <c r="B2870" s="52" t="n"/>
      <c r="C2870" s="52" t="n"/>
      <c r="D2870" s="53" t="n"/>
      <c r="E2870" s="60" t="n"/>
      <c r="F2870" s="53" t="n"/>
      <c r="G2870" s="61" t="str">
        <f>IF(OR(COUNTA(A2870:E2870)=0,D2870=""),"",IFERROR(INDEX(ca_fam,MATCH(D2870,ca_name,0))&amp;"",""))</f>
        <v/>
      </c>
      <c r="H2870" s="58" t="str">
        <f>IF(OR(COUNTA(A2870:E2870)=0,D2870=""),"",IFERROR(INDEX(ca_type,MATCH(D2870,ca_name,0))&amp;"",""))</f>
        <v/>
      </c>
      <c r="I2870" s="58" t="str">
        <f>IF(COUNTA(A2870:E2870)=0,"",IF(N(A2870)&lt;=0,"Date manquante ou invalide",IF(B2870="","Équipe manquante",IF(ISNA(MATCH(B2870,eq_code,0)),"Équipe inconnue",IF(C2870="","Poste manquant",IF(ISNA(MATCH(C2870,po_code,0)),"Poste inconnu",IF(D2870="","Cause manquante",IF(ISNA(MATCH(D2870,ca_name,0)),"Cause inconnue",IF(H2870="","Cause à compléter dans Paramètres",IF(OR(NOT(ISNUMBER(E2870)),N(E2870)&lt;=0,N(E2870)&gt;1440),"Durée invalide",IF(COUNTIFS(sj_date,A2870,sj_eq,B2870,sj_po,C2870)=0,"Pas de saisie journalière ce jour-là","OK")))))))))))</f>
        <v/>
      </c>
      <c r="J2870">
        <f>IF(OR(I2870="OK",I2870="Pas de saisie journalière ce jour-là"),E2870,0)</f>
        <v>0.0</v>
      </c>
      <c r="K2870">
        <f>IF(AND(J2870&gt;0,A2870&gt;=p_from,A2870&lt;=p_to),1,0)</f>
        <v>0.0</v>
      </c>
      <c r="L2870">
        <f>IF(AND(K2870=1,OR(pa_po="",C2870=pa_po),OR(pa_eq="",B2870=pa_eq)),1,0)</f>
        <v>0.0</v>
      </c>
    </row>
    <row r="2871">
      <c r="A2871" s="51" t="n"/>
      <c r="B2871" s="52" t="n"/>
      <c r="C2871" s="52" t="n"/>
      <c r="D2871" s="53" t="n"/>
      <c r="E2871" s="60" t="n"/>
      <c r="F2871" s="53" t="n"/>
      <c r="G2871" s="61" t="str">
        <f>IF(OR(COUNTA(A2871:E2871)=0,D2871=""),"",IFERROR(INDEX(ca_fam,MATCH(D2871,ca_name,0))&amp;"",""))</f>
        <v/>
      </c>
      <c r="H2871" s="58" t="str">
        <f>IF(OR(COUNTA(A2871:E2871)=0,D2871=""),"",IFERROR(INDEX(ca_type,MATCH(D2871,ca_name,0))&amp;"",""))</f>
        <v/>
      </c>
      <c r="I2871" s="58" t="str">
        <f>IF(COUNTA(A2871:E2871)=0,"",IF(N(A2871)&lt;=0,"Date manquante ou invalide",IF(B2871="","Équipe manquante",IF(ISNA(MATCH(B2871,eq_code,0)),"Équipe inconnue",IF(C2871="","Poste manquant",IF(ISNA(MATCH(C2871,po_code,0)),"Poste inconnu",IF(D2871="","Cause manquante",IF(ISNA(MATCH(D2871,ca_name,0)),"Cause inconnue",IF(H2871="","Cause à compléter dans Paramètres",IF(OR(NOT(ISNUMBER(E2871)),N(E2871)&lt;=0,N(E2871)&gt;1440),"Durée invalide",IF(COUNTIFS(sj_date,A2871,sj_eq,B2871,sj_po,C2871)=0,"Pas de saisie journalière ce jour-là","OK")))))))))))</f>
        <v/>
      </c>
      <c r="J2871">
        <f>IF(OR(I2871="OK",I2871="Pas de saisie journalière ce jour-là"),E2871,0)</f>
        <v>0.0</v>
      </c>
      <c r="K2871">
        <f>IF(AND(J2871&gt;0,A2871&gt;=p_from,A2871&lt;=p_to),1,0)</f>
        <v>0.0</v>
      </c>
      <c r="L2871">
        <f>IF(AND(K2871=1,OR(pa_po="",C2871=pa_po),OR(pa_eq="",B2871=pa_eq)),1,0)</f>
        <v>0.0</v>
      </c>
    </row>
    <row r="2872">
      <c r="A2872" s="51" t="n"/>
      <c r="B2872" s="52" t="n"/>
      <c r="C2872" s="52" t="n"/>
      <c r="D2872" s="53" t="n"/>
      <c r="E2872" s="60" t="n"/>
      <c r="F2872" s="53" t="n"/>
      <c r="G2872" s="61" t="str">
        <f>IF(OR(COUNTA(A2872:E2872)=0,D2872=""),"",IFERROR(INDEX(ca_fam,MATCH(D2872,ca_name,0))&amp;"",""))</f>
        <v/>
      </c>
      <c r="H2872" s="58" t="str">
        <f>IF(OR(COUNTA(A2872:E2872)=0,D2872=""),"",IFERROR(INDEX(ca_type,MATCH(D2872,ca_name,0))&amp;"",""))</f>
        <v/>
      </c>
      <c r="I2872" s="58" t="str">
        <f>IF(COUNTA(A2872:E2872)=0,"",IF(N(A2872)&lt;=0,"Date manquante ou invalide",IF(B2872="","Équipe manquante",IF(ISNA(MATCH(B2872,eq_code,0)),"Équipe inconnue",IF(C2872="","Poste manquant",IF(ISNA(MATCH(C2872,po_code,0)),"Poste inconnu",IF(D2872="","Cause manquante",IF(ISNA(MATCH(D2872,ca_name,0)),"Cause inconnue",IF(H2872="","Cause à compléter dans Paramètres",IF(OR(NOT(ISNUMBER(E2872)),N(E2872)&lt;=0,N(E2872)&gt;1440),"Durée invalide",IF(COUNTIFS(sj_date,A2872,sj_eq,B2872,sj_po,C2872)=0,"Pas de saisie journalière ce jour-là","OK")))))))))))</f>
        <v/>
      </c>
      <c r="J2872">
        <f>IF(OR(I2872="OK",I2872="Pas de saisie journalière ce jour-là"),E2872,0)</f>
        <v>0.0</v>
      </c>
      <c r="K2872">
        <f>IF(AND(J2872&gt;0,A2872&gt;=p_from,A2872&lt;=p_to),1,0)</f>
        <v>0.0</v>
      </c>
      <c r="L2872">
        <f>IF(AND(K2872=1,OR(pa_po="",C2872=pa_po),OR(pa_eq="",B2872=pa_eq)),1,0)</f>
        <v>0.0</v>
      </c>
    </row>
    <row r="2873">
      <c r="A2873" s="51" t="n"/>
      <c r="B2873" s="52" t="n"/>
      <c r="C2873" s="52" t="n"/>
      <c r="D2873" s="53" t="n"/>
      <c r="E2873" s="60" t="n"/>
      <c r="F2873" s="53" t="n"/>
      <c r="G2873" s="61" t="str">
        <f>IF(OR(COUNTA(A2873:E2873)=0,D2873=""),"",IFERROR(INDEX(ca_fam,MATCH(D2873,ca_name,0))&amp;"",""))</f>
        <v/>
      </c>
      <c r="H2873" s="58" t="str">
        <f>IF(OR(COUNTA(A2873:E2873)=0,D2873=""),"",IFERROR(INDEX(ca_type,MATCH(D2873,ca_name,0))&amp;"",""))</f>
        <v/>
      </c>
      <c r="I2873" s="58" t="str">
        <f>IF(COUNTA(A2873:E2873)=0,"",IF(N(A2873)&lt;=0,"Date manquante ou invalide",IF(B2873="","Équipe manquante",IF(ISNA(MATCH(B2873,eq_code,0)),"Équipe inconnue",IF(C2873="","Poste manquant",IF(ISNA(MATCH(C2873,po_code,0)),"Poste inconnu",IF(D2873="","Cause manquante",IF(ISNA(MATCH(D2873,ca_name,0)),"Cause inconnue",IF(H2873="","Cause à compléter dans Paramètres",IF(OR(NOT(ISNUMBER(E2873)),N(E2873)&lt;=0,N(E2873)&gt;1440),"Durée invalide",IF(COUNTIFS(sj_date,A2873,sj_eq,B2873,sj_po,C2873)=0,"Pas de saisie journalière ce jour-là","OK")))))))))))</f>
        <v/>
      </c>
      <c r="J2873">
        <f>IF(OR(I2873="OK",I2873="Pas de saisie journalière ce jour-là"),E2873,0)</f>
        <v>0.0</v>
      </c>
      <c r="K2873">
        <f>IF(AND(J2873&gt;0,A2873&gt;=p_from,A2873&lt;=p_to),1,0)</f>
        <v>0.0</v>
      </c>
      <c r="L2873">
        <f>IF(AND(K2873=1,OR(pa_po="",C2873=pa_po),OR(pa_eq="",B2873=pa_eq)),1,0)</f>
        <v>0.0</v>
      </c>
    </row>
    <row r="2874">
      <c r="A2874" s="51" t="n"/>
      <c r="B2874" s="52" t="n"/>
      <c r="C2874" s="52" t="n"/>
      <c r="D2874" s="53" t="n"/>
      <c r="E2874" s="60" t="n"/>
      <c r="F2874" s="53" t="n"/>
      <c r="G2874" s="61" t="str">
        <f>IF(OR(COUNTA(A2874:E2874)=0,D2874=""),"",IFERROR(INDEX(ca_fam,MATCH(D2874,ca_name,0))&amp;"",""))</f>
        <v/>
      </c>
      <c r="H2874" s="58" t="str">
        <f>IF(OR(COUNTA(A2874:E2874)=0,D2874=""),"",IFERROR(INDEX(ca_type,MATCH(D2874,ca_name,0))&amp;"",""))</f>
        <v/>
      </c>
      <c r="I2874" s="58" t="str">
        <f>IF(COUNTA(A2874:E2874)=0,"",IF(N(A2874)&lt;=0,"Date manquante ou invalide",IF(B2874="","Équipe manquante",IF(ISNA(MATCH(B2874,eq_code,0)),"Équipe inconnue",IF(C2874="","Poste manquant",IF(ISNA(MATCH(C2874,po_code,0)),"Poste inconnu",IF(D2874="","Cause manquante",IF(ISNA(MATCH(D2874,ca_name,0)),"Cause inconnue",IF(H2874="","Cause à compléter dans Paramètres",IF(OR(NOT(ISNUMBER(E2874)),N(E2874)&lt;=0,N(E2874)&gt;1440),"Durée invalide",IF(COUNTIFS(sj_date,A2874,sj_eq,B2874,sj_po,C2874)=0,"Pas de saisie journalière ce jour-là","OK")))))))))))</f>
        <v/>
      </c>
      <c r="J2874">
        <f>IF(OR(I2874="OK",I2874="Pas de saisie journalière ce jour-là"),E2874,0)</f>
        <v>0.0</v>
      </c>
      <c r="K2874">
        <f>IF(AND(J2874&gt;0,A2874&gt;=p_from,A2874&lt;=p_to),1,0)</f>
        <v>0.0</v>
      </c>
      <c r="L2874">
        <f>IF(AND(K2874=1,OR(pa_po="",C2874=pa_po),OR(pa_eq="",B2874=pa_eq)),1,0)</f>
        <v>0.0</v>
      </c>
    </row>
    <row r="2875">
      <c r="A2875" s="51" t="n"/>
      <c r="B2875" s="52" t="n"/>
      <c r="C2875" s="52" t="n"/>
      <c r="D2875" s="53" t="n"/>
      <c r="E2875" s="60" t="n"/>
      <c r="F2875" s="53" t="n"/>
      <c r="G2875" s="61" t="str">
        <f>IF(OR(COUNTA(A2875:E2875)=0,D2875=""),"",IFERROR(INDEX(ca_fam,MATCH(D2875,ca_name,0))&amp;"",""))</f>
        <v/>
      </c>
      <c r="H2875" s="58" t="str">
        <f>IF(OR(COUNTA(A2875:E2875)=0,D2875=""),"",IFERROR(INDEX(ca_type,MATCH(D2875,ca_name,0))&amp;"",""))</f>
        <v/>
      </c>
      <c r="I2875" s="58" t="str">
        <f>IF(COUNTA(A2875:E2875)=0,"",IF(N(A2875)&lt;=0,"Date manquante ou invalide",IF(B2875="","Équipe manquante",IF(ISNA(MATCH(B2875,eq_code,0)),"Équipe inconnue",IF(C2875="","Poste manquant",IF(ISNA(MATCH(C2875,po_code,0)),"Poste inconnu",IF(D2875="","Cause manquante",IF(ISNA(MATCH(D2875,ca_name,0)),"Cause inconnue",IF(H2875="","Cause à compléter dans Paramètres",IF(OR(NOT(ISNUMBER(E2875)),N(E2875)&lt;=0,N(E2875)&gt;1440),"Durée invalide",IF(COUNTIFS(sj_date,A2875,sj_eq,B2875,sj_po,C2875)=0,"Pas de saisie journalière ce jour-là","OK")))))))))))</f>
        <v/>
      </c>
      <c r="J2875">
        <f>IF(OR(I2875="OK",I2875="Pas de saisie journalière ce jour-là"),E2875,0)</f>
        <v>0.0</v>
      </c>
      <c r="K2875">
        <f>IF(AND(J2875&gt;0,A2875&gt;=p_from,A2875&lt;=p_to),1,0)</f>
        <v>0.0</v>
      </c>
      <c r="L2875">
        <f>IF(AND(K2875=1,OR(pa_po="",C2875=pa_po),OR(pa_eq="",B2875=pa_eq)),1,0)</f>
        <v>0.0</v>
      </c>
    </row>
    <row r="2876">
      <c r="A2876" s="51" t="n"/>
      <c r="B2876" s="52" t="n"/>
      <c r="C2876" s="52" t="n"/>
      <c r="D2876" s="53" t="n"/>
      <c r="E2876" s="60" t="n"/>
      <c r="F2876" s="53" t="n"/>
      <c r="G2876" s="61" t="str">
        <f>IF(OR(COUNTA(A2876:E2876)=0,D2876=""),"",IFERROR(INDEX(ca_fam,MATCH(D2876,ca_name,0))&amp;"",""))</f>
        <v/>
      </c>
      <c r="H2876" s="58" t="str">
        <f>IF(OR(COUNTA(A2876:E2876)=0,D2876=""),"",IFERROR(INDEX(ca_type,MATCH(D2876,ca_name,0))&amp;"",""))</f>
        <v/>
      </c>
      <c r="I2876" s="58" t="str">
        <f>IF(COUNTA(A2876:E2876)=0,"",IF(N(A2876)&lt;=0,"Date manquante ou invalide",IF(B2876="","Équipe manquante",IF(ISNA(MATCH(B2876,eq_code,0)),"Équipe inconnue",IF(C2876="","Poste manquant",IF(ISNA(MATCH(C2876,po_code,0)),"Poste inconnu",IF(D2876="","Cause manquante",IF(ISNA(MATCH(D2876,ca_name,0)),"Cause inconnue",IF(H2876="","Cause à compléter dans Paramètres",IF(OR(NOT(ISNUMBER(E2876)),N(E2876)&lt;=0,N(E2876)&gt;1440),"Durée invalide",IF(COUNTIFS(sj_date,A2876,sj_eq,B2876,sj_po,C2876)=0,"Pas de saisie journalière ce jour-là","OK")))))))))))</f>
        <v/>
      </c>
      <c r="J2876">
        <f>IF(OR(I2876="OK",I2876="Pas de saisie journalière ce jour-là"),E2876,0)</f>
        <v>0.0</v>
      </c>
      <c r="K2876">
        <f>IF(AND(J2876&gt;0,A2876&gt;=p_from,A2876&lt;=p_to),1,0)</f>
        <v>0.0</v>
      </c>
      <c r="L2876">
        <f>IF(AND(K2876=1,OR(pa_po="",C2876=pa_po),OR(pa_eq="",B2876=pa_eq)),1,0)</f>
        <v>0.0</v>
      </c>
    </row>
    <row r="2877">
      <c r="A2877" s="51" t="n"/>
      <c r="B2877" s="52" t="n"/>
      <c r="C2877" s="52" t="n"/>
      <c r="D2877" s="53" t="n"/>
      <c r="E2877" s="60" t="n"/>
      <c r="F2877" s="53" t="n"/>
      <c r="G2877" s="61" t="str">
        <f>IF(OR(COUNTA(A2877:E2877)=0,D2877=""),"",IFERROR(INDEX(ca_fam,MATCH(D2877,ca_name,0))&amp;"",""))</f>
        <v/>
      </c>
      <c r="H2877" s="58" t="str">
        <f>IF(OR(COUNTA(A2877:E2877)=0,D2877=""),"",IFERROR(INDEX(ca_type,MATCH(D2877,ca_name,0))&amp;"",""))</f>
        <v/>
      </c>
      <c r="I2877" s="58" t="str">
        <f>IF(COUNTA(A2877:E2877)=0,"",IF(N(A2877)&lt;=0,"Date manquante ou invalide",IF(B2877="","Équipe manquante",IF(ISNA(MATCH(B2877,eq_code,0)),"Équipe inconnue",IF(C2877="","Poste manquant",IF(ISNA(MATCH(C2877,po_code,0)),"Poste inconnu",IF(D2877="","Cause manquante",IF(ISNA(MATCH(D2877,ca_name,0)),"Cause inconnue",IF(H2877="","Cause à compléter dans Paramètres",IF(OR(NOT(ISNUMBER(E2877)),N(E2877)&lt;=0,N(E2877)&gt;1440),"Durée invalide",IF(COUNTIFS(sj_date,A2877,sj_eq,B2877,sj_po,C2877)=0,"Pas de saisie journalière ce jour-là","OK")))))))))))</f>
        <v/>
      </c>
      <c r="J2877">
        <f>IF(OR(I2877="OK",I2877="Pas de saisie journalière ce jour-là"),E2877,0)</f>
        <v>0.0</v>
      </c>
      <c r="K2877">
        <f>IF(AND(J2877&gt;0,A2877&gt;=p_from,A2877&lt;=p_to),1,0)</f>
        <v>0.0</v>
      </c>
      <c r="L2877">
        <f>IF(AND(K2877=1,OR(pa_po="",C2877=pa_po),OR(pa_eq="",B2877=pa_eq)),1,0)</f>
        <v>0.0</v>
      </c>
    </row>
    <row r="2878">
      <c r="A2878" s="51" t="n"/>
      <c r="B2878" s="52" t="n"/>
      <c r="C2878" s="52" t="n"/>
      <c r="D2878" s="53" t="n"/>
      <c r="E2878" s="60" t="n"/>
      <c r="F2878" s="53" t="n"/>
      <c r="G2878" s="61" t="str">
        <f>IF(OR(COUNTA(A2878:E2878)=0,D2878=""),"",IFERROR(INDEX(ca_fam,MATCH(D2878,ca_name,0))&amp;"",""))</f>
        <v/>
      </c>
      <c r="H2878" s="58" t="str">
        <f>IF(OR(COUNTA(A2878:E2878)=0,D2878=""),"",IFERROR(INDEX(ca_type,MATCH(D2878,ca_name,0))&amp;"",""))</f>
        <v/>
      </c>
      <c r="I2878" s="58" t="str">
        <f>IF(COUNTA(A2878:E2878)=0,"",IF(N(A2878)&lt;=0,"Date manquante ou invalide",IF(B2878="","Équipe manquante",IF(ISNA(MATCH(B2878,eq_code,0)),"Équipe inconnue",IF(C2878="","Poste manquant",IF(ISNA(MATCH(C2878,po_code,0)),"Poste inconnu",IF(D2878="","Cause manquante",IF(ISNA(MATCH(D2878,ca_name,0)),"Cause inconnue",IF(H2878="","Cause à compléter dans Paramètres",IF(OR(NOT(ISNUMBER(E2878)),N(E2878)&lt;=0,N(E2878)&gt;1440),"Durée invalide",IF(COUNTIFS(sj_date,A2878,sj_eq,B2878,sj_po,C2878)=0,"Pas de saisie journalière ce jour-là","OK")))))))))))</f>
        <v/>
      </c>
      <c r="J2878">
        <f>IF(OR(I2878="OK",I2878="Pas de saisie journalière ce jour-là"),E2878,0)</f>
        <v>0.0</v>
      </c>
      <c r="K2878">
        <f>IF(AND(J2878&gt;0,A2878&gt;=p_from,A2878&lt;=p_to),1,0)</f>
        <v>0.0</v>
      </c>
      <c r="L2878">
        <f>IF(AND(K2878=1,OR(pa_po="",C2878=pa_po),OR(pa_eq="",B2878=pa_eq)),1,0)</f>
        <v>0.0</v>
      </c>
    </row>
    <row r="2879">
      <c r="A2879" s="51" t="n"/>
      <c r="B2879" s="52" t="n"/>
      <c r="C2879" s="52" t="n"/>
      <c r="D2879" s="53" t="n"/>
      <c r="E2879" s="60" t="n"/>
      <c r="F2879" s="53" t="n"/>
      <c r="G2879" s="61" t="str">
        <f>IF(OR(COUNTA(A2879:E2879)=0,D2879=""),"",IFERROR(INDEX(ca_fam,MATCH(D2879,ca_name,0))&amp;"",""))</f>
        <v/>
      </c>
      <c r="H2879" s="58" t="str">
        <f>IF(OR(COUNTA(A2879:E2879)=0,D2879=""),"",IFERROR(INDEX(ca_type,MATCH(D2879,ca_name,0))&amp;"",""))</f>
        <v/>
      </c>
      <c r="I2879" s="58" t="str">
        <f>IF(COUNTA(A2879:E2879)=0,"",IF(N(A2879)&lt;=0,"Date manquante ou invalide",IF(B2879="","Équipe manquante",IF(ISNA(MATCH(B2879,eq_code,0)),"Équipe inconnue",IF(C2879="","Poste manquant",IF(ISNA(MATCH(C2879,po_code,0)),"Poste inconnu",IF(D2879="","Cause manquante",IF(ISNA(MATCH(D2879,ca_name,0)),"Cause inconnue",IF(H2879="","Cause à compléter dans Paramètres",IF(OR(NOT(ISNUMBER(E2879)),N(E2879)&lt;=0,N(E2879)&gt;1440),"Durée invalide",IF(COUNTIFS(sj_date,A2879,sj_eq,B2879,sj_po,C2879)=0,"Pas de saisie journalière ce jour-là","OK")))))))))))</f>
        <v/>
      </c>
      <c r="J2879">
        <f>IF(OR(I2879="OK",I2879="Pas de saisie journalière ce jour-là"),E2879,0)</f>
        <v>0.0</v>
      </c>
      <c r="K2879">
        <f>IF(AND(J2879&gt;0,A2879&gt;=p_from,A2879&lt;=p_to),1,0)</f>
        <v>0.0</v>
      </c>
      <c r="L2879">
        <f>IF(AND(K2879=1,OR(pa_po="",C2879=pa_po),OR(pa_eq="",B2879=pa_eq)),1,0)</f>
        <v>0.0</v>
      </c>
    </row>
    <row r="2880">
      <c r="A2880" s="51" t="n"/>
      <c r="B2880" s="52" t="n"/>
      <c r="C2880" s="52" t="n"/>
      <c r="D2880" s="53" t="n"/>
      <c r="E2880" s="60" t="n"/>
      <c r="F2880" s="53" t="n"/>
      <c r="G2880" s="61" t="str">
        <f>IF(OR(COUNTA(A2880:E2880)=0,D2880=""),"",IFERROR(INDEX(ca_fam,MATCH(D2880,ca_name,0))&amp;"",""))</f>
        <v/>
      </c>
      <c r="H2880" s="58" t="str">
        <f>IF(OR(COUNTA(A2880:E2880)=0,D2880=""),"",IFERROR(INDEX(ca_type,MATCH(D2880,ca_name,0))&amp;"",""))</f>
        <v/>
      </c>
      <c r="I2880" s="58" t="str">
        <f>IF(COUNTA(A2880:E2880)=0,"",IF(N(A2880)&lt;=0,"Date manquante ou invalide",IF(B2880="","Équipe manquante",IF(ISNA(MATCH(B2880,eq_code,0)),"Équipe inconnue",IF(C2880="","Poste manquant",IF(ISNA(MATCH(C2880,po_code,0)),"Poste inconnu",IF(D2880="","Cause manquante",IF(ISNA(MATCH(D2880,ca_name,0)),"Cause inconnue",IF(H2880="","Cause à compléter dans Paramètres",IF(OR(NOT(ISNUMBER(E2880)),N(E2880)&lt;=0,N(E2880)&gt;1440),"Durée invalide",IF(COUNTIFS(sj_date,A2880,sj_eq,B2880,sj_po,C2880)=0,"Pas de saisie journalière ce jour-là","OK")))))))))))</f>
        <v/>
      </c>
      <c r="J2880">
        <f>IF(OR(I2880="OK",I2880="Pas de saisie journalière ce jour-là"),E2880,0)</f>
        <v>0.0</v>
      </c>
      <c r="K2880">
        <f>IF(AND(J2880&gt;0,A2880&gt;=p_from,A2880&lt;=p_to),1,0)</f>
        <v>0.0</v>
      </c>
      <c r="L2880">
        <f>IF(AND(K2880=1,OR(pa_po="",C2880=pa_po),OR(pa_eq="",B2880=pa_eq)),1,0)</f>
        <v>0.0</v>
      </c>
    </row>
    <row r="2881">
      <c r="A2881" s="51" t="n"/>
      <c r="B2881" s="52" t="n"/>
      <c r="C2881" s="52" t="n"/>
      <c r="D2881" s="53" t="n"/>
      <c r="E2881" s="60" t="n"/>
      <c r="F2881" s="53" t="n"/>
      <c r="G2881" s="61" t="str">
        <f>IF(OR(COUNTA(A2881:E2881)=0,D2881=""),"",IFERROR(INDEX(ca_fam,MATCH(D2881,ca_name,0))&amp;"",""))</f>
        <v/>
      </c>
      <c r="H2881" s="58" t="str">
        <f>IF(OR(COUNTA(A2881:E2881)=0,D2881=""),"",IFERROR(INDEX(ca_type,MATCH(D2881,ca_name,0))&amp;"",""))</f>
        <v/>
      </c>
      <c r="I2881" s="58" t="str">
        <f>IF(COUNTA(A2881:E2881)=0,"",IF(N(A2881)&lt;=0,"Date manquante ou invalide",IF(B2881="","Équipe manquante",IF(ISNA(MATCH(B2881,eq_code,0)),"Équipe inconnue",IF(C2881="","Poste manquant",IF(ISNA(MATCH(C2881,po_code,0)),"Poste inconnu",IF(D2881="","Cause manquante",IF(ISNA(MATCH(D2881,ca_name,0)),"Cause inconnue",IF(H2881="","Cause à compléter dans Paramètres",IF(OR(NOT(ISNUMBER(E2881)),N(E2881)&lt;=0,N(E2881)&gt;1440),"Durée invalide",IF(COUNTIFS(sj_date,A2881,sj_eq,B2881,sj_po,C2881)=0,"Pas de saisie journalière ce jour-là","OK")))))))))))</f>
        <v/>
      </c>
      <c r="J2881">
        <f>IF(OR(I2881="OK",I2881="Pas de saisie journalière ce jour-là"),E2881,0)</f>
        <v>0.0</v>
      </c>
      <c r="K2881">
        <f>IF(AND(J2881&gt;0,A2881&gt;=p_from,A2881&lt;=p_to),1,0)</f>
        <v>0.0</v>
      </c>
      <c r="L2881">
        <f>IF(AND(K2881=1,OR(pa_po="",C2881=pa_po),OR(pa_eq="",B2881=pa_eq)),1,0)</f>
        <v>0.0</v>
      </c>
    </row>
    <row r="2882">
      <c r="A2882" s="51" t="n"/>
      <c r="B2882" s="52" t="n"/>
      <c r="C2882" s="52" t="n"/>
      <c r="D2882" s="53" t="n"/>
      <c r="E2882" s="60" t="n"/>
      <c r="F2882" s="53" t="n"/>
      <c r="G2882" s="61" t="str">
        <f>IF(OR(COUNTA(A2882:E2882)=0,D2882=""),"",IFERROR(INDEX(ca_fam,MATCH(D2882,ca_name,0))&amp;"",""))</f>
        <v/>
      </c>
      <c r="H2882" s="58" t="str">
        <f>IF(OR(COUNTA(A2882:E2882)=0,D2882=""),"",IFERROR(INDEX(ca_type,MATCH(D2882,ca_name,0))&amp;"",""))</f>
        <v/>
      </c>
      <c r="I2882" s="58" t="str">
        <f>IF(COUNTA(A2882:E2882)=0,"",IF(N(A2882)&lt;=0,"Date manquante ou invalide",IF(B2882="","Équipe manquante",IF(ISNA(MATCH(B2882,eq_code,0)),"Équipe inconnue",IF(C2882="","Poste manquant",IF(ISNA(MATCH(C2882,po_code,0)),"Poste inconnu",IF(D2882="","Cause manquante",IF(ISNA(MATCH(D2882,ca_name,0)),"Cause inconnue",IF(H2882="","Cause à compléter dans Paramètres",IF(OR(NOT(ISNUMBER(E2882)),N(E2882)&lt;=0,N(E2882)&gt;1440),"Durée invalide",IF(COUNTIFS(sj_date,A2882,sj_eq,B2882,sj_po,C2882)=0,"Pas de saisie journalière ce jour-là","OK")))))))))))</f>
        <v/>
      </c>
      <c r="J2882">
        <f>IF(OR(I2882="OK",I2882="Pas de saisie journalière ce jour-là"),E2882,0)</f>
        <v>0.0</v>
      </c>
      <c r="K2882">
        <f>IF(AND(J2882&gt;0,A2882&gt;=p_from,A2882&lt;=p_to),1,0)</f>
        <v>0.0</v>
      </c>
      <c r="L2882">
        <f>IF(AND(K2882=1,OR(pa_po="",C2882=pa_po),OR(pa_eq="",B2882=pa_eq)),1,0)</f>
        <v>0.0</v>
      </c>
    </row>
    <row r="2883">
      <c r="A2883" s="51" t="n"/>
      <c r="B2883" s="52" t="n"/>
      <c r="C2883" s="52" t="n"/>
      <c r="D2883" s="53" t="n"/>
      <c r="E2883" s="60" t="n"/>
      <c r="F2883" s="53" t="n"/>
      <c r="G2883" s="61" t="str">
        <f>IF(OR(COUNTA(A2883:E2883)=0,D2883=""),"",IFERROR(INDEX(ca_fam,MATCH(D2883,ca_name,0))&amp;"",""))</f>
        <v/>
      </c>
      <c r="H2883" s="58" t="str">
        <f>IF(OR(COUNTA(A2883:E2883)=0,D2883=""),"",IFERROR(INDEX(ca_type,MATCH(D2883,ca_name,0))&amp;"",""))</f>
        <v/>
      </c>
      <c r="I2883" s="58" t="str">
        <f>IF(COUNTA(A2883:E2883)=0,"",IF(N(A2883)&lt;=0,"Date manquante ou invalide",IF(B2883="","Équipe manquante",IF(ISNA(MATCH(B2883,eq_code,0)),"Équipe inconnue",IF(C2883="","Poste manquant",IF(ISNA(MATCH(C2883,po_code,0)),"Poste inconnu",IF(D2883="","Cause manquante",IF(ISNA(MATCH(D2883,ca_name,0)),"Cause inconnue",IF(H2883="","Cause à compléter dans Paramètres",IF(OR(NOT(ISNUMBER(E2883)),N(E2883)&lt;=0,N(E2883)&gt;1440),"Durée invalide",IF(COUNTIFS(sj_date,A2883,sj_eq,B2883,sj_po,C2883)=0,"Pas de saisie journalière ce jour-là","OK")))))))))))</f>
        <v/>
      </c>
      <c r="J2883">
        <f>IF(OR(I2883="OK",I2883="Pas de saisie journalière ce jour-là"),E2883,0)</f>
        <v>0.0</v>
      </c>
      <c r="K2883">
        <f>IF(AND(J2883&gt;0,A2883&gt;=p_from,A2883&lt;=p_to),1,0)</f>
        <v>0.0</v>
      </c>
      <c r="L2883">
        <f>IF(AND(K2883=1,OR(pa_po="",C2883=pa_po),OR(pa_eq="",B2883=pa_eq)),1,0)</f>
        <v>0.0</v>
      </c>
    </row>
    <row r="2884">
      <c r="A2884" s="51" t="n"/>
      <c r="B2884" s="52" t="n"/>
      <c r="C2884" s="52" t="n"/>
      <c r="D2884" s="53" t="n"/>
      <c r="E2884" s="60" t="n"/>
      <c r="F2884" s="53" t="n"/>
      <c r="G2884" s="61" t="str">
        <f>IF(OR(COUNTA(A2884:E2884)=0,D2884=""),"",IFERROR(INDEX(ca_fam,MATCH(D2884,ca_name,0))&amp;"",""))</f>
        <v/>
      </c>
      <c r="H2884" s="58" t="str">
        <f>IF(OR(COUNTA(A2884:E2884)=0,D2884=""),"",IFERROR(INDEX(ca_type,MATCH(D2884,ca_name,0))&amp;"",""))</f>
        <v/>
      </c>
      <c r="I2884" s="58" t="str">
        <f>IF(COUNTA(A2884:E2884)=0,"",IF(N(A2884)&lt;=0,"Date manquante ou invalide",IF(B2884="","Équipe manquante",IF(ISNA(MATCH(B2884,eq_code,0)),"Équipe inconnue",IF(C2884="","Poste manquant",IF(ISNA(MATCH(C2884,po_code,0)),"Poste inconnu",IF(D2884="","Cause manquante",IF(ISNA(MATCH(D2884,ca_name,0)),"Cause inconnue",IF(H2884="","Cause à compléter dans Paramètres",IF(OR(NOT(ISNUMBER(E2884)),N(E2884)&lt;=0,N(E2884)&gt;1440),"Durée invalide",IF(COUNTIFS(sj_date,A2884,sj_eq,B2884,sj_po,C2884)=0,"Pas de saisie journalière ce jour-là","OK")))))))))))</f>
        <v/>
      </c>
      <c r="J2884">
        <f>IF(OR(I2884="OK",I2884="Pas de saisie journalière ce jour-là"),E2884,0)</f>
        <v>0.0</v>
      </c>
      <c r="K2884">
        <f>IF(AND(J2884&gt;0,A2884&gt;=p_from,A2884&lt;=p_to),1,0)</f>
        <v>0.0</v>
      </c>
      <c r="L2884">
        <f>IF(AND(K2884=1,OR(pa_po="",C2884=pa_po),OR(pa_eq="",B2884=pa_eq)),1,0)</f>
        <v>0.0</v>
      </c>
    </row>
    <row r="2885">
      <c r="A2885" s="51" t="n"/>
      <c r="B2885" s="52" t="n"/>
      <c r="C2885" s="52" t="n"/>
      <c r="D2885" s="53" t="n"/>
      <c r="E2885" s="60" t="n"/>
      <c r="F2885" s="53" t="n"/>
      <c r="G2885" s="61" t="str">
        <f>IF(OR(COUNTA(A2885:E2885)=0,D2885=""),"",IFERROR(INDEX(ca_fam,MATCH(D2885,ca_name,0))&amp;"",""))</f>
        <v/>
      </c>
      <c r="H2885" s="58" t="str">
        <f>IF(OR(COUNTA(A2885:E2885)=0,D2885=""),"",IFERROR(INDEX(ca_type,MATCH(D2885,ca_name,0))&amp;"",""))</f>
        <v/>
      </c>
      <c r="I2885" s="58" t="str">
        <f>IF(COUNTA(A2885:E2885)=0,"",IF(N(A2885)&lt;=0,"Date manquante ou invalide",IF(B2885="","Équipe manquante",IF(ISNA(MATCH(B2885,eq_code,0)),"Équipe inconnue",IF(C2885="","Poste manquant",IF(ISNA(MATCH(C2885,po_code,0)),"Poste inconnu",IF(D2885="","Cause manquante",IF(ISNA(MATCH(D2885,ca_name,0)),"Cause inconnue",IF(H2885="","Cause à compléter dans Paramètres",IF(OR(NOT(ISNUMBER(E2885)),N(E2885)&lt;=0,N(E2885)&gt;1440),"Durée invalide",IF(COUNTIFS(sj_date,A2885,sj_eq,B2885,sj_po,C2885)=0,"Pas de saisie journalière ce jour-là","OK")))))))))))</f>
        <v/>
      </c>
      <c r="J2885">
        <f>IF(OR(I2885="OK",I2885="Pas de saisie journalière ce jour-là"),E2885,0)</f>
        <v>0.0</v>
      </c>
      <c r="K2885">
        <f>IF(AND(J2885&gt;0,A2885&gt;=p_from,A2885&lt;=p_to),1,0)</f>
        <v>0.0</v>
      </c>
      <c r="L2885">
        <f>IF(AND(K2885=1,OR(pa_po="",C2885=pa_po),OR(pa_eq="",B2885=pa_eq)),1,0)</f>
        <v>0.0</v>
      </c>
    </row>
    <row r="2886">
      <c r="A2886" s="51" t="n"/>
      <c r="B2886" s="52" t="n"/>
      <c r="C2886" s="52" t="n"/>
      <c r="D2886" s="53" t="n"/>
      <c r="E2886" s="60" t="n"/>
      <c r="F2886" s="53" t="n"/>
      <c r="G2886" s="61" t="str">
        <f>IF(OR(COUNTA(A2886:E2886)=0,D2886=""),"",IFERROR(INDEX(ca_fam,MATCH(D2886,ca_name,0))&amp;"",""))</f>
        <v/>
      </c>
      <c r="H2886" s="58" t="str">
        <f>IF(OR(COUNTA(A2886:E2886)=0,D2886=""),"",IFERROR(INDEX(ca_type,MATCH(D2886,ca_name,0))&amp;"",""))</f>
        <v/>
      </c>
      <c r="I2886" s="58" t="str">
        <f>IF(COUNTA(A2886:E2886)=0,"",IF(N(A2886)&lt;=0,"Date manquante ou invalide",IF(B2886="","Équipe manquante",IF(ISNA(MATCH(B2886,eq_code,0)),"Équipe inconnue",IF(C2886="","Poste manquant",IF(ISNA(MATCH(C2886,po_code,0)),"Poste inconnu",IF(D2886="","Cause manquante",IF(ISNA(MATCH(D2886,ca_name,0)),"Cause inconnue",IF(H2886="","Cause à compléter dans Paramètres",IF(OR(NOT(ISNUMBER(E2886)),N(E2886)&lt;=0,N(E2886)&gt;1440),"Durée invalide",IF(COUNTIFS(sj_date,A2886,sj_eq,B2886,sj_po,C2886)=0,"Pas de saisie journalière ce jour-là","OK")))))))))))</f>
        <v/>
      </c>
      <c r="J2886">
        <f>IF(OR(I2886="OK",I2886="Pas de saisie journalière ce jour-là"),E2886,0)</f>
        <v>0.0</v>
      </c>
      <c r="K2886">
        <f>IF(AND(J2886&gt;0,A2886&gt;=p_from,A2886&lt;=p_to),1,0)</f>
        <v>0.0</v>
      </c>
      <c r="L2886">
        <f>IF(AND(K2886=1,OR(pa_po="",C2886=pa_po),OR(pa_eq="",B2886=pa_eq)),1,0)</f>
        <v>0.0</v>
      </c>
    </row>
    <row r="2887">
      <c r="A2887" s="51" t="n"/>
      <c r="B2887" s="52" t="n"/>
      <c r="C2887" s="52" t="n"/>
      <c r="D2887" s="53" t="n"/>
      <c r="E2887" s="60" t="n"/>
      <c r="F2887" s="53" t="n"/>
      <c r="G2887" s="61" t="str">
        <f>IF(OR(COUNTA(A2887:E2887)=0,D2887=""),"",IFERROR(INDEX(ca_fam,MATCH(D2887,ca_name,0))&amp;"",""))</f>
        <v/>
      </c>
      <c r="H2887" s="58" t="str">
        <f>IF(OR(COUNTA(A2887:E2887)=0,D2887=""),"",IFERROR(INDEX(ca_type,MATCH(D2887,ca_name,0))&amp;"",""))</f>
        <v/>
      </c>
      <c r="I2887" s="58" t="str">
        <f>IF(COUNTA(A2887:E2887)=0,"",IF(N(A2887)&lt;=0,"Date manquante ou invalide",IF(B2887="","Équipe manquante",IF(ISNA(MATCH(B2887,eq_code,0)),"Équipe inconnue",IF(C2887="","Poste manquant",IF(ISNA(MATCH(C2887,po_code,0)),"Poste inconnu",IF(D2887="","Cause manquante",IF(ISNA(MATCH(D2887,ca_name,0)),"Cause inconnue",IF(H2887="","Cause à compléter dans Paramètres",IF(OR(NOT(ISNUMBER(E2887)),N(E2887)&lt;=0,N(E2887)&gt;1440),"Durée invalide",IF(COUNTIFS(sj_date,A2887,sj_eq,B2887,sj_po,C2887)=0,"Pas de saisie journalière ce jour-là","OK")))))))))))</f>
        <v/>
      </c>
      <c r="J2887">
        <f>IF(OR(I2887="OK",I2887="Pas de saisie journalière ce jour-là"),E2887,0)</f>
        <v>0.0</v>
      </c>
      <c r="K2887">
        <f>IF(AND(J2887&gt;0,A2887&gt;=p_from,A2887&lt;=p_to),1,0)</f>
        <v>0.0</v>
      </c>
      <c r="L2887">
        <f>IF(AND(K2887=1,OR(pa_po="",C2887=pa_po),OR(pa_eq="",B2887=pa_eq)),1,0)</f>
        <v>0.0</v>
      </c>
    </row>
    <row r="2888">
      <c r="A2888" s="51" t="n"/>
      <c r="B2888" s="52" t="n"/>
      <c r="C2888" s="52" t="n"/>
      <c r="D2888" s="53" t="n"/>
      <c r="E2888" s="60" t="n"/>
      <c r="F2888" s="53" t="n"/>
      <c r="G2888" s="61" t="str">
        <f>IF(OR(COUNTA(A2888:E2888)=0,D2888=""),"",IFERROR(INDEX(ca_fam,MATCH(D2888,ca_name,0))&amp;"",""))</f>
        <v/>
      </c>
      <c r="H2888" s="58" t="str">
        <f>IF(OR(COUNTA(A2888:E2888)=0,D2888=""),"",IFERROR(INDEX(ca_type,MATCH(D2888,ca_name,0))&amp;"",""))</f>
        <v/>
      </c>
      <c r="I2888" s="58" t="str">
        <f>IF(COUNTA(A2888:E2888)=0,"",IF(N(A2888)&lt;=0,"Date manquante ou invalide",IF(B2888="","Équipe manquante",IF(ISNA(MATCH(B2888,eq_code,0)),"Équipe inconnue",IF(C2888="","Poste manquant",IF(ISNA(MATCH(C2888,po_code,0)),"Poste inconnu",IF(D2888="","Cause manquante",IF(ISNA(MATCH(D2888,ca_name,0)),"Cause inconnue",IF(H2888="","Cause à compléter dans Paramètres",IF(OR(NOT(ISNUMBER(E2888)),N(E2888)&lt;=0,N(E2888)&gt;1440),"Durée invalide",IF(COUNTIFS(sj_date,A2888,sj_eq,B2888,sj_po,C2888)=0,"Pas de saisie journalière ce jour-là","OK")))))))))))</f>
        <v/>
      </c>
      <c r="J2888">
        <f>IF(OR(I2888="OK",I2888="Pas de saisie journalière ce jour-là"),E2888,0)</f>
        <v>0.0</v>
      </c>
      <c r="K2888">
        <f>IF(AND(J2888&gt;0,A2888&gt;=p_from,A2888&lt;=p_to),1,0)</f>
        <v>0.0</v>
      </c>
      <c r="L2888">
        <f>IF(AND(K2888=1,OR(pa_po="",C2888=pa_po),OR(pa_eq="",B2888=pa_eq)),1,0)</f>
        <v>0.0</v>
      </c>
    </row>
    <row r="2889">
      <c r="A2889" s="51" t="n"/>
      <c r="B2889" s="52" t="n"/>
      <c r="C2889" s="52" t="n"/>
      <c r="D2889" s="53" t="n"/>
      <c r="E2889" s="60" t="n"/>
      <c r="F2889" s="53" t="n"/>
      <c r="G2889" s="61" t="str">
        <f>IF(OR(COUNTA(A2889:E2889)=0,D2889=""),"",IFERROR(INDEX(ca_fam,MATCH(D2889,ca_name,0))&amp;"",""))</f>
        <v/>
      </c>
      <c r="H2889" s="58" t="str">
        <f>IF(OR(COUNTA(A2889:E2889)=0,D2889=""),"",IFERROR(INDEX(ca_type,MATCH(D2889,ca_name,0))&amp;"",""))</f>
        <v/>
      </c>
      <c r="I2889" s="58" t="str">
        <f>IF(COUNTA(A2889:E2889)=0,"",IF(N(A2889)&lt;=0,"Date manquante ou invalide",IF(B2889="","Équipe manquante",IF(ISNA(MATCH(B2889,eq_code,0)),"Équipe inconnue",IF(C2889="","Poste manquant",IF(ISNA(MATCH(C2889,po_code,0)),"Poste inconnu",IF(D2889="","Cause manquante",IF(ISNA(MATCH(D2889,ca_name,0)),"Cause inconnue",IF(H2889="","Cause à compléter dans Paramètres",IF(OR(NOT(ISNUMBER(E2889)),N(E2889)&lt;=0,N(E2889)&gt;1440),"Durée invalide",IF(COUNTIFS(sj_date,A2889,sj_eq,B2889,sj_po,C2889)=0,"Pas de saisie journalière ce jour-là","OK")))))))))))</f>
        <v/>
      </c>
      <c r="J2889">
        <f>IF(OR(I2889="OK",I2889="Pas de saisie journalière ce jour-là"),E2889,0)</f>
        <v>0.0</v>
      </c>
      <c r="K2889">
        <f>IF(AND(J2889&gt;0,A2889&gt;=p_from,A2889&lt;=p_to),1,0)</f>
        <v>0.0</v>
      </c>
      <c r="L2889">
        <f>IF(AND(K2889=1,OR(pa_po="",C2889=pa_po),OR(pa_eq="",B2889=pa_eq)),1,0)</f>
        <v>0.0</v>
      </c>
    </row>
    <row r="2890">
      <c r="A2890" s="51" t="n"/>
      <c r="B2890" s="52" t="n"/>
      <c r="C2890" s="52" t="n"/>
      <c r="D2890" s="53" t="n"/>
      <c r="E2890" s="60" t="n"/>
      <c r="F2890" s="53" t="n"/>
      <c r="G2890" s="61" t="str">
        <f>IF(OR(COUNTA(A2890:E2890)=0,D2890=""),"",IFERROR(INDEX(ca_fam,MATCH(D2890,ca_name,0))&amp;"",""))</f>
        <v/>
      </c>
      <c r="H2890" s="58" t="str">
        <f>IF(OR(COUNTA(A2890:E2890)=0,D2890=""),"",IFERROR(INDEX(ca_type,MATCH(D2890,ca_name,0))&amp;"",""))</f>
        <v/>
      </c>
      <c r="I2890" s="58" t="str">
        <f>IF(COUNTA(A2890:E2890)=0,"",IF(N(A2890)&lt;=0,"Date manquante ou invalide",IF(B2890="","Équipe manquante",IF(ISNA(MATCH(B2890,eq_code,0)),"Équipe inconnue",IF(C2890="","Poste manquant",IF(ISNA(MATCH(C2890,po_code,0)),"Poste inconnu",IF(D2890="","Cause manquante",IF(ISNA(MATCH(D2890,ca_name,0)),"Cause inconnue",IF(H2890="","Cause à compléter dans Paramètres",IF(OR(NOT(ISNUMBER(E2890)),N(E2890)&lt;=0,N(E2890)&gt;1440),"Durée invalide",IF(COUNTIFS(sj_date,A2890,sj_eq,B2890,sj_po,C2890)=0,"Pas de saisie journalière ce jour-là","OK")))))))))))</f>
        <v/>
      </c>
      <c r="J2890">
        <f>IF(OR(I2890="OK",I2890="Pas de saisie journalière ce jour-là"),E2890,0)</f>
        <v>0.0</v>
      </c>
      <c r="K2890">
        <f>IF(AND(J2890&gt;0,A2890&gt;=p_from,A2890&lt;=p_to),1,0)</f>
        <v>0.0</v>
      </c>
      <c r="L2890">
        <f>IF(AND(K2890=1,OR(pa_po="",C2890=pa_po),OR(pa_eq="",B2890=pa_eq)),1,0)</f>
        <v>0.0</v>
      </c>
    </row>
    <row r="2891">
      <c r="A2891" s="51" t="n"/>
      <c r="B2891" s="52" t="n"/>
      <c r="C2891" s="52" t="n"/>
      <c r="D2891" s="53" t="n"/>
      <c r="E2891" s="60" t="n"/>
      <c r="F2891" s="53" t="n"/>
      <c r="G2891" s="61" t="str">
        <f>IF(OR(COUNTA(A2891:E2891)=0,D2891=""),"",IFERROR(INDEX(ca_fam,MATCH(D2891,ca_name,0))&amp;"",""))</f>
        <v/>
      </c>
      <c r="H2891" s="58" t="str">
        <f>IF(OR(COUNTA(A2891:E2891)=0,D2891=""),"",IFERROR(INDEX(ca_type,MATCH(D2891,ca_name,0))&amp;"",""))</f>
        <v/>
      </c>
      <c r="I2891" s="58" t="str">
        <f>IF(COUNTA(A2891:E2891)=0,"",IF(N(A2891)&lt;=0,"Date manquante ou invalide",IF(B2891="","Équipe manquante",IF(ISNA(MATCH(B2891,eq_code,0)),"Équipe inconnue",IF(C2891="","Poste manquant",IF(ISNA(MATCH(C2891,po_code,0)),"Poste inconnu",IF(D2891="","Cause manquante",IF(ISNA(MATCH(D2891,ca_name,0)),"Cause inconnue",IF(H2891="","Cause à compléter dans Paramètres",IF(OR(NOT(ISNUMBER(E2891)),N(E2891)&lt;=0,N(E2891)&gt;1440),"Durée invalide",IF(COUNTIFS(sj_date,A2891,sj_eq,B2891,sj_po,C2891)=0,"Pas de saisie journalière ce jour-là","OK")))))))))))</f>
        <v/>
      </c>
      <c r="J2891">
        <f>IF(OR(I2891="OK",I2891="Pas de saisie journalière ce jour-là"),E2891,0)</f>
        <v>0.0</v>
      </c>
      <c r="K2891">
        <f>IF(AND(J2891&gt;0,A2891&gt;=p_from,A2891&lt;=p_to),1,0)</f>
        <v>0.0</v>
      </c>
      <c r="L2891">
        <f>IF(AND(K2891=1,OR(pa_po="",C2891=pa_po),OR(pa_eq="",B2891=pa_eq)),1,0)</f>
        <v>0.0</v>
      </c>
    </row>
    <row r="2892">
      <c r="A2892" s="51" t="n"/>
      <c r="B2892" s="52" t="n"/>
      <c r="C2892" s="52" t="n"/>
      <c r="D2892" s="53" t="n"/>
      <c r="E2892" s="60" t="n"/>
      <c r="F2892" s="53" t="n"/>
      <c r="G2892" s="61" t="str">
        <f>IF(OR(COUNTA(A2892:E2892)=0,D2892=""),"",IFERROR(INDEX(ca_fam,MATCH(D2892,ca_name,0))&amp;"",""))</f>
        <v/>
      </c>
      <c r="H2892" s="58" t="str">
        <f>IF(OR(COUNTA(A2892:E2892)=0,D2892=""),"",IFERROR(INDEX(ca_type,MATCH(D2892,ca_name,0))&amp;"",""))</f>
        <v/>
      </c>
      <c r="I2892" s="58" t="str">
        <f>IF(COUNTA(A2892:E2892)=0,"",IF(N(A2892)&lt;=0,"Date manquante ou invalide",IF(B2892="","Équipe manquante",IF(ISNA(MATCH(B2892,eq_code,0)),"Équipe inconnue",IF(C2892="","Poste manquant",IF(ISNA(MATCH(C2892,po_code,0)),"Poste inconnu",IF(D2892="","Cause manquante",IF(ISNA(MATCH(D2892,ca_name,0)),"Cause inconnue",IF(H2892="","Cause à compléter dans Paramètres",IF(OR(NOT(ISNUMBER(E2892)),N(E2892)&lt;=0,N(E2892)&gt;1440),"Durée invalide",IF(COUNTIFS(sj_date,A2892,sj_eq,B2892,sj_po,C2892)=0,"Pas de saisie journalière ce jour-là","OK")))))))))))</f>
        <v/>
      </c>
      <c r="J2892">
        <f>IF(OR(I2892="OK",I2892="Pas de saisie journalière ce jour-là"),E2892,0)</f>
        <v>0.0</v>
      </c>
      <c r="K2892">
        <f>IF(AND(J2892&gt;0,A2892&gt;=p_from,A2892&lt;=p_to),1,0)</f>
        <v>0.0</v>
      </c>
      <c r="L2892">
        <f>IF(AND(K2892=1,OR(pa_po="",C2892=pa_po),OR(pa_eq="",B2892=pa_eq)),1,0)</f>
        <v>0.0</v>
      </c>
    </row>
    <row r="2893">
      <c r="A2893" s="51" t="n"/>
      <c r="B2893" s="52" t="n"/>
      <c r="C2893" s="52" t="n"/>
      <c r="D2893" s="53" t="n"/>
      <c r="E2893" s="60" t="n"/>
      <c r="F2893" s="53" t="n"/>
      <c r="G2893" s="61" t="str">
        <f>IF(OR(COUNTA(A2893:E2893)=0,D2893=""),"",IFERROR(INDEX(ca_fam,MATCH(D2893,ca_name,0))&amp;"",""))</f>
        <v/>
      </c>
      <c r="H2893" s="58" t="str">
        <f>IF(OR(COUNTA(A2893:E2893)=0,D2893=""),"",IFERROR(INDEX(ca_type,MATCH(D2893,ca_name,0))&amp;"",""))</f>
        <v/>
      </c>
      <c r="I2893" s="58" t="str">
        <f>IF(COUNTA(A2893:E2893)=0,"",IF(N(A2893)&lt;=0,"Date manquante ou invalide",IF(B2893="","Équipe manquante",IF(ISNA(MATCH(B2893,eq_code,0)),"Équipe inconnue",IF(C2893="","Poste manquant",IF(ISNA(MATCH(C2893,po_code,0)),"Poste inconnu",IF(D2893="","Cause manquante",IF(ISNA(MATCH(D2893,ca_name,0)),"Cause inconnue",IF(H2893="","Cause à compléter dans Paramètres",IF(OR(NOT(ISNUMBER(E2893)),N(E2893)&lt;=0,N(E2893)&gt;1440),"Durée invalide",IF(COUNTIFS(sj_date,A2893,sj_eq,B2893,sj_po,C2893)=0,"Pas de saisie journalière ce jour-là","OK")))))))))))</f>
        <v/>
      </c>
      <c r="J2893">
        <f>IF(OR(I2893="OK",I2893="Pas de saisie journalière ce jour-là"),E2893,0)</f>
        <v>0.0</v>
      </c>
      <c r="K2893">
        <f>IF(AND(J2893&gt;0,A2893&gt;=p_from,A2893&lt;=p_to),1,0)</f>
        <v>0.0</v>
      </c>
      <c r="L2893">
        <f>IF(AND(K2893=1,OR(pa_po="",C2893=pa_po),OR(pa_eq="",B2893=pa_eq)),1,0)</f>
        <v>0.0</v>
      </c>
    </row>
    <row r="2894">
      <c r="A2894" s="51" t="n"/>
      <c r="B2894" s="52" t="n"/>
      <c r="C2894" s="52" t="n"/>
      <c r="D2894" s="53" t="n"/>
      <c r="E2894" s="60" t="n"/>
      <c r="F2894" s="53" t="n"/>
      <c r="G2894" s="61" t="str">
        <f>IF(OR(COUNTA(A2894:E2894)=0,D2894=""),"",IFERROR(INDEX(ca_fam,MATCH(D2894,ca_name,0))&amp;"",""))</f>
        <v/>
      </c>
      <c r="H2894" s="58" t="str">
        <f>IF(OR(COUNTA(A2894:E2894)=0,D2894=""),"",IFERROR(INDEX(ca_type,MATCH(D2894,ca_name,0))&amp;"",""))</f>
        <v/>
      </c>
      <c r="I2894" s="58" t="str">
        <f>IF(COUNTA(A2894:E2894)=0,"",IF(N(A2894)&lt;=0,"Date manquante ou invalide",IF(B2894="","Équipe manquante",IF(ISNA(MATCH(B2894,eq_code,0)),"Équipe inconnue",IF(C2894="","Poste manquant",IF(ISNA(MATCH(C2894,po_code,0)),"Poste inconnu",IF(D2894="","Cause manquante",IF(ISNA(MATCH(D2894,ca_name,0)),"Cause inconnue",IF(H2894="","Cause à compléter dans Paramètres",IF(OR(NOT(ISNUMBER(E2894)),N(E2894)&lt;=0,N(E2894)&gt;1440),"Durée invalide",IF(COUNTIFS(sj_date,A2894,sj_eq,B2894,sj_po,C2894)=0,"Pas de saisie journalière ce jour-là","OK")))))))))))</f>
        <v/>
      </c>
      <c r="J2894">
        <f>IF(OR(I2894="OK",I2894="Pas de saisie journalière ce jour-là"),E2894,0)</f>
        <v>0.0</v>
      </c>
      <c r="K2894">
        <f>IF(AND(J2894&gt;0,A2894&gt;=p_from,A2894&lt;=p_to),1,0)</f>
        <v>0.0</v>
      </c>
      <c r="L2894">
        <f>IF(AND(K2894=1,OR(pa_po="",C2894=pa_po),OR(pa_eq="",B2894=pa_eq)),1,0)</f>
        <v>0.0</v>
      </c>
    </row>
    <row r="2895">
      <c r="A2895" s="51" t="n"/>
      <c r="B2895" s="52" t="n"/>
      <c r="C2895" s="52" t="n"/>
      <c r="D2895" s="53" t="n"/>
      <c r="E2895" s="60" t="n"/>
      <c r="F2895" s="53" t="n"/>
      <c r="G2895" s="61" t="str">
        <f>IF(OR(COUNTA(A2895:E2895)=0,D2895=""),"",IFERROR(INDEX(ca_fam,MATCH(D2895,ca_name,0))&amp;"",""))</f>
        <v/>
      </c>
      <c r="H2895" s="58" t="str">
        <f>IF(OR(COUNTA(A2895:E2895)=0,D2895=""),"",IFERROR(INDEX(ca_type,MATCH(D2895,ca_name,0))&amp;"",""))</f>
        <v/>
      </c>
      <c r="I2895" s="58" t="str">
        <f>IF(COUNTA(A2895:E2895)=0,"",IF(N(A2895)&lt;=0,"Date manquante ou invalide",IF(B2895="","Équipe manquante",IF(ISNA(MATCH(B2895,eq_code,0)),"Équipe inconnue",IF(C2895="","Poste manquant",IF(ISNA(MATCH(C2895,po_code,0)),"Poste inconnu",IF(D2895="","Cause manquante",IF(ISNA(MATCH(D2895,ca_name,0)),"Cause inconnue",IF(H2895="","Cause à compléter dans Paramètres",IF(OR(NOT(ISNUMBER(E2895)),N(E2895)&lt;=0,N(E2895)&gt;1440),"Durée invalide",IF(COUNTIFS(sj_date,A2895,sj_eq,B2895,sj_po,C2895)=0,"Pas de saisie journalière ce jour-là","OK")))))))))))</f>
        <v/>
      </c>
      <c r="J2895">
        <f>IF(OR(I2895="OK",I2895="Pas de saisie journalière ce jour-là"),E2895,0)</f>
        <v>0.0</v>
      </c>
      <c r="K2895">
        <f>IF(AND(J2895&gt;0,A2895&gt;=p_from,A2895&lt;=p_to),1,0)</f>
        <v>0.0</v>
      </c>
      <c r="L2895">
        <f>IF(AND(K2895=1,OR(pa_po="",C2895=pa_po),OR(pa_eq="",B2895=pa_eq)),1,0)</f>
        <v>0.0</v>
      </c>
    </row>
    <row r="2896">
      <c r="A2896" s="51" t="n"/>
      <c r="B2896" s="52" t="n"/>
      <c r="C2896" s="52" t="n"/>
      <c r="D2896" s="53" t="n"/>
      <c r="E2896" s="60" t="n"/>
      <c r="F2896" s="53" t="n"/>
      <c r="G2896" s="61" t="str">
        <f>IF(OR(COUNTA(A2896:E2896)=0,D2896=""),"",IFERROR(INDEX(ca_fam,MATCH(D2896,ca_name,0))&amp;"",""))</f>
        <v/>
      </c>
      <c r="H2896" s="58" t="str">
        <f>IF(OR(COUNTA(A2896:E2896)=0,D2896=""),"",IFERROR(INDEX(ca_type,MATCH(D2896,ca_name,0))&amp;"",""))</f>
        <v/>
      </c>
      <c r="I2896" s="58" t="str">
        <f>IF(COUNTA(A2896:E2896)=0,"",IF(N(A2896)&lt;=0,"Date manquante ou invalide",IF(B2896="","Équipe manquante",IF(ISNA(MATCH(B2896,eq_code,0)),"Équipe inconnue",IF(C2896="","Poste manquant",IF(ISNA(MATCH(C2896,po_code,0)),"Poste inconnu",IF(D2896="","Cause manquante",IF(ISNA(MATCH(D2896,ca_name,0)),"Cause inconnue",IF(H2896="","Cause à compléter dans Paramètres",IF(OR(NOT(ISNUMBER(E2896)),N(E2896)&lt;=0,N(E2896)&gt;1440),"Durée invalide",IF(COUNTIFS(sj_date,A2896,sj_eq,B2896,sj_po,C2896)=0,"Pas de saisie journalière ce jour-là","OK")))))))))))</f>
        <v/>
      </c>
      <c r="J2896">
        <f>IF(OR(I2896="OK",I2896="Pas de saisie journalière ce jour-là"),E2896,0)</f>
        <v>0.0</v>
      </c>
      <c r="K2896">
        <f>IF(AND(J2896&gt;0,A2896&gt;=p_from,A2896&lt;=p_to),1,0)</f>
        <v>0.0</v>
      </c>
      <c r="L2896">
        <f>IF(AND(K2896=1,OR(pa_po="",C2896=pa_po),OR(pa_eq="",B2896=pa_eq)),1,0)</f>
        <v>0.0</v>
      </c>
    </row>
    <row r="2897">
      <c r="A2897" s="51" t="n"/>
      <c r="B2897" s="52" t="n"/>
      <c r="C2897" s="52" t="n"/>
      <c r="D2897" s="53" t="n"/>
      <c r="E2897" s="60" t="n"/>
      <c r="F2897" s="53" t="n"/>
      <c r="G2897" s="61" t="str">
        <f>IF(OR(COUNTA(A2897:E2897)=0,D2897=""),"",IFERROR(INDEX(ca_fam,MATCH(D2897,ca_name,0))&amp;"",""))</f>
        <v/>
      </c>
      <c r="H2897" s="58" t="str">
        <f>IF(OR(COUNTA(A2897:E2897)=0,D2897=""),"",IFERROR(INDEX(ca_type,MATCH(D2897,ca_name,0))&amp;"",""))</f>
        <v/>
      </c>
      <c r="I2897" s="58" t="str">
        <f>IF(COUNTA(A2897:E2897)=0,"",IF(N(A2897)&lt;=0,"Date manquante ou invalide",IF(B2897="","Équipe manquante",IF(ISNA(MATCH(B2897,eq_code,0)),"Équipe inconnue",IF(C2897="","Poste manquant",IF(ISNA(MATCH(C2897,po_code,0)),"Poste inconnu",IF(D2897="","Cause manquante",IF(ISNA(MATCH(D2897,ca_name,0)),"Cause inconnue",IF(H2897="","Cause à compléter dans Paramètres",IF(OR(NOT(ISNUMBER(E2897)),N(E2897)&lt;=0,N(E2897)&gt;1440),"Durée invalide",IF(COUNTIFS(sj_date,A2897,sj_eq,B2897,sj_po,C2897)=0,"Pas de saisie journalière ce jour-là","OK")))))))))))</f>
        <v/>
      </c>
      <c r="J2897">
        <f>IF(OR(I2897="OK",I2897="Pas de saisie journalière ce jour-là"),E2897,0)</f>
        <v>0.0</v>
      </c>
      <c r="K2897">
        <f>IF(AND(J2897&gt;0,A2897&gt;=p_from,A2897&lt;=p_to),1,0)</f>
        <v>0.0</v>
      </c>
      <c r="L2897">
        <f>IF(AND(K2897=1,OR(pa_po="",C2897=pa_po),OR(pa_eq="",B2897=pa_eq)),1,0)</f>
        <v>0.0</v>
      </c>
    </row>
    <row r="2898">
      <c r="A2898" s="51" t="n"/>
      <c r="B2898" s="52" t="n"/>
      <c r="C2898" s="52" t="n"/>
      <c r="D2898" s="53" t="n"/>
      <c r="E2898" s="60" t="n"/>
      <c r="F2898" s="53" t="n"/>
      <c r="G2898" s="61" t="str">
        <f>IF(OR(COUNTA(A2898:E2898)=0,D2898=""),"",IFERROR(INDEX(ca_fam,MATCH(D2898,ca_name,0))&amp;"",""))</f>
        <v/>
      </c>
      <c r="H2898" s="58" t="str">
        <f>IF(OR(COUNTA(A2898:E2898)=0,D2898=""),"",IFERROR(INDEX(ca_type,MATCH(D2898,ca_name,0))&amp;"",""))</f>
        <v/>
      </c>
      <c r="I2898" s="58" t="str">
        <f>IF(COUNTA(A2898:E2898)=0,"",IF(N(A2898)&lt;=0,"Date manquante ou invalide",IF(B2898="","Équipe manquante",IF(ISNA(MATCH(B2898,eq_code,0)),"Équipe inconnue",IF(C2898="","Poste manquant",IF(ISNA(MATCH(C2898,po_code,0)),"Poste inconnu",IF(D2898="","Cause manquante",IF(ISNA(MATCH(D2898,ca_name,0)),"Cause inconnue",IF(H2898="","Cause à compléter dans Paramètres",IF(OR(NOT(ISNUMBER(E2898)),N(E2898)&lt;=0,N(E2898)&gt;1440),"Durée invalide",IF(COUNTIFS(sj_date,A2898,sj_eq,B2898,sj_po,C2898)=0,"Pas de saisie journalière ce jour-là","OK")))))))))))</f>
        <v/>
      </c>
      <c r="J2898">
        <f>IF(OR(I2898="OK",I2898="Pas de saisie journalière ce jour-là"),E2898,0)</f>
        <v>0.0</v>
      </c>
      <c r="K2898">
        <f>IF(AND(J2898&gt;0,A2898&gt;=p_from,A2898&lt;=p_to),1,0)</f>
        <v>0.0</v>
      </c>
      <c r="L2898">
        <f>IF(AND(K2898=1,OR(pa_po="",C2898=pa_po),OR(pa_eq="",B2898=pa_eq)),1,0)</f>
        <v>0.0</v>
      </c>
    </row>
    <row r="2899">
      <c r="A2899" s="51" t="n"/>
      <c r="B2899" s="52" t="n"/>
      <c r="C2899" s="52" t="n"/>
      <c r="D2899" s="53" t="n"/>
      <c r="E2899" s="60" t="n"/>
      <c r="F2899" s="53" t="n"/>
      <c r="G2899" s="61" t="str">
        <f>IF(OR(COUNTA(A2899:E2899)=0,D2899=""),"",IFERROR(INDEX(ca_fam,MATCH(D2899,ca_name,0))&amp;"",""))</f>
        <v/>
      </c>
      <c r="H2899" s="58" t="str">
        <f>IF(OR(COUNTA(A2899:E2899)=0,D2899=""),"",IFERROR(INDEX(ca_type,MATCH(D2899,ca_name,0))&amp;"",""))</f>
        <v/>
      </c>
      <c r="I2899" s="58" t="str">
        <f>IF(COUNTA(A2899:E2899)=0,"",IF(N(A2899)&lt;=0,"Date manquante ou invalide",IF(B2899="","Équipe manquante",IF(ISNA(MATCH(B2899,eq_code,0)),"Équipe inconnue",IF(C2899="","Poste manquant",IF(ISNA(MATCH(C2899,po_code,0)),"Poste inconnu",IF(D2899="","Cause manquante",IF(ISNA(MATCH(D2899,ca_name,0)),"Cause inconnue",IF(H2899="","Cause à compléter dans Paramètres",IF(OR(NOT(ISNUMBER(E2899)),N(E2899)&lt;=0,N(E2899)&gt;1440),"Durée invalide",IF(COUNTIFS(sj_date,A2899,sj_eq,B2899,sj_po,C2899)=0,"Pas de saisie journalière ce jour-là","OK")))))))))))</f>
        <v/>
      </c>
      <c r="J2899">
        <f>IF(OR(I2899="OK",I2899="Pas de saisie journalière ce jour-là"),E2899,0)</f>
        <v>0.0</v>
      </c>
      <c r="K2899">
        <f>IF(AND(J2899&gt;0,A2899&gt;=p_from,A2899&lt;=p_to),1,0)</f>
        <v>0.0</v>
      </c>
      <c r="L2899">
        <f>IF(AND(K2899=1,OR(pa_po="",C2899=pa_po),OR(pa_eq="",B2899=pa_eq)),1,0)</f>
        <v>0.0</v>
      </c>
    </row>
    <row r="2900">
      <c r="A2900" s="51" t="n"/>
      <c r="B2900" s="52" t="n"/>
      <c r="C2900" s="52" t="n"/>
      <c r="D2900" s="53" t="n"/>
      <c r="E2900" s="60" t="n"/>
      <c r="F2900" s="53" t="n"/>
      <c r="G2900" s="61" t="str">
        <f>IF(OR(COUNTA(A2900:E2900)=0,D2900=""),"",IFERROR(INDEX(ca_fam,MATCH(D2900,ca_name,0))&amp;"",""))</f>
        <v/>
      </c>
      <c r="H2900" s="58" t="str">
        <f>IF(OR(COUNTA(A2900:E2900)=0,D2900=""),"",IFERROR(INDEX(ca_type,MATCH(D2900,ca_name,0))&amp;"",""))</f>
        <v/>
      </c>
      <c r="I2900" s="58" t="str">
        <f>IF(COUNTA(A2900:E2900)=0,"",IF(N(A2900)&lt;=0,"Date manquante ou invalide",IF(B2900="","Équipe manquante",IF(ISNA(MATCH(B2900,eq_code,0)),"Équipe inconnue",IF(C2900="","Poste manquant",IF(ISNA(MATCH(C2900,po_code,0)),"Poste inconnu",IF(D2900="","Cause manquante",IF(ISNA(MATCH(D2900,ca_name,0)),"Cause inconnue",IF(H2900="","Cause à compléter dans Paramètres",IF(OR(NOT(ISNUMBER(E2900)),N(E2900)&lt;=0,N(E2900)&gt;1440),"Durée invalide",IF(COUNTIFS(sj_date,A2900,sj_eq,B2900,sj_po,C2900)=0,"Pas de saisie journalière ce jour-là","OK")))))))))))</f>
        <v/>
      </c>
      <c r="J2900">
        <f>IF(OR(I2900="OK",I2900="Pas de saisie journalière ce jour-là"),E2900,0)</f>
        <v>0.0</v>
      </c>
      <c r="K2900">
        <f>IF(AND(J2900&gt;0,A2900&gt;=p_from,A2900&lt;=p_to),1,0)</f>
        <v>0.0</v>
      </c>
      <c r="L2900">
        <f>IF(AND(K2900=1,OR(pa_po="",C2900=pa_po),OR(pa_eq="",B2900=pa_eq)),1,0)</f>
        <v>0.0</v>
      </c>
    </row>
    <row r="2901">
      <c r="A2901" s="51" t="n"/>
      <c r="B2901" s="52" t="n"/>
      <c r="C2901" s="52" t="n"/>
      <c r="D2901" s="53" t="n"/>
      <c r="E2901" s="60" t="n"/>
      <c r="F2901" s="53" t="n"/>
      <c r="G2901" s="61" t="str">
        <f>IF(OR(COUNTA(A2901:E2901)=0,D2901=""),"",IFERROR(INDEX(ca_fam,MATCH(D2901,ca_name,0))&amp;"",""))</f>
        <v/>
      </c>
      <c r="H2901" s="58" t="str">
        <f>IF(OR(COUNTA(A2901:E2901)=0,D2901=""),"",IFERROR(INDEX(ca_type,MATCH(D2901,ca_name,0))&amp;"",""))</f>
        <v/>
      </c>
      <c r="I2901" s="58" t="str">
        <f>IF(COUNTA(A2901:E2901)=0,"",IF(N(A2901)&lt;=0,"Date manquante ou invalide",IF(B2901="","Équipe manquante",IF(ISNA(MATCH(B2901,eq_code,0)),"Équipe inconnue",IF(C2901="","Poste manquant",IF(ISNA(MATCH(C2901,po_code,0)),"Poste inconnu",IF(D2901="","Cause manquante",IF(ISNA(MATCH(D2901,ca_name,0)),"Cause inconnue",IF(H2901="","Cause à compléter dans Paramètres",IF(OR(NOT(ISNUMBER(E2901)),N(E2901)&lt;=0,N(E2901)&gt;1440),"Durée invalide",IF(COUNTIFS(sj_date,A2901,sj_eq,B2901,sj_po,C2901)=0,"Pas de saisie journalière ce jour-là","OK")))))))))))</f>
        <v/>
      </c>
      <c r="J2901">
        <f>IF(OR(I2901="OK",I2901="Pas de saisie journalière ce jour-là"),E2901,0)</f>
        <v>0.0</v>
      </c>
      <c r="K2901">
        <f>IF(AND(J2901&gt;0,A2901&gt;=p_from,A2901&lt;=p_to),1,0)</f>
        <v>0.0</v>
      </c>
      <c r="L2901">
        <f>IF(AND(K2901=1,OR(pa_po="",C2901=pa_po),OR(pa_eq="",B2901=pa_eq)),1,0)</f>
        <v>0.0</v>
      </c>
    </row>
    <row r="2902">
      <c r="A2902" s="51" t="n"/>
      <c r="B2902" s="52" t="n"/>
      <c r="C2902" s="52" t="n"/>
      <c r="D2902" s="53" t="n"/>
      <c r="E2902" s="60" t="n"/>
      <c r="F2902" s="53" t="n"/>
      <c r="G2902" s="61" t="str">
        <f>IF(OR(COUNTA(A2902:E2902)=0,D2902=""),"",IFERROR(INDEX(ca_fam,MATCH(D2902,ca_name,0))&amp;"",""))</f>
        <v/>
      </c>
      <c r="H2902" s="58" t="str">
        <f>IF(OR(COUNTA(A2902:E2902)=0,D2902=""),"",IFERROR(INDEX(ca_type,MATCH(D2902,ca_name,0))&amp;"",""))</f>
        <v/>
      </c>
      <c r="I2902" s="58" t="str">
        <f>IF(COUNTA(A2902:E2902)=0,"",IF(N(A2902)&lt;=0,"Date manquante ou invalide",IF(B2902="","Équipe manquante",IF(ISNA(MATCH(B2902,eq_code,0)),"Équipe inconnue",IF(C2902="","Poste manquant",IF(ISNA(MATCH(C2902,po_code,0)),"Poste inconnu",IF(D2902="","Cause manquante",IF(ISNA(MATCH(D2902,ca_name,0)),"Cause inconnue",IF(H2902="","Cause à compléter dans Paramètres",IF(OR(NOT(ISNUMBER(E2902)),N(E2902)&lt;=0,N(E2902)&gt;1440),"Durée invalide",IF(COUNTIFS(sj_date,A2902,sj_eq,B2902,sj_po,C2902)=0,"Pas de saisie journalière ce jour-là","OK")))))))))))</f>
        <v/>
      </c>
      <c r="J2902">
        <f>IF(OR(I2902="OK",I2902="Pas de saisie journalière ce jour-là"),E2902,0)</f>
        <v>0.0</v>
      </c>
      <c r="K2902">
        <f>IF(AND(J2902&gt;0,A2902&gt;=p_from,A2902&lt;=p_to),1,0)</f>
        <v>0.0</v>
      </c>
      <c r="L2902">
        <f>IF(AND(K2902=1,OR(pa_po="",C2902=pa_po),OR(pa_eq="",B2902=pa_eq)),1,0)</f>
        <v>0.0</v>
      </c>
    </row>
    <row r="2903">
      <c r="A2903" s="51" t="n"/>
      <c r="B2903" s="52" t="n"/>
      <c r="C2903" s="52" t="n"/>
      <c r="D2903" s="53" t="n"/>
      <c r="E2903" s="60" t="n"/>
      <c r="F2903" s="53" t="n"/>
      <c r="G2903" s="61" t="str">
        <f>IF(OR(COUNTA(A2903:E2903)=0,D2903=""),"",IFERROR(INDEX(ca_fam,MATCH(D2903,ca_name,0))&amp;"",""))</f>
        <v/>
      </c>
      <c r="H2903" s="58" t="str">
        <f>IF(OR(COUNTA(A2903:E2903)=0,D2903=""),"",IFERROR(INDEX(ca_type,MATCH(D2903,ca_name,0))&amp;"",""))</f>
        <v/>
      </c>
      <c r="I2903" s="58" t="str">
        <f>IF(COUNTA(A2903:E2903)=0,"",IF(N(A2903)&lt;=0,"Date manquante ou invalide",IF(B2903="","Équipe manquante",IF(ISNA(MATCH(B2903,eq_code,0)),"Équipe inconnue",IF(C2903="","Poste manquant",IF(ISNA(MATCH(C2903,po_code,0)),"Poste inconnu",IF(D2903="","Cause manquante",IF(ISNA(MATCH(D2903,ca_name,0)),"Cause inconnue",IF(H2903="","Cause à compléter dans Paramètres",IF(OR(NOT(ISNUMBER(E2903)),N(E2903)&lt;=0,N(E2903)&gt;1440),"Durée invalide",IF(COUNTIFS(sj_date,A2903,sj_eq,B2903,sj_po,C2903)=0,"Pas de saisie journalière ce jour-là","OK")))))))))))</f>
        <v/>
      </c>
      <c r="J2903">
        <f>IF(OR(I2903="OK",I2903="Pas de saisie journalière ce jour-là"),E2903,0)</f>
        <v>0.0</v>
      </c>
      <c r="K2903">
        <f>IF(AND(J2903&gt;0,A2903&gt;=p_from,A2903&lt;=p_to),1,0)</f>
        <v>0.0</v>
      </c>
      <c r="L2903">
        <f>IF(AND(K2903=1,OR(pa_po="",C2903=pa_po),OR(pa_eq="",B2903=pa_eq)),1,0)</f>
        <v>0.0</v>
      </c>
    </row>
    <row r="2904">
      <c r="A2904" s="51" t="n"/>
      <c r="B2904" s="52" t="n"/>
      <c r="C2904" s="52" t="n"/>
      <c r="D2904" s="53" t="n"/>
      <c r="E2904" s="60" t="n"/>
      <c r="F2904" s="53" t="n"/>
      <c r="G2904" s="61" t="str">
        <f>IF(OR(COUNTA(A2904:E2904)=0,D2904=""),"",IFERROR(INDEX(ca_fam,MATCH(D2904,ca_name,0))&amp;"",""))</f>
        <v/>
      </c>
      <c r="H2904" s="58" t="str">
        <f>IF(OR(COUNTA(A2904:E2904)=0,D2904=""),"",IFERROR(INDEX(ca_type,MATCH(D2904,ca_name,0))&amp;"",""))</f>
        <v/>
      </c>
      <c r="I2904" s="58" t="str">
        <f>IF(COUNTA(A2904:E2904)=0,"",IF(N(A2904)&lt;=0,"Date manquante ou invalide",IF(B2904="","Équipe manquante",IF(ISNA(MATCH(B2904,eq_code,0)),"Équipe inconnue",IF(C2904="","Poste manquant",IF(ISNA(MATCH(C2904,po_code,0)),"Poste inconnu",IF(D2904="","Cause manquante",IF(ISNA(MATCH(D2904,ca_name,0)),"Cause inconnue",IF(H2904="","Cause à compléter dans Paramètres",IF(OR(NOT(ISNUMBER(E2904)),N(E2904)&lt;=0,N(E2904)&gt;1440),"Durée invalide",IF(COUNTIFS(sj_date,A2904,sj_eq,B2904,sj_po,C2904)=0,"Pas de saisie journalière ce jour-là","OK")))))))))))</f>
        <v/>
      </c>
      <c r="J2904">
        <f>IF(OR(I2904="OK",I2904="Pas de saisie journalière ce jour-là"),E2904,0)</f>
        <v>0.0</v>
      </c>
      <c r="K2904">
        <f>IF(AND(J2904&gt;0,A2904&gt;=p_from,A2904&lt;=p_to),1,0)</f>
        <v>0.0</v>
      </c>
      <c r="L2904">
        <f>IF(AND(K2904=1,OR(pa_po="",C2904=pa_po),OR(pa_eq="",B2904=pa_eq)),1,0)</f>
        <v>0.0</v>
      </c>
    </row>
    <row r="2905">
      <c r="A2905" s="51" t="n"/>
      <c r="B2905" s="52" t="n"/>
      <c r="C2905" s="52" t="n"/>
      <c r="D2905" s="53" t="n"/>
      <c r="E2905" s="60" t="n"/>
      <c r="F2905" s="53" t="n"/>
      <c r="G2905" s="61" t="str">
        <f>IF(OR(COUNTA(A2905:E2905)=0,D2905=""),"",IFERROR(INDEX(ca_fam,MATCH(D2905,ca_name,0))&amp;"",""))</f>
        <v/>
      </c>
      <c r="H2905" s="58" t="str">
        <f>IF(OR(COUNTA(A2905:E2905)=0,D2905=""),"",IFERROR(INDEX(ca_type,MATCH(D2905,ca_name,0))&amp;"",""))</f>
        <v/>
      </c>
      <c r="I2905" s="58" t="str">
        <f>IF(COUNTA(A2905:E2905)=0,"",IF(N(A2905)&lt;=0,"Date manquante ou invalide",IF(B2905="","Équipe manquante",IF(ISNA(MATCH(B2905,eq_code,0)),"Équipe inconnue",IF(C2905="","Poste manquant",IF(ISNA(MATCH(C2905,po_code,0)),"Poste inconnu",IF(D2905="","Cause manquante",IF(ISNA(MATCH(D2905,ca_name,0)),"Cause inconnue",IF(H2905="","Cause à compléter dans Paramètres",IF(OR(NOT(ISNUMBER(E2905)),N(E2905)&lt;=0,N(E2905)&gt;1440),"Durée invalide",IF(COUNTIFS(sj_date,A2905,sj_eq,B2905,sj_po,C2905)=0,"Pas de saisie journalière ce jour-là","OK")))))))))))</f>
        <v/>
      </c>
      <c r="J2905">
        <f>IF(OR(I2905="OK",I2905="Pas de saisie journalière ce jour-là"),E2905,0)</f>
        <v>0.0</v>
      </c>
      <c r="K2905">
        <f>IF(AND(J2905&gt;0,A2905&gt;=p_from,A2905&lt;=p_to),1,0)</f>
        <v>0.0</v>
      </c>
      <c r="L2905">
        <f>IF(AND(K2905=1,OR(pa_po="",C2905=pa_po),OR(pa_eq="",B2905=pa_eq)),1,0)</f>
        <v>0.0</v>
      </c>
    </row>
    <row r="2906">
      <c r="A2906" s="51" t="n"/>
      <c r="B2906" s="52" t="n"/>
      <c r="C2906" s="52" t="n"/>
      <c r="D2906" s="53" t="n"/>
      <c r="E2906" s="60" t="n"/>
      <c r="F2906" s="53" t="n"/>
      <c r="G2906" s="61" t="str">
        <f>IF(OR(COUNTA(A2906:E2906)=0,D2906=""),"",IFERROR(INDEX(ca_fam,MATCH(D2906,ca_name,0))&amp;"",""))</f>
        <v/>
      </c>
      <c r="H2906" s="58" t="str">
        <f>IF(OR(COUNTA(A2906:E2906)=0,D2906=""),"",IFERROR(INDEX(ca_type,MATCH(D2906,ca_name,0))&amp;"",""))</f>
        <v/>
      </c>
      <c r="I2906" s="58" t="str">
        <f>IF(COUNTA(A2906:E2906)=0,"",IF(N(A2906)&lt;=0,"Date manquante ou invalide",IF(B2906="","Équipe manquante",IF(ISNA(MATCH(B2906,eq_code,0)),"Équipe inconnue",IF(C2906="","Poste manquant",IF(ISNA(MATCH(C2906,po_code,0)),"Poste inconnu",IF(D2906="","Cause manquante",IF(ISNA(MATCH(D2906,ca_name,0)),"Cause inconnue",IF(H2906="","Cause à compléter dans Paramètres",IF(OR(NOT(ISNUMBER(E2906)),N(E2906)&lt;=0,N(E2906)&gt;1440),"Durée invalide",IF(COUNTIFS(sj_date,A2906,sj_eq,B2906,sj_po,C2906)=0,"Pas de saisie journalière ce jour-là","OK")))))))))))</f>
        <v/>
      </c>
      <c r="J2906">
        <f>IF(OR(I2906="OK",I2906="Pas de saisie journalière ce jour-là"),E2906,0)</f>
        <v>0.0</v>
      </c>
      <c r="K2906">
        <f>IF(AND(J2906&gt;0,A2906&gt;=p_from,A2906&lt;=p_to),1,0)</f>
        <v>0.0</v>
      </c>
      <c r="L2906">
        <f>IF(AND(K2906=1,OR(pa_po="",C2906=pa_po),OR(pa_eq="",B2906=pa_eq)),1,0)</f>
        <v>0.0</v>
      </c>
    </row>
    <row r="2907">
      <c r="A2907" s="51" t="n"/>
      <c r="B2907" s="52" t="n"/>
      <c r="C2907" s="52" t="n"/>
      <c r="D2907" s="53" t="n"/>
      <c r="E2907" s="60" t="n"/>
      <c r="F2907" s="53" t="n"/>
      <c r="G2907" s="61" t="str">
        <f>IF(OR(COUNTA(A2907:E2907)=0,D2907=""),"",IFERROR(INDEX(ca_fam,MATCH(D2907,ca_name,0))&amp;"",""))</f>
        <v/>
      </c>
      <c r="H2907" s="58" t="str">
        <f>IF(OR(COUNTA(A2907:E2907)=0,D2907=""),"",IFERROR(INDEX(ca_type,MATCH(D2907,ca_name,0))&amp;"",""))</f>
        <v/>
      </c>
      <c r="I2907" s="58" t="str">
        <f>IF(COUNTA(A2907:E2907)=0,"",IF(N(A2907)&lt;=0,"Date manquante ou invalide",IF(B2907="","Équipe manquante",IF(ISNA(MATCH(B2907,eq_code,0)),"Équipe inconnue",IF(C2907="","Poste manquant",IF(ISNA(MATCH(C2907,po_code,0)),"Poste inconnu",IF(D2907="","Cause manquante",IF(ISNA(MATCH(D2907,ca_name,0)),"Cause inconnue",IF(H2907="","Cause à compléter dans Paramètres",IF(OR(NOT(ISNUMBER(E2907)),N(E2907)&lt;=0,N(E2907)&gt;1440),"Durée invalide",IF(COUNTIFS(sj_date,A2907,sj_eq,B2907,sj_po,C2907)=0,"Pas de saisie journalière ce jour-là","OK")))))))))))</f>
        <v/>
      </c>
      <c r="J2907">
        <f>IF(OR(I2907="OK",I2907="Pas de saisie journalière ce jour-là"),E2907,0)</f>
        <v>0.0</v>
      </c>
      <c r="K2907">
        <f>IF(AND(J2907&gt;0,A2907&gt;=p_from,A2907&lt;=p_to),1,0)</f>
        <v>0.0</v>
      </c>
      <c r="L2907">
        <f>IF(AND(K2907=1,OR(pa_po="",C2907=pa_po),OR(pa_eq="",B2907=pa_eq)),1,0)</f>
        <v>0.0</v>
      </c>
    </row>
    <row r="2908">
      <c r="A2908" s="51" t="n"/>
      <c r="B2908" s="52" t="n"/>
      <c r="C2908" s="52" t="n"/>
      <c r="D2908" s="53" t="n"/>
      <c r="E2908" s="60" t="n"/>
      <c r="F2908" s="53" t="n"/>
      <c r="G2908" s="61" t="str">
        <f>IF(OR(COUNTA(A2908:E2908)=0,D2908=""),"",IFERROR(INDEX(ca_fam,MATCH(D2908,ca_name,0))&amp;"",""))</f>
        <v/>
      </c>
      <c r="H2908" s="58" t="str">
        <f>IF(OR(COUNTA(A2908:E2908)=0,D2908=""),"",IFERROR(INDEX(ca_type,MATCH(D2908,ca_name,0))&amp;"",""))</f>
        <v/>
      </c>
      <c r="I2908" s="58" t="str">
        <f>IF(COUNTA(A2908:E2908)=0,"",IF(N(A2908)&lt;=0,"Date manquante ou invalide",IF(B2908="","Équipe manquante",IF(ISNA(MATCH(B2908,eq_code,0)),"Équipe inconnue",IF(C2908="","Poste manquant",IF(ISNA(MATCH(C2908,po_code,0)),"Poste inconnu",IF(D2908="","Cause manquante",IF(ISNA(MATCH(D2908,ca_name,0)),"Cause inconnue",IF(H2908="","Cause à compléter dans Paramètres",IF(OR(NOT(ISNUMBER(E2908)),N(E2908)&lt;=0,N(E2908)&gt;1440),"Durée invalide",IF(COUNTIFS(sj_date,A2908,sj_eq,B2908,sj_po,C2908)=0,"Pas de saisie journalière ce jour-là","OK")))))))))))</f>
        <v/>
      </c>
      <c r="J2908">
        <f>IF(OR(I2908="OK",I2908="Pas de saisie journalière ce jour-là"),E2908,0)</f>
        <v>0.0</v>
      </c>
      <c r="K2908">
        <f>IF(AND(J2908&gt;0,A2908&gt;=p_from,A2908&lt;=p_to),1,0)</f>
        <v>0.0</v>
      </c>
      <c r="L2908">
        <f>IF(AND(K2908=1,OR(pa_po="",C2908=pa_po),OR(pa_eq="",B2908=pa_eq)),1,0)</f>
        <v>0.0</v>
      </c>
    </row>
    <row r="2909">
      <c r="A2909" s="51" t="n"/>
      <c r="B2909" s="52" t="n"/>
      <c r="C2909" s="52" t="n"/>
      <c r="D2909" s="53" t="n"/>
      <c r="E2909" s="60" t="n"/>
      <c r="F2909" s="53" t="n"/>
      <c r="G2909" s="61" t="str">
        <f>IF(OR(COUNTA(A2909:E2909)=0,D2909=""),"",IFERROR(INDEX(ca_fam,MATCH(D2909,ca_name,0))&amp;"",""))</f>
        <v/>
      </c>
      <c r="H2909" s="58" t="str">
        <f>IF(OR(COUNTA(A2909:E2909)=0,D2909=""),"",IFERROR(INDEX(ca_type,MATCH(D2909,ca_name,0))&amp;"",""))</f>
        <v/>
      </c>
      <c r="I2909" s="58" t="str">
        <f>IF(COUNTA(A2909:E2909)=0,"",IF(N(A2909)&lt;=0,"Date manquante ou invalide",IF(B2909="","Équipe manquante",IF(ISNA(MATCH(B2909,eq_code,0)),"Équipe inconnue",IF(C2909="","Poste manquant",IF(ISNA(MATCH(C2909,po_code,0)),"Poste inconnu",IF(D2909="","Cause manquante",IF(ISNA(MATCH(D2909,ca_name,0)),"Cause inconnue",IF(H2909="","Cause à compléter dans Paramètres",IF(OR(NOT(ISNUMBER(E2909)),N(E2909)&lt;=0,N(E2909)&gt;1440),"Durée invalide",IF(COUNTIFS(sj_date,A2909,sj_eq,B2909,sj_po,C2909)=0,"Pas de saisie journalière ce jour-là","OK")))))))))))</f>
        <v/>
      </c>
      <c r="J2909">
        <f>IF(OR(I2909="OK",I2909="Pas de saisie journalière ce jour-là"),E2909,0)</f>
        <v>0.0</v>
      </c>
      <c r="K2909">
        <f>IF(AND(J2909&gt;0,A2909&gt;=p_from,A2909&lt;=p_to),1,0)</f>
        <v>0.0</v>
      </c>
      <c r="L2909">
        <f>IF(AND(K2909=1,OR(pa_po="",C2909=pa_po),OR(pa_eq="",B2909=pa_eq)),1,0)</f>
        <v>0.0</v>
      </c>
    </row>
    <row r="2910">
      <c r="A2910" s="51" t="n"/>
      <c r="B2910" s="52" t="n"/>
      <c r="C2910" s="52" t="n"/>
      <c r="D2910" s="53" t="n"/>
      <c r="E2910" s="60" t="n"/>
      <c r="F2910" s="53" t="n"/>
      <c r="G2910" s="61" t="str">
        <f>IF(OR(COUNTA(A2910:E2910)=0,D2910=""),"",IFERROR(INDEX(ca_fam,MATCH(D2910,ca_name,0))&amp;"",""))</f>
        <v/>
      </c>
      <c r="H2910" s="58" t="str">
        <f>IF(OR(COUNTA(A2910:E2910)=0,D2910=""),"",IFERROR(INDEX(ca_type,MATCH(D2910,ca_name,0))&amp;"",""))</f>
        <v/>
      </c>
      <c r="I2910" s="58" t="str">
        <f>IF(COUNTA(A2910:E2910)=0,"",IF(N(A2910)&lt;=0,"Date manquante ou invalide",IF(B2910="","Équipe manquante",IF(ISNA(MATCH(B2910,eq_code,0)),"Équipe inconnue",IF(C2910="","Poste manquant",IF(ISNA(MATCH(C2910,po_code,0)),"Poste inconnu",IF(D2910="","Cause manquante",IF(ISNA(MATCH(D2910,ca_name,0)),"Cause inconnue",IF(H2910="","Cause à compléter dans Paramètres",IF(OR(NOT(ISNUMBER(E2910)),N(E2910)&lt;=0,N(E2910)&gt;1440),"Durée invalide",IF(COUNTIFS(sj_date,A2910,sj_eq,B2910,sj_po,C2910)=0,"Pas de saisie journalière ce jour-là","OK")))))))))))</f>
        <v/>
      </c>
      <c r="J2910">
        <f>IF(OR(I2910="OK",I2910="Pas de saisie journalière ce jour-là"),E2910,0)</f>
        <v>0.0</v>
      </c>
      <c r="K2910">
        <f>IF(AND(J2910&gt;0,A2910&gt;=p_from,A2910&lt;=p_to),1,0)</f>
        <v>0.0</v>
      </c>
      <c r="L2910">
        <f>IF(AND(K2910=1,OR(pa_po="",C2910=pa_po),OR(pa_eq="",B2910=pa_eq)),1,0)</f>
        <v>0.0</v>
      </c>
    </row>
    <row r="2911">
      <c r="A2911" s="51" t="n"/>
      <c r="B2911" s="52" t="n"/>
      <c r="C2911" s="52" t="n"/>
      <c r="D2911" s="53" t="n"/>
      <c r="E2911" s="60" t="n"/>
      <c r="F2911" s="53" t="n"/>
      <c r="G2911" s="61" t="str">
        <f>IF(OR(COUNTA(A2911:E2911)=0,D2911=""),"",IFERROR(INDEX(ca_fam,MATCH(D2911,ca_name,0))&amp;"",""))</f>
        <v/>
      </c>
      <c r="H2911" s="58" t="str">
        <f>IF(OR(COUNTA(A2911:E2911)=0,D2911=""),"",IFERROR(INDEX(ca_type,MATCH(D2911,ca_name,0))&amp;"",""))</f>
        <v/>
      </c>
      <c r="I2911" s="58" t="str">
        <f>IF(COUNTA(A2911:E2911)=0,"",IF(N(A2911)&lt;=0,"Date manquante ou invalide",IF(B2911="","Équipe manquante",IF(ISNA(MATCH(B2911,eq_code,0)),"Équipe inconnue",IF(C2911="","Poste manquant",IF(ISNA(MATCH(C2911,po_code,0)),"Poste inconnu",IF(D2911="","Cause manquante",IF(ISNA(MATCH(D2911,ca_name,0)),"Cause inconnue",IF(H2911="","Cause à compléter dans Paramètres",IF(OR(NOT(ISNUMBER(E2911)),N(E2911)&lt;=0,N(E2911)&gt;1440),"Durée invalide",IF(COUNTIFS(sj_date,A2911,sj_eq,B2911,sj_po,C2911)=0,"Pas de saisie journalière ce jour-là","OK")))))))))))</f>
        <v/>
      </c>
      <c r="J2911">
        <f>IF(OR(I2911="OK",I2911="Pas de saisie journalière ce jour-là"),E2911,0)</f>
        <v>0.0</v>
      </c>
      <c r="K2911">
        <f>IF(AND(J2911&gt;0,A2911&gt;=p_from,A2911&lt;=p_to),1,0)</f>
        <v>0.0</v>
      </c>
      <c r="L2911">
        <f>IF(AND(K2911=1,OR(pa_po="",C2911=pa_po),OR(pa_eq="",B2911=pa_eq)),1,0)</f>
        <v>0.0</v>
      </c>
    </row>
    <row r="2912">
      <c r="A2912" s="51" t="n"/>
      <c r="B2912" s="52" t="n"/>
      <c r="C2912" s="52" t="n"/>
      <c r="D2912" s="53" t="n"/>
      <c r="E2912" s="60" t="n"/>
      <c r="F2912" s="53" t="n"/>
      <c r="G2912" s="61" t="str">
        <f>IF(OR(COUNTA(A2912:E2912)=0,D2912=""),"",IFERROR(INDEX(ca_fam,MATCH(D2912,ca_name,0))&amp;"",""))</f>
        <v/>
      </c>
      <c r="H2912" s="58" t="str">
        <f>IF(OR(COUNTA(A2912:E2912)=0,D2912=""),"",IFERROR(INDEX(ca_type,MATCH(D2912,ca_name,0))&amp;"",""))</f>
        <v/>
      </c>
      <c r="I2912" s="58" t="str">
        <f>IF(COUNTA(A2912:E2912)=0,"",IF(N(A2912)&lt;=0,"Date manquante ou invalide",IF(B2912="","Équipe manquante",IF(ISNA(MATCH(B2912,eq_code,0)),"Équipe inconnue",IF(C2912="","Poste manquant",IF(ISNA(MATCH(C2912,po_code,0)),"Poste inconnu",IF(D2912="","Cause manquante",IF(ISNA(MATCH(D2912,ca_name,0)),"Cause inconnue",IF(H2912="","Cause à compléter dans Paramètres",IF(OR(NOT(ISNUMBER(E2912)),N(E2912)&lt;=0,N(E2912)&gt;1440),"Durée invalide",IF(COUNTIFS(sj_date,A2912,sj_eq,B2912,sj_po,C2912)=0,"Pas de saisie journalière ce jour-là","OK")))))))))))</f>
        <v/>
      </c>
      <c r="J2912">
        <f>IF(OR(I2912="OK",I2912="Pas de saisie journalière ce jour-là"),E2912,0)</f>
        <v>0.0</v>
      </c>
      <c r="K2912">
        <f>IF(AND(J2912&gt;0,A2912&gt;=p_from,A2912&lt;=p_to),1,0)</f>
        <v>0.0</v>
      </c>
      <c r="L2912">
        <f>IF(AND(K2912=1,OR(pa_po="",C2912=pa_po),OR(pa_eq="",B2912=pa_eq)),1,0)</f>
        <v>0.0</v>
      </c>
    </row>
    <row r="2913">
      <c r="A2913" s="51" t="n"/>
      <c r="B2913" s="52" t="n"/>
      <c r="C2913" s="52" t="n"/>
      <c r="D2913" s="53" t="n"/>
      <c r="E2913" s="60" t="n"/>
      <c r="F2913" s="53" t="n"/>
      <c r="G2913" s="61" t="str">
        <f>IF(OR(COUNTA(A2913:E2913)=0,D2913=""),"",IFERROR(INDEX(ca_fam,MATCH(D2913,ca_name,0))&amp;"",""))</f>
        <v/>
      </c>
      <c r="H2913" s="58" t="str">
        <f>IF(OR(COUNTA(A2913:E2913)=0,D2913=""),"",IFERROR(INDEX(ca_type,MATCH(D2913,ca_name,0))&amp;"",""))</f>
        <v/>
      </c>
      <c r="I2913" s="58" t="str">
        <f>IF(COUNTA(A2913:E2913)=0,"",IF(N(A2913)&lt;=0,"Date manquante ou invalide",IF(B2913="","Équipe manquante",IF(ISNA(MATCH(B2913,eq_code,0)),"Équipe inconnue",IF(C2913="","Poste manquant",IF(ISNA(MATCH(C2913,po_code,0)),"Poste inconnu",IF(D2913="","Cause manquante",IF(ISNA(MATCH(D2913,ca_name,0)),"Cause inconnue",IF(H2913="","Cause à compléter dans Paramètres",IF(OR(NOT(ISNUMBER(E2913)),N(E2913)&lt;=0,N(E2913)&gt;1440),"Durée invalide",IF(COUNTIFS(sj_date,A2913,sj_eq,B2913,sj_po,C2913)=0,"Pas de saisie journalière ce jour-là","OK")))))))))))</f>
        <v/>
      </c>
      <c r="J2913">
        <f>IF(OR(I2913="OK",I2913="Pas de saisie journalière ce jour-là"),E2913,0)</f>
        <v>0.0</v>
      </c>
      <c r="K2913">
        <f>IF(AND(J2913&gt;0,A2913&gt;=p_from,A2913&lt;=p_to),1,0)</f>
        <v>0.0</v>
      </c>
      <c r="L2913">
        <f>IF(AND(K2913=1,OR(pa_po="",C2913=pa_po),OR(pa_eq="",B2913=pa_eq)),1,0)</f>
        <v>0.0</v>
      </c>
    </row>
    <row r="2914">
      <c r="A2914" s="51" t="n"/>
      <c r="B2914" s="52" t="n"/>
      <c r="C2914" s="52" t="n"/>
      <c r="D2914" s="53" t="n"/>
      <c r="E2914" s="60" t="n"/>
      <c r="F2914" s="53" t="n"/>
      <c r="G2914" s="61" t="str">
        <f>IF(OR(COUNTA(A2914:E2914)=0,D2914=""),"",IFERROR(INDEX(ca_fam,MATCH(D2914,ca_name,0))&amp;"",""))</f>
        <v/>
      </c>
      <c r="H2914" s="58" t="str">
        <f>IF(OR(COUNTA(A2914:E2914)=0,D2914=""),"",IFERROR(INDEX(ca_type,MATCH(D2914,ca_name,0))&amp;"",""))</f>
        <v/>
      </c>
      <c r="I2914" s="58" t="str">
        <f>IF(COUNTA(A2914:E2914)=0,"",IF(N(A2914)&lt;=0,"Date manquante ou invalide",IF(B2914="","Équipe manquante",IF(ISNA(MATCH(B2914,eq_code,0)),"Équipe inconnue",IF(C2914="","Poste manquant",IF(ISNA(MATCH(C2914,po_code,0)),"Poste inconnu",IF(D2914="","Cause manquante",IF(ISNA(MATCH(D2914,ca_name,0)),"Cause inconnue",IF(H2914="","Cause à compléter dans Paramètres",IF(OR(NOT(ISNUMBER(E2914)),N(E2914)&lt;=0,N(E2914)&gt;1440),"Durée invalide",IF(COUNTIFS(sj_date,A2914,sj_eq,B2914,sj_po,C2914)=0,"Pas de saisie journalière ce jour-là","OK")))))))))))</f>
        <v/>
      </c>
      <c r="J2914">
        <f>IF(OR(I2914="OK",I2914="Pas de saisie journalière ce jour-là"),E2914,0)</f>
        <v>0.0</v>
      </c>
      <c r="K2914">
        <f>IF(AND(J2914&gt;0,A2914&gt;=p_from,A2914&lt;=p_to),1,0)</f>
        <v>0.0</v>
      </c>
      <c r="L2914">
        <f>IF(AND(K2914=1,OR(pa_po="",C2914=pa_po),OR(pa_eq="",B2914=pa_eq)),1,0)</f>
        <v>0.0</v>
      </c>
    </row>
    <row r="2915">
      <c r="A2915" s="51" t="n"/>
      <c r="B2915" s="52" t="n"/>
      <c r="C2915" s="52" t="n"/>
      <c r="D2915" s="53" t="n"/>
      <c r="E2915" s="60" t="n"/>
      <c r="F2915" s="53" t="n"/>
      <c r="G2915" s="61" t="str">
        <f>IF(OR(COUNTA(A2915:E2915)=0,D2915=""),"",IFERROR(INDEX(ca_fam,MATCH(D2915,ca_name,0))&amp;"",""))</f>
        <v/>
      </c>
      <c r="H2915" s="58" t="str">
        <f>IF(OR(COUNTA(A2915:E2915)=0,D2915=""),"",IFERROR(INDEX(ca_type,MATCH(D2915,ca_name,0))&amp;"",""))</f>
        <v/>
      </c>
      <c r="I2915" s="58" t="str">
        <f>IF(COUNTA(A2915:E2915)=0,"",IF(N(A2915)&lt;=0,"Date manquante ou invalide",IF(B2915="","Équipe manquante",IF(ISNA(MATCH(B2915,eq_code,0)),"Équipe inconnue",IF(C2915="","Poste manquant",IF(ISNA(MATCH(C2915,po_code,0)),"Poste inconnu",IF(D2915="","Cause manquante",IF(ISNA(MATCH(D2915,ca_name,0)),"Cause inconnue",IF(H2915="","Cause à compléter dans Paramètres",IF(OR(NOT(ISNUMBER(E2915)),N(E2915)&lt;=0,N(E2915)&gt;1440),"Durée invalide",IF(COUNTIFS(sj_date,A2915,sj_eq,B2915,sj_po,C2915)=0,"Pas de saisie journalière ce jour-là","OK")))))))))))</f>
        <v/>
      </c>
      <c r="J2915">
        <f>IF(OR(I2915="OK",I2915="Pas de saisie journalière ce jour-là"),E2915,0)</f>
        <v>0.0</v>
      </c>
      <c r="K2915">
        <f>IF(AND(J2915&gt;0,A2915&gt;=p_from,A2915&lt;=p_to),1,0)</f>
        <v>0.0</v>
      </c>
      <c r="L2915">
        <f>IF(AND(K2915=1,OR(pa_po="",C2915=pa_po),OR(pa_eq="",B2915=pa_eq)),1,0)</f>
        <v>0.0</v>
      </c>
    </row>
    <row r="2916">
      <c r="A2916" s="51" t="n"/>
      <c r="B2916" s="52" t="n"/>
      <c r="C2916" s="52" t="n"/>
      <c r="D2916" s="53" t="n"/>
      <c r="E2916" s="60" t="n"/>
      <c r="F2916" s="53" t="n"/>
      <c r="G2916" s="61" t="str">
        <f>IF(OR(COUNTA(A2916:E2916)=0,D2916=""),"",IFERROR(INDEX(ca_fam,MATCH(D2916,ca_name,0))&amp;"",""))</f>
        <v/>
      </c>
      <c r="H2916" s="58" t="str">
        <f>IF(OR(COUNTA(A2916:E2916)=0,D2916=""),"",IFERROR(INDEX(ca_type,MATCH(D2916,ca_name,0))&amp;"",""))</f>
        <v/>
      </c>
      <c r="I2916" s="58" t="str">
        <f>IF(COUNTA(A2916:E2916)=0,"",IF(N(A2916)&lt;=0,"Date manquante ou invalide",IF(B2916="","Équipe manquante",IF(ISNA(MATCH(B2916,eq_code,0)),"Équipe inconnue",IF(C2916="","Poste manquant",IF(ISNA(MATCH(C2916,po_code,0)),"Poste inconnu",IF(D2916="","Cause manquante",IF(ISNA(MATCH(D2916,ca_name,0)),"Cause inconnue",IF(H2916="","Cause à compléter dans Paramètres",IF(OR(NOT(ISNUMBER(E2916)),N(E2916)&lt;=0,N(E2916)&gt;1440),"Durée invalide",IF(COUNTIFS(sj_date,A2916,sj_eq,B2916,sj_po,C2916)=0,"Pas de saisie journalière ce jour-là","OK")))))))))))</f>
        <v/>
      </c>
      <c r="J2916">
        <f>IF(OR(I2916="OK",I2916="Pas de saisie journalière ce jour-là"),E2916,0)</f>
        <v>0.0</v>
      </c>
      <c r="K2916">
        <f>IF(AND(J2916&gt;0,A2916&gt;=p_from,A2916&lt;=p_to),1,0)</f>
        <v>0.0</v>
      </c>
      <c r="L2916">
        <f>IF(AND(K2916=1,OR(pa_po="",C2916=pa_po),OR(pa_eq="",B2916=pa_eq)),1,0)</f>
        <v>0.0</v>
      </c>
    </row>
    <row r="2917">
      <c r="A2917" s="51" t="n"/>
      <c r="B2917" s="52" t="n"/>
      <c r="C2917" s="52" t="n"/>
      <c r="D2917" s="53" t="n"/>
      <c r="E2917" s="60" t="n"/>
      <c r="F2917" s="53" t="n"/>
      <c r="G2917" s="61" t="str">
        <f>IF(OR(COUNTA(A2917:E2917)=0,D2917=""),"",IFERROR(INDEX(ca_fam,MATCH(D2917,ca_name,0))&amp;"",""))</f>
        <v/>
      </c>
      <c r="H2917" s="58" t="str">
        <f>IF(OR(COUNTA(A2917:E2917)=0,D2917=""),"",IFERROR(INDEX(ca_type,MATCH(D2917,ca_name,0))&amp;"",""))</f>
        <v/>
      </c>
      <c r="I2917" s="58" t="str">
        <f>IF(COUNTA(A2917:E2917)=0,"",IF(N(A2917)&lt;=0,"Date manquante ou invalide",IF(B2917="","Équipe manquante",IF(ISNA(MATCH(B2917,eq_code,0)),"Équipe inconnue",IF(C2917="","Poste manquant",IF(ISNA(MATCH(C2917,po_code,0)),"Poste inconnu",IF(D2917="","Cause manquante",IF(ISNA(MATCH(D2917,ca_name,0)),"Cause inconnue",IF(H2917="","Cause à compléter dans Paramètres",IF(OR(NOT(ISNUMBER(E2917)),N(E2917)&lt;=0,N(E2917)&gt;1440),"Durée invalide",IF(COUNTIFS(sj_date,A2917,sj_eq,B2917,sj_po,C2917)=0,"Pas de saisie journalière ce jour-là","OK")))))))))))</f>
        <v/>
      </c>
      <c r="J2917">
        <f>IF(OR(I2917="OK",I2917="Pas de saisie journalière ce jour-là"),E2917,0)</f>
        <v>0.0</v>
      </c>
      <c r="K2917">
        <f>IF(AND(J2917&gt;0,A2917&gt;=p_from,A2917&lt;=p_to),1,0)</f>
        <v>0.0</v>
      </c>
      <c r="L2917">
        <f>IF(AND(K2917=1,OR(pa_po="",C2917=pa_po),OR(pa_eq="",B2917=pa_eq)),1,0)</f>
        <v>0.0</v>
      </c>
    </row>
    <row r="2918">
      <c r="A2918" s="51" t="n"/>
      <c r="B2918" s="52" t="n"/>
      <c r="C2918" s="52" t="n"/>
      <c r="D2918" s="53" t="n"/>
      <c r="E2918" s="60" t="n"/>
      <c r="F2918" s="53" t="n"/>
      <c r="G2918" s="61" t="str">
        <f>IF(OR(COUNTA(A2918:E2918)=0,D2918=""),"",IFERROR(INDEX(ca_fam,MATCH(D2918,ca_name,0))&amp;"",""))</f>
        <v/>
      </c>
      <c r="H2918" s="58" t="str">
        <f>IF(OR(COUNTA(A2918:E2918)=0,D2918=""),"",IFERROR(INDEX(ca_type,MATCH(D2918,ca_name,0))&amp;"",""))</f>
        <v/>
      </c>
      <c r="I2918" s="58" t="str">
        <f>IF(COUNTA(A2918:E2918)=0,"",IF(N(A2918)&lt;=0,"Date manquante ou invalide",IF(B2918="","Équipe manquante",IF(ISNA(MATCH(B2918,eq_code,0)),"Équipe inconnue",IF(C2918="","Poste manquant",IF(ISNA(MATCH(C2918,po_code,0)),"Poste inconnu",IF(D2918="","Cause manquante",IF(ISNA(MATCH(D2918,ca_name,0)),"Cause inconnue",IF(H2918="","Cause à compléter dans Paramètres",IF(OR(NOT(ISNUMBER(E2918)),N(E2918)&lt;=0,N(E2918)&gt;1440),"Durée invalide",IF(COUNTIFS(sj_date,A2918,sj_eq,B2918,sj_po,C2918)=0,"Pas de saisie journalière ce jour-là","OK")))))))))))</f>
        <v/>
      </c>
      <c r="J2918">
        <f>IF(OR(I2918="OK",I2918="Pas de saisie journalière ce jour-là"),E2918,0)</f>
        <v>0.0</v>
      </c>
      <c r="K2918">
        <f>IF(AND(J2918&gt;0,A2918&gt;=p_from,A2918&lt;=p_to),1,0)</f>
        <v>0.0</v>
      </c>
      <c r="L2918">
        <f>IF(AND(K2918=1,OR(pa_po="",C2918=pa_po),OR(pa_eq="",B2918=pa_eq)),1,0)</f>
        <v>0.0</v>
      </c>
    </row>
    <row r="2919">
      <c r="A2919" s="51" t="n"/>
      <c r="B2919" s="52" t="n"/>
      <c r="C2919" s="52" t="n"/>
      <c r="D2919" s="53" t="n"/>
      <c r="E2919" s="60" t="n"/>
      <c r="F2919" s="53" t="n"/>
      <c r="G2919" s="61" t="str">
        <f>IF(OR(COUNTA(A2919:E2919)=0,D2919=""),"",IFERROR(INDEX(ca_fam,MATCH(D2919,ca_name,0))&amp;"",""))</f>
        <v/>
      </c>
      <c r="H2919" s="58" t="str">
        <f>IF(OR(COUNTA(A2919:E2919)=0,D2919=""),"",IFERROR(INDEX(ca_type,MATCH(D2919,ca_name,0))&amp;"",""))</f>
        <v/>
      </c>
      <c r="I2919" s="58" t="str">
        <f>IF(COUNTA(A2919:E2919)=0,"",IF(N(A2919)&lt;=0,"Date manquante ou invalide",IF(B2919="","Équipe manquante",IF(ISNA(MATCH(B2919,eq_code,0)),"Équipe inconnue",IF(C2919="","Poste manquant",IF(ISNA(MATCH(C2919,po_code,0)),"Poste inconnu",IF(D2919="","Cause manquante",IF(ISNA(MATCH(D2919,ca_name,0)),"Cause inconnue",IF(H2919="","Cause à compléter dans Paramètres",IF(OR(NOT(ISNUMBER(E2919)),N(E2919)&lt;=0,N(E2919)&gt;1440),"Durée invalide",IF(COUNTIFS(sj_date,A2919,sj_eq,B2919,sj_po,C2919)=0,"Pas de saisie journalière ce jour-là","OK")))))))))))</f>
        <v/>
      </c>
      <c r="J2919">
        <f>IF(OR(I2919="OK",I2919="Pas de saisie journalière ce jour-là"),E2919,0)</f>
        <v>0.0</v>
      </c>
      <c r="K2919">
        <f>IF(AND(J2919&gt;0,A2919&gt;=p_from,A2919&lt;=p_to),1,0)</f>
        <v>0.0</v>
      </c>
      <c r="L2919">
        <f>IF(AND(K2919=1,OR(pa_po="",C2919=pa_po),OR(pa_eq="",B2919=pa_eq)),1,0)</f>
        <v>0.0</v>
      </c>
    </row>
    <row r="2920">
      <c r="A2920" s="51" t="n"/>
      <c r="B2920" s="52" t="n"/>
      <c r="C2920" s="52" t="n"/>
      <c r="D2920" s="53" t="n"/>
      <c r="E2920" s="60" t="n"/>
      <c r="F2920" s="53" t="n"/>
      <c r="G2920" s="61" t="str">
        <f>IF(OR(COUNTA(A2920:E2920)=0,D2920=""),"",IFERROR(INDEX(ca_fam,MATCH(D2920,ca_name,0))&amp;"",""))</f>
        <v/>
      </c>
      <c r="H2920" s="58" t="str">
        <f>IF(OR(COUNTA(A2920:E2920)=0,D2920=""),"",IFERROR(INDEX(ca_type,MATCH(D2920,ca_name,0))&amp;"",""))</f>
        <v/>
      </c>
      <c r="I2920" s="58" t="str">
        <f>IF(COUNTA(A2920:E2920)=0,"",IF(N(A2920)&lt;=0,"Date manquante ou invalide",IF(B2920="","Équipe manquante",IF(ISNA(MATCH(B2920,eq_code,0)),"Équipe inconnue",IF(C2920="","Poste manquant",IF(ISNA(MATCH(C2920,po_code,0)),"Poste inconnu",IF(D2920="","Cause manquante",IF(ISNA(MATCH(D2920,ca_name,0)),"Cause inconnue",IF(H2920="","Cause à compléter dans Paramètres",IF(OR(NOT(ISNUMBER(E2920)),N(E2920)&lt;=0,N(E2920)&gt;1440),"Durée invalide",IF(COUNTIFS(sj_date,A2920,sj_eq,B2920,sj_po,C2920)=0,"Pas de saisie journalière ce jour-là","OK")))))))))))</f>
        <v/>
      </c>
      <c r="J2920">
        <f>IF(OR(I2920="OK",I2920="Pas de saisie journalière ce jour-là"),E2920,0)</f>
        <v>0.0</v>
      </c>
      <c r="K2920">
        <f>IF(AND(J2920&gt;0,A2920&gt;=p_from,A2920&lt;=p_to),1,0)</f>
        <v>0.0</v>
      </c>
      <c r="L2920">
        <f>IF(AND(K2920=1,OR(pa_po="",C2920=pa_po),OR(pa_eq="",B2920=pa_eq)),1,0)</f>
        <v>0.0</v>
      </c>
    </row>
    <row r="2921">
      <c r="A2921" s="51" t="n"/>
      <c r="B2921" s="52" t="n"/>
      <c r="C2921" s="52" t="n"/>
      <c r="D2921" s="53" t="n"/>
      <c r="E2921" s="60" t="n"/>
      <c r="F2921" s="53" t="n"/>
      <c r="G2921" s="61" t="str">
        <f>IF(OR(COUNTA(A2921:E2921)=0,D2921=""),"",IFERROR(INDEX(ca_fam,MATCH(D2921,ca_name,0))&amp;"",""))</f>
        <v/>
      </c>
      <c r="H2921" s="58" t="str">
        <f>IF(OR(COUNTA(A2921:E2921)=0,D2921=""),"",IFERROR(INDEX(ca_type,MATCH(D2921,ca_name,0))&amp;"",""))</f>
        <v/>
      </c>
      <c r="I2921" s="58" t="str">
        <f>IF(COUNTA(A2921:E2921)=0,"",IF(N(A2921)&lt;=0,"Date manquante ou invalide",IF(B2921="","Équipe manquante",IF(ISNA(MATCH(B2921,eq_code,0)),"Équipe inconnue",IF(C2921="","Poste manquant",IF(ISNA(MATCH(C2921,po_code,0)),"Poste inconnu",IF(D2921="","Cause manquante",IF(ISNA(MATCH(D2921,ca_name,0)),"Cause inconnue",IF(H2921="","Cause à compléter dans Paramètres",IF(OR(NOT(ISNUMBER(E2921)),N(E2921)&lt;=0,N(E2921)&gt;1440),"Durée invalide",IF(COUNTIFS(sj_date,A2921,sj_eq,B2921,sj_po,C2921)=0,"Pas de saisie journalière ce jour-là","OK")))))))))))</f>
        <v/>
      </c>
      <c r="J2921">
        <f>IF(OR(I2921="OK",I2921="Pas de saisie journalière ce jour-là"),E2921,0)</f>
        <v>0.0</v>
      </c>
      <c r="K2921">
        <f>IF(AND(J2921&gt;0,A2921&gt;=p_from,A2921&lt;=p_to),1,0)</f>
        <v>0.0</v>
      </c>
      <c r="L2921">
        <f>IF(AND(K2921=1,OR(pa_po="",C2921=pa_po),OR(pa_eq="",B2921=pa_eq)),1,0)</f>
        <v>0.0</v>
      </c>
    </row>
    <row r="2922">
      <c r="A2922" s="51" t="n"/>
      <c r="B2922" s="52" t="n"/>
      <c r="C2922" s="52" t="n"/>
      <c r="D2922" s="53" t="n"/>
      <c r="E2922" s="60" t="n"/>
      <c r="F2922" s="53" t="n"/>
      <c r="G2922" s="61" t="str">
        <f>IF(OR(COUNTA(A2922:E2922)=0,D2922=""),"",IFERROR(INDEX(ca_fam,MATCH(D2922,ca_name,0))&amp;"",""))</f>
        <v/>
      </c>
      <c r="H2922" s="58" t="str">
        <f>IF(OR(COUNTA(A2922:E2922)=0,D2922=""),"",IFERROR(INDEX(ca_type,MATCH(D2922,ca_name,0))&amp;"",""))</f>
        <v/>
      </c>
      <c r="I2922" s="58" t="str">
        <f>IF(COUNTA(A2922:E2922)=0,"",IF(N(A2922)&lt;=0,"Date manquante ou invalide",IF(B2922="","Équipe manquante",IF(ISNA(MATCH(B2922,eq_code,0)),"Équipe inconnue",IF(C2922="","Poste manquant",IF(ISNA(MATCH(C2922,po_code,0)),"Poste inconnu",IF(D2922="","Cause manquante",IF(ISNA(MATCH(D2922,ca_name,0)),"Cause inconnue",IF(H2922="","Cause à compléter dans Paramètres",IF(OR(NOT(ISNUMBER(E2922)),N(E2922)&lt;=0,N(E2922)&gt;1440),"Durée invalide",IF(COUNTIFS(sj_date,A2922,sj_eq,B2922,sj_po,C2922)=0,"Pas de saisie journalière ce jour-là","OK")))))))))))</f>
        <v/>
      </c>
      <c r="J2922">
        <f>IF(OR(I2922="OK",I2922="Pas de saisie journalière ce jour-là"),E2922,0)</f>
        <v>0.0</v>
      </c>
      <c r="K2922">
        <f>IF(AND(J2922&gt;0,A2922&gt;=p_from,A2922&lt;=p_to),1,0)</f>
        <v>0.0</v>
      </c>
      <c r="L2922">
        <f>IF(AND(K2922=1,OR(pa_po="",C2922=pa_po),OR(pa_eq="",B2922=pa_eq)),1,0)</f>
        <v>0.0</v>
      </c>
    </row>
    <row r="2923">
      <c r="A2923" s="51" t="n"/>
      <c r="B2923" s="52" t="n"/>
      <c r="C2923" s="52" t="n"/>
      <c r="D2923" s="53" t="n"/>
      <c r="E2923" s="60" t="n"/>
      <c r="F2923" s="53" t="n"/>
      <c r="G2923" s="61" t="str">
        <f>IF(OR(COUNTA(A2923:E2923)=0,D2923=""),"",IFERROR(INDEX(ca_fam,MATCH(D2923,ca_name,0))&amp;"",""))</f>
        <v/>
      </c>
      <c r="H2923" s="58" t="str">
        <f>IF(OR(COUNTA(A2923:E2923)=0,D2923=""),"",IFERROR(INDEX(ca_type,MATCH(D2923,ca_name,0))&amp;"",""))</f>
        <v/>
      </c>
      <c r="I2923" s="58" t="str">
        <f>IF(COUNTA(A2923:E2923)=0,"",IF(N(A2923)&lt;=0,"Date manquante ou invalide",IF(B2923="","Équipe manquante",IF(ISNA(MATCH(B2923,eq_code,0)),"Équipe inconnue",IF(C2923="","Poste manquant",IF(ISNA(MATCH(C2923,po_code,0)),"Poste inconnu",IF(D2923="","Cause manquante",IF(ISNA(MATCH(D2923,ca_name,0)),"Cause inconnue",IF(H2923="","Cause à compléter dans Paramètres",IF(OR(NOT(ISNUMBER(E2923)),N(E2923)&lt;=0,N(E2923)&gt;1440),"Durée invalide",IF(COUNTIFS(sj_date,A2923,sj_eq,B2923,sj_po,C2923)=0,"Pas de saisie journalière ce jour-là","OK")))))))))))</f>
        <v/>
      </c>
      <c r="J2923">
        <f>IF(OR(I2923="OK",I2923="Pas de saisie journalière ce jour-là"),E2923,0)</f>
        <v>0.0</v>
      </c>
      <c r="K2923">
        <f>IF(AND(J2923&gt;0,A2923&gt;=p_from,A2923&lt;=p_to),1,0)</f>
        <v>0.0</v>
      </c>
      <c r="L2923">
        <f>IF(AND(K2923=1,OR(pa_po="",C2923=pa_po),OR(pa_eq="",B2923=pa_eq)),1,0)</f>
        <v>0.0</v>
      </c>
    </row>
    <row r="2924">
      <c r="A2924" s="51" t="n"/>
      <c r="B2924" s="52" t="n"/>
      <c r="C2924" s="52" t="n"/>
      <c r="D2924" s="53" t="n"/>
      <c r="E2924" s="60" t="n"/>
      <c r="F2924" s="53" t="n"/>
      <c r="G2924" s="61" t="str">
        <f>IF(OR(COUNTA(A2924:E2924)=0,D2924=""),"",IFERROR(INDEX(ca_fam,MATCH(D2924,ca_name,0))&amp;"",""))</f>
        <v/>
      </c>
      <c r="H2924" s="58" t="str">
        <f>IF(OR(COUNTA(A2924:E2924)=0,D2924=""),"",IFERROR(INDEX(ca_type,MATCH(D2924,ca_name,0))&amp;"",""))</f>
        <v/>
      </c>
      <c r="I2924" s="58" t="str">
        <f>IF(COUNTA(A2924:E2924)=0,"",IF(N(A2924)&lt;=0,"Date manquante ou invalide",IF(B2924="","Équipe manquante",IF(ISNA(MATCH(B2924,eq_code,0)),"Équipe inconnue",IF(C2924="","Poste manquant",IF(ISNA(MATCH(C2924,po_code,0)),"Poste inconnu",IF(D2924="","Cause manquante",IF(ISNA(MATCH(D2924,ca_name,0)),"Cause inconnue",IF(H2924="","Cause à compléter dans Paramètres",IF(OR(NOT(ISNUMBER(E2924)),N(E2924)&lt;=0,N(E2924)&gt;1440),"Durée invalide",IF(COUNTIFS(sj_date,A2924,sj_eq,B2924,sj_po,C2924)=0,"Pas de saisie journalière ce jour-là","OK")))))))))))</f>
        <v/>
      </c>
      <c r="J2924">
        <f>IF(OR(I2924="OK",I2924="Pas de saisie journalière ce jour-là"),E2924,0)</f>
        <v>0.0</v>
      </c>
      <c r="K2924">
        <f>IF(AND(J2924&gt;0,A2924&gt;=p_from,A2924&lt;=p_to),1,0)</f>
        <v>0.0</v>
      </c>
      <c r="L2924">
        <f>IF(AND(K2924=1,OR(pa_po="",C2924=pa_po),OR(pa_eq="",B2924=pa_eq)),1,0)</f>
        <v>0.0</v>
      </c>
    </row>
    <row r="2925">
      <c r="A2925" s="51" t="n"/>
      <c r="B2925" s="52" t="n"/>
      <c r="C2925" s="52" t="n"/>
      <c r="D2925" s="53" t="n"/>
      <c r="E2925" s="60" t="n"/>
      <c r="F2925" s="53" t="n"/>
      <c r="G2925" s="61" t="str">
        <f>IF(OR(COUNTA(A2925:E2925)=0,D2925=""),"",IFERROR(INDEX(ca_fam,MATCH(D2925,ca_name,0))&amp;"",""))</f>
        <v/>
      </c>
      <c r="H2925" s="58" t="str">
        <f>IF(OR(COUNTA(A2925:E2925)=0,D2925=""),"",IFERROR(INDEX(ca_type,MATCH(D2925,ca_name,0))&amp;"",""))</f>
        <v/>
      </c>
      <c r="I2925" s="58" t="str">
        <f>IF(COUNTA(A2925:E2925)=0,"",IF(N(A2925)&lt;=0,"Date manquante ou invalide",IF(B2925="","Équipe manquante",IF(ISNA(MATCH(B2925,eq_code,0)),"Équipe inconnue",IF(C2925="","Poste manquant",IF(ISNA(MATCH(C2925,po_code,0)),"Poste inconnu",IF(D2925="","Cause manquante",IF(ISNA(MATCH(D2925,ca_name,0)),"Cause inconnue",IF(H2925="","Cause à compléter dans Paramètres",IF(OR(NOT(ISNUMBER(E2925)),N(E2925)&lt;=0,N(E2925)&gt;1440),"Durée invalide",IF(COUNTIFS(sj_date,A2925,sj_eq,B2925,sj_po,C2925)=0,"Pas de saisie journalière ce jour-là","OK")))))))))))</f>
        <v/>
      </c>
      <c r="J2925">
        <f>IF(OR(I2925="OK",I2925="Pas de saisie journalière ce jour-là"),E2925,0)</f>
        <v>0.0</v>
      </c>
      <c r="K2925">
        <f>IF(AND(J2925&gt;0,A2925&gt;=p_from,A2925&lt;=p_to),1,0)</f>
        <v>0.0</v>
      </c>
      <c r="L2925">
        <f>IF(AND(K2925=1,OR(pa_po="",C2925=pa_po),OR(pa_eq="",B2925=pa_eq)),1,0)</f>
        <v>0.0</v>
      </c>
    </row>
    <row r="2926">
      <c r="A2926" s="51" t="n"/>
      <c r="B2926" s="52" t="n"/>
      <c r="C2926" s="52" t="n"/>
      <c r="D2926" s="53" t="n"/>
      <c r="E2926" s="60" t="n"/>
      <c r="F2926" s="53" t="n"/>
      <c r="G2926" s="61" t="str">
        <f>IF(OR(COUNTA(A2926:E2926)=0,D2926=""),"",IFERROR(INDEX(ca_fam,MATCH(D2926,ca_name,0))&amp;"",""))</f>
        <v/>
      </c>
      <c r="H2926" s="58" t="str">
        <f>IF(OR(COUNTA(A2926:E2926)=0,D2926=""),"",IFERROR(INDEX(ca_type,MATCH(D2926,ca_name,0))&amp;"",""))</f>
        <v/>
      </c>
      <c r="I2926" s="58" t="str">
        <f>IF(COUNTA(A2926:E2926)=0,"",IF(N(A2926)&lt;=0,"Date manquante ou invalide",IF(B2926="","Équipe manquante",IF(ISNA(MATCH(B2926,eq_code,0)),"Équipe inconnue",IF(C2926="","Poste manquant",IF(ISNA(MATCH(C2926,po_code,0)),"Poste inconnu",IF(D2926="","Cause manquante",IF(ISNA(MATCH(D2926,ca_name,0)),"Cause inconnue",IF(H2926="","Cause à compléter dans Paramètres",IF(OR(NOT(ISNUMBER(E2926)),N(E2926)&lt;=0,N(E2926)&gt;1440),"Durée invalide",IF(COUNTIFS(sj_date,A2926,sj_eq,B2926,sj_po,C2926)=0,"Pas de saisie journalière ce jour-là","OK")))))))))))</f>
        <v/>
      </c>
      <c r="J2926">
        <f>IF(OR(I2926="OK",I2926="Pas de saisie journalière ce jour-là"),E2926,0)</f>
        <v>0.0</v>
      </c>
      <c r="K2926">
        <f>IF(AND(J2926&gt;0,A2926&gt;=p_from,A2926&lt;=p_to),1,0)</f>
        <v>0.0</v>
      </c>
      <c r="L2926">
        <f>IF(AND(K2926=1,OR(pa_po="",C2926=pa_po),OR(pa_eq="",B2926=pa_eq)),1,0)</f>
        <v>0.0</v>
      </c>
    </row>
    <row r="2927">
      <c r="A2927" s="51" t="n"/>
      <c r="B2927" s="52" t="n"/>
      <c r="C2927" s="52" t="n"/>
      <c r="D2927" s="53" t="n"/>
      <c r="E2927" s="60" t="n"/>
      <c r="F2927" s="53" t="n"/>
      <c r="G2927" s="61" t="str">
        <f>IF(OR(COUNTA(A2927:E2927)=0,D2927=""),"",IFERROR(INDEX(ca_fam,MATCH(D2927,ca_name,0))&amp;"",""))</f>
        <v/>
      </c>
      <c r="H2927" s="58" t="str">
        <f>IF(OR(COUNTA(A2927:E2927)=0,D2927=""),"",IFERROR(INDEX(ca_type,MATCH(D2927,ca_name,0))&amp;"",""))</f>
        <v/>
      </c>
      <c r="I2927" s="58" t="str">
        <f>IF(COUNTA(A2927:E2927)=0,"",IF(N(A2927)&lt;=0,"Date manquante ou invalide",IF(B2927="","Équipe manquante",IF(ISNA(MATCH(B2927,eq_code,0)),"Équipe inconnue",IF(C2927="","Poste manquant",IF(ISNA(MATCH(C2927,po_code,0)),"Poste inconnu",IF(D2927="","Cause manquante",IF(ISNA(MATCH(D2927,ca_name,0)),"Cause inconnue",IF(H2927="","Cause à compléter dans Paramètres",IF(OR(NOT(ISNUMBER(E2927)),N(E2927)&lt;=0,N(E2927)&gt;1440),"Durée invalide",IF(COUNTIFS(sj_date,A2927,sj_eq,B2927,sj_po,C2927)=0,"Pas de saisie journalière ce jour-là","OK")))))))))))</f>
        <v/>
      </c>
      <c r="J2927">
        <f>IF(OR(I2927="OK",I2927="Pas de saisie journalière ce jour-là"),E2927,0)</f>
        <v>0.0</v>
      </c>
      <c r="K2927">
        <f>IF(AND(J2927&gt;0,A2927&gt;=p_from,A2927&lt;=p_to),1,0)</f>
        <v>0.0</v>
      </c>
      <c r="L2927">
        <f>IF(AND(K2927=1,OR(pa_po="",C2927=pa_po),OR(pa_eq="",B2927=pa_eq)),1,0)</f>
        <v>0.0</v>
      </c>
    </row>
    <row r="2928">
      <c r="A2928" s="51" t="n"/>
      <c r="B2928" s="52" t="n"/>
      <c r="C2928" s="52" t="n"/>
      <c r="D2928" s="53" t="n"/>
      <c r="E2928" s="60" t="n"/>
      <c r="F2928" s="53" t="n"/>
      <c r="G2928" s="61" t="str">
        <f>IF(OR(COUNTA(A2928:E2928)=0,D2928=""),"",IFERROR(INDEX(ca_fam,MATCH(D2928,ca_name,0))&amp;"",""))</f>
        <v/>
      </c>
      <c r="H2928" s="58" t="str">
        <f>IF(OR(COUNTA(A2928:E2928)=0,D2928=""),"",IFERROR(INDEX(ca_type,MATCH(D2928,ca_name,0))&amp;"",""))</f>
        <v/>
      </c>
      <c r="I2928" s="58" t="str">
        <f>IF(COUNTA(A2928:E2928)=0,"",IF(N(A2928)&lt;=0,"Date manquante ou invalide",IF(B2928="","Équipe manquante",IF(ISNA(MATCH(B2928,eq_code,0)),"Équipe inconnue",IF(C2928="","Poste manquant",IF(ISNA(MATCH(C2928,po_code,0)),"Poste inconnu",IF(D2928="","Cause manquante",IF(ISNA(MATCH(D2928,ca_name,0)),"Cause inconnue",IF(H2928="","Cause à compléter dans Paramètres",IF(OR(NOT(ISNUMBER(E2928)),N(E2928)&lt;=0,N(E2928)&gt;1440),"Durée invalide",IF(COUNTIFS(sj_date,A2928,sj_eq,B2928,sj_po,C2928)=0,"Pas de saisie journalière ce jour-là","OK")))))))))))</f>
        <v/>
      </c>
      <c r="J2928">
        <f>IF(OR(I2928="OK",I2928="Pas de saisie journalière ce jour-là"),E2928,0)</f>
        <v>0.0</v>
      </c>
      <c r="K2928">
        <f>IF(AND(J2928&gt;0,A2928&gt;=p_from,A2928&lt;=p_to),1,0)</f>
        <v>0.0</v>
      </c>
      <c r="L2928">
        <f>IF(AND(K2928=1,OR(pa_po="",C2928=pa_po),OR(pa_eq="",B2928=pa_eq)),1,0)</f>
        <v>0.0</v>
      </c>
    </row>
    <row r="2929">
      <c r="A2929" s="51" t="n"/>
      <c r="B2929" s="52" t="n"/>
      <c r="C2929" s="52" t="n"/>
      <c r="D2929" s="53" t="n"/>
      <c r="E2929" s="60" t="n"/>
      <c r="F2929" s="53" t="n"/>
      <c r="G2929" s="61" t="str">
        <f>IF(OR(COUNTA(A2929:E2929)=0,D2929=""),"",IFERROR(INDEX(ca_fam,MATCH(D2929,ca_name,0))&amp;"",""))</f>
        <v/>
      </c>
      <c r="H2929" s="58" t="str">
        <f>IF(OR(COUNTA(A2929:E2929)=0,D2929=""),"",IFERROR(INDEX(ca_type,MATCH(D2929,ca_name,0))&amp;"",""))</f>
        <v/>
      </c>
      <c r="I2929" s="58" t="str">
        <f>IF(COUNTA(A2929:E2929)=0,"",IF(N(A2929)&lt;=0,"Date manquante ou invalide",IF(B2929="","Équipe manquante",IF(ISNA(MATCH(B2929,eq_code,0)),"Équipe inconnue",IF(C2929="","Poste manquant",IF(ISNA(MATCH(C2929,po_code,0)),"Poste inconnu",IF(D2929="","Cause manquante",IF(ISNA(MATCH(D2929,ca_name,0)),"Cause inconnue",IF(H2929="","Cause à compléter dans Paramètres",IF(OR(NOT(ISNUMBER(E2929)),N(E2929)&lt;=0,N(E2929)&gt;1440),"Durée invalide",IF(COUNTIFS(sj_date,A2929,sj_eq,B2929,sj_po,C2929)=0,"Pas de saisie journalière ce jour-là","OK")))))))))))</f>
        <v/>
      </c>
      <c r="J2929">
        <f>IF(OR(I2929="OK",I2929="Pas de saisie journalière ce jour-là"),E2929,0)</f>
        <v>0.0</v>
      </c>
      <c r="K2929">
        <f>IF(AND(J2929&gt;0,A2929&gt;=p_from,A2929&lt;=p_to),1,0)</f>
        <v>0.0</v>
      </c>
      <c r="L2929">
        <f>IF(AND(K2929=1,OR(pa_po="",C2929=pa_po),OR(pa_eq="",B2929=pa_eq)),1,0)</f>
        <v>0.0</v>
      </c>
    </row>
    <row r="2930">
      <c r="A2930" s="51" t="n"/>
      <c r="B2930" s="52" t="n"/>
      <c r="C2930" s="52" t="n"/>
      <c r="D2930" s="53" t="n"/>
      <c r="E2930" s="60" t="n"/>
      <c r="F2930" s="53" t="n"/>
      <c r="G2930" s="61" t="str">
        <f>IF(OR(COUNTA(A2930:E2930)=0,D2930=""),"",IFERROR(INDEX(ca_fam,MATCH(D2930,ca_name,0))&amp;"",""))</f>
        <v/>
      </c>
      <c r="H2930" s="58" t="str">
        <f>IF(OR(COUNTA(A2930:E2930)=0,D2930=""),"",IFERROR(INDEX(ca_type,MATCH(D2930,ca_name,0))&amp;"",""))</f>
        <v/>
      </c>
      <c r="I2930" s="58" t="str">
        <f>IF(COUNTA(A2930:E2930)=0,"",IF(N(A2930)&lt;=0,"Date manquante ou invalide",IF(B2930="","Équipe manquante",IF(ISNA(MATCH(B2930,eq_code,0)),"Équipe inconnue",IF(C2930="","Poste manquant",IF(ISNA(MATCH(C2930,po_code,0)),"Poste inconnu",IF(D2930="","Cause manquante",IF(ISNA(MATCH(D2930,ca_name,0)),"Cause inconnue",IF(H2930="","Cause à compléter dans Paramètres",IF(OR(NOT(ISNUMBER(E2930)),N(E2930)&lt;=0,N(E2930)&gt;1440),"Durée invalide",IF(COUNTIFS(sj_date,A2930,sj_eq,B2930,sj_po,C2930)=0,"Pas de saisie journalière ce jour-là","OK")))))))))))</f>
        <v/>
      </c>
      <c r="J2930">
        <f>IF(OR(I2930="OK",I2930="Pas de saisie journalière ce jour-là"),E2930,0)</f>
        <v>0.0</v>
      </c>
      <c r="K2930">
        <f>IF(AND(J2930&gt;0,A2930&gt;=p_from,A2930&lt;=p_to),1,0)</f>
        <v>0.0</v>
      </c>
      <c r="L2930">
        <f>IF(AND(K2930=1,OR(pa_po="",C2930=pa_po),OR(pa_eq="",B2930=pa_eq)),1,0)</f>
        <v>0.0</v>
      </c>
    </row>
    <row r="2931">
      <c r="A2931" s="51" t="n"/>
      <c r="B2931" s="52" t="n"/>
      <c r="C2931" s="52" t="n"/>
      <c r="D2931" s="53" t="n"/>
      <c r="E2931" s="60" t="n"/>
      <c r="F2931" s="53" t="n"/>
      <c r="G2931" s="61" t="str">
        <f>IF(OR(COUNTA(A2931:E2931)=0,D2931=""),"",IFERROR(INDEX(ca_fam,MATCH(D2931,ca_name,0))&amp;"",""))</f>
        <v/>
      </c>
      <c r="H2931" s="58" t="str">
        <f>IF(OR(COUNTA(A2931:E2931)=0,D2931=""),"",IFERROR(INDEX(ca_type,MATCH(D2931,ca_name,0))&amp;"",""))</f>
        <v/>
      </c>
      <c r="I2931" s="58" t="str">
        <f>IF(COUNTA(A2931:E2931)=0,"",IF(N(A2931)&lt;=0,"Date manquante ou invalide",IF(B2931="","Équipe manquante",IF(ISNA(MATCH(B2931,eq_code,0)),"Équipe inconnue",IF(C2931="","Poste manquant",IF(ISNA(MATCH(C2931,po_code,0)),"Poste inconnu",IF(D2931="","Cause manquante",IF(ISNA(MATCH(D2931,ca_name,0)),"Cause inconnue",IF(H2931="","Cause à compléter dans Paramètres",IF(OR(NOT(ISNUMBER(E2931)),N(E2931)&lt;=0,N(E2931)&gt;1440),"Durée invalide",IF(COUNTIFS(sj_date,A2931,sj_eq,B2931,sj_po,C2931)=0,"Pas de saisie journalière ce jour-là","OK")))))))))))</f>
        <v/>
      </c>
      <c r="J2931">
        <f>IF(OR(I2931="OK",I2931="Pas de saisie journalière ce jour-là"),E2931,0)</f>
        <v>0.0</v>
      </c>
      <c r="K2931">
        <f>IF(AND(J2931&gt;0,A2931&gt;=p_from,A2931&lt;=p_to),1,0)</f>
        <v>0.0</v>
      </c>
      <c r="L2931">
        <f>IF(AND(K2931=1,OR(pa_po="",C2931=pa_po),OR(pa_eq="",B2931=pa_eq)),1,0)</f>
        <v>0.0</v>
      </c>
    </row>
    <row r="2932">
      <c r="A2932" s="51" t="n"/>
      <c r="B2932" s="52" t="n"/>
      <c r="C2932" s="52" t="n"/>
      <c r="D2932" s="53" t="n"/>
      <c r="E2932" s="60" t="n"/>
      <c r="F2932" s="53" t="n"/>
      <c r="G2932" s="61" t="str">
        <f>IF(OR(COUNTA(A2932:E2932)=0,D2932=""),"",IFERROR(INDEX(ca_fam,MATCH(D2932,ca_name,0))&amp;"",""))</f>
        <v/>
      </c>
      <c r="H2932" s="58" t="str">
        <f>IF(OR(COUNTA(A2932:E2932)=0,D2932=""),"",IFERROR(INDEX(ca_type,MATCH(D2932,ca_name,0))&amp;"",""))</f>
        <v/>
      </c>
      <c r="I2932" s="58" t="str">
        <f>IF(COUNTA(A2932:E2932)=0,"",IF(N(A2932)&lt;=0,"Date manquante ou invalide",IF(B2932="","Équipe manquante",IF(ISNA(MATCH(B2932,eq_code,0)),"Équipe inconnue",IF(C2932="","Poste manquant",IF(ISNA(MATCH(C2932,po_code,0)),"Poste inconnu",IF(D2932="","Cause manquante",IF(ISNA(MATCH(D2932,ca_name,0)),"Cause inconnue",IF(H2932="","Cause à compléter dans Paramètres",IF(OR(NOT(ISNUMBER(E2932)),N(E2932)&lt;=0,N(E2932)&gt;1440),"Durée invalide",IF(COUNTIFS(sj_date,A2932,sj_eq,B2932,sj_po,C2932)=0,"Pas de saisie journalière ce jour-là","OK")))))))))))</f>
        <v/>
      </c>
      <c r="J2932">
        <f>IF(OR(I2932="OK",I2932="Pas de saisie journalière ce jour-là"),E2932,0)</f>
        <v>0.0</v>
      </c>
      <c r="K2932">
        <f>IF(AND(J2932&gt;0,A2932&gt;=p_from,A2932&lt;=p_to),1,0)</f>
        <v>0.0</v>
      </c>
      <c r="L2932">
        <f>IF(AND(K2932=1,OR(pa_po="",C2932=pa_po),OR(pa_eq="",B2932=pa_eq)),1,0)</f>
        <v>0.0</v>
      </c>
    </row>
    <row r="2933">
      <c r="A2933" s="51" t="n"/>
      <c r="B2933" s="52" t="n"/>
      <c r="C2933" s="52" t="n"/>
      <c r="D2933" s="53" t="n"/>
      <c r="E2933" s="60" t="n"/>
      <c r="F2933" s="53" t="n"/>
      <c r="G2933" s="61" t="str">
        <f>IF(OR(COUNTA(A2933:E2933)=0,D2933=""),"",IFERROR(INDEX(ca_fam,MATCH(D2933,ca_name,0))&amp;"",""))</f>
        <v/>
      </c>
      <c r="H2933" s="58" t="str">
        <f>IF(OR(COUNTA(A2933:E2933)=0,D2933=""),"",IFERROR(INDEX(ca_type,MATCH(D2933,ca_name,0))&amp;"",""))</f>
        <v/>
      </c>
      <c r="I2933" s="58" t="str">
        <f>IF(COUNTA(A2933:E2933)=0,"",IF(N(A2933)&lt;=0,"Date manquante ou invalide",IF(B2933="","Équipe manquante",IF(ISNA(MATCH(B2933,eq_code,0)),"Équipe inconnue",IF(C2933="","Poste manquant",IF(ISNA(MATCH(C2933,po_code,0)),"Poste inconnu",IF(D2933="","Cause manquante",IF(ISNA(MATCH(D2933,ca_name,0)),"Cause inconnue",IF(H2933="","Cause à compléter dans Paramètres",IF(OR(NOT(ISNUMBER(E2933)),N(E2933)&lt;=0,N(E2933)&gt;1440),"Durée invalide",IF(COUNTIFS(sj_date,A2933,sj_eq,B2933,sj_po,C2933)=0,"Pas de saisie journalière ce jour-là","OK")))))))))))</f>
        <v/>
      </c>
      <c r="J2933">
        <f>IF(OR(I2933="OK",I2933="Pas de saisie journalière ce jour-là"),E2933,0)</f>
        <v>0.0</v>
      </c>
      <c r="K2933">
        <f>IF(AND(J2933&gt;0,A2933&gt;=p_from,A2933&lt;=p_to),1,0)</f>
        <v>0.0</v>
      </c>
      <c r="L2933">
        <f>IF(AND(K2933=1,OR(pa_po="",C2933=pa_po),OR(pa_eq="",B2933=pa_eq)),1,0)</f>
        <v>0.0</v>
      </c>
    </row>
    <row r="2934">
      <c r="A2934" s="51" t="n"/>
      <c r="B2934" s="52" t="n"/>
      <c r="C2934" s="52" t="n"/>
      <c r="D2934" s="53" t="n"/>
      <c r="E2934" s="60" t="n"/>
      <c r="F2934" s="53" t="n"/>
      <c r="G2934" s="61" t="str">
        <f>IF(OR(COUNTA(A2934:E2934)=0,D2934=""),"",IFERROR(INDEX(ca_fam,MATCH(D2934,ca_name,0))&amp;"",""))</f>
        <v/>
      </c>
      <c r="H2934" s="58" t="str">
        <f>IF(OR(COUNTA(A2934:E2934)=0,D2934=""),"",IFERROR(INDEX(ca_type,MATCH(D2934,ca_name,0))&amp;"",""))</f>
        <v/>
      </c>
      <c r="I2934" s="58" t="str">
        <f>IF(COUNTA(A2934:E2934)=0,"",IF(N(A2934)&lt;=0,"Date manquante ou invalide",IF(B2934="","Équipe manquante",IF(ISNA(MATCH(B2934,eq_code,0)),"Équipe inconnue",IF(C2934="","Poste manquant",IF(ISNA(MATCH(C2934,po_code,0)),"Poste inconnu",IF(D2934="","Cause manquante",IF(ISNA(MATCH(D2934,ca_name,0)),"Cause inconnue",IF(H2934="","Cause à compléter dans Paramètres",IF(OR(NOT(ISNUMBER(E2934)),N(E2934)&lt;=0,N(E2934)&gt;1440),"Durée invalide",IF(COUNTIFS(sj_date,A2934,sj_eq,B2934,sj_po,C2934)=0,"Pas de saisie journalière ce jour-là","OK")))))))))))</f>
        <v/>
      </c>
      <c r="J2934">
        <f>IF(OR(I2934="OK",I2934="Pas de saisie journalière ce jour-là"),E2934,0)</f>
        <v>0.0</v>
      </c>
      <c r="K2934">
        <f>IF(AND(J2934&gt;0,A2934&gt;=p_from,A2934&lt;=p_to),1,0)</f>
        <v>0.0</v>
      </c>
      <c r="L2934">
        <f>IF(AND(K2934=1,OR(pa_po="",C2934=pa_po),OR(pa_eq="",B2934=pa_eq)),1,0)</f>
        <v>0.0</v>
      </c>
    </row>
    <row r="2935">
      <c r="A2935" s="51" t="n"/>
      <c r="B2935" s="52" t="n"/>
      <c r="C2935" s="52" t="n"/>
      <c r="D2935" s="53" t="n"/>
      <c r="E2935" s="60" t="n"/>
      <c r="F2935" s="53" t="n"/>
      <c r="G2935" s="61" t="str">
        <f>IF(OR(COUNTA(A2935:E2935)=0,D2935=""),"",IFERROR(INDEX(ca_fam,MATCH(D2935,ca_name,0))&amp;"",""))</f>
        <v/>
      </c>
      <c r="H2935" s="58" t="str">
        <f>IF(OR(COUNTA(A2935:E2935)=0,D2935=""),"",IFERROR(INDEX(ca_type,MATCH(D2935,ca_name,0))&amp;"",""))</f>
        <v/>
      </c>
      <c r="I2935" s="58" t="str">
        <f>IF(COUNTA(A2935:E2935)=0,"",IF(N(A2935)&lt;=0,"Date manquante ou invalide",IF(B2935="","Équipe manquante",IF(ISNA(MATCH(B2935,eq_code,0)),"Équipe inconnue",IF(C2935="","Poste manquant",IF(ISNA(MATCH(C2935,po_code,0)),"Poste inconnu",IF(D2935="","Cause manquante",IF(ISNA(MATCH(D2935,ca_name,0)),"Cause inconnue",IF(H2935="","Cause à compléter dans Paramètres",IF(OR(NOT(ISNUMBER(E2935)),N(E2935)&lt;=0,N(E2935)&gt;1440),"Durée invalide",IF(COUNTIFS(sj_date,A2935,sj_eq,B2935,sj_po,C2935)=0,"Pas de saisie journalière ce jour-là","OK")))))))))))</f>
        <v/>
      </c>
      <c r="J2935">
        <f>IF(OR(I2935="OK",I2935="Pas de saisie journalière ce jour-là"),E2935,0)</f>
        <v>0.0</v>
      </c>
      <c r="K2935">
        <f>IF(AND(J2935&gt;0,A2935&gt;=p_from,A2935&lt;=p_to),1,0)</f>
        <v>0.0</v>
      </c>
      <c r="L2935">
        <f>IF(AND(K2935=1,OR(pa_po="",C2935=pa_po),OR(pa_eq="",B2935=pa_eq)),1,0)</f>
        <v>0.0</v>
      </c>
    </row>
    <row r="2936">
      <c r="A2936" s="51" t="n"/>
      <c r="B2936" s="52" t="n"/>
      <c r="C2936" s="52" t="n"/>
      <c r="D2936" s="53" t="n"/>
      <c r="E2936" s="60" t="n"/>
      <c r="F2936" s="53" t="n"/>
      <c r="G2936" s="61" t="str">
        <f>IF(OR(COUNTA(A2936:E2936)=0,D2936=""),"",IFERROR(INDEX(ca_fam,MATCH(D2936,ca_name,0))&amp;"",""))</f>
        <v/>
      </c>
      <c r="H2936" s="58" t="str">
        <f>IF(OR(COUNTA(A2936:E2936)=0,D2936=""),"",IFERROR(INDEX(ca_type,MATCH(D2936,ca_name,0))&amp;"",""))</f>
        <v/>
      </c>
      <c r="I2936" s="58" t="str">
        <f>IF(COUNTA(A2936:E2936)=0,"",IF(N(A2936)&lt;=0,"Date manquante ou invalide",IF(B2936="","Équipe manquante",IF(ISNA(MATCH(B2936,eq_code,0)),"Équipe inconnue",IF(C2936="","Poste manquant",IF(ISNA(MATCH(C2936,po_code,0)),"Poste inconnu",IF(D2936="","Cause manquante",IF(ISNA(MATCH(D2936,ca_name,0)),"Cause inconnue",IF(H2936="","Cause à compléter dans Paramètres",IF(OR(NOT(ISNUMBER(E2936)),N(E2936)&lt;=0,N(E2936)&gt;1440),"Durée invalide",IF(COUNTIFS(sj_date,A2936,sj_eq,B2936,sj_po,C2936)=0,"Pas de saisie journalière ce jour-là","OK")))))))))))</f>
        <v/>
      </c>
      <c r="J2936">
        <f>IF(OR(I2936="OK",I2936="Pas de saisie journalière ce jour-là"),E2936,0)</f>
        <v>0.0</v>
      </c>
      <c r="K2936">
        <f>IF(AND(J2936&gt;0,A2936&gt;=p_from,A2936&lt;=p_to),1,0)</f>
        <v>0.0</v>
      </c>
      <c r="L2936">
        <f>IF(AND(K2936=1,OR(pa_po="",C2936=pa_po),OR(pa_eq="",B2936=pa_eq)),1,0)</f>
        <v>0.0</v>
      </c>
    </row>
    <row r="2937">
      <c r="A2937" s="51" t="n"/>
      <c r="B2937" s="52" t="n"/>
      <c r="C2937" s="52" t="n"/>
      <c r="D2937" s="53" t="n"/>
      <c r="E2937" s="60" t="n"/>
      <c r="F2937" s="53" t="n"/>
      <c r="G2937" s="61" t="str">
        <f>IF(OR(COUNTA(A2937:E2937)=0,D2937=""),"",IFERROR(INDEX(ca_fam,MATCH(D2937,ca_name,0))&amp;"",""))</f>
        <v/>
      </c>
      <c r="H2937" s="58" t="str">
        <f>IF(OR(COUNTA(A2937:E2937)=0,D2937=""),"",IFERROR(INDEX(ca_type,MATCH(D2937,ca_name,0))&amp;"",""))</f>
        <v/>
      </c>
      <c r="I2937" s="58" t="str">
        <f>IF(COUNTA(A2937:E2937)=0,"",IF(N(A2937)&lt;=0,"Date manquante ou invalide",IF(B2937="","Équipe manquante",IF(ISNA(MATCH(B2937,eq_code,0)),"Équipe inconnue",IF(C2937="","Poste manquant",IF(ISNA(MATCH(C2937,po_code,0)),"Poste inconnu",IF(D2937="","Cause manquante",IF(ISNA(MATCH(D2937,ca_name,0)),"Cause inconnue",IF(H2937="","Cause à compléter dans Paramètres",IF(OR(NOT(ISNUMBER(E2937)),N(E2937)&lt;=0,N(E2937)&gt;1440),"Durée invalide",IF(COUNTIFS(sj_date,A2937,sj_eq,B2937,sj_po,C2937)=0,"Pas de saisie journalière ce jour-là","OK")))))))))))</f>
        <v/>
      </c>
      <c r="J2937">
        <f>IF(OR(I2937="OK",I2937="Pas de saisie journalière ce jour-là"),E2937,0)</f>
        <v>0.0</v>
      </c>
      <c r="K2937">
        <f>IF(AND(J2937&gt;0,A2937&gt;=p_from,A2937&lt;=p_to),1,0)</f>
        <v>0.0</v>
      </c>
      <c r="L2937">
        <f>IF(AND(K2937=1,OR(pa_po="",C2937=pa_po),OR(pa_eq="",B2937=pa_eq)),1,0)</f>
        <v>0.0</v>
      </c>
    </row>
    <row r="2938">
      <c r="A2938" s="51" t="n"/>
      <c r="B2938" s="52" t="n"/>
      <c r="C2938" s="52" t="n"/>
      <c r="D2938" s="53" t="n"/>
      <c r="E2938" s="60" t="n"/>
      <c r="F2938" s="53" t="n"/>
      <c r="G2938" s="61" t="str">
        <f>IF(OR(COUNTA(A2938:E2938)=0,D2938=""),"",IFERROR(INDEX(ca_fam,MATCH(D2938,ca_name,0))&amp;"",""))</f>
        <v/>
      </c>
      <c r="H2938" s="58" t="str">
        <f>IF(OR(COUNTA(A2938:E2938)=0,D2938=""),"",IFERROR(INDEX(ca_type,MATCH(D2938,ca_name,0))&amp;"",""))</f>
        <v/>
      </c>
      <c r="I2938" s="58" t="str">
        <f>IF(COUNTA(A2938:E2938)=0,"",IF(N(A2938)&lt;=0,"Date manquante ou invalide",IF(B2938="","Équipe manquante",IF(ISNA(MATCH(B2938,eq_code,0)),"Équipe inconnue",IF(C2938="","Poste manquant",IF(ISNA(MATCH(C2938,po_code,0)),"Poste inconnu",IF(D2938="","Cause manquante",IF(ISNA(MATCH(D2938,ca_name,0)),"Cause inconnue",IF(H2938="","Cause à compléter dans Paramètres",IF(OR(NOT(ISNUMBER(E2938)),N(E2938)&lt;=0,N(E2938)&gt;1440),"Durée invalide",IF(COUNTIFS(sj_date,A2938,sj_eq,B2938,sj_po,C2938)=0,"Pas de saisie journalière ce jour-là","OK")))))))))))</f>
        <v/>
      </c>
      <c r="J2938">
        <f>IF(OR(I2938="OK",I2938="Pas de saisie journalière ce jour-là"),E2938,0)</f>
        <v>0.0</v>
      </c>
      <c r="K2938">
        <f>IF(AND(J2938&gt;0,A2938&gt;=p_from,A2938&lt;=p_to),1,0)</f>
        <v>0.0</v>
      </c>
      <c r="L2938">
        <f>IF(AND(K2938=1,OR(pa_po="",C2938=pa_po),OR(pa_eq="",B2938=pa_eq)),1,0)</f>
        <v>0.0</v>
      </c>
    </row>
    <row r="2939">
      <c r="A2939" s="51" t="n"/>
      <c r="B2939" s="52" t="n"/>
      <c r="C2939" s="52" t="n"/>
      <c r="D2939" s="53" t="n"/>
      <c r="E2939" s="60" t="n"/>
      <c r="F2939" s="53" t="n"/>
      <c r="G2939" s="61" t="str">
        <f>IF(OR(COUNTA(A2939:E2939)=0,D2939=""),"",IFERROR(INDEX(ca_fam,MATCH(D2939,ca_name,0))&amp;"",""))</f>
        <v/>
      </c>
      <c r="H2939" s="58" t="str">
        <f>IF(OR(COUNTA(A2939:E2939)=0,D2939=""),"",IFERROR(INDEX(ca_type,MATCH(D2939,ca_name,0))&amp;"",""))</f>
        <v/>
      </c>
      <c r="I2939" s="58" t="str">
        <f>IF(COUNTA(A2939:E2939)=0,"",IF(N(A2939)&lt;=0,"Date manquante ou invalide",IF(B2939="","Équipe manquante",IF(ISNA(MATCH(B2939,eq_code,0)),"Équipe inconnue",IF(C2939="","Poste manquant",IF(ISNA(MATCH(C2939,po_code,0)),"Poste inconnu",IF(D2939="","Cause manquante",IF(ISNA(MATCH(D2939,ca_name,0)),"Cause inconnue",IF(H2939="","Cause à compléter dans Paramètres",IF(OR(NOT(ISNUMBER(E2939)),N(E2939)&lt;=0,N(E2939)&gt;1440),"Durée invalide",IF(COUNTIFS(sj_date,A2939,sj_eq,B2939,sj_po,C2939)=0,"Pas de saisie journalière ce jour-là","OK")))))))))))</f>
        <v/>
      </c>
      <c r="J2939">
        <f>IF(OR(I2939="OK",I2939="Pas de saisie journalière ce jour-là"),E2939,0)</f>
        <v>0.0</v>
      </c>
      <c r="K2939">
        <f>IF(AND(J2939&gt;0,A2939&gt;=p_from,A2939&lt;=p_to),1,0)</f>
        <v>0.0</v>
      </c>
      <c r="L2939">
        <f>IF(AND(K2939=1,OR(pa_po="",C2939=pa_po),OR(pa_eq="",B2939=pa_eq)),1,0)</f>
        <v>0.0</v>
      </c>
    </row>
    <row r="2940">
      <c r="A2940" s="51" t="n"/>
      <c r="B2940" s="52" t="n"/>
      <c r="C2940" s="52" t="n"/>
      <c r="D2940" s="53" t="n"/>
      <c r="E2940" s="60" t="n"/>
      <c r="F2940" s="53" t="n"/>
      <c r="G2940" s="61" t="str">
        <f>IF(OR(COUNTA(A2940:E2940)=0,D2940=""),"",IFERROR(INDEX(ca_fam,MATCH(D2940,ca_name,0))&amp;"",""))</f>
        <v/>
      </c>
      <c r="H2940" s="58" t="str">
        <f>IF(OR(COUNTA(A2940:E2940)=0,D2940=""),"",IFERROR(INDEX(ca_type,MATCH(D2940,ca_name,0))&amp;"",""))</f>
        <v/>
      </c>
      <c r="I2940" s="58" t="str">
        <f>IF(COUNTA(A2940:E2940)=0,"",IF(N(A2940)&lt;=0,"Date manquante ou invalide",IF(B2940="","Équipe manquante",IF(ISNA(MATCH(B2940,eq_code,0)),"Équipe inconnue",IF(C2940="","Poste manquant",IF(ISNA(MATCH(C2940,po_code,0)),"Poste inconnu",IF(D2940="","Cause manquante",IF(ISNA(MATCH(D2940,ca_name,0)),"Cause inconnue",IF(H2940="","Cause à compléter dans Paramètres",IF(OR(NOT(ISNUMBER(E2940)),N(E2940)&lt;=0,N(E2940)&gt;1440),"Durée invalide",IF(COUNTIFS(sj_date,A2940,sj_eq,B2940,sj_po,C2940)=0,"Pas de saisie journalière ce jour-là","OK")))))))))))</f>
        <v/>
      </c>
      <c r="J2940">
        <f>IF(OR(I2940="OK",I2940="Pas de saisie journalière ce jour-là"),E2940,0)</f>
        <v>0.0</v>
      </c>
      <c r="K2940">
        <f>IF(AND(J2940&gt;0,A2940&gt;=p_from,A2940&lt;=p_to),1,0)</f>
        <v>0.0</v>
      </c>
      <c r="L2940">
        <f>IF(AND(K2940=1,OR(pa_po="",C2940=pa_po),OR(pa_eq="",B2940=pa_eq)),1,0)</f>
        <v>0.0</v>
      </c>
    </row>
    <row r="2941">
      <c r="A2941" s="51" t="n"/>
      <c r="B2941" s="52" t="n"/>
      <c r="C2941" s="52" t="n"/>
      <c r="D2941" s="53" t="n"/>
      <c r="E2941" s="60" t="n"/>
      <c r="F2941" s="53" t="n"/>
      <c r="G2941" s="61" t="str">
        <f>IF(OR(COUNTA(A2941:E2941)=0,D2941=""),"",IFERROR(INDEX(ca_fam,MATCH(D2941,ca_name,0))&amp;"",""))</f>
        <v/>
      </c>
      <c r="H2941" s="58" t="str">
        <f>IF(OR(COUNTA(A2941:E2941)=0,D2941=""),"",IFERROR(INDEX(ca_type,MATCH(D2941,ca_name,0))&amp;"",""))</f>
        <v/>
      </c>
      <c r="I2941" s="58" t="str">
        <f>IF(COUNTA(A2941:E2941)=0,"",IF(N(A2941)&lt;=0,"Date manquante ou invalide",IF(B2941="","Équipe manquante",IF(ISNA(MATCH(B2941,eq_code,0)),"Équipe inconnue",IF(C2941="","Poste manquant",IF(ISNA(MATCH(C2941,po_code,0)),"Poste inconnu",IF(D2941="","Cause manquante",IF(ISNA(MATCH(D2941,ca_name,0)),"Cause inconnue",IF(H2941="","Cause à compléter dans Paramètres",IF(OR(NOT(ISNUMBER(E2941)),N(E2941)&lt;=0,N(E2941)&gt;1440),"Durée invalide",IF(COUNTIFS(sj_date,A2941,sj_eq,B2941,sj_po,C2941)=0,"Pas de saisie journalière ce jour-là","OK")))))))))))</f>
        <v/>
      </c>
      <c r="J2941">
        <f>IF(OR(I2941="OK",I2941="Pas de saisie journalière ce jour-là"),E2941,0)</f>
        <v>0.0</v>
      </c>
      <c r="K2941">
        <f>IF(AND(J2941&gt;0,A2941&gt;=p_from,A2941&lt;=p_to),1,0)</f>
        <v>0.0</v>
      </c>
      <c r="L2941">
        <f>IF(AND(K2941=1,OR(pa_po="",C2941=pa_po),OR(pa_eq="",B2941=pa_eq)),1,0)</f>
        <v>0.0</v>
      </c>
    </row>
    <row r="2942">
      <c r="A2942" s="51" t="n"/>
      <c r="B2942" s="52" t="n"/>
      <c r="C2942" s="52" t="n"/>
      <c r="D2942" s="53" t="n"/>
      <c r="E2942" s="60" t="n"/>
      <c r="F2942" s="53" t="n"/>
      <c r="G2942" s="61" t="str">
        <f>IF(OR(COUNTA(A2942:E2942)=0,D2942=""),"",IFERROR(INDEX(ca_fam,MATCH(D2942,ca_name,0))&amp;"",""))</f>
        <v/>
      </c>
      <c r="H2942" s="58" t="str">
        <f>IF(OR(COUNTA(A2942:E2942)=0,D2942=""),"",IFERROR(INDEX(ca_type,MATCH(D2942,ca_name,0))&amp;"",""))</f>
        <v/>
      </c>
      <c r="I2942" s="58" t="str">
        <f>IF(COUNTA(A2942:E2942)=0,"",IF(N(A2942)&lt;=0,"Date manquante ou invalide",IF(B2942="","Équipe manquante",IF(ISNA(MATCH(B2942,eq_code,0)),"Équipe inconnue",IF(C2942="","Poste manquant",IF(ISNA(MATCH(C2942,po_code,0)),"Poste inconnu",IF(D2942="","Cause manquante",IF(ISNA(MATCH(D2942,ca_name,0)),"Cause inconnue",IF(H2942="","Cause à compléter dans Paramètres",IF(OR(NOT(ISNUMBER(E2942)),N(E2942)&lt;=0,N(E2942)&gt;1440),"Durée invalide",IF(COUNTIFS(sj_date,A2942,sj_eq,B2942,sj_po,C2942)=0,"Pas de saisie journalière ce jour-là","OK")))))))))))</f>
        <v/>
      </c>
      <c r="J2942">
        <f>IF(OR(I2942="OK",I2942="Pas de saisie journalière ce jour-là"),E2942,0)</f>
        <v>0.0</v>
      </c>
      <c r="K2942">
        <f>IF(AND(J2942&gt;0,A2942&gt;=p_from,A2942&lt;=p_to),1,0)</f>
        <v>0.0</v>
      </c>
      <c r="L2942">
        <f>IF(AND(K2942=1,OR(pa_po="",C2942=pa_po),OR(pa_eq="",B2942=pa_eq)),1,0)</f>
        <v>0.0</v>
      </c>
    </row>
    <row r="2943">
      <c r="A2943" s="51" t="n"/>
      <c r="B2943" s="52" t="n"/>
      <c r="C2943" s="52" t="n"/>
      <c r="D2943" s="53" t="n"/>
      <c r="E2943" s="60" t="n"/>
      <c r="F2943" s="53" t="n"/>
      <c r="G2943" s="61" t="str">
        <f>IF(OR(COUNTA(A2943:E2943)=0,D2943=""),"",IFERROR(INDEX(ca_fam,MATCH(D2943,ca_name,0))&amp;"",""))</f>
        <v/>
      </c>
      <c r="H2943" s="58" t="str">
        <f>IF(OR(COUNTA(A2943:E2943)=0,D2943=""),"",IFERROR(INDEX(ca_type,MATCH(D2943,ca_name,0))&amp;"",""))</f>
        <v/>
      </c>
      <c r="I2943" s="58" t="str">
        <f>IF(COUNTA(A2943:E2943)=0,"",IF(N(A2943)&lt;=0,"Date manquante ou invalide",IF(B2943="","Équipe manquante",IF(ISNA(MATCH(B2943,eq_code,0)),"Équipe inconnue",IF(C2943="","Poste manquant",IF(ISNA(MATCH(C2943,po_code,0)),"Poste inconnu",IF(D2943="","Cause manquante",IF(ISNA(MATCH(D2943,ca_name,0)),"Cause inconnue",IF(H2943="","Cause à compléter dans Paramètres",IF(OR(NOT(ISNUMBER(E2943)),N(E2943)&lt;=0,N(E2943)&gt;1440),"Durée invalide",IF(COUNTIFS(sj_date,A2943,sj_eq,B2943,sj_po,C2943)=0,"Pas de saisie journalière ce jour-là","OK")))))))))))</f>
        <v/>
      </c>
      <c r="J2943">
        <f>IF(OR(I2943="OK",I2943="Pas de saisie journalière ce jour-là"),E2943,0)</f>
        <v>0.0</v>
      </c>
      <c r="K2943">
        <f>IF(AND(J2943&gt;0,A2943&gt;=p_from,A2943&lt;=p_to),1,0)</f>
        <v>0.0</v>
      </c>
      <c r="L2943">
        <f>IF(AND(K2943=1,OR(pa_po="",C2943=pa_po),OR(pa_eq="",B2943=pa_eq)),1,0)</f>
        <v>0.0</v>
      </c>
    </row>
    <row r="2944">
      <c r="A2944" s="51" t="n"/>
      <c r="B2944" s="52" t="n"/>
      <c r="C2944" s="52" t="n"/>
      <c r="D2944" s="53" t="n"/>
      <c r="E2944" s="60" t="n"/>
      <c r="F2944" s="53" t="n"/>
      <c r="G2944" s="61" t="str">
        <f>IF(OR(COUNTA(A2944:E2944)=0,D2944=""),"",IFERROR(INDEX(ca_fam,MATCH(D2944,ca_name,0))&amp;"",""))</f>
        <v/>
      </c>
      <c r="H2944" s="58" t="str">
        <f>IF(OR(COUNTA(A2944:E2944)=0,D2944=""),"",IFERROR(INDEX(ca_type,MATCH(D2944,ca_name,0))&amp;"",""))</f>
        <v/>
      </c>
      <c r="I2944" s="58" t="str">
        <f>IF(COUNTA(A2944:E2944)=0,"",IF(N(A2944)&lt;=0,"Date manquante ou invalide",IF(B2944="","Équipe manquante",IF(ISNA(MATCH(B2944,eq_code,0)),"Équipe inconnue",IF(C2944="","Poste manquant",IF(ISNA(MATCH(C2944,po_code,0)),"Poste inconnu",IF(D2944="","Cause manquante",IF(ISNA(MATCH(D2944,ca_name,0)),"Cause inconnue",IF(H2944="","Cause à compléter dans Paramètres",IF(OR(NOT(ISNUMBER(E2944)),N(E2944)&lt;=0,N(E2944)&gt;1440),"Durée invalide",IF(COUNTIFS(sj_date,A2944,sj_eq,B2944,sj_po,C2944)=0,"Pas de saisie journalière ce jour-là","OK")))))))))))</f>
        <v/>
      </c>
      <c r="J2944">
        <f>IF(OR(I2944="OK",I2944="Pas de saisie journalière ce jour-là"),E2944,0)</f>
        <v>0.0</v>
      </c>
      <c r="K2944">
        <f>IF(AND(J2944&gt;0,A2944&gt;=p_from,A2944&lt;=p_to),1,0)</f>
        <v>0.0</v>
      </c>
      <c r="L2944">
        <f>IF(AND(K2944=1,OR(pa_po="",C2944=pa_po),OR(pa_eq="",B2944=pa_eq)),1,0)</f>
        <v>0.0</v>
      </c>
    </row>
    <row r="2945">
      <c r="A2945" s="51" t="n"/>
      <c r="B2945" s="52" t="n"/>
      <c r="C2945" s="52" t="n"/>
      <c r="D2945" s="53" t="n"/>
      <c r="E2945" s="60" t="n"/>
      <c r="F2945" s="53" t="n"/>
      <c r="G2945" s="61" t="str">
        <f>IF(OR(COUNTA(A2945:E2945)=0,D2945=""),"",IFERROR(INDEX(ca_fam,MATCH(D2945,ca_name,0))&amp;"",""))</f>
        <v/>
      </c>
      <c r="H2945" s="58" t="str">
        <f>IF(OR(COUNTA(A2945:E2945)=0,D2945=""),"",IFERROR(INDEX(ca_type,MATCH(D2945,ca_name,0))&amp;"",""))</f>
        <v/>
      </c>
      <c r="I2945" s="58" t="str">
        <f>IF(COUNTA(A2945:E2945)=0,"",IF(N(A2945)&lt;=0,"Date manquante ou invalide",IF(B2945="","Équipe manquante",IF(ISNA(MATCH(B2945,eq_code,0)),"Équipe inconnue",IF(C2945="","Poste manquant",IF(ISNA(MATCH(C2945,po_code,0)),"Poste inconnu",IF(D2945="","Cause manquante",IF(ISNA(MATCH(D2945,ca_name,0)),"Cause inconnue",IF(H2945="","Cause à compléter dans Paramètres",IF(OR(NOT(ISNUMBER(E2945)),N(E2945)&lt;=0,N(E2945)&gt;1440),"Durée invalide",IF(COUNTIFS(sj_date,A2945,sj_eq,B2945,sj_po,C2945)=0,"Pas de saisie journalière ce jour-là","OK")))))))))))</f>
        <v/>
      </c>
      <c r="J2945">
        <f>IF(OR(I2945="OK",I2945="Pas de saisie journalière ce jour-là"),E2945,0)</f>
        <v>0.0</v>
      </c>
      <c r="K2945">
        <f>IF(AND(J2945&gt;0,A2945&gt;=p_from,A2945&lt;=p_to),1,0)</f>
        <v>0.0</v>
      </c>
      <c r="L2945">
        <f>IF(AND(K2945=1,OR(pa_po="",C2945=pa_po),OR(pa_eq="",B2945=pa_eq)),1,0)</f>
        <v>0.0</v>
      </c>
    </row>
    <row r="2946">
      <c r="A2946" s="51" t="n"/>
      <c r="B2946" s="52" t="n"/>
      <c r="C2946" s="52" t="n"/>
      <c r="D2946" s="53" t="n"/>
      <c r="E2946" s="60" t="n"/>
      <c r="F2946" s="53" t="n"/>
      <c r="G2946" s="61" t="str">
        <f>IF(OR(COUNTA(A2946:E2946)=0,D2946=""),"",IFERROR(INDEX(ca_fam,MATCH(D2946,ca_name,0))&amp;"",""))</f>
        <v/>
      </c>
      <c r="H2946" s="58" t="str">
        <f>IF(OR(COUNTA(A2946:E2946)=0,D2946=""),"",IFERROR(INDEX(ca_type,MATCH(D2946,ca_name,0))&amp;"",""))</f>
        <v/>
      </c>
      <c r="I2946" s="58" t="str">
        <f>IF(COUNTA(A2946:E2946)=0,"",IF(N(A2946)&lt;=0,"Date manquante ou invalide",IF(B2946="","Équipe manquante",IF(ISNA(MATCH(B2946,eq_code,0)),"Équipe inconnue",IF(C2946="","Poste manquant",IF(ISNA(MATCH(C2946,po_code,0)),"Poste inconnu",IF(D2946="","Cause manquante",IF(ISNA(MATCH(D2946,ca_name,0)),"Cause inconnue",IF(H2946="","Cause à compléter dans Paramètres",IF(OR(NOT(ISNUMBER(E2946)),N(E2946)&lt;=0,N(E2946)&gt;1440),"Durée invalide",IF(COUNTIFS(sj_date,A2946,sj_eq,B2946,sj_po,C2946)=0,"Pas de saisie journalière ce jour-là","OK")))))))))))</f>
        <v/>
      </c>
      <c r="J2946">
        <f>IF(OR(I2946="OK",I2946="Pas de saisie journalière ce jour-là"),E2946,0)</f>
        <v>0.0</v>
      </c>
      <c r="K2946">
        <f>IF(AND(J2946&gt;0,A2946&gt;=p_from,A2946&lt;=p_to),1,0)</f>
        <v>0.0</v>
      </c>
      <c r="L2946">
        <f>IF(AND(K2946=1,OR(pa_po="",C2946=pa_po),OR(pa_eq="",B2946=pa_eq)),1,0)</f>
        <v>0.0</v>
      </c>
    </row>
    <row r="2947">
      <c r="A2947" s="51" t="n"/>
      <c r="B2947" s="52" t="n"/>
      <c r="C2947" s="52" t="n"/>
      <c r="D2947" s="53" t="n"/>
      <c r="E2947" s="60" t="n"/>
      <c r="F2947" s="53" t="n"/>
      <c r="G2947" s="61" t="str">
        <f>IF(OR(COUNTA(A2947:E2947)=0,D2947=""),"",IFERROR(INDEX(ca_fam,MATCH(D2947,ca_name,0))&amp;"",""))</f>
        <v/>
      </c>
      <c r="H2947" s="58" t="str">
        <f>IF(OR(COUNTA(A2947:E2947)=0,D2947=""),"",IFERROR(INDEX(ca_type,MATCH(D2947,ca_name,0))&amp;"",""))</f>
        <v/>
      </c>
      <c r="I2947" s="58" t="str">
        <f>IF(COUNTA(A2947:E2947)=0,"",IF(N(A2947)&lt;=0,"Date manquante ou invalide",IF(B2947="","Équipe manquante",IF(ISNA(MATCH(B2947,eq_code,0)),"Équipe inconnue",IF(C2947="","Poste manquant",IF(ISNA(MATCH(C2947,po_code,0)),"Poste inconnu",IF(D2947="","Cause manquante",IF(ISNA(MATCH(D2947,ca_name,0)),"Cause inconnue",IF(H2947="","Cause à compléter dans Paramètres",IF(OR(NOT(ISNUMBER(E2947)),N(E2947)&lt;=0,N(E2947)&gt;1440),"Durée invalide",IF(COUNTIFS(sj_date,A2947,sj_eq,B2947,sj_po,C2947)=0,"Pas de saisie journalière ce jour-là","OK")))))))))))</f>
        <v/>
      </c>
      <c r="J2947">
        <f>IF(OR(I2947="OK",I2947="Pas de saisie journalière ce jour-là"),E2947,0)</f>
        <v>0.0</v>
      </c>
      <c r="K2947">
        <f>IF(AND(J2947&gt;0,A2947&gt;=p_from,A2947&lt;=p_to),1,0)</f>
        <v>0.0</v>
      </c>
      <c r="L2947">
        <f>IF(AND(K2947=1,OR(pa_po="",C2947=pa_po),OR(pa_eq="",B2947=pa_eq)),1,0)</f>
        <v>0.0</v>
      </c>
    </row>
    <row r="2948">
      <c r="A2948" s="51" t="n"/>
      <c r="B2948" s="52" t="n"/>
      <c r="C2948" s="52" t="n"/>
      <c r="D2948" s="53" t="n"/>
      <c r="E2948" s="60" t="n"/>
      <c r="F2948" s="53" t="n"/>
      <c r="G2948" s="61" t="str">
        <f>IF(OR(COUNTA(A2948:E2948)=0,D2948=""),"",IFERROR(INDEX(ca_fam,MATCH(D2948,ca_name,0))&amp;"",""))</f>
        <v/>
      </c>
      <c r="H2948" s="58" t="str">
        <f>IF(OR(COUNTA(A2948:E2948)=0,D2948=""),"",IFERROR(INDEX(ca_type,MATCH(D2948,ca_name,0))&amp;"",""))</f>
        <v/>
      </c>
      <c r="I2948" s="58" t="str">
        <f>IF(COUNTA(A2948:E2948)=0,"",IF(N(A2948)&lt;=0,"Date manquante ou invalide",IF(B2948="","Équipe manquante",IF(ISNA(MATCH(B2948,eq_code,0)),"Équipe inconnue",IF(C2948="","Poste manquant",IF(ISNA(MATCH(C2948,po_code,0)),"Poste inconnu",IF(D2948="","Cause manquante",IF(ISNA(MATCH(D2948,ca_name,0)),"Cause inconnue",IF(H2948="","Cause à compléter dans Paramètres",IF(OR(NOT(ISNUMBER(E2948)),N(E2948)&lt;=0,N(E2948)&gt;1440),"Durée invalide",IF(COUNTIFS(sj_date,A2948,sj_eq,B2948,sj_po,C2948)=0,"Pas de saisie journalière ce jour-là","OK")))))))))))</f>
        <v/>
      </c>
      <c r="J2948">
        <f>IF(OR(I2948="OK",I2948="Pas de saisie journalière ce jour-là"),E2948,0)</f>
        <v>0.0</v>
      </c>
      <c r="K2948">
        <f>IF(AND(J2948&gt;0,A2948&gt;=p_from,A2948&lt;=p_to),1,0)</f>
        <v>0.0</v>
      </c>
      <c r="L2948">
        <f>IF(AND(K2948=1,OR(pa_po="",C2948=pa_po),OR(pa_eq="",B2948=pa_eq)),1,0)</f>
        <v>0.0</v>
      </c>
    </row>
    <row r="2949">
      <c r="A2949" s="51" t="n"/>
      <c r="B2949" s="52" t="n"/>
      <c r="C2949" s="52" t="n"/>
      <c r="D2949" s="53" t="n"/>
      <c r="E2949" s="60" t="n"/>
      <c r="F2949" s="53" t="n"/>
      <c r="G2949" s="61" t="str">
        <f>IF(OR(COUNTA(A2949:E2949)=0,D2949=""),"",IFERROR(INDEX(ca_fam,MATCH(D2949,ca_name,0))&amp;"",""))</f>
        <v/>
      </c>
      <c r="H2949" s="58" t="str">
        <f>IF(OR(COUNTA(A2949:E2949)=0,D2949=""),"",IFERROR(INDEX(ca_type,MATCH(D2949,ca_name,0))&amp;"",""))</f>
        <v/>
      </c>
      <c r="I2949" s="58" t="str">
        <f>IF(COUNTA(A2949:E2949)=0,"",IF(N(A2949)&lt;=0,"Date manquante ou invalide",IF(B2949="","Équipe manquante",IF(ISNA(MATCH(B2949,eq_code,0)),"Équipe inconnue",IF(C2949="","Poste manquant",IF(ISNA(MATCH(C2949,po_code,0)),"Poste inconnu",IF(D2949="","Cause manquante",IF(ISNA(MATCH(D2949,ca_name,0)),"Cause inconnue",IF(H2949="","Cause à compléter dans Paramètres",IF(OR(NOT(ISNUMBER(E2949)),N(E2949)&lt;=0,N(E2949)&gt;1440),"Durée invalide",IF(COUNTIFS(sj_date,A2949,sj_eq,B2949,sj_po,C2949)=0,"Pas de saisie journalière ce jour-là","OK")))))))))))</f>
        <v/>
      </c>
      <c r="J2949">
        <f>IF(OR(I2949="OK",I2949="Pas de saisie journalière ce jour-là"),E2949,0)</f>
        <v>0.0</v>
      </c>
      <c r="K2949">
        <f>IF(AND(J2949&gt;0,A2949&gt;=p_from,A2949&lt;=p_to),1,0)</f>
        <v>0.0</v>
      </c>
      <c r="L2949">
        <f>IF(AND(K2949=1,OR(pa_po="",C2949=pa_po),OR(pa_eq="",B2949=pa_eq)),1,0)</f>
        <v>0.0</v>
      </c>
    </row>
    <row r="2950">
      <c r="A2950" s="51" t="n"/>
      <c r="B2950" s="52" t="n"/>
      <c r="C2950" s="52" t="n"/>
      <c r="D2950" s="53" t="n"/>
      <c r="E2950" s="60" t="n"/>
      <c r="F2950" s="53" t="n"/>
      <c r="G2950" s="61" t="str">
        <f>IF(OR(COUNTA(A2950:E2950)=0,D2950=""),"",IFERROR(INDEX(ca_fam,MATCH(D2950,ca_name,0))&amp;"",""))</f>
        <v/>
      </c>
      <c r="H2950" s="58" t="str">
        <f>IF(OR(COUNTA(A2950:E2950)=0,D2950=""),"",IFERROR(INDEX(ca_type,MATCH(D2950,ca_name,0))&amp;"",""))</f>
        <v/>
      </c>
      <c r="I2950" s="58" t="str">
        <f>IF(COUNTA(A2950:E2950)=0,"",IF(N(A2950)&lt;=0,"Date manquante ou invalide",IF(B2950="","Équipe manquante",IF(ISNA(MATCH(B2950,eq_code,0)),"Équipe inconnue",IF(C2950="","Poste manquant",IF(ISNA(MATCH(C2950,po_code,0)),"Poste inconnu",IF(D2950="","Cause manquante",IF(ISNA(MATCH(D2950,ca_name,0)),"Cause inconnue",IF(H2950="","Cause à compléter dans Paramètres",IF(OR(NOT(ISNUMBER(E2950)),N(E2950)&lt;=0,N(E2950)&gt;1440),"Durée invalide",IF(COUNTIFS(sj_date,A2950,sj_eq,B2950,sj_po,C2950)=0,"Pas de saisie journalière ce jour-là","OK")))))))))))</f>
        <v/>
      </c>
      <c r="J2950">
        <f>IF(OR(I2950="OK",I2950="Pas de saisie journalière ce jour-là"),E2950,0)</f>
        <v>0.0</v>
      </c>
      <c r="K2950">
        <f>IF(AND(J2950&gt;0,A2950&gt;=p_from,A2950&lt;=p_to),1,0)</f>
        <v>0.0</v>
      </c>
      <c r="L2950">
        <f>IF(AND(K2950=1,OR(pa_po="",C2950=pa_po),OR(pa_eq="",B2950=pa_eq)),1,0)</f>
        <v>0.0</v>
      </c>
    </row>
    <row r="2951">
      <c r="A2951" s="51" t="n"/>
      <c r="B2951" s="52" t="n"/>
      <c r="C2951" s="52" t="n"/>
      <c r="D2951" s="53" t="n"/>
      <c r="E2951" s="60" t="n"/>
      <c r="F2951" s="53" t="n"/>
      <c r="G2951" s="61" t="str">
        <f>IF(OR(COUNTA(A2951:E2951)=0,D2951=""),"",IFERROR(INDEX(ca_fam,MATCH(D2951,ca_name,0))&amp;"",""))</f>
        <v/>
      </c>
      <c r="H2951" s="58" t="str">
        <f>IF(OR(COUNTA(A2951:E2951)=0,D2951=""),"",IFERROR(INDEX(ca_type,MATCH(D2951,ca_name,0))&amp;"",""))</f>
        <v/>
      </c>
      <c r="I2951" s="58" t="str">
        <f>IF(COUNTA(A2951:E2951)=0,"",IF(N(A2951)&lt;=0,"Date manquante ou invalide",IF(B2951="","Équipe manquante",IF(ISNA(MATCH(B2951,eq_code,0)),"Équipe inconnue",IF(C2951="","Poste manquant",IF(ISNA(MATCH(C2951,po_code,0)),"Poste inconnu",IF(D2951="","Cause manquante",IF(ISNA(MATCH(D2951,ca_name,0)),"Cause inconnue",IF(H2951="","Cause à compléter dans Paramètres",IF(OR(NOT(ISNUMBER(E2951)),N(E2951)&lt;=0,N(E2951)&gt;1440),"Durée invalide",IF(COUNTIFS(sj_date,A2951,sj_eq,B2951,sj_po,C2951)=0,"Pas de saisie journalière ce jour-là","OK")))))))))))</f>
        <v/>
      </c>
      <c r="J2951">
        <f>IF(OR(I2951="OK",I2951="Pas de saisie journalière ce jour-là"),E2951,0)</f>
        <v>0.0</v>
      </c>
      <c r="K2951">
        <f>IF(AND(J2951&gt;0,A2951&gt;=p_from,A2951&lt;=p_to),1,0)</f>
        <v>0.0</v>
      </c>
      <c r="L2951">
        <f>IF(AND(K2951=1,OR(pa_po="",C2951=pa_po),OR(pa_eq="",B2951=pa_eq)),1,0)</f>
        <v>0.0</v>
      </c>
    </row>
    <row r="2952">
      <c r="A2952" s="51" t="n"/>
      <c r="B2952" s="52" t="n"/>
      <c r="C2952" s="52" t="n"/>
      <c r="D2952" s="53" t="n"/>
      <c r="E2952" s="60" t="n"/>
      <c r="F2952" s="53" t="n"/>
      <c r="G2952" s="61" t="str">
        <f>IF(OR(COUNTA(A2952:E2952)=0,D2952=""),"",IFERROR(INDEX(ca_fam,MATCH(D2952,ca_name,0))&amp;"",""))</f>
        <v/>
      </c>
      <c r="H2952" s="58" t="str">
        <f>IF(OR(COUNTA(A2952:E2952)=0,D2952=""),"",IFERROR(INDEX(ca_type,MATCH(D2952,ca_name,0))&amp;"",""))</f>
        <v/>
      </c>
      <c r="I2952" s="58" t="str">
        <f>IF(COUNTA(A2952:E2952)=0,"",IF(N(A2952)&lt;=0,"Date manquante ou invalide",IF(B2952="","Équipe manquante",IF(ISNA(MATCH(B2952,eq_code,0)),"Équipe inconnue",IF(C2952="","Poste manquant",IF(ISNA(MATCH(C2952,po_code,0)),"Poste inconnu",IF(D2952="","Cause manquante",IF(ISNA(MATCH(D2952,ca_name,0)),"Cause inconnue",IF(H2952="","Cause à compléter dans Paramètres",IF(OR(NOT(ISNUMBER(E2952)),N(E2952)&lt;=0,N(E2952)&gt;1440),"Durée invalide",IF(COUNTIFS(sj_date,A2952,sj_eq,B2952,sj_po,C2952)=0,"Pas de saisie journalière ce jour-là","OK")))))))))))</f>
        <v/>
      </c>
      <c r="J2952">
        <f>IF(OR(I2952="OK",I2952="Pas de saisie journalière ce jour-là"),E2952,0)</f>
        <v>0.0</v>
      </c>
      <c r="K2952">
        <f>IF(AND(J2952&gt;0,A2952&gt;=p_from,A2952&lt;=p_to),1,0)</f>
        <v>0.0</v>
      </c>
      <c r="L2952">
        <f>IF(AND(K2952=1,OR(pa_po="",C2952=pa_po),OR(pa_eq="",B2952=pa_eq)),1,0)</f>
        <v>0.0</v>
      </c>
    </row>
    <row r="2953">
      <c r="A2953" s="51" t="n"/>
      <c r="B2953" s="52" t="n"/>
      <c r="C2953" s="52" t="n"/>
      <c r="D2953" s="53" t="n"/>
      <c r="E2953" s="60" t="n"/>
      <c r="F2953" s="53" t="n"/>
      <c r="G2953" s="61" t="str">
        <f>IF(OR(COUNTA(A2953:E2953)=0,D2953=""),"",IFERROR(INDEX(ca_fam,MATCH(D2953,ca_name,0))&amp;"",""))</f>
        <v/>
      </c>
      <c r="H2953" s="58" t="str">
        <f>IF(OR(COUNTA(A2953:E2953)=0,D2953=""),"",IFERROR(INDEX(ca_type,MATCH(D2953,ca_name,0))&amp;"",""))</f>
        <v/>
      </c>
      <c r="I2953" s="58" t="str">
        <f>IF(COUNTA(A2953:E2953)=0,"",IF(N(A2953)&lt;=0,"Date manquante ou invalide",IF(B2953="","Équipe manquante",IF(ISNA(MATCH(B2953,eq_code,0)),"Équipe inconnue",IF(C2953="","Poste manquant",IF(ISNA(MATCH(C2953,po_code,0)),"Poste inconnu",IF(D2953="","Cause manquante",IF(ISNA(MATCH(D2953,ca_name,0)),"Cause inconnue",IF(H2953="","Cause à compléter dans Paramètres",IF(OR(NOT(ISNUMBER(E2953)),N(E2953)&lt;=0,N(E2953)&gt;1440),"Durée invalide",IF(COUNTIFS(sj_date,A2953,sj_eq,B2953,sj_po,C2953)=0,"Pas de saisie journalière ce jour-là","OK")))))))))))</f>
        <v/>
      </c>
      <c r="J2953">
        <f>IF(OR(I2953="OK",I2953="Pas de saisie journalière ce jour-là"),E2953,0)</f>
        <v>0.0</v>
      </c>
      <c r="K2953">
        <f>IF(AND(J2953&gt;0,A2953&gt;=p_from,A2953&lt;=p_to),1,0)</f>
        <v>0.0</v>
      </c>
      <c r="L2953">
        <f>IF(AND(K2953=1,OR(pa_po="",C2953=pa_po),OR(pa_eq="",B2953=pa_eq)),1,0)</f>
        <v>0.0</v>
      </c>
    </row>
    <row r="2954">
      <c r="A2954" s="51" t="n"/>
      <c r="B2954" s="52" t="n"/>
      <c r="C2954" s="52" t="n"/>
      <c r="D2954" s="53" t="n"/>
      <c r="E2954" s="60" t="n"/>
      <c r="F2954" s="53" t="n"/>
      <c r="G2954" s="61" t="str">
        <f>IF(OR(COUNTA(A2954:E2954)=0,D2954=""),"",IFERROR(INDEX(ca_fam,MATCH(D2954,ca_name,0))&amp;"",""))</f>
        <v/>
      </c>
      <c r="H2954" s="58" t="str">
        <f>IF(OR(COUNTA(A2954:E2954)=0,D2954=""),"",IFERROR(INDEX(ca_type,MATCH(D2954,ca_name,0))&amp;"",""))</f>
        <v/>
      </c>
      <c r="I2954" s="58" t="str">
        <f>IF(COUNTA(A2954:E2954)=0,"",IF(N(A2954)&lt;=0,"Date manquante ou invalide",IF(B2954="","Équipe manquante",IF(ISNA(MATCH(B2954,eq_code,0)),"Équipe inconnue",IF(C2954="","Poste manquant",IF(ISNA(MATCH(C2954,po_code,0)),"Poste inconnu",IF(D2954="","Cause manquante",IF(ISNA(MATCH(D2954,ca_name,0)),"Cause inconnue",IF(H2954="","Cause à compléter dans Paramètres",IF(OR(NOT(ISNUMBER(E2954)),N(E2954)&lt;=0,N(E2954)&gt;1440),"Durée invalide",IF(COUNTIFS(sj_date,A2954,sj_eq,B2954,sj_po,C2954)=0,"Pas de saisie journalière ce jour-là","OK")))))))))))</f>
        <v/>
      </c>
      <c r="J2954">
        <f>IF(OR(I2954="OK",I2954="Pas de saisie journalière ce jour-là"),E2954,0)</f>
        <v>0.0</v>
      </c>
      <c r="K2954">
        <f>IF(AND(J2954&gt;0,A2954&gt;=p_from,A2954&lt;=p_to),1,0)</f>
        <v>0.0</v>
      </c>
      <c r="L2954">
        <f>IF(AND(K2954=1,OR(pa_po="",C2954=pa_po),OR(pa_eq="",B2954=pa_eq)),1,0)</f>
        <v>0.0</v>
      </c>
    </row>
    <row r="2955">
      <c r="A2955" s="51" t="n"/>
      <c r="B2955" s="52" t="n"/>
      <c r="C2955" s="52" t="n"/>
      <c r="D2955" s="53" t="n"/>
      <c r="E2955" s="60" t="n"/>
      <c r="F2955" s="53" t="n"/>
      <c r="G2955" s="61" t="str">
        <f>IF(OR(COUNTA(A2955:E2955)=0,D2955=""),"",IFERROR(INDEX(ca_fam,MATCH(D2955,ca_name,0))&amp;"",""))</f>
        <v/>
      </c>
      <c r="H2955" s="58" t="str">
        <f>IF(OR(COUNTA(A2955:E2955)=0,D2955=""),"",IFERROR(INDEX(ca_type,MATCH(D2955,ca_name,0))&amp;"",""))</f>
        <v/>
      </c>
      <c r="I2955" s="58" t="str">
        <f>IF(COUNTA(A2955:E2955)=0,"",IF(N(A2955)&lt;=0,"Date manquante ou invalide",IF(B2955="","Équipe manquante",IF(ISNA(MATCH(B2955,eq_code,0)),"Équipe inconnue",IF(C2955="","Poste manquant",IF(ISNA(MATCH(C2955,po_code,0)),"Poste inconnu",IF(D2955="","Cause manquante",IF(ISNA(MATCH(D2955,ca_name,0)),"Cause inconnue",IF(H2955="","Cause à compléter dans Paramètres",IF(OR(NOT(ISNUMBER(E2955)),N(E2955)&lt;=0,N(E2955)&gt;1440),"Durée invalide",IF(COUNTIFS(sj_date,A2955,sj_eq,B2955,sj_po,C2955)=0,"Pas de saisie journalière ce jour-là","OK")))))))))))</f>
        <v/>
      </c>
      <c r="J2955">
        <f>IF(OR(I2955="OK",I2955="Pas de saisie journalière ce jour-là"),E2955,0)</f>
        <v>0.0</v>
      </c>
      <c r="K2955">
        <f>IF(AND(J2955&gt;0,A2955&gt;=p_from,A2955&lt;=p_to),1,0)</f>
        <v>0.0</v>
      </c>
      <c r="L2955">
        <f>IF(AND(K2955=1,OR(pa_po="",C2955=pa_po),OR(pa_eq="",B2955=pa_eq)),1,0)</f>
        <v>0.0</v>
      </c>
    </row>
    <row r="2956">
      <c r="A2956" s="51" t="n"/>
      <c r="B2956" s="52" t="n"/>
      <c r="C2956" s="52" t="n"/>
      <c r="D2956" s="53" t="n"/>
      <c r="E2956" s="60" t="n"/>
      <c r="F2956" s="53" t="n"/>
      <c r="G2956" s="61" t="str">
        <f>IF(OR(COUNTA(A2956:E2956)=0,D2956=""),"",IFERROR(INDEX(ca_fam,MATCH(D2956,ca_name,0))&amp;"",""))</f>
        <v/>
      </c>
      <c r="H2956" s="58" t="str">
        <f>IF(OR(COUNTA(A2956:E2956)=0,D2956=""),"",IFERROR(INDEX(ca_type,MATCH(D2956,ca_name,0))&amp;"",""))</f>
        <v/>
      </c>
      <c r="I2956" s="58" t="str">
        <f>IF(COUNTA(A2956:E2956)=0,"",IF(N(A2956)&lt;=0,"Date manquante ou invalide",IF(B2956="","Équipe manquante",IF(ISNA(MATCH(B2956,eq_code,0)),"Équipe inconnue",IF(C2956="","Poste manquant",IF(ISNA(MATCH(C2956,po_code,0)),"Poste inconnu",IF(D2956="","Cause manquante",IF(ISNA(MATCH(D2956,ca_name,0)),"Cause inconnue",IF(H2956="","Cause à compléter dans Paramètres",IF(OR(NOT(ISNUMBER(E2956)),N(E2956)&lt;=0,N(E2956)&gt;1440),"Durée invalide",IF(COUNTIFS(sj_date,A2956,sj_eq,B2956,sj_po,C2956)=0,"Pas de saisie journalière ce jour-là","OK")))))))))))</f>
        <v/>
      </c>
      <c r="J2956">
        <f>IF(OR(I2956="OK",I2956="Pas de saisie journalière ce jour-là"),E2956,0)</f>
        <v>0.0</v>
      </c>
      <c r="K2956">
        <f>IF(AND(J2956&gt;0,A2956&gt;=p_from,A2956&lt;=p_to),1,0)</f>
        <v>0.0</v>
      </c>
      <c r="L2956">
        <f>IF(AND(K2956=1,OR(pa_po="",C2956=pa_po),OR(pa_eq="",B2956=pa_eq)),1,0)</f>
        <v>0.0</v>
      </c>
    </row>
    <row r="2957">
      <c r="A2957" s="51" t="n"/>
      <c r="B2957" s="52" t="n"/>
      <c r="C2957" s="52" t="n"/>
      <c r="D2957" s="53" t="n"/>
      <c r="E2957" s="60" t="n"/>
      <c r="F2957" s="53" t="n"/>
      <c r="G2957" s="61" t="str">
        <f>IF(OR(COUNTA(A2957:E2957)=0,D2957=""),"",IFERROR(INDEX(ca_fam,MATCH(D2957,ca_name,0))&amp;"",""))</f>
        <v/>
      </c>
      <c r="H2957" s="58" t="str">
        <f>IF(OR(COUNTA(A2957:E2957)=0,D2957=""),"",IFERROR(INDEX(ca_type,MATCH(D2957,ca_name,0))&amp;"",""))</f>
        <v/>
      </c>
      <c r="I2957" s="58" t="str">
        <f>IF(COUNTA(A2957:E2957)=0,"",IF(N(A2957)&lt;=0,"Date manquante ou invalide",IF(B2957="","Équipe manquante",IF(ISNA(MATCH(B2957,eq_code,0)),"Équipe inconnue",IF(C2957="","Poste manquant",IF(ISNA(MATCH(C2957,po_code,0)),"Poste inconnu",IF(D2957="","Cause manquante",IF(ISNA(MATCH(D2957,ca_name,0)),"Cause inconnue",IF(H2957="","Cause à compléter dans Paramètres",IF(OR(NOT(ISNUMBER(E2957)),N(E2957)&lt;=0,N(E2957)&gt;1440),"Durée invalide",IF(COUNTIFS(sj_date,A2957,sj_eq,B2957,sj_po,C2957)=0,"Pas de saisie journalière ce jour-là","OK")))))))))))</f>
        <v/>
      </c>
      <c r="J2957">
        <f>IF(OR(I2957="OK",I2957="Pas de saisie journalière ce jour-là"),E2957,0)</f>
        <v>0.0</v>
      </c>
      <c r="K2957">
        <f>IF(AND(J2957&gt;0,A2957&gt;=p_from,A2957&lt;=p_to),1,0)</f>
        <v>0.0</v>
      </c>
      <c r="L2957">
        <f>IF(AND(K2957=1,OR(pa_po="",C2957=pa_po),OR(pa_eq="",B2957=pa_eq)),1,0)</f>
        <v>0.0</v>
      </c>
    </row>
    <row r="2958">
      <c r="A2958" s="51" t="n"/>
      <c r="B2958" s="52" t="n"/>
      <c r="C2958" s="52" t="n"/>
      <c r="D2958" s="53" t="n"/>
      <c r="E2958" s="60" t="n"/>
      <c r="F2958" s="53" t="n"/>
      <c r="G2958" s="61" t="str">
        <f>IF(OR(COUNTA(A2958:E2958)=0,D2958=""),"",IFERROR(INDEX(ca_fam,MATCH(D2958,ca_name,0))&amp;"",""))</f>
        <v/>
      </c>
      <c r="H2958" s="58" t="str">
        <f>IF(OR(COUNTA(A2958:E2958)=0,D2958=""),"",IFERROR(INDEX(ca_type,MATCH(D2958,ca_name,0))&amp;"",""))</f>
        <v/>
      </c>
      <c r="I2958" s="58" t="str">
        <f>IF(COUNTA(A2958:E2958)=0,"",IF(N(A2958)&lt;=0,"Date manquante ou invalide",IF(B2958="","Équipe manquante",IF(ISNA(MATCH(B2958,eq_code,0)),"Équipe inconnue",IF(C2958="","Poste manquant",IF(ISNA(MATCH(C2958,po_code,0)),"Poste inconnu",IF(D2958="","Cause manquante",IF(ISNA(MATCH(D2958,ca_name,0)),"Cause inconnue",IF(H2958="","Cause à compléter dans Paramètres",IF(OR(NOT(ISNUMBER(E2958)),N(E2958)&lt;=0,N(E2958)&gt;1440),"Durée invalide",IF(COUNTIFS(sj_date,A2958,sj_eq,B2958,sj_po,C2958)=0,"Pas de saisie journalière ce jour-là","OK")))))))))))</f>
        <v/>
      </c>
      <c r="J2958">
        <f>IF(OR(I2958="OK",I2958="Pas de saisie journalière ce jour-là"),E2958,0)</f>
        <v>0.0</v>
      </c>
      <c r="K2958">
        <f>IF(AND(J2958&gt;0,A2958&gt;=p_from,A2958&lt;=p_to),1,0)</f>
        <v>0.0</v>
      </c>
      <c r="L2958">
        <f>IF(AND(K2958=1,OR(pa_po="",C2958=pa_po),OR(pa_eq="",B2958=pa_eq)),1,0)</f>
        <v>0.0</v>
      </c>
    </row>
    <row r="2959">
      <c r="A2959" s="51" t="n"/>
      <c r="B2959" s="52" t="n"/>
      <c r="C2959" s="52" t="n"/>
      <c r="D2959" s="53" t="n"/>
      <c r="E2959" s="60" t="n"/>
      <c r="F2959" s="53" t="n"/>
      <c r="G2959" s="61" t="str">
        <f>IF(OR(COUNTA(A2959:E2959)=0,D2959=""),"",IFERROR(INDEX(ca_fam,MATCH(D2959,ca_name,0))&amp;"",""))</f>
        <v/>
      </c>
      <c r="H2959" s="58" t="str">
        <f>IF(OR(COUNTA(A2959:E2959)=0,D2959=""),"",IFERROR(INDEX(ca_type,MATCH(D2959,ca_name,0))&amp;"",""))</f>
        <v/>
      </c>
      <c r="I2959" s="58" t="str">
        <f>IF(COUNTA(A2959:E2959)=0,"",IF(N(A2959)&lt;=0,"Date manquante ou invalide",IF(B2959="","Équipe manquante",IF(ISNA(MATCH(B2959,eq_code,0)),"Équipe inconnue",IF(C2959="","Poste manquant",IF(ISNA(MATCH(C2959,po_code,0)),"Poste inconnu",IF(D2959="","Cause manquante",IF(ISNA(MATCH(D2959,ca_name,0)),"Cause inconnue",IF(H2959="","Cause à compléter dans Paramètres",IF(OR(NOT(ISNUMBER(E2959)),N(E2959)&lt;=0,N(E2959)&gt;1440),"Durée invalide",IF(COUNTIFS(sj_date,A2959,sj_eq,B2959,sj_po,C2959)=0,"Pas de saisie journalière ce jour-là","OK")))))))))))</f>
        <v/>
      </c>
      <c r="J2959">
        <f>IF(OR(I2959="OK",I2959="Pas de saisie journalière ce jour-là"),E2959,0)</f>
        <v>0.0</v>
      </c>
      <c r="K2959">
        <f>IF(AND(J2959&gt;0,A2959&gt;=p_from,A2959&lt;=p_to),1,0)</f>
        <v>0.0</v>
      </c>
      <c r="L2959">
        <f>IF(AND(K2959=1,OR(pa_po="",C2959=pa_po),OR(pa_eq="",B2959=pa_eq)),1,0)</f>
        <v>0.0</v>
      </c>
    </row>
    <row r="2960">
      <c r="A2960" s="51" t="n"/>
      <c r="B2960" s="52" t="n"/>
      <c r="C2960" s="52" t="n"/>
      <c r="D2960" s="53" t="n"/>
      <c r="E2960" s="60" t="n"/>
      <c r="F2960" s="53" t="n"/>
      <c r="G2960" s="61" t="str">
        <f>IF(OR(COUNTA(A2960:E2960)=0,D2960=""),"",IFERROR(INDEX(ca_fam,MATCH(D2960,ca_name,0))&amp;"",""))</f>
        <v/>
      </c>
      <c r="H2960" s="58" t="str">
        <f>IF(OR(COUNTA(A2960:E2960)=0,D2960=""),"",IFERROR(INDEX(ca_type,MATCH(D2960,ca_name,0))&amp;"",""))</f>
        <v/>
      </c>
      <c r="I2960" s="58" t="str">
        <f>IF(COUNTA(A2960:E2960)=0,"",IF(N(A2960)&lt;=0,"Date manquante ou invalide",IF(B2960="","Équipe manquante",IF(ISNA(MATCH(B2960,eq_code,0)),"Équipe inconnue",IF(C2960="","Poste manquant",IF(ISNA(MATCH(C2960,po_code,0)),"Poste inconnu",IF(D2960="","Cause manquante",IF(ISNA(MATCH(D2960,ca_name,0)),"Cause inconnue",IF(H2960="","Cause à compléter dans Paramètres",IF(OR(NOT(ISNUMBER(E2960)),N(E2960)&lt;=0,N(E2960)&gt;1440),"Durée invalide",IF(COUNTIFS(sj_date,A2960,sj_eq,B2960,sj_po,C2960)=0,"Pas de saisie journalière ce jour-là","OK")))))))))))</f>
        <v/>
      </c>
      <c r="J2960">
        <f>IF(OR(I2960="OK",I2960="Pas de saisie journalière ce jour-là"),E2960,0)</f>
        <v>0.0</v>
      </c>
      <c r="K2960">
        <f>IF(AND(J2960&gt;0,A2960&gt;=p_from,A2960&lt;=p_to),1,0)</f>
        <v>0.0</v>
      </c>
      <c r="L2960">
        <f>IF(AND(K2960=1,OR(pa_po="",C2960=pa_po),OR(pa_eq="",B2960=pa_eq)),1,0)</f>
        <v>0.0</v>
      </c>
    </row>
    <row r="2961">
      <c r="A2961" s="51" t="n"/>
      <c r="B2961" s="52" t="n"/>
      <c r="C2961" s="52" t="n"/>
      <c r="D2961" s="53" t="n"/>
      <c r="E2961" s="60" t="n"/>
      <c r="F2961" s="53" t="n"/>
      <c r="G2961" s="61" t="str">
        <f>IF(OR(COUNTA(A2961:E2961)=0,D2961=""),"",IFERROR(INDEX(ca_fam,MATCH(D2961,ca_name,0))&amp;"",""))</f>
        <v/>
      </c>
      <c r="H2961" s="58" t="str">
        <f>IF(OR(COUNTA(A2961:E2961)=0,D2961=""),"",IFERROR(INDEX(ca_type,MATCH(D2961,ca_name,0))&amp;"",""))</f>
        <v/>
      </c>
      <c r="I2961" s="58" t="str">
        <f>IF(COUNTA(A2961:E2961)=0,"",IF(N(A2961)&lt;=0,"Date manquante ou invalide",IF(B2961="","Équipe manquante",IF(ISNA(MATCH(B2961,eq_code,0)),"Équipe inconnue",IF(C2961="","Poste manquant",IF(ISNA(MATCH(C2961,po_code,0)),"Poste inconnu",IF(D2961="","Cause manquante",IF(ISNA(MATCH(D2961,ca_name,0)),"Cause inconnue",IF(H2961="","Cause à compléter dans Paramètres",IF(OR(NOT(ISNUMBER(E2961)),N(E2961)&lt;=0,N(E2961)&gt;1440),"Durée invalide",IF(COUNTIFS(sj_date,A2961,sj_eq,B2961,sj_po,C2961)=0,"Pas de saisie journalière ce jour-là","OK")))))))))))</f>
        <v/>
      </c>
      <c r="J2961">
        <f>IF(OR(I2961="OK",I2961="Pas de saisie journalière ce jour-là"),E2961,0)</f>
        <v>0.0</v>
      </c>
      <c r="K2961">
        <f>IF(AND(J2961&gt;0,A2961&gt;=p_from,A2961&lt;=p_to),1,0)</f>
        <v>0.0</v>
      </c>
      <c r="L2961">
        <f>IF(AND(K2961=1,OR(pa_po="",C2961=pa_po),OR(pa_eq="",B2961=pa_eq)),1,0)</f>
        <v>0.0</v>
      </c>
    </row>
    <row r="2962">
      <c r="A2962" s="51" t="n"/>
      <c r="B2962" s="52" t="n"/>
      <c r="C2962" s="52" t="n"/>
      <c r="D2962" s="53" t="n"/>
      <c r="E2962" s="60" t="n"/>
      <c r="F2962" s="53" t="n"/>
      <c r="G2962" s="61" t="str">
        <f>IF(OR(COUNTA(A2962:E2962)=0,D2962=""),"",IFERROR(INDEX(ca_fam,MATCH(D2962,ca_name,0))&amp;"",""))</f>
        <v/>
      </c>
      <c r="H2962" s="58" t="str">
        <f>IF(OR(COUNTA(A2962:E2962)=0,D2962=""),"",IFERROR(INDEX(ca_type,MATCH(D2962,ca_name,0))&amp;"",""))</f>
        <v/>
      </c>
      <c r="I2962" s="58" t="str">
        <f>IF(COUNTA(A2962:E2962)=0,"",IF(N(A2962)&lt;=0,"Date manquante ou invalide",IF(B2962="","Équipe manquante",IF(ISNA(MATCH(B2962,eq_code,0)),"Équipe inconnue",IF(C2962="","Poste manquant",IF(ISNA(MATCH(C2962,po_code,0)),"Poste inconnu",IF(D2962="","Cause manquante",IF(ISNA(MATCH(D2962,ca_name,0)),"Cause inconnue",IF(H2962="","Cause à compléter dans Paramètres",IF(OR(NOT(ISNUMBER(E2962)),N(E2962)&lt;=0,N(E2962)&gt;1440),"Durée invalide",IF(COUNTIFS(sj_date,A2962,sj_eq,B2962,sj_po,C2962)=0,"Pas de saisie journalière ce jour-là","OK")))))))))))</f>
        <v/>
      </c>
      <c r="J2962">
        <f>IF(OR(I2962="OK",I2962="Pas de saisie journalière ce jour-là"),E2962,0)</f>
        <v>0.0</v>
      </c>
      <c r="K2962">
        <f>IF(AND(J2962&gt;0,A2962&gt;=p_from,A2962&lt;=p_to),1,0)</f>
        <v>0.0</v>
      </c>
      <c r="L2962">
        <f>IF(AND(K2962=1,OR(pa_po="",C2962=pa_po),OR(pa_eq="",B2962=pa_eq)),1,0)</f>
        <v>0.0</v>
      </c>
    </row>
    <row r="2963">
      <c r="A2963" s="51" t="n"/>
      <c r="B2963" s="52" t="n"/>
      <c r="C2963" s="52" t="n"/>
      <c r="D2963" s="53" t="n"/>
      <c r="E2963" s="60" t="n"/>
      <c r="F2963" s="53" t="n"/>
      <c r="G2963" s="61" t="str">
        <f>IF(OR(COUNTA(A2963:E2963)=0,D2963=""),"",IFERROR(INDEX(ca_fam,MATCH(D2963,ca_name,0))&amp;"",""))</f>
        <v/>
      </c>
      <c r="H2963" s="58" t="str">
        <f>IF(OR(COUNTA(A2963:E2963)=0,D2963=""),"",IFERROR(INDEX(ca_type,MATCH(D2963,ca_name,0))&amp;"",""))</f>
        <v/>
      </c>
      <c r="I2963" s="58" t="str">
        <f>IF(COUNTA(A2963:E2963)=0,"",IF(N(A2963)&lt;=0,"Date manquante ou invalide",IF(B2963="","Équipe manquante",IF(ISNA(MATCH(B2963,eq_code,0)),"Équipe inconnue",IF(C2963="","Poste manquant",IF(ISNA(MATCH(C2963,po_code,0)),"Poste inconnu",IF(D2963="","Cause manquante",IF(ISNA(MATCH(D2963,ca_name,0)),"Cause inconnue",IF(H2963="","Cause à compléter dans Paramètres",IF(OR(NOT(ISNUMBER(E2963)),N(E2963)&lt;=0,N(E2963)&gt;1440),"Durée invalide",IF(COUNTIFS(sj_date,A2963,sj_eq,B2963,sj_po,C2963)=0,"Pas de saisie journalière ce jour-là","OK")))))))))))</f>
        <v/>
      </c>
      <c r="J2963">
        <f>IF(OR(I2963="OK",I2963="Pas de saisie journalière ce jour-là"),E2963,0)</f>
        <v>0.0</v>
      </c>
      <c r="K2963">
        <f>IF(AND(J2963&gt;0,A2963&gt;=p_from,A2963&lt;=p_to),1,0)</f>
        <v>0.0</v>
      </c>
      <c r="L2963">
        <f>IF(AND(K2963=1,OR(pa_po="",C2963=pa_po),OR(pa_eq="",B2963=pa_eq)),1,0)</f>
        <v>0.0</v>
      </c>
    </row>
    <row r="2964">
      <c r="A2964" s="51" t="n"/>
      <c r="B2964" s="52" t="n"/>
      <c r="C2964" s="52" t="n"/>
      <c r="D2964" s="53" t="n"/>
      <c r="E2964" s="60" t="n"/>
      <c r="F2964" s="53" t="n"/>
      <c r="G2964" s="61" t="str">
        <f>IF(OR(COUNTA(A2964:E2964)=0,D2964=""),"",IFERROR(INDEX(ca_fam,MATCH(D2964,ca_name,0))&amp;"",""))</f>
        <v/>
      </c>
      <c r="H2964" s="58" t="str">
        <f>IF(OR(COUNTA(A2964:E2964)=0,D2964=""),"",IFERROR(INDEX(ca_type,MATCH(D2964,ca_name,0))&amp;"",""))</f>
        <v/>
      </c>
      <c r="I2964" s="58" t="str">
        <f>IF(COUNTA(A2964:E2964)=0,"",IF(N(A2964)&lt;=0,"Date manquante ou invalide",IF(B2964="","Équipe manquante",IF(ISNA(MATCH(B2964,eq_code,0)),"Équipe inconnue",IF(C2964="","Poste manquant",IF(ISNA(MATCH(C2964,po_code,0)),"Poste inconnu",IF(D2964="","Cause manquante",IF(ISNA(MATCH(D2964,ca_name,0)),"Cause inconnue",IF(H2964="","Cause à compléter dans Paramètres",IF(OR(NOT(ISNUMBER(E2964)),N(E2964)&lt;=0,N(E2964)&gt;1440),"Durée invalide",IF(COUNTIFS(sj_date,A2964,sj_eq,B2964,sj_po,C2964)=0,"Pas de saisie journalière ce jour-là","OK")))))))))))</f>
        <v/>
      </c>
      <c r="J2964">
        <f>IF(OR(I2964="OK",I2964="Pas de saisie journalière ce jour-là"),E2964,0)</f>
        <v>0.0</v>
      </c>
      <c r="K2964">
        <f>IF(AND(J2964&gt;0,A2964&gt;=p_from,A2964&lt;=p_to),1,0)</f>
        <v>0.0</v>
      </c>
      <c r="L2964">
        <f>IF(AND(K2964=1,OR(pa_po="",C2964=pa_po),OR(pa_eq="",B2964=pa_eq)),1,0)</f>
        <v>0.0</v>
      </c>
    </row>
    <row r="2965">
      <c r="A2965" s="51" t="n"/>
      <c r="B2965" s="52" t="n"/>
      <c r="C2965" s="52" t="n"/>
      <c r="D2965" s="53" t="n"/>
      <c r="E2965" s="60" t="n"/>
      <c r="F2965" s="53" t="n"/>
      <c r="G2965" s="61" t="str">
        <f>IF(OR(COUNTA(A2965:E2965)=0,D2965=""),"",IFERROR(INDEX(ca_fam,MATCH(D2965,ca_name,0))&amp;"",""))</f>
        <v/>
      </c>
      <c r="H2965" s="58" t="str">
        <f>IF(OR(COUNTA(A2965:E2965)=0,D2965=""),"",IFERROR(INDEX(ca_type,MATCH(D2965,ca_name,0))&amp;"",""))</f>
        <v/>
      </c>
      <c r="I2965" s="58" t="str">
        <f>IF(COUNTA(A2965:E2965)=0,"",IF(N(A2965)&lt;=0,"Date manquante ou invalide",IF(B2965="","Équipe manquante",IF(ISNA(MATCH(B2965,eq_code,0)),"Équipe inconnue",IF(C2965="","Poste manquant",IF(ISNA(MATCH(C2965,po_code,0)),"Poste inconnu",IF(D2965="","Cause manquante",IF(ISNA(MATCH(D2965,ca_name,0)),"Cause inconnue",IF(H2965="","Cause à compléter dans Paramètres",IF(OR(NOT(ISNUMBER(E2965)),N(E2965)&lt;=0,N(E2965)&gt;1440),"Durée invalide",IF(COUNTIFS(sj_date,A2965,sj_eq,B2965,sj_po,C2965)=0,"Pas de saisie journalière ce jour-là","OK")))))))))))</f>
        <v/>
      </c>
      <c r="J2965">
        <f>IF(OR(I2965="OK",I2965="Pas de saisie journalière ce jour-là"),E2965,0)</f>
        <v>0.0</v>
      </c>
      <c r="K2965">
        <f>IF(AND(J2965&gt;0,A2965&gt;=p_from,A2965&lt;=p_to),1,0)</f>
        <v>0.0</v>
      </c>
      <c r="L2965">
        <f>IF(AND(K2965=1,OR(pa_po="",C2965=pa_po),OR(pa_eq="",B2965=pa_eq)),1,0)</f>
        <v>0.0</v>
      </c>
    </row>
    <row r="2966">
      <c r="A2966" s="51" t="n"/>
      <c r="B2966" s="52" t="n"/>
      <c r="C2966" s="52" t="n"/>
      <c r="D2966" s="53" t="n"/>
      <c r="E2966" s="60" t="n"/>
      <c r="F2966" s="53" t="n"/>
      <c r="G2966" s="61" t="str">
        <f>IF(OR(COUNTA(A2966:E2966)=0,D2966=""),"",IFERROR(INDEX(ca_fam,MATCH(D2966,ca_name,0))&amp;"",""))</f>
        <v/>
      </c>
      <c r="H2966" s="58" t="str">
        <f>IF(OR(COUNTA(A2966:E2966)=0,D2966=""),"",IFERROR(INDEX(ca_type,MATCH(D2966,ca_name,0))&amp;"",""))</f>
        <v/>
      </c>
      <c r="I2966" s="58" t="str">
        <f>IF(COUNTA(A2966:E2966)=0,"",IF(N(A2966)&lt;=0,"Date manquante ou invalide",IF(B2966="","Équipe manquante",IF(ISNA(MATCH(B2966,eq_code,0)),"Équipe inconnue",IF(C2966="","Poste manquant",IF(ISNA(MATCH(C2966,po_code,0)),"Poste inconnu",IF(D2966="","Cause manquante",IF(ISNA(MATCH(D2966,ca_name,0)),"Cause inconnue",IF(H2966="","Cause à compléter dans Paramètres",IF(OR(NOT(ISNUMBER(E2966)),N(E2966)&lt;=0,N(E2966)&gt;1440),"Durée invalide",IF(COUNTIFS(sj_date,A2966,sj_eq,B2966,sj_po,C2966)=0,"Pas de saisie journalière ce jour-là","OK")))))))))))</f>
        <v/>
      </c>
      <c r="J2966">
        <f>IF(OR(I2966="OK",I2966="Pas de saisie journalière ce jour-là"),E2966,0)</f>
        <v>0.0</v>
      </c>
      <c r="K2966">
        <f>IF(AND(J2966&gt;0,A2966&gt;=p_from,A2966&lt;=p_to),1,0)</f>
        <v>0.0</v>
      </c>
      <c r="L2966">
        <f>IF(AND(K2966=1,OR(pa_po="",C2966=pa_po),OR(pa_eq="",B2966=pa_eq)),1,0)</f>
        <v>0.0</v>
      </c>
    </row>
    <row r="2967">
      <c r="A2967" s="51" t="n"/>
      <c r="B2967" s="52" t="n"/>
      <c r="C2967" s="52" t="n"/>
      <c r="D2967" s="53" t="n"/>
      <c r="E2967" s="60" t="n"/>
      <c r="F2967" s="53" t="n"/>
      <c r="G2967" s="61" t="str">
        <f>IF(OR(COUNTA(A2967:E2967)=0,D2967=""),"",IFERROR(INDEX(ca_fam,MATCH(D2967,ca_name,0))&amp;"",""))</f>
        <v/>
      </c>
      <c r="H2967" s="58" t="str">
        <f>IF(OR(COUNTA(A2967:E2967)=0,D2967=""),"",IFERROR(INDEX(ca_type,MATCH(D2967,ca_name,0))&amp;"",""))</f>
        <v/>
      </c>
      <c r="I2967" s="58" t="str">
        <f>IF(COUNTA(A2967:E2967)=0,"",IF(N(A2967)&lt;=0,"Date manquante ou invalide",IF(B2967="","Équipe manquante",IF(ISNA(MATCH(B2967,eq_code,0)),"Équipe inconnue",IF(C2967="","Poste manquant",IF(ISNA(MATCH(C2967,po_code,0)),"Poste inconnu",IF(D2967="","Cause manquante",IF(ISNA(MATCH(D2967,ca_name,0)),"Cause inconnue",IF(H2967="","Cause à compléter dans Paramètres",IF(OR(NOT(ISNUMBER(E2967)),N(E2967)&lt;=0,N(E2967)&gt;1440),"Durée invalide",IF(COUNTIFS(sj_date,A2967,sj_eq,B2967,sj_po,C2967)=0,"Pas de saisie journalière ce jour-là","OK")))))))))))</f>
        <v/>
      </c>
      <c r="J2967">
        <f>IF(OR(I2967="OK",I2967="Pas de saisie journalière ce jour-là"),E2967,0)</f>
        <v>0.0</v>
      </c>
      <c r="K2967">
        <f>IF(AND(J2967&gt;0,A2967&gt;=p_from,A2967&lt;=p_to),1,0)</f>
        <v>0.0</v>
      </c>
      <c r="L2967">
        <f>IF(AND(K2967=1,OR(pa_po="",C2967=pa_po),OR(pa_eq="",B2967=pa_eq)),1,0)</f>
        <v>0.0</v>
      </c>
    </row>
    <row r="2968">
      <c r="A2968" s="51" t="n"/>
      <c r="B2968" s="52" t="n"/>
      <c r="C2968" s="52" t="n"/>
      <c r="D2968" s="53" t="n"/>
      <c r="E2968" s="60" t="n"/>
      <c r="F2968" s="53" t="n"/>
      <c r="G2968" s="61" t="str">
        <f>IF(OR(COUNTA(A2968:E2968)=0,D2968=""),"",IFERROR(INDEX(ca_fam,MATCH(D2968,ca_name,0))&amp;"",""))</f>
        <v/>
      </c>
      <c r="H2968" s="58" t="str">
        <f>IF(OR(COUNTA(A2968:E2968)=0,D2968=""),"",IFERROR(INDEX(ca_type,MATCH(D2968,ca_name,0))&amp;"",""))</f>
        <v/>
      </c>
      <c r="I2968" s="58" t="str">
        <f>IF(COUNTA(A2968:E2968)=0,"",IF(N(A2968)&lt;=0,"Date manquante ou invalide",IF(B2968="","Équipe manquante",IF(ISNA(MATCH(B2968,eq_code,0)),"Équipe inconnue",IF(C2968="","Poste manquant",IF(ISNA(MATCH(C2968,po_code,0)),"Poste inconnu",IF(D2968="","Cause manquante",IF(ISNA(MATCH(D2968,ca_name,0)),"Cause inconnue",IF(H2968="","Cause à compléter dans Paramètres",IF(OR(NOT(ISNUMBER(E2968)),N(E2968)&lt;=0,N(E2968)&gt;1440),"Durée invalide",IF(COUNTIFS(sj_date,A2968,sj_eq,B2968,sj_po,C2968)=0,"Pas de saisie journalière ce jour-là","OK")))))))))))</f>
        <v/>
      </c>
      <c r="J2968">
        <f>IF(OR(I2968="OK",I2968="Pas de saisie journalière ce jour-là"),E2968,0)</f>
        <v>0.0</v>
      </c>
      <c r="K2968">
        <f>IF(AND(J2968&gt;0,A2968&gt;=p_from,A2968&lt;=p_to),1,0)</f>
        <v>0.0</v>
      </c>
      <c r="L2968">
        <f>IF(AND(K2968=1,OR(pa_po="",C2968=pa_po),OR(pa_eq="",B2968=pa_eq)),1,0)</f>
        <v>0.0</v>
      </c>
    </row>
    <row r="2969">
      <c r="A2969" s="51" t="n"/>
      <c r="B2969" s="52" t="n"/>
      <c r="C2969" s="52" t="n"/>
      <c r="D2969" s="53" t="n"/>
      <c r="E2969" s="60" t="n"/>
      <c r="F2969" s="53" t="n"/>
      <c r="G2969" s="61" t="str">
        <f>IF(OR(COUNTA(A2969:E2969)=0,D2969=""),"",IFERROR(INDEX(ca_fam,MATCH(D2969,ca_name,0))&amp;"",""))</f>
        <v/>
      </c>
      <c r="H2969" s="58" t="str">
        <f>IF(OR(COUNTA(A2969:E2969)=0,D2969=""),"",IFERROR(INDEX(ca_type,MATCH(D2969,ca_name,0))&amp;"",""))</f>
        <v/>
      </c>
      <c r="I2969" s="58" t="str">
        <f>IF(COUNTA(A2969:E2969)=0,"",IF(N(A2969)&lt;=0,"Date manquante ou invalide",IF(B2969="","Équipe manquante",IF(ISNA(MATCH(B2969,eq_code,0)),"Équipe inconnue",IF(C2969="","Poste manquant",IF(ISNA(MATCH(C2969,po_code,0)),"Poste inconnu",IF(D2969="","Cause manquante",IF(ISNA(MATCH(D2969,ca_name,0)),"Cause inconnue",IF(H2969="","Cause à compléter dans Paramètres",IF(OR(NOT(ISNUMBER(E2969)),N(E2969)&lt;=0,N(E2969)&gt;1440),"Durée invalide",IF(COUNTIFS(sj_date,A2969,sj_eq,B2969,sj_po,C2969)=0,"Pas de saisie journalière ce jour-là","OK")))))))))))</f>
        <v/>
      </c>
      <c r="J2969">
        <f>IF(OR(I2969="OK",I2969="Pas de saisie journalière ce jour-là"),E2969,0)</f>
        <v>0.0</v>
      </c>
      <c r="K2969">
        <f>IF(AND(J2969&gt;0,A2969&gt;=p_from,A2969&lt;=p_to),1,0)</f>
        <v>0.0</v>
      </c>
      <c r="L2969">
        <f>IF(AND(K2969=1,OR(pa_po="",C2969=pa_po),OR(pa_eq="",B2969=pa_eq)),1,0)</f>
        <v>0.0</v>
      </c>
    </row>
    <row r="2970">
      <c r="A2970" s="51" t="n"/>
      <c r="B2970" s="52" t="n"/>
      <c r="C2970" s="52" t="n"/>
      <c r="D2970" s="53" t="n"/>
      <c r="E2970" s="60" t="n"/>
      <c r="F2970" s="53" t="n"/>
      <c r="G2970" s="61" t="str">
        <f>IF(OR(COUNTA(A2970:E2970)=0,D2970=""),"",IFERROR(INDEX(ca_fam,MATCH(D2970,ca_name,0))&amp;"",""))</f>
        <v/>
      </c>
      <c r="H2970" s="58" t="str">
        <f>IF(OR(COUNTA(A2970:E2970)=0,D2970=""),"",IFERROR(INDEX(ca_type,MATCH(D2970,ca_name,0))&amp;"",""))</f>
        <v/>
      </c>
      <c r="I2970" s="58" t="str">
        <f>IF(COUNTA(A2970:E2970)=0,"",IF(N(A2970)&lt;=0,"Date manquante ou invalide",IF(B2970="","Équipe manquante",IF(ISNA(MATCH(B2970,eq_code,0)),"Équipe inconnue",IF(C2970="","Poste manquant",IF(ISNA(MATCH(C2970,po_code,0)),"Poste inconnu",IF(D2970="","Cause manquante",IF(ISNA(MATCH(D2970,ca_name,0)),"Cause inconnue",IF(H2970="","Cause à compléter dans Paramètres",IF(OR(NOT(ISNUMBER(E2970)),N(E2970)&lt;=0,N(E2970)&gt;1440),"Durée invalide",IF(COUNTIFS(sj_date,A2970,sj_eq,B2970,sj_po,C2970)=0,"Pas de saisie journalière ce jour-là","OK")))))))))))</f>
        <v/>
      </c>
      <c r="J2970">
        <f>IF(OR(I2970="OK",I2970="Pas de saisie journalière ce jour-là"),E2970,0)</f>
        <v>0.0</v>
      </c>
      <c r="K2970">
        <f>IF(AND(J2970&gt;0,A2970&gt;=p_from,A2970&lt;=p_to),1,0)</f>
        <v>0.0</v>
      </c>
      <c r="L2970">
        <f>IF(AND(K2970=1,OR(pa_po="",C2970=pa_po),OR(pa_eq="",B2970=pa_eq)),1,0)</f>
        <v>0.0</v>
      </c>
    </row>
    <row r="2971">
      <c r="A2971" s="51" t="n"/>
      <c r="B2971" s="52" t="n"/>
      <c r="C2971" s="52" t="n"/>
      <c r="D2971" s="53" t="n"/>
      <c r="E2971" s="60" t="n"/>
      <c r="F2971" s="53" t="n"/>
      <c r="G2971" s="61" t="str">
        <f>IF(OR(COUNTA(A2971:E2971)=0,D2971=""),"",IFERROR(INDEX(ca_fam,MATCH(D2971,ca_name,0))&amp;"",""))</f>
        <v/>
      </c>
      <c r="H2971" s="58" t="str">
        <f>IF(OR(COUNTA(A2971:E2971)=0,D2971=""),"",IFERROR(INDEX(ca_type,MATCH(D2971,ca_name,0))&amp;"",""))</f>
        <v/>
      </c>
      <c r="I2971" s="58" t="str">
        <f>IF(COUNTA(A2971:E2971)=0,"",IF(N(A2971)&lt;=0,"Date manquante ou invalide",IF(B2971="","Équipe manquante",IF(ISNA(MATCH(B2971,eq_code,0)),"Équipe inconnue",IF(C2971="","Poste manquant",IF(ISNA(MATCH(C2971,po_code,0)),"Poste inconnu",IF(D2971="","Cause manquante",IF(ISNA(MATCH(D2971,ca_name,0)),"Cause inconnue",IF(H2971="","Cause à compléter dans Paramètres",IF(OR(NOT(ISNUMBER(E2971)),N(E2971)&lt;=0,N(E2971)&gt;1440),"Durée invalide",IF(COUNTIFS(sj_date,A2971,sj_eq,B2971,sj_po,C2971)=0,"Pas de saisie journalière ce jour-là","OK")))))))))))</f>
        <v/>
      </c>
      <c r="J2971">
        <f>IF(OR(I2971="OK",I2971="Pas de saisie journalière ce jour-là"),E2971,0)</f>
        <v>0.0</v>
      </c>
      <c r="K2971">
        <f>IF(AND(J2971&gt;0,A2971&gt;=p_from,A2971&lt;=p_to),1,0)</f>
        <v>0.0</v>
      </c>
      <c r="L2971">
        <f>IF(AND(K2971=1,OR(pa_po="",C2971=pa_po),OR(pa_eq="",B2971=pa_eq)),1,0)</f>
        <v>0.0</v>
      </c>
    </row>
    <row r="2972">
      <c r="A2972" s="51" t="n"/>
      <c r="B2972" s="52" t="n"/>
      <c r="C2972" s="52" t="n"/>
      <c r="D2972" s="53" t="n"/>
      <c r="E2972" s="60" t="n"/>
      <c r="F2972" s="53" t="n"/>
      <c r="G2972" s="61" t="str">
        <f>IF(OR(COUNTA(A2972:E2972)=0,D2972=""),"",IFERROR(INDEX(ca_fam,MATCH(D2972,ca_name,0))&amp;"",""))</f>
        <v/>
      </c>
      <c r="H2972" s="58" t="str">
        <f>IF(OR(COUNTA(A2972:E2972)=0,D2972=""),"",IFERROR(INDEX(ca_type,MATCH(D2972,ca_name,0))&amp;"",""))</f>
        <v/>
      </c>
      <c r="I2972" s="58" t="str">
        <f>IF(COUNTA(A2972:E2972)=0,"",IF(N(A2972)&lt;=0,"Date manquante ou invalide",IF(B2972="","Équipe manquante",IF(ISNA(MATCH(B2972,eq_code,0)),"Équipe inconnue",IF(C2972="","Poste manquant",IF(ISNA(MATCH(C2972,po_code,0)),"Poste inconnu",IF(D2972="","Cause manquante",IF(ISNA(MATCH(D2972,ca_name,0)),"Cause inconnue",IF(H2972="","Cause à compléter dans Paramètres",IF(OR(NOT(ISNUMBER(E2972)),N(E2972)&lt;=0,N(E2972)&gt;1440),"Durée invalide",IF(COUNTIFS(sj_date,A2972,sj_eq,B2972,sj_po,C2972)=0,"Pas de saisie journalière ce jour-là","OK")))))))))))</f>
        <v/>
      </c>
      <c r="J2972">
        <f>IF(OR(I2972="OK",I2972="Pas de saisie journalière ce jour-là"),E2972,0)</f>
        <v>0.0</v>
      </c>
      <c r="K2972">
        <f>IF(AND(J2972&gt;0,A2972&gt;=p_from,A2972&lt;=p_to),1,0)</f>
        <v>0.0</v>
      </c>
      <c r="L2972">
        <f>IF(AND(K2972=1,OR(pa_po="",C2972=pa_po),OR(pa_eq="",B2972=pa_eq)),1,0)</f>
        <v>0.0</v>
      </c>
    </row>
    <row r="2973">
      <c r="A2973" s="51" t="n"/>
      <c r="B2973" s="52" t="n"/>
      <c r="C2973" s="52" t="n"/>
      <c r="D2973" s="53" t="n"/>
      <c r="E2973" s="60" t="n"/>
      <c r="F2973" s="53" t="n"/>
      <c r="G2973" s="61" t="str">
        <f>IF(OR(COUNTA(A2973:E2973)=0,D2973=""),"",IFERROR(INDEX(ca_fam,MATCH(D2973,ca_name,0))&amp;"",""))</f>
        <v/>
      </c>
      <c r="H2973" s="58" t="str">
        <f>IF(OR(COUNTA(A2973:E2973)=0,D2973=""),"",IFERROR(INDEX(ca_type,MATCH(D2973,ca_name,0))&amp;"",""))</f>
        <v/>
      </c>
      <c r="I2973" s="58" t="str">
        <f>IF(COUNTA(A2973:E2973)=0,"",IF(N(A2973)&lt;=0,"Date manquante ou invalide",IF(B2973="","Équipe manquante",IF(ISNA(MATCH(B2973,eq_code,0)),"Équipe inconnue",IF(C2973="","Poste manquant",IF(ISNA(MATCH(C2973,po_code,0)),"Poste inconnu",IF(D2973="","Cause manquante",IF(ISNA(MATCH(D2973,ca_name,0)),"Cause inconnue",IF(H2973="","Cause à compléter dans Paramètres",IF(OR(NOT(ISNUMBER(E2973)),N(E2973)&lt;=0,N(E2973)&gt;1440),"Durée invalide",IF(COUNTIFS(sj_date,A2973,sj_eq,B2973,sj_po,C2973)=0,"Pas de saisie journalière ce jour-là","OK")))))))))))</f>
        <v/>
      </c>
      <c r="J2973">
        <f>IF(OR(I2973="OK",I2973="Pas de saisie journalière ce jour-là"),E2973,0)</f>
        <v>0.0</v>
      </c>
      <c r="K2973">
        <f>IF(AND(J2973&gt;0,A2973&gt;=p_from,A2973&lt;=p_to),1,0)</f>
        <v>0.0</v>
      </c>
      <c r="L2973">
        <f>IF(AND(K2973=1,OR(pa_po="",C2973=pa_po),OR(pa_eq="",B2973=pa_eq)),1,0)</f>
        <v>0.0</v>
      </c>
    </row>
    <row r="2974">
      <c r="A2974" s="51" t="n"/>
      <c r="B2974" s="52" t="n"/>
      <c r="C2974" s="52" t="n"/>
      <c r="D2974" s="53" t="n"/>
      <c r="E2974" s="60" t="n"/>
      <c r="F2974" s="53" t="n"/>
      <c r="G2974" s="61" t="str">
        <f>IF(OR(COUNTA(A2974:E2974)=0,D2974=""),"",IFERROR(INDEX(ca_fam,MATCH(D2974,ca_name,0))&amp;"",""))</f>
        <v/>
      </c>
      <c r="H2974" s="58" t="str">
        <f>IF(OR(COUNTA(A2974:E2974)=0,D2974=""),"",IFERROR(INDEX(ca_type,MATCH(D2974,ca_name,0))&amp;"",""))</f>
        <v/>
      </c>
      <c r="I2974" s="58" t="str">
        <f>IF(COUNTA(A2974:E2974)=0,"",IF(N(A2974)&lt;=0,"Date manquante ou invalide",IF(B2974="","Équipe manquante",IF(ISNA(MATCH(B2974,eq_code,0)),"Équipe inconnue",IF(C2974="","Poste manquant",IF(ISNA(MATCH(C2974,po_code,0)),"Poste inconnu",IF(D2974="","Cause manquante",IF(ISNA(MATCH(D2974,ca_name,0)),"Cause inconnue",IF(H2974="","Cause à compléter dans Paramètres",IF(OR(NOT(ISNUMBER(E2974)),N(E2974)&lt;=0,N(E2974)&gt;1440),"Durée invalide",IF(COUNTIFS(sj_date,A2974,sj_eq,B2974,sj_po,C2974)=0,"Pas de saisie journalière ce jour-là","OK")))))))))))</f>
        <v/>
      </c>
      <c r="J2974">
        <f>IF(OR(I2974="OK",I2974="Pas de saisie journalière ce jour-là"),E2974,0)</f>
        <v>0.0</v>
      </c>
      <c r="K2974">
        <f>IF(AND(J2974&gt;0,A2974&gt;=p_from,A2974&lt;=p_to),1,0)</f>
        <v>0.0</v>
      </c>
      <c r="L2974">
        <f>IF(AND(K2974=1,OR(pa_po="",C2974=pa_po),OR(pa_eq="",B2974=pa_eq)),1,0)</f>
        <v>0.0</v>
      </c>
    </row>
    <row r="2975">
      <c r="A2975" s="51" t="n"/>
      <c r="B2975" s="52" t="n"/>
      <c r="C2975" s="52" t="n"/>
      <c r="D2975" s="53" t="n"/>
      <c r="E2975" s="60" t="n"/>
      <c r="F2975" s="53" t="n"/>
      <c r="G2975" s="61" t="str">
        <f>IF(OR(COUNTA(A2975:E2975)=0,D2975=""),"",IFERROR(INDEX(ca_fam,MATCH(D2975,ca_name,0))&amp;"",""))</f>
        <v/>
      </c>
      <c r="H2975" s="58" t="str">
        <f>IF(OR(COUNTA(A2975:E2975)=0,D2975=""),"",IFERROR(INDEX(ca_type,MATCH(D2975,ca_name,0))&amp;"",""))</f>
        <v/>
      </c>
      <c r="I2975" s="58" t="str">
        <f>IF(COUNTA(A2975:E2975)=0,"",IF(N(A2975)&lt;=0,"Date manquante ou invalide",IF(B2975="","Équipe manquante",IF(ISNA(MATCH(B2975,eq_code,0)),"Équipe inconnue",IF(C2975="","Poste manquant",IF(ISNA(MATCH(C2975,po_code,0)),"Poste inconnu",IF(D2975="","Cause manquante",IF(ISNA(MATCH(D2975,ca_name,0)),"Cause inconnue",IF(H2975="","Cause à compléter dans Paramètres",IF(OR(NOT(ISNUMBER(E2975)),N(E2975)&lt;=0,N(E2975)&gt;1440),"Durée invalide",IF(COUNTIFS(sj_date,A2975,sj_eq,B2975,sj_po,C2975)=0,"Pas de saisie journalière ce jour-là","OK")))))))))))</f>
        <v/>
      </c>
      <c r="J2975">
        <f>IF(OR(I2975="OK",I2975="Pas de saisie journalière ce jour-là"),E2975,0)</f>
        <v>0.0</v>
      </c>
      <c r="K2975">
        <f>IF(AND(J2975&gt;0,A2975&gt;=p_from,A2975&lt;=p_to),1,0)</f>
        <v>0.0</v>
      </c>
      <c r="L2975">
        <f>IF(AND(K2975=1,OR(pa_po="",C2975=pa_po),OR(pa_eq="",B2975=pa_eq)),1,0)</f>
        <v>0.0</v>
      </c>
    </row>
    <row r="2976">
      <c r="A2976" s="51" t="n"/>
      <c r="B2976" s="52" t="n"/>
      <c r="C2976" s="52" t="n"/>
      <c r="D2976" s="53" t="n"/>
      <c r="E2976" s="60" t="n"/>
      <c r="F2976" s="53" t="n"/>
      <c r="G2976" s="61" t="str">
        <f>IF(OR(COUNTA(A2976:E2976)=0,D2976=""),"",IFERROR(INDEX(ca_fam,MATCH(D2976,ca_name,0))&amp;"",""))</f>
        <v/>
      </c>
      <c r="H2976" s="58" t="str">
        <f>IF(OR(COUNTA(A2976:E2976)=0,D2976=""),"",IFERROR(INDEX(ca_type,MATCH(D2976,ca_name,0))&amp;"",""))</f>
        <v/>
      </c>
      <c r="I2976" s="58" t="str">
        <f>IF(COUNTA(A2976:E2976)=0,"",IF(N(A2976)&lt;=0,"Date manquante ou invalide",IF(B2976="","Équipe manquante",IF(ISNA(MATCH(B2976,eq_code,0)),"Équipe inconnue",IF(C2976="","Poste manquant",IF(ISNA(MATCH(C2976,po_code,0)),"Poste inconnu",IF(D2976="","Cause manquante",IF(ISNA(MATCH(D2976,ca_name,0)),"Cause inconnue",IF(H2976="","Cause à compléter dans Paramètres",IF(OR(NOT(ISNUMBER(E2976)),N(E2976)&lt;=0,N(E2976)&gt;1440),"Durée invalide",IF(COUNTIFS(sj_date,A2976,sj_eq,B2976,sj_po,C2976)=0,"Pas de saisie journalière ce jour-là","OK")))))))))))</f>
        <v/>
      </c>
      <c r="J2976">
        <f>IF(OR(I2976="OK",I2976="Pas de saisie journalière ce jour-là"),E2976,0)</f>
        <v>0.0</v>
      </c>
      <c r="K2976">
        <f>IF(AND(J2976&gt;0,A2976&gt;=p_from,A2976&lt;=p_to),1,0)</f>
        <v>0.0</v>
      </c>
      <c r="L2976">
        <f>IF(AND(K2976=1,OR(pa_po="",C2976=pa_po),OR(pa_eq="",B2976=pa_eq)),1,0)</f>
        <v>0.0</v>
      </c>
    </row>
    <row r="2977">
      <c r="A2977" s="51" t="n"/>
      <c r="B2977" s="52" t="n"/>
      <c r="C2977" s="52" t="n"/>
      <c r="D2977" s="53" t="n"/>
      <c r="E2977" s="60" t="n"/>
      <c r="F2977" s="53" t="n"/>
      <c r="G2977" s="61" t="str">
        <f>IF(OR(COUNTA(A2977:E2977)=0,D2977=""),"",IFERROR(INDEX(ca_fam,MATCH(D2977,ca_name,0))&amp;"",""))</f>
        <v/>
      </c>
      <c r="H2977" s="58" t="str">
        <f>IF(OR(COUNTA(A2977:E2977)=0,D2977=""),"",IFERROR(INDEX(ca_type,MATCH(D2977,ca_name,0))&amp;"",""))</f>
        <v/>
      </c>
      <c r="I2977" s="58" t="str">
        <f>IF(COUNTA(A2977:E2977)=0,"",IF(N(A2977)&lt;=0,"Date manquante ou invalide",IF(B2977="","Équipe manquante",IF(ISNA(MATCH(B2977,eq_code,0)),"Équipe inconnue",IF(C2977="","Poste manquant",IF(ISNA(MATCH(C2977,po_code,0)),"Poste inconnu",IF(D2977="","Cause manquante",IF(ISNA(MATCH(D2977,ca_name,0)),"Cause inconnue",IF(H2977="","Cause à compléter dans Paramètres",IF(OR(NOT(ISNUMBER(E2977)),N(E2977)&lt;=0,N(E2977)&gt;1440),"Durée invalide",IF(COUNTIFS(sj_date,A2977,sj_eq,B2977,sj_po,C2977)=0,"Pas de saisie journalière ce jour-là","OK")))))))))))</f>
        <v/>
      </c>
      <c r="J2977">
        <f>IF(OR(I2977="OK",I2977="Pas de saisie journalière ce jour-là"),E2977,0)</f>
        <v>0.0</v>
      </c>
      <c r="K2977">
        <f>IF(AND(J2977&gt;0,A2977&gt;=p_from,A2977&lt;=p_to),1,0)</f>
        <v>0.0</v>
      </c>
      <c r="L2977">
        <f>IF(AND(K2977=1,OR(pa_po="",C2977=pa_po),OR(pa_eq="",B2977=pa_eq)),1,0)</f>
        <v>0.0</v>
      </c>
    </row>
    <row r="2978">
      <c r="A2978" s="51" t="n"/>
      <c r="B2978" s="52" t="n"/>
      <c r="C2978" s="52" t="n"/>
      <c r="D2978" s="53" t="n"/>
      <c r="E2978" s="60" t="n"/>
      <c r="F2978" s="53" t="n"/>
      <c r="G2978" s="61" t="str">
        <f>IF(OR(COUNTA(A2978:E2978)=0,D2978=""),"",IFERROR(INDEX(ca_fam,MATCH(D2978,ca_name,0))&amp;"",""))</f>
        <v/>
      </c>
      <c r="H2978" s="58" t="str">
        <f>IF(OR(COUNTA(A2978:E2978)=0,D2978=""),"",IFERROR(INDEX(ca_type,MATCH(D2978,ca_name,0))&amp;"",""))</f>
        <v/>
      </c>
      <c r="I2978" s="58" t="str">
        <f>IF(COUNTA(A2978:E2978)=0,"",IF(N(A2978)&lt;=0,"Date manquante ou invalide",IF(B2978="","Équipe manquante",IF(ISNA(MATCH(B2978,eq_code,0)),"Équipe inconnue",IF(C2978="","Poste manquant",IF(ISNA(MATCH(C2978,po_code,0)),"Poste inconnu",IF(D2978="","Cause manquante",IF(ISNA(MATCH(D2978,ca_name,0)),"Cause inconnue",IF(H2978="","Cause à compléter dans Paramètres",IF(OR(NOT(ISNUMBER(E2978)),N(E2978)&lt;=0,N(E2978)&gt;1440),"Durée invalide",IF(COUNTIFS(sj_date,A2978,sj_eq,B2978,sj_po,C2978)=0,"Pas de saisie journalière ce jour-là","OK")))))))))))</f>
        <v/>
      </c>
      <c r="J2978">
        <f>IF(OR(I2978="OK",I2978="Pas de saisie journalière ce jour-là"),E2978,0)</f>
        <v>0.0</v>
      </c>
      <c r="K2978">
        <f>IF(AND(J2978&gt;0,A2978&gt;=p_from,A2978&lt;=p_to),1,0)</f>
        <v>0.0</v>
      </c>
      <c r="L2978">
        <f>IF(AND(K2978=1,OR(pa_po="",C2978=pa_po),OR(pa_eq="",B2978=pa_eq)),1,0)</f>
        <v>0.0</v>
      </c>
    </row>
    <row r="2979">
      <c r="A2979" s="51" t="n"/>
      <c r="B2979" s="52" t="n"/>
      <c r="C2979" s="52" t="n"/>
      <c r="D2979" s="53" t="n"/>
      <c r="E2979" s="60" t="n"/>
      <c r="F2979" s="53" t="n"/>
      <c r="G2979" s="61" t="str">
        <f>IF(OR(COUNTA(A2979:E2979)=0,D2979=""),"",IFERROR(INDEX(ca_fam,MATCH(D2979,ca_name,0))&amp;"",""))</f>
        <v/>
      </c>
      <c r="H2979" s="58" t="str">
        <f>IF(OR(COUNTA(A2979:E2979)=0,D2979=""),"",IFERROR(INDEX(ca_type,MATCH(D2979,ca_name,0))&amp;"",""))</f>
        <v/>
      </c>
      <c r="I2979" s="58" t="str">
        <f>IF(COUNTA(A2979:E2979)=0,"",IF(N(A2979)&lt;=0,"Date manquante ou invalide",IF(B2979="","Équipe manquante",IF(ISNA(MATCH(B2979,eq_code,0)),"Équipe inconnue",IF(C2979="","Poste manquant",IF(ISNA(MATCH(C2979,po_code,0)),"Poste inconnu",IF(D2979="","Cause manquante",IF(ISNA(MATCH(D2979,ca_name,0)),"Cause inconnue",IF(H2979="","Cause à compléter dans Paramètres",IF(OR(NOT(ISNUMBER(E2979)),N(E2979)&lt;=0,N(E2979)&gt;1440),"Durée invalide",IF(COUNTIFS(sj_date,A2979,sj_eq,B2979,sj_po,C2979)=0,"Pas de saisie journalière ce jour-là","OK")))))))))))</f>
        <v/>
      </c>
      <c r="J2979">
        <f>IF(OR(I2979="OK",I2979="Pas de saisie journalière ce jour-là"),E2979,0)</f>
        <v>0.0</v>
      </c>
      <c r="K2979">
        <f>IF(AND(J2979&gt;0,A2979&gt;=p_from,A2979&lt;=p_to),1,0)</f>
        <v>0.0</v>
      </c>
      <c r="L2979">
        <f>IF(AND(K2979=1,OR(pa_po="",C2979=pa_po),OR(pa_eq="",B2979=pa_eq)),1,0)</f>
        <v>0.0</v>
      </c>
    </row>
    <row r="2980">
      <c r="A2980" s="51" t="n"/>
      <c r="B2980" s="52" t="n"/>
      <c r="C2980" s="52" t="n"/>
      <c r="D2980" s="53" t="n"/>
      <c r="E2980" s="60" t="n"/>
      <c r="F2980" s="53" t="n"/>
      <c r="G2980" s="61" t="str">
        <f>IF(OR(COUNTA(A2980:E2980)=0,D2980=""),"",IFERROR(INDEX(ca_fam,MATCH(D2980,ca_name,0))&amp;"",""))</f>
        <v/>
      </c>
      <c r="H2980" s="58" t="str">
        <f>IF(OR(COUNTA(A2980:E2980)=0,D2980=""),"",IFERROR(INDEX(ca_type,MATCH(D2980,ca_name,0))&amp;"",""))</f>
        <v/>
      </c>
      <c r="I2980" s="58" t="str">
        <f>IF(COUNTA(A2980:E2980)=0,"",IF(N(A2980)&lt;=0,"Date manquante ou invalide",IF(B2980="","Équipe manquante",IF(ISNA(MATCH(B2980,eq_code,0)),"Équipe inconnue",IF(C2980="","Poste manquant",IF(ISNA(MATCH(C2980,po_code,0)),"Poste inconnu",IF(D2980="","Cause manquante",IF(ISNA(MATCH(D2980,ca_name,0)),"Cause inconnue",IF(H2980="","Cause à compléter dans Paramètres",IF(OR(NOT(ISNUMBER(E2980)),N(E2980)&lt;=0,N(E2980)&gt;1440),"Durée invalide",IF(COUNTIFS(sj_date,A2980,sj_eq,B2980,sj_po,C2980)=0,"Pas de saisie journalière ce jour-là","OK")))))))))))</f>
        <v/>
      </c>
      <c r="J2980">
        <f>IF(OR(I2980="OK",I2980="Pas de saisie journalière ce jour-là"),E2980,0)</f>
        <v>0.0</v>
      </c>
      <c r="K2980">
        <f>IF(AND(J2980&gt;0,A2980&gt;=p_from,A2980&lt;=p_to),1,0)</f>
        <v>0.0</v>
      </c>
      <c r="L2980">
        <f>IF(AND(K2980=1,OR(pa_po="",C2980=pa_po),OR(pa_eq="",B2980=pa_eq)),1,0)</f>
        <v>0.0</v>
      </c>
    </row>
    <row r="2981">
      <c r="A2981" s="51" t="n"/>
      <c r="B2981" s="52" t="n"/>
      <c r="C2981" s="52" t="n"/>
      <c r="D2981" s="53" t="n"/>
      <c r="E2981" s="60" t="n"/>
      <c r="F2981" s="53" t="n"/>
      <c r="G2981" s="61" t="str">
        <f>IF(OR(COUNTA(A2981:E2981)=0,D2981=""),"",IFERROR(INDEX(ca_fam,MATCH(D2981,ca_name,0))&amp;"",""))</f>
        <v/>
      </c>
      <c r="H2981" s="58" t="str">
        <f>IF(OR(COUNTA(A2981:E2981)=0,D2981=""),"",IFERROR(INDEX(ca_type,MATCH(D2981,ca_name,0))&amp;"",""))</f>
        <v/>
      </c>
      <c r="I2981" s="58" t="str">
        <f>IF(COUNTA(A2981:E2981)=0,"",IF(N(A2981)&lt;=0,"Date manquante ou invalide",IF(B2981="","Équipe manquante",IF(ISNA(MATCH(B2981,eq_code,0)),"Équipe inconnue",IF(C2981="","Poste manquant",IF(ISNA(MATCH(C2981,po_code,0)),"Poste inconnu",IF(D2981="","Cause manquante",IF(ISNA(MATCH(D2981,ca_name,0)),"Cause inconnue",IF(H2981="","Cause à compléter dans Paramètres",IF(OR(NOT(ISNUMBER(E2981)),N(E2981)&lt;=0,N(E2981)&gt;1440),"Durée invalide",IF(COUNTIFS(sj_date,A2981,sj_eq,B2981,sj_po,C2981)=0,"Pas de saisie journalière ce jour-là","OK")))))))))))</f>
        <v/>
      </c>
      <c r="J2981">
        <f>IF(OR(I2981="OK",I2981="Pas de saisie journalière ce jour-là"),E2981,0)</f>
        <v>0.0</v>
      </c>
      <c r="K2981">
        <f>IF(AND(J2981&gt;0,A2981&gt;=p_from,A2981&lt;=p_to),1,0)</f>
        <v>0.0</v>
      </c>
      <c r="L2981">
        <f>IF(AND(K2981=1,OR(pa_po="",C2981=pa_po),OR(pa_eq="",B2981=pa_eq)),1,0)</f>
        <v>0.0</v>
      </c>
    </row>
    <row r="2982">
      <c r="A2982" s="51" t="n"/>
      <c r="B2982" s="52" t="n"/>
      <c r="C2982" s="52" t="n"/>
      <c r="D2982" s="53" t="n"/>
      <c r="E2982" s="60" t="n"/>
      <c r="F2982" s="53" t="n"/>
      <c r="G2982" s="61" t="str">
        <f>IF(OR(COUNTA(A2982:E2982)=0,D2982=""),"",IFERROR(INDEX(ca_fam,MATCH(D2982,ca_name,0))&amp;"",""))</f>
        <v/>
      </c>
      <c r="H2982" s="58" t="str">
        <f>IF(OR(COUNTA(A2982:E2982)=0,D2982=""),"",IFERROR(INDEX(ca_type,MATCH(D2982,ca_name,0))&amp;"",""))</f>
        <v/>
      </c>
      <c r="I2982" s="58" t="str">
        <f>IF(COUNTA(A2982:E2982)=0,"",IF(N(A2982)&lt;=0,"Date manquante ou invalide",IF(B2982="","Équipe manquante",IF(ISNA(MATCH(B2982,eq_code,0)),"Équipe inconnue",IF(C2982="","Poste manquant",IF(ISNA(MATCH(C2982,po_code,0)),"Poste inconnu",IF(D2982="","Cause manquante",IF(ISNA(MATCH(D2982,ca_name,0)),"Cause inconnue",IF(H2982="","Cause à compléter dans Paramètres",IF(OR(NOT(ISNUMBER(E2982)),N(E2982)&lt;=0,N(E2982)&gt;1440),"Durée invalide",IF(COUNTIFS(sj_date,A2982,sj_eq,B2982,sj_po,C2982)=0,"Pas de saisie journalière ce jour-là","OK")))))))))))</f>
        <v/>
      </c>
      <c r="J2982">
        <f>IF(OR(I2982="OK",I2982="Pas de saisie journalière ce jour-là"),E2982,0)</f>
        <v>0.0</v>
      </c>
      <c r="K2982">
        <f>IF(AND(J2982&gt;0,A2982&gt;=p_from,A2982&lt;=p_to),1,0)</f>
        <v>0.0</v>
      </c>
      <c r="L2982">
        <f>IF(AND(K2982=1,OR(pa_po="",C2982=pa_po),OR(pa_eq="",B2982=pa_eq)),1,0)</f>
        <v>0.0</v>
      </c>
    </row>
    <row r="2983">
      <c r="A2983" s="51" t="n"/>
      <c r="B2983" s="52" t="n"/>
      <c r="C2983" s="52" t="n"/>
      <c r="D2983" s="53" t="n"/>
      <c r="E2983" s="60" t="n"/>
      <c r="F2983" s="53" t="n"/>
      <c r="G2983" s="61" t="str">
        <f>IF(OR(COUNTA(A2983:E2983)=0,D2983=""),"",IFERROR(INDEX(ca_fam,MATCH(D2983,ca_name,0))&amp;"",""))</f>
        <v/>
      </c>
      <c r="H2983" s="58" t="str">
        <f>IF(OR(COUNTA(A2983:E2983)=0,D2983=""),"",IFERROR(INDEX(ca_type,MATCH(D2983,ca_name,0))&amp;"",""))</f>
        <v/>
      </c>
      <c r="I2983" s="58" t="str">
        <f>IF(COUNTA(A2983:E2983)=0,"",IF(N(A2983)&lt;=0,"Date manquante ou invalide",IF(B2983="","Équipe manquante",IF(ISNA(MATCH(B2983,eq_code,0)),"Équipe inconnue",IF(C2983="","Poste manquant",IF(ISNA(MATCH(C2983,po_code,0)),"Poste inconnu",IF(D2983="","Cause manquante",IF(ISNA(MATCH(D2983,ca_name,0)),"Cause inconnue",IF(H2983="","Cause à compléter dans Paramètres",IF(OR(NOT(ISNUMBER(E2983)),N(E2983)&lt;=0,N(E2983)&gt;1440),"Durée invalide",IF(COUNTIFS(sj_date,A2983,sj_eq,B2983,sj_po,C2983)=0,"Pas de saisie journalière ce jour-là","OK")))))))))))</f>
        <v/>
      </c>
      <c r="J2983">
        <f>IF(OR(I2983="OK",I2983="Pas de saisie journalière ce jour-là"),E2983,0)</f>
        <v>0.0</v>
      </c>
      <c r="K2983">
        <f>IF(AND(J2983&gt;0,A2983&gt;=p_from,A2983&lt;=p_to),1,0)</f>
        <v>0.0</v>
      </c>
      <c r="L2983">
        <f>IF(AND(K2983=1,OR(pa_po="",C2983=pa_po),OR(pa_eq="",B2983=pa_eq)),1,0)</f>
        <v>0.0</v>
      </c>
    </row>
    <row r="2984">
      <c r="A2984" s="51" t="n"/>
      <c r="B2984" s="52" t="n"/>
      <c r="C2984" s="52" t="n"/>
      <c r="D2984" s="53" t="n"/>
      <c r="E2984" s="60" t="n"/>
      <c r="F2984" s="53" t="n"/>
      <c r="G2984" s="61" t="str">
        <f>IF(OR(COUNTA(A2984:E2984)=0,D2984=""),"",IFERROR(INDEX(ca_fam,MATCH(D2984,ca_name,0))&amp;"",""))</f>
        <v/>
      </c>
      <c r="H2984" s="58" t="str">
        <f>IF(OR(COUNTA(A2984:E2984)=0,D2984=""),"",IFERROR(INDEX(ca_type,MATCH(D2984,ca_name,0))&amp;"",""))</f>
        <v/>
      </c>
      <c r="I2984" s="58" t="str">
        <f>IF(COUNTA(A2984:E2984)=0,"",IF(N(A2984)&lt;=0,"Date manquante ou invalide",IF(B2984="","Équipe manquante",IF(ISNA(MATCH(B2984,eq_code,0)),"Équipe inconnue",IF(C2984="","Poste manquant",IF(ISNA(MATCH(C2984,po_code,0)),"Poste inconnu",IF(D2984="","Cause manquante",IF(ISNA(MATCH(D2984,ca_name,0)),"Cause inconnue",IF(H2984="","Cause à compléter dans Paramètres",IF(OR(NOT(ISNUMBER(E2984)),N(E2984)&lt;=0,N(E2984)&gt;1440),"Durée invalide",IF(COUNTIFS(sj_date,A2984,sj_eq,B2984,sj_po,C2984)=0,"Pas de saisie journalière ce jour-là","OK")))))))))))</f>
        <v/>
      </c>
      <c r="J2984">
        <f>IF(OR(I2984="OK",I2984="Pas de saisie journalière ce jour-là"),E2984,0)</f>
        <v>0.0</v>
      </c>
      <c r="K2984">
        <f>IF(AND(J2984&gt;0,A2984&gt;=p_from,A2984&lt;=p_to),1,0)</f>
        <v>0.0</v>
      </c>
      <c r="L2984">
        <f>IF(AND(K2984=1,OR(pa_po="",C2984=pa_po),OR(pa_eq="",B2984=pa_eq)),1,0)</f>
        <v>0.0</v>
      </c>
    </row>
    <row r="2985">
      <c r="A2985" s="51" t="n"/>
      <c r="B2985" s="52" t="n"/>
      <c r="C2985" s="52" t="n"/>
      <c r="D2985" s="53" t="n"/>
      <c r="E2985" s="60" t="n"/>
      <c r="F2985" s="53" t="n"/>
      <c r="G2985" s="61" t="str">
        <f>IF(OR(COUNTA(A2985:E2985)=0,D2985=""),"",IFERROR(INDEX(ca_fam,MATCH(D2985,ca_name,0))&amp;"",""))</f>
        <v/>
      </c>
      <c r="H2985" s="58" t="str">
        <f>IF(OR(COUNTA(A2985:E2985)=0,D2985=""),"",IFERROR(INDEX(ca_type,MATCH(D2985,ca_name,0))&amp;"",""))</f>
        <v/>
      </c>
      <c r="I2985" s="58" t="str">
        <f>IF(COUNTA(A2985:E2985)=0,"",IF(N(A2985)&lt;=0,"Date manquante ou invalide",IF(B2985="","Équipe manquante",IF(ISNA(MATCH(B2985,eq_code,0)),"Équipe inconnue",IF(C2985="","Poste manquant",IF(ISNA(MATCH(C2985,po_code,0)),"Poste inconnu",IF(D2985="","Cause manquante",IF(ISNA(MATCH(D2985,ca_name,0)),"Cause inconnue",IF(H2985="","Cause à compléter dans Paramètres",IF(OR(NOT(ISNUMBER(E2985)),N(E2985)&lt;=0,N(E2985)&gt;1440),"Durée invalide",IF(COUNTIFS(sj_date,A2985,sj_eq,B2985,sj_po,C2985)=0,"Pas de saisie journalière ce jour-là","OK")))))))))))</f>
        <v/>
      </c>
      <c r="J2985">
        <f>IF(OR(I2985="OK",I2985="Pas de saisie journalière ce jour-là"),E2985,0)</f>
        <v>0.0</v>
      </c>
      <c r="K2985">
        <f>IF(AND(J2985&gt;0,A2985&gt;=p_from,A2985&lt;=p_to),1,0)</f>
        <v>0.0</v>
      </c>
      <c r="L2985">
        <f>IF(AND(K2985=1,OR(pa_po="",C2985=pa_po),OR(pa_eq="",B2985=pa_eq)),1,0)</f>
        <v>0.0</v>
      </c>
    </row>
    <row r="2986">
      <c r="A2986" s="51" t="n"/>
      <c r="B2986" s="52" t="n"/>
      <c r="C2986" s="52" t="n"/>
      <c r="D2986" s="53" t="n"/>
      <c r="E2986" s="60" t="n"/>
      <c r="F2986" s="53" t="n"/>
      <c r="G2986" s="61" t="str">
        <f>IF(OR(COUNTA(A2986:E2986)=0,D2986=""),"",IFERROR(INDEX(ca_fam,MATCH(D2986,ca_name,0))&amp;"",""))</f>
        <v/>
      </c>
      <c r="H2986" s="58" t="str">
        <f>IF(OR(COUNTA(A2986:E2986)=0,D2986=""),"",IFERROR(INDEX(ca_type,MATCH(D2986,ca_name,0))&amp;"",""))</f>
        <v/>
      </c>
      <c r="I2986" s="58" t="str">
        <f>IF(COUNTA(A2986:E2986)=0,"",IF(N(A2986)&lt;=0,"Date manquante ou invalide",IF(B2986="","Équipe manquante",IF(ISNA(MATCH(B2986,eq_code,0)),"Équipe inconnue",IF(C2986="","Poste manquant",IF(ISNA(MATCH(C2986,po_code,0)),"Poste inconnu",IF(D2986="","Cause manquante",IF(ISNA(MATCH(D2986,ca_name,0)),"Cause inconnue",IF(H2986="","Cause à compléter dans Paramètres",IF(OR(NOT(ISNUMBER(E2986)),N(E2986)&lt;=0,N(E2986)&gt;1440),"Durée invalide",IF(COUNTIFS(sj_date,A2986,sj_eq,B2986,sj_po,C2986)=0,"Pas de saisie journalière ce jour-là","OK")))))))))))</f>
        <v/>
      </c>
      <c r="J2986">
        <f>IF(OR(I2986="OK",I2986="Pas de saisie journalière ce jour-là"),E2986,0)</f>
        <v>0.0</v>
      </c>
      <c r="K2986">
        <f>IF(AND(J2986&gt;0,A2986&gt;=p_from,A2986&lt;=p_to),1,0)</f>
        <v>0.0</v>
      </c>
      <c r="L2986">
        <f>IF(AND(K2986=1,OR(pa_po="",C2986=pa_po),OR(pa_eq="",B2986=pa_eq)),1,0)</f>
        <v>0.0</v>
      </c>
    </row>
    <row r="2987">
      <c r="A2987" s="51" t="n"/>
      <c r="B2987" s="52" t="n"/>
      <c r="C2987" s="52" t="n"/>
      <c r="D2987" s="53" t="n"/>
      <c r="E2987" s="60" t="n"/>
      <c r="F2987" s="53" t="n"/>
      <c r="G2987" s="61" t="str">
        <f>IF(OR(COUNTA(A2987:E2987)=0,D2987=""),"",IFERROR(INDEX(ca_fam,MATCH(D2987,ca_name,0))&amp;"",""))</f>
        <v/>
      </c>
      <c r="H2987" s="58" t="str">
        <f>IF(OR(COUNTA(A2987:E2987)=0,D2987=""),"",IFERROR(INDEX(ca_type,MATCH(D2987,ca_name,0))&amp;"",""))</f>
        <v/>
      </c>
      <c r="I2987" s="58" t="str">
        <f>IF(COUNTA(A2987:E2987)=0,"",IF(N(A2987)&lt;=0,"Date manquante ou invalide",IF(B2987="","Équipe manquante",IF(ISNA(MATCH(B2987,eq_code,0)),"Équipe inconnue",IF(C2987="","Poste manquant",IF(ISNA(MATCH(C2987,po_code,0)),"Poste inconnu",IF(D2987="","Cause manquante",IF(ISNA(MATCH(D2987,ca_name,0)),"Cause inconnue",IF(H2987="","Cause à compléter dans Paramètres",IF(OR(NOT(ISNUMBER(E2987)),N(E2987)&lt;=0,N(E2987)&gt;1440),"Durée invalide",IF(COUNTIFS(sj_date,A2987,sj_eq,B2987,sj_po,C2987)=0,"Pas de saisie journalière ce jour-là","OK")))))))))))</f>
        <v/>
      </c>
      <c r="J2987">
        <f>IF(OR(I2987="OK",I2987="Pas de saisie journalière ce jour-là"),E2987,0)</f>
        <v>0.0</v>
      </c>
      <c r="K2987">
        <f>IF(AND(J2987&gt;0,A2987&gt;=p_from,A2987&lt;=p_to),1,0)</f>
        <v>0.0</v>
      </c>
      <c r="L2987">
        <f>IF(AND(K2987=1,OR(pa_po="",C2987=pa_po),OR(pa_eq="",B2987=pa_eq)),1,0)</f>
        <v>0.0</v>
      </c>
    </row>
    <row r="2988">
      <c r="A2988" s="51" t="n"/>
      <c r="B2988" s="52" t="n"/>
      <c r="C2988" s="52" t="n"/>
      <c r="D2988" s="53" t="n"/>
      <c r="E2988" s="60" t="n"/>
      <c r="F2988" s="53" t="n"/>
      <c r="G2988" s="61" t="str">
        <f>IF(OR(COUNTA(A2988:E2988)=0,D2988=""),"",IFERROR(INDEX(ca_fam,MATCH(D2988,ca_name,0))&amp;"",""))</f>
        <v/>
      </c>
      <c r="H2988" s="58" t="str">
        <f>IF(OR(COUNTA(A2988:E2988)=0,D2988=""),"",IFERROR(INDEX(ca_type,MATCH(D2988,ca_name,0))&amp;"",""))</f>
        <v/>
      </c>
      <c r="I2988" s="58" t="str">
        <f>IF(COUNTA(A2988:E2988)=0,"",IF(N(A2988)&lt;=0,"Date manquante ou invalide",IF(B2988="","Équipe manquante",IF(ISNA(MATCH(B2988,eq_code,0)),"Équipe inconnue",IF(C2988="","Poste manquant",IF(ISNA(MATCH(C2988,po_code,0)),"Poste inconnu",IF(D2988="","Cause manquante",IF(ISNA(MATCH(D2988,ca_name,0)),"Cause inconnue",IF(H2988="","Cause à compléter dans Paramètres",IF(OR(NOT(ISNUMBER(E2988)),N(E2988)&lt;=0,N(E2988)&gt;1440),"Durée invalide",IF(COUNTIFS(sj_date,A2988,sj_eq,B2988,sj_po,C2988)=0,"Pas de saisie journalière ce jour-là","OK")))))))))))</f>
        <v/>
      </c>
      <c r="J2988">
        <f>IF(OR(I2988="OK",I2988="Pas de saisie journalière ce jour-là"),E2988,0)</f>
        <v>0.0</v>
      </c>
      <c r="K2988">
        <f>IF(AND(J2988&gt;0,A2988&gt;=p_from,A2988&lt;=p_to),1,0)</f>
        <v>0.0</v>
      </c>
      <c r="L2988">
        <f>IF(AND(K2988=1,OR(pa_po="",C2988=pa_po),OR(pa_eq="",B2988=pa_eq)),1,0)</f>
        <v>0.0</v>
      </c>
    </row>
    <row r="2989">
      <c r="A2989" s="51" t="n"/>
      <c r="B2989" s="52" t="n"/>
      <c r="C2989" s="52" t="n"/>
      <c r="D2989" s="53" t="n"/>
      <c r="E2989" s="60" t="n"/>
      <c r="F2989" s="53" t="n"/>
      <c r="G2989" s="61" t="str">
        <f>IF(OR(COUNTA(A2989:E2989)=0,D2989=""),"",IFERROR(INDEX(ca_fam,MATCH(D2989,ca_name,0))&amp;"",""))</f>
        <v/>
      </c>
      <c r="H2989" s="58" t="str">
        <f>IF(OR(COUNTA(A2989:E2989)=0,D2989=""),"",IFERROR(INDEX(ca_type,MATCH(D2989,ca_name,0))&amp;"",""))</f>
        <v/>
      </c>
      <c r="I2989" s="58" t="str">
        <f>IF(COUNTA(A2989:E2989)=0,"",IF(N(A2989)&lt;=0,"Date manquante ou invalide",IF(B2989="","Équipe manquante",IF(ISNA(MATCH(B2989,eq_code,0)),"Équipe inconnue",IF(C2989="","Poste manquant",IF(ISNA(MATCH(C2989,po_code,0)),"Poste inconnu",IF(D2989="","Cause manquante",IF(ISNA(MATCH(D2989,ca_name,0)),"Cause inconnue",IF(H2989="","Cause à compléter dans Paramètres",IF(OR(NOT(ISNUMBER(E2989)),N(E2989)&lt;=0,N(E2989)&gt;1440),"Durée invalide",IF(COUNTIFS(sj_date,A2989,sj_eq,B2989,sj_po,C2989)=0,"Pas de saisie journalière ce jour-là","OK")))))))))))</f>
        <v/>
      </c>
      <c r="J2989">
        <f>IF(OR(I2989="OK",I2989="Pas de saisie journalière ce jour-là"),E2989,0)</f>
        <v>0.0</v>
      </c>
      <c r="K2989">
        <f>IF(AND(J2989&gt;0,A2989&gt;=p_from,A2989&lt;=p_to),1,0)</f>
        <v>0.0</v>
      </c>
      <c r="L2989">
        <f>IF(AND(K2989=1,OR(pa_po="",C2989=pa_po),OR(pa_eq="",B2989=pa_eq)),1,0)</f>
        <v>0.0</v>
      </c>
    </row>
    <row r="2990">
      <c r="A2990" s="51" t="n"/>
      <c r="B2990" s="52" t="n"/>
      <c r="C2990" s="52" t="n"/>
      <c r="D2990" s="53" t="n"/>
      <c r="E2990" s="60" t="n"/>
      <c r="F2990" s="53" t="n"/>
      <c r="G2990" s="61" t="str">
        <f>IF(OR(COUNTA(A2990:E2990)=0,D2990=""),"",IFERROR(INDEX(ca_fam,MATCH(D2990,ca_name,0))&amp;"",""))</f>
        <v/>
      </c>
      <c r="H2990" s="58" t="str">
        <f>IF(OR(COUNTA(A2990:E2990)=0,D2990=""),"",IFERROR(INDEX(ca_type,MATCH(D2990,ca_name,0))&amp;"",""))</f>
        <v/>
      </c>
      <c r="I2990" s="58" t="str">
        <f>IF(COUNTA(A2990:E2990)=0,"",IF(N(A2990)&lt;=0,"Date manquante ou invalide",IF(B2990="","Équipe manquante",IF(ISNA(MATCH(B2990,eq_code,0)),"Équipe inconnue",IF(C2990="","Poste manquant",IF(ISNA(MATCH(C2990,po_code,0)),"Poste inconnu",IF(D2990="","Cause manquante",IF(ISNA(MATCH(D2990,ca_name,0)),"Cause inconnue",IF(H2990="","Cause à compléter dans Paramètres",IF(OR(NOT(ISNUMBER(E2990)),N(E2990)&lt;=0,N(E2990)&gt;1440),"Durée invalide",IF(COUNTIFS(sj_date,A2990,sj_eq,B2990,sj_po,C2990)=0,"Pas de saisie journalière ce jour-là","OK")))))))))))</f>
        <v/>
      </c>
      <c r="J2990">
        <f>IF(OR(I2990="OK",I2990="Pas de saisie journalière ce jour-là"),E2990,0)</f>
        <v>0.0</v>
      </c>
      <c r="K2990">
        <f>IF(AND(J2990&gt;0,A2990&gt;=p_from,A2990&lt;=p_to),1,0)</f>
        <v>0.0</v>
      </c>
      <c r="L2990">
        <f>IF(AND(K2990=1,OR(pa_po="",C2990=pa_po),OR(pa_eq="",B2990=pa_eq)),1,0)</f>
        <v>0.0</v>
      </c>
    </row>
    <row r="2991">
      <c r="A2991" s="51" t="n"/>
      <c r="B2991" s="52" t="n"/>
      <c r="C2991" s="52" t="n"/>
      <c r="D2991" s="53" t="n"/>
      <c r="E2991" s="60" t="n"/>
      <c r="F2991" s="53" t="n"/>
      <c r="G2991" s="61" t="str">
        <f>IF(OR(COUNTA(A2991:E2991)=0,D2991=""),"",IFERROR(INDEX(ca_fam,MATCH(D2991,ca_name,0))&amp;"",""))</f>
        <v/>
      </c>
      <c r="H2991" s="58" t="str">
        <f>IF(OR(COUNTA(A2991:E2991)=0,D2991=""),"",IFERROR(INDEX(ca_type,MATCH(D2991,ca_name,0))&amp;"",""))</f>
        <v/>
      </c>
      <c r="I2991" s="58" t="str">
        <f>IF(COUNTA(A2991:E2991)=0,"",IF(N(A2991)&lt;=0,"Date manquante ou invalide",IF(B2991="","Équipe manquante",IF(ISNA(MATCH(B2991,eq_code,0)),"Équipe inconnue",IF(C2991="","Poste manquant",IF(ISNA(MATCH(C2991,po_code,0)),"Poste inconnu",IF(D2991="","Cause manquante",IF(ISNA(MATCH(D2991,ca_name,0)),"Cause inconnue",IF(H2991="","Cause à compléter dans Paramètres",IF(OR(NOT(ISNUMBER(E2991)),N(E2991)&lt;=0,N(E2991)&gt;1440),"Durée invalide",IF(COUNTIFS(sj_date,A2991,sj_eq,B2991,sj_po,C2991)=0,"Pas de saisie journalière ce jour-là","OK")))))))))))</f>
        <v/>
      </c>
      <c r="J2991">
        <f>IF(OR(I2991="OK",I2991="Pas de saisie journalière ce jour-là"),E2991,0)</f>
        <v>0.0</v>
      </c>
      <c r="K2991">
        <f>IF(AND(J2991&gt;0,A2991&gt;=p_from,A2991&lt;=p_to),1,0)</f>
        <v>0.0</v>
      </c>
      <c r="L2991">
        <f>IF(AND(K2991=1,OR(pa_po="",C2991=pa_po),OR(pa_eq="",B2991=pa_eq)),1,0)</f>
        <v>0.0</v>
      </c>
    </row>
    <row r="2992">
      <c r="A2992" s="51" t="n"/>
      <c r="B2992" s="52" t="n"/>
      <c r="C2992" s="52" t="n"/>
      <c r="D2992" s="53" t="n"/>
      <c r="E2992" s="60" t="n"/>
      <c r="F2992" s="53" t="n"/>
      <c r="G2992" s="61" t="str">
        <f>IF(OR(COUNTA(A2992:E2992)=0,D2992=""),"",IFERROR(INDEX(ca_fam,MATCH(D2992,ca_name,0))&amp;"",""))</f>
        <v/>
      </c>
      <c r="H2992" s="58" t="str">
        <f>IF(OR(COUNTA(A2992:E2992)=0,D2992=""),"",IFERROR(INDEX(ca_type,MATCH(D2992,ca_name,0))&amp;"",""))</f>
        <v/>
      </c>
      <c r="I2992" s="58" t="str">
        <f>IF(COUNTA(A2992:E2992)=0,"",IF(N(A2992)&lt;=0,"Date manquante ou invalide",IF(B2992="","Équipe manquante",IF(ISNA(MATCH(B2992,eq_code,0)),"Équipe inconnue",IF(C2992="","Poste manquant",IF(ISNA(MATCH(C2992,po_code,0)),"Poste inconnu",IF(D2992="","Cause manquante",IF(ISNA(MATCH(D2992,ca_name,0)),"Cause inconnue",IF(H2992="","Cause à compléter dans Paramètres",IF(OR(NOT(ISNUMBER(E2992)),N(E2992)&lt;=0,N(E2992)&gt;1440),"Durée invalide",IF(COUNTIFS(sj_date,A2992,sj_eq,B2992,sj_po,C2992)=0,"Pas de saisie journalière ce jour-là","OK")))))))))))</f>
        <v/>
      </c>
      <c r="J2992">
        <f>IF(OR(I2992="OK",I2992="Pas de saisie journalière ce jour-là"),E2992,0)</f>
        <v>0.0</v>
      </c>
      <c r="K2992">
        <f>IF(AND(J2992&gt;0,A2992&gt;=p_from,A2992&lt;=p_to),1,0)</f>
        <v>0.0</v>
      </c>
      <c r="L2992">
        <f>IF(AND(K2992=1,OR(pa_po="",C2992=pa_po),OR(pa_eq="",B2992=pa_eq)),1,0)</f>
        <v>0.0</v>
      </c>
    </row>
    <row r="2993">
      <c r="A2993" s="51" t="n"/>
      <c r="B2993" s="52" t="n"/>
      <c r="C2993" s="52" t="n"/>
      <c r="D2993" s="53" t="n"/>
      <c r="E2993" s="60" t="n"/>
      <c r="F2993" s="53" t="n"/>
      <c r="G2993" s="61" t="str">
        <f>IF(OR(COUNTA(A2993:E2993)=0,D2993=""),"",IFERROR(INDEX(ca_fam,MATCH(D2993,ca_name,0))&amp;"",""))</f>
        <v/>
      </c>
      <c r="H2993" s="58" t="str">
        <f>IF(OR(COUNTA(A2993:E2993)=0,D2993=""),"",IFERROR(INDEX(ca_type,MATCH(D2993,ca_name,0))&amp;"",""))</f>
        <v/>
      </c>
      <c r="I2993" s="58" t="str">
        <f>IF(COUNTA(A2993:E2993)=0,"",IF(N(A2993)&lt;=0,"Date manquante ou invalide",IF(B2993="","Équipe manquante",IF(ISNA(MATCH(B2993,eq_code,0)),"Équipe inconnue",IF(C2993="","Poste manquant",IF(ISNA(MATCH(C2993,po_code,0)),"Poste inconnu",IF(D2993="","Cause manquante",IF(ISNA(MATCH(D2993,ca_name,0)),"Cause inconnue",IF(H2993="","Cause à compléter dans Paramètres",IF(OR(NOT(ISNUMBER(E2993)),N(E2993)&lt;=0,N(E2993)&gt;1440),"Durée invalide",IF(COUNTIFS(sj_date,A2993,sj_eq,B2993,sj_po,C2993)=0,"Pas de saisie journalière ce jour-là","OK")))))))))))</f>
        <v/>
      </c>
      <c r="J2993">
        <f>IF(OR(I2993="OK",I2993="Pas de saisie journalière ce jour-là"),E2993,0)</f>
        <v>0.0</v>
      </c>
      <c r="K2993">
        <f>IF(AND(J2993&gt;0,A2993&gt;=p_from,A2993&lt;=p_to),1,0)</f>
        <v>0.0</v>
      </c>
      <c r="L2993">
        <f>IF(AND(K2993=1,OR(pa_po="",C2993=pa_po),OR(pa_eq="",B2993=pa_eq)),1,0)</f>
        <v>0.0</v>
      </c>
    </row>
    <row r="2994">
      <c r="A2994" s="51" t="n"/>
      <c r="B2994" s="52" t="n"/>
      <c r="C2994" s="52" t="n"/>
      <c r="D2994" s="53" t="n"/>
      <c r="E2994" s="60" t="n"/>
      <c r="F2994" s="53" t="n"/>
      <c r="G2994" s="61" t="str">
        <f>IF(OR(COUNTA(A2994:E2994)=0,D2994=""),"",IFERROR(INDEX(ca_fam,MATCH(D2994,ca_name,0))&amp;"",""))</f>
        <v/>
      </c>
      <c r="H2994" s="58" t="str">
        <f>IF(OR(COUNTA(A2994:E2994)=0,D2994=""),"",IFERROR(INDEX(ca_type,MATCH(D2994,ca_name,0))&amp;"",""))</f>
        <v/>
      </c>
      <c r="I2994" s="58" t="str">
        <f>IF(COUNTA(A2994:E2994)=0,"",IF(N(A2994)&lt;=0,"Date manquante ou invalide",IF(B2994="","Équipe manquante",IF(ISNA(MATCH(B2994,eq_code,0)),"Équipe inconnue",IF(C2994="","Poste manquant",IF(ISNA(MATCH(C2994,po_code,0)),"Poste inconnu",IF(D2994="","Cause manquante",IF(ISNA(MATCH(D2994,ca_name,0)),"Cause inconnue",IF(H2994="","Cause à compléter dans Paramètres",IF(OR(NOT(ISNUMBER(E2994)),N(E2994)&lt;=0,N(E2994)&gt;1440),"Durée invalide",IF(COUNTIFS(sj_date,A2994,sj_eq,B2994,sj_po,C2994)=0,"Pas de saisie journalière ce jour-là","OK")))))))))))</f>
        <v/>
      </c>
      <c r="J2994">
        <f>IF(OR(I2994="OK",I2994="Pas de saisie journalière ce jour-là"),E2994,0)</f>
        <v>0.0</v>
      </c>
      <c r="K2994">
        <f>IF(AND(J2994&gt;0,A2994&gt;=p_from,A2994&lt;=p_to),1,0)</f>
        <v>0.0</v>
      </c>
      <c r="L2994">
        <f>IF(AND(K2994=1,OR(pa_po="",C2994=pa_po),OR(pa_eq="",B2994=pa_eq)),1,0)</f>
        <v>0.0</v>
      </c>
    </row>
    <row r="2995">
      <c r="A2995" s="51" t="n"/>
      <c r="B2995" s="52" t="n"/>
      <c r="C2995" s="52" t="n"/>
      <c r="D2995" s="53" t="n"/>
      <c r="E2995" s="60" t="n"/>
      <c r="F2995" s="53" t="n"/>
      <c r="G2995" s="61" t="str">
        <f>IF(OR(COUNTA(A2995:E2995)=0,D2995=""),"",IFERROR(INDEX(ca_fam,MATCH(D2995,ca_name,0))&amp;"",""))</f>
        <v/>
      </c>
      <c r="H2995" s="58" t="str">
        <f>IF(OR(COUNTA(A2995:E2995)=0,D2995=""),"",IFERROR(INDEX(ca_type,MATCH(D2995,ca_name,0))&amp;"",""))</f>
        <v/>
      </c>
      <c r="I2995" s="58" t="str">
        <f>IF(COUNTA(A2995:E2995)=0,"",IF(N(A2995)&lt;=0,"Date manquante ou invalide",IF(B2995="","Équipe manquante",IF(ISNA(MATCH(B2995,eq_code,0)),"Équipe inconnue",IF(C2995="","Poste manquant",IF(ISNA(MATCH(C2995,po_code,0)),"Poste inconnu",IF(D2995="","Cause manquante",IF(ISNA(MATCH(D2995,ca_name,0)),"Cause inconnue",IF(H2995="","Cause à compléter dans Paramètres",IF(OR(NOT(ISNUMBER(E2995)),N(E2995)&lt;=0,N(E2995)&gt;1440),"Durée invalide",IF(COUNTIFS(sj_date,A2995,sj_eq,B2995,sj_po,C2995)=0,"Pas de saisie journalière ce jour-là","OK")))))))))))</f>
        <v/>
      </c>
      <c r="J2995">
        <f>IF(OR(I2995="OK",I2995="Pas de saisie journalière ce jour-là"),E2995,0)</f>
        <v>0.0</v>
      </c>
      <c r="K2995">
        <f>IF(AND(J2995&gt;0,A2995&gt;=p_from,A2995&lt;=p_to),1,0)</f>
        <v>0.0</v>
      </c>
      <c r="L2995">
        <f>IF(AND(K2995=1,OR(pa_po="",C2995=pa_po),OR(pa_eq="",B2995=pa_eq)),1,0)</f>
        <v>0.0</v>
      </c>
    </row>
    <row r="2996">
      <c r="A2996" s="51" t="n"/>
      <c r="B2996" s="52" t="n"/>
      <c r="C2996" s="52" t="n"/>
      <c r="D2996" s="53" t="n"/>
      <c r="E2996" s="60" t="n"/>
      <c r="F2996" s="53" t="n"/>
      <c r="G2996" s="61" t="str">
        <f>IF(OR(COUNTA(A2996:E2996)=0,D2996=""),"",IFERROR(INDEX(ca_fam,MATCH(D2996,ca_name,0))&amp;"",""))</f>
        <v/>
      </c>
      <c r="H2996" s="58" t="str">
        <f>IF(OR(COUNTA(A2996:E2996)=0,D2996=""),"",IFERROR(INDEX(ca_type,MATCH(D2996,ca_name,0))&amp;"",""))</f>
        <v/>
      </c>
      <c r="I2996" s="58" t="str">
        <f>IF(COUNTA(A2996:E2996)=0,"",IF(N(A2996)&lt;=0,"Date manquante ou invalide",IF(B2996="","Équipe manquante",IF(ISNA(MATCH(B2996,eq_code,0)),"Équipe inconnue",IF(C2996="","Poste manquant",IF(ISNA(MATCH(C2996,po_code,0)),"Poste inconnu",IF(D2996="","Cause manquante",IF(ISNA(MATCH(D2996,ca_name,0)),"Cause inconnue",IF(H2996="","Cause à compléter dans Paramètres",IF(OR(NOT(ISNUMBER(E2996)),N(E2996)&lt;=0,N(E2996)&gt;1440),"Durée invalide",IF(COUNTIFS(sj_date,A2996,sj_eq,B2996,sj_po,C2996)=0,"Pas de saisie journalière ce jour-là","OK")))))))))))</f>
        <v/>
      </c>
      <c r="J2996">
        <f>IF(OR(I2996="OK",I2996="Pas de saisie journalière ce jour-là"),E2996,0)</f>
        <v>0.0</v>
      </c>
      <c r="K2996">
        <f>IF(AND(J2996&gt;0,A2996&gt;=p_from,A2996&lt;=p_to),1,0)</f>
        <v>0.0</v>
      </c>
      <c r="L2996">
        <f>IF(AND(K2996=1,OR(pa_po="",C2996=pa_po),OR(pa_eq="",B2996=pa_eq)),1,0)</f>
        <v>0.0</v>
      </c>
    </row>
    <row r="2997">
      <c r="A2997" s="51" t="n"/>
      <c r="B2997" s="52" t="n"/>
      <c r="C2997" s="52" t="n"/>
      <c r="D2997" s="53" t="n"/>
      <c r="E2997" s="60" t="n"/>
      <c r="F2997" s="53" t="n"/>
      <c r="G2997" s="61" t="str">
        <f>IF(OR(COUNTA(A2997:E2997)=0,D2997=""),"",IFERROR(INDEX(ca_fam,MATCH(D2997,ca_name,0))&amp;"",""))</f>
        <v/>
      </c>
      <c r="H2997" s="58" t="str">
        <f>IF(OR(COUNTA(A2997:E2997)=0,D2997=""),"",IFERROR(INDEX(ca_type,MATCH(D2997,ca_name,0))&amp;"",""))</f>
        <v/>
      </c>
      <c r="I2997" s="58" t="str">
        <f>IF(COUNTA(A2997:E2997)=0,"",IF(N(A2997)&lt;=0,"Date manquante ou invalide",IF(B2997="","Équipe manquante",IF(ISNA(MATCH(B2997,eq_code,0)),"Équipe inconnue",IF(C2997="","Poste manquant",IF(ISNA(MATCH(C2997,po_code,0)),"Poste inconnu",IF(D2997="","Cause manquante",IF(ISNA(MATCH(D2997,ca_name,0)),"Cause inconnue",IF(H2997="","Cause à compléter dans Paramètres",IF(OR(NOT(ISNUMBER(E2997)),N(E2997)&lt;=0,N(E2997)&gt;1440),"Durée invalide",IF(COUNTIFS(sj_date,A2997,sj_eq,B2997,sj_po,C2997)=0,"Pas de saisie journalière ce jour-là","OK")))))))))))</f>
        <v/>
      </c>
      <c r="J2997">
        <f>IF(OR(I2997="OK",I2997="Pas de saisie journalière ce jour-là"),E2997,0)</f>
        <v>0.0</v>
      </c>
      <c r="K2997">
        <f>IF(AND(J2997&gt;0,A2997&gt;=p_from,A2997&lt;=p_to),1,0)</f>
        <v>0.0</v>
      </c>
      <c r="L2997">
        <f>IF(AND(K2997=1,OR(pa_po="",C2997=pa_po),OR(pa_eq="",B2997=pa_eq)),1,0)</f>
        <v>0.0</v>
      </c>
    </row>
    <row r="2998">
      <c r="A2998" s="51" t="n"/>
      <c r="B2998" s="52" t="n"/>
      <c r="C2998" s="52" t="n"/>
      <c r="D2998" s="53" t="n"/>
      <c r="E2998" s="60" t="n"/>
      <c r="F2998" s="53" t="n"/>
      <c r="G2998" s="61" t="str">
        <f>IF(OR(COUNTA(A2998:E2998)=0,D2998=""),"",IFERROR(INDEX(ca_fam,MATCH(D2998,ca_name,0))&amp;"",""))</f>
        <v/>
      </c>
      <c r="H2998" s="58" t="str">
        <f>IF(OR(COUNTA(A2998:E2998)=0,D2998=""),"",IFERROR(INDEX(ca_type,MATCH(D2998,ca_name,0))&amp;"",""))</f>
        <v/>
      </c>
      <c r="I2998" s="58" t="str">
        <f>IF(COUNTA(A2998:E2998)=0,"",IF(N(A2998)&lt;=0,"Date manquante ou invalide",IF(B2998="","Équipe manquante",IF(ISNA(MATCH(B2998,eq_code,0)),"Équipe inconnue",IF(C2998="","Poste manquant",IF(ISNA(MATCH(C2998,po_code,0)),"Poste inconnu",IF(D2998="","Cause manquante",IF(ISNA(MATCH(D2998,ca_name,0)),"Cause inconnue",IF(H2998="","Cause à compléter dans Paramètres",IF(OR(NOT(ISNUMBER(E2998)),N(E2998)&lt;=0,N(E2998)&gt;1440),"Durée invalide",IF(COUNTIFS(sj_date,A2998,sj_eq,B2998,sj_po,C2998)=0,"Pas de saisie journalière ce jour-là","OK")))))))))))</f>
        <v/>
      </c>
      <c r="J2998">
        <f>IF(OR(I2998="OK",I2998="Pas de saisie journalière ce jour-là"),E2998,0)</f>
        <v>0.0</v>
      </c>
      <c r="K2998">
        <f>IF(AND(J2998&gt;0,A2998&gt;=p_from,A2998&lt;=p_to),1,0)</f>
        <v>0.0</v>
      </c>
      <c r="L2998">
        <f>IF(AND(K2998=1,OR(pa_po="",C2998=pa_po),OR(pa_eq="",B2998=pa_eq)),1,0)</f>
        <v>0.0</v>
      </c>
    </row>
    <row r="2999">
      <c r="A2999" s="51" t="n"/>
      <c r="B2999" s="52" t="n"/>
      <c r="C2999" s="52" t="n"/>
      <c r="D2999" s="53" t="n"/>
      <c r="E2999" s="60" t="n"/>
      <c r="F2999" s="53" t="n"/>
      <c r="G2999" s="61" t="str">
        <f>IF(OR(COUNTA(A2999:E2999)=0,D2999=""),"",IFERROR(INDEX(ca_fam,MATCH(D2999,ca_name,0))&amp;"",""))</f>
        <v/>
      </c>
      <c r="H2999" s="58" t="str">
        <f>IF(OR(COUNTA(A2999:E2999)=0,D2999=""),"",IFERROR(INDEX(ca_type,MATCH(D2999,ca_name,0))&amp;"",""))</f>
        <v/>
      </c>
      <c r="I2999" s="58" t="str">
        <f>IF(COUNTA(A2999:E2999)=0,"",IF(N(A2999)&lt;=0,"Date manquante ou invalide",IF(B2999="","Équipe manquante",IF(ISNA(MATCH(B2999,eq_code,0)),"Équipe inconnue",IF(C2999="","Poste manquant",IF(ISNA(MATCH(C2999,po_code,0)),"Poste inconnu",IF(D2999="","Cause manquante",IF(ISNA(MATCH(D2999,ca_name,0)),"Cause inconnue",IF(H2999="","Cause à compléter dans Paramètres",IF(OR(NOT(ISNUMBER(E2999)),N(E2999)&lt;=0,N(E2999)&gt;1440),"Durée invalide",IF(COUNTIFS(sj_date,A2999,sj_eq,B2999,sj_po,C2999)=0,"Pas de saisie journalière ce jour-là","OK")))))))))))</f>
        <v/>
      </c>
      <c r="J2999">
        <f>IF(OR(I2999="OK",I2999="Pas de saisie journalière ce jour-là"),E2999,0)</f>
        <v>0.0</v>
      </c>
      <c r="K2999">
        <f>IF(AND(J2999&gt;0,A2999&gt;=p_from,A2999&lt;=p_to),1,0)</f>
        <v>0.0</v>
      </c>
      <c r="L2999">
        <f>IF(AND(K2999=1,OR(pa_po="",C2999=pa_po),OR(pa_eq="",B2999=pa_eq)),1,0)</f>
        <v>0.0</v>
      </c>
    </row>
    <row r="3000">
      <c r="A3000" s="51" t="n"/>
      <c r="B3000" s="52" t="n"/>
      <c r="C3000" s="52" t="n"/>
      <c r="D3000" s="53" t="n"/>
      <c r="E3000" s="60" t="n"/>
      <c r="F3000" s="53" t="n"/>
      <c r="G3000" s="61" t="str">
        <f>IF(OR(COUNTA(A3000:E3000)=0,D3000=""),"",IFERROR(INDEX(ca_fam,MATCH(D3000,ca_name,0))&amp;"",""))</f>
        <v/>
      </c>
      <c r="H3000" s="58" t="str">
        <f>IF(OR(COUNTA(A3000:E3000)=0,D3000=""),"",IFERROR(INDEX(ca_type,MATCH(D3000,ca_name,0))&amp;"",""))</f>
        <v/>
      </c>
      <c r="I3000" s="58" t="str">
        <f>IF(COUNTA(A3000:E3000)=0,"",IF(N(A3000)&lt;=0,"Date manquante ou invalide",IF(B3000="","Équipe manquante",IF(ISNA(MATCH(B3000,eq_code,0)),"Équipe inconnue",IF(C3000="","Poste manquant",IF(ISNA(MATCH(C3000,po_code,0)),"Poste inconnu",IF(D3000="","Cause manquante",IF(ISNA(MATCH(D3000,ca_name,0)),"Cause inconnue",IF(H3000="","Cause à compléter dans Paramètres",IF(OR(NOT(ISNUMBER(E3000)),N(E3000)&lt;=0,N(E3000)&gt;1440),"Durée invalide",IF(COUNTIFS(sj_date,A3000,sj_eq,B3000,sj_po,C3000)=0,"Pas de saisie journalière ce jour-là","OK")))))))))))</f>
        <v/>
      </c>
      <c r="J3000">
        <f>IF(OR(I3000="OK",I3000="Pas de saisie journalière ce jour-là"),E3000,0)</f>
        <v>0.0</v>
      </c>
      <c r="K3000">
        <f>IF(AND(J3000&gt;0,A3000&gt;=p_from,A3000&lt;=p_to),1,0)</f>
        <v>0.0</v>
      </c>
      <c r="L3000">
        <f>IF(AND(K3000=1,OR(pa_po="",C3000=pa_po),OR(pa_eq="",B3000=pa_eq)),1,0)</f>
        <v>0.0</v>
      </c>
    </row>
    <row r="3001">
      <c r="A3001" s="51" t="n"/>
      <c r="B3001" s="52" t="n"/>
      <c r="C3001" s="52" t="n"/>
      <c r="D3001" s="53" t="n"/>
      <c r="E3001" s="60" t="n"/>
      <c r="F3001" s="53" t="n"/>
      <c r="G3001" s="61" t="str">
        <f>IF(OR(COUNTA(A3001:E3001)=0,D3001=""),"",IFERROR(INDEX(ca_fam,MATCH(D3001,ca_name,0))&amp;"",""))</f>
        <v/>
      </c>
      <c r="H3001" s="58" t="str">
        <f>IF(OR(COUNTA(A3001:E3001)=0,D3001=""),"",IFERROR(INDEX(ca_type,MATCH(D3001,ca_name,0))&amp;"",""))</f>
        <v/>
      </c>
      <c r="I3001" s="58" t="str">
        <f>IF(COUNTA(A3001:E3001)=0,"",IF(N(A3001)&lt;=0,"Date manquante ou invalide",IF(B3001="","Équipe manquante",IF(ISNA(MATCH(B3001,eq_code,0)),"Équipe inconnue",IF(C3001="","Poste manquant",IF(ISNA(MATCH(C3001,po_code,0)),"Poste inconnu",IF(D3001="","Cause manquante",IF(ISNA(MATCH(D3001,ca_name,0)),"Cause inconnue",IF(H3001="","Cause à compléter dans Paramètres",IF(OR(NOT(ISNUMBER(E3001)),N(E3001)&lt;=0,N(E3001)&gt;1440),"Durée invalide",IF(COUNTIFS(sj_date,A3001,sj_eq,B3001,sj_po,C3001)=0,"Pas de saisie journalière ce jour-là","OK")))))))))))</f>
        <v/>
      </c>
      <c r="J3001">
        <f>IF(OR(I3001="OK",I3001="Pas de saisie journalière ce jour-là"),E3001,0)</f>
        <v>0.0</v>
      </c>
      <c r="K3001">
        <f>IF(AND(J3001&gt;0,A3001&gt;=p_from,A3001&lt;=p_to),1,0)</f>
        <v>0.0</v>
      </c>
      <c r="L3001">
        <f>IF(AND(K3001=1,OR(pa_po="",C3001=pa_po),OR(pa_eq="",B3001=pa_eq)),1,0)</f>
        <v>0.0</v>
      </c>
    </row>
    <row r="3002">
      <c r="A3002" s="51" t="n"/>
      <c r="B3002" s="52" t="n"/>
      <c r="C3002" s="52" t="n"/>
      <c r="D3002" s="53" t="n"/>
      <c r="E3002" s="60" t="n"/>
      <c r="F3002" s="53" t="n"/>
      <c r="G3002" s="61" t="str">
        <f>IF(OR(COUNTA(A3002:E3002)=0,D3002=""),"",IFERROR(INDEX(ca_fam,MATCH(D3002,ca_name,0))&amp;"",""))</f>
        <v/>
      </c>
      <c r="H3002" s="58" t="str">
        <f>IF(OR(COUNTA(A3002:E3002)=0,D3002=""),"",IFERROR(INDEX(ca_type,MATCH(D3002,ca_name,0))&amp;"",""))</f>
        <v/>
      </c>
      <c r="I3002" s="58" t="str">
        <f>IF(COUNTA(A3002:E3002)=0,"",IF(N(A3002)&lt;=0,"Date manquante ou invalide",IF(B3002="","Équipe manquante",IF(ISNA(MATCH(B3002,eq_code,0)),"Équipe inconnue",IF(C3002="","Poste manquant",IF(ISNA(MATCH(C3002,po_code,0)),"Poste inconnu",IF(D3002="","Cause manquante",IF(ISNA(MATCH(D3002,ca_name,0)),"Cause inconnue",IF(H3002="","Cause à compléter dans Paramètres",IF(OR(NOT(ISNUMBER(E3002)),N(E3002)&lt;=0,N(E3002)&gt;1440),"Durée invalide",IF(COUNTIFS(sj_date,A3002,sj_eq,B3002,sj_po,C3002)=0,"Pas de saisie journalière ce jour-là","OK")))))))))))</f>
        <v/>
      </c>
      <c r="J3002">
        <f>IF(OR(I3002="OK",I3002="Pas de saisie journalière ce jour-là"),E3002,0)</f>
        <v>0.0</v>
      </c>
      <c r="K3002">
        <f>IF(AND(J3002&gt;0,A3002&gt;=p_from,A3002&lt;=p_to),1,0)</f>
        <v>0.0</v>
      </c>
      <c r="L3002">
        <f>IF(AND(K3002=1,OR(pa_po="",C3002=pa_po),OR(pa_eq="",B3002=pa_eq)),1,0)</f>
        <v>0.0</v>
      </c>
    </row>
    <row r="3003">
      <c r="A3003" s="51" t="n"/>
      <c r="B3003" s="52" t="n"/>
      <c r="C3003" s="52" t="n"/>
      <c r="D3003" s="53" t="n"/>
      <c r="E3003" s="60" t="n"/>
      <c r="F3003" s="53" t="n"/>
      <c r="G3003" s="61" t="str">
        <f>IF(OR(COUNTA(A3003:E3003)=0,D3003=""),"",IFERROR(INDEX(ca_fam,MATCH(D3003,ca_name,0))&amp;"",""))</f>
        <v/>
      </c>
      <c r="H3003" s="58" t="str">
        <f>IF(OR(COUNTA(A3003:E3003)=0,D3003=""),"",IFERROR(INDEX(ca_type,MATCH(D3003,ca_name,0))&amp;"",""))</f>
        <v/>
      </c>
      <c r="I3003" s="58" t="str">
        <f>IF(COUNTA(A3003:E3003)=0,"",IF(N(A3003)&lt;=0,"Date manquante ou invalide",IF(B3003="","Équipe manquante",IF(ISNA(MATCH(B3003,eq_code,0)),"Équipe inconnue",IF(C3003="","Poste manquant",IF(ISNA(MATCH(C3003,po_code,0)),"Poste inconnu",IF(D3003="","Cause manquante",IF(ISNA(MATCH(D3003,ca_name,0)),"Cause inconnue",IF(H3003="","Cause à compléter dans Paramètres",IF(OR(NOT(ISNUMBER(E3003)),N(E3003)&lt;=0,N(E3003)&gt;1440),"Durée invalide",IF(COUNTIFS(sj_date,A3003,sj_eq,B3003,sj_po,C3003)=0,"Pas de saisie journalière ce jour-là","OK")))))))))))</f>
        <v/>
      </c>
      <c r="J3003">
        <f>IF(OR(I3003="OK",I3003="Pas de saisie journalière ce jour-là"),E3003,0)</f>
        <v>0.0</v>
      </c>
      <c r="K3003">
        <f>IF(AND(J3003&gt;0,A3003&gt;=p_from,A3003&lt;=p_to),1,0)</f>
        <v>0.0</v>
      </c>
      <c r="L3003">
        <f>IF(AND(K3003=1,OR(pa_po="",C3003=pa_po),OR(pa_eq="",B3003=pa_eq)),1,0)</f>
        <v>0.0</v>
      </c>
    </row>
    <row r="3004">
      <c r="A3004" s="51" t="n"/>
      <c r="B3004" s="52" t="n"/>
      <c r="C3004" s="52" t="n"/>
      <c r="D3004" s="53" t="n"/>
      <c r="E3004" s="60" t="n"/>
      <c r="F3004" s="53" t="n"/>
      <c r="G3004" s="61" t="str">
        <f>IF(OR(COUNTA(A3004:E3004)=0,D3004=""),"",IFERROR(INDEX(ca_fam,MATCH(D3004,ca_name,0))&amp;"",""))</f>
        <v/>
      </c>
      <c r="H3004" s="58" t="str">
        <f>IF(OR(COUNTA(A3004:E3004)=0,D3004=""),"",IFERROR(INDEX(ca_type,MATCH(D3004,ca_name,0))&amp;"",""))</f>
        <v/>
      </c>
      <c r="I3004" s="58" t="str">
        <f>IF(COUNTA(A3004:E3004)=0,"",IF(N(A3004)&lt;=0,"Date manquante ou invalide",IF(B3004="","Équipe manquante",IF(ISNA(MATCH(B3004,eq_code,0)),"Équipe inconnue",IF(C3004="","Poste manquant",IF(ISNA(MATCH(C3004,po_code,0)),"Poste inconnu",IF(D3004="","Cause manquante",IF(ISNA(MATCH(D3004,ca_name,0)),"Cause inconnue",IF(H3004="","Cause à compléter dans Paramètres",IF(OR(NOT(ISNUMBER(E3004)),N(E3004)&lt;=0,N(E3004)&gt;1440),"Durée invalide",IF(COUNTIFS(sj_date,A3004,sj_eq,B3004,sj_po,C3004)=0,"Pas de saisie journalière ce jour-là","OK")))))))))))</f>
        <v/>
      </c>
      <c r="J3004">
        <f>IF(OR(I3004="OK",I3004="Pas de saisie journalière ce jour-là"),E3004,0)</f>
        <v>0.0</v>
      </c>
      <c r="K3004">
        <f>IF(AND(J3004&gt;0,A3004&gt;=p_from,A3004&lt;=p_to),1,0)</f>
        <v>0.0</v>
      </c>
      <c r="L3004">
        <f>IF(AND(K3004=1,OR(pa_po="",C3004=pa_po),OR(pa_eq="",B3004=pa_eq)),1,0)</f>
        <v>0.0</v>
      </c>
    </row>
    <row r="3005">
      <c r="A3005" s="51" t="n"/>
      <c r="B3005" s="52" t="n"/>
      <c r="C3005" s="52" t="n"/>
      <c r="D3005" s="53" t="n"/>
      <c r="E3005" s="60" t="n"/>
      <c r="F3005" s="53" t="n"/>
      <c r="G3005" s="61" t="str">
        <f>IF(OR(COUNTA(A3005:E3005)=0,D3005=""),"",IFERROR(INDEX(ca_fam,MATCH(D3005,ca_name,0))&amp;"",""))</f>
        <v/>
      </c>
      <c r="H3005" s="58" t="str">
        <f>IF(OR(COUNTA(A3005:E3005)=0,D3005=""),"",IFERROR(INDEX(ca_type,MATCH(D3005,ca_name,0))&amp;"",""))</f>
        <v/>
      </c>
      <c r="I3005" s="58" t="str">
        <f>IF(COUNTA(A3005:E3005)=0,"",IF(N(A3005)&lt;=0,"Date manquante ou invalide",IF(B3005="","Équipe manquante",IF(ISNA(MATCH(B3005,eq_code,0)),"Équipe inconnue",IF(C3005="","Poste manquant",IF(ISNA(MATCH(C3005,po_code,0)),"Poste inconnu",IF(D3005="","Cause manquante",IF(ISNA(MATCH(D3005,ca_name,0)),"Cause inconnue",IF(H3005="","Cause à compléter dans Paramètres",IF(OR(NOT(ISNUMBER(E3005)),N(E3005)&lt;=0,N(E3005)&gt;1440),"Durée invalide",IF(COUNTIFS(sj_date,A3005,sj_eq,B3005,sj_po,C3005)=0,"Pas de saisie journalière ce jour-là","OK")))))))))))</f>
        <v/>
      </c>
      <c r="J3005">
        <f>IF(OR(I3005="OK",I3005="Pas de saisie journalière ce jour-là"),E3005,0)</f>
        <v>0.0</v>
      </c>
      <c r="K3005">
        <f>IF(AND(J3005&gt;0,A3005&gt;=p_from,A3005&lt;=p_to),1,0)</f>
        <v>0.0</v>
      </c>
      <c r="L3005">
        <f>IF(AND(K3005=1,OR(pa_po="",C3005=pa_po),OR(pa_eq="",B3005=pa_eq)),1,0)</f>
        <v>0.0</v>
      </c>
    </row>
  </sheetData>
  <autoFilter ref="A5:I3005"/>
  <conditionalFormatting sqref="H6:H3005">
    <cfRule type="expression" priority="1" dxfId="13">
      <formula>$H6="Planifié"</formula>
    </cfRule>
    <cfRule type="expression" priority="2" dxfId="14">
      <formula>$H6="Non planifié"</formula>
    </cfRule>
  </conditionalFormatting>
  <conditionalFormatting sqref="I6:I3005">
    <cfRule type="expression" priority="3" dxfId="9" stopIfTrue="1">
      <formula>$I6="OK"</formula>
    </cfRule>
    <cfRule type="expression" priority="4" dxfId="4" stopIfTrue="1">
      <formula>$I6="Pas de saisie journalière ce jour-là"</formula>
    </cfRule>
    <cfRule type="expression" priority="5" dxfId="5">
      <formula>$I6&lt;&gt;""</formula>
    </cfRule>
  </conditionalFormatting>
  <dataValidations count="5">
    <dataValidation sqref="A6:A3005" showDropDown="0" showInputMessage="1" showErrorMessage="1" allowBlank="1" errorTitle="Date" error="Date de l'arrêt (jj/mm/aaaa), la même que la ligne de saisie de l'équipe." promptTitle="Date" prompt="Date de l'arrêt (jj/mm/aaaa), la même que la ligne de saisie de l'équipe." type="date" operator="between">
      <formula1>36526</formula1>
      <formula2>73051</formula2>
    </dataValidation>
    <dataValidation sqref="B6:B3005" showDropDown="0" showInputMessage="1" showErrorMessage="1" allowBlank="1" errorTitle="Équipe" error="Choisissez l'équipe (liste dans Paramètres)." promptTitle="Équipe" prompt="Choisissez l'équipe (liste dans Paramètres)." type="list">
      <formula1>=eq_code</formula1>
    </dataValidation>
    <dataValidation sqref="C6:C3005" showDropDown="0" showInputMessage="1" showErrorMessage="1" allowBlank="1" errorTitle="Poste" error="Choisissez le poste arrêté (feuille Postes)." promptTitle="Poste" prompt="Choisissez le poste arrêté (feuille Postes)." type="list">
      <formula1>=po_code</formula1>
    </dataValidation>
    <dataValidation sqref="D6:D3005" showDropDown="0" showInputMessage="1" showErrorMessage="1" allowBlank="1" errorTitle="Cause" error="Choisissez la cause (liste dans Paramètres, où vous pouvez en ajouter)." promptTitle="Cause" prompt="Choisissez la cause (liste dans Paramètres, où vous pouvez en ajouter)." type="list">
      <formula1>=ca_name</formula1>
    </dataValidation>
    <dataValidation sqref="E6:E3005" showDropDown="0" showInputMessage="1" showErrorMessage="1" allowBlank="1" errorTitle="Durée" error="Durée de l'arrêt en minutes, supérieure à 0 et au plus 1 440." promptTitle="Durée" prompt="Durée de l'arrêt en minutes, supérieure à 0 et au plus 1 440." type="decimal" operator="between">
      <formula1>0</formula1>
      <formula2>1440</formula2>
    </dataValidation>
  </dataValidations>
  <hyperlinks>
    <hyperlink ref="I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0369A1"/>
    <outlinePr summaryBelow="1" summaryRight="1"/>
    <pageSetUpPr fitToPage="1"/>
  </sheetPr>
  <dimension ref="A1:S86"/>
  <sheetViews>
    <sheetView showGridLines="0" tabSelected="0" zoomScale="100" workbookViewId="0">
      <pane xSplit="2" ySplit="3" topLeftCell="C4"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 width="12" customWidth="1" min="16" max="16"/>
    <col hidden="1" width="4" customWidth="1" min="17" max="17"/>
    <col hidden="1" width="4" customWidth="1" min="18" max="18"/>
    <col hidden="1" width="4" customWidth="1" min="19" max="19"/>
  </cols>
  <sheetData>
    <row r="1" ht="38" customHeight="1">
      <c r="A1" s="2" t="inlineStr">
        <is>
          <t>Synthèse</t>
        </is>
      </c>
      <c r="B1" s="1" t="n"/>
      <c r="C1" s="1" t="n"/>
      <c r="D1" s="1" t="n"/>
      <c r="E1" s="1" t="n"/>
      <c r="F1" s="1" t="n"/>
      <c r="G1" s="1" t="n"/>
      <c r="H1" s="1" t="n"/>
      <c r="I1" s="1" t="n"/>
      <c r="J1" s="1" t="n"/>
      <c r="K1" s="1" t="n"/>
      <c r="L1" s="1" t="n"/>
      <c r="M1" s="1" t="n"/>
      <c r="N1" s="1" t="n"/>
      <c r="O1" s="1" t="n"/>
      <c r="P1" s="18" t="inlineStr">
        <is>
          <t>⌂ Mode d'emploi</t>
        </is>
      </c>
    </row>
    <row r="2" ht="22" customHeight="1">
      <c r="A2" s="4" t="inlineStr">
        <is>
          <t>Choisissez la période. Chaque taux est le rapport des temps cumulés de la période.</t>
        </is>
      </c>
      <c r="B2" s="3" t="n"/>
      <c r="C2" s="3" t="n"/>
      <c r="D2" s="3" t="n"/>
      <c r="E2" s="3" t="n"/>
      <c r="F2" s="3" t="n"/>
      <c r="G2" s="3" t="n"/>
      <c r="H2" s="3" t="n"/>
      <c r="I2" s="3" t="n"/>
      <c r="J2" s="3" t="n"/>
      <c r="K2" s="3" t="n"/>
      <c r="L2" s="3" t="n"/>
      <c r="M2" s="3" t="n"/>
      <c r="N2" s="3" t="n"/>
      <c r="O2" s="3" t="n"/>
      <c r="P2" s="3" t="n"/>
    </row>
    <row r="3" ht="18" customHeight="1"/>
    <row r="4">
      <c r="A4" s="62" t="inlineStr">
        <is>
          <t>Période du</t>
        </is>
      </c>
      <c r="B4" s="63" t="n"/>
      <c r="C4" s="64" t="inlineStr">
        <is>
          <t>au</t>
        </is>
      </c>
      <c r="D4" s="63" t="n"/>
      <c r="F4" s="37" t="str">
        <f>IF(AND(N(p_from_in)&gt;0,N(p_to_in)&gt;0,p_from_in&gt;p_to_in),"La date de début est après la date de fin : aucune ligne n'est retenue.","Vide = toute la saisie. Les dates sont incluses.")</f>
        <v>Vide = toute la saisie. Les dates sont incluses.</v>
      </c>
    </row>
    <row r="5">
      <c r="A5" s="65" t="inlineStr">
        <is>
          <t>Période retenue</t>
        </is>
      </c>
      <c r="B5" s="66">
        <f>IF(N(p_from_in)&gt;0,p_from_in,MIN(sj_date))</f>
        <v>46286.0</v>
      </c>
      <c r="C5" s="67" t="inlineStr">
        <is>
          <t>au</t>
        </is>
      </c>
      <c r="D5" s="66">
        <f>IF(N(p_to_in)&gt;0,p_to_in,MAX(sj_date))</f>
        <v>46330.0</v>
      </c>
      <c r="F5" s="37" t="str">
        <f>SUM(sj_in)&amp;" saisie(s) retenue(s) sur "&amp;COUNTIF(sj_check,"?*")&amp;" ligne(s) saisie(s)."</f>
        <v>330 saisie(s) retenue(s) sur 330 ligne(s) saisie(s).</v>
      </c>
    </row>
    <row r="7" ht="22" customHeight="1">
      <c r="A7" s="5" t="inlineStr">
        <is>
          <t>Par poste</t>
        </is>
      </c>
      <c r="B7" s="6" t="n"/>
      <c r="C7" s="6" t="n"/>
      <c r="D7" s="6" t="n"/>
      <c r="E7" s="6" t="n"/>
      <c r="F7" s="6" t="n"/>
      <c r="G7" s="6" t="n"/>
      <c r="H7" s="6" t="n"/>
      <c r="I7" s="6" t="n"/>
      <c r="J7" s="6" t="n"/>
      <c r="K7" s="6" t="n"/>
      <c r="L7" s="6" t="n"/>
      <c r="M7" s="6" t="n"/>
      <c r="N7" s="6" t="n"/>
      <c r="O7" s="6" t="n"/>
      <c r="P7" s="6" t="n"/>
    </row>
    <row r="8" ht="40" customHeight="1">
      <c r="A8" s="38" t="inlineStr">
        <is>
          <t>Poste</t>
        </is>
      </c>
      <c r="B8" s="38" t="inlineStr">
        <is>
          <t>Nom</t>
        </is>
      </c>
      <c r="C8" s="38" t="inlineStr">
        <is>
          <t>Ouverture (h)</t>
        </is>
      </c>
      <c r="D8" s="38" t="inlineStr">
        <is>
          <t>Temps requis (h)</t>
        </is>
      </c>
      <c r="E8" s="38" t="inlineStr">
        <is>
          <t>Arrêts non planifiés (h)</t>
        </is>
      </c>
      <c r="F8" s="38" t="inlineStr">
        <is>
          <t>Fonction-nement (h)</t>
        </is>
      </c>
      <c r="G8" s="38" t="inlineStr">
        <is>
          <t>Pièces bonnes</t>
        </is>
      </c>
      <c r="H8" s="38" t="inlineStr">
        <is>
          <t>Rebuts</t>
        </is>
      </c>
      <c r="I8" s="38" t="inlineStr">
        <is>
          <t>Retouches</t>
        </is>
      </c>
      <c r="J8" s="38" t="inlineStr">
        <is>
          <t>Disponi-bilité</t>
        </is>
      </c>
      <c r="K8" s="38" t="inlineStr">
        <is>
          <t>Performance</t>
        </is>
      </c>
      <c r="L8" s="38" t="inlineStr">
        <is>
          <t>Qualité</t>
        </is>
      </c>
      <c r="M8" s="38" t="inlineStr">
        <is>
          <t>TRS</t>
        </is>
      </c>
      <c r="N8" s="38" t="inlineStr">
        <is>
          <t>TRG</t>
        </is>
      </c>
      <c r="O8" s="38" t="inlineStr">
        <is>
          <t>Rebuts valorisés</t>
        </is>
      </c>
      <c r="P8" s="38" t="inlineStr">
        <is>
          <t>Niveau</t>
        </is>
      </c>
    </row>
    <row r="9">
      <c r="A9" s="58" t="str">
        <f>IF(OR('Postes'!A6="",COUNTIF('Postes'!$A$6:A6,'Postes'!A6)&gt;1),"",'Postes'!A6)</f>
        <v>TOUR1</v>
      </c>
      <c r="B9" s="61" t="str">
        <f>IF(A9="","",'Postes'!B6&amp;"")</f>
        <v>Tour CN 1</v>
      </c>
      <c r="C9" s="68">
        <f>IF($A9="","",SUMIFS(sj_to,sj_po,$A9,sj_in,1)/60)</f>
        <v>520.0</v>
      </c>
      <c r="D9" s="68">
        <f>IF($A9="","",SUMIFS(sj_tr,sj_po,$A9,sj_in,1)/60)</f>
        <v>487.0</v>
      </c>
      <c r="E9" s="68">
        <f>IF($A9="","",SUMIFS(sj_anp,sj_po,$A9,sj_in,1)/60)</f>
        <v>46.5833333333333</v>
      </c>
      <c r="F9" s="68">
        <f>IF($A9="","",SUMIFS(sj_tf,sj_po,$A9,sj_in,1)/60)</f>
        <v>440.416666666667</v>
      </c>
      <c r="G9" s="55">
        <f>IF($A9="","",SUMIFS(sj_good,sj_po,$A9,sj_in,1))</f>
        <v>13569.0</v>
      </c>
      <c r="H9" s="55">
        <f>IF($A9="","",SUMIFS(sj_scrap,sj_po,$A9,sj_in,1))</f>
        <v>214.0</v>
      </c>
      <c r="I9" s="55">
        <f>IF($A9="","",SUMIFS(sj_rework,sj_po,$A9,sj_in,1))</f>
        <v>83.0</v>
      </c>
      <c r="J9" s="57">
        <f>IF(N(D9)&gt;0,F9/D9,"")</f>
        <v>0.904346338124572</v>
      </c>
      <c r="K9" s="57">
        <f>IF(N(F9)&gt;0,Q9/(F9*60),"")</f>
        <v>0.914929044465468</v>
      </c>
      <c r="L9" s="57">
        <f>IF(N(Q9)&gt;0,R9/Q9,"")</f>
        <v>0.978512635976341</v>
      </c>
      <c r="M9" s="57">
        <f>IF(N(D9)&gt;0,R9/(D9*60),"")</f>
        <v>0.809633812457221</v>
      </c>
      <c r="N9" s="57">
        <f>IF(N(C9)&gt;0,R9/(C9*60),"")</f>
        <v>0.758253205128205</v>
      </c>
      <c r="O9" s="59">
        <f>IF($A9="","",SUMIFS(sj_val,sj_po,$A9,sj_in,1))</f>
        <v>9575.5</v>
      </c>
      <c r="P9" s="58" t="str">
        <f>IF(M9="","",IF(M9&gt;=p_target,"Bon",IF(M9&gt;=p_alert,"À surveiller","Faible")))</f>
        <v>Bon</v>
      </c>
      <c r="Q9">
        <f>IF($A9="","",SUMIFS(sj_tn,sj_po,$A9,sj_in,1))</f>
        <v>24177.0</v>
      </c>
      <c r="R9">
        <f>IF($A9="","",SUMIFS(sj_tu,sj_po,$A9,sj_in,1))</f>
        <v>23657.5</v>
      </c>
      <c r="S9">
        <f>IF(AND($A9&lt;&gt;"",N(C9)&gt;0),COUNTIFS($A$9:A9,"?*",$C$9:C9,"&gt;0"),"")</f>
        <v>1.0</v>
      </c>
    </row>
    <row r="10">
      <c r="A10" s="58" t="str">
        <f>IF(OR('Postes'!A7="",COUNTIF('Postes'!$A$6:A7,'Postes'!A7)&gt;1),"",'Postes'!A7)</f>
        <v>TOUR2</v>
      </c>
      <c r="B10" s="61" t="str">
        <f>IF(A10="","",'Postes'!B7&amp;"")</f>
        <v>Tour CN 2</v>
      </c>
      <c r="C10" s="68">
        <f>IF($A10="","",SUMIFS(sj_to,sj_po,$A10,sj_in,1)/60)</f>
        <v>524.0</v>
      </c>
      <c r="D10" s="68">
        <f>IF($A10="","",SUMIFS(sj_tr,sj_po,$A10,sj_in,1)/60)</f>
        <v>491.0</v>
      </c>
      <c r="E10" s="68">
        <f>IF($A10="","",SUMIFS(sj_anp,sj_po,$A10,sj_in,1)/60)</f>
        <v>84.1666666666667</v>
      </c>
      <c r="F10" s="68">
        <f>IF($A10="","",SUMIFS(sj_tf,sj_po,$A10,sj_in,1)/60)</f>
        <v>406.833333333333</v>
      </c>
      <c r="G10" s="55">
        <f>IF($A10="","",SUMIFS(sj_good,sj_po,$A10,sj_in,1))</f>
        <v>14803.0</v>
      </c>
      <c r="H10" s="55">
        <f>IF($A10="","",SUMIFS(sj_scrap,sj_po,$A10,sj_in,1))</f>
        <v>270.0</v>
      </c>
      <c r="I10" s="55">
        <f>IF($A10="","",SUMIFS(sj_rework,sj_po,$A10,sj_in,1))</f>
        <v>76.0</v>
      </c>
      <c r="J10" s="57">
        <f>IF(N(D10)&gt;0,F10/D10,"")</f>
        <v>0.828581126951799</v>
      </c>
      <c r="K10" s="57">
        <f>IF(N(F10)&gt;0,Q10/(F10*60),"")</f>
        <v>0.878358347920003</v>
      </c>
      <c r="L10" s="57">
        <f>IF(N(Q10)&gt;0,R10/Q10,"")</f>
        <v>0.976883416437706</v>
      </c>
      <c r="M10" s="57">
        <f>IF(N(D10)&gt;0,R10/(D10*60),"")</f>
        <v>0.710967104857125</v>
      </c>
      <c r="N10" s="57">
        <f>IF(N(C10)&gt;0,R10/(C10*60),"")</f>
        <v>0.666192458940551</v>
      </c>
      <c r="O10" s="59">
        <f>IF($A10="","",SUMIFS(sj_val,sj_po,$A10,sj_in,1))</f>
        <v>5164.5</v>
      </c>
      <c r="P10" s="58" t="str">
        <f>IF(M10="","",IF(M10&gt;=p_target,"Bon",IF(M10&gt;=p_alert,"À surveiller","Faible")))</f>
        <v>À surveiller</v>
      </c>
      <c r="Q10">
        <f>IF($A10="","",SUMIFS(sj_tn,sj_po,$A10,sj_in,1))</f>
        <v>21440.7272727273</v>
      </c>
      <c r="R10">
        <f>IF($A10="","",SUMIFS(sj_tu,sj_po,$A10,sj_in,1))</f>
        <v>20945.0909090909</v>
      </c>
      <c r="S10">
        <f>IF(AND($A10&lt;&gt;"",N(C10)&gt;0),COUNTIFS($A$9:A10,"?*",$C$9:C10,"&gt;0"),"")</f>
        <v>2.0</v>
      </c>
    </row>
    <row r="11">
      <c r="A11" s="58" t="str">
        <f>IF(OR('Postes'!A8="",COUNTIF('Postes'!$A$6:A8,'Postes'!A8)&gt;1),"",'Postes'!A8)</f>
        <v>USIN</v>
      </c>
      <c r="B11" s="61" t="str">
        <f>IF(A11="","",'Postes'!B8&amp;"")</f>
        <v>Centre d'usinage</v>
      </c>
      <c r="C11" s="68">
        <f>IF($A11="","",SUMIFS(sj_to,sj_po,$A11,sj_in,1)/60)</f>
        <v>524.0</v>
      </c>
      <c r="D11" s="68">
        <f>IF($A11="","",SUMIFS(sj_tr,sj_po,$A11,sj_in,1)/60)</f>
        <v>484.0</v>
      </c>
      <c r="E11" s="68">
        <f>IF($A11="","",SUMIFS(sj_anp,sj_po,$A11,sj_in,1)/60)</f>
        <v>73.0166666666667</v>
      </c>
      <c r="F11" s="68">
        <f>IF($A11="","",SUMIFS(sj_tf,sj_po,$A11,sj_in,1)/60)</f>
        <v>410.983333333333</v>
      </c>
      <c r="G11" s="55">
        <f>IF($A11="","",SUMIFS(sj_good,sj_po,$A11,sj_in,1))</f>
        <v>3214.0</v>
      </c>
      <c r="H11" s="55">
        <f>IF($A11="","",SUMIFS(sj_scrap,sj_po,$A11,sj_in,1))</f>
        <v>35.0</v>
      </c>
      <c r="I11" s="55">
        <f>IF($A11="","",SUMIFS(sj_rework,sj_po,$A11,sj_in,1))</f>
        <v>0.0</v>
      </c>
      <c r="J11" s="57">
        <f>IF(N(D11)&gt;0,F11/D11,"")</f>
        <v>0.8491391184573</v>
      </c>
      <c r="K11" s="57">
        <f>IF(N(F11)&gt;0,Q11/(F11*60),"")</f>
        <v>0.876961758384363</v>
      </c>
      <c r="L11" s="57">
        <f>IF(N(Q11)&gt;0,R11/Q11,"")</f>
        <v>0.988208092485549</v>
      </c>
      <c r="M11" s="57">
        <f>IF(N(D11)&gt;0,R11/(D11*60),"")</f>
        <v>0.735881542699725</v>
      </c>
      <c r="N11" s="57">
        <f>IF(N(C11)&gt;0,R11/(C11*60),"")</f>
        <v>0.67970737913486</v>
      </c>
      <c r="O11" s="59">
        <f>IF($A11="","",SUMIFS(sj_val,sj_po,$A11,sj_in,1))</f>
        <v>12515.0</v>
      </c>
      <c r="P11" s="58" t="str">
        <f>IF(M11="","",IF(M11&gt;=p_target,"Bon",IF(M11&gt;=p_alert,"À surveiller","Faible")))</f>
        <v>À surveiller</v>
      </c>
      <c r="Q11">
        <f>IF($A11="","",SUMIFS(sj_tn,sj_po,$A11,sj_in,1))</f>
        <v>21625.0</v>
      </c>
      <c r="R11">
        <f>IF($A11="","",SUMIFS(sj_tu,sj_po,$A11,sj_in,1))</f>
        <v>21370.0</v>
      </c>
      <c r="S11">
        <f>IF(AND($A11&lt;&gt;"",N(C11)&gt;0),COUNTIFS($A$9:A11,"?*",$C$9:C11,"&gt;0"),"")</f>
        <v>3.0</v>
      </c>
    </row>
    <row r="12">
      <c r="A12" s="58" t="str">
        <f>IF(OR('Postes'!A9="",COUNTIF('Postes'!$A$6:A9,'Postes'!A9)&gt;1),"",'Postes'!A9)</f>
        <v>PRESSE</v>
      </c>
      <c r="B12" s="61" t="str">
        <f>IF(A12="","",'Postes'!B9&amp;"")</f>
        <v>Presse à découper 160 t</v>
      </c>
      <c r="C12" s="68">
        <f>IF($A12="","",SUMIFS(sj_to,sj_po,$A12,sj_in,1)/60)</f>
        <v>264.0</v>
      </c>
      <c r="D12" s="68">
        <f>IF($A12="","",SUMIFS(sj_tr,sj_po,$A12,sj_in,1)/60)</f>
        <v>240.5</v>
      </c>
      <c r="E12" s="68">
        <f>IF($A12="","",SUMIFS(sj_anp,sj_po,$A12,sj_in,1)/60)</f>
        <v>18.05</v>
      </c>
      <c r="F12" s="68">
        <f>IF($A12="","",SUMIFS(sj_tf,sj_po,$A12,sj_in,1)/60)</f>
        <v>222.45</v>
      </c>
      <c r="G12" s="55">
        <f>IF($A12="","",SUMIFS(sj_good,sj_po,$A12,sj_in,1))</f>
        <v>109367.0</v>
      </c>
      <c r="H12" s="55">
        <f>IF($A12="","",SUMIFS(sj_scrap,sj_po,$A12,sj_in,1))</f>
        <v>1581.0</v>
      </c>
      <c r="I12" s="55">
        <f>IF($A12="","",SUMIFS(sj_rework,sj_po,$A12,sj_in,1))</f>
        <v>827.0</v>
      </c>
      <c r="J12" s="57">
        <f>IF(N(D12)&gt;0,F12/D12,"")</f>
        <v>0.924948024948025</v>
      </c>
      <c r="K12" s="57">
        <f>IF(N(F12)&gt;0,Q12/(F12*60),"")</f>
        <v>0.930062400325381</v>
      </c>
      <c r="L12" s="57">
        <f>IF(N(Q12)&gt;0,R12/Q12,"")</f>
        <v>0.978160948641346</v>
      </c>
      <c r="M12" s="57">
        <f>IF(N(D12)&gt;0,R12/(D12*60),"")</f>
        <v>0.841472131472132</v>
      </c>
      <c r="N12" s="57">
        <f>IF(N(C12)&gt;0,R12/(C12*60),"")</f>
        <v>0.766568362193362</v>
      </c>
      <c r="O12" s="59">
        <f>IF($A12="","",SUMIFS(sj_val,sj_po,$A12,sj_in,1))</f>
        <v>3016.8</v>
      </c>
      <c r="P12" s="58" t="str">
        <f>IF(M12="","",IF(M12&gt;=p_target,"Bon",IF(M12&gt;=p_alert,"À surveiller","Faible")))</f>
        <v>Bon</v>
      </c>
      <c r="Q12">
        <f>IF($A12="","",SUMIFS(sj_tn,sj_po,$A12,sj_in,1))</f>
        <v>12413.5428571429</v>
      </c>
      <c r="R12">
        <f>IF($A12="","",SUMIFS(sj_tu,sj_po,$A12,sj_in,1))</f>
        <v>12142.4428571429</v>
      </c>
      <c r="S12">
        <f>IF(AND($A12&lt;&gt;"",N(C12)&gt;0),COUNTIFS($A$9:A12,"?*",$C$9:C12,"&gt;0"),"")</f>
        <v>4.0</v>
      </c>
    </row>
    <row r="13">
      <c r="A13" s="58" t="str">
        <f>IF(OR('Postes'!A10="",COUNTIF('Postes'!$A$6:A10,'Postes'!A10)&gt;1),"",'Postes'!A10)</f>
        <v>PLIE</v>
      </c>
      <c r="B13" s="61" t="str">
        <f>IF(A13="","",'Postes'!B10&amp;"")</f>
        <v>Presse plieuse</v>
      </c>
      <c r="C13" s="68">
        <f>IF($A13="","",SUMIFS(sj_to,sj_po,$A13,sj_in,1)/60)</f>
        <v>292.0</v>
      </c>
      <c r="D13" s="68">
        <f>IF($A13="","",SUMIFS(sj_tr,sj_po,$A13,sj_in,1)/60)</f>
        <v>259.0</v>
      </c>
      <c r="E13" s="68">
        <f>IF($A13="","",SUMIFS(sj_anp,sj_po,$A13,sj_in,1)/60)</f>
        <v>42.5833333333333</v>
      </c>
      <c r="F13" s="68">
        <f>IF($A13="","",SUMIFS(sj_tf,sj_po,$A13,sj_in,1)/60)</f>
        <v>216.416666666667</v>
      </c>
      <c r="G13" s="55">
        <f>IF($A13="","",SUMIFS(sj_good,sj_po,$A13,sj_in,1))</f>
        <v>17655.0</v>
      </c>
      <c r="H13" s="55">
        <f>IF($A13="","",SUMIFS(sj_scrap,sj_po,$A13,sj_in,1))</f>
        <v>341.0</v>
      </c>
      <c r="I13" s="55">
        <f>IF($A13="","",SUMIFS(sj_rework,sj_po,$A13,sj_in,1))</f>
        <v>126.0</v>
      </c>
      <c r="J13" s="57">
        <f>IF(N(D13)&gt;0,F13/D13,"")</f>
        <v>0.835585585585586</v>
      </c>
      <c r="K13" s="57">
        <f>IF(N(F13)&gt;0,Q13/(F13*60),"")</f>
        <v>0.828265714519084</v>
      </c>
      <c r="L13" s="57">
        <f>IF(N(Q13)&gt;0,R13/Q13,"")</f>
        <v>0.974343224875745</v>
      </c>
      <c r="M13" s="57">
        <f>IF(N(D13)&gt;0,R13/(D13*60),"")</f>
        <v>0.674330174330174</v>
      </c>
      <c r="N13" s="57">
        <f>IF(N(C13)&gt;0,R13/(C13*60),"")</f>
        <v>0.598121627231216</v>
      </c>
      <c r="O13" s="59">
        <f>IF($A13="","",SUMIFS(sj_val,sj_po,$A13,sj_in,1))</f>
        <v>12389.0</v>
      </c>
      <c r="P13" s="58" t="str">
        <f>IF(M13="","",IF(M13&gt;=p_target,"Bon",IF(M13&gt;=p_alert,"À surveiller","Faible")))</f>
        <v>À surveiller</v>
      </c>
      <c r="Q13">
        <f>IF($A13="","",SUMIFS(sj_tn,sj_po,$A13,sj_in,1))</f>
        <v>10755.0303030303</v>
      </c>
      <c r="R13">
        <f>IF($A13="","",SUMIFS(sj_tu,sj_po,$A13,sj_in,1))</f>
        <v>10479.0909090909</v>
      </c>
      <c r="S13">
        <f>IF(AND($A13&lt;&gt;"",N(C13)&gt;0),COUNTIFS($A$9:A13,"?*",$C$9:C13,"&gt;0"),"")</f>
        <v>5.0</v>
      </c>
    </row>
    <row r="14">
      <c r="A14" s="58" t="str">
        <f>IF(OR('Postes'!A11="",COUNTIF('Postes'!$A$6:A11,'Postes'!A11)&gt;1),"",'Postes'!A11)</f>
        <v>SOUD</v>
      </c>
      <c r="B14" s="61" t="str">
        <f>IF(A14="","",'Postes'!B11&amp;"")</f>
        <v>Robot de soudure</v>
      </c>
      <c r="C14" s="68">
        <f>IF($A14="","",SUMIFS(sj_to,sj_po,$A14,sj_in,1)/60)</f>
        <v>520.0</v>
      </c>
      <c r="D14" s="68">
        <f>IF($A14="","",SUMIFS(sj_tr,sj_po,$A14,sj_in,1)/60)</f>
        <v>487.0</v>
      </c>
      <c r="E14" s="68">
        <f>IF($A14="","",SUMIFS(sj_anp,sj_po,$A14,sj_in,1)/60)</f>
        <v>91.2833333333333</v>
      </c>
      <c r="F14" s="68">
        <f>IF($A14="","",SUMIFS(sj_tf,sj_po,$A14,sj_in,1)/60)</f>
        <v>395.716666666667</v>
      </c>
      <c r="G14" s="55">
        <f>IF($A14="","",SUMIFS(sj_good,sj_po,$A14,sj_in,1))</f>
        <v>3509.0</v>
      </c>
      <c r="H14" s="55">
        <f>IF($A14="","",SUMIFS(sj_scrap,sj_po,$A14,sj_in,1))</f>
        <v>46.0</v>
      </c>
      <c r="I14" s="55">
        <f>IF($A14="","",SUMIFS(sj_rework,sj_po,$A14,sj_in,1))</f>
        <v>8.0</v>
      </c>
      <c r="J14" s="57">
        <f>IF(N(D14)&gt;0,F14/D14,"")</f>
        <v>0.812559890485968</v>
      </c>
      <c r="K14" s="57">
        <f>IF(N(F14)&gt;0,Q14/(F14*60),"")</f>
        <v>0.799435623131028</v>
      </c>
      <c r="L14" s="57">
        <f>IF(N(Q14)&gt;0,R14/Q14,"")</f>
        <v>0.991465149359886</v>
      </c>
      <c r="M14" s="57">
        <f>IF(N(D14)&gt;0,R14/(D14*60),"")</f>
        <v>0.644045174537988</v>
      </c>
      <c r="N14" s="57">
        <f>IF(N(C14)&gt;0,R14/(C14*60),"")</f>
        <v>0.603173076923077</v>
      </c>
      <c r="O14" s="59">
        <f>IF($A14="","",SUMIFS(sj_val,sj_po,$A14,sj_in,1))</f>
        <v>10948.0</v>
      </c>
      <c r="P14" s="58" t="str">
        <f>IF(M14="","",IF(M14&gt;=p_target,"Bon",IF(M14&gt;=p_alert,"À surveiller","Faible")))</f>
        <v>À surveiller</v>
      </c>
      <c r="Q14">
        <f>IF($A14="","",SUMIFS(sj_tn,sj_po,$A14,sj_in,1))</f>
        <v>18981.0</v>
      </c>
      <c r="R14">
        <f>IF($A14="","",SUMIFS(sj_tu,sj_po,$A14,sj_in,1))</f>
        <v>18819.0</v>
      </c>
      <c r="S14">
        <f>IF(AND($A14&lt;&gt;"",N(C14)&gt;0),COUNTIFS($A$9:A14,"?*",$C$9:C14,"&gt;0"),"")</f>
        <v>6.0</v>
      </c>
    </row>
    <row r="15">
      <c r="A15" s="58" t="str">
        <f>IF(OR('Postes'!A12="",COUNTIF('Postes'!$A$6:A12,'Postes'!A12)&gt;1),"",'Postes'!A12)</f>
        <v/>
      </c>
      <c r="B15" s="61" t="str">
        <f>IF(A15="","",'Postes'!B12&amp;"")</f>
        <v/>
      </c>
      <c r="C15" s="68" t="str">
        <f>IF($A15="","",SUMIFS(sj_to,sj_po,$A15,sj_in,1)/60)</f>
        <v/>
      </c>
      <c r="D15" s="68" t="str">
        <f>IF($A15="","",SUMIFS(sj_tr,sj_po,$A15,sj_in,1)/60)</f>
        <v/>
      </c>
      <c r="E15" s="68" t="str">
        <f>IF($A15="","",SUMIFS(sj_anp,sj_po,$A15,sj_in,1)/60)</f>
        <v/>
      </c>
      <c r="F15" s="68" t="str">
        <f>IF($A15="","",SUMIFS(sj_tf,sj_po,$A15,sj_in,1)/60)</f>
        <v/>
      </c>
      <c r="G15" s="55" t="str">
        <f>IF($A15="","",SUMIFS(sj_good,sj_po,$A15,sj_in,1))</f>
        <v/>
      </c>
      <c r="H15" s="55" t="str">
        <f>IF($A15="","",SUMIFS(sj_scrap,sj_po,$A15,sj_in,1))</f>
        <v/>
      </c>
      <c r="I15" s="55" t="str">
        <f>IF($A15="","",SUMIFS(sj_rework,sj_po,$A15,sj_in,1))</f>
        <v/>
      </c>
      <c r="J15" s="57" t="str">
        <f>IF(N(D15)&gt;0,F15/D15,"")</f>
        <v/>
      </c>
      <c r="K15" s="57" t="str">
        <f>IF(N(F15)&gt;0,Q15/(F15*60),"")</f>
        <v/>
      </c>
      <c r="L15" s="57" t="str">
        <f>IF(N(Q15)&gt;0,R15/Q15,"")</f>
        <v/>
      </c>
      <c r="M15" s="57" t="str">
        <f>IF(N(D15)&gt;0,R15/(D15*60),"")</f>
        <v/>
      </c>
      <c r="N15" s="57" t="str">
        <f>IF(N(C15)&gt;0,R15/(C15*60),"")</f>
        <v/>
      </c>
      <c r="O15" s="59" t="str">
        <f>IF($A15="","",SUMIFS(sj_val,sj_po,$A15,sj_in,1))</f>
        <v/>
      </c>
      <c r="P15" s="58" t="str">
        <f>IF(M15="","",IF(M15&gt;=p_target,"Bon",IF(M15&gt;=p_alert,"À surveiller","Faible")))</f>
        <v/>
      </c>
      <c r="Q15" t="str">
        <f>IF($A15="","",SUMIFS(sj_tn,sj_po,$A15,sj_in,1))</f>
        <v/>
      </c>
      <c r="R15" t="str">
        <f>IF($A15="","",SUMIFS(sj_tu,sj_po,$A15,sj_in,1))</f>
        <v/>
      </c>
      <c r="S15" t="str">
        <f>IF(AND($A15&lt;&gt;"",N(C15)&gt;0),COUNTIFS($A$9:A15,"?*",$C$9:C15,"&gt;0"),"")</f>
        <v/>
      </c>
    </row>
    <row r="16">
      <c r="A16" s="58" t="str">
        <f>IF(OR('Postes'!A13="",COUNTIF('Postes'!$A$6:A13,'Postes'!A13)&gt;1),"",'Postes'!A13)</f>
        <v/>
      </c>
      <c r="B16" s="61" t="str">
        <f>IF(A16="","",'Postes'!B13&amp;"")</f>
        <v/>
      </c>
      <c r="C16" s="68" t="str">
        <f>IF($A16="","",SUMIFS(sj_to,sj_po,$A16,sj_in,1)/60)</f>
        <v/>
      </c>
      <c r="D16" s="68" t="str">
        <f>IF($A16="","",SUMIFS(sj_tr,sj_po,$A16,sj_in,1)/60)</f>
        <v/>
      </c>
      <c r="E16" s="68" t="str">
        <f>IF($A16="","",SUMIFS(sj_anp,sj_po,$A16,sj_in,1)/60)</f>
        <v/>
      </c>
      <c r="F16" s="68" t="str">
        <f>IF($A16="","",SUMIFS(sj_tf,sj_po,$A16,sj_in,1)/60)</f>
        <v/>
      </c>
      <c r="G16" s="55" t="str">
        <f>IF($A16="","",SUMIFS(sj_good,sj_po,$A16,sj_in,1))</f>
        <v/>
      </c>
      <c r="H16" s="55" t="str">
        <f>IF($A16="","",SUMIFS(sj_scrap,sj_po,$A16,sj_in,1))</f>
        <v/>
      </c>
      <c r="I16" s="55" t="str">
        <f>IF($A16="","",SUMIFS(sj_rework,sj_po,$A16,sj_in,1))</f>
        <v/>
      </c>
      <c r="J16" s="57" t="str">
        <f>IF(N(D16)&gt;0,F16/D16,"")</f>
        <v/>
      </c>
      <c r="K16" s="57" t="str">
        <f>IF(N(F16)&gt;0,Q16/(F16*60),"")</f>
        <v/>
      </c>
      <c r="L16" s="57" t="str">
        <f>IF(N(Q16)&gt;0,R16/Q16,"")</f>
        <v/>
      </c>
      <c r="M16" s="57" t="str">
        <f>IF(N(D16)&gt;0,R16/(D16*60),"")</f>
        <v/>
      </c>
      <c r="N16" s="57" t="str">
        <f>IF(N(C16)&gt;0,R16/(C16*60),"")</f>
        <v/>
      </c>
      <c r="O16" s="59" t="str">
        <f>IF($A16="","",SUMIFS(sj_val,sj_po,$A16,sj_in,1))</f>
        <v/>
      </c>
      <c r="P16" s="58" t="str">
        <f>IF(M16="","",IF(M16&gt;=p_target,"Bon",IF(M16&gt;=p_alert,"À surveiller","Faible")))</f>
        <v/>
      </c>
      <c r="Q16" t="str">
        <f>IF($A16="","",SUMIFS(sj_tn,sj_po,$A16,sj_in,1))</f>
        <v/>
      </c>
      <c r="R16" t="str">
        <f>IF($A16="","",SUMIFS(sj_tu,sj_po,$A16,sj_in,1))</f>
        <v/>
      </c>
      <c r="S16" t="str">
        <f>IF(AND($A16&lt;&gt;"",N(C16)&gt;0),COUNTIFS($A$9:A16,"?*",$C$9:C16,"&gt;0"),"")</f>
        <v/>
      </c>
    </row>
    <row r="17">
      <c r="A17" s="58" t="str">
        <f>IF(OR('Postes'!A14="",COUNTIF('Postes'!$A$6:A14,'Postes'!A14)&gt;1),"",'Postes'!A14)</f>
        <v/>
      </c>
      <c r="B17" s="61" t="str">
        <f>IF(A17="","",'Postes'!B14&amp;"")</f>
        <v/>
      </c>
      <c r="C17" s="68" t="str">
        <f>IF($A17="","",SUMIFS(sj_to,sj_po,$A17,sj_in,1)/60)</f>
        <v/>
      </c>
      <c r="D17" s="68" t="str">
        <f>IF($A17="","",SUMIFS(sj_tr,sj_po,$A17,sj_in,1)/60)</f>
        <v/>
      </c>
      <c r="E17" s="68" t="str">
        <f>IF($A17="","",SUMIFS(sj_anp,sj_po,$A17,sj_in,1)/60)</f>
        <v/>
      </c>
      <c r="F17" s="68" t="str">
        <f>IF($A17="","",SUMIFS(sj_tf,sj_po,$A17,sj_in,1)/60)</f>
        <v/>
      </c>
      <c r="G17" s="55" t="str">
        <f>IF($A17="","",SUMIFS(sj_good,sj_po,$A17,sj_in,1))</f>
        <v/>
      </c>
      <c r="H17" s="55" t="str">
        <f>IF($A17="","",SUMIFS(sj_scrap,sj_po,$A17,sj_in,1))</f>
        <v/>
      </c>
      <c r="I17" s="55" t="str">
        <f>IF($A17="","",SUMIFS(sj_rework,sj_po,$A17,sj_in,1))</f>
        <v/>
      </c>
      <c r="J17" s="57" t="str">
        <f>IF(N(D17)&gt;0,F17/D17,"")</f>
        <v/>
      </c>
      <c r="K17" s="57" t="str">
        <f>IF(N(F17)&gt;0,Q17/(F17*60),"")</f>
        <v/>
      </c>
      <c r="L17" s="57" t="str">
        <f>IF(N(Q17)&gt;0,R17/Q17,"")</f>
        <v/>
      </c>
      <c r="M17" s="57" t="str">
        <f>IF(N(D17)&gt;0,R17/(D17*60),"")</f>
        <v/>
      </c>
      <c r="N17" s="57" t="str">
        <f>IF(N(C17)&gt;0,R17/(C17*60),"")</f>
        <v/>
      </c>
      <c r="O17" s="59" t="str">
        <f>IF($A17="","",SUMIFS(sj_val,sj_po,$A17,sj_in,1))</f>
        <v/>
      </c>
      <c r="P17" s="58" t="str">
        <f>IF(M17="","",IF(M17&gt;=p_target,"Bon",IF(M17&gt;=p_alert,"À surveiller","Faible")))</f>
        <v/>
      </c>
      <c r="Q17" t="str">
        <f>IF($A17="","",SUMIFS(sj_tn,sj_po,$A17,sj_in,1))</f>
        <v/>
      </c>
      <c r="R17" t="str">
        <f>IF($A17="","",SUMIFS(sj_tu,sj_po,$A17,sj_in,1))</f>
        <v/>
      </c>
      <c r="S17" t="str">
        <f>IF(AND($A17&lt;&gt;"",N(C17)&gt;0),COUNTIFS($A$9:A17,"?*",$C$9:C17,"&gt;0"),"")</f>
        <v/>
      </c>
    </row>
    <row r="18">
      <c r="A18" s="58" t="str">
        <f>IF(OR('Postes'!A15="",COUNTIF('Postes'!$A$6:A15,'Postes'!A15)&gt;1),"",'Postes'!A15)</f>
        <v/>
      </c>
      <c r="B18" s="61" t="str">
        <f>IF(A18="","",'Postes'!B15&amp;"")</f>
        <v/>
      </c>
      <c r="C18" s="68" t="str">
        <f>IF($A18="","",SUMIFS(sj_to,sj_po,$A18,sj_in,1)/60)</f>
        <v/>
      </c>
      <c r="D18" s="68" t="str">
        <f>IF($A18="","",SUMIFS(sj_tr,sj_po,$A18,sj_in,1)/60)</f>
        <v/>
      </c>
      <c r="E18" s="68" t="str">
        <f>IF($A18="","",SUMIFS(sj_anp,sj_po,$A18,sj_in,1)/60)</f>
        <v/>
      </c>
      <c r="F18" s="68" t="str">
        <f>IF($A18="","",SUMIFS(sj_tf,sj_po,$A18,sj_in,1)/60)</f>
        <v/>
      </c>
      <c r="G18" s="55" t="str">
        <f>IF($A18="","",SUMIFS(sj_good,sj_po,$A18,sj_in,1))</f>
        <v/>
      </c>
      <c r="H18" s="55" t="str">
        <f>IF($A18="","",SUMIFS(sj_scrap,sj_po,$A18,sj_in,1))</f>
        <v/>
      </c>
      <c r="I18" s="55" t="str">
        <f>IF($A18="","",SUMIFS(sj_rework,sj_po,$A18,sj_in,1))</f>
        <v/>
      </c>
      <c r="J18" s="57" t="str">
        <f>IF(N(D18)&gt;0,F18/D18,"")</f>
        <v/>
      </c>
      <c r="K18" s="57" t="str">
        <f>IF(N(F18)&gt;0,Q18/(F18*60),"")</f>
        <v/>
      </c>
      <c r="L18" s="57" t="str">
        <f>IF(N(Q18)&gt;0,R18/Q18,"")</f>
        <v/>
      </c>
      <c r="M18" s="57" t="str">
        <f>IF(N(D18)&gt;0,R18/(D18*60),"")</f>
        <v/>
      </c>
      <c r="N18" s="57" t="str">
        <f>IF(N(C18)&gt;0,R18/(C18*60),"")</f>
        <v/>
      </c>
      <c r="O18" s="59" t="str">
        <f>IF($A18="","",SUMIFS(sj_val,sj_po,$A18,sj_in,1))</f>
        <v/>
      </c>
      <c r="P18" s="58" t="str">
        <f>IF(M18="","",IF(M18&gt;=p_target,"Bon",IF(M18&gt;=p_alert,"À surveiller","Faible")))</f>
        <v/>
      </c>
      <c r="Q18" t="str">
        <f>IF($A18="","",SUMIFS(sj_tn,sj_po,$A18,sj_in,1))</f>
        <v/>
      </c>
      <c r="R18" t="str">
        <f>IF($A18="","",SUMIFS(sj_tu,sj_po,$A18,sj_in,1))</f>
        <v/>
      </c>
      <c r="S18" t="str">
        <f>IF(AND($A18&lt;&gt;"",N(C18)&gt;0),COUNTIFS($A$9:A18,"?*",$C$9:C18,"&gt;0"),"")</f>
        <v/>
      </c>
    </row>
    <row r="19">
      <c r="A19" s="58" t="str">
        <f>IF(OR('Postes'!A16="",COUNTIF('Postes'!$A$6:A16,'Postes'!A16)&gt;1),"",'Postes'!A16)</f>
        <v/>
      </c>
      <c r="B19" s="61" t="str">
        <f>IF(A19="","",'Postes'!B16&amp;"")</f>
        <v/>
      </c>
      <c r="C19" s="68" t="str">
        <f>IF($A19="","",SUMIFS(sj_to,sj_po,$A19,sj_in,1)/60)</f>
        <v/>
      </c>
      <c r="D19" s="68" t="str">
        <f>IF($A19="","",SUMIFS(sj_tr,sj_po,$A19,sj_in,1)/60)</f>
        <v/>
      </c>
      <c r="E19" s="68" t="str">
        <f>IF($A19="","",SUMIFS(sj_anp,sj_po,$A19,sj_in,1)/60)</f>
        <v/>
      </c>
      <c r="F19" s="68" t="str">
        <f>IF($A19="","",SUMIFS(sj_tf,sj_po,$A19,sj_in,1)/60)</f>
        <v/>
      </c>
      <c r="G19" s="55" t="str">
        <f>IF($A19="","",SUMIFS(sj_good,sj_po,$A19,sj_in,1))</f>
        <v/>
      </c>
      <c r="H19" s="55" t="str">
        <f>IF($A19="","",SUMIFS(sj_scrap,sj_po,$A19,sj_in,1))</f>
        <v/>
      </c>
      <c r="I19" s="55" t="str">
        <f>IF($A19="","",SUMIFS(sj_rework,sj_po,$A19,sj_in,1))</f>
        <v/>
      </c>
      <c r="J19" s="57" t="str">
        <f>IF(N(D19)&gt;0,F19/D19,"")</f>
        <v/>
      </c>
      <c r="K19" s="57" t="str">
        <f>IF(N(F19)&gt;0,Q19/(F19*60),"")</f>
        <v/>
      </c>
      <c r="L19" s="57" t="str">
        <f>IF(N(Q19)&gt;0,R19/Q19,"")</f>
        <v/>
      </c>
      <c r="M19" s="57" t="str">
        <f>IF(N(D19)&gt;0,R19/(D19*60),"")</f>
        <v/>
      </c>
      <c r="N19" s="57" t="str">
        <f>IF(N(C19)&gt;0,R19/(C19*60),"")</f>
        <v/>
      </c>
      <c r="O19" s="59" t="str">
        <f>IF($A19="","",SUMIFS(sj_val,sj_po,$A19,sj_in,1))</f>
        <v/>
      </c>
      <c r="P19" s="58" t="str">
        <f>IF(M19="","",IF(M19&gt;=p_target,"Bon",IF(M19&gt;=p_alert,"À surveiller","Faible")))</f>
        <v/>
      </c>
      <c r="Q19" t="str">
        <f>IF($A19="","",SUMIFS(sj_tn,sj_po,$A19,sj_in,1))</f>
        <v/>
      </c>
      <c r="R19" t="str">
        <f>IF($A19="","",SUMIFS(sj_tu,sj_po,$A19,sj_in,1))</f>
        <v/>
      </c>
      <c r="S19" t="str">
        <f>IF(AND($A19&lt;&gt;"",N(C19)&gt;0),COUNTIFS($A$9:A19,"?*",$C$9:C19,"&gt;0"),"")</f>
        <v/>
      </c>
    </row>
    <row r="20">
      <c r="A20" s="58" t="str">
        <f>IF(OR('Postes'!A17="",COUNTIF('Postes'!$A$6:A17,'Postes'!A17)&gt;1),"",'Postes'!A17)</f>
        <v/>
      </c>
      <c r="B20" s="61" t="str">
        <f>IF(A20="","",'Postes'!B17&amp;"")</f>
        <v/>
      </c>
      <c r="C20" s="68" t="str">
        <f>IF($A20="","",SUMIFS(sj_to,sj_po,$A20,sj_in,1)/60)</f>
        <v/>
      </c>
      <c r="D20" s="68" t="str">
        <f>IF($A20="","",SUMIFS(sj_tr,sj_po,$A20,sj_in,1)/60)</f>
        <v/>
      </c>
      <c r="E20" s="68" t="str">
        <f>IF($A20="","",SUMIFS(sj_anp,sj_po,$A20,sj_in,1)/60)</f>
        <v/>
      </c>
      <c r="F20" s="68" t="str">
        <f>IF($A20="","",SUMIFS(sj_tf,sj_po,$A20,sj_in,1)/60)</f>
        <v/>
      </c>
      <c r="G20" s="55" t="str">
        <f>IF($A20="","",SUMIFS(sj_good,sj_po,$A20,sj_in,1))</f>
        <v/>
      </c>
      <c r="H20" s="55" t="str">
        <f>IF($A20="","",SUMIFS(sj_scrap,sj_po,$A20,sj_in,1))</f>
        <v/>
      </c>
      <c r="I20" s="55" t="str">
        <f>IF($A20="","",SUMIFS(sj_rework,sj_po,$A20,sj_in,1))</f>
        <v/>
      </c>
      <c r="J20" s="57" t="str">
        <f>IF(N(D20)&gt;0,F20/D20,"")</f>
        <v/>
      </c>
      <c r="K20" s="57" t="str">
        <f>IF(N(F20)&gt;0,Q20/(F20*60),"")</f>
        <v/>
      </c>
      <c r="L20" s="57" t="str">
        <f>IF(N(Q20)&gt;0,R20/Q20,"")</f>
        <v/>
      </c>
      <c r="M20" s="57" t="str">
        <f>IF(N(D20)&gt;0,R20/(D20*60),"")</f>
        <v/>
      </c>
      <c r="N20" s="57" t="str">
        <f>IF(N(C20)&gt;0,R20/(C20*60),"")</f>
        <v/>
      </c>
      <c r="O20" s="59" t="str">
        <f>IF($A20="","",SUMIFS(sj_val,sj_po,$A20,sj_in,1))</f>
        <v/>
      </c>
      <c r="P20" s="58" t="str">
        <f>IF(M20="","",IF(M20&gt;=p_target,"Bon",IF(M20&gt;=p_alert,"À surveiller","Faible")))</f>
        <v/>
      </c>
      <c r="Q20" t="str">
        <f>IF($A20="","",SUMIFS(sj_tn,sj_po,$A20,sj_in,1))</f>
        <v/>
      </c>
      <c r="R20" t="str">
        <f>IF($A20="","",SUMIFS(sj_tu,sj_po,$A20,sj_in,1))</f>
        <v/>
      </c>
      <c r="S20" t="str">
        <f>IF(AND($A20&lt;&gt;"",N(C20)&gt;0),COUNTIFS($A$9:A20,"?*",$C$9:C20,"&gt;0"),"")</f>
        <v/>
      </c>
    </row>
    <row r="21">
      <c r="A21" s="58" t="str">
        <f>IF(OR('Postes'!A18="",COUNTIF('Postes'!$A$6:A18,'Postes'!A18)&gt;1),"",'Postes'!A18)</f>
        <v/>
      </c>
      <c r="B21" s="61" t="str">
        <f>IF(A21="","",'Postes'!B18&amp;"")</f>
        <v/>
      </c>
      <c r="C21" s="68" t="str">
        <f>IF($A21="","",SUMIFS(sj_to,sj_po,$A21,sj_in,1)/60)</f>
        <v/>
      </c>
      <c r="D21" s="68" t="str">
        <f>IF($A21="","",SUMIFS(sj_tr,sj_po,$A21,sj_in,1)/60)</f>
        <v/>
      </c>
      <c r="E21" s="68" t="str">
        <f>IF($A21="","",SUMIFS(sj_anp,sj_po,$A21,sj_in,1)/60)</f>
        <v/>
      </c>
      <c r="F21" s="68" t="str">
        <f>IF($A21="","",SUMIFS(sj_tf,sj_po,$A21,sj_in,1)/60)</f>
        <v/>
      </c>
      <c r="G21" s="55" t="str">
        <f>IF($A21="","",SUMIFS(sj_good,sj_po,$A21,sj_in,1))</f>
        <v/>
      </c>
      <c r="H21" s="55" t="str">
        <f>IF($A21="","",SUMIFS(sj_scrap,sj_po,$A21,sj_in,1))</f>
        <v/>
      </c>
      <c r="I21" s="55" t="str">
        <f>IF($A21="","",SUMIFS(sj_rework,sj_po,$A21,sj_in,1))</f>
        <v/>
      </c>
      <c r="J21" s="57" t="str">
        <f>IF(N(D21)&gt;0,F21/D21,"")</f>
        <v/>
      </c>
      <c r="K21" s="57" t="str">
        <f>IF(N(F21)&gt;0,Q21/(F21*60),"")</f>
        <v/>
      </c>
      <c r="L21" s="57" t="str">
        <f>IF(N(Q21)&gt;0,R21/Q21,"")</f>
        <v/>
      </c>
      <c r="M21" s="57" t="str">
        <f>IF(N(D21)&gt;0,R21/(D21*60),"")</f>
        <v/>
      </c>
      <c r="N21" s="57" t="str">
        <f>IF(N(C21)&gt;0,R21/(C21*60),"")</f>
        <v/>
      </c>
      <c r="O21" s="59" t="str">
        <f>IF($A21="","",SUMIFS(sj_val,sj_po,$A21,sj_in,1))</f>
        <v/>
      </c>
      <c r="P21" s="58" t="str">
        <f>IF(M21="","",IF(M21&gt;=p_target,"Bon",IF(M21&gt;=p_alert,"À surveiller","Faible")))</f>
        <v/>
      </c>
      <c r="Q21" t="str">
        <f>IF($A21="","",SUMIFS(sj_tn,sj_po,$A21,sj_in,1))</f>
        <v/>
      </c>
      <c r="R21" t="str">
        <f>IF($A21="","",SUMIFS(sj_tu,sj_po,$A21,sj_in,1))</f>
        <v/>
      </c>
      <c r="S21" t="str">
        <f>IF(AND($A21&lt;&gt;"",N(C21)&gt;0),COUNTIFS($A$9:A21,"?*",$C$9:C21,"&gt;0"),"")</f>
        <v/>
      </c>
    </row>
    <row r="22">
      <c r="A22" s="58" t="str">
        <f>IF(OR('Postes'!A19="",COUNTIF('Postes'!$A$6:A19,'Postes'!A19)&gt;1),"",'Postes'!A19)</f>
        <v/>
      </c>
      <c r="B22" s="61" t="str">
        <f>IF(A22="","",'Postes'!B19&amp;"")</f>
        <v/>
      </c>
      <c r="C22" s="68" t="str">
        <f>IF($A22="","",SUMIFS(sj_to,sj_po,$A22,sj_in,1)/60)</f>
        <v/>
      </c>
      <c r="D22" s="68" t="str">
        <f>IF($A22="","",SUMIFS(sj_tr,sj_po,$A22,sj_in,1)/60)</f>
        <v/>
      </c>
      <c r="E22" s="68" t="str">
        <f>IF($A22="","",SUMIFS(sj_anp,sj_po,$A22,sj_in,1)/60)</f>
        <v/>
      </c>
      <c r="F22" s="68" t="str">
        <f>IF($A22="","",SUMIFS(sj_tf,sj_po,$A22,sj_in,1)/60)</f>
        <v/>
      </c>
      <c r="G22" s="55" t="str">
        <f>IF($A22="","",SUMIFS(sj_good,sj_po,$A22,sj_in,1))</f>
        <v/>
      </c>
      <c r="H22" s="55" t="str">
        <f>IF($A22="","",SUMIFS(sj_scrap,sj_po,$A22,sj_in,1))</f>
        <v/>
      </c>
      <c r="I22" s="55" t="str">
        <f>IF($A22="","",SUMIFS(sj_rework,sj_po,$A22,sj_in,1))</f>
        <v/>
      </c>
      <c r="J22" s="57" t="str">
        <f>IF(N(D22)&gt;0,F22/D22,"")</f>
        <v/>
      </c>
      <c r="K22" s="57" t="str">
        <f>IF(N(F22)&gt;0,Q22/(F22*60),"")</f>
        <v/>
      </c>
      <c r="L22" s="57" t="str">
        <f>IF(N(Q22)&gt;0,R22/Q22,"")</f>
        <v/>
      </c>
      <c r="M22" s="57" t="str">
        <f>IF(N(D22)&gt;0,R22/(D22*60),"")</f>
        <v/>
      </c>
      <c r="N22" s="57" t="str">
        <f>IF(N(C22)&gt;0,R22/(C22*60),"")</f>
        <v/>
      </c>
      <c r="O22" s="59" t="str">
        <f>IF($A22="","",SUMIFS(sj_val,sj_po,$A22,sj_in,1))</f>
        <v/>
      </c>
      <c r="P22" s="58" t="str">
        <f>IF(M22="","",IF(M22&gt;=p_target,"Bon",IF(M22&gt;=p_alert,"À surveiller","Faible")))</f>
        <v/>
      </c>
      <c r="Q22" t="str">
        <f>IF($A22="","",SUMIFS(sj_tn,sj_po,$A22,sj_in,1))</f>
        <v/>
      </c>
      <c r="R22" t="str">
        <f>IF($A22="","",SUMIFS(sj_tu,sj_po,$A22,sj_in,1))</f>
        <v/>
      </c>
      <c r="S22" t="str">
        <f>IF(AND($A22&lt;&gt;"",N(C22)&gt;0),COUNTIFS($A$9:A22,"?*",$C$9:C22,"&gt;0"),"")</f>
        <v/>
      </c>
    </row>
    <row r="23">
      <c r="A23" s="58" t="str">
        <f>IF(OR('Postes'!A20="",COUNTIF('Postes'!$A$6:A20,'Postes'!A20)&gt;1),"",'Postes'!A20)</f>
        <v/>
      </c>
      <c r="B23" s="61" t="str">
        <f>IF(A23="","",'Postes'!B20&amp;"")</f>
        <v/>
      </c>
      <c r="C23" s="68" t="str">
        <f>IF($A23="","",SUMIFS(sj_to,sj_po,$A23,sj_in,1)/60)</f>
        <v/>
      </c>
      <c r="D23" s="68" t="str">
        <f>IF($A23="","",SUMIFS(sj_tr,sj_po,$A23,sj_in,1)/60)</f>
        <v/>
      </c>
      <c r="E23" s="68" t="str">
        <f>IF($A23="","",SUMIFS(sj_anp,sj_po,$A23,sj_in,1)/60)</f>
        <v/>
      </c>
      <c r="F23" s="68" t="str">
        <f>IF($A23="","",SUMIFS(sj_tf,sj_po,$A23,sj_in,1)/60)</f>
        <v/>
      </c>
      <c r="G23" s="55" t="str">
        <f>IF($A23="","",SUMIFS(sj_good,sj_po,$A23,sj_in,1))</f>
        <v/>
      </c>
      <c r="H23" s="55" t="str">
        <f>IF($A23="","",SUMIFS(sj_scrap,sj_po,$A23,sj_in,1))</f>
        <v/>
      </c>
      <c r="I23" s="55" t="str">
        <f>IF($A23="","",SUMIFS(sj_rework,sj_po,$A23,sj_in,1))</f>
        <v/>
      </c>
      <c r="J23" s="57" t="str">
        <f>IF(N(D23)&gt;0,F23/D23,"")</f>
        <v/>
      </c>
      <c r="K23" s="57" t="str">
        <f>IF(N(F23)&gt;0,Q23/(F23*60),"")</f>
        <v/>
      </c>
      <c r="L23" s="57" t="str">
        <f>IF(N(Q23)&gt;0,R23/Q23,"")</f>
        <v/>
      </c>
      <c r="M23" s="57" t="str">
        <f>IF(N(D23)&gt;0,R23/(D23*60),"")</f>
        <v/>
      </c>
      <c r="N23" s="57" t="str">
        <f>IF(N(C23)&gt;0,R23/(C23*60),"")</f>
        <v/>
      </c>
      <c r="O23" s="59" t="str">
        <f>IF($A23="","",SUMIFS(sj_val,sj_po,$A23,sj_in,1))</f>
        <v/>
      </c>
      <c r="P23" s="58" t="str">
        <f>IF(M23="","",IF(M23&gt;=p_target,"Bon",IF(M23&gt;=p_alert,"À surveiller","Faible")))</f>
        <v/>
      </c>
      <c r="Q23" t="str">
        <f>IF($A23="","",SUMIFS(sj_tn,sj_po,$A23,sj_in,1))</f>
        <v/>
      </c>
      <c r="R23" t="str">
        <f>IF($A23="","",SUMIFS(sj_tu,sj_po,$A23,sj_in,1))</f>
        <v/>
      </c>
      <c r="S23" t="str">
        <f>IF(AND($A23&lt;&gt;"",N(C23)&gt;0),COUNTIFS($A$9:A23,"?*",$C$9:C23,"&gt;0"),"")</f>
        <v/>
      </c>
    </row>
    <row r="24">
      <c r="A24" s="58" t="str">
        <f>IF(OR('Postes'!A21="",COUNTIF('Postes'!$A$6:A21,'Postes'!A21)&gt;1),"",'Postes'!A21)</f>
        <v/>
      </c>
      <c r="B24" s="61" t="str">
        <f>IF(A24="","",'Postes'!B21&amp;"")</f>
        <v/>
      </c>
      <c r="C24" s="68" t="str">
        <f>IF($A24="","",SUMIFS(sj_to,sj_po,$A24,sj_in,1)/60)</f>
        <v/>
      </c>
      <c r="D24" s="68" t="str">
        <f>IF($A24="","",SUMIFS(sj_tr,sj_po,$A24,sj_in,1)/60)</f>
        <v/>
      </c>
      <c r="E24" s="68" t="str">
        <f>IF($A24="","",SUMIFS(sj_anp,sj_po,$A24,sj_in,1)/60)</f>
        <v/>
      </c>
      <c r="F24" s="68" t="str">
        <f>IF($A24="","",SUMIFS(sj_tf,sj_po,$A24,sj_in,1)/60)</f>
        <v/>
      </c>
      <c r="G24" s="55" t="str">
        <f>IF($A24="","",SUMIFS(sj_good,sj_po,$A24,sj_in,1))</f>
        <v/>
      </c>
      <c r="H24" s="55" t="str">
        <f>IF($A24="","",SUMIFS(sj_scrap,sj_po,$A24,sj_in,1))</f>
        <v/>
      </c>
      <c r="I24" s="55" t="str">
        <f>IF($A24="","",SUMIFS(sj_rework,sj_po,$A24,sj_in,1))</f>
        <v/>
      </c>
      <c r="J24" s="57" t="str">
        <f>IF(N(D24)&gt;0,F24/D24,"")</f>
        <v/>
      </c>
      <c r="K24" s="57" t="str">
        <f>IF(N(F24)&gt;0,Q24/(F24*60),"")</f>
        <v/>
      </c>
      <c r="L24" s="57" t="str">
        <f>IF(N(Q24)&gt;0,R24/Q24,"")</f>
        <v/>
      </c>
      <c r="M24" s="57" t="str">
        <f>IF(N(D24)&gt;0,R24/(D24*60),"")</f>
        <v/>
      </c>
      <c r="N24" s="57" t="str">
        <f>IF(N(C24)&gt;0,R24/(C24*60),"")</f>
        <v/>
      </c>
      <c r="O24" s="59" t="str">
        <f>IF($A24="","",SUMIFS(sj_val,sj_po,$A24,sj_in,1))</f>
        <v/>
      </c>
      <c r="P24" s="58" t="str">
        <f>IF(M24="","",IF(M24&gt;=p_target,"Bon",IF(M24&gt;=p_alert,"À surveiller","Faible")))</f>
        <v/>
      </c>
      <c r="Q24" t="str">
        <f>IF($A24="","",SUMIFS(sj_tn,sj_po,$A24,sj_in,1))</f>
        <v/>
      </c>
      <c r="R24" t="str">
        <f>IF($A24="","",SUMIFS(sj_tu,sj_po,$A24,sj_in,1))</f>
        <v/>
      </c>
      <c r="S24" t="str">
        <f>IF(AND($A24&lt;&gt;"",N(C24)&gt;0),COUNTIFS($A$9:A24,"?*",$C$9:C24,"&gt;0"),"")</f>
        <v/>
      </c>
    </row>
    <row r="25">
      <c r="A25" s="58" t="str">
        <f>IF(OR('Postes'!A22="",COUNTIF('Postes'!$A$6:A22,'Postes'!A22)&gt;1),"",'Postes'!A22)</f>
        <v/>
      </c>
      <c r="B25" s="61" t="str">
        <f>IF(A25="","",'Postes'!B22&amp;"")</f>
        <v/>
      </c>
      <c r="C25" s="68" t="str">
        <f>IF($A25="","",SUMIFS(sj_to,sj_po,$A25,sj_in,1)/60)</f>
        <v/>
      </c>
      <c r="D25" s="68" t="str">
        <f>IF($A25="","",SUMIFS(sj_tr,sj_po,$A25,sj_in,1)/60)</f>
        <v/>
      </c>
      <c r="E25" s="68" t="str">
        <f>IF($A25="","",SUMIFS(sj_anp,sj_po,$A25,sj_in,1)/60)</f>
        <v/>
      </c>
      <c r="F25" s="68" t="str">
        <f>IF($A25="","",SUMIFS(sj_tf,sj_po,$A25,sj_in,1)/60)</f>
        <v/>
      </c>
      <c r="G25" s="55" t="str">
        <f>IF($A25="","",SUMIFS(sj_good,sj_po,$A25,sj_in,1))</f>
        <v/>
      </c>
      <c r="H25" s="55" t="str">
        <f>IF($A25="","",SUMIFS(sj_scrap,sj_po,$A25,sj_in,1))</f>
        <v/>
      </c>
      <c r="I25" s="55" t="str">
        <f>IF($A25="","",SUMIFS(sj_rework,sj_po,$A25,sj_in,1))</f>
        <v/>
      </c>
      <c r="J25" s="57" t="str">
        <f>IF(N(D25)&gt;0,F25/D25,"")</f>
        <v/>
      </c>
      <c r="K25" s="57" t="str">
        <f>IF(N(F25)&gt;0,Q25/(F25*60),"")</f>
        <v/>
      </c>
      <c r="L25" s="57" t="str">
        <f>IF(N(Q25)&gt;0,R25/Q25,"")</f>
        <v/>
      </c>
      <c r="M25" s="57" t="str">
        <f>IF(N(D25)&gt;0,R25/(D25*60),"")</f>
        <v/>
      </c>
      <c r="N25" s="57" t="str">
        <f>IF(N(C25)&gt;0,R25/(C25*60),"")</f>
        <v/>
      </c>
      <c r="O25" s="59" t="str">
        <f>IF($A25="","",SUMIFS(sj_val,sj_po,$A25,sj_in,1))</f>
        <v/>
      </c>
      <c r="P25" s="58" t="str">
        <f>IF(M25="","",IF(M25&gt;=p_target,"Bon",IF(M25&gt;=p_alert,"À surveiller","Faible")))</f>
        <v/>
      </c>
      <c r="Q25" t="str">
        <f>IF($A25="","",SUMIFS(sj_tn,sj_po,$A25,sj_in,1))</f>
        <v/>
      </c>
      <c r="R25" t="str">
        <f>IF($A25="","",SUMIFS(sj_tu,sj_po,$A25,sj_in,1))</f>
        <v/>
      </c>
      <c r="S25" t="str">
        <f>IF(AND($A25&lt;&gt;"",N(C25)&gt;0),COUNTIFS($A$9:A25,"?*",$C$9:C25,"&gt;0"),"")</f>
        <v/>
      </c>
    </row>
    <row r="26">
      <c r="A26" s="58" t="str">
        <f>IF(OR('Postes'!A23="",COUNTIF('Postes'!$A$6:A23,'Postes'!A23)&gt;1),"",'Postes'!A23)</f>
        <v/>
      </c>
      <c r="B26" s="61" t="str">
        <f>IF(A26="","",'Postes'!B23&amp;"")</f>
        <v/>
      </c>
      <c r="C26" s="68" t="str">
        <f>IF($A26="","",SUMIFS(sj_to,sj_po,$A26,sj_in,1)/60)</f>
        <v/>
      </c>
      <c r="D26" s="68" t="str">
        <f>IF($A26="","",SUMIFS(sj_tr,sj_po,$A26,sj_in,1)/60)</f>
        <v/>
      </c>
      <c r="E26" s="68" t="str">
        <f>IF($A26="","",SUMIFS(sj_anp,sj_po,$A26,sj_in,1)/60)</f>
        <v/>
      </c>
      <c r="F26" s="68" t="str">
        <f>IF($A26="","",SUMIFS(sj_tf,sj_po,$A26,sj_in,1)/60)</f>
        <v/>
      </c>
      <c r="G26" s="55" t="str">
        <f>IF($A26="","",SUMIFS(sj_good,sj_po,$A26,sj_in,1))</f>
        <v/>
      </c>
      <c r="H26" s="55" t="str">
        <f>IF($A26="","",SUMIFS(sj_scrap,sj_po,$A26,sj_in,1))</f>
        <v/>
      </c>
      <c r="I26" s="55" t="str">
        <f>IF($A26="","",SUMIFS(sj_rework,sj_po,$A26,sj_in,1))</f>
        <v/>
      </c>
      <c r="J26" s="57" t="str">
        <f>IF(N(D26)&gt;0,F26/D26,"")</f>
        <v/>
      </c>
      <c r="K26" s="57" t="str">
        <f>IF(N(F26)&gt;0,Q26/(F26*60),"")</f>
        <v/>
      </c>
      <c r="L26" s="57" t="str">
        <f>IF(N(Q26)&gt;0,R26/Q26,"")</f>
        <v/>
      </c>
      <c r="M26" s="57" t="str">
        <f>IF(N(D26)&gt;0,R26/(D26*60),"")</f>
        <v/>
      </c>
      <c r="N26" s="57" t="str">
        <f>IF(N(C26)&gt;0,R26/(C26*60),"")</f>
        <v/>
      </c>
      <c r="O26" s="59" t="str">
        <f>IF($A26="","",SUMIFS(sj_val,sj_po,$A26,sj_in,1))</f>
        <v/>
      </c>
      <c r="P26" s="58" t="str">
        <f>IF(M26="","",IF(M26&gt;=p_target,"Bon",IF(M26&gt;=p_alert,"À surveiller","Faible")))</f>
        <v/>
      </c>
      <c r="Q26" t="str">
        <f>IF($A26="","",SUMIFS(sj_tn,sj_po,$A26,sj_in,1))</f>
        <v/>
      </c>
      <c r="R26" t="str">
        <f>IF($A26="","",SUMIFS(sj_tu,sj_po,$A26,sj_in,1))</f>
        <v/>
      </c>
      <c r="S26" t="str">
        <f>IF(AND($A26&lt;&gt;"",N(C26)&gt;0),COUNTIFS($A$9:A26,"?*",$C$9:C26,"&gt;0"),"")</f>
        <v/>
      </c>
    </row>
    <row r="27">
      <c r="A27" s="58" t="str">
        <f>IF(OR('Postes'!A24="",COUNTIF('Postes'!$A$6:A24,'Postes'!A24)&gt;1),"",'Postes'!A24)</f>
        <v/>
      </c>
      <c r="B27" s="61" t="str">
        <f>IF(A27="","",'Postes'!B24&amp;"")</f>
        <v/>
      </c>
      <c r="C27" s="68" t="str">
        <f>IF($A27="","",SUMIFS(sj_to,sj_po,$A27,sj_in,1)/60)</f>
        <v/>
      </c>
      <c r="D27" s="68" t="str">
        <f>IF($A27="","",SUMIFS(sj_tr,sj_po,$A27,sj_in,1)/60)</f>
        <v/>
      </c>
      <c r="E27" s="68" t="str">
        <f>IF($A27="","",SUMIFS(sj_anp,sj_po,$A27,sj_in,1)/60)</f>
        <v/>
      </c>
      <c r="F27" s="68" t="str">
        <f>IF($A27="","",SUMIFS(sj_tf,sj_po,$A27,sj_in,1)/60)</f>
        <v/>
      </c>
      <c r="G27" s="55" t="str">
        <f>IF($A27="","",SUMIFS(sj_good,sj_po,$A27,sj_in,1))</f>
        <v/>
      </c>
      <c r="H27" s="55" t="str">
        <f>IF($A27="","",SUMIFS(sj_scrap,sj_po,$A27,sj_in,1))</f>
        <v/>
      </c>
      <c r="I27" s="55" t="str">
        <f>IF($A27="","",SUMIFS(sj_rework,sj_po,$A27,sj_in,1))</f>
        <v/>
      </c>
      <c r="J27" s="57" t="str">
        <f>IF(N(D27)&gt;0,F27/D27,"")</f>
        <v/>
      </c>
      <c r="K27" s="57" t="str">
        <f>IF(N(F27)&gt;0,Q27/(F27*60),"")</f>
        <v/>
      </c>
      <c r="L27" s="57" t="str">
        <f>IF(N(Q27)&gt;0,R27/Q27,"")</f>
        <v/>
      </c>
      <c r="M27" s="57" t="str">
        <f>IF(N(D27)&gt;0,R27/(D27*60),"")</f>
        <v/>
      </c>
      <c r="N27" s="57" t="str">
        <f>IF(N(C27)&gt;0,R27/(C27*60),"")</f>
        <v/>
      </c>
      <c r="O27" s="59" t="str">
        <f>IF($A27="","",SUMIFS(sj_val,sj_po,$A27,sj_in,1))</f>
        <v/>
      </c>
      <c r="P27" s="58" t="str">
        <f>IF(M27="","",IF(M27&gt;=p_target,"Bon",IF(M27&gt;=p_alert,"À surveiller","Faible")))</f>
        <v/>
      </c>
      <c r="Q27" t="str">
        <f>IF($A27="","",SUMIFS(sj_tn,sj_po,$A27,sj_in,1))</f>
        <v/>
      </c>
      <c r="R27" t="str">
        <f>IF($A27="","",SUMIFS(sj_tu,sj_po,$A27,sj_in,1))</f>
        <v/>
      </c>
      <c r="S27" t="str">
        <f>IF(AND($A27&lt;&gt;"",N(C27)&gt;0),COUNTIFS($A$9:A27,"?*",$C$9:C27,"&gt;0"),"")</f>
        <v/>
      </c>
    </row>
    <row r="28">
      <c r="A28" s="58" t="str">
        <f>IF(OR('Postes'!A25="",COUNTIF('Postes'!$A$6:A25,'Postes'!A25)&gt;1),"",'Postes'!A25)</f>
        <v/>
      </c>
      <c r="B28" s="61" t="str">
        <f>IF(A28="","",'Postes'!B25&amp;"")</f>
        <v/>
      </c>
      <c r="C28" s="68" t="str">
        <f>IF($A28="","",SUMIFS(sj_to,sj_po,$A28,sj_in,1)/60)</f>
        <v/>
      </c>
      <c r="D28" s="68" t="str">
        <f>IF($A28="","",SUMIFS(sj_tr,sj_po,$A28,sj_in,1)/60)</f>
        <v/>
      </c>
      <c r="E28" s="68" t="str">
        <f>IF($A28="","",SUMIFS(sj_anp,sj_po,$A28,sj_in,1)/60)</f>
        <v/>
      </c>
      <c r="F28" s="68" t="str">
        <f>IF($A28="","",SUMIFS(sj_tf,sj_po,$A28,sj_in,1)/60)</f>
        <v/>
      </c>
      <c r="G28" s="55" t="str">
        <f>IF($A28="","",SUMIFS(sj_good,sj_po,$A28,sj_in,1))</f>
        <v/>
      </c>
      <c r="H28" s="55" t="str">
        <f>IF($A28="","",SUMIFS(sj_scrap,sj_po,$A28,sj_in,1))</f>
        <v/>
      </c>
      <c r="I28" s="55" t="str">
        <f>IF($A28="","",SUMIFS(sj_rework,sj_po,$A28,sj_in,1))</f>
        <v/>
      </c>
      <c r="J28" s="57" t="str">
        <f>IF(N(D28)&gt;0,F28/D28,"")</f>
        <v/>
      </c>
      <c r="K28" s="57" t="str">
        <f>IF(N(F28)&gt;0,Q28/(F28*60),"")</f>
        <v/>
      </c>
      <c r="L28" s="57" t="str">
        <f>IF(N(Q28)&gt;0,R28/Q28,"")</f>
        <v/>
      </c>
      <c r="M28" s="57" t="str">
        <f>IF(N(D28)&gt;0,R28/(D28*60),"")</f>
        <v/>
      </c>
      <c r="N28" s="57" t="str">
        <f>IF(N(C28)&gt;0,R28/(C28*60),"")</f>
        <v/>
      </c>
      <c r="O28" s="59" t="str">
        <f>IF($A28="","",SUMIFS(sj_val,sj_po,$A28,sj_in,1))</f>
        <v/>
      </c>
      <c r="P28" s="58" t="str">
        <f>IF(M28="","",IF(M28&gt;=p_target,"Bon",IF(M28&gt;=p_alert,"À surveiller","Faible")))</f>
        <v/>
      </c>
      <c r="Q28" t="str">
        <f>IF($A28="","",SUMIFS(sj_tn,sj_po,$A28,sj_in,1))</f>
        <v/>
      </c>
      <c r="R28" t="str">
        <f>IF($A28="","",SUMIFS(sj_tu,sj_po,$A28,sj_in,1))</f>
        <v/>
      </c>
      <c r="S28" t="str">
        <f>IF(AND($A28&lt;&gt;"",N(C28)&gt;0),COUNTIFS($A$9:A28,"?*",$C$9:C28,"&gt;0"),"")</f>
        <v/>
      </c>
    </row>
    <row r="29">
      <c r="A29" s="58" t="str">
        <f>IF(OR('Postes'!A26="",COUNTIF('Postes'!$A$6:A26,'Postes'!A26)&gt;1),"",'Postes'!A26)</f>
        <v/>
      </c>
      <c r="B29" s="61" t="str">
        <f>IF(A29="","",'Postes'!B26&amp;"")</f>
        <v/>
      </c>
      <c r="C29" s="68" t="str">
        <f>IF($A29="","",SUMIFS(sj_to,sj_po,$A29,sj_in,1)/60)</f>
        <v/>
      </c>
      <c r="D29" s="68" t="str">
        <f>IF($A29="","",SUMIFS(sj_tr,sj_po,$A29,sj_in,1)/60)</f>
        <v/>
      </c>
      <c r="E29" s="68" t="str">
        <f>IF($A29="","",SUMIFS(sj_anp,sj_po,$A29,sj_in,1)/60)</f>
        <v/>
      </c>
      <c r="F29" s="68" t="str">
        <f>IF($A29="","",SUMIFS(sj_tf,sj_po,$A29,sj_in,1)/60)</f>
        <v/>
      </c>
      <c r="G29" s="55" t="str">
        <f>IF($A29="","",SUMIFS(sj_good,sj_po,$A29,sj_in,1))</f>
        <v/>
      </c>
      <c r="H29" s="55" t="str">
        <f>IF($A29="","",SUMIFS(sj_scrap,sj_po,$A29,sj_in,1))</f>
        <v/>
      </c>
      <c r="I29" s="55" t="str">
        <f>IF($A29="","",SUMIFS(sj_rework,sj_po,$A29,sj_in,1))</f>
        <v/>
      </c>
      <c r="J29" s="57" t="str">
        <f>IF(N(D29)&gt;0,F29/D29,"")</f>
        <v/>
      </c>
      <c r="K29" s="57" t="str">
        <f>IF(N(F29)&gt;0,Q29/(F29*60),"")</f>
        <v/>
      </c>
      <c r="L29" s="57" t="str">
        <f>IF(N(Q29)&gt;0,R29/Q29,"")</f>
        <v/>
      </c>
      <c r="M29" s="57" t="str">
        <f>IF(N(D29)&gt;0,R29/(D29*60),"")</f>
        <v/>
      </c>
      <c r="N29" s="57" t="str">
        <f>IF(N(C29)&gt;0,R29/(C29*60),"")</f>
        <v/>
      </c>
      <c r="O29" s="59" t="str">
        <f>IF($A29="","",SUMIFS(sj_val,sj_po,$A29,sj_in,1))</f>
        <v/>
      </c>
      <c r="P29" s="58" t="str">
        <f>IF(M29="","",IF(M29&gt;=p_target,"Bon",IF(M29&gt;=p_alert,"À surveiller","Faible")))</f>
        <v/>
      </c>
      <c r="Q29" t="str">
        <f>IF($A29="","",SUMIFS(sj_tn,sj_po,$A29,sj_in,1))</f>
        <v/>
      </c>
      <c r="R29" t="str">
        <f>IF($A29="","",SUMIFS(sj_tu,sj_po,$A29,sj_in,1))</f>
        <v/>
      </c>
      <c r="S29" t="str">
        <f>IF(AND($A29&lt;&gt;"",N(C29)&gt;0),COUNTIFS($A$9:A29,"?*",$C$9:C29,"&gt;0"),"")</f>
        <v/>
      </c>
    </row>
    <row r="30">
      <c r="A30" s="58" t="str">
        <f>IF(OR('Postes'!A27="",COUNTIF('Postes'!$A$6:A27,'Postes'!A27)&gt;1),"",'Postes'!A27)</f>
        <v/>
      </c>
      <c r="B30" s="61" t="str">
        <f>IF(A30="","",'Postes'!B27&amp;"")</f>
        <v/>
      </c>
      <c r="C30" s="68" t="str">
        <f>IF($A30="","",SUMIFS(sj_to,sj_po,$A30,sj_in,1)/60)</f>
        <v/>
      </c>
      <c r="D30" s="68" t="str">
        <f>IF($A30="","",SUMIFS(sj_tr,sj_po,$A30,sj_in,1)/60)</f>
        <v/>
      </c>
      <c r="E30" s="68" t="str">
        <f>IF($A30="","",SUMIFS(sj_anp,sj_po,$A30,sj_in,1)/60)</f>
        <v/>
      </c>
      <c r="F30" s="68" t="str">
        <f>IF($A30="","",SUMIFS(sj_tf,sj_po,$A30,sj_in,1)/60)</f>
        <v/>
      </c>
      <c r="G30" s="55" t="str">
        <f>IF($A30="","",SUMIFS(sj_good,sj_po,$A30,sj_in,1))</f>
        <v/>
      </c>
      <c r="H30" s="55" t="str">
        <f>IF($A30="","",SUMIFS(sj_scrap,sj_po,$A30,sj_in,1))</f>
        <v/>
      </c>
      <c r="I30" s="55" t="str">
        <f>IF($A30="","",SUMIFS(sj_rework,sj_po,$A30,sj_in,1))</f>
        <v/>
      </c>
      <c r="J30" s="57" t="str">
        <f>IF(N(D30)&gt;0,F30/D30,"")</f>
        <v/>
      </c>
      <c r="K30" s="57" t="str">
        <f>IF(N(F30)&gt;0,Q30/(F30*60),"")</f>
        <v/>
      </c>
      <c r="L30" s="57" t="str">
        <f>IF(N(Q30)&gt;0,R30/Q30,"")</f>
        <v/>
      </c>
      <c r="M30" s="57" t="str">
        <f>IF(N(D30)&gt;0,R30/(D30*60),"")</f>
        <v/>
      </c>
      <c r="N30" s="57" t="str">
        <f>IF(N(C30)&gt;0,R30/(C30*60),"")</f>
        <v/>
      </c>
      <c r="O30" s="59" t="str">
        <f>IF($A30="","",SUMIFS(sj_val,sj_po,$A30,sj_in,1))</f>
        <v/>
      </c>
      <c r="P30" s="58" t="str">
        <f>IF(M30="","",IF(M30&gt;=p_target,"Bon",IF(M30&gt;=p_alert,"À surveiller","Faible")))</f>
        <v/>
      </c>
      <c r="Q30" t="str">
        <f>IF($A30="","",SUMIFS(sj_tn,sj_po,$A30,sj_in,1))</f>
        <v/>
      </c>
      <c r="R30" t="str">
        <f>IF($A30="","",SUMIFS(sj_tu,sj_po,$A30,sj_in,1))</f>
        <v/>
      </c>
      <c r="S30" t="str">
        <f>IF(AND($A30&lt;&gt;"",N(C30)&gt;0),COUNTIFS($A$9:A30,"?*",$C$9:C30,"&gt;0"),"")</f>
        <v/>
      </c>
    </row>
    <row r="31">
      <c r="A31" s="58" t="str">
        <f>IF(OR('Postes'!A28="",COUNTIF('Postes'!$A$6:A28,'Postes'!A28)&gt;1),"",'Postes'!A28)</f>
        <v/>
      </c>
      <c r="B31" s="61" t="str">
        <f>IF(A31="","",'Postes'!B28&amp;"")</f>
        <v/>
      </c>
      <c r="C31" s="68" t="str">
        <f>IF($A31="","",SUMIFS(sj_to,sj_po,$A31,sj_in,1)/60)</f>
        <v/>
      </c>
      <c r="D31" s="68" t="str">
        <f>IF($A31="","",SUMIFS(sj_tr,sj_po,$A31,sj_in,1)/60)</f>
        <v/>
      </c>
      <c r="E31" s="68" t="str">
        <f>IF($A31="","",SUMIFS(sj_anp,sj_po,$A31,sj_in,1)/60)</f>
        <v/>
      </c>
      <c r="F31" s="68" t="str">
        <f>IF($A31="","",SUMIFS(sj_tf,sj_po,$A31,sj_in,1)/60)</f>
        <v/>
      </c>
      <c r="G31" s="55" t="str">
        <f>IF($A31="","",SUMIFS(sj_good,sj_po,$A31,sj_in,1))</f>
        <v/>
      </c>
      <c r="H31" s="55" t="str">
        <f>IF($A31="","",SUMIFS(sj_scrap,sj_po,$A31,sj_in,1))</f>
        <v/>
      </c>
      <c r="I31" s="55" t="str">
        <f>IF($A31="","",SUMIFS(sj_rework,sj_po,$A31,sj_in,1))</f>
        <v/>
      </c>
      <c r="J31" s="57" t="str">
        <f>IF(N(D31)&gt;0,F31/D31,"")</f>
        <v/>
      </c>
      <c r="K31" s="57" t="str">
        <f>IF(N(F31)&gt;0,Q31/(F31*60),"")</f>
        <v/>
      </c>
      <c r="L31" s="57" t="str">
        <f>IF(N(Q31)&gt;0,R31/Q31,"")</f>
        <v/>
      </c>
      <c r="M31" s="57" t="str">
        <f>IF(N(D31)&gt;0,R31/(D31*60),"")</f>
        <v/>
      </c>
      <c r="N31" s="57" t="str">
        <f>IF(N(C31)&gt;0,R31/(C31*60),"")</f>
        <v/>
      </c>
      <c r="O31" s="59" t="str">
        <f>IF($A31="","",SUMIFS(sj_val,sj_po,$A31,sj_in,1))</f>
        <v/>
      </c>
      <c r="P31" s="58" t="str">
        <f>IF(M31="","",IF(M31&gt;=p_target,"Bon",IF(M31&gt;=p_alert,"À surveiller","Faible")))</f>
        <v/>
      </c>
      <c r="Q31" t="str">
        <f>IF($A31="","",SUMIFS(sj_tn,sj_po,$A31,sj_in,1))</f>
        <v/>
      </c>
      <c r="R31" t="str">
        <f>IF($A31="","",SUMIFS(sj_tu,sj_po,$A31,sj_in,1))</f>
        <v/>
      </c>
      <c r="S31" t="str">
        <f>IF(AND($A31&lt;&gt;"",N(C31)&gt;0),COUNTIFS($A$9:A31,"?*",$C$9:C31,"&gt;0"),"")</f>
        <v/>
      </c>
    </row>
    <row r="32">
      <c r="A32" s="58" t="str">
        <f>IF(OR('Postes'!A29="",COUNTIF('Postes'!$A$6:A29,'Postes'!A29)&gt;1),"",'Postes'!A29)</f>
        <v/>
      </c>
      <c r="B32" s="61" t="str">
        <f>IF(A32="","",'Postes'!B29&amp;"")</f>
        <v/>
      </c>
      <c r="C32" s="68" t="str">
        <f>IF($A32="","",SUMIFS(sj_to,sj_po,$A32,sj_in,1)/60)</f>
        <v/>
      </c>
      <c r="D32" s="68" t="str">
        <f>IF($A32="","",SUMIFS(sj_tr,sj_po,$A32,sj_in,1)/60)</f>
        <v/>
      </c>
      <c r="E32" s="68" t="str">
        <f>IF($A32="","",SUMIFS(sj_anp,sj_po,$A32,sj_in,1)/60)</f>
        <v/>
      </c>
      <c r="F32" s="68" t="str">
        <f>IF($A32="","",SUMIFS(sj_tf,sj_po,$A32,sj_in,1)/60)</f>
        <v/>
      </c>
      <c r="G32" s="55" t="str">
        <f>IF($A32="","",SUMIFS(sj_good,sj_po,$A32,sj_in,1))</f>
        <v/>
      </c>
      <c r="H32" s="55" t="str">
        <f>IF($A32="","",SUMIFS(sj_scrap,sj_po,$A32,sj_in,1))</f>
        <v/>
      </c>
      <c r="I32" s="55" t="str">
        <f>IF($A32="","",SUMIFS(sj_rework,sj_po,$A32,sj_in,1))</f>
        <v/>
      </c>
      <c r="J32" s="57" t="str">
        <f>IF(N(D32)&gt;0,F32/D32,"")</f>
        <v/>
      </c>
      <c r="K32" s="57" t="str">
        <f>IF(N(F32)&gt;0,Q32/(F32*60),"")</f>
        <v/>
      </c>
      <c r="L32" s="57" t="str">
        <f>IF(N(Q32)&gt;0,R32/Q32,"")</f>
        <v/>
      </c>
      <c r="M32" s="57" t="str">
        <f>IF(N(D32)&gt;0,R32/(D32*60),"")</f>
        <v/>
      </c>
      <c r="N32" s="57" t="str">
        <f>IF(N(C32)&gt;0,R32/(C32*60),"")</f>
        <v/>
      </c>
      <c r="O32" s="59" t="str">
        <f>IF($A32="","",SUMIFS(sj_val,sj_po,$A32,sj_in,1))</f>
        <v/>
      </c>
      <c r="P32" s="58" t="str">
        <f>IF(M32="","",IF(M32&gt;=p_target,"Bon",IF(M32&gt;=p_alert,"À surveiller","Faible")))</f>
        <v/>
      </c>
      <c r="Q32" t="str">
        <f>IF($A32="","",SUMIFS(sj_tn,sj_po,$A32,sj_in,1))</f>
        <v/>
      </c>
      <c r="R32" t="str">
        <f>IF($A32="","",SUMIFS(sj_tu,sj_po,$A32,sj_in,1))</f>
        <v/>
      </c>
      <c r="S32" t="str">
        <f>IF(AND($A32&lt;&gt;"",N(C32)&gt;0),COUNTIFS($A$9:A32,"?*",$C$9:C32,"&gt;0"),"")</f>
        <v/>
      </c>
    </row>
    <row r="33">
      <c r="A33" s="58" t="str">
        <f>IF(OR('Postes'!A30="",COUNTIF('Postes'!$A$6:A30,'Postes'!A30)&gt;1),"",'Postes'!A30)</f>
        <v/>
      </c>
      <c r="B33" s="61" t="str">
        <f>IF(A33="","",'Postes'!B30&amp;"")</f>
        <v/>
      </c>
      <c r="C33" s="68" t="str">
        <f>IF($A33="","",SUMIFS(sj_to,sj_po,$A33,sj_in,1)/60)</f>
        <v/>
      </c>
      <c r="D33" s="68" t="str">
        <f>IF($A33="","",SUMIFS(sj_tr,sj_po,$A33,sj_in,1)/60)</f>
        <v/>
      </c>
      <c r="E33" s="68" t="str">
        <f>IF($A33="","",SUMIFS(sj_anp,sj_po,$A33,sj_in,1)/60)</f>
        <v/>
      </c>
      <c r="F33" s="68" t="str">
        <f>IF($A33="","",SUMIFS(sj_tf,sj_po,$A33,sj_in,1)/60)</f>
        <v/>
      </c>
      <c r="G33" s="55" t="str">
        <f>IF($A33="","",SUMIFS(sj_good,sj_po,$A33,sj_in,1))</f>
        <v/>
      </c>
      <c r="H33" s="55" t="str">
        <f>IF($A33="","",SUMIFS(sj_scrap,sj_po,$A33,sj_in,1))</f>
        <v/>
      </c>
      <c r="I33" s="55" t="str">
        <f>IF($A33="","",SUMIFS(sj_rework,sj_po,$A33,sj_in,1))</f>
        <v/>
      </c>
      <c r="J33" s="57" t="str">
        <f>IF(N(D33)&gt;0,F33/D33,"")</f>
        <v/>
      </c>
      <c r="K33" s="57" t="str">
        <f>IF(N(F33)&gt;0,Q33/(F33*60),"")</f>
        <v/>
      </c>
      <c r="L33" s="57" t="str">
        <f>IF(N(Q33)&gt;0,R33/Q33,"")</f>
        <v/>
      </c>
      <c r="M33" s="57" t="str">
        <f>IF(N(D33)&gt;0,R33/(D33*60),"")</f>
        <v/>
      </c>
      <c r="N33" s="57" t="str">
        <f>IF(N(C33)&gt;0,R33/(C33*60),"")</f>
        <v/>
      </c>
      <c r="O33" s="59" t="str">
        <f>IF($A33="","",SUMIFS(sj_val,sj_po,$A33,sj_in,1))</f>
        <v/>
      </c>
      <c r="P33" s="58" t="str">
        <f>IF(M33="","",IF(M33&gt;=p_target,"Bon",IF(M33&gt;=p_alert,"À surveiller","Faible")))</f>
        <v/>
      </c>
      <c r="Q33" t="str">
        <f>IF($A33="","",SUMIFS(sj_tn,sj_po,$A33,sj_in,1))</f>
        <v/>
      </c>
      <c r="R33" t="str">
        <f>IF($A33="","",SUMIFS(sj_tu,sj_po,$A33,sj_in,1))</f>
        <v/>
      </c>
      <c r="S33" t="str">
        <f>IF(AND($A33&lt;&gt;"",N(C33)&gt;0),COUNTIFS($A$9:A33,"?*",$C$9:C33,"&gt;0"),"")</f>
        <v/>
      </c>
    </row>
    <row r="34">
      <c r="A34" s="58" t="str">
        <f>IF(OR('Postes'!A31="",COUNTIF('Postes'!$A$6:A31,'Postes'!A31)&gt;1),"",'Postes'!A31)</f>
        <v/>
      </c>
      <c r="B34" s="61" t="str">
        <f>IF(A34="","",'Postes'!B31&amp;"")</f>
        <v/>
      </c>
      <c r="C34" s="68" t="str">
        <f>IF($A34="","",SUMIFS(sj_to,sj_po,$A34,sj_in,1)/60)</f>
        <v/>
      </c>
      <c r="D34" s="68" t="str">
        <f>IF($A34="","",SUMIFS(sj_tr,sj_po,$A34,sj_in,1)/60)</f>
        <v/>
      </c>
      <c r="E34" s="68" t="str">
        <f>IF($A34="","",SUMIFS(sj_anp,sj_po,$A34,sj_in,1)/60)</f>
        <v/>
      </c>
      <c r="F34" s="68" t="str">
        <f>IF($A34="","",SUMIFS(sj_tf,sj_po,$A34,sj_in,1)/60)</f>
        <v/>
      </c>
      <c r="G34" s="55" t="str">
        <f>IF($A34="","",SUMIFS(sj_good,sj_po,$A34,sj_in,1))</f>
        <v/>
      </c>
      <c r="H34" s="55" t="str">
        <f>IF($A34="","",SUMIFS(sj_scrap,sj_po,$A34,sj_in,1))</f>
        <v/>
      </c>
      <c r="I34" s="55" t="str">
        <f>IF($A34="","",SUMIFS(sj_rework,sj_po,$A34,sj_in,1))</f>
        <v/>
      </c>
      <c r="J34" s="57" t="str">
        <f>IF(N(D34)&gt;0,F34/D34,"")</f>
        <v/>
      </c>
      <c r="K34" s="57" t="str">
        <f>IF(N(F34)&gt;0,Q34/(F34*60),"")</f>
        <v/>
      </c>
      <c r="L34" s="57" t="str">
        <f>IF(N(Q34)&gt;0,R34/Q34,"")</f>
        <v/>
      </c>
      <c r="M34" s="57" t="str">
        <f>IF(N(D34)&gt;0,R34/(D34*60),"")</f>
        <v/>
      </c>
      <c r="N34" s="57" t="str">
        <f>IF(N(C34)&gt;0,R34/(C34*60),"")</f>
        <v/>
      </c>
      <c r="O34" s="59" t="str">
        <f>IF($A34="","",SUMIFS(sj_val,sj_po,$A34,sj_in,1))</f>
        <v/>
      </c>
      <c r="P34" s="58" t="str">
        <f>IF(M34="","",IF(M34&gt;=p_target,"Bon",IF(M34&gt;=p_alert,"À surveiller","Faible")))</f>
        <v/>
      </c>
      <c r="Q34" t="str">
        <f>IF($A34="","",SUMIFS(sj_tn,sj_po,$A34,sj_in,1))</f>
        <v/>
      </c>
      <c r="R34" t="str">
        <f>IF($A34="","",SUMIFS(sj_tu,sj_po,$A34,sj_in,1))</f>
        <v/>
      </c>
      <c r="S34" t="str">
        <f>IF(AND($A34&lt;&gt;"",N(C34)&gt;0),COUNTIFS($A$9:A34,"?*",$C$9:C34,"&gt;0"),"")</f>
        <v/>
      </c>
    </row>
    <row r="35">
      <c r="A35" s="58" t="str">
        <f>IF(OR('Postes'!A32="",COUNTIF('Postes'!$A$6:A32,'Postes'!A32)&gt;1),"",'Postes'!A32)</f>
        <v/>
      </c>
      <c r="B35" s="61" t="str">
        <f>IF(A35="","",'Postes'!B32&amp;"")</f>
        <v/>
      </c>
      <c r="C35" s="68" t="str">
        <f>IF($A35="","",SUMIFS(sj_to,sj_po,$A35,sj_in,1)/60)</f>
        <v/>
      </c>
      <c r="D35" s="68" t="str">
        <f>IF($A35="","",SUMIFS(sj_tr,sj_po,$A35,sj_in,1)/60)</f>
        <v/>
      </c>
      <c r="E35" s="68" t="str">
        <f>IF($A35="","",SUMIFS(sj_anp,sj_po,$A35,sj_in,1)/60)</f>
        <v/>
      </c>
      <c r="F35" s="68" t="str">
        <f>IF($A35="","",SUMIFS(sj_tf,sj_po,$A35,sj_in,1)/60)</f>
        <v/>
      </c>
      <c r="G35" s="55" t="str">
        <f>IF($A35="","",SUMIFS(sj_good,sj_po,$A35,sj_in,1))</f>
        <v/>
      </c>
      <c r="H35" s="55" t="str">
        <f>IF($A35="","",SUMIFS(sj_scrap,sj_po,$A35,sj_in,1))</f>
        <v/>
      </c>
      <c r="I35" s="55" t="str">
        <f>IF($A35="","",SUMIFS(sj_rework,sj_po,$A35,sj_in,1))</f>
        <v/>
      </c>
      <c r="J35" s="57" t="str">
        <f>IF(N(D35)&gt;0,F35/D35,"")</f>
        <v/>
      </c>
      <c r="K35" s="57" t="str">
        <f>IF(N(F35)&gt;0,Q35/(F35*60),"")</f>
        <v/>
      </c>
      <c r="L35" s="57" t="str">
        <f>IF(N(Q35)&gt;0,R35/Q35,"")</f>
        <v/>
      </c>
      <c r="M35" s="57" t="str">
        <f>IF(N(D35)&gt;0,R35/(D35*60),"")</f>
        <v/>
      </c>
      <c r="N35" s="57" t="str">
        <f>IF(N(C35)&gt;0,R35/(C35*60),"")</f>
        <v/>
      </c>
      <c r="O35" s="59" t="str">
        <f>IF($A35="","",SUMIFS(sj_val,sj_po,$A35,sj_in,1))</f>
        <v/>
      </c>
      <c r="P35" s="58" t="str">
        <f>IF(M35="","",IF(M35&gt;=p_target,"Bon",IF(M35&gt;=p_alert,"À surveiller","Faible")))</f>
        <v/>
      </c>
      <c r="Q35" t="str">
        <f>IF($A35="","",SUMIFS(sj_tn,sj_po,$A35,sj_in,1))</f>
        <v/>
      </c>
      <c r="R35" t="str">
        <f>IF($A35="","",SUMIFS(sj_tu,sj_po,$A35,sj_in,1))</f>
        <v/>
      </c>
      <c r="S35" t="str">
        <f>IF(AND($A35&lt;&gt;"",N(C35)&gt;0),COUNTIFS($A$9:A35,"?*",$C$9:C35,"&gt;0"),"")</f>
        <v/>
      </c>
    </row>
    <row r="36">
      <c r="A36" s="58" t="str">
        <f>IF(OR('Postes'!A33="",COUNTIF('Postes'!$A$6:A33,'Postes'!A33)&gt;1),"",'Postes'!A33)</f>
        <v/>
      </c>
      <c r="B36" s="61" t="str">
        <f>IF(A36="","",'Postes'!B33&amp;"")</f>
        <v/>
      </c>
      <c r="C36" s="68" t="str">
        <f>IF($A36="","",SUMIFS(sj_to,sj_po,$A36,sj_in,1)/60)</f>
        <v/>
      </c>
      <c r="D36" s="68" t="str">
        <f>IF($A36="","",SUMIFS(sj_tr,sj_po,$A36,sj_in,1)/60)</f>
        <v/>
      </c>
      <c r="E36" s="68" t="str">
        <f>IF($A36="","",SUMIFS(sj_anp,sj_po,$A36,sj_in,1)/60)</f>
        <v/>
      </c>
      <c r="F36" s="68" t="str">
        <f>IF($A36="","",SUMIFS(sj_tf,sj_po,$A36,sj_in,1)/60)</f>
        <v/>
      </c>
      <c r="G36" s="55" t="str">
        <f>IF($A36="","",SUMIFS(sj_good,sj_po,$A36,sj_in,1))</f>
        <v/>
      </c>
      <c r="H36" s="55" t="str">
        <f>IF($A36="","",SUMIFS(sj_scrap,sj_po,$A36,sj_in,1))</f>
        <v/>
      </c>
      <c r="I36" s="55" t="str">
        <f>IF($A36="","",SUMIFS(sj_rework,sj_po,$A36,sj_in,1))</f>
        <v/>
      </c>
      <c r="J36" s="57" t="str">
        <f>IF(N(D36)&gt;0,F36/D36,"")</f>
        <v/>
      </c>
      <c r="K36" s="57" t="str">
        <f>IF(N(F36)&gt;0,Q36/(F36*60),"")</f>
        <v/>
      </c>
      <c r="L36" s="57" t="str">
        <f>IF(N(Q36)&gt;0,R36/Q36,"")</f>
        <v/>
      </c>
      <c r="M36" s="57" t="str">
        <f>IF(N(D36)&gt;0,R36/(D36*60),"")</f>
        <v/>
      </c>
      <c r="N36" s="57" t="str">
        <f>IF(N(C36)&gt;0,R36/(C36*60),"")</f>
        <v/>
      </c>
      <c r="O36" s="59" t="str">
        <f>IF($A36="","",SUMIFS(sj_val,sj_po,$A36,sj_in,1))</f>
        <v/>
      </c>
      <c r="P36" s="58" t="str">
        <f>IF(M36="","",IF(M36&gt;=p_target,"Bon",IF(M36&gt;=p_alert,"À surveiller","Faible")))</f>
        <v/>
      </c>
      <c r="Q36" t="str">
        <f>IF($A36="","",SUMIFS(sj_tn,sj_po,$A36,sj_in,1))</f>
        <v/>
      </c>
      <c r="R36" t="str">
        <f>IF($A36="","",SUMIFS(sj_tu,sj_po,$A36,sj_in,1))</f>
        <v/>
      </c>
      <c r="S36" t="str">
        <f>IF(AND($A36&lt;&gt;"",N(C36)&gt;0),COUNTIFS($A$9:A36,"?*",$C$9:C36,"&gt;0"),"")</f>
        <v/>
      </c>
    </row>
    <row r="37">
      <c r="A37" s="58" t="str">
        <f>IF(OR('Postes'!A34="",COUNTIF('Postes'!$A$6:A34,'Postes'!A34)&gt;1),"",'Postes'!A34)</f>
        <v/>
      </c>
      <c r="B37" s="61" t="str">
        <f>IF(A37="","",'Postes'!B34&amp;"")</f>
        <v/>
      </c>
      <c r="C37" s="68" t="str">
        <f>IF($A37="","",SUMIFS(sj_to,sj_po,$A37,sj_in,1)/60)</f>
        <v/>
      </c>
      <c r="D37" s="68" t="str">
        <f>IF($A37="","",SUMIFS(sj_tr,sj_po,$A37,sj_in,1)/60)</f>
        <v/>
      </c>
      <c r="E37" s="68" t="str">
        <f>IF($A37="","",SUMIFS(sj_anp,sj_po,$A37,sj_in,1)/60)</f>
        <v/>
      </c>
      <c r="F37" s="68" t="str">
        <f>IF($A37="","",SUMIFS(sj_tf,sj_po,$A37,sj_in,1)/60)</f>
        <v/>
      </c>
      <c r="G37" s="55" t="str">
        <f>IF($A37="","",SUMIFS(sj_good,sj_po,$A37,sj_in,1))</f>
        <v/>
      </c>
      <c r="H37" s="55" t="str">
        <f>IF($A37="","",SUMIFS(sj_scrap,sj_po,$A37,sj_in,1))</f>
        <v/>
      </c>
      <c r="I37" s="55" t="str">
        <f>IF($A37="","",SUMIFS(sj_rework,sj_po,$A37,sj_in,1))</f>
        <v/>
      </c>
      <c r="J37" s="57" t="str">
        <f>IF(N(D37)&gt;0,F37/D37,"")</f>
        <v/>
      </c>
      <c r="K37" s="57" t="str">
        <f>IF(N(F37)&gt;0,Q37/(F37*60),"")</f>
        <v/>
      </c>
      <c r="L37" s="57" t="str">
        <f>IF(N(Q37)&gt;0,R37/Q37,"")</f>
        <v/>
      </c>
      <c r="M37" s="57" t="str">
        <f>IF(N(D37)&gt;0,R37/(D37*60),"")</f>
        <v/>
      </c>
      <c r="N37" s="57" t="str">
        <f>IF(N(C37)&gt;0,R37/(C37*60),"")</f>
        <v/>
      </c>
      <c r="O37" s="59" t="str">
        <f>IF($A37="","",SUMIFS(sj_val,sj_po,$A37,sj_in,1))</f>
        <v/>
      </c>
      <c r="P37" s="58" t="str">
        <f>IF(M37="","",IF(M37&gt;=p_target,"Bon",IF(M37&gt;=p_alert,"À surveiller","Faible")))</f>
        <v/>
      </c>
      <c r="Q37" t="str">
        <f>IF($A37="","",SUMIFS(sj_tn,sj_po,$A37,sj_in,1))</f>
        <v/>
      </c>
      <c r="R37" t="str">
        <f>IF($A37="","",SUMIFS(sj_tu,sj_po,$A37,sj_in,1))</f>
        <v/>
      </c>
      <c r="S37" t="str">
        <f>IF(AND($A37&lt;&gt;"",N(C37)&gt;0),COUNTIFS($A$9:A37,"?*",$C$9:C37,"&gt;0"),"")</f>
        <v/>
      </c>
    </row>
    <row r="38">
      <c r="A38" s="58" t="str">
        <f>IF(OR('Postes'!A35="",COUNTIF('Postes'!$A$6:A35,'Postes'!A35)&gt;1),"",'Postes'!A35)</f>
        <v/>
      </c>
      <c r="B38" s="61" t="str">
        <f>IF(A38="","",'Postes'!B35&amp;"")</f>
        <v/>
      </c>
      <c r="C38" s="68" t="str">
        <f>IF($A38="","",SUMIFS(sj_to,sj_po,$A38,sj_in,1)/60)</f>
        <v/>
      </c>
      <c r="D38" s="68" t="str">
        <f>IF($A38="","",SUMIFS(sj_tr,sj_po,$A38,sj_in,1)/60)</f>
        <v/>
      </c>
      <c r="E38" s="68" t="str">
        <f>IF($A38="","",SUMIFS(sj_anp,sj_po,$A38,sj_in,1)/60)</f>
        <v/>
      </c>
      <c r="F38" s="68" t="str">
        <f>IF($A38="","",SUMIFS(sj_tf,sj_po,$A38,sj_in,1)/60)</f>
        <v/>
      </c>
      <c r="G38" s="55" t="str">
        <f>IF($A38="","",SUMIFS(sj_good,sj_po,$A38,sj_in,1))</f>
        <v/>
      </c>
      <c r="H38" s="55" t="str">
        <f>IF($A38="","",SUMIFS(sj_scrap,sj_po,$A38,sj_in,1))</f>
        <v/>
      </c>
      <c r="I38" s="55" t="str">
        <f>IF($A38="","",SUMIFS(sj_rework,sj_po,$A38,sj_in,1))</f>
        <v/>
      </c>
      <c r="J38" s="57" t="str">
        <f>IF(N(D38)&gt;0,F38/D38,"")</f>
        <v/>
      </c>
      <c r="K38" s="57" t="str">
        <f>IF(N(F38)&gt;0,Q38/(F38*60),"")</f>
        <v/>
      </c>
      <c r="L38" s="57" t="str">
        <f>IF(N(Q38)&gt;0,R38/Q38,"")</f>
        <v/>
      </c>
      <c r="M38" s="57" t="str">
        <f>IF(N(D38)&gt;0,R38/(D38*60),"")</f>
        <v/>
      </c>
      <c r="N38" s="57" t="str">
        <f>IF(N(C38)&gt;0,R38/(C38*60),"")</f>
        <v/>
      </c>
      <c r="O38" s="59" t="str">
        <f>IF($A38="","",SUMIFS(sj_val,sj_po,$A38,sj_in,1))</f>
        <v/>
      </c>
      <c r="P38" s="58" t="str">
        <f>IF(M38="","",IF(M38&gt;=p_target,"Bon",IF(M38&gt;=p_alert,"À surveiller","Faible")))</f>
        <v/>
      </c>
      <c r="Q38" t="str">
        <f>IF($A38="","",SUMIFS(sj_tn,sj_po,$A38,sj_in,1))</f>
        <v/>
      </c>
      <c r="R38" t="str">
        <f>IF($A38="","",SUMIFS(sj_tu,sj_po,$A38,sj_in,1))</f>
        <v/>
      </c>
      <c r="S38" t="str">
        <f>IF(AND($A38&lt;&gt;"",N(C38)&gt;0),COUNTIFS($A$9:A38,"?*",$C$9:C38,"&gt;0"),"")</f>
        <v/>
      </c>
    </row>
    <row r="39">
      <c r="A39" s="69" t="inlineStr">
        <is>
          <t>Atelier</t>
        </is>
      </c>
      <c r="B39" s="70" t="inlineStr">
        <is>
          <t>Tous les postes</t>
        </is>
      </c>
      <c r="C39" s="71">
        <f>IF($A39="","",SUMIFS(sj_to,sj_in,1)/60)</f>
        <v>2644.0</v>
      </c>
      <c r="D39" s="71">
        <f>IF($A39="","",SUMIFS(sj_tr,sj_in,1)/60)</f>
        <v>2448.5</v>
      </c>
      <c r="E39" s="71">
        <f>IF($A39="","",SUMIFS(sj_anp,sj_in,1)/60)</f>
        <v>355.683333333333</v>
      </c>
      <c r="F39" s="71">
        <f>IF($A39="","",SUMIFS(sj_tf,sj_in,1)/60)</f>
        <v>2092.81666666667</v>
      </c>
      <c r="G39" s="72">
        <f>IF($A39="","",SUMIFS(sj_good,sj_in,1))</f>
        <v>162117.0</v>
      </c>
      <c r="H39" s="72">
        <f>IF($A39="","",SUMIFS(sj_scrap,sj_in,1))</f>
        <v>2487.0</v>
      </c>
      <c r="I39" s="72">
        <f>IF($A39="","",SUMIFS(sj_rework,sj_in,1))</f>
        <v>1120.0</v>
      </c>
      <c r="J39" s="73">
        <f>IF(N(D39)&gt;0,F39/D39,"")</f>
        <v>0.854734191001293</v>
      </c>
      <c r="K39" s="73">
        <f>IF(N(F39)&gt;0,Q39/(F39*60),"")</f>
        <v>0.871172824764874</v>
      </c>
      <c r="L39" s="73">
        <f>IF(N(Q39)&gt;0,R39/Q39,"")</f>
        <v>0.981907540569642</v>
      </c>
      <c r="M39" s="73">
        <f>IF(N(D39)&gt;0,R39/(D39*60),"")</f>
        <v>0.73114917075301</v>
      </c>
      <c r="N39" s="73">
        <f>IF(N(C39)&gt;0,R39/(C39*60),"")</f>
        <v>0.677087271024487</v>
      </c>
      <c r="O39" s="74">
        <f>IF($A39="","",SUMIFS(sj_val,sj_in,1))</f>
        <v>53608.8</v>
      </c>
      <c r="P39" s="69" t="str">
        <f>IF(M39="","",IF(M39&gt;=p_target,"Bon",IF(M39&gt;=p_alert,"À surveiller","Faible")))</f>
        <v>À surveiller</v>
      </c>
      <c r="Q39">
        <f>IF($A39="","",SUMIFS(sj_tn,sj_in,1))</f>
        <v>109392.3004329</v>
      </c>
      <c r="R39">
        <f>IF($A39="","",SUMIFS(sj_tu,sj_in,1))</f>
        <v>107413.124675325</v>
      </c>
    </row>
    <row r="42" ht="22" customHeight="1">
      <c r="A42" s="5" t="inlineStr">
        <is>
          <t>Par équipe</t>
        </is>
      </c>
      <c r="B42" s="6" t="n"/>
      <c r="C42" s="6" t="n"/>
      <c r="D42" s="6" t="n"/>
      <c r="E42" s="6" t="n"/>
      <c r="F42" s="6" t="n"/>
      <c r="G42" s="6" t="n"/>
      <c r="H42" s="6" t="n"/>
      <c r="I42" s="6" t="n"/>
      <c r="J42" s="6" t="n"/>
      <c r="K42" s="6" t="n"/>
      <c r="L42" s="6" t="n"/>
      <c r="M42" s="6" t="n"/>
      <c r="N42" s="6" t="n"/>
      <c r="O42" s="6" t="n"/>
      <c r="P42" s="6" t="n"/>
    </row>
    <row r="43" ht="40" customHeight="1">
      <c r="A43" s="38" t="inlineStr">
        <is>
          <t>Équipe</t>
        </is>
      </c>
      <c r="B43" s="38" t="inlineStr">
        <is>
          <t>Horaires</t>
        </is>
      </c>
      <c r="C43" s="38" t="inlineStr">
        <is>
          <t>Ouverture (h)</t>
        </is>
      </c>
      <c r="D43" s="38" t="inlineStr">
        <is>
          <t>Temps requis (h)</t>
        </is>
      </c>
      <c r="E43" s="38" t="inlineStr">
        <is>
          <t>Arrêts non planifiés (h)</t>
        </is>
      </c>
      <c r="F43" s="38" t="inlineStr">
        <is>
          <t>Fonction-nement (h)</t>
        </is>
      </c>
      <c r="G43" s="38" t="inlineStr">
        <is>
          <t>Pièces bonnes</t>
        </is>
      </c>
      <c r="H43" s="38" t="inlineStr">
        <is>
          <t>Rebuts</t>
        </is>
      </c>
      <c r="I43" s="38" t="inlineStr">
        <is>
          <t>Retouches</t>
        </is>
      </c>
      <c r="J43" s="38" t="inlineStr">
        <is>
          <t>Disponi-bilité</t>
        </is>
      </c>
      <c r="K43" s="38" t="inlineStr">
        <is>
          <t>Performance</t>
        </is>
      </c>
      <c r="L43" s="38" t="inlineStr">
        <is>
          <t>Qualité</t>
        </is>
      </c>
      <c r="M43" s="38" t="inlineStr">
        <is>
          <t>TRS</t>
        </is>
      </c>
      <c r="N43" s="38" t="inlineStr">
        <is>
          <t>TRG</t>
        </is>
      </c>
      <c r="O43" s="38" t="inlineStr">
        <is>
          <t>Rebuts valorisés</t>
        </is>
      </c>
      <c r="P43" s="38" t="inlineStr">
        <is>
          <t>Niveau</t>
        </is>
      </c>
    </row>
    <row r="44">
      <c r="A44" s="58" t="str">
        <f>IF(OR('Paramètres'!D6="",COUNTIF('Paramètres'!$D$6:D6,'Paramètres'!D6)&gt;1),"",'Paramètres'!D6)</f>
        <v>Matin</v>
      </c>
      <c r="B44" s="61" t="str">
        <f>IF(A44="","",IF(ISNUMBER('Paramètres'!H6),'Paramètres'!H6&amp;" min",""))</f>
        <v>480 min</v>
      </c>
      <c r="C44" s="68">
        <f>IF($A44="","",SUMIFS(sj_to,sj_eq,$A44,sj_in,1)/60)</f>
        <v>1308.0</v>
      </c>
      <c r="D44" s="68">
        <f>IF($A44="","",SUMIFS(sj_tr,sj_eq,$A44,sj_in,1)/60)</f>
        <v>1211.5</v>
      </c>
      <c r="E44" s="68">
        <f>IF($A44="","",SUMIFS(sj_anp,sj_eq,$A44,sj_in,1)/60)</f>
        <v>159.233333333333</v>
      </c>
      <c r="F44" s="68">
        <f>IF($A44="","",SUMIFS(sj_tf,sj_eq,$A44,sj_in,1)/60)</f>
        <v>1052.26666666667</v>
      </c>
      <c r="G44" s="55">
        <f>IF($A44="","",SUMIFS(sj_good,sj_eq,$A44,sj_in,1))</f>
        <v>125861.0</v>
      </c>
      <c r="H44" s="55">
        <f>IF($A44="","",SUMIFS(sj_scrap,sj_eq,$A44,sj_in,1))</f>
        <v>1881.0</v>
      </c>
      <c r="I44" s="55">
        <f>IF($A44="","",SUMIFS(sj_rework,sj_eq,$A44,sj_in,1))</f>
        <v>912.0</v>
      </c>
      <c r="J44" s="57">
        <f>IF(N(D44)&gt;0,F44/D44,"")</f>
        <v>0.868565139634063</v>
      </c>
      <c r="K44" s="57">
        <f>IF(N(F44)&gt;0,Q44/(F44*60),"")</f>
        <v>0.881242615405375</v>
      </c>
      <c r="L44" s="57">
        <f>IF(N(Q44)&gt;0,R44/Q44,"")</f>
        <v>0.979663065341782</v>
      </c>
      <c r="M44" s="57">
        <f>IF(N(D44)&gt;0,R44/(D44*60),"")</f>
        <v>0.749850387609364</v>
      </c>
      <c r="N44" s="57">
        <f>IF(N(C44)&gt;0,R44/(C44*60),"")</f>
        <v>0.694528856719224</v>
      </c>
      <c r="O44" s="59">
        <f>IF($A44="","",SUMIFS(sj_val,sj_eq,$A44,sj_in,1))</f>
        <v>29751.0</v>
      </c>
      <c r="P44" s="58" t="str">
        <f>IF(M44="","",IF(M44&gt;=p_target,"Bon",IF(M44&gt;=p_alert,"À surveiller","Faible")))</f>
        <v>À surveiller</v>
      </c>
      <c r="Q44">
        <f>IF($A44="","",SUMIFS(sj_tn,sj_eq,$A44,sj_in,1))</f>
        <v>55638.1337662338</v>
      </c>
      <c r="R44">
        <f>IF($A44="","",SUMIFS(sj_tu,sj_eq,$A44,sj_in,1))</f>
        <v>54506.6246753247</v>
      </c>
    </row>
    <row r="45">
      <c r="A45" s="58" t="str">
        <f>IF(OR('Paramètres'!D7="",COUNTIF('Paramètres'!$D$6:D7,'Paramètres'!D7)&gt;1),"",'Paramètres'!D7)</f>
        <v>Après-midi</v>
      </c>
      <c r="B45" s="61" t="str">
        <f>IF(A45="","",IF(ISNUMBER('Paramètres'!H7),'Paramètres'!H7&amp;" min",""))</f>
        <v>480 min</v>
      </c>
      <c r="C45" s="68">
        <f>IF($A45="","",SUMIFS(sj_to,sj_eq,$A45,sj_in,1)/60)</f>
        <v>1044.0</v>
      </c>
      <c r="D45" s="68">
        <f>IF($A45="","",SUMIFS(sj_tr,sj_eq,$A45,sj_in,1)/60)</f>
        <v>978.0</v>
      </c>
      <c r="E45" s="68">
        <f>IF($A45="","",SUMIFS(sj_anp,sj_eq,$A45,sj_in,1)/60)</f>
        <v>153.866666666667</v>
      </c>
      <c r="F45" s="68">
        <f>IF($A45="","",SUMIFS(sj_tf,sj_eq,$A45,sj_in,1)/60)</f>
        <v>824.133333333333</v>
      </c>
      <c r="G45" s="55">
        <f>IF($A45="","",SUMIFS(sj_good,sj_eq,$A45,sj_in,1))</f>
        <v>18601.0</v>
      </c>
      <c r="H45" s="55">
        <f>IF($A45="","",SUMIFS(sj_scrap,sj_eq,$A45,sj_in,1))</f>
        <v>265.0</v>
      </c>
      <c r="I45" s="55">
        <f>IF($A45="","",SUMIFS(sj_rework,sj_eq,$A45,sj_in,1))</f>
        <v>82.0</v>
      </c>
      <c r="J45" s="57">
        <f>IF(N(D45)&gt;0,F45/D45,"")</f>
        <v>0.842672119972734</v>
      </c>
      <c r="K45" s="57">
        <f>IF(N(F45)&gt;0,Q45/(F45*60),"")</f>
        <v>0.869582922739774</v>
      </c>
      <c r="L45" s="57">
        <f>IF(N(Q45)&gt;0,R45/Q45,"")</f>
        <v>0.986703749863898</v>
      </c>
      <c r="M45" s="57">
        <f>IF(N(D45)&gt;0,R45/(D45*60),"")</f>
        <v>0.723030148106835</v>
      </c>
      <c r="N45" s="57">
        <f>IF(N(C45)&gt;0,R45/(C45*60),"")</f>
        <v>0.677321345640311</v>
      </c>
      <c r="O45" s="59">
        <f>IF($A45="","",SUMIFS(sj_val,sj_eq,$A45,sj_in,1))</f>
        <v>11468.8</v>
      </c>
      <c r="P45" s="58" t="str">
        <f>IF(M45="","",IF(M45&gt;=p_target,"Bon",IF(M45&gt;=p_alert,"À surveiller","Faible")))</f>
        <v>À surveiller</v>
      </c>
      <c r="Q45">
        <f>IF($A45="","",SUMIFS(sj_tn,sj_eq,$A45,sj_in,1))</f>
        <v>42999.1363636364</v>
      </c>
      <c r="R45">
        <f>IF($A45="","",SUMIFS(sj_tu,sj_eq,$A45,sj_in,1))</f>
        <v>42427.4090909091</v>
      </c>
    </row>
    <row r="46">
      <c r="A46" s="58" t="str">
        <f>IF(OR('Paramètres'!D8="",COUNTIF('Paramètres'!$D$6:D8,'Paramètres'!D8)&gt;1),"",'Paramètres'!D8)</f>
        <v>Nuit</v>
      </c>
      <c r="B46" s="61" t="str">
        <f>IF(A46="","",IF(ISNUMBER('Paramètres'!H8),'Paramètres'!H8&amp;" min",""))</f>
        <v>480 min</v>
      </c>
      <c r="C46" s="68">
        <f>IF($A46="","",SUMIFS(sj_to,sj_eq,$A46,sj_in,1)/60)</f>
        <v>0.0</v>
      </c>
      <c r="D46" s="68">
        <f>IF($A46="","",SUMIFS(sj_tr,sj_eq,$A46,sj_in,1)/60)</f>
        <v>0.0</v>
      </c>
      <c r="E46" s="68">
        <f>IF($A46="","",SUMIFS(sj_anp,sj_eq,$A46,sj_in,1)/60)</f>
        <v>0.0</v>
      </c>
      <c r="F46" s="68">
        <f>IF($A46="","",SUMIFS(sj_tf,sj_eq,$A46,sj_in,1)/60)</f>
        <v>0.0</v>
      </c>
      <c r="G46" s="55">
        <f>IF($A46="","",SUMIFS(sj_good,sj_eq,$A46,sj_in,1))</f>
        <v>0.0</v>
      </c>
      <c r="H46" s="55">
        <f>IF($A46="","",SUMIFS(sj_scrap,sj_eq,$A46,sj_in,1))</f>
        <v>0.0</v>
      </c>
      <c r="I46" s="55">
        <f>IF($A46="","",SUMIFS(sj_rework,sj_eq,$A46,sj_in,1))</f>
        <v>0.0</v>
      </c>
      <c r="J46" s="57" t="str">
        <f>IF(N(D46)&gt;0,F46/D46,"")</f>
        <v/>
      </c>
      <c r="K46" s="57" t="str">
        <f>IF(N(F46)&gt;0,Q46/(F46*60),"")</f>
        <v/>
      </c>
      <c r="L46" s="57" t="str">
        <f>IF(N(Q46)&gt;0,R46/Q46,"")</f>
        <v/>
      </c>
      <c r="M46" s="57" t="str">
        <f>IF(N(D46)&gt;0,R46/(D46*60),"")</f>
        <v/>
      </c>
      <c r="N46" s="57" t="str">
        <f>IF(N(C46)&gt;0,R46/(C46*60),"")</f>
        <v/>
      </c>
      <c r="O46" s="59">
        <f>IF($A46="","",SUMIFS(sj_val,sj_eq,$A46,sj_in,1))</f>
        <v>0.0</v>
      </c>
      <c r="P46" s="58" t="str">
        <f>IF(M46="","",IF(M46&gt;=p_target,"Bon",IF(M46&gt;=p_alert,"À surveiller","Faible")))</f>
        <v/>
      </c>
      <c r="Q46">
        <f>IF($A46="","",SUMIFS(sj_tn,sj_eq,$A46,sj_in,1))</f>
        <v>0.0</v>
      </c>
      <c r="R46">
        <f>IF($A46="","",SUMIFS(sj_tu,sj_eq,$A46,sj_in,1))</f>
        <v>0.0</v>
      </c>
    </row>
    <row r="47">
      <c r="A47" s="58" t="str">
        <f>IF(OR('Paramètres'!D9="",COUNTIF('Paramètres'!$D$6:D9,'Paramètres'!D9)&gt;1),"",'Paramètres'!D9)</f>
        <v>Journée</v>
      </c>
      <c r="B47" s="61" t="str">
        <f>IF(A47="","",IF(ISNUMBER('Paramètres'!H9),'Paramètres'!H9&amp;" min",""))</f>
        <v>540 min</v>
      </c>
      <c r="C47" s="68">
        <f>IF($A47="","",SUMIFS(sj_to,sj_eq,$A47,sj_in,1)/60)</f>
        <v>292.0</v>
      </c>
      <c r="D47" s="68">
        <f>IF($A47="","",SUMIFS(sj_tr,sj_eq,$A47,sj_in,1)/60)</f>
        <v>259.0</v>
      </c>
      <c r="E47" s="68">
        <f>IF($A47="","",SUMIFS(sj_anp,sj_eq,$A47,sj_in,1)/60)</f>
        <v>42.5833333333333</v>
      </c>
      <c r="F47" s="68">
        <f>IF($A47="","",SUMIFS(sj_tf,sj_eq,$A47,sj_in,1)/60)</f>
        <v>216.416666666667</v>
      </c>
      <c r="G47" s="55">
        <f>IF($A47="","",SUMIFS(sj_good,sj_eq,$A47,sj_in,1))</f>
        <v>17655.0</v>
      </c>
      <c r="H47" s="55">
        <f>IF($A47="","",SUMIFS(sj_scrap,sj_eq,$A47,sj_in,1))</f>
        <v>341.0</v>
      </c>
      <c r="I47" s="55">
        <f>IF($A47="","",SUMIFS(sj_rework,sj_eq,$A47,sj_in,1))</f>
        <v>126.0</v>
      </c>
      <c r="J47" s="57">
        <f>IF(N(D47)&gt;0,F47/D47,"")</f>
        <v>0.835585585585586</v>
      </c>
      <c r="K47" s="57">
        <f>IF(N(F47)&gt;0,Q47/(F47*60),"")</f>
        <v>0.828265714519084</v>
      </c>
      <c r="L47" s="57">
        <f>IF(N(Q47)&gt;0,R47/Q47,"")</f>
        <v>0.974343224875745</v>
      </c>
      <c r="M47" s="57">
        <f>IF(N(D47)&gt;0,R47/(D47*60),"")</f>
        <v>0.674330174330174</v>
      </c>
      <c r="N47" s="57">
        <f>IF(N(C47)&gt;0,R47/(C47*60),"")</f>
        <v>0.598121627231216</v>
      </c>
      <c r="O47" s="59">
        <f>IF($A47="","",SUMIFS(sj_val,sj_eq,$A47,sj_in,1))</f>
        <v>12389.0</v>
      </c>
      <c r="P47" s="58" t="str">
        <f>IF(M47="","",IF(M47&gt;=p_target,"Bon",IF(M47&gt;=p_alert,"À surveiller","Faible")))</f>
        <v>À surveiller</v>
      </c>
      <c r="Q47">
        <f>IF($A47="","",SUMIFS(sj_tn,sj_eq,$A47,sj_in,1))</f>
        <v>10755.0303030303</v>
      </c>
      <c r="R47">
        <f>IF($A47="","",SUMIFS(sj_tu,sj_eq,$A47,sj_in,1))</f>
        <v>10479.0909090909</v>
      </c>
    </row>
    <row r="48">
      <c r="A48" s="58" t="str">
        <f>IF(OR('Paramètres'!D10="",COUNTIF('Paramètres'!$D$6:D10,'Paramètres'!D10)&gt;1),"",'Paramètres'!D10)</f>
        <v/>
      </c>
      <c r="B48" s="61" t="str">
        <f>IF(A48="","",IF(ISNUMBER('Paramètres'!H10),'Paramètres'!H10&amp;" min",""))</f>
        <v/>
      </c>
      <c r="C48" s="68" t="str">
        <f>IF($A48="","",SUMIFS(sj_to,sj_eq,$A48,sj_in,1)/60)</f>
        <v/>
      </c>
      <c r="D48" s="68" t="str">
        <f>IF($A48="","",SUMIFS(sj_tr,sj_eq,$A48,sj_in,1)/60)</f>
        <v/>
      </c>
      <c r="E48" s="68" t="str">
        <f>IF($A48="","",SUMIFS(sj_anp,sj_eq,$A48,sj_in,1)/60)</f>
        <v/>
      </c>
      <c r="F48" s="68" t="str">
        <f>IF($A48="","",SUMIFS(sj_tf,sj_eq,$A48,sj_in,1)/60)</f>
        <v/>
      </c>
      <c r="G48" s="55" t="str">
        <f>IF($A48="","",SUMIFS(sj_good,sj_eq,$A48,sj_in,1))</f>
        <v/>
      </c>
      <c r="H48" s="55" t="str">
        <f>IF($A48="","",SUMIFS(sj_scrap,sj_eq,$A48,sj_in,1))</f>
        <v/>
      </c>
      <c r="I48" s="55" t="str">
        <f>IF($A48="","",SUMIFS(sj_rework,sj_eq,$A48,sj_in,1))</f>
        <v/>
      </c>
      <c r="J48" s="57" t="str">
        <f>IF(N(D48)&gt;0,F48/D48,"")</f>
        <v/>
      </c>
      <c r="K48" s="57" t="str">
        <f>IF(N(F48)&gt;0,Q48/(F48*60),"")</f>
        <v/>
      </c>
      <c r="L48" s="57" t="str">
        <f>IF(N(Q48)&gt;0,R48/Q48,"")</f>
        <v/>
      </c>
      <c r="M48" s="57" t="str">
        <f>IF(N(D48)&gt;0,R48/(D48*60),"")</f>
        <v/>
      </c>
      <c r="N48" s="57" t="str">
        <f>IF(N(C48)&gt;0,R48/(C48*60),"")</f>
        <v/>
      </c>
      <c r="O48" s="59" t="str">
        <f>IF($A48="","",SUMIFS(sj_val,sj_eq,$A48,sj_in,1))</f>
        <v/>
      </c>
      <c r="P48" s="58" t="str">
        <f>IF(M48="","",IF(M48&gt;=p_target,"Bon",IF(M48&gt;=p_alert,"À surveiller","Faible")))</f>
        <v/>
      </c>
      <c r="Q48" t="str">
        <f>IF($A48="","",SUMIFS(sj_tn,sj_eq,$A48,sj_in,1))</f>
        <v/>
      </c>
      <c r="R48" t="str">
        <f>IF($A48="","",SUMIFS(sj_tu,sj_eq,$A48,sj_in,1))</f>
        <v/>
      </c>
    </row>
    <row r="49">
      <c r="A49" s="58" t="str">
        <f>IF(OR('Paramètres'!D11="",COUNTIF('Paramètres'!$D$6:D11,'Paramètres'!D11)&gt;1),"",'Paramètres'!D11)</f>
        <v/>
      </c>
      <c r="B49" s="61" t="str">
        <f>IF(A49="","",IF(ISNUMBER('Paramètres'!H11),'Paramètres'!H11&amp;" min",""))</f>
        <v/>
      </c>
      <c r="C49" s="68" t="str">
        <f>IF($A49="","",SUMIFS(sj_to,sj_eq,$A49,sj_in,1)/60)</f>
        <v/>
      </c>
      <c r="D49" s="68" t="str">
        <f>IF($A49="","",SUMIFS(sj_tr,sj_eq,$A49,sj_in,1)/60)</f>
        <v/>
      </c>
      <c r="E49" s="68" t="str">
        <f>IF($A49="","",SUMIFS(sj_anp,sj_eq,$A49,sj_in,1)/60)</f>
        <v/>
      </c>
      <c r="F49" s="68" t="str">
        <f>IF($A49="","",SUMIFS(sj_tf,sj_eq,$A49,sj_in,1)/60)</f>
        <v/>
      </c>
      <c r="G49" s="55" t="str">
        <f>IF($A49="","",SUMIFS(sj_good,sj_eq,$A49,sj_in,1))</f>
        <v/>
      </c>
      <c r="H49" s="55" t="str">
        <f>IF($A49="","",SUMIFS(sj_scrap,sj_eq,$A49,sj_in,1))</f>
        <v/>
      </c>
      <c r="I49" s="55" t="str">
        <f>IF($A49="","",SUMIFS(sj_rework,sj_eq,$A49,sj_in,1))</f>
        <v/>
      </c>
      <c r="J49" s="57" t="str">
        <f>IF(N(D49)&gt;0,F49/D49,"")</f>
        <v/>
      </c>
      <c r="K49" s="57" t="str">
        <f>IF(N(F49)&gt;0,Q49/(F49*60),"")</f>
        <v/>
      </c>
      <c r="L49" s="57" t="str">
        <f>IF(N(Q49)&gt;0,R49/Q49,"")</f>
        <v/>
      </c>
      <c r="M49" s="57" t="str">
        <f>IF(N(D49)&gt;0,R49/(D49*60),"")</f>
        <v/>
      </c>
      <c r="N49" s="57" t="str">
        <f>IF(N(C49)&gt;0,R49/(C49*60),"")</f>
        <v/>
      </c>
      <c r="O49" s="59" t="str">
        <f>IF($A49="","",SUMIFS(sj_val,sj_eq,$A49,sj_in,1))</f>
        <v/>
      </c>
      <c r="P49" s="58" t="str">
        <f>IF(M49="","",IF(M49&gt;=p_target,"Bon",IF(M49&gt;=p_alert,"À surveiller","Faible")))</f>
        <v/>
      </c>
      <c r="Q49" t="str">
        <f>IF($A49="","",SUMIFS(sj_tn,sj_eq,$A49,sj_in,1))</f>
        <v/>
      </c>
      <c r="R49" t="str">
        <f>IF($A49="","",SUMIFS(sj_tu,sj_eq,$A49,sj_in,1))</f>
        <v/>
      </c>
    </row>
    <row r="50">
      <c r="A50" s="58" t="str">
        <f>IF(OR('Paramètres'!D12="",COUNTIF('Paramètres'!$D$6:D12,'Paramètres'!D12)&gt;1),"",'Paramètres'!D12)</f>
        <v/>
      </c>
      <c r="B50" s="61" t="str">
        <f>IF(A50="","",IF(ISNUMBER('Paramètres'!H12),'Paramètres'!H12&amp;" min",""))</f>
        <v/>
      </c>
      <c r="C50" s="68" t="str">
        <f>IF($A50="","",SUMIFS(sj_to,sj_eq,$A50,sj_in,1)/60)</f>
        <v/>
      </c>
      <c r="D50" s="68" t="str">
        <f>IF($A50="","",SUMIFS(sj_tr,sj_eq,$A50,sj_in,1)/60)</f>
        <v/>
      </c>
      <c r="E50" s="68" t="str">
        <f>IF($A50="","",SUMIFS(sj_anp,sj_eq,$A50,sj_in,1)/60)</f>
        <v/>
      </c>
      <c r="F50" s="68" t="str">
        <f>IF($A50="","",SUMIFS(sj_tf,sj_eq,$A50,sj_in,1)/60)</f>
        <v/>
      </c>
      <c r="G50" s="55" t="str">
        <f>IF($A50="","",SUMIFS(sj_good,sj_eq,$A50,sj_in,1))</f>
        <v/>
      </c>
      <c r="H50" s="55" t="str">
        <f>IF($A50="","",SUMIFS(sj_scrap,sj_eq,$A50,sj_in,1))</f>
        <v/>
      </c>
      <c r="I50" s="55" t="str">
        <f>IF($A50="","",SUMIFS(sj_rework,sj_eq,$A50,sj_in,1))</f>
        <v/>
      </c>
      <c r="J50" s="57" t="str">
        <f>IF(N(D50)&gt;0,F50/D50,"")</f>
        <v/>
      </c>
      <c r="K50" s="57" t="str">
        <f>IF(N(F50)&gt;0,Q50/(F50*60),"")</f>
        <v/>
      </c>
      <c r="L50" s="57" t="str">
        <f>IF(N(Q50)&gt;0,R50/Q50,"")</f>
        <v/>
      </c>
      <c r="M50" s="57" t="str">
        <f>IF(N(D50)&gt;0,R50/(D50*60),"")</f>
        <v/>
      </c>
      <c r="N50" s="57" t="str">
        <f>IF(N(C50)&gt;0,R50/(C50*60),"")</f>
        <v/>
      </c>
      <c r="O50" s="59" t="str">
        <f>IF($A50="","",SUMIFS(sj_val,sj_eq,$A50,sj_in,1))</f>
        <v/>
      </c>
      <c r="P50" s="58" t="str">
        <f>IF(M50="","",IF(M50&gt;=p_target,"Bon",IF(M50&gt;=p_alert,"À surveiller","Faible")))</f>
        <v/>
      </c>
      <c r="Q50" t="str">
        <f>IF($A50="","",SUMIFS(sj_tn,sj_eq,$A50,sj_in,1))</f>
        <v/>
      </c>
      <c r="R50" t="str">
        <f>IF($A50="","",SUMIFS(sj_tu,sj_eq,$A50,sj_in,1))</f>
        <v/>
      </c>
    </row>
    <row r="51">
      <c r="A51" s="58" t="str">
        <f>IF(OR('Paramètres'!D13="",COUNTIF('Paramètres'!$D$6:D13,'Paramètres'!D13)&gt;1),"",'Paramètres'!D13)</f>
        <v/>
      </c>
      <c r="B51" s="61" t="str">
        <f>IF(A51="","",IF(ISNUMBER('Paramètres'!H13),'Paramètres'!H13&amp;" min",""))</f>
        <v/>
      </c>
      <c r="C51" s="68" t="str">
        <f>IF($A51="","",SUMIFS(sj_to,sj_eq,$A51,sj_in,1)/60)</f>
        <v/>
      </c>
      <c r="D51" s="68" t="str">
        <f>IF($A51="","",SUMIFS(sj_tr,sj_eq,$A51,sj_in,1)/60)</f>
        <v/>
      </c>
      <c r="E51" s="68" t="str">
        <f>IF($A51="","",SUMIFS(sj_anp,sj_eq,$A51,sj_in,1)/60)</f>
        <v/>
      </c>
      <c r="F51" s="68" t="str">
        <f>IF($A51="","",SUMIFS(sj_tf,sj_eq,$A51,sj_in,1)/60)</f>
        <v/>
      </c>
      <c r="G51" s="55" t="str">
        <f>IF($A51="","",SUMIFS(sj_good,sj_eq,$A51,sj_in,1))</f>
        <v/>
      </c>
      <c r="H51" s="55" t="str">
        <f>IF($A51="","",SUMIFS(sj_scrap,sj_eq,$A51,sj_in,1))</f>
        <v/>
      </c>
      <c r="I51" s="55" t="str">
        <f>IF($A51="","",SUMIFS(sj_rework,sj_eq,$A51,sj_in,1))</f>
        <v/>
      </c>
      <c r="J51" s="57" t="str">
        <f>IF(N(D51)&gt;0,F51/D51,"")</f>
        <v/>
      </c>
      <c r="K51" s="57" t="str">
        <f>IF(N(F51)&gt;0,Q51/(F51*60),"")</f>
        <v/>
      </c>
      <c r="L51" s="57" t="str">
        <f>IF(N(Q51)&gt;0,R51/Q51,"")</f>
        <v/>
      </c>
      <c r="M51" s="57" t="str">
        <f>IF(N(D51)&gt;0,R51/(D51*60),"")</f>
        <v/>
      </c>
      <c r="N51" s="57" t="str">
        <f>IF(N(C51)&gt;0,R51/(C51*60),"")</f>
        <v/>
      </c>
      <c r="O51" s="59" t="str">
        <f>IF($A51="","",SUMIFS(sj_val,sj_eq,$A51,sj_in,1))</f>
        <v/>
      </c>
      <c r="P51" s="58" t="str">
        <f>IF(M51="","",IF(M51&gt;=p_target,"Bon",IF(M51&gt;=p_alert,"À surveiller","Faible")))</f>
        <v/>
      </c>
      <c r="Q51" t="str">
        <f>IF($A51="","",SUMIFS(sj_tn,sj_eq,$A51,sj_in,1))</f>
        <v/>
      </c>
      <c r="R51" t="str">
        <f>IF($A51="","",SUMIFS(sj_tu,sj_eq,$A51,sj_in,1))</f>
        <v/>
      </c>
    </row>
    <row r="54" ht="22" customHeight="1">
      <c r="A54" s="5" t="inlineStr">
        <is>
          <t>Par jour : les 31 derniers jours de production de la période</t>
        </is>
      </c>
      <c r="B54" s="6" t="n"/>
      <c r="C54" s="6" t="n"/>
      <c r="D54" s="6" t="n"/>
      <c r="E54" s="6" t="n"/>
      <c r="F54" s="6" t="n"/>
      <c r="G54" s="6" t="n"/>
      <c r="H54" s="6" t="n"/>
      <c r="I54" s="75" t="str">
        <f>IF('Synthèse'!$Q$54&gt;31,"Sur "&amp;'Synthèse'!$Q$54&amp;" jours de production dans la période.","")</f>
        <v>Sur 33 jours de production dans la période.</v>
      </c>
      <c r="J54" s="6" t="n"/>
      <c r="K54" s="6" t="n"/>
      <c r="L54" s="6" t="n"/>
      <c r="M54" s="6" t="n"/>
      <c r="N54" s="6" t="n"/>
      <c r="O54" s="6" t="n"/>
      <c r="P54" s="6" t="n"/>
      <c r="Q54" s="76">
        <f>SUM(sj_first)</f>
        <v>33.0</v>
      </c>
    </row>
    <row r="55" ht="40" customHeight="1">
      <c r="A55" s="38" t="inlineStr">
        <is>
          <t>Date</t>
        </is>
      </c>
      <c r="B55" s="38" t="inlineStr">
        <is>
          <t>Jour</t>
        </is>
      </c>
      <c r="C55" s="38" t="inlineStr">
        <is>
          <t>Ouverture (h)</t>
        </is>
      </c>
      <c r="D55" s="38" t="inlineStr">
        <is>
          <t>Temps requis (h)</t>
        </is>
      </c>
      <c r="E55" s="38" t="inlineStr">
        <is>
          <t>Arrêts non planifiés (h)</t>
        </is>
      </c>
      <c r="F55" s="38" t="inlineStr">
        <is>
          <t>Fonction-nement (h)</t>
        </is>
      </c>
      <c r="G55" s="38" t="inlineStr">
        <is>
          <t>Pièces bonnes</t>
        </is>
      </c>
      <c r="H55" s="38" t="inlineStr">
        <is>
          <t>Rebuts</t>
        </is>
      </c>
      <c r="I55" s="38" t="inlineStr">
        <is>
          <t>Retouches</t>
        </is>
      </c>
      <c r="J55" s="38" t="inlineStr">
        <is>
          <t>Disponi-bilité</t>
        </is>
      </c>
      <c r="K55" s="38" t="inlineStr">
        <is>
          <t>Performance</t>
        </is>
      </c>
      <c r="L55" s="38" t="inlineStr">
        <is>
          <t>Qualité</t>
        </is>
      </c>
      <c r="M55" s="38" t="inlineStr">
        <is>
          <t>TRS</t>
        </is>
      </c>
      <c r="N55" s="38" t="inlineStr">
        <is>
          <t>TRG</t>
        </is>
      </c>
      <c r="O55" s="38" t="inlineStr">
        <is>
          <t>Rebuts valorisés</t>
        </is>
      </c>
      <c r="P55" s="38" t="inlineStr">
        <is>
          <t>Niveau</t>
        </is>
      </c>
    </row>
    <row r="56">
      <c r="A56" s="77">
        <f>IF(1&gt;MIN(31,'Synthèse'!$Q$54),"",INDEX(sj_date,MATCH('Synthèse'!$Q$54-MIN(31,'Synthèse'!$Q$54)+1,sj_dayrank,0)))</f>
        <v>46288.0</v>
      </c>
      <c r="B56" s="61" t="str">
        <f>IF(A56="","",CHOOSE(WEEKDAY(A56,2),"lundi","mardi","mercredi","jeudi","vendredi","samedi","dimanche"))</f>
        <v>mercredi</v>
      </c>
      <c r="C56" s="68">
        <f>IF($A56="","",SUMIFS(sj_to,sj_date,$A56,sj_in,1)/60)</f>
        <v>81.0</v>
      </c>
      <c r="D56" s="68">
        <f>IF($A56="","",SUMIFS(sj_tr,sj_date,$A56,sj_in,1)/60)</f>
        <v>75.5</v>
      </c>
      <c r="E56" s="68">
        <f>IF($A56="","",SUMIFS(sj_anp,sj_date,$A56,sj_in,1)/60)</f>
        <v>8.68333333333333</v>
      </c>
      <c r="F56" s="68">
        <f>IF($A56="","",SUMIFS(sj_tf,sj_date,$A56,sj_in,1)/60)</f>
        <v>66.8166666666667</v>
      </c>
      <c r="G56" s="55">
        <f>IF($A56="","",SUMIFS(sj_good,sj_date,$A56,sj_in,1))</f>
        <v>4236.0</v>
      </c>
      <c r="H56" s="55">
        <f>IF($A56="","",SUMIFS(sj_scrap,sj_date,$A56,sj_in,1))</f>
        <v>112.0</v>
      </c>
      <c r="I56" s="55">
        <f>IF($A56="","",SUMIFS(sj_rework,sj_date,$A56,sj_in,1))</f>
        <v>14.0</v>
      </c>
      <c r="J56" s="57">
        <f>IF(N(D56)&gt;0,F56/D56,"")</f>
        <v>0.884988962472406</v>
      </c>
      <c r="K56" s="57">
        <f>IF(N(F56)&gt;0,Q56/(F56*60),"")</f>
        <v>0.885000631695568</v>
      </c>
      <c r="L56" s="57">
        <f>IF(N(Q56)&gt;0,R56/Q56,"")</f>
        <v>0.982647830200938</v>
      </c>
      <c r="M56" s="57">
        <f>IF(N(D56)&gt;0,R56/(D56*60),"")</f>
        <v>0.769625297439867</v>
      </c>
      <c r="N56" s="57">
        <f>IF(N(C56)&gt;0,R56/(C56*60),"")</f>
        <v>0.717366789589012</v>
      </c>
      <c r="O56" s="59">
        <f>IF($A56="","",SUMIFS(sj_val,sj_date,$A56,sj_in,1))</f>
        <v>1977.5</v>
      </c>
      <c r="P56" s="58" t="str">
        <f>IF(M56="","",IF(M56&gt;=p_target,"Bon",IF(M56&gt;=p_alert,"À surveiller","Faible")))</f>
        <v>Bon</v>
      </c>
      <c r="Q56">
        <f>IF($A56="","",SUMIFS(sj_tn,sj_date,$A56,sj_in,1))</f>
        <v>3547.96753246753</v>
      </c>
      <c r="R56">
        <f>IF($A56="","",SUMIFS(sj_tu,sj_date,$A56,sj_in,1))</f>
        <v>3486.4025974026</v>
      </c>
    </row>
    <row r="57">
      <c r="A57" s="77">
        <f>IF(2&gt;MIN(31,'Synthèse'!$Q$54),"",INDEX(sj_date,MATCH('Synthèse'!$Q$54-MIN(31,'Synthèse'!$Q$54)+2,sj_dayrank,0)))</f>
        <v>46289.0</v>
      </c>
      <c r="B57" s="61" t="str">
        <f>IF(A57="","",CHOOSE(WEEKDAY(A57,2),"lundi","mardi","mercredi","jeudi","vendredi","samedi","dimanche"))</f>
        <v>jeudi</v>
      </c>
      <c r="C57" s="68">
        <f>IF($A57="","",SUMIFS(sj_to,sj_date,$A57,sj_in,1)/60)</f>
        <v>81.0</v>
      </c>
      <c r="D57" s="68">
        <f>IF($A57="","",SUMIFS(sj_tr,sj_date,$A57,sj_in,1)/60)</f>
        <v>75.5</v>
      </c>
      <c r="E57" s="68">
        <f>IF($A57="","",SUMIFS(sj_anp,sj_date,$A57,sj_in,1)/60)</f>
        <v>8.4</v>
      </c>
      <c r="F57" s="68">
        <f>IF($A57="","",SUMIFS(sj_tf,sj_date,$A57,sj_in,1)/60)</f>
        <v>67.1</v>
      </c>
      <c r="G57" s="55">
        <f>IF($A57="","",SUMIFS(sj_good,sj_date,$A57,sj_in,1))</f>
        <v>4415.0</v>
      </c>
      <c r="H57" s="55">
        <f>IF($A57="","",SUMIFS(sj_scrap,sj_date,$A57,sj_in,1))</f>
        <v>54.0</v>
      </c>
      <c r="I57" s="55">
        <f>IF($A57="","",SUMIFS(sj_rework,sj_date,$A57,sj_in,1))</f>
        <v>24.0</v>
      </c>
      <c r="J57" s="57">
        <f>IF(N(D57)&gt;0,F57/D57,"")</f>
        <v>0.888741721854305</v>
      </c>
      <c r="K57" s="57">
        <f>IF(N(F57)&gt;0,Q57/(F57*60),"")</f>
        <v>0.866381507216083</v>
      </c>
      <c r="L57" s="57">
        <f>IF(N(Q57)&gt;0,R57/Q57,"")</f>
        <v>0.986555216322883</v>
      </c>
      <c r="M57" s="57">
        <f>IF(N(D57)&gt;0,R57/(D57*60),"")</f>
        <v>0.759637051690032</v>
      </c>
      <c r="N57" s="57">
        <f>IF(N(C57)&gt;0,R57/(C57*60),"")</f>
        <v>0.708056758056758</v>
      </c>
      <c r="O57" s="59">
        <f>IF($A57="","",SUMIFS(sj_val,sj_date,$A57,sj_in,1))</f>
        <v>1204.1</v>
      </c>
      <c r="P57" s="58" t="str">
        <f>IF(M57="","",IF(M57&gt;=p_target,"Bon",IF(M57&gt;=p_alert,"À surveiller","Faible")))</f>
        <v>Bon</v>
      </c>
      <c r="Q57">
        <f>IF($A57="","",SUMIFS(sj_tn,sj_date,$A57,sj_in,1))</f>
        <v>3488.05194805195</v>
      </c>
      <c r="R57">
        <f>IF($A57="","",SUMIFS(sj_tu,sj_date,$A57,sj_in,1))</f>
        <v>3441.15584415584</v>
      </c>
    </row>
    <row r="58">
      <c r="A58" s="77">
        <f>IF(3&gt;MIN(31,'Synthèse'!$Q$54),"",INDEX(sj_date,MATCH('Synthèse'!$Q$54-MIN(31,'Synthèse'!$Q$54)+3,sj_dayrank,0)))</f>
        <v>46290.0</v>
      </c>
      <c r="B58" s="61" t="str">
        <f>IF(A58="","",CHOOSE(WEEKDAY(A58,2),"lundi","mardi","mercredi","jeudi","vendredi","samedi","dimanche"))</f>
        <v>vendredi</v>
      </c>
      <c r="C58" s="68">
        <f>IF($A58="","",SUMIFS(sj_to,sj_date,$A58,sj_in,1)/60)</f>
        <v>73.0</v>
      </c>
      <c r="D58" s="68">
        <f>IF($A58="","",SUMIFS(sj_tr,sj_date,$A58,sj_in,1)/60)</f>
        <v>67.5</v>
      </c>
      <c r="E58" s="68">
        <f>IF($A58="","",SUMIFS(sj_anp,sj_date,$A58,sj_in,1)/60)</f>
        <v>8.58333333333333</v>
      </c>
      <c r="F58" s="68">
        <f>IF($A58="","",SUMIFS(sj_tf,sj_date,$A58,sj_in,1)/60)</f>
        <v>58.9166666666667</v>
      </c>
      <c r="G58" s="55">
        <f>IF($A58="","",SUMIFS(sj_good,sj_date,$A58,sj_in,1))</f>
        <v>5536.0</v>
      </c>
      <c r="H58" s="55">
        <f>IF($A58="","",SUMIFS(sj_scrap,sj_date,$A58,sj_in,1))</f>
        <v>49.0</v>
      </c>
      <c r="I58" s="55">
        <f>IF($A58="","",SUMIFS(sj_rework,sj_date,$A58,sj_in,1))</f>
        <v>66.0</v>
      </c>
      <c r="J58" s="57">
        <f>IF(N(D58)&gt;0,F58/D58,"")</f>
        <v>0.87283950617284</v>
      </c>
      <c r="K58" s="57">
        <f>IF(N(F58)&gt;0,Q58/(F58*60),"")</f>
        <v>0.886904976211907</v>
      </c>
      <c r="L58" s="57">
        <f>IF(N(Q58)&gt;0,R58/Q58,"")</f>
        <v>0.980705941027567</v>
      </c>
      <c r="M58" s="57">
        <f>IF(N(D58)&gt;0,R58/(D58*60),"")</f>
        <v>0.759189674523008</v>
      </c>
      <c r="N58" s="57">
        <f>IF(N(C58)&gt;0,R58/(C58*60),"")</f>
        <v>0.701990452469904</v>
      </c>
      <c r="O58" s="59">
        <f>IF($A58="","",SUMIFS(sj_val,sj_date,$A58,sj_in,1))</f>
        <v>1509.2</v>
      </c>
      <c r="P58" s="58" t="str">
        <f>IF(M58="","",IF(M58&gt;=p_target,"Bon",IF(M58&gt;=p_alert,"À surveiller","Faible")))</f>
        <v>Bon</v>
      </c>
      <c r="Q58">
        <f>IF($A58="","",SUMIFS(sj_tn,sj_date,$A58,sj_in,1))</f>
        <v>3135.20909090909</v>
      </c>
      <c r="R58">
        <f>IF($A58="","",SUMIFS(sj_tu,sj_date,$A58,sj_in,1))</f>
        <v>3074.71818181818</v>
      </c>
    </row>
    <row r="59">
      <c r="A59" s="77">
        <f>IF(4&gt;MIN(31,'Synthèse'!$Q$54),"",INDEX(sj_date,MATCH('Synthèse'!$Q$54-MIN(31,'Synthèse'!$Q$54)+4,sj_dayrank,0)))</f>
        <v>46293.0</v>
      </c>
      <c r="B59" s="61" t="str">
        <f>IF(A59="","",CHOOSE(WEEKDAY(A59,2),"lundi","mardi","mercredi","jeudi","vendredi","samedi","dimanche"))</f>
        <v>lundi</v>
      </c>
      <c r="C59" s="68">
        <f>IF($A59="","",SUMIFS(sj_to,sj_date,$A59,sj_in,1)/60)</f>
        <v>81.0</v>
      </c>
      <c r="D59" s="68">
        <f>IF($A59="","",SUMIFS(sj_tr,sj_date,$A59,sj_in,1)/60)</f>
        <v>73.5</v>
      </c>
      <c r="E59" s="68">
        <f>IF($A59="","",SUMIFS(sj_anp,sj_date,$A59,sj_in,1)/60)</f>
        <v>6.65</v>
      </c>
      <c r="F59" s="68">
        <f>IF($A59="","",SUMIFS(sj_tf,sj_date,$A59,sj_in,1)/60)</f>
        <v>66.85</v>
      </c>
      <c r="G59" s="55">
        <f>IF($A59="","",SUMIFS(sj_good,sj_date,$A59,sj_in,1))</f>
        <v>3582.0</v>
      </c>
      <c r="H59" s="55">
        <f>IF($A59="","",SUMIFS(sj_scrap,sj_date,$A59,sj_in,1))</f>
        <v>30.0</v>
      </c>
      <c r="I59" s="55">
        <f>IF($A59="","",SUMIFS(sj_rework,sj_date,$A59,sj_in,1))</f>
        <v>30.0</v>
      </c>
      <c r="J59" s="57">
        <f>IF(N(D59)&gt;0,F59/D59,"")</f>
        <v>0.909523809523809</v>
      </c>
      <c r="K59" s="57">
        <f>IF(N(F59)&gt;0,Q59/(F59*60),"")</f>
        <v>0.864723201671594</v>
      </c>
      <c r="L59" s="57">
        <f>IF(N(Q59)&gt;0,R59/Q59,"")</f>
        <v>0.988172138968786</v>
      </c>
      <c r="M59" s="57">
        <f>IF(N(D59)&gt;0,R59/(D59*60),"")</f>
        <v>0.777183889428787</v>
      </c>
      <c r="N59" s="57">
        <f>IF(N(C59)&gt;0,R59/(C59*60),"")</f>
        <v>0.705222418185381</v>
      </c>
      <c r="O59" s="59">
        <f>IF($A59="","",SUMIFS(sj_val,sj_date,$A59,sj_in,1))</f>
        <v>783.0</v>
      </c>
      <c r="P59" s="58" t="str">
        <f>IF(M59="","",IF(M59&gt;=p_target,"Bon",IF(M59&gt;=p_alert,"À surveiller","Faible")))</f>
        <v>Bon</v>
      </c>
      <c r="Q59">
        <f>IF($A59="","",SUMIFS(sj_tn,sj_date,$A59,sj_in,1))</f>
        <v>3468.40476190476</v>
      </c>
      <c r="R59">
        <f>IF($A59="","",SUMIFS(sj_tu,sj_date,$A59,sj_in,1))</f>
        <v>3427.38095238095</v>
      </c>
    </row>
    <row r="60">
      <c r="A60" s="77">
        <f>IF(5&gt;MIN(31,'Synthèse'!$Q$54),"",INDEX(sj_date,MATCH('Synthèse'!$Q$54-MIN(31,'Synthèse'!$Q$54)+5,sj_dayrank,0)))</f>
        <v>46294.0</v>
      </c>
      <c r="B60" s="61" t="str">
        <f>IF(A60="","",CHOOSE(WEEKDAY(A60,2),"lundi","mardi","mercredi","jeudi","vendredi","samedi","dimanche"))</f>
        <v>mardi</v>
      </c>
      <c r="C60" s="68">
        <f>IF($A60="","",SUMIFS(sj_to,sj_date,$A60,sj_in,1)/60)</f>
        <v>81.0</v>
      </c>
      <c r="D60" s="68">
        <f>IF($A60="","",SUMIFS(sj_tr,sj_date,$A60,sj_in,1)/60)</f>
        <v>75.5</v>
      </c>
      <c r="E60" s="68">
        <f>IF($A60="","",SUMIFS(sj_anp,sj_date,$A60,sj_in,1)/60)</f>
        <v>13.2166666666667</v>
      </c>
      <c r="F60" s="68">
        <f>IF($A60="","",SUMIFS(sj_tf,sj_date,$A60,sj_in,1)/60)</f>
        <v>62.2833333333333</v>
      </c>
      <c r="G60" s="55">
        <f>IF($A60="","",SUMIFS(sj_good,sj_date,$A60,sj_in,1))</f>
        <v>4806.0</v>
      </c>
      <c r="H60" s="55">
        <f>IF($A60="","",SUMIFS(sj_scrap,sj_date,$A60,sj_in,1))</f>
        <v>58.0</v>
      </c>
      <c r="I60" s="55">
        <f>IF($A60="","",SUMIFS(sj_rework,sj_date,$A60,sj_in,1))</f>
        <v>54.0</v>
      </c>
      <c r="J60" s="57">
        <f>IF(N(D60)&gt;0,F60/D60,"")</f>
        <v>0.824944812362031</v>
      </c>
      <c r="K60" s="57">
        <f>IF(N(F60)&gt;0,Q60/(F60*60),"")</f>
        <v>0.870721937058571</v>
      </c>
      <c r="L60" s="57">
        <f>IF(N(Q60)&gt;0,R60/Q60,"")</f>
        <v>0.98539742201171</v>
      </c>
      <c r="M60" s="57">
        <f>IF(N(D60)&gt;0,R60/(D60*60),"")</f>
        <v>0.707808549066827</v>
      </c>
      <c r="N60" s="57">
        <f>IF(N(C60)&gt;0,R60/(C60*60),"")</f>
        <v>0.659747474747475</v>
      </c>
      <c r="O60" s="59">
        <f>IF($A60="","",SUMIFS(sj_val,sj_date,$A60,sj_in,1))</f>
        <v>1582.2</v>
      </c>
      <c r="P60" s="58" t="str">
        <f>IF(M60="","",IF(M60&gt;=p_target,"Bon",IF(M60&gt;=p_alert,"À surveiller","Faible")))</f>
        <v>À surveiller</v>
      </c>
      <c r="Q60">
        <f>IF($A60="","",SUMIFS(sj_tn,sj_date,$A60,sj_in,1))</f>
        <v>3253.88787878788</v>
      </c>
      <c r="R60">
        <f>IF($A60="","",SUMIFS(sj_tu,sj_date,$A60,sj_in,1))</f>
        <v>3206.37272727273</v>
      </c>
    </row>
    <row r="61">
      <c r="A61" s="77">
        <f>IF(6&gt;MIN(31,'Synthèse'!$Q$54),"",INDEX(sj_date,MATCH('Synthèse'!$Q$54-MIN(31,'Synthèse'!$Q$54)+6,sj_dayrank,0)))</f>
        <v>46295.0</v>
      </c>
      <c r="B61" s="61" t="str">
        <f>IF(A61="","",CHOOSE(WEEKDAY(A61,2),"lundi","mardi","mercredi","jeudi","vendredi","samedi","dimanche"))</f>
        <v>mercredi</v>
      </c>
      <c r="C61" s="68">
        <f>IF($A61="","",SUMIFS(sj_to,sj_date,$A61,sj_in,1)/60)</f>
        <v>81.0</v>
      </c>
      <c r="D61" s="68">
        <f>IF($A61="","",SUMIFS(sj_tr,sj_date,$A61,sj_in,1)/60)</f>
        <v>75.5</v>
      </c>
      <c r="E61" s="68">
        <f>IF($A61="","",SUMIFS(sj_anp,sj_date,$A61,sj_in,1)/60)</f>
        <v>15.15</v>
      </c>
      <c r="F61" s="68">
        <f>IF($A61="","",SUMIFS(sj_tf,sj_date,$A61,sj_in,1)/60)</f>
        <v>60.35</v>
      </c>
      <c r="G61" s="55">
        <f>IF($A61="","",SUMIFS(sj_good,sj_date,$A61,sj_in,1))</f>
        <v>5379.0</v>
      </c>
      <c r="H61" s="55">
        <f>IF($A61="","",SUMIFS(sj_scrap,sj_date,$A61,sj_in,1))</f>
        <v>83.0</v>
      </c>
      <c r="I61" s="55">
        <f>IF($A61="","",SUMIFS(sj_rework,sj_date,$A61,sj_in,1))</f>
        <v>42.0</v>
      </c>
      <c r="J61" s="57">
        <f>IF(N(D61)&gt;0,F61/D61,"")</f>
        <v>0.799337748344371</v>
      </c>
      <c r="K61" s="57">
        <f>IF(N(F61)&gt;0,Q61/(F61*60),"")</f>
        <v>0.862910798122066</v>
      </c>
      <c r="L61" s="57">
        <f>IF(N(Q61)&gt;0,R61/Q61,"")</f>
        <v>0.98486206234398</v>
      </c>
      <c r="M61" s="57">
        <f>IF(N(D61)&gt;0,R61/(D61*60),"")</f>
        <v>0.679315673289183</v>
      </c>
      <c r="N61" s="57">
        <f>IF(N(C61)&gt;0,R61/(C61*60),"")</f>
        <v>0.633189300411523</v>
      </c>
      <c r="O61" s="59">
        <f>IF($A61="","",SUMIFS(sj_val,sj_date,$A61,sj_in,1))</f>
        <v>1323.6</v>
      </c>
      <c r="P61" s="58" t="str">
        <f>IF(M61="","",IF(M61&gt;=p_target,"Bon",IF(M61&gt;=p_alert,"À surveiller","Faible")))</f>
        <v>À surveiller</v>
      </c>
      <c r="Q61">
        <f>IF($A61="","",SUMIFS(sj_tn,sj_date,$A61,sj_in,1))</f>
        <v>3124.6</v>
      </c>
      <c r="R61">
        <f>IF($A61="","",SUMIFS(sj_tu,sj_date,$A61,sj_in,1))</f>
        <v>3077.3</v>
      </c>
    </row>
    <row r="62">
      <c r="A62" s="77">
        <f>IF(7&gt;MIN(31,'Synthèse'!$Q$54),"",INDEX(sj_date,MATCH('Synthèse'!$Q$54-MIN(31,'Synthèse'!$Q$54)+7,sj_dayrank,0)))</f>
        <v>46296.0</v>
      </c>
      <c r="B62" s="61" t="str">
        <f>IF(A62="","",CHOOSE(WEEKDAY(A62,2),"lundi","mardi","mercredi","jeudi","vendredi","samedi","dimanche"))</f>
        <v>jeudi</v>
      </c>
      <c r="C62" s="68">
        <f>IF($A62="","",SUMIFS(sj_to,sj_date,$A62,sj_in,1)/60)</f>
        <v>81.0</v>
      </c>
      <c r="D62" s="68">
        <f>IF($A62="","",SUMIFS(sj_tr,sj_date,$A62,sj_in,1)/60)</f>
        <v>75.5</v>
      </c>
      <c r="E62" s="68">
        <f>IF($A62="","",SUMIFS(sj_anp,sj_date,$A62,sj_in,1)/60)</f>
        <v>11.5833333333333</v>
      </c>
      <c r="F62" s="68">
        <f>IF($A62="","",SUMIFS(sj_tf,sj_date,$A62,sj_in,1)/60)</f>
        <v>63.9166666666667</v>
      </c>
      <c r="G62" s="55">
        <f>IF($A62="","",SUMIFS(sj_good,sj_date,$A62,sj_in,1))</f>
        <v>5460.0</v>
      </c>
      <c r="H62" s="55">
        <f>IF($A62="","",SUMIFS(sj_scrap,sj_date,$A62,sj_in,1))</f>
        <v>23.0</v>
      </c>
      <c r="I62" s="55">
        <f>IF($A62="","",SUMIFS(sj_rework,sj_date,$A62,sj_in,1))</f>
        <v>42.0</v>
      </c>
      <c r="J62" s="57">
        <f>IF(N(D62)&gt;0,F62/D62,"")</f>
        <v>0.846578366445916</v>
      </c>
      <c r="K62" s="57">
        <f>IF(N(F62)&gt;0,Q62/(F62*60),"")</f>
        <v>0.855167318557149</v>
      </c>
      <c r="L62" s="57">
        <f>IF(N(Q62)&gt;0,R62/Q62,"")</f>
        <v>0.987660971469808</v>
      </c>
      <c r="M62" s="57">
        <f>IF(N(D62)&gt;0,R62/(D62*60),"")</f>
        <v>0.715033112582782</v>
      </c>
      <c r="N62" s="57">
        <f>IF(N(C62)&gt;0,R62/(C62*60),"")</f>
        <v>0.666481481481482</v>
      </c>
      <c r="O62" s="59">
        <f>IF($A62="","",SUMIFS(sj_val,sj_date,$A62,sj_in,1))</f>
        <v>1368.3</v>
      </c>
      <c r="P62" s="58" t="str">
        <f>IF(M62="","",IF(M62&gt;=p_target,"Bon",IF(M62&gt;=p_alert,"À surveiller","Faible")))</f>
        <v>À surveiller</v>
      </c>
      <c r="Q62">
        <f>IF($A62="","",SUMIFS(sj_tn,sj_date,$A62,sj_in,1))</f>
        <v>3279.56666666667</v>
      </c>
      <c r="R62">
        <f>IF($A62="","",SUMIFS(sj_tu,sj_date,$A62,sj_in,1))</f>
        <v>3239.1</v>
      </c>
    </row>
    <row r="63">
      <c r="A63" s="77">
        <f>IF(8&gt;MIN(31,'Synthèse'!$Q$54),"",INDEX(sj_date,MATCH('Synthèse'!$Q$54-MIN(31,'Synthèse'!$Q$54)+8,sj_dayrank,0)))</f>
        <v>46297.0</v>
      </c>
      <c r="B63" s="61" t="str">
        <f>IF(A63="","",CHOOSE(WEEKDAY(A63,2),"lundi","mardi","mercredi","jeudi","vendredi","samedi","dimanche"))</f>
        <v>vendredi</v>
      </c>
      <c r="C63" s="68">
        <f>IF($A63="","",SUMIFS(sj_to,sj_date,$A63,sj_in,1)/60)</f>
        <v>81.0</v>
      </c>
      <c r="D63" s="68">
        <f>IF($A63="","",SUMIFS(sj_tr,sj_date,$A63,sj_in,1)/60)</f>
        <v>75.5</v>
      </c>
      <c r="E63" s="68">
        <f>IF($A63="","",SUMIFS(sj_anp,sj_date,$A63,sj_in,1)/60)</f>
        <v>9.85</v>
      </c>
      <c r="F63" s="68">
        <f>IF($A63="","",SUMIFS(sj_tf,sj_date,$A63,sj_in,1)/60)</f>
        <v>65.65</v>
      </c>
      <c r="G63" s="55">
        <f>IF($A63="","",SUMIFS(sj_good,sj_date,$A63,sj_in,1))</f>
        <v>5768.0</v>
      </c>
      <c r="H63" s="55">
        <f>IF($A63="","",SUMIFS(sj_scrap,sj_date,$A63,sj_in,1))</f>
        <v>45.0</v>
      </c>
      <c r="I63" s="55">
        <f>IF($A63="","",SUMIFS(sj_rework,sj_date,$A63,sj_in,1))</f>
        <v>17.0</v>
      </c>
      <c r="J63" s="57">
        <f>IF(N(D63)&gt;0,F63/D63,"")</f>
        <v>0.86953642384106</v>
      </c>
      <c r="K63" s="57">
        <f>IF(N(F63)&gt;0,Q63/(F63*60),"")</f>
        <v>0.868783032149369</v>
      </c>
      <c r="L63" s="57">
        <f>IF(N(Q63)&gt;0,R63/Q63,"")</f>
        <v>0.984375345898584</v>
      </c>
      <c r="M63" s="57">
        <f>IF(N(D63)&gt;0,R63/(D63*60),"")</f>
        <v>0.743635025754231</v>
      </c>
      <c r="N63" s="57">
        <f>IF(N(C63)&gt;0,R63/(C63*60),"")</f>
        <v>0.693141289437586</v>
      </c>
      <c r="O63" s="59">
        <f>IF($A63="","",SUMIFS(sj_val,sj_date,$A63,sj_in,1))</f>
        <v>2093.1</v>
      </c>
      <c r="P63" s="58" t="str">
        <f>IF(M63="","",IF(M63&gt;=p_target,"Bon",IF(M63&gt;=p_alert,"À surveiller","Faible")))</f>
        <v>À surveiller</v>
      </c>
      <c r="Q63">
        <f>IF($A63="","",SUMIFS(sj_tn,sj_date,$A63,sj_in,1))</f>
        <v>3422.13636363636</v>
      </c>
      <c r="R63">
        <f>IF($A63="","",SUMIFS(sj_tu,sj_date,$A63,sj_in,1))</f>
        <v>3368.66666666667</v>
      </c>
    </row>
    <row r="64">
      <c r="A64" s="77">
        <f>IF(9&gt;MIN(31,'Synthèse'!$Q$54),"",INDEX(sj_date,MATCH('Synthèse'!$Q$54-MIN(31,'Synthèse'!$Q$54)+9,sj_dayrank,0)))</f>
        <v>46300.0</v>
      </c>
      <c r="B64" s="61" t="str">
        <f>IF(A64="","",CHOOSE(WEEKDAY(A64,2),"lundi","mardi","mercredi","jeudi","vendredi","samedi","dimanche"))</f>
        <v>lundi</v>
      </c>
      <c r="C64" s="68">
        <f>IF($A64="","",SUMIFS(sj_to,sj_date,$A64,sj_in,1)/60)</f>
        <v>81.0</v>
      </c>
      <c r="D64" s="68">
        <f>IF($A64="","",SUMIFS(sj_tr,sj_date,$A64,sj_in,1)/60)</f>
        <v>73.5</v>
      </c>
      <c r="E64" s="68">
        <f>IF($A64="","",SUMIFS(sj_anp,sj_date,$A64,sj_in,1)/60)</f>
        <v>9.85</v>
      </c>
      <c r="F64" s="68">
        <f>IF($A64="","",SUMIFS(sj_tf,sj_date,$A64,sj_in,1)/60)</f>
        <v>63.65</v>
      </c>
      <c r="G64" s="55">
        <f>IF($A64="","",SUMIFS(sj_good,sj_date,$A64,sj_in,1))</f>
        <v>5354.0</v>
      </c>
      <c r="H64" s="55">
        <f>IF($A64="","",SUMIFS(sj_scrap,sj_date,$A64,sj_in,1))</f>
        <v>84.0</v>
      </c>
      <c r="I64" s="55">
        <f>IF($A64="","",SUMIFS(sj_rework,sj_date,$A64,sj_in,1))</f>
        <v>22.0</v>
      </c>
      <c r="J64" s="57">
        <f>IF(N(D64)&gt;0,F64/D64,"")</f>
        <v>0.865986394557823</v>
      </c>
      <c r="K64" s="57">
        <f>IF(N(F64)&gt;0,Q64/(F64*60),"")</f>
        <v>0.873777841256239</v>
      </c>
      <c r="L64" s="57">
        <f>IF(N(Q64)&gt;0,R64/Q64,"")</f>
        <v>0.97653914471175</v>
      </c>
      <c r="M64" s="57">
        <f>IF(N(D64)&gt;0,R64/(D64*60),"")</f>
        <v>0.738927368927369</v>
      </c>
      <c r="N64" s="57">
        <f>IF(N(C64)&gt;0,R64/(C64*60),"")</f>
        <v>0.670508168100761</v>
      </c>
      <c r="O64" s="59">
        <f>IF($A64="","",SUMIFS(sj_val,sj_date,$A64,sj_in,1))</f>
        <v>3085.7</v>
      </c>
      <c r="P64" s="58" t="str">
        <f>IF(M64="","",IF(M64&gt;=p_target,"Bon",IF(M64&gt;=p_alert,"À surveiller","Faible")))</f>
        <v>À surveiller</v>
      </c>
      <c r="Q64">
        <f>IF($A64="","",SUMIFS(sj_tn,sj_date,$A64,sj_in,1))</f>
        <v>3336.95757575758</v>
      </c>
      <c r="R64">
        <f>IF($A64="","",SUMIFS(sj_tu,sj_date,$A64,sj_in,1))</f>
        <v>3258.6696969697</v>
      </c>
    </row>
    <row r="65">
      <c r="A65" s="77">
        <f>IF(10&gt;MIN(31,'Synthèse'!$Q$54),"",INDEX(sj_date,MATCH('Synthèse'!$Q$54-MIN(31,'Synthèse'!$Q$54)+10,sj_dayrank,0)))</f>
        <v>46301.0</v>
      </c>
      <c r="B65" s="61" t="str">
        <f>IF(A65="","",CHOOSE(WEEKDAY(A65,2),"lundi","mardi","mercredi","jeudi","vendredi","samedi","dimanche"))</f>
        <v>mardi</v>
      </c>
      <c r="C65" s="68">
        <f>IF($A65="","",SUMIFS(sj_to,sj_date,$A65,sj_in,1)/60)</f>
        <v>77.0</v>
      </c>
      <c r="D65" s="68">
        <f>IF($A65="","",SUMIFS(sj_tr,sj_date,$A65,sj_in,1)/60)</f>
        <v>71.5</v>
      </c>
      <c r="E65" s="68">
        <f>IF($A65="","",SUMIFS(sj_anp,sj_date,$A65,sj_in,1)/60)</f>
        <v>11.65</v>
      </c>
      <c r="F65" s="68">
        <f>IF($A65="","",SUMIFS(sj_tf,sj_date,$A65,sj_in,1)/60)</f>
        <v>59.85</v>
      </c>
      <c r="G65" s="55">
        <f>IF($A65="","",SUMIFS(sj_good,sj_date,$A65,sj_in,1))</f>
        <v>4966.0</v>
      </c>
      <c r="H65" s="55">
        <f>IF($A65="","",SUMIFS(sj_scrap,sj_date,$A65,sj_in,1))</f>
        <v>90.0</v>
      </c>
      <c r="I65" s="55">
        <f>IF($A65="","",SUMIFS(sj_rework,sj_date,$A65,sj_in,1))</f>
        <v>38.0</v>
      </c>
      <c r="J65" s="57">
        <f>IF(N(D65)&gt;0,F65/D65,"")</f>
        <v>0.837062937062937</v>
      </c>
      <c r="K65" s="57">
        <f>IF(N(F65)&gt;0,Q65/(F65*60),"")</f>
        <v>0.850338809987933</v>
      </c>
      <c r="L65" s="57">
        <f>IF(N(Q65)&gt;0,R65/Q65,"")</f>
        <v>0.979472588934748</v>
      </c>
      <c r="M65" s="57">
        <f>IF(N(D65)&gt;0,R65/(D65*60),"")</f>
        <v>0.697175955357774</v>
      </c>
      <c r="N65" s="57">
        <f>IF(N(C65)&gt;0,R65/(C65*60),"")</f>
        <v>0.647377672832218</v>
      </c>
      <c r="O65" s="59">
        <f>IF($A65="","",SUMIFS(sj_val,sj_date,$A65,sj_in,1))</f>
        <v>1672.7</v>
      </c>
      <c r="P65" s="58" t="str">
        <f>IF(M65="","",IF(M65&gt;=p_target,"Bon",IF(M65&gt;=p_alert,"À surveiller","Faible")))</f>
        <v>À surveiller</v>
      </c>
      <c r="Q65">
        <f>IF($A65="","",SUMIFS(sj_tn,sj_date,$A65,sj_in,1))</f>
        <v>3053.56666666667</v>
      </c>
      <c r="R65">
        <f>IF($A65="","",SUMIFS(sj_tu,sj_date,$A65,sj_in,1))</f>
        <v>2990.88484848485</v>
      </c>
    </row>
    <row r="66">
      <c r="A66" s="77">
        <f>IF(11&gt;MIN(31,'Synthèse'!$Q$54),"",INDEX(sj_date,MATCH('Synthèse'!$Q$54-MIN(31,'Synthèse'!$Q$54)+11,sj_dayrank,0)))</f>
        <v>46302.0</v>
      </c>
      <c r="B66" s="61" t="str">
        <f>IF(A66="","",CHOOSE(WEEKDAY(A66,2),"lundi","mardi","mercredi","jeudi","vendredi","samedi","dimanche"))</f>
        <v>mercredi</v>
      </c>
      <c r="C66" s="68">
        <f>IF($A66="","",SUMIFS(sj_to,sj_date,$A66,sj_in,1)/60)</f>
        <v>81.0</v>
      </c>
      <c r="D66" s="68">
        <f>IF($A66="","",SUMIFS(sj_tr,sj_date,$A66,sj_in,1)/60)</f>
        <v>75.5</v>
      </c>
      <c r="E66" s="68">
        <f>IF($A66="","",SUMIFS(sj_anp,sj_date,$A66,sj_in,1)/60)</f>
        <v>13.0</v>
      </c>
      <c r="F66" s="68">
        <f>IF($A66="","",SUMIFS(sj_tf,sj_date,$A66,sj_in,1)/60)</f>
        <v>62.5</v>
      </c>
      <c r="G66" s="55">
        <f>IF($A66="","",SUMIFS(sj_good,sj_date,$A66,sj_in,1))</f>
        <v>5679.0</v>
      </c>
      <c r="H66" s="55">
        <f>IF($A66="","",SUMIFS(sj_scrap,sj_date,$A66,sj_in,1))</f>
        <v>85.0</v>
      </c>
      <c r="I66" s="55">
        <f>IF($A66="","",SUMIFS(sj_rework,sj_date,$A66,sj_in,1))</f>
        <v>23.0</v>
      </c>
      <c r="J66" s="57">
        <f>IF(N(D66)&gt;0,F66/D66,"")</f>
        <v>0.827814569536424</v>
      </c>
      <c r="K66" s="57">
        <f>IF(N(F66)&gt;0,Q66/(F66*60),"")</f>
        <v>0.875452121212121</v>
      </c>
      <c r="L66" s="57">
        <f>IF(N(Q66)&gt;0,R66/Q66,"")</f>
        <v>0.986002038081102</v>
      </c>
      <c r="M66" s="57">
        <f>IF(N(D66)&gt;0,R66/(D66*60),"")</f>
        <v>0.714567529600642</v>
      </c>
      <c r="N66" s="57">
        <f>IF(N(C66)&gt;0,R66/(C66*60),"")</f>
        <v>0.666047512158623</v>
      </c>
      <c r="O66" s="59">
        <f>IF($A66="","",SUMIFS(sj_val,sj_date,$A66,sj_in,1))</f>
        <v>606.0</v>
      </c>
      <c r="P66" s="58" t="str">
        <f>IF(M66="","",IF(M66&gt;=p_target,"Bon",IF(M66&gt;=p_alert,"À surveiller","Faible")))</f>
        <v>À surveiller</v>
      </c>
      <c r="Q66">
        <f>IF($A66="","",SUMIFS(sj_tn,sj_date,$A66,sj_in,1))</f>
        <v>3282.94545454545</v>
      </c>
      <c r="R66">
        <f>IF($A66="","",SUMIFS(sj_tu,sj_date,$A66,sj_in,1))</f>
        <v>3236.99090909091</v>
      </c>
    </row>
    <row r="67">
      <c r="A67" s="77">
        <f>IF(12&gt;MIN(31,'Synthèse'!$Q$54),"",INDEX(sj_date,MATCH('Synthèse'!$Q$54-MIN(31,'Synthèse'!$Q$54)+12,sj_dayrank,0)))</f>
        <v>46303.0</v>
      </c>
      <c r="B67" s="61" t="str">
        <f>IF(A67="","",CHOOSE(WEEKDAY(A67,2),"lundi","mardi","mercredi","jeudi","vendredi","samedi","dimanche"))</f>
        <v>jeudi</v>
      </c>
      <c r="C67" s="68">
        <f>IF($A67="","",SUMIFS(sj_to,sj_date,$A67,sj_in,1)/60)</f>
        <v>81.0</v>
      </c>
      <c r="D67" s="68">
        <f>IF($A67="","",SUMIFS(sj_tr,sj_date,$A67,sj_in,1)/60)</f>
        <v>75.5</v>
      </c>
      <c r="E67" s="68">
        <f>IF($A67="","",SUMIFS(sj_anp,sj_date,$A67,sj_in,1)/60)</f>
        <v>8.11666666666667</v>
      </c>
      <c r="F67" s="68">
        <f>IF($A67="","",SUMIFS(sj_tf,sj_date,$A67,sj_in,1)/60)</f>
        <v>67.3833333333333</v>
      </c>
      <c r="G67" s="55">
        <f>IF($A67="","",SUMIFS(sj_good,sj_date,$A67,sj_in,1))</f>
        <v>4377.0</v>
      </c>
      <c r="H67" s="55">
        <f>IF($A67="","",SUMIFS(sj_scrap,sj_date,$A67,sj_in,1))</f>
        <v>90.0</v>
      </c>
      <c r="I67" s="55">
        <f>IF($A67="","",SUMIFS(sj_rework,sj_date,$A67,sj_in,1))</f>
        <v>37.0</v>
      </c>
      <c r="J67" s="57">
        <f>IF(N(D67)&gt;0,F67/D67,"")</f>
        <v>0.892494481236203</v>
      </c>
      <c r="K67" s="57">
        <f>IF(N(F67)&gt;0,Q67/(F67*60),"")</f>
        <v>0.87624272833276</v>
      </c>
      <c r="L67" s="57">
        <f>IF(N(Q67)&gt;0,R67/Q67,"")</f>
        <v>0.985930259839287</v>
      </c>
      <c r="M67" s="57">
        <f>IF(N(D67)&gt;0,R67/(D67*60),"")</f>
        <v>0.771038674349933</v>
      </c>
      <c r="N67" s="57">
        <f>IF(N(C67)&gt;0,R67/(C67*60),"")</f>
        <v>0.718684196461974</v>
      </c>
      <c r="O67" s="59">
        <f>IF($A67="","",SUMIFS(sj_val,sj_date,$A67,sj_in,1))</f>
        <v>965.0</v>
      </c>
      <c r="P67" s="58" t="str">
        <f>IF(M67="","",IF(M67&gt;=p_target,"Bon",IF(M67&gt;=p_alert,"À surveiller","Faible")))</f>
        <v>Bon</v>
      </c>
      <c r="Q67">
        <f>IF($A67="","",SUMIFS(sj_tn,sj_date,$A67,sj_in,1))</f>
        <v>3542.64935064935</v>
      </c>
      <c r="R67">
        <f>IF($A67="","",SUMIFS(sj_tu,sj_date,$A67,sj_in,1))</f>
        <v>3492.8051948052</v>
      </c>
    </row>
    <row r="68">
      <c r="A68" s="77">
        <f>IF(13&gt;MIN(31,'Synthèse'!$Q$54),"",INDEX(sj_date,MATCH('Synthèse'!$Q$54-MIN(31,'Synthèse'!$Q$54)+13,sj_dayrank,0)))</f>
        <v>46304.0</v>
      </c>
      <c r="B68" s="61" t="str">
        <f>IF(A68="","",CHOOSE(WEEKDAY(A68,2),"lundi","mardi","mercredi","jeudi","vendredi","samedi","dimanche"))</f>
        <v>vendredi</v>
      </c>
      <c r="C68" s="68">
        <f>IF($A68="","",SUMIFS(sj_to,sj_date,$A68,sj_in,1)/60)</f>
        <v>81.0</v>
      </c>
      <c r="D68" s="68">
        <f>IF($A68="","",SUMIFS(sj_tr,sj_date,$A68,sj_in,1)/60)</f>
        <v>75.5</v>
      </c>
      <c r="E68" s="68">
        <f>IF($A68="","",SUMIFS(sj_anp,sj_date,$A68,sj_in,1)/60)</f>
        <v>11.4666666666667</v>
      </c>
      <c r="F68" s="68">
        <f>IF($A68="","",SUMIFS(sj_tf,sj_date,$A68,sj_in,1)/60)</f>
        <v>64.0333333333333</v>
      </c>
      <c r="G68" s="55">
        <f>IF($A68="","",SUMIFS(sj_good,sj_date,$A68,sj_in,1))</f>
        <v>4887.0</v>
      </c>
      <c r="H68" s="55">
        <f>IF($A68="","",SUMIFS(sj_scrap,sj_date,$A68,sj_in,1))</f>
        <v>81.0</v>
      </c>
      <c r="I68" s="55">
        <f>IF($A68="","",SUMIFS(sj_rework,sj_date,$A68,sj_in,1))</f>
        <v>38.0</v>
      </c>
      <c r="J68" s="57">
        <f>IF(N(D68)&gt;0,F68/D68,"")</f>
        <v>0.848123620309051</v>
      </c>
      <c r="K68" s="57">
        <f>IF(N(F68)&gt;0,Q68/(F68*60),"")</f>
        <v>0.873863044815674</v>
      </c>
      <c r="L68" s="57">
        <f>IF(N(Q68)&gt;0,R68/Q68,"")</f>
        <v>0.976315418941166</v>
      </c>
      <c r="M68" s="57">
        <f>IF(N(D68)&gt;0,R68/(D68*60),"")</f>
        <v>0.72359020670279</v>
      </c>
      <c r="N68" s="57">
        <f>IF(N(C68)&gt;0,R68/(C68*60),"")</f>
        <v>0.674457538346427</v>
      </c>
      <c r="O68" s="59">
        <f>IF($A68="","",SUMIFS(sj_val,sj_date,$A68,sj_in,1))</f>
        <v>2152.7</v>
      </c>
      <c r="P68" s="58" t="str">
        <f>IF(M68="","",IF(M68&gt;=p_target,"Bon",IF(M68&gt;=p_alert,"À surveiller","Faible")))</f>
        <v>À surveiller</v>
      </c>
      <c r="Q68">
        <f>IF($A68="","",SUMIFS(sj_tn,sj_date,$A68,sj_in,1))</f>
        <v>3357.38181818182</v>
      </c>
      <c r="R68">
        <f>IF($A68="","",SUMIFS(sj_tu,sj_date,$A68,sj_in,1))</f>
        <v>3277.86363636364</v>
      </c>
    </row>
    <row r="69">
      <c r="A69" s="77">
        <f>IF(14&gt;MIN(31,'Synthèse'!$Q$54),"",INDEX(sj_date,MATCH('Synthèse'!$Q$54-MIN(31,'Synthèse'!$Q$54)+14,sj_dayrank,0)))</f>
        <v>46307.0</v>
      </c>
      <c r="B69" s="61" t="str">
        <f>IF(A69="","",CHOOSE(WEEKDAY(A69,2),"lundi","mardi","mercredi","jeudi","vendredi","samedi","dimanche"))</f>
        <v>lundi</v>
      </c>
      <c r="C69" s="68">
        <f>IF($A69="","",SUMIFS(sj_to,sj_date,$A69,sj_in,1)/60)</f>
        <v>81.0</v>
      </c>
      <c r="D69" s="68">
        <f>IF($A69="","",SUMIFS(sj_tr,sj_date,$A69,sj_in,1)/60)</f>
        <v>73.5</v>
      </c>
      <c r="E69" s="68">
        <f>IF($A69="","",SUMIFS(sj_anp,sj_date,$A69,sj_in,1)/60)</f>
        <v>8.21666666666667</v>
      </c>
      <c r="F69" s="68">
        <f>IF($A69="","",SUMIFS(sj_tf,sj_date,$A69,sj_in,1)/60)</f>
        <v>65.2833333333333</v>
      </c>
      <c r="G69" s="55">
        <f>IF($A69="","",SUMIFS(sj_good,sj_date,$A69,sj_in,1))</f>
        <v>4817.0</v>
      </c>
      <c r="H69" s="55">
        <f>IF($A69="","",SUMIFS(sj_scrap,sj_date,$A69,sj_in,1))</f>
        <v>45.0</v>
      </c>
      <c r="I69" s="55">
        <f>IF($A69="","",SUMIFS(sj_rework,sj_date,$A69,sj_in,1))</f>
        <v>57.0</v>
      </c>
      <c r="J69" s="57">
        <f>IF(N(D69)&gt;0,F69/D69,"")</f>
        <v>0.888208616780045</v>
      </c>
      <c r="K69" s="57">
        <f>IF(N(F69)&gt;0,Q69/(F69*60),"")</f>
        <v>0.861860112485591</v>
      </c>
      <c r="L69" s="57">
        <f>IF(N(Q69)&gt;0,R69/Q69,"")</f>
        <v>0.985451268301484</v>
      </c>
      <c r="M69" s="57">
        <f>IF(N(D69)&gt;0,R69/(D69*60),"")</f>
        <v>0.754374355802927</v>
      </c>
      <c r="N69" s="57">
        <f>IF(N(C69)&gt;0,R69/(C69*60),"")</f>
        <v>0.684524878413767</v>
      </c>
      <c r="O69" s="59">
        <f>IF($A69="","",SUMIFS(sj_val,sj_date,$A69,sj_in,1))</f>
        <v>1093.3</v>
      </c>
      <c r="P69" s="58" t="str">
        <f>IF(M69="","",IF(M69&gt;=p_target,"Bon",IF(M69&gt;=p_alert,"À surveiller","Faible")))</f>
        <v>Bon</v>
      </c>
      <c r="Q69">
        <f>IF($A69="","",SUMIFS(sj_tn,sj_date,$A69,sj_in,1))</f>
        <v>3375.90606060606</v>
      </c>
      <c r="R69">
        <f>IF($A69="","",SUMIFS(sj_tu,sj_date,$A69,sj_in,1))</f>
        <v>3326.79090909091</v>
      </c>
    </row>
    <row r="70">
      <c r="A70" s="77">
        <f>IF(15&gt;MIN(31,'Synthèse'!$Q$54),"",INDEX(sj_date,MATCH('Synthèse'!$Q$54-MIN(31,'Synthèse'!$Q$54)+15,sj_dayrank,0)))</f>
        <v>46308.0</v>
      </c>
      <c r="B70" s="61" t="str">
        <f>IF(A70="","",CHOOSE(WEEKDAY(A70,2),"lundi","mardi","mercredi","jeudi","vendredi","samedi","dimanche"))</f>
        <v>mardi</v>
      </c>
      <c r="C70" s="68">
        <f>IF($A70="","",SUMIFS(sj_to,sj_date,$A70,sj_in,1)/60)</f>
        <v>81.0</v>
      </c>
      <c r="D70" s="68">
        <f>IF($A70="","",SUMIFS(sj_tr,sj_date,$A70,sj_in,1)/60)</f>
        <v>75.5</v>
      </c>
      <c r="E70" s="68">
        <f>IF($A70="","",SUMIFS(sj_anp,sj_date,$A70,sj_in,1)/60)</f>
        <v>11.05</v>
      </c>
      <c r="F70" s="68">
        <f>IF($A70="","",SUMIFS(sj_tf,sj_date,$A70,sj_in,1)/60)</f>
        <v>64.45</v>
      </c>
      <c r="G70" s="55">
        <f>IF($A70="","",SUMIFS(sj_good,sj_date,$A70,sj_in,1))</f>
        <v>4110.0</v>
      </c>
      <c r="H70" s="55">
        <f>IF($A70="","",SUMIFS(sj_scrap,sj_date,$A70,sj_in,1))</f>
        <v>122.0</v>
      </c>
      <c r="I70" s="55">
        <f>IF($A70="","",SUMIFS(sj_rework,sj_date,$A70,sj_in,1))</f>
        <v>32.0</v>
      </c>
      <c r="J70" s="57">
        <f>IF(N(D70)&gt;0,F70/D70,"")</f>
        <v>0.85364238410596</v>
      </c>
      <c r="K70" s="57">
        <f>IF(N(F70)&gt;0,Q70/(F70*60),"")</f>
        <v>0.867896520340275</v>
      </c>
      <c r="L70" s="57">
        <f>IF(N(Q70)&gt;0,R70/Q70,"")</f>
        <v>0.974734028831172</v>
      </c>
      <c r="M70" s="57">
        <f>IF(N(D70)&gt;0,R70/(D70*60),"")</f>
        <v>0.722154372485498</v>
      </c>
      <c r="N70" s="57">
        <f>IF(N(C70)&gt;0,R70/(C70*60),"")</f>
        <v>0.673119199045125</v>
      </c>
      <c r="O70" s="59">
        <f>IF($A70="","",SUMIFS(sj_val,sj_date,$A70,sj_in,1))</f>
        <v>2864.9</v>
      </c>
      <c r="P70" s="58" t="str">
        <f>IF(M70="","",IF(M70&gt;=p_target,"Bon",IF(M70&gt;=p_alert,"À surveiller","Faible")))</f>
        <v>À surveiller</v>
      </c>
      <c r="Q70">
        <f>IF($A70="","",SUMIFS(sj_tn,sj_date,$A70,sj_in,1))</f>
        <v>3356.15584415584</v>
      </c>
      <c r="R70">
        <f>IF($A70="","",SUMIFS(sj_tu,sj_date,$A70,sj_in,1))</f>
        <v>3271.35930735931</v>
      </c>
    </row>
    <row r="71">
      <c r="A71" s="77">
        <f>IF(16&gt;MIN(31,'Synthèse'!$Q$54),"",INDEX(sj_date,MATCH('Synthèse'!$Q$54-MIN(31,'Synthèse'!$Q$54)+16,sj_dayrank,0)))</f>
        <v>46309.0</v>
      </c>
      <c r="B71" s="61" t="str">
        <f>IF(A71="","",CHOOSE(WEEKDAY(A71,2),"lundi","mardi","mercredi","jeudi","vendredi","samedi","dimanche"))</f>
        <v>mercredi</v>
      </c>
      <c r="C71" s="68">
        <f>IF($A71="","",SUMIFS(sj_to,sj_date,$A71,sj_in,1)/60)</f>
        <v>81.0</v>
      </c>
      <c r="D71" s="68">
        <f>IF($A71="","",SUMIFS(sj_tr,sj_date,$A71,sj_in,1)/60)</f>
        <v>75.5</v>
      </c>
      <c r="E71" s="68">
        <f>IF($A71="","",SUMIFS(sj_anp,sj_date,$A71,sj_in,1)/60)</f>
        <v>18.3166666666667</v>
      </c>
      <c r="F71" s="68">
        <f>IF($A71="","",SUMIFS(sj_tf,sj_date,$A71,sj_in,1)/60)</f>
        <v>57.1833333333333</v>
      </c>
      <c r="G71" s="55">
        <f>IF($A71="","",SUMIFS(sj_good,sj_date,$A71,sj_in,1))</f>
        <v>5203.0</v>
      </c>
      <c r="H71" s="55">
        <f>IF($A71="","",SUMIFS(sj_scrap,sj_date,$A71,sj_in,1))</f>
        <v>112.0</v>
      </c>
      <c r="I71" s="55">
        <f>IF($A71="","",SUMIFS(sj_rework,sj_date,$A71,sj_in,1))</f>
        <v>23.0</v>
      </c>
      <c r="J71" s="57">
        <f>IF(N(D71)&gt;0,F71/D71,"")</f>
        <v>0.757395143487859</v>
      </c>
      <c r="K71" s="57">
        <f>IF(N(F71)&gt;0,Q71/(F71*60),"")</f>
        <v>0.882903650318398</v>
      </c>
      <c r="L71" s="57">
        <f>IF(N(Q71)&gt;0,R71/Q71,"")</f>
        <v>0.983766318211374</v>
      </c>
      <c r="M71" s="57">
        <f>IF(N(D71)&gt;0,R71/(D71*60),"")</f>
        <v>0.65785136129507</v>
      </c>
      <c r="N71" s="57">
        <f>IF(N(C71)&gt;0,R71/(C71*60),"")</f>
        <v>0.61318244170096</v>
      </c>
      <c r="O71" s="59">
        <f>IF($A71="","",SUMIFS(sj_val,sj_date,$A71,sj_in,1))</f>
        <v>1150.9</v>
      </c>
      <c r="P71" s="58" t="str">
        <f>IF(M71="","",IF(M71&gt;=p_target,"Bon",IF(M71&gt;=p_alert,"À surveiller","Faible")))</f>
        <v>À surveiller</v>
      </c>
      <c r="Q71">
        <f>IF($A71="","",SUMIFS(sj_tn,sj_date,$A71,sj_in,1))</f>
        <v>3029.24242424242</v>
      </c>
      <c r="R71">
        <f>IF($A71="","",SUMIFS(sj_tu,sj_date,$A71,sj_in,1))</f>
        <v>2980.06666666667</v>
      </c>
    </row>
    <row r="72">
      <c r="A72" s="77">
        <f>IF(17&gt;MIN(31,'Synthèse'!$Q$54),"",INDEX(sj_date,MATCH('Synthèse'!$Q$54-MIN(31,'Synthèse'!$Q$54)+17,sj_dayrank,0)))</f>
        <v>46310.0</v>
      </c>
      <c r="B72" s="61" t="str">
        <f>IF(A72="","",CHOOSE(WEEKDAY(A72,2),"lundi","mardi","mercredi","jeudi","vendredi","samedi","dimanche"))</f>
        <v>jeudi</v>
      </c>
      <c r="C72" s="68">
        <f>IF($A72="","",SUMIFS(sj_to,sj_date,$A72,sj_in,1)/60)</f>
        <v>81.0</v>
      </c>
      <c r="D72" s="68">
        <f>IF($A72="","",SUMIFS(sj_tr,sj_date,$A72,sj_in,1)/60)</f>
        <v>75.5</v>
      </c>
      <c r="E72" s="68">
        <f>IF($A72="","",SUMIFS(sj_anp,sj_date,$A72,sj_in,1)/60)</f>
        <v>12.8333333333333</v>
      </c>
      <c r="F72" s="68">
        <f>IF($A72="","",SUMIFS(sj_tf,sj_date,$A72,sj_in,1)/60)</f>
        <v>62.6666666666667</v>
      </c>
      <c r="G72" s="55">
        <f>IF($A72="","",SUMIFS(sj_good,sj_date,$A72,sj_in,1))</f>
        <v>4168.0</v>
      </c>
      <c r="H72" s="55">
        <f>IF($A72="","",SUMIFS(sj_scrap,sj_date,$A72,sj_in,1))</f>
        <v>88.0</v>
      </c>
      <c r="I72" s="55">
        <f>IF($A72="","",SUMIFS(sj_rework,sj_date,$A72,sj_in,1))</f>
        <v>27.0</v>
      </c>
      <c r="J72" s="57">
        <f>IF(N(D72)&gt;0,F72/D72,"")</f>
        <v>0.830022075055188</v>
      </c>
      <c r="K72" s="57">
        <f>IF(N(F72)&gt;0,Q72/(F72*60),"")</f>
        <v>0.874820392373584</v>
      </c>
      <c r="L72" s="57">
        <f>IF(N(Q72)&gt;0,R72/Q72,"")</f>
        <v>0.980687229052662</v>
      </c>
      <c r="M72" s="57">
        <f>IF(N(D72)&gt;0,R72/(D72*60),"")</f>
        <v>0.712096843553797</v>
      </c>
      <c r="N72" s="57">
        <f>IF(N(C72)&gt;0,R72/(C72*60),"")</f>
        <v>0.663744588744589</v>
      </c>
      <c r="O72" s="59">
        <f>IF($A72="","",SUMIFS(sj_val,sj_date,$A72,sj_in,1))</f>
        <v>1434.9</v>
      </c>
      <c r="P72" s="58" t="str">
        <f>IF(M72="","",IF(M72&gt;=p_target,"Bon",IF(M72&gt;=p_alert,"À surveiller","Faible")))</f>
        <v>À surveiller</v>
      </c>
      <c r="Q72">
        <f>IF($A72="","",SUMIFS(sj_tn,sj_date,$A72,sj_in,1))</f>
        <v>3289.32467532468</v>
      </c>
      <c r="R72">
        <f>IF($A72="","",SUMIFS(sj_tu,sj_date,$A72,sj_in,1))</f>
        <v>3225.7987012987</v>
      </c>
    </row>
    <row r="73">
      <c r="A73" s="77">
        <f>IF(18&gt;MIN(31,'Synthèse'!$Q$54),"",INDEX(sj_date,MATCH('Synthèse'!$Q$54-MIN(31,'Synthèse'!$Q$54)+18,sj_dayrank,0)))</f>
        <v>46311.0</v>
      </c>
      <c r="B73" s="61" t="str">
        <f>IF(A73="","",CHOOSE(WEEKDAY(A73,2),"lundi","mardi","mercredi","jeudi","vendredi","samedi","dimanche"))</f>
        <v>vendredi</v>
      </c>
      <c r="C73" s="68">
        <f>IF($A73="","",SUMIFS(sj_to,sj_date,$A73,sj_in,1)/60)</f>
        <v>81.0</v>
      </c>
      <c r="D73" s="68">
        <f>IF($A73="","",SUMIFS(sj_tr,sj_date,$A73,sj_in,1)/60)</f>
        <v>75.5</v>
      </c>
      <c r="E73" s="68">
        <f>IF($A73="","",SUMIFS(sj_anp,sj_date,$A73,sj_in,1)/60)</f>
        <v>9.23333333333333</v>
      </c>
      <c r="F73" s="68">
        <f>IF($A73="","",SUMIFS(sj_tf,sj_date,$A73,sj_in,1)/60)</f>
        <v>66.2666666666667</v>
      </c>
      <c r="G73" s="55">
        <f>IF($A73="","",SUMIFS(sj_good,sj_date,$A73,sj_in,1))</f>
        <v>4830.0</v>
      </c>
      <c r="H73" s="55">
        <f>IF($A73="","",SUMIFS(sj_scrap,sj_date,$A73,sj_in,1))</f>
        <v>47.0</v>
      </c>
      <c r="I73" s="55">
        <f>IF($A73="","",SUMIFS(sj_rework,sj_date,$A73,sj_in,1))</f>
        <v>26.0</v>
      </c>
      <c r="J73" s="57">
        <f>IF(N(D73)&gt;0,F73/D73,"")</f>
        <v>0.877704194260486</v>
      </c>
      <c r="K73" s="57">
        <f>IF(N(F73)&gt;0,Q73/(F73*60),"")</f>
        <v>0.874959170608064</v>
      </c>
      <c r="L73" s="57">
        <f>IF(N(Q73)&gt;0,R73/Q73,"")</f>
        <v>0.98453170468566</v>
      </c>
      <c r="M73" s="57">
        <f>IF(N(D73)&gt;0,R73/(D73*60),"")</f>
        <v>0.756076373957169</v>
      </c>
      <c r="N73" s="57">
        <f>IF(N(C73)&gt;0,R73/(C73*60),"")</f>
        <v>0.704737854737855</v>
      </c>
      <c r="O73" s="59">
        <f>IF($A73="","",SUMIFS(sj_val,sj_date,$A73,sj_in,1))</f>
        <v>1269.8</v>
      </c>
      <c r="P73" s="58" t="str">
        <f>IF(M73="","",IF(M73&gt;=p_target,"Bon",IF(M73&gt;=p_alert,"À surveiller","Faible")))</f>
        <v>Bon</v>
      </c>
      <c r="Q73">
        <f>IF($A73="","",SUMIFS(sj_tn,sj_date,$A73,sj_in,1))</f>
        <v>3478.83766233766</v>
      </c>
      <c r="R73">
        <f>IF($A73="","",SUMIFS(sj_tu,sj_date,$A73,sj_in,1))</f>
        <v>3425.02597402597</v>
      </c>
    </row>
    <row r="74">
      <c r="A74" s="77">
        <f>IF(19&gt;MIN(31,'Synthèse'!$Q$54),"",INDEX(sj_date,MATCH('Synthèse'!$Q$54-MIN(31,'Synthèse'!$Q$54)+19,sj_dayrank,0)))</f>
        <v>46314.0</v>
      </c>
      <c r="B74" s="61" t="str">
        <f>IF(A74="","",CHOOSE(WEEKDAY(A74,2),"lundi","mardi","mercredi","jeudi","vendredi","samedi","dimanche"))</f>
        <v>lundi</v>
      </c>
      <c r="C74" s="68">
        <f>IF($A74="","",SUMIFS(sj_to,sj_date,$A74,sj_in,1)/60)</f>
        <v>81.0</v>
      </c>
      <c r="D74" s="68">
        <f>IF($A74="","",SUMIFS(sj_tr,sj_date,$A74,sj_in,1)/60)</f>
        <v>73.5</v>
      </c>
      <c r="E74" s="68">
        <f>IF($A74="","",SUMIFS(sj_anp,sj_date,$A74,sj_in,1)/60)</f>
        <v>10.6833333333333</v>
      </c>
      <c r="F74" s="68">
        <f>IF($A74="","",SUMIFS(sj_tf,sj_date,$A74,sj_in,1)/60)</f>
        <v>62.8166666666667</v>
      </c>
      <c r="G74" s="55">
        <f>IF($A74="","",SUMIFS(sj_good,sj_date,$A74,sj_in,1))</f>
        <v>4263.0</v>
      </c>
      <c r="H74" s="55">
        <f>IF($A74="","",SUMIFS(sj_scrap,sj_date,$A74,sj_in,1))</f>
        <v>56.0</v>
      </c>
      <c r="I74" s="55">
        <f>IF($A74="","",SUMIFS(sj_rework,sj_date,$A74,sj_in,1))</f>
        <v>32.0</v>
      </c>
      <c r="J74" s="57">
        <f>IF(N(D74)&gt;0,F74/D74,"")</f>
        <v>0.854648526077098</v>
      </c>
      <c r="K74" s="57">
        <f>IF(N(F74)&gt;0,Q74/(F74*60),"")</f>
        <v>0.839320774741311</v>
      </c>
      <c r="L74" s="57">
        <f>IF(N(Q74)&gt;0,R74/Q74,"")</f>
        <v>0.982950833491391</v>
      </c>
      <c r="M74" s="57">
        <f>IF(N(D74)&gt;0,R74/(D74*60),"")</f>
        <v>0.705094482237339</v>
      </c>
      <c r="N74" s="57">
        <f>IF(N(C74)&gt;0,R74/(C74*60),"")</f>
        <v>0.639807956104253</v>
      </c>
      <c r="O74" s="59">
        <f>IF($A74="","",SUMIFS(sj_val,sj_date,$A74,sj_in,1))</f>
        <v>1133.3</v>
      </c>
      <c r="P74" s="58" t="str">
        <f>IF(M74="","",IF(M74&gt;=p_target,"Bon",IF(M74&gt;=p_alert,"À surveiller","Faible")))</f>
        <v>À surveiller</v>
      </c>
      <c r="Q74">
        <f>IF($A74="","",SUMIFS(sj_tn,sj_date,$A74,sj_in,1))</f>
        <v>3163.4</v>
      </c>
      <c r="R74">
        <f>IF($A74="","",SUMIFS(sj_tu,sj_date,$A74,sj_in,1))</f>
        <v>3109.46666666667</v>
      </c>
    </row>
    <row r="75">
      <c r="A75" s="77">
        <f>IF(20&gt;MIN(31,'Synthèse'!$Q$54),"",INDEX(sj_date,MATCH('Synthèse'!$Q$54-MIN(31,'Synthèse'!$Q$54)+20,sj_dayrank,0)))</f>
        <v>46315.0</v>
      </c>
      <c r="B75" s="61" t="str">
        <f>IF(A75="","",CHOOSE(WEEKDAY(A75,2),"lundi","mardi","mercredi","jeudi","vendredi","samedi","dimanche"))</f>
        <v>mardi</v>
      </c>
      <c r="C75" s="68">
        <f>IF($A75="","",SUMIFS(sj_to,sj_date,$A75,sj_in,1)/60)</f>
        <v>81.0</v>
      </c>
      <c r="D75" s="68">
        <f>IF($A75="","",SUMIFS(sj_tr,sj_date,$A75,sj_in,1)/60)</f>
        <v>75.5</v>
      </c>
      <c r="E75" s="68">
        <f>IF($A75="","",SUMIFS(sj_anp,sj_date,$A75,sj_in,1)/60)</f>
        <v>8.71666666666667</v>
      </c>
      <c r="F75" s="68">
        <f>IF($A75="","",SUMIFS(sj_tf,sj_date,$A75,sj_in,1)/60)</f>
        <v>66.7833333333333</v>
      </c>
      <c r="G75" s="55">
        <f>IF($A75="","",SUMIFS(sj_good,sj_date,$A75,sj_in,1))</f>
        <v>5710.0</v>
      </c>
      <c r="H75" s="55">
        <f>IF($A75="","",SUMIFS(sj_scrap,sj_date,$A75,sj_in,1))</f>
        <v>48.0</v>
      </c>
      <c r="I75" s="55">
        <f>IF($A75="","",SUMIFS(sj_rework,sj_date,$A75,sj_in,1))</f>
        <v>26.0</v>
      </c>
      <c r="J75" s="57">
        <f>IF(N(D75)&gt;0,F75/D75,"")</f>
        <v>0.884547461368653</v>
      </c>
      <c r="K75" s="57">
        <f>IF(N(F75)&gt;0,Q75/(F75*60),"")</f>
        <v>0.874806966596335</v>
      </c>
      <c r="L75" s="57">
        <f>IF(N(Q75)&gt;0,R75/Q75,"")</f>
        <v>0.98736736729814</v>
      </c>
      <c r="M75" s="57">
        <f>IF(N(D75)&gt;0,R75/(D75*60),"")</f>
        <v>0.764033045688675</v>
      </c>
      <c r="N75" s="57">
        <f>IF(N(C75)&gt;0,R75/(C75*60),"")</f>
        <v>0.71215425863574</v>
      </c>
      <c r="O75" s="59">
        <f>IF($A75="","",SUMIFS(sj_val,sj_date,$A75,sj_in,1))</f>
        <v>811.2</v>
      </c>
      <c r="P75" s="58" t="str">
        <f>IF(M75="","",IF(M75&gt;=p_target,"Bon",IF(M75&gt;=p_alert,"À surveiller","Faible")))</f>
        <v>Bon</v>
      </c>
      <c r="Q75">
        <f>IF($A75="","",SUMIFS(sj_tn,sj_date,$A75,sj_in,1))</f>
        <v>3505.35151515152</v>
      </c>
      <c r="R75">
        <f>IF($A75="","",SUMIFS(sj_tu,sj_date,$A75,sj_in,1))</f>
        <v>3461.0696969697</v>
      </c>
    </row>
    <row r="76">
      <c r="A76" s="77">
        <f>IF(21&gt;MIN(31,'Synthèse'!$Q$54),"",INDEX(sj_date,MATCH('Synthèse'!$Q$54-MIN(31,'Synthèse'!$Q$54)+21,sj_dayrank,0)))</f>
        <v>46316.0</v>
      </c>
      <c r="B76" s="61" t="str">
        <f>IF(A76="","",CHOOSE(WEEKDAY(A76,2),"lundi","mardi","mercredi","jeudi","vendredi","samedi","dimanche"))</f>
        <v>mercredi</v>
      </c>
      <c r="C76" s="68">
        <f>IF($A76="","",SUMIFS(sj_to,sj_date,$A76,sj_in,1)/60)</f>
        <v>81.0</v>
      </c>
      <c r="D76" s="68">
        <f>IF($A76="","",SUMIFS(sj_tr,sj_date,$A76,sj_in,1)/60)</f>
        <v>75.5</v>
      </c>
      <c r="E76" s="68">
        <f>IF($A76="","",SUMIFS(sj_anp,sj_date,$A76,sj_in,1)/60)</f>
        <v>10.0166666666667</v>
      </c>
      <c r="F76" s="68">
        <f>IF($A76="","",SUMIFS(sj_tf,sj_date,$A76,sj_in,1)/60)</f>
        <v>65.4833333333333</v>
      </c>
      <c r="G76" s="55">
        <f>IF($A76="","",SUMIFS(sj_good,sj_date,$A76,sj_in,1))</f>
        <v>4247.0</v>
      </c>
      <c r="H76" s="55">
        <f>IF($A76="","",SUMIFS(sj_scrap,sj_date,$A76,sj_in,1))</f>
        <v>59.0</v>
      </c>
      <c r="I76" s="55">
        <f>IF($A76="","",SUMIFS(sj_rework,sj_date,$A76,sj_in,1))</f>
        <v>44.0</v>
      </c>
      <c r="J76" s="57">
        <f>IF(N(D76)&gt;0,F76/D76,"")</f>
        <v>0.867328918322296</v>
      </c>
      <c r="K76" s="57">
        <f>IF(N(F76)&gt;0,Q76/(F76*60),"")</f>
        <v>0.886921426753445</v>
      </c>
      <c r="L76" s="57">
        <f>IF(N(Q76)&gt;0,R76/Q76,"")</f>
        <v>0.980359492104665</v>
      </c>
      <c r="M76" s="57">
        <f>IF(N(D76)&gt;0,R76/(D76*60),"")</f>
        <v>0.754144089905679</v>
      </c>
      <c r="N76" s="57">
        <f>IF(N(C76)&gt;0,R76/(C76*60),"")</f>
        <v>0.702936775158997</v>
      </c>
      <c r="O76" s="59">
        <f>IF($A76="","",SUMIFS(sj_val,sj_date,$A76,sj_in,1))</f>
        <v>1401.8</v>
      </c>
      <c r="P76" s="58" t="str">
        <f>IF(M76="","",IF(M76&gt;=p_target,"Bon",IF(M76&gt;=p_alert,"À surveiller","Faible")))</f>
        <v>Bon</v>
      </c>
      <c r="Q76">
        <f>IF($A76="","",SUMIFS(sj_tn,sj_date,$A76,sj_in,1))</f>
        <v>3484.71428571429</v>
      </c>
      <c r="R76">
        <f>IF($A76="","",SUMIFS(sj_tu,sj_date,$A76,sj_in,1))</f>
        <v>3416.27272727273</v>
      </c>
    </row>
    <row r="77">
      <c r="A77" s="77">
        <f>IF(22&gt;MIN(31,'Synthèse'!$Q$54),"",INDEX(sj_date,MATCH('Synthèse'!$Q$54-MIN(31,'Synthèse'!$Q$54)+22,sj_dayrank,0)))</f>
        <v>46317.0</v>
      </c>
      <c r="B77" s="61" t="str">
        <f>IF(A77="","",CHOOSE(WEEKDAY(A77,2),"lundi","mardi","mercredi","jeudi","vendredi","samedi","dimanche"))</f>
        <v>jeudi</v>
      </c>
      <c r="C77" s="68">
        <f>IF($A77="","",SUMIFS(sj_to,sj_date,$A77,sj_in,1)/60)</f>
        <v>81.0</v>
      </c>
      <c r="D77" s="68">
        <f>IF($A77="","",SUMIFS(sj_tr,sj_date,$A77,sj_in,1)/60)</f>
        <v>75.5</v>
      </c>
      <c r="E77" s="68">
        <f>IF($A77="","",SUMIFS(sj_anp,sj_date,$A77,sj_in,1)/60)</f>
        <v>3.53333333333333</v>
      </c>
      <c r="F77" s="68">
        <f>IF($A77="","",SUMIFS(sj_tf,sj_date,$A77,sj_in,1)/60)</f>
        <v>71.9666666666667</v>
      </c>
      <c r="G77" s="55">
        <f>IF($A77="","",SUMIFS(sj_good,sj_date,$A77,sj_in,1))</f>
        <v>5554.0</v>
      </c>
      <c r="H77" s="55">
        <f>IF($A77="","",SUMIFS(sj_scrap,sj_date,$A77,sj_in,1))</f>
        <v>159.0</v>
      </c>
      <c r="I77" s="55">
        <f>IF($A77="","",SUMIFS(sj_rework,sj_date,$A77,sj_in,1))</f>
        <v>28.0</v>
      </c>
      <c r="J77" s="57">
        <f>IF(N(D77)&gt;0,F77/D77,"")</f>
        <v>0.953200883002208</v>
      </c>
      <c r="K77" s="57">
        <f>IF(N(F77)&gt;0,Q77/(F77*60),"")</f>
        <v>0.868213398458883</v>
      </c>
      <c r="L77" s="57">
        <f>IF(N(Q77)&gt;0,R77/Q77,"")</f>
        <v>0.954920656475518</v>
      </c>
      <c r="M77" s="57">
        <f>IF(N(D77)&gt;0,R77/(D77*60),"")</f>
        <v>0.790274934778246</v>
      </c>
      <c r="N77" s="57">
        <f>IF(N(C77)&gt;0,R77/(C77*60),"")</f>
        <v>0.736614291058736</v>
      </c>
      <c r="O77" s="59">
        <f>IF($A77="","",SUMIFS(sj_val,sj_date,$A77,sj_in,1))</f>
        <v>6866.6</v>
      </c>
      <c r="P77" s="58" t="str">
        <f>IF(M77="","",IF(M77&gt;=p_target,"Bon",IF(M77&gt;=p_alert,"À surveiller","Faible")))</f>
        <v>Bon</v>
      </c>
      <c r="Q77">
        <f>IF($A77="","",SUMIFS(sj_tn,sj_date,$A77,sj_in,1))</f>
        <v>3748.94545454545</v>
      </c>
      <c r="R77">
        <f>IF($A77="","",SUMIFS(sj_tu,sj_date,$A77,sj_in,1))</f>
        <v>3579.94545454545</v>
      </c>
    </row>
    <row r="78">
      <c r="A78" s="77">
        <f>IF(23&gt;MIN(31,'Synthèse'!$Q$54),"",INDEX(sj_date,MATCH('Synthèse'!$Q$54-MIN(31,'Synthèse'!$Q$54)+23,sj_dayrank,0)))</f>
        <v>46318.0</v>
      </c>
      <c r="B78" s="61" t="str">
        <f>IF(A78="","",CHOOSE(WEEKDAY(A78,2),"lundi","mardi","mercredi","jeudi","vendredi","samedi","dimanche"))</f>
        <v>vendredi</v>
      </c>
      <c r="C78" s="68">
        <f>IF($A78="","",SUMIFS(sj_to,sj_date,$A78,sj_in,1)/60)</f>
        <v>76.0</v>
      </c>
      <c r="D78" s="68">
        <f>IF($A78="","",SUMIFS(sj_tr,sj_date,$A78,sj_in,1)/60)</f>
        <v>70.5</v>
      </c>
      <c r="E78" s="68">
        <f>IF($A78="","",SUMIFS(sj_anp,sj_date,$A78,sj_in,1)/60)</f>
        <v>9.23333333333333</v>
      </c>
      <c r="F78" s="68">
        <f>IF($A78="","",SUMIFS(sj_tf,sj_date,$A78,sj_in,1)/60)</f>
        <v>61.2666666666667</v>
      </c>
      <c r="G78" s="55">
        <f>IF($A78="","",SUMIFS(sj_good,sj_date,$A78,sj_in,1))</f>
        <v>4916.0</v>
      </c>
      <c r="H78" s="55">
        <f>IF($A78="","",SUMIFS(sj_scrap,sj_date,$A78,sj_in,1))</f>
        <v>125.0</v>
      </c>
      <c r="I78" s="55">
        <f>IF($A78="","",SUMIFS(sj_rework,sj_date,$A78,sj_in,1))</f>
        <v>50.0</v>
      </c>
      <c r="J78" s="57">
        <f>IF(N(D78)&gt;0,F78/D78,"")</f>
        <v>0.86903073286052</v>
      </c>
      <c r="K78" s="57">
        <f>IF(N(F78)&gt;0,Q78/(F78*60),"")</f>
        <v>0.88033435552478</v>
      </c>
      <c r="L78" s="57">
        <f>IF(N(Q78)&gt;0,R78/Q78,"")</f>
        <v>0.980568696414325</v>
      </c>
      <c r="M78" s="57">
        <f>IF(N(D78)&gt;0,R78/(D78*60),"")</f>
        <v>0.750171932086826</v>
      </c>
      <c r="N78" s="57">
        <f>IF(N(C78)&gt;0,R78/(C78*60),"")</f>
        <v>0.6958831738437</v>
      </c>
      <c r="O78" s="59">
        <f>IF($A78="","",SUMIFS(sj_val,sj_date,$A78,sj_in,1))</f>
        <v>1180.8</v>
      </c>
      <c r="P78" s="58" t="str">
        <f>IF(M78="","",IF(M78&gt;=p_target,"Bon",IF(M78&gt;=p_alert,"À surveiller","Faible")))</f>
        <v>Bon</v>
      </c>
      <c r="Q78">
        <f>IF($A78="","",SUMIFS(sj_tn,sj_date,$A78,sj_in,1))</f>
        <v>3236.10909090909</v>
      </c>
      <c r="R78">
        <f>IF($A78="","",SUMIFS(sj_tu,sj_date,$A78,sj_in,1))</f>
        <v>3173.22727272727</v>
      </c>
    </row>
    <row r="79">
      <c r="A79" s="77">
        <f>IF(24&gt;MIN(31,'Synthèse'!$Q$54),"",INDEX(sj_date,MATCH('Synthèse'!$Q$54-MIN(31,'Synthèse'!$Q$54)+24,sj_dayrank,0)))</f>
        <v>46321.0</v>
      </c>
      <c r="B79" s="61" t="str">
        <f>IF(A79="","",CHOOSE(WEEKDAY(A79,2),"lundi","mardi","mercredi","jeudi","vendredi","samedi","dimanche"))</f>
        <v>lundi</v>
      </c>
      <c r="C79" s="68">
        <f>IF($A79="","",SUMIFS(sj_to,sj_date,$A79,sj_in,1)/60)</f>
        <v>77.0</v>
      </c>
      <c r="D79" s="68">
        <f>IF($A79="","",SUMIFS(sj_tr,sj_date,$A79,sj_in,1)/60)</f>
        <v>69.5</v>
      </c>
      <c r="E79" s="68">
        <f>IF($A79="","",SUMIFS(sj_anp,sj_date,$A79,sj_in,1)/60)</f>
        <v>10.1333333333333</v>
      </c>
      <c r="F79" s="68">
        <f>IF($A79="","",SUMIFS(sj_tf,sj_date,$A79,sj_in,1)/60)</f>
        <v>59.3666666666667</v>
      </c>
      <c r="G79" s="55">
        <f>IF($A79="","",SUMIFS(sj_good,sj_date,$A79,sj_in,1))</f>
        <v>4878.0</v>
      </c>
      <c r="H79" s="55">
        <f>IF($A79="","",SUMIFS(sj_scrap,sj_date,$A79,sj_in,1))</f>
        <v>66.0</v>
      </c>
      <c r="I79" s="55">
        <f>IF($A79="","",SUMIFS(sj_rework,sj_date,$A79,sj_in,1))</f>
        <v>31.0</v>
      </c>
      <c r="J79" s="57">
        <f>IF(N(D79)&gt;0,F79/D79,"")</f>
        <v>0.854196642685851</v>
      </c>
      <c r="K79" s="57">
        <f>IF(N(F79)&gt;0,Q79/(F79*60),"")</f>
        <v>0.853233627686182</v>
      </c>
      <c r="L79" s="57">
        <f>IF(N(Q79)&gt;0,R79/Q79,"")</f>
        <v>0.976076383280389</v>
      </c>
      <c r="M79" s="57">
        <f>IF(N(D79)&gt;0,R79/(D79*60),"")</f>
        <v>0.71139306736429</v>
      </c>
      <c r="N79" s="57">
        <f>IF(N(C79)&gt;0,R79/(C79*60),"")</f>
        <v>0.642101534828808</v>
      </c>
      <c r="O79" s="59">
        <f>IF($A79="","",SUMIFS(sj_val,sj_date,$A79,sj_in,1))</f>
        <v>1769.0</v>
      </c>
      <c r="P79" s="58" t="str">
        <f>IF(M79="","",IF(M79&gt;=p_target,"Bon",IF(M79&gt;=p_alert,"À surveiller","Faible")))</f>
        <v>À surveiller</v>
      </c>
      <c r="Q79">
        <f>IF($A79="","",SUMIFS(sj_tn,sj_date,$A79,sj_in,1))</f>
        <v>3039.21818181818</v>
      </c>
      <c r="R79">
        <f>IF($A79="","",SUMIFS(sj_tu,sj_date,$A79,sj_in,1))</f>
        <v>2966.50909090909</v>
      </c>
    </row>
    <row r="80">
      <c r="A80" s="77">
        <f>IF(25&gt;MIN(31,'Synthèse'!$Q$54),"",INDEX(sj_date,MATCH('Synthèse'!$Q$54-MIN(31,'Synthèse'!$Q$54)+25,sj_dayrank,0)))</f>
        <v>46322.0</v>
      </c>
      <c r="B80" s="61" t="str">
        <f>IF(A80="","",CHOOSE(WEEKDAY(A80,2),"lundi","mardi","mercredi","jeudi","vendredi","samedi","dimanche"))</f>
        <v>mardi</v>
      </c>
      <c r="C80" s="68">
        <f>IF($A80="","",SUMIFS(sj_to,sj_date,$A80,sj_in,1)/60)</f>
        <v>81.0</v>
      </c>
      <c r="D80" s="68">
        <f>IF($A80="","",SUMIFS(sj_tr,sj_date,$A80,sj_in,1)/60)</f>
        <v>75.5</v>
      </c>
      <c r="E80" s="68">
        <f>IF($A80="","",SUMIFS(sj_anp,sj_date,$A80,sj_in,1)/60)</f>
        <v>9.21666666666667</v>
      </c>
      <c r="F80" s="68">
        <f>IF($A80="","",SUMIFS(sj_tf,sj_date,$A80,sj_in,1)/60)</f>
        <v>66.2833333333333</v>
      </c>
      <c r="G80" s="55">
        <f>IF($A80="","",SUMIFS(sj_good,sj_date,$A80,sj_in,1))</f>
        <v>5810.0</v>
      </c>
      <c r="H80" s="55">
        <f>IF($A80="","",SUMIFS(sj_scrap,sj_date,$A80,sj_in,1))</f>
        <v>129.0</v>
      </c>
      <c r="I80" s="55">
        <f>IF($A80="","",SUMIFS(sj_rework,sj_date,$A80,sj_in,1))</f>
        <v>60.0</v>
      </c>
      <c r="J80" s="57">
        <f>IF(N(D80)&gt;0,F80/D80,"")</f>
        <v>0.877924944812362</v>
      </c>
      <c r="K80" s="57">
        <f>IF(N(F80)&gt;0,Q80/(F80*60),"")</f>
        <v>0.87645781425012</v>
      </c>
      <c r="L80" s="57">
        <f>IF(N(Q80)&gt;0,R80/Q80,"")</f>
        <v>0.978697212485395</v>
      </c>
      <c r="M80" s="57">
        <f>IF(N(D80)&gt;0,R80/(D80*60),"")</f>
        <v>0.75307244631748</v>
      </c>
      <c r="N80" s="57">
        <f>IF(N(C80)&gt;0,R80/(C80*60),"")</f>
        <v>0.701937897493453</v>
      </c>
      <c r="O80" s="59">
        <f>IF($A80="","",SUMIFS(sj_val,sj_date,$A80,sj_in,1))</f>
        <v>1820.7</v>
      </c>
      <c r="P80" s="58" t="str">
        <f>IF(M80="","",IF(M80&gt;=p_target,"Bon",IF(M80&gt;=p_alert,"À surveiller","Faible")))</f>
        <v>Bon</v>
      </c>
      <c r="Q80">
        <f>IF($A80="","",SUMIFS(sj_tn,sj_date,$A80,sj_in,1))</f>
        <v>3485.67272727273</v>
      </c>
      <c r="R80">
        <f>IF($A80="","",SUMIFS(sj_tu,sj_date,$A80,sj_in,1))</f>
        <v>3411.41818181818</v>
      </c>
    </row>
    <row r="81">
      <c r="A81" s="77">
        <f>IF(26&gt;MIN(31,'Synthèse'!$Q$54),"",INDEX(sj_date,MATCH('Synthèse'!$Q$54-MIN(31,'Synthèse'!$Q$54)+26,sj_dayrank,0)))</f>
        <v>46323.0</v>
      </c>
      <c r="B81" s="61" t="str">
        <f>IF(A81="","",CHOOSE(WEEKDAY(A81,2),"lundi","mardi","mercredi","jeudi","vendredi","samedi","dimanche"))</f>
        <v>mercredi</v>
      </c>
      <c r="C81" s="68">
        <f>IF($A81="","",SUMIFS(sj_to,sj_date,$A81,sj_in,1)/60)</f>
        <v>77.0</v>
      </c>
      <c r="D81" s="68">
        <f>IF($A81="","",SUMIFS(sj_tr,sj_date,$A81,sj_in,1)/60)</f>
        <v>71.5</v>
      </c>
      <c r="E81" s="68">
        <f>IF($A81="","",SUMIFS(sj_anp,sj_date,$A81,sj_in,1)/60)</f>
        <v>10.9833333333333</v>
      </c>
      <c r="F81" s="68">
        <f>IF($A81="","",SUMIFS(sj_tf,sj_date,$A81,sj_in,1)/60)</f>
        <v>60.5166666666667</v>
      </c>
      <c r="G81" s="55">
        <f>IF($A81="","",SUMIFS(sj_good,sj_date,$A81,sj_in,1))</f>
        <v>5581.0</v>
      </c>
      <c r="H81" s="55">
        <f>IF($A81="","",SUMIFS(sj_scrap,sj_date,$A81,sj_in,1))</f>
        <v>157.0</v>
      </c>
      <c r="I81" s="55">
        <f>IF($A81="","",SUMIFS(sj_rework,sj_date,$A81,sj_in,1))</f>
        <v>45.0</v>
      </c>
      <c r="J81" s="57">
        <f>IF(N(D81)&gt;0,F81/D81,"")</f>
        <v>0.846386946386946</v>
      </c>
      <c r="K81" s="57">
        <f>IF(N(F81)&gt;0,Q81/(F81*60),"")</f>
        <v>0.886545154102301</v>
      </c>
      <c r="L81" s="57">
        <f>IF(N(Q81)&gt;0,R81/Q81,"")</f>
        <v>0.984422259563112</v>
      </c>
      <c r="M81" s="57">
        <f>IF(N(D81)&gt;0,R81/(D81*60),"")</f>
        <v>0.738671328671329</v>
      </c>
      <c r="N81" s="57">
        <f>IF(N(C81)&gt;0,R81/(C81*60),"")</f>
        <v>0.685909090909091</v>
      </c>
      <c r="O81" s="59">
        <f>IF($A81="","",SUMIFS(sj_val,sj_date,$A81,sj_in,1))</f>
        <v>1484.4</v>
      </c>
      <c r="P81" s="58" t="str">
        <f>IF(M81="","",IF(M81&gt;=p_target,"Bon",IF(M81&gt;=p_alert,"À surveiller","Faible")))</f>
        <v>À surveiller</v>
      </c>
      <c r="Q81">
        <f>IF($A81="","",SUMIFS(sj_tn,sj_date,$A81,sj_in,1))</f>
        <v>3219.04545454545</v>
      </c>
      <c r="R81">
        <f>IF($A81="","",SUMIFS(sj_tu,sj_date,$A81,sj_in,1))</f>
        <v>3168.9</v>
      </c>
    </row>
    <row r="82">
      <c r="A82" s="77">
        <f>IF(27&gt;MIN(31,'Synthèse'!$Q$54),"",INDEX(sj_date,MATCH('Synthèse'!$Q$54-MIN(31,'Synthèse'!$Q$54)+27,sj_dayrank,0)))</f>
        <v>46324.0</v>
      </c>
      <c r="B82" s="61" t="str">
        <f>IF(A82="","",CHOOSE(WEEKDAY(A82,2),"lundi","mardi","mercredi","jeudi","vendredi","samedi","dimanche"))</f>
        <v>jeudi</v>
      </c>
      <c r="C82" s="68">
        <f>IF($A82="","",SUMIFS(sj_to,sj_date,$A82,sj_in,1)/60)</f>
        <v>77.0</v>
      </c>
      <c r="D82" s="68">
        <f>IF($A82="","",SUMIFS(sj_tr,sj_date,$A82,sj_in,1)/60)</f>
        <v>71.5</v>
      </c>
      <c r="E82" s="68">
        <f>IF($A82="","",SUMIFS(sj_anp,sj_date,$A82,sj_in,1)/60)</f>
        <v>10.95</v>
      </c>
      <c r="F82" s="68">
        <f>IF($A82="","",SUMIFS(sj_tf,sj_date,$A82,sj_in,1)/60)</f>
        <v>60.55</v>
      </c>
      <c r="G82" s="55">
        <f>IF($A82="","",SUMIFS(sj_good,sj_date,$A82,sj_in,1))</f>
        <v>5748.0</v>
      </c>
      <c r="H82" s="55">
        <f>IF($A82="","",SUMIFS(sj_scrap,sj_date,$A82,sj_in,1))</f>
        <v>41.0</v>
      </c>
      <c r="I82" s="55">
        <f>IF($A82="","",SUMIFS(sj_rework,sj_date,$A82,sj_in,1))</f>
        <v>11.0</v>
      </c>
      <c r="J82" s="57">
        <f>IF(N(D82)&gt;0,F82/D82,"")</f>
        <v>0.846853146853147</v>
      </c>
      <c r="K82" s="57">
        <f>IF(N(F82)&gt;0,Q82/(F82*60),"")</f>
        <v>0.879098165803368</v>
      </c>
      <c r="L82" s="57">
        <f>IF(N(Q82)&gt;0,R82/Q82,"")</f>
        <v>0.98056154892774</v>
      </c>
      <c r="M82" s="57">
        <f>IF(N(D82)&gt;0,R82/(D82*60),"")</f>
        <v>0.729995761813944</v>
      </c>
      <c r="N82" s="57">
        <f>IF(N(C82)&gt;0,R82/(C82*60),"")</f>
        <v>0.677853207398662</v>
      </c>
      <c r="O82" s="59">
        <f>IF($A82="","",SUMIFS(sj_val,sj_date,$A82,sj_in,1))</f>
        <v>1680.2</v>
      </c>
      <c r="P82" s="58" t="str">
        <f>IF(M82="","",IF(M82&gt;=p_target,"Bon",IF(M82&gt;=p_alert,"À surveiller","Faible")))</f>
        <v>À surveiller</v>
      </c>
      <c r="Q82">
        <f>IF($A82="","",SUMIFS(sj_tn,sj_date,$A82,sj_in,1))</f>
        <v>3193.76363636364</v>
      </c>
      <c r="R82">
        <f>IF($A82="","",SUMIFS(sj_tu,sj_date,$A82,sj_in,1))</f>
        <v>3131.68181818182</v>
      </c>
    </row>
    <row r="83">
      <c r="A83" s="77">
        <f>IF(28&gt;MIN(31,'Synthèse'!$Q$54),"",INDEX(sj_date,MATCH('Synthèse'!$Q$54-MIN(31,'Synthèse'!$Q$54)+28,sj_dayrank,0)))</f>
        <v>46325.0</v>
      </c>
      <c r="B83" s="61" t="str">
        <f>IF(A83="","",CHOOSE(WEEKDAY(A83,2),"lundi","mardi","mercredi","jeudi","vendredi","samedi","dimanche"))</f>
        <v>vendredi</v>
      </c>
      <c r="C83" s="68">
        <f>IF($A83="","",SUMIFS(sj_to,sj_date,$A83,sj_in,1)/60)</f>
        <v>81.0</v>
      </c>
      <c r="D83" s="68">
        <f>IF($A83="","",SUMIFS(sj_tr,sj_date,$A83,sj_in,1)/60)</f>
        <v>75.5</v>
      </c>
      <c r="E83" s="68">
        <f>IF($A83="","",SUMIFS(sj_anp,sj_date,$A83,sj_in,1)/60)</f>
        <v>9.3</v>
      </c>
      <c r="F83" s="68">
        <f>IF($A83="","",SUMIFS(sj_tf,sj_date,$A83,sj_in,1)/60)</f>
        <v>66.2</v>
      </c>
      <c r="G83" s="55">
        <f>IF($A83="","",SUMIFS(sj_good,sj_date,$A83,sj_in,1))</f>
        <v>5567.0</v>
      </c>
      <c r="H83" s="55">
        <f>IF($A83="","",SUMIFS(sj_scrap,sj_date,$A83,sj_in,1))</f>
        <v>70.0</v>
      </c>
      <c r="I83" s="55">
        <f>IF($A83="","",SUMIFS(sj_rework,sj_date,$A83,sj_in,1))</f>
        <v>25.0</v>
      </c>
      <c r="J83" s="57">
        <f>IF(N(D83)&gt;0,F83/D83,"")</f>
        <v>0.87682119205298</v>
      </c>
      <c r="K83" s="57">
        <f>IF(N(F83)&gt;0,Q83/(F83*60),"")</f>
        <v>0.862441636912936</v>
      </c>
      <c r="L83" s="57">
        <f>IF(N(Q83)&gt;0,R83/Q83,"")</f>
        <v>0.984162115397885</v>
      </c>
      <c r="M83" s="57">
        <f>IF(N(D83)&gt;0,R83/(D83*60),"")</f>
        <v>0.744230383303231</v>
      </c>
      <c r="N83" s="57">
        <f>IF(N(C83)&gt;0,R83/(C83*60),"")</f>
        <v>0.693696221473999</v>
      </c>
      <c r="O83" s="59">
        <f>IF($A83="","",SUMIFS(sj_val,sj_date,$A83,sj_in,1))</f>
        <v>1158.5</v>
      </c>
      <c r="P83" s="58" t="str">
        <f>IF(M83="","",IF(M83&gt;=p_target,"Bon",IF(M83&gt;=p_alert,"À surveiller","Faible")))</f>
        <v>À surveiller</v>
      </c>
      <c r="Q83">
        <f>IF($A83="","",SUMIFS(sj_tn,sj_date,$A83,sj_in,1))</f>
        <v>3425.61818181818</v>
      </c>
      <c r="R83">
        <f>IF($A83="","",SUMIFS(sj_tu,sj_date,$A83,sj_in,1))</f>
        <v>3371.36363636364</v>
      </c>
    </row>
    <row r="84">
      <c r="A84" s="77">
        <f>IF(29&gt;MIN(31,'Synthèse'!$Q$54),"",INDEX(sj_date,MATCH('Synthèse'!$Q$54-MIN(31,'Synthèse'!$Q$54)+29,sj_dayrank,0)))</f>
        <v>46328.0</v>
      </c>
      <c r="B84" s="61" t="str">
        <f>IF(A84="","",CHOOSE(WEEKDAY(A84,2),"lundi","mardi","mercredi","jeudi","vendredi","samedi","dimanche"))</f>
        <v>lundi</v>
      </c>
      <c r="C84" s="68">
        <f>IF($A84="","",SUMIFS(sj_to,sj_date,$A84,sj_in,1)/60)</f>
        <v>81.0</v>
      </c>
      <c r="D84" s="68">
        <f>IF($A84="","",SUMIFS(sj_tr,sj_date,$A84,sj_in,1)/60)</f>
        <v>73.5</v>
      </c>
      <c r="E84" s="68">
        <f>IF($A84="","",SUMIFS(sj_anp,sj_date,$A84,sj_in,1)/60)</f>
        <v>9.91666666666667</v>
      </c>
      <c r="F84" s="68">
        <f>IF($A84="","",SUMIFS(sj_tf,sj_date,$A84,sj_in,1)/60)</f>
        <v>63.5833333333333</v>
      </c>
      <c r="G84" s="55">
        <f>IF($A84="","",SUMIFS(sj_good,sj_date,$A84,sj_in,1))</f>
        <v>4727.0</v>
      </c>
      <c r="H84" s="55">
        <f>IF($A84="","",SUMIFS(sj_scrap,sj_date,$A84,sj_in,1))</f>
        <v>37.0</v>
      </c>
      <c r="I84" s="55">
        <f>IF($A84="","",SUMIFS(sj_rework,sj_date,$A84,sj_in,1))</f>
        <v>44.0</v>
      </c>
      <c r="J84" s="57">
        <f>IF(N(D84)&gt;0,F84/D84,"")</f>
        <v>0.865079365079365</v>
      </c>
      <c r="K84" s="57">
        <f>IF(N(F84)&gt;0,Q84/(F84*60),"")</f>
        <v>0.853284880257357</v>
      </c>
      <c r="L84" s="57">
        <f>IF(N(Q84)&gt;0,R84/Q84,"")</f>
        <v>0.980593776268498</v>
      </c>
      <c r="M84" s="57">
        <f>IF(N(D84)&gt;0,R84/(D84*60),"")</f>
        <v>0.723834260977118</v>
      </c>
      <c r="N84" s="57">
        <f>IF(N(C84)&gt;0,R84/(C84*60),"")</f>
        <v>0.656812570145903</v>
      </c>
      <c r="O84" s="59">
        <f>IF($A84="","",SUMIFS(sj_val,sj_date,$A84,sj_in,1))</f>
        <v>1123.0</v>
      </c>
      <c r="P84" s="58" t="str">
        <f>IF(M84="","",IF(M84&gt;=p_target,"Bon",IF(M84&gt;=p_alert,"À surveiller","Faible")))</f>
        <v>À surveiller</v>
      </c>
      <c r="Q84">
        <f>IF($A84="","",SUMIFS(sj_tn,sj_date,$A84,sj_in,1))</f>
        <v>3255.28181818182</v>
      </c>
      <c r="R84">
        <f>IF($A84="","",SUMIFS(sj_tu,sj_date,$A84,sj_in,1))</f>
        <v>3192.10909090909</v>
      </c>
    </row>
    <row r="85">
      <c r="A85" s="77">
        <f>IF(30&gt;MIN(31,'Synthèse'!$Q$54),"",INDEX(sj_date,MATCH('Synthèse'!$Q$54-MIN(31,'Synthèse'!$Q$54)+30,sj_dayrank,0)))</f>
        <v>46329.0</v>
      </c>
      <c r="B85" s="61" t="str">
        <f>IF(A85="","",CHOOSE(WEEKDAY(A85,2),"lundi","mardi","mercredi","jeudi","vendredi","samedi","dimanche"))</f>
        <v>mardi</v>
      </c>
      <c r="C85" s="68">
        <f>IF($A85="","",SUMIFS(sj_to,sj_date,$A85,sj_in,1)/60)</f>
        <v>81.0</v>
      </c>
      <c r="D85" s="68">
        <f>IF($A85="","",SUMIFS(sj_tr,sj_date,$A85,sj_in,1)/60)</f>
        <v>75.5</v>
      </c>
      <c r="E85" s="68">
        <f>IF($A85="","",SUMIFS(sj_anp,sj_date,$A85,sj_in,1)/60)</f>
        <v>13.35</v>
      </c>
      <c r="F85" s="68">
        <f>IF($A85="","",SUMIFS(sj_tf,sj_date,$A85,sj_in,1)/60)</f>
        <v>62.15</v>
      </c>
      <c r="G85" s="55">
        <f>IF($A85="","",SUMIFS(sj_good,sj_date,$A85,sj_in,1))</f>
        <v>4569.0</v>
      </c>
      <c r="H85" s="55">
        <f>IF($A85="","",SUMIFS(sj_scrap,sj_date,$A85,sj_in,1))</f>
        <v>36.0</v>
      </c>
      <c r="I85" s="55">
        <f>IF($A85="","",SUMIFS(sj_rework,sj_date,$A85,sj_in,1))</f>
        <v>6.0</v>
      </c>
      <c r="J85" s="57">
        <f>IF(N(D85)&gt;0,F85/D85,"")</f>
        <v>0.82317880794702</v>
      </c>
      <c r="K85" s="57">
        <f>IF(N(F85)&gt;0,Q85/(F85*60),"")</f>
        <v>0.905092761890831</v>
      </c>
      <c r="L85" s="57">
        <f>IF(N(Q85)&gt;0,R85/Q85,"")</f>
        <v>0.988260056487175</v>
      </c>
      <c r="M85" s="57">
        <f>IF(N(D85)&gt;0,R85/(D85*60),"")</f>
        <v>0.736306298557954</v>
      </c>
      <c r="N85" s="57">
        <f>IF(N(C85)&gt;0,R85/(C85*60),"")</f>
        <v>0.686310191865747</v>
      </c>
      <c r="O85" s="59">
        <f>IF($A85="","",SUMIFS(sj_val,sj_date,$A85,sj_in,1))</f>
        <v>891.8</v>
      </c>
      <c r="P85" s="58" t="str">
        <f>IF(M85="","",IF(M85&gt;=p_target,"Bon",IF(M85&gt;=p_alert,"À surveiller","Faible")))</f>
        <v>À surveiller</v>
      </c>
      <c r="Q85">
        <f>IF($A85="","",SUMIFS(sj_tn,sj_date,$A85,sj_in,1))</f>
        <v>3375.09090909091</v>
      </c>
      <c r="R85">
        <f>IF($A85="","",SUMIFS(sj_tu,sj_date,$A85,sj_in,1))</f>
        <v>3335.46753246753</v>
      </c>
    </row>
    <row r="86">
      <c r="A86" s="77">
        <f>IF(31&gt;MIN(31,'Synthèse'!$Q$54),"",INDEX(sj_date,MATCH('Synthèse'!$Q$54-MIN(31,'Synthèse'!$Q$54)+31,sj_dayrank,0)))</f>
        <v>46330.0</v>
      </c>
      <c r="B86" s="61" t="str">
        <f>IF(A86="","",CHOOSE(WEEKDAY(A86,2),"lundi","mardi","mercredi","jeudi","vendredi","samedi","dimanche"))</f>
        <v>mercredi</v>
      </c>
      <c r="C86" s="68">
        <f>IF($A86="","",SUMIFS(sj_to,sj_date,$A86,sj_in,1)/60)</f>
        <v>81.0</v>
      </c>
      <c r="D86" s="68">
        <f>IF($A86="","",SUMIFS(sj_tr,sj_date,$A86,sj_in,1)/60)</f>
        <v>75.5</v>
      </c>
      <c r="E86" s="68">
        <f>IF($A86="","",SUMIFS(sj_anp,sj_date,$A86,sj_in,1)/60)</f>
        <v>7.45</v>
      </c>
      <c r="F86" s="68">
        <f>IF($A86="","",SUMIFS(sj_tf,sj_date,$A86,sj_in,1)/60)</f>
        <v>68.05</v>
      </c>
      <c r="G86" s="55">
        <f>IF($A86="","",SUMIFS(sj_good,sj_date,$A86,sj_in,1))</f>
        <v>5261.0</v>
      </c>
      <c r="H86" s="55">
        <f>IF($A86="","",SUMIFS(sj_scrap,sj_date,$A86,sj_in,1))</f>
        <v>46.0</v>
      </c>
      <c r="I86" s="55">
        <f>IF($A86="","",SUMIFS(sj_rework,sj_date,$A86,sj_in,1))</f>
        <v>27.0</v>
      </c>
      <c r="J86" s="57">
        <f>IF(N(D86)&gt;0,F86/D86,"")</f>
        <v>0.901324503311258</v>
      </c>
      <c r="K86" s="57">
        <f>IF(N(F86)&gt;0,Q86/(F86*60),"")</f>
        <v>0.873033049080073</v>
      </c>
      <c r="L86" s="57">
        <f>IF(N(Q86)&gt;0,R86/Q86,"")</f>
        <v>0.987639375813982</v>
      </c>
      <c r="M86" s="57">
        <f>IF(N(D86)&gt;0,R86/(D86*60),"")</f>
        <v>0.777159676232524</v>
      </c>
      <c r="N86" s="57">
        <f>IF(N(C86)&gt;0,R86/(C86*60),"")</f>
        <v>0.724389574759945</v>
      </c>
      <c r="O86" s="59">
        <f>IF($A86="","",SUMIFS(sj_val,sj_date,$A86,sj_in,1))</f>
        <v>1217.8</v>
      </c>
      <c r="P86" s="58" t="str">
        <f>IF(M86="","",IF(M86&gt;=p_target,"Bon",IF(M86&gt;=p_alert,"À surveiller","Faible")))</f>
        <v>Bon</v>
      </c>
      <c r="Q86">
        <f>IF($A86="","",SUMIFS(sj_tn,sj_date,$A86,sj_in,1))</f>
        <v>3564.59393939394</v>
      </c>
      <c r="R86">
        <f>IF($A86="","",SUMIFS(sj_tu,sj_date,$A86,sj_in,1))</f>
        <v>3520.53333333333</v>
      </c>
    </row>
  </sheetData>
  <conditionalFormatting sqref="F4">
    <cfRule type="expression" priority="1" dxfId="15">
      <formula>LEFT($F$4,2)="La"</formula>
    </cfRule>
  </conditionalFormatting>
  <conditionalFormatting sqref="P9:P38">
    <cfRule type="expression" priority="2" dxfId="3">
      <formula>$P9="Bon"</formula>
    </cfRule>
    <cfRule type="expression" priority="3" dxfId="4">
      <formula>$P9="À surveiller"</formula>
    </cfRule>
    <cfRule type="expression" priority="4" dxfId="5">
      <formula>$P9="Faible"</formula>
    </cfRule>
  </conditionalFormatting>
  <conditionalFormatting sqref="M9:M38">
    <cfRule type="expression" priority="5" dxfId="3">
      <formula>$P9="Bon"</formula>
    </cfRule>
    <cfRule type="expression" priority="6" dxfId="4">
      <formula>$P9="À surveiller"</formula>
    </cfRule>
    <cfRule type="expression" priority="7" dxfId="5">
      <formula>$P9="Faible"</formula>
    </cfRule>
  </conditionalFormatting>
  <conditionalFormatting sqref="P39">
    <cfRule type="expression" priority="8" dxfId="3">
      <formula>$P39="Bon"</formula>
    </cfRule>
    <cfRule type="expression" priority="9" dxfId="4">
      <formula>$P39="À surveiller"</formula>
    </cfRule>
    <cfRule type="expression" priority="10" dxfId="5">
      <formula>$P39="Faible"</formula>
    </cfRule>
  </conditionalFormatting>
  <conditionalFormatting sqref="M39">
    <cfRule type="expression" priority="11" dxfId="3">
      <formula>$P39="Bon"</formula>
    </cfRule>
    <cfRule type="expression" priority="12" dxfId="4">
      <formula>$P39="À surveiller"</formula>
    </cfRule>
    <cfRule type="expression" priority="13" dxfId="5">
      <formula>$P39="Faible"</formula>
    </cfRule>
  </conditionalFormatting>
  <conditionalFormatting sqref="P44:P51">
    <cfRule type="expression" priority="14" dxfId="3">
      <formula>$P44="Bon"</formula>
    </cfRule>
    <cfRule type="expression" priority="15" dxfId="4">
      <formula>$P44="À surveiller"</formula>
    </cfRule>
    <cfRule type="expression" priority="16" dxfId="5">
      <formula>$P44="Faible"</formula>
    </cfRule>
  </conditionalFormatting>
  <conditionalFormatting sqref="M44:M51">
    <cfRule type="expression" priority="17" dxfId="3">
      <formula>$P44="Bon"</formula>
    </cfRule>
    <cfRule type="expression" priority="18" dxfId="4">
      <formula>$P44="À surveiller"</formula>
    </cfRule>
    <cfRule type="expression" priority="19" dxfId="5">
      <formula>$P44="Faible"</formula>
    </cfRule>
  </conditionalFormatting>
  <conditionalFormatting sqref="P56:P86">
    <cfRule type="expression" priority="20" dxfId="3">
      <formula>$P56="Bon"</formula>
    </cfRule>
    <cfRule type="expression" priority="21" dxfId="4">
      <formula>$P56="À surveiller"</formula>
    </cfRule>
    <cfRule type="expression" priority="22" dxfId="5">
      <formula>$P56="Faible"</formula>
    </cfRule>
  </conditionalFormatting>
  <conditionalFormatting sqref="M56:M86">
    <cfRule type="expression" priority="23" dxfId="3">
      <formula>$P56="Bon"</formula>
    </cfRule>
    <cfRule type="expression" priority="24" dxfId="4">
      <formula>$P56="À surveiller"</formula>
    </cfRule>
    <cfRule type="expression" priority="25" dxfId="5">
      <formula>$P56="Faible"</formula>
    </cfRule>
  </conditionalFormatting>
  <conditionalFormatting sqref="O9:O38">
    <cfRule type="expression" priority="26" dxfId="10">
      <formula>p_currency="MAD"</formula>
    </cfRule>
    <cfRule type="expression" priority="30" dxfId="11">
      <formula>p_currency="EUR"</formula>
    </cfRule>
    <cfRule type="expression" priority="34" dxfId="12">
      <formula>p_currency="USD"</formula>
    </cfRule>
  </conditionalFormatting>
  <conditionalFormatting sqref="O39">
    <cfRule type="expression" priority="27" dxfId="10">
      <formula>p_currency="MAD"</formula>
    </cfRule>
    <cfRule type="expression" priority="31" dxfId="11">
      <formula>p_currency="EUR"</formula>
    </cfRule>
    <cfRule type="expression" priority="35" dxfId="12">
      <formula>p_currency="USD"</formula>
    </cfRule>
  </conditionalFormatting>
  <conditionalFormatting sqref="O44:O51">
    <cfRule type="expression" priority="28" dxfId="10">
      <formula>p_currency="MAD"</formula>
    </cfRule>
    <cfRule type="expression" priority="32" dxfId="11">
      <formula>p_currency="EUR"</formula>
    </cfRule>
    <cfRule type="expression" priority="36" dxfId="12">
      <formula>p_currency="USD"</formula>
    </cfRule>
  </conditionalFormatting>
  <conditionalFormatting sqref="O56:O86">
    <cfRule type="expression" priority="29" dxfId="10">
      <formula>p_currency="MAD"</formula>
    </cfRule>
    <cfRule type="expression" priority="33" dxfId="11">
      <formula>p_currency="EUR"</formula>
    </cfRule>
    <cfRule type="expression" priority="37" dxfId="12">
      <formula>p_currency="USD"</formula>
    </cfRule>
  </conditionalFormatting>
  <dataValidations count="2">
    <dataValidation sqref="B4" showDropDown="0" showInputMessage="1" showErrorMessage="1" allowBlank="1" errorTitle="Début de période" error="Premier jour analysé (jj/mm/aaaa). Vide = première date saisie." promptTitle="Début de période" prompt="Premier jour analysé (jj/mm/aaaa). Vide = première date saisie." type="date" operator="between">
      <formula1>36526</formula1>
      <formula2>73051</formula2>
    </dataValidation>
    <dataValidation sqref="D4" showDropDown="0" showInputMessage="1" showErrorMessage="1" allowBlank="1" errorTitle="Fin de période" error="Dernier jour analysé, inclus (jj/mm/aaaa). Vide = dernière date saisie." promptTitle="Fin de période" prompt="Dernier jour analysé, inclus (jj/mm/aaaa). Vide = dernière date saisie." type="date" operator="between">
      <formula1>36526</formula1>
      <formula2>73051</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0369A1"/>
    <outlinePr summaryBelow="1" summaryRight="1"/>
    <pageSetUpPr fitToPage="1"/>
  </sheetPr>
  <dimension ref="A1:AF50"/>
  <sheetViews>
    <sheetView showGridLines="0" tabSelected="0" zoomScale="100" workbookViewId="0">
      <pane ySplit="8" topLeftCell="A9" activePane="bottomLeft" state="frozen"/>
      <selection pane="bottomLeft" activeCell="A1" sqref="A1"/>
    </sheetView>
  </sheetViews>
  <sheetFormatPr baseColWidth="8" defaultRowHeight="15"/>
  <cols>
    <col width="12" customWidth="1" min="1" max="1"/>
    <col width="34" customWidth="1" min="2" max="2"/>
    <col width="28" customWidth="1" min="3" max="3"/>
    <col width="11" customWidth="1" min="4" max="4"/>
    <col width="11" customWidth="1" min="5" max="5"/>
    <col width="10" customWidth="1" min="6" max="6"/>
    <col width="11" customWidth="1" min="7" max="7"/>
    <col width="11" customWidth="1" min="8" max="8"/>
    <col width="10" customWidth="1" min="9" max="9"/>
    <col width="3" customWidth="1" min="10" max="10"/>
    <col width="14" customWidth="1" min="11" max="11"/>
    <col width="16" customWidth="1" min="12" max="12"/>
    <col width="11" customWidth="1" min="13" max="13"/>
    <col width="10" customWidth="1" min="14" max="14"/>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s>
  <sheetData>
    <row r="1" ht="38" customHeight="1">
      <c r="A1" s="2" t="inlineStr">
        <is>
          <t>Pareto des arrêts</t>
        </is>
      </c>
      <c r="B1" s="1" t="n"/>
      <c r="C1" s="1" t="n"/>
      <c r="D1" s="1" t="n"/>
      <c r="E1" s="1" t="n"/>
      <c r="F1" s="1" t="n"/>
      <c r="G1" s="1" t="n"/>
      <c r="H1" s="1" t="n"/>
      <c r="I1" s="1" t="n"/>
      <c r="J1" s="1" t="n"/>
      <c r="K1" s="1" t="n"/>
      <c r="L1" s="1" t="n"/>
      <c r="M1" s="1" t="n"/>
      <c r="N1" s="18" t="inlineStr">
        <is>
          <t>⌂ Mode d'emploi</t>
        </is>
      </c>
    </row>
    <row r="2" ht="22" customHeight="1">
      <c r="A2" s="4" t="inlineStr">
        <is>
          <t>Les arrêts non planifiés de la période, de la cause la plus longue à la plus courte. Les causes de priorité A font 80 % du temps perdu.</t>
        </is>
      </c>
      <c r="B2" s="3" t="n"/>
      <c r="C2" s="3" t="n"/>
      <c r="D2" s="3" t="n"/>
      <c r="E2" s="3" t="n"/>
      <c r="F2" s="3" t="n"/>
      <c r="G2" s="3" t="n"/>
      <c r="H2" s="3" t="n"/>
      <c r="I2" s="3" t="n"/>
      <c r="J2" s="3" t="n"/>
      <c r="K2" s="3" t="n"/>
      <c r="L2" s="3" t="n"/>
      <c r="M2" s="3" t="n"/>
      <c r="N2" s="3" t="n"/>
    </row>
    <row r="3" ht="18" customHeight="1"/>
    <row r="4">
      <c r="A4" s="78" t="inlineStr">
        <is>
          <t>Poste</t>
        </is>
      </c>
      <c r="B4" s="79" t="n"/>
      <c r="C4" s="80" t="inlineStr">
        <is>
          <t>Équipe</t>
        </is>
      </c>
      <c r="D4" s="79" t="n"/>
      <c r="F4" s="37" t="str">
        <f>IF(AND(pa_po&lt;&gt;"",ISNA(MATCH(pa_po,po_code,0))),"Poste inconnu",IF(AND(pa_eq&lt;&gt;"",ISNA(MATCH(pa_eq,eq_code,0))),"Équipe inconnue","Vide = tous les postes, toutes les équipes."))</f>
        <v>Vide = tous les postes, toutes les équipes.</v>
      </c>
    </row>
    <row r="5">
      <c r="A5" s="65" t="inlineStr">
        <is>
          <t>Période du</t>
        </is>
      </c>
      <c r="B5" s="66">
        <f>p_from</f>
        <v>46286.0</v>
      </c>
      <c r="C5" s="81" t="inlineStr">
        <is>
          <t>au</t>
        </is>
      </c>
      <c r="D5" s="66">
        <f>p_to</f>
        <v>46330.0</v>
      </c>
      <c r="F5" s="82" t="inlineStr">
        <is>
          <t>→ Changer la période (Synthèse)</t>
        </is>
      </c>
    </row>
    <row r="7" ht="22" customHeight="1">
      <c r="A7" s="5" t="inlineStr">
        <is>
          <t>Arrêts non planifiés classés par durée</t>
        </is>
      </c>
      <c r="B7" s="6" t="n"/>
      <c r="C7" s="6" t="n"/>
      <c r="D7" s="6" t="n"/>
      <c r="E7" s="6" t="n"/>
      <c r="F7" s="6" t="n"/>
      <c r="G7" s="6" t="n"/>
      <c r="H7" s="6" t="n"/>
      <c r="I7" s="6" t="n"/>
    </row>
    <row r="8" ht="30" customHeight="1">
      <c r="A8" s="38" t="inlineStr">
        <is>
          <t>Rang</t>
        </is>
      </c>
      <c r="B8" s="38" t="inlineStr">
        <is>
          <t>Cause</t>
        </is>
      </c>
      <c r="C8" s="38" t="inlineStr">
        <is>
          <t>Famille</t>
        </is>
      </c>
      <c r="D8" s="38" t="inlineStr">
        <is>
          <t>Nb d'arrêts</t>
        </is>
      </c>
      <c r="E8" s="38" t="inlineStr">
        <is>
          <t>Minutes</t>
        </is>
      </c>
      <c r="F8" s="38" t="inlineStr">
        <is>
          <t>Heures</t>
        </is>
      </c>
      <c r="G8" s="38" t="inlineStr">
        <is>
          <t>% du total</t>
        </is>
      </c>
      <c r="H8" s="38" t="inlineStr">
        <is>
          <t>% cumulé</t>
        </is>
      </c>
      <c r="I8" s="38" t="inlineStr">
        <is>
          <t>Priorité</t>
        </is>
      </c>
    </row>
    <row r="9">
      <c r="A9" s="58">
        <f>IF(COUNT($AB$9:$AB$48)&gt;=1,1,"")</f>
        <v>1.0</v>
      </c>
      <c r="B9" s="61" t="str">
        <f>IF(A9="","",INDEX($U$9:$U$48,MATCH(1,$AB$9:$AB$48,0)))</f>
        <v>Changement de série</v>
      </c>
      <c r="C9" s="61" t="str">
        <f>IF(A9="","",INDEX($V$9:$V$48,MATCH(1,$AB$9:$AB$48,0)))</f>
        <v>Réglage et changement de série</v>
      </c>
      <c r="D9" s="55">
        <f>IF(A9="","",INDEX($Y$9:$Y$48,MATCH(1,$AB$9:$AB$48,0)))</f>
        <v>195.0</v>
      </c>
      <c r="E9" s="55">
        <f>IF(A9="","",INDEX($Z$9:$Z$48,MATCH(1,$AB$9:$AB$48,0)))</f>
        <v>9185.0</v>
      </c>
      <c r="F9" s="68">
        <f>IF(A9="","",E9/60)</f>
        <v>153.083333333333</v>
      </c>
      <c r="G9" s="57">
        <f>IF(A9="","",E9/$E$49)</f>
        <v>0.430392202802118</v>
      </c>
      <c r="H9" s="57">
        <f>IF(A9="","",SUM($E$9:E9)/$E$49)</f>
        <v>0.430392202802118</v>
      </c>
      <c r="I9" s="58" t="str">
        <f>IF(A9="","",IF(0&lt;0.8,"A",IF(0&lt;0.95,"B","C")))</f>
        <v>A</v>
      </c>
      <c r="U9" t="str">
        <f>IF('Paramètres'!N6="OK",'Paramètres'!K6,"")</f>
        <v>Panne mécanique</v>
      </c>
      <c r="V9" t="str">
        <f>IF(U9="","",'Paramètres'!L6)</f>
        <v>Panne</v>
      </c>
      <c r="W9" t="str">
        <f>IF(U9="","",'Paramètres'!M6)</f>
        <v>Non planifié</v>
      </c>
      <c r="Y9">
        <f>IF(U9="",0,COUNTIFS(st_cause,U9,st_sel,1))</f>
        <v>24.0</v>
      </c>
      <c r="Z9">
        <f>IF(U9="",0,SUMIFS(st_min,st_cause,U9,st_sel,1))</f>
        <v>1800.0</v>
      </c>
      <c r="AA9">
        <f>IF(AND(U9&lt;&gt;"",W9="Non planifié",Z9&gt;0),ROUND(Z9,4),"")</f>
        <v>1800.0</v>
      </c>
      <c r="AB9">
        <f>IF(AA9="","",COUNTIF($AA$9:$AA$48,"&gt;"&amp;AA9)+COUNTIF($AA$9:AA9,AA9))</f>
        <v>4.0</v>
      </c>
      <c r="AC9">
        <f>IF(U9="",0,SUMIFS(st_min,st_cause,U9,st_in,1))</f>
        <v>1800.0</v>
      </c>
      <c r="AD9">
        <f>IF(U9="",0,COUNTIFS(st_cause,U9,st_in,1))</f>
        <v>24.0</v>
      </c>
      <c r="AE9">
        <f>IF(AND(U9&lt;&gt;"",W9="Non planifié",AC9&gt;0),ROUND(AC9,4),"")</f>
        <v>1800.0</v>
      </c>
      <c r="AF9">
        <f>IF(AE9="","",COUNTIF($AE$9:$AE$48,"&gt;"&amp;AE9)+COUNTIF($AE$9:AE9,AE9))</f>
        <v>4.0</v>
      </c>
    </row>
    <row r="10">
      <c r="A10" s="58">
        <f>IF(COUNT($AB$9:$AB$48)&gt;=2,2,"")</f>
        <v>2.0</v>
      </c>
      <c r="B10" s="61" t="str">
        <f>IF(A10="","",INDEX($U$9:$U$48,MATCH(2,$AB$9:$AB$48,0)))</f>
        <v>Attente matière</v>
      </c>
      <c r="C10" s="61" t="str">
        <f>IF(A10="","",INDEX($V$9:$V$48,MATCH(2,$AB$9:$AB$48,0)))</f>
        <v>Manque matière</v>
      </c>
      <c r="D10" s="55">
        <f>IF(A10="","",INDEX($Y$9:$Y$48,MATCH(2,$AB$9:$AB$48,0)))</f>
        <v>43.0</v>
      </c>
      <c r="E10" s="55">
        <f>IF(A10="","",INDEX($Z$9:$Z$48,MATCH(2,$AB$9:$AB$48,0)))</f>
        <v>2099.0</v>
      </c>
      <c r="F10" s="68">
        <f>IF(A10="","",E10/60)</f>
        <v>34.9833333333333</v>
      </c>
      <c r="G10" s="57">
        <f>IF(A10="","",E10/$E$49)</f>
        <v>0.0983552785717633</v>
      </c>
      <c r="H10" s="57">
        <f>IF(A10="","",SUM($E$9:E10)/$E$49)</f>
        <v>0.528747481373881</v>
      </c>
      <c r="I10" s="58" t="str">
        <f>IF(A10="","",IF(SUM($E$9:E9)/$E$49&lt;0.8,"A",IF(SUM($E$9:E9)/$E$49&lt;0.95,"B","C")))</f>
        <v>A</v>
      </c>
      <c r="U10" t="str">
        <f>IF('Paramètres'!N7="OK",'Paramètres'!K7,"")</f>
        <v>Panne électrique</v>
      </c>
      <c r="V10" t="str">
        <f>IF(U10="","",'Paramètres'!L7)</f>
        <v>Panne</v>
      </c>
      <c r="W10" t="str">
        <f>IF(U10="","",'Paramètres'!M7)</f>
        <v>Non planifié</v>
      </c>
      <c r="Y10">
        <f>IF(U10="",0,COUNTIFS(st_cause,U10,st_sel,1))</f>
        <v>13.0</v>
      </c>
      <c r="Z10">
        <f>IF(U10="",0,SUMIFS(st_min,st_cause,U10,st_sel,1))</f>
        <v>974.0</v>
      </c>
      <c r="AA10">
        <f>IF(AND(U10&lt;&gt;"",W10="Non planifié",Z10&gt;0),ROUND(Z10,4),"")</f>
        <v>974.0</v>
      </c>
      <c r="AB10">
        <f>IF(AA10="","",COUNTIF($AA$9:$AA$48,"&gt;"&amp;AA10)+COUNTIF($AA$9:AA10,AA10))</f>
        <v>5.0</v>
      </c>
      <c r="AC10">
        <f>IF(U10="",0,SUMIFS(st_min,st_cause,U10,st_in,1))</f>
        <v>974.0</v>
      </c>
      <c r="AD10">
        <f>IF(U10="",0,COUNTIFS(st_cause,U10,st_in,1))</f>
        <v>13.0</v>
      </c>
      <c r="AE10">
        <f>IF(AND(U10&lt;&gt;"",W10="Non planifié",AC10&gt;0),ROUND(AC10,4),"")</f>
        <v>974.0</v>
      </c>
      <c r="AF10">
        <f>IF(AE10="","",COUNTIF($AE$9:$AE$48,"&gt;"&amp;AE10)+COUNTIF($AE$9:AE10,AE10))</f>
        <v>5.0</v>
      </c>
    </row>
    <row r="11">
      <c r="A11" s="58">
        <f>IF(COUNT($AB$9:$AB$48)&gt;=3,3,"")</f>
        <v>3.0</v>
      </c>
      <c r="B11" s="61" t="str">
        <f>IF(A11="","",INDEX($U$9:$U$48,MATCH(3,$AB$9:$AB$48,0)))</f>
        <v>Absence opérateur</v>
      </c>
      <c r="C11" s="61" t="str">
        <f>IF(A11="","",INDEX($V$9:$V$48,MATCH(3,$AB$9:$AB$48,0)))</f>
        <v>Manque personnel</v>
      </c>
      <c r="D11" s="55">
        <f>IF(A11="","",INDEX($Y$9:$Y$48,MATCH(3,$AB$9:$AB$48,0)))</f>
        <v>14.0</v>
      </c>
      <c r="E11" s="55">
        <f>IF(A11="","",INDEX($Z$9:$Z$48,MATCH(3,$AB$9:$AB$48,0)))</f>
        <v>1983.0</v>
      </c>
      <c r="F11" s="68">
        <f>IF(A11="","",E11/60)</f>
        <v>33.05</v>
      </c>
      <c r="G11" s="57">
        <f>IF(A11="","",E11/$E$49)</f>
        <v>0.0929197319713228</v>
      </c>
      <c r="H11" s="57">
        <f>IF(A11="","",SUM($E$9:E11)/$E$49)</f>
        <v>0.621667213345204</v>
      </c>
      <c r="I11" s="58" t="str">
        <f>IF(A11="","",IF(SUM($E$9:E10)/$E$49&lt;0.8,"A",IF(SUM($E$9:E10)/$E$49&lt;0.95,"B","C")))</f>
        <v>A</v>
      </c>
      <c r="U11" t="str">
        <f>IF('Paramètres'!N8="OK",'Paramètres'!K8,"")</f>
        <v>Casse outil</v>
      </c>
      <c r="V11" t="str">
        <f>IF(U11="","",'Paramètres'!L8)</f>
        <v>Panne</v>
      </c>
      <c r="W11" t="str">
        <f>IF(U11="","",'Paramètres'!M8)</f>
        <v>Non planifié</v>
      </c>
      <c r="Y11">
        <f>IF(U11="",0,COUNTIFS(st_cause,U11,st_sel,1))</f>
        <v>24.0</v>
      </c>
      <c r="Z11">
        <f>IF(U11="",0,SUMIFS(st_min,st_cause,U11,st_sel,1))</f>
        <v>588.0</v>
      </c>
      <c r="AA11">
        <f>IF(AND(U11&lt;&gt;"",W11="Non planifié",Z11&gt;0),ROUND(Z11,4),"")</f>
        <v>588.0</v>
      </c>
      <c r="AB11">
        <f>IF(AA11="","",COUNTIF($AA$9:$AA$48,"&gt;"&amp;AA11)+COUNTIF($AA$9:AA11,AA11))</f>
        <v>10.0</v>
      </c>
      <c r="AC11">
        <f>IF(U11="",0,SUMIFS(st_min,st_cause,U11,st_in,1))</f>
        <v>588.0</v>
      </c>
      <c r="AD11">
        <f>IF(U11="",0,COUNTIFS(st_cause,U11,st_in,1))</f>
        <v>24.0</v>
      </c>
      <c r="AE11">
        <f>IF(AND(U11&lt;&gt;"",W11="Non planifié",AC11&gt;0),ROUND(AC11,4),"")</f>
        <v>588.0</v>
      </c>
      <c r="AF11">
        <f>IF(AE11="","",COUNTIF($AE$9:$AE$48,"&gt;"&amp;AE11)+COUNTIF($AE$9:AE11,AE11))</f>
        <v>10.0</v>
      </c>
    </row>
    <row r="12">
      <c r="A12" s="58">
        <f>IF(COUNT($AB$9:$AB$48)&gt;=4,4,"")</f>
        <v>4.0</v>
      </c>
      <c r="B12" s="61" t="str">
        <f>IF(A12="","",INDEX($U$9:$U$48,MATCH(4,$AB$9:$AB$48,0)))</f>
        <v>Panne mécanique</v>
      </c>
      <c r="C12" s="61" t="str">
        <f>IF(A12="","",INDEX($V$9:$V$48,MATCH(4,$AB$9:$AB$48,0)))</f>
        <v>Panne</v>
      </c>
      <c r="D12" s="55">
        <f>IF(A12="","",INDEX($Y$9:$Y$48,MATCH(4,$AB$9:$AB$48,0)))</f>
        <v>24.0</v>
      </c>
      <c r="E12" s="55">
        <f>IF(A12="","",INDEX($Z$9:$Z$48,MATCH(4,$AB$9:$AB$48,0)))</f>
        <v>1800.0</v>
      </c>
      <c r="F12" s="68">
        <f>IF(A12="","",E12/60)</f>
        <v>30.0</v>
      </c>
      <c r="G12" s="57">
        <f>IF(A12="","",E12/$E$49)</f>
        <v>0.0843446886275245</v>
      </c>
      <c r="H12" s="57">
        <f>IF(A12="","",SUM($E$9:E12)/$E$49)</f>
        <v>0.706011901972729</v>
      </c>
      <c r="I12" s="58" t="str">
        <f>IF(A12="","",IF(SUM($E$9:E11)/$E$49&lt;0.8,"A",IF(SUM($E$9:E11)/$E$49&lt;0.95,"B","C")))</f>
        <v>A</v>
      </c>
      <c r="U12" t="str">
        <f>IF('Paramètres'!N9="OK",'Paramètres'!K9,"")</f>
        <v>Changement de série</v>
      </c>
      <c r="V12" t="str">
        <f>IF(U12="","",'Paramètres'!L9)</f>
        <v>Réglage et changement de série</v>
      </c>
      <c r="W12" t="str">
        <f>IF(U12="","",'Paramètres'!M9)</f>
        <v>Non planifié</v>
      </c>
      <c r="Y12">
        <f>IF(U12="",0,COUNTIFS(st_cause,U12,st_sel,1))</f>
        <v>195.0</v>
      </c>
      <c r="Z12">
        <f>IF(U12="",0,SUMIFS(st_min,st_cause,U12,st_sel,1))</f>
        <v>9185.0</v>
      </c>
      <c r="AA12">
        <f>IF(AND(U12&lt;&gt;"",W12="Non planifié",Z12&gt;0),ROUND(Z12,4),"")</f>
        <v>9185.0</v>
      </c>
      <c r="AB12">
        <f>IF(AA12="","",COUNTIF($AA$9:$AA$48,"&gt;"&amp;AA12)+COUNTIF($AA$9:AA12,AA12))</f>
        <v>1.0</v>
      </c>
      <c r="AC12">
        <f>IF(U12="",0,SUMIFS(st_min,st_cause,U12,st_in,1))</f>
        <v>9185.0</v>
      </c>
      <c r="AD12">
        <f>IF(U12="",0,COUNTIFS(st_cause,U12,st_in,1))</f>
        <v>195.0</v>
      </c>
      <c r="AE12">
        <f>IF(AND(U12&lt;&gt;"",W12="Non planifié",AC12&gt;0),ROUND(AC12,4),"")</f>
        <v>9185.0</v>
      </c>
      <c r="AF12">
        <f>IF(AE12="","",COUNTIF($AE$9:$AE$48,"&gt;"&amp;AE12)+COUNTIF($AE$9:AE12,AE12))</f>
        <v>1.0</v>
      </c>
    </row>
    <row r="13">
      <c r="A13" s="58">
        <f>IF(COUNT($AB$9:$AB$48)&gt;=5,5,"")</f>
        <v>5.0</v>
      </c>
      <c r="B13" s="61" t="str">
        <f>IF(A13="","",INDEX($U$9:$U$48,MATCH(5,$AB$9:$AB$48,0)))</f>
        <v>Panne électrique</v>
      </c>
      <c r="C13" s="61" t="str">
        <f>IF(A13="","",INDEX($V$9:$V$48,MATCH(5,$AB$9:$AB$48,0)))</f>
        <v>Panne</v>
      </c>
      <c r="D13" s="55">
        <f>IF(A13="","",INDEX($Y$9:$Y$48,MATCH(5,$AB$9:$AB$48,0)))</f>
        <v>13.0</v>
      </c>
      <c r="E13" s="55">
        <f>IF(A13="","",INDEX($Z$9:$Z$48,MATCH(5,$AB$9:$AB$48,0)))</f>
        <v>974.0</v>
      </c>
      <c r="F13" s="68">
        <f>IF(A13="","",E13/60)</f>
        <v>16.2333333333333</v>
      </c>
      <c r="G13" s="57">
        <f>IF(A13="","",E13/$E$49)</f>
        <v>0.0456398481795605</v>
      </c>
      <c r="H13" s="57">
        <f>IF(A13="","",SUM($E$9:E13)/$E$49)</f>
        <v>0.751651750152289</v>
      </c>
      <c r="I13" s="58" t="str">
        <f>IF(A13="","",IF(SUM($E$9:E12)/$E$49&lt;0.8,"A",IF(SUM($E$9:E12)/$E$49&lt;0.95,"B","C")))</f>
        <v>A</v>
      </c>
      <c r="U13" t="str">
        <f>IF('Paramètres'!N10="OK",'Paramètres'!K10,"")</f>
        <v>Réglage en cours de production</v>
      </c>
      <c r="V13" t="str">
        <f>IF(U13="","",'Paramètres'!L10)</f>
        <v>Réglage et changement de série</v>
      </c>
      <c r="W13" t="str">
        <f>IF(U13="","",'Paramètres'!M10)</f>
        <v>Non planifié</v>
      </c>
      <c r="Y13">
        <f>IF(U13="",0,COUNTIFS(st_cause,U13,st_sel,1))</f>
        <v>54.0</v>
      </c>
      <c r="Z13">
        <f>IF(U13="",0,SUMIFS(st_min,st_cause,U13,st_sel,1))</f>
        <v>848.0</v>
      </c>
      <c r="AA13">
        <f>IF(AND(U13&lt;&gt;"",W13="Non planifié",Z13&gt;0),ROUND(Z13,4),"")</f>
        <v>848.0</v>
      </c>
      <c r="AB13">
        <f>IF(AA13="","",COUNTIF($AA$9:$AA$48,"&gt;"&amp;AA13)+COUNTIF($AA$9:AA13,AA13))</f>
        <v>7.0</v>
      </c>
      <c r="AC13">
        <f>IF(U13="",0,SUMIFS(st_min,st_cause,U13,st_in,1))</f>
        <v>848.0</v>
      </c>
      <c r="AD13">
        <f>IF(U13="",0,COUNTIFS(st_cause,U13,st_in,1))</f>
        <v>54.0</v>
      </c>
      <c r="AE13">
        <f>IF(AND(U13&lt;&gt;"",W13="Non planifié",AC13&gt;0),ROUND(AC13,4),"")</f>
        <v>848.0</v>
      </c>
      <c r="AF13">
        <f>IF(AE13="","",COUNTIF($AE$9:$AE$48,"&gt;"&amp;AE13)+COUNTIF($AE$9:AE13,AE13))</f>
        <v>7.0</v>
      </c>
    </row>
    <row r="14">
      <c r="A14" s="58">
        <f>IF(COUNT($AB$9:$AB$48)&gt;=6,6,"")</f>
        <v>6.0</v>
      </c>
      <c r="B14" s="61" t="str">
        <f>IF(A14="","",INDEX($U$9:$U$48,MATCH(6,$AB$9:$AB$48,0)))</f>
        <v>Opérateur sur un autre poste</v>
      </c>
      <c r="C14" s="61" t="str">
        <f>IF(A14="","",INDEX($V$9:$V$48,MATCH(6,$AB$9:$AB$48,0)))</f>
        <v>Manque personnel</v>
      </c>
      <c r="D14" s="55">
        <f>IF(A14="","",INDEX($Y$9:$Y$48,MATCH(6,$AB$9:$AB$48,0)))</f>
        <v>22.0</v>
      </c>
      <c r="E14" s="55">
        <f>IF(A14="","",INDEX($Z$9:$Z$48,MATCH(6,$AB$9:$AB$48,0)))</f>
        <v>917.0</v>
      </c>
      <c r="F14" s="68">
        <f>IF(A14="","",E14/60)</f>
        <v>15.2833333333333</v>
      </c>
      <c r="G14" s="57">
        <f>IF(A14="","",E14/$E$49)</f>
        <v>0.0429689330396889</v>
      </c>
      <c r="H14" s="57">
        <f>IF(A14="","",SUM($E$9:E14)/$E$49)</f>
        <v>0.794620683191978</v>
      </c>
      <c r="I14" s="58" t="str">
        <f>IF(A14="","",IF(SUM($E$9:E13)/$E$49&lt;0.8,"A",IF(SUM($E$9:E13)/$E$49&lt;0.95,"B","C")))</f>
        <v>A</v>
      </c>
      <c r="U14" t="str">
        <f>IF('Paramètres'!N11="OK",'Paramètres'!K11,"")</f>
        <v>Changement d'outil</v>
      </c>
      <c r="V14" t="str">
        <f>IF(U14="","",'Paramètres'!L11)</f>
        <v>Réglage et changement de série</v>
      </c>
      <c r="W14" t="str">
        <f>IF(U14="","",'Paramètres'!M11)</f>
        <v>Non planifié</v>
      </c>
      <c r="Y14">
        <f>IF(U14="",0,COUNTIFS(st_cause,U14,st_sel,1))</f>
        <v>34.0</v>
      </c>
      <c r="Z14">
        <f>IF(U14="",0,SUMIFS(st_min,st_cause,U14,st_sel,1))</f>
        <v>470.0</v>
      </c>
      <c r="AA14">
        <f>IF(AND(U14&lt;&gt;"",W14="Non planifié",Z14&gt;0),ROUND(Z14,4),"")</f>
        <v>470.0</v>
      </c>
      <c r="AB14">
        <f>IF(AA14="","",COUNTIF($AA$9:$AA$48,"&gt;"&amp;AA14)+COUNTIF($AA$9:AA14,AA14))</f>
        <v>13.0</v>
      </c>
      <c r="AC14">
        <f>IF(U14="",0,SUMIFS(st_min,st_cause,U14,st_in,1))</f>
        <v>470.0</v>
      </c>
      <c r="AD14">
        <f>IF(U14="",0,COUNTIFS(st_cause,U14,st_in,1))</f>
        <v>34.0</v>
      </c>
      <c r="AE14">
        <f>IF(AND(U14&lt;&gt;"",W14="Non planifié",AC14&gt;0),ROUND(AC14,4),"")</f>
        <v>470.0</v>
      </c>
      <c r="AF14">
        <f>IF(AE14="","",COUNTIF($AE$9:$AE$48,"&gt;"&amp;AE14)+COUNTIF($AE$9:AE14,AE14))</f>
        <v>13.0</v>
      </c>
    </row>
    <row r="15">
      <c r="A15" s="58">
        <f>IF(COUNT($AB$9:$AB$48)&gt;=7,7,"")</f>
        <v>7.0</v>
      </c>
      <c r="B15" s="61" t="str">
        <f>IF(A15="","",INDEX($U$9:$U$48,MATCH(7,$AB$9:$AB$48,0)))</f>
        <v>Réglage en cours de production</v>
      </c>
      <c r="C15" s="61" t="str">
        <f>IF(A15="","",INDEX($V$9:$V$48,MATCH(7,$AB$9:$AB$48,0)))</f>
        <v>Réglage et changement de série</v>
      </c>
      <c r="D15" s="55">
        <f>IF(A15="","",INDEX($Y$9:$Y$48,MATCH(7,$AB$9:$AB$48,0)))</f>
        <v>54.0</v>
      </c>
      <c r="E15" s="55">
        <f>IF(A15="","",INDEX($Z$9:$Z$48,MATCH(7,$AB$9:$AB$48,0)))</f>
        <v>848.0</v>
      </c>
      <c r="F15" s="68">
        <f>IF(A15="","",E15/60)</f>
        <v>14.1333333333333</v>
      </c>
      <c r="G15" s="57">
        <f>IF(A15="","",E15/$E$49)</f>
        <v>0.0397357199756338</v>
      </c>
      <c r="H15" s="57">
        <f>IF(A15="","",SUM($E$9:E15)/$E$49)</f>
        <v>0.834356403167612</v>
      </c>
      <c r="I15" s="58" t="str">
        <f>IF(A15="","",IF(SUM($E$9:E14)/$E$49&lt;0.8,"A",IF(SUM($E$9:E14)/$E$49&lt;0.95,"B","C")))</f>
        <v>A</v>
      </c>
      <c r="U15" t="str">
        <f>IF('Paramètres'!N12="OK",'Paramètres'!K12,"")</f>
        <v>Attente matière</v>
      </c>
      <c r="V15" t="str">
        <f>IF(U15="","",'Paramètres'!L12)</f>
        <v>Manque matière</v>
      </c>
      <c r="W15" t="str">
        <f>IF(U15="","",'Paramètres'!M12)</f>
        <v>Non planifié</v>
      </c>
      <c r="Y15">
        <f>IF(U15="",0,COUNTIFS(st_cause,U15,st_sel,1))</f>
        <v>43.0</v>
      </c>
      <c r="Z15">
        <f>IF(U15="",0,SUMIFS(st_min,st_cause,U15,st_sel,1))</f>
        <v>2099.0</v>
      </c>
      <c r="AA15">
        <f>IF(AND(U15&lt;&gt;"",W15="Non planifié",Z15&gt;0),ROUND(Z15,4),"")</f>
        <v>2099.0</v>
      </c>
      <c r="AB15">
        <f>IF(AA15="","",COUNTIF($AA$9:$AA$48,"&gt;"&amp;AA15)+COUNTIF($AA$9:AA15,AA15))</f>
        <v>2.0</v>
      </c>
      <c r="AC15">
        <f>IF(U15="",0,SUMIFS(st_min,st_cause,U15,st_in,1))</f>
        <v>2099.0</v>
      </c>
      <c r="AD15">
        <f>IF(U15="",0,COUNTIFS(st_cause,U15,st_in,1))</f>
        <v>43.0</v>
      </c>
      <c r="AE15">
        <f>IF(AND(U15&lt;&gt;"",W15="Non planifié",AC15&gt;0),ROUND(AC15,4),"")</f>
        <v>2099.0</v>
      </c>
      <c r="AF15">
        <f>IF(AE15="","",COUNTIF($AE$9:$AE$48,"&gt;"&amp;AE15)+COUNTIF($AE$9:AE15,AE15))</f>
        <v>2.0</v>
      </c>
    </row>
    <row r="16">
      <c r="A16" s="58">
        <f>IF(COUNT($AB$9:$AB$48)&gt;=8,8,"")</f>
        <v>8.0</v>
      </c>
      <c r="B16" s="61" t="str">
        <f>IF(A16="","",INDEX($U$9:$U$48,MATCH(8,$AB$9:$AB$48,0)))</f>
        <v>Attente contrôle qualité</v>
      </c>
      <c r="C16" s="61" t="str">
        <f>IF(A16="","",INDEX($V$9:$V$48,MATCH(8,$AB$9:$AB$48,0)))</f>
        <v>Qualité</v>
      </c>
      <c r="D16" s="55">
        <f>IF(A16="","",INDEX($Y$9:$Y$48,MATCH(8,$AB$9:$AB$48,0)))</f>
        <v>37.0</v>
      </c>
      <c r="E16" s="55">
        <f>IF(A16="","",INDEX($Z$9:$Z$48,MATCH(8,$AB$9:$AB$48,0)))</f>
        <v>707.0</v>
      </c>
      <c r="F16" s="68">
        <f>IF(A16="","",E16/60)</f>
        <v>11.7833333333333</v>
      </c>
      <c r="G16" s="57">
        <f>IF(A16="","",E16/$E$49)</f>
        <v>0.0331287193664777</v>
      </c>
      <c r="H16" s="57">
        <f>IF(A16="","",SUM($E$9:E16)/$E$49)</f>
        <v>0.867485122534089</v>
      </c>
      <c r="I16" s="58" t="str">
        <f>IF(A16="","",IF(SUM($E$9:E15)/$E$49&lt;0.8,"A",IF(SUM($E$9:E15)/$E$49&lt;0.95,"B","C")))</f>
        <v>B</v>
      </c>
      <c r="U16" t="str">
        <f>IF('Paramètres'!N13="OK",'Paramètres'!K13,"")</f>
        <v>Attente pièces de l'opération précédente</v>
      </c>
      <c r="V16" t="str">
        <f>IF(U16="","",'Paramètres'!L13)</f>
        <v>Manque matière</v>
      </c>
      <c r="W16" t="str">
        <f>IF(U16="","",'Paramètres'!M13)</f>
        <v>Non planifié</v>
      </c>
      <c r="Y16">
        <f>IF(U16="",0,COUNTIFS(st_cause,U16,st_sel,1))</f>
        <v>17.0</v>
      </c>
      <c r="Z16">
        <f>IF(U16="",0,SUMIFS(st_min,st_cause,U16,st_sel,1))</f>
        <v>495.0</v>
      </c>
      <c r="AA16">
        <f>IF(AND(U16&lt;&gt;"",W16="Non planifié",Z16&gt;0),ROUND(Z16,4),"")</f>
        <v>495.0</v>
      </c>
      <c r="AB16">
        <f>IF(AA16="","",COUNTIF($AA$9:$AA$48,"&gt;"&amp;AA16)+COUNTIF($AA$9:AA16,AA16))</f>
        <v>11.0</v>
      </c>
      <c r="AC16">
        <f>IF(U16="",0,SUMIFS(st_min,st_cause,U16,st_in,1))</f>
        <v>495.0</v>
      </c>
      <c r="AD16">
        <f>IF(U16="",0,COUNTIFS(st_cause,U16,st_in,1))</f>
        <v>17.0</v>
      </c>
      <c r="AE16">
        <f>IF(AND(U16&lt;&gt;"",W16="Non planifié",AC16&gt;0),ROUND(AC16,4),"")</f>
        <v>495.0</v>
      </c>
      <c r="AF16">
        <f>IF(AE16="","",COUNTIF($AE$9:$AE$48,"&gt;"&amp;AE16)+COUNTIF($AE$9:AE16,AE16))</f>
        <v>11.0</v>
      </c>
    </row>
    <row r="17">
      <c r="A17" s="58">
        <f>IF(COUNT($AB$9:$AB$48)&gt;=9,9,"")</f>
        <v>9.0</v>
      </c>
      <c r="B17" s="61" t="str">
        <f>IF(A17="","",INDEX($U$9:$U$48,MATCH(9,$AB$9:$AB$48,0)))</f>
        <v>Arrêt pour non-conformité</v>
      </c>
      <c r="C17" s="61" t="str">
        <f>IF(A17="","",INDEX($V$9:$V$48,MATCH(9,$AB$9:$AB$48,0)))</f>
        <v>Qualité</v>
      </c>
      <c r="D17" s="55">
        <f>IF(A17="","",INDEX($Y$9:$Y$48,MATCH(9,$AB$9:$AB$48,0)))</f>
        <v>16.0</v>
      </c>
      <c r="E17" s="55">
        <f>IF(A17="","",INDEX($Z$9:$Z$48,MATCH(9,$AB$9:$AB$48,0)))</f>
        <v>620.0</v>
      </c>
      <c r="F17" s="68">
        <f>IF(A17="","",E17/60)</f>
        <v>10.3333333333333</v>
      </c>
      <c r="G17" s="57">
        <f>IF(A17="","",E17/$E$49)</f>
        <v>0.0290520594161473</v>
      </c>
      <c r="H17" s="57">
        <f>IF(A17="","",SUM($E$9:E17)/$E$49)</f>
        <v>0.896537181950237</v>
      </c>
      <c r="I17" s="58" t="str">
        <f>IF(A17="","",IF(SUM($E$9:E16)/$E$49&lt;0.8,"A",IF(SUM($E$9:E16)/$E$49&lt;0.95,"B","C")))</f>
        <v>B</v>
      </c>
      <c r="U17" t="str">
        <f>IF('Paramètres'!N14="OK",'Paramètres'!K14,"")</f>
        <v>Absence opérateur</v>
      </c>
      <c r="V17" t="str">
        <f>IF(U17="","",'Paramètres'!L14)</f>
        <v>Manque personnel</v>
      </c>
      <c r="W17" t="str">
        <f>IF(U17="","",'Paramètres'!M14)</f>
        <v>Non planifié</v>
      </c>
      <c r="Y17">
        <f>IF(U17="",0,COUNTIFS(st_cause,U17,st_sel,1))</f>
        <v>14.0</v>
      </c>
      <c r="Z17">
        <f>IF(U17="",0,SUMIFS(st_min,st_cause,U17,st_sel,1))</f>
        <v>1983.0</v>
      </c>
      <c r="AA17">
        <f>IF(AND(U17&lt;&gt;"",W17="Non planifié",Z17&gt;0),ROUND(Z17,4),"")</f>
        <v>1983.0</v>
      </c>
      <c r="AB17">
        <f>IF(AA17="","",COUNTIF($AA$9:$AA$48,"&gt;"&amp;AA17)+COUNTIF($AA$9:AA17,AA17))</f>
        <v>3.0</v>
      </c>
      <c r="AC17">
        <f>IF(U17="",0,SUMIFS(st_min,st_cause,U17,st_in,1))</f>
        <v>1983.0</v>
      </c>
      <c r="AD17">
        <f>IF(U17="",0,COUNTIFS(st_cause,U17,st_in,1))</f>
        <v>14.0</v>
      </c>
      <c r="AE17">
        <f>IF(AND(U17&lt;&gt;"",W17="Non planifié",AC17&gt;0),ROUND(AC17,4),"")</f>
        <v>1983.0</v>
      </c>
      <c r="AF17">
        <f>IF(AE17="","",COUNTIF($AE$9:$AE$48,"&gt;"&amp;AE17)+COUNTIF($AE$9:AE17,AE17))</f>
        <v>3.0</v>
      </c>
    </row>
    <row r="18">
      <c r="A18" s="58">
        <f>IF(COUNT($AB$9:$AB$48)&gt;=10,10,"")</f>
        <v>10.0</v>
      </c>
      <c r="B18" s="61" t="str">
        <f>IF(A18="","",INDEX($U$9:$U$48,MATCH(10,$AB$9:$AB$48,0)))</f>
        <v>Casse outil</v>
      </c>
      <c r="C18" s="61" t="str">
        <f>IF(A18="","",INDEX($V$9:$V$48,MATCH(10,$AB$9:$AB$48,0)))</f>
        <v>Panne</v>
      </c>
      <c r="D18" s="55">
        <f>IF(A18="","",INDEX($Y$9:$Y$48,MATCH(10,$AB$9:$AB$48,0)))</f>
        <v>24.0</v>
      </c>
      <c r="E18" s="55">
        <f>IF(A18="","",INDEX($Z$9:$Z$48,MATCH(10,$AB$9:$AB$48,0)))</f>
        <v>588.0</v>
      </c>
      <c r="F18" s="68">
        <f>IF(A18="","",E18/60)</f>
        <v>9.8</v>
      </c>
      <c r="G18" s="57">
        <f>IF(A18="","",E18/$E$49)</f>
        <v>0.0275525982849913</v>
      </c>
      <c r="H18" s="57">
        <f>IF(A18="","",SUM($E$9:E18)/$E$49)</f>
        <v>0.924089780235228</v>
      </c>
      <c r="I18" s="58" t="str">
        <f>IF(A18="","",IF(SUM($E$9:E17)/$E$49&lt;0.8,"A",IF(SUM($E$9:E17)/$E$49&lt;0.95,"B","C")))</f>
        <v>B</v>
      </c>
      <c r="U18" t="str">
        <f>IF('Paramètres'!N15="OK",'Paramètres'!K15,"")</f>
        <v>Opérateur sur un autre poste</v>
      </c>
      <c r="V18" t="str">
        <f>IF(U18="","",'Paramètres'!L15)</f>
        <v>Manque personnel</v>
      </c>
      <c r="W18" t="str">
        <f>IF(U18="","",'Paramètres'!M15)</f>
        <v>Non planifié</v>
      </c>
      <c r="Y18">
        <f>IF(U18="",0,COUNTIFS(st_cause,U18,st_sel,1))</f>
        <v>22.0</v>
      </c>
      <c r="Z18">
        <f>IF(U18="",0,SUMIFS(st_min,st_cause,U18,st_sel,1))</f>
        <v>917.0</v>
      </c>
      <c r="AA18">
        <f>IF(AND(U18&lt;&gt;"",W18="Non planifié",Z18&gt;0),ROUND(Z18,4),"")</f>
        <v>917.0</v>
      </c>
      <c r="AB18">
        <f>IF(AA18="","",COUNTIF($AA$9:$AA$48,"&gt;"&amp;AA18)+COUNTIF($AA$9:AA18,AA18))</f>
        <v>6.0</v>
      </c>
      <c r="AC18">
        <f>IF(U18="",0,SUMIFS(st_min,st_cause,U18,st_in,1))</f>
        <v>917.0</v>
      </c>
      <c r="AD18">
        <f>IF(U18="",0,COUNTIFS(st_cause,U18,st_in,1))</f>
        <v>22.0</v>
      </c>
      <c r="AE18">
        <f>IF(AND(U18&lt;&gt;"",W18="Non planifié",AC18&gt;0),ROUND(AC18,4),"")</f>
        <v>917.0</v>
      </c>
      <c r="AF18">
        <f>IF(AE18="","",COUNTIF($AE$9:$AE$48,"&gt;"&amp;AE18)+COUNTIF($AE$9:AE18,AE18))</f>
        <v>6.0</v>
      </c>
    </row>
    <row r="19">
      <c r="A19" s="58">
        <f>IF(COUNT($AB$9:$AB$48)&gt;=11,11,"")</f>
        <v>11.0</v>
      </c>
      <c r="B19" s="61" t="str">
        <f>IF(A19="","",INDEX($U$9:$U$48,MATCH(11,$AB$9:$AB$48,0)))</f>
        <v>Attente pièces de l'opération précédente</v>
      </c>
      <c r="C19" s="61" t="str">
        <f>IF(A19="","",INDEX($V$9:$V$48,MATCH(11,$AB$9:$AB$48,0)))</f>
        <v>Manque matière</v>
      </c>
      <c r="D19" s="55">
        <f>IF(A19="","",INDEX($Y$9:$Y$48,MATCH(11,$AB$9:$AB$48,0)))</f>
        <v>17.0</v>
      </c>
      <c r="E19" s="55">
        <f>IF(A19="","",INDEX($Z$9:$Z$48,MATCH(11,$AB$9:$AB$48,0)))</f>
        <v>495.0</v>
      </c>
      <c r="F19" s="68">
        <f>IF(A19="","",E19/60)</f>
        <v>8.25</v>
      </c>
      <c r="G19" s="57">
        <f>IF(A19="","",E19/$E$49)</f>
        <v>0.0231947893725692</v>
      </c>
      <c r="H19" s="57">
        <f>IF(A19="","",SUM($E$9:E19)/$E$49)</f>
        <v>0.947284569607797</v>
      </c>
      <c r="I19" s="58" t="str">
        <f>IF(A19="","",IF(SUM($E$9:E18)/$E$49&lt;0.8,"A",IF(SUM($E$9:E18)/$E$49&lt;0.95,"B","C")))</f>
        <v>B</v>
      </c>
      <c r="U19" t="str">
        <f>IF('Paramètres'!N16="OK",'Paramètres'!K16,"")</f>
        <v>Attente contrôle qualité</v>
      </c>
      <c r="V19" t="str">
        <f>IF(U19="","",'Paramètres'!L16)</f>
        <v>Qualité</v>
      </c>
      <c r="W19" t="str">
        <f>IF(U19="","",'Paramètres'!M16)</f>
        <v>Non planifié</v>
      </c>
      <c r="Y19">
        <f>IF(U19="",0,COUNTIFS(st_cause,U19,st_sel,1))</f>
        <v>37.0</v>
      </c>
      <c r="Z19">
        <f>IF(U19="",0,SUMIFS(st_min,st_cause,U19,st_sel,1))</f>
        <v>707.0</v>
      </c>
      <c r="AA19">
        <f>IF(AND(U19&lt;&gt;"",W19="Non planifié",Z19&gt;0),ROUND(Z19,4),"")</f>
        <v>707.0</v>
      </c>
      <c r="AB19">
        <f>IF(AA19="","",COUNTIF($AA$9:$AA$48,"&gt;"&amp;AA19)+COUNTIF($AA$9:AA19,AA19))</f>
        <v>8.0</v>
      </c>
      <c r="AC19">
        <f>IF(U19="",0,SUMIFS(st_min,st_cause,U19,st_in,1))</f>
        <v>707.0</v>
      </c>
      <c r="AD19">
        <f>IF(U19="",0,COUNTIFS(st_cause,U19,st_in,1))</f>
        <v>37.0</v>
      </c>
      <c r="AE19">
        <f>IF(AND(U19&lt;&gt;"",W19="Non planifié",AC19&gt;0),ROUND(AC19,4),"")</f>
        <v>707.0</v>
      </c>
      <c r="AF19">
        <f>IF(AE19="","",COUNTIF($AE$9:$AE$48,"&gt;"&amp;AE19)+COUNTIF($AE$9:AE19,AE19))</f>
        <v>8.0</v>
      </c>
    </row>
    <row r="20">
      <c r="A20" s="58">
        <f>IF(COUNT($AB$9:$AB$48)&gt;=12,12,"")</f>
        <v>12.0</v>
      </c>
      <c r="B20" s="61" t="str">
        <f>IF(A20="","",INDEX($U$9:$U$48,MATCH(12,$AB$9:$AB$48,0)))</f>
        <v>Attente programme ou consignes</v>
      </c>
      <c r="C20" s="61" t="str">
        <f>IF(A20="","",INDEX($V$9:$V$48,MATCH(12,$AB$9:$AB$48,0)))</f>
        <v>Organisation</v>
      </c>
      <c r="D20" s="55">
        <f>IF(A20="","",INDEX($Y$9:$Y$48,MATCH(12,$AB$9:$AB$48,0)))</f>
        <v>23.0</v>
      </c>
      <c r="E20" s="55">
        <f>IF(A20="","",INDEX($Z$9:$Z$48,MATCH(12,$AB$9:$AB$48,0)))</f>
        <v>472.0</v>
      </c>
      <c r="F20" s="68">
        <f>IF(A20="","",E20/60)</f>
        <v>7.86666666666667</v>
      </c>
      <c r="G20" s="57">
        <f>IF(A20="","",E20/$E$49)</f>
        <v>0.0221170516845509</v>
      </c>
      <c r="H20" s="57">
        <f>IF(A20="","",SUM($E$9:E20)/$E$49)</f>
        <v>0.969401621292348</v>
      </c>
      <c r="I20" s="58" t="str">
        <f>IF(A20="","",IF(SUM($E$9:E19)/$E$49&lt;0.8,"A",IF(SUM($E$9:E19)/$E$49&lt;0.95,"B","C")))</f>
        <v>B</v>
      </c>
      <c r="U20" t="str">
        <f>IF('Paramètres'!N17="OK",'Paramètres'!K17,"")</f>
        <v>Arrêt pour non-conformité</v>
      </c>
      <c r="V20" t="str">
        <f>IF(U20="","",'Paramètres'!L17)</f>
        <v>Qualité</v>
      </c>
      <c r="W20" t="str">
        <f>IF(U20="","",'Paramètres'!M17)</f>
        <v>Non planifié</v>
      </c>
      <c r="Y20">
        <f>IF(U20="",0,COUNTIFS(st_cause,U20,st_sel,1))</f>
        <v>16.0</v>
      </c>
      <c r="Z20">
        <f>IF(U20="",0,SUMIFS(st_min,st_cause,U20,st_sel,1))</f>
        <v>620.0</v>
      </c>
      <c r="AA20">
        <f>IF(AND(U20&lt;&gt;"",W20="Non planifié",Z20&gt;0),ROUND(Z20,4),"")</f>
        <v>620.0</v>
      </c>
      <c r="AB20">
        <f>IF(AA20="","",COUNTIF($AA$9:$AA$48,"&gt;"&amp;AA20)+COUNTIF($AA$9:AA20,AA20))</f>
        <v>9.0</v>
      </c>
      <c r="AC20">
        <f>IF(U20="",0,SUMIFS(st_min,st_cause,U20,st_in,1))</f>
        <v>620.0</v>
      </c>
      <c r="AD20">
        <f>IF(U20="",0,COUNTIFS(st_cause,U20,st_in,1))</f>
        <v>16.0</v>
      </c>
      <c r="AE20">
        <f>IF(AND(U20&lt;&gt;"",W20="Non planifié",AC20&gt;0),ROUND(AC20,4),"")</f>
        <v>620.0</v>
      </c>
      <c r="AF20">
        <f>IF(AE20="","",COUNTIF($AE$9:$AE$48,"&gt;"&amp;AE20)+COUNTIF($AE$9:AE20,AE20))</f>
        <v>9.0</v>
      </c>
    </row>
    <row r="21">
      <c r="A21" s="58">
        <f>IF(COUNT($AB$9:$AB$48)&gt;=13,13,"")</f>
        <v>13.0</v>
      </c>
      <c r="B21" s="61" t="str">
        <f>IF(A21="","",INDEX($U$9:$U$48,MATCH(13,$AB$9:$AB$48,0)))</f>
        <v>Changement d'outil</v>
      </c>
      <c r="C21" s="61" t="str">
        <f>IF(A21="","",INDEX($V$9:$V$48,MATCH(13,$AB$9:$AB$48,0)))</f>
        <v>Réglage et changement de série</v>
      </c>
      <c r="D21" s="55">
        <f>IF(A21="","",INDEX($Y$9:$Y$48,MATCH(13,$AB$9:$AB$48,0)))</f>
        <v>34.0</v>
      </c>
      <c r="E21" s="55">
        <f>IF(A21="","",INDEX($Z$9:$Z$48,MATCH(13,$AB$9:$AB$48,0)))</f>
        <v>470.0</v>
      </c>
      <c r="F21" s="68">
        <f>IF(A21="","",E21/60)</f>
        <v>7.83333333333333</v>
      </c>
      <c r="G21" s="57">
        <f>IF(A21="","",E21/$E$49)</f>
        <v>0.0220233353638536</v>
      </c>
      <c r="H21" s="57">
        <f>IF(A21="","",SUM($E$9:E21)/$E$49)</f>
        <v>0.991424956656202</v>
      </c>
      <c r="I21" s="58" t="str">
        <f>IF(A21="","",IF(SUM($E$9:E20)/$E$49&lt;0.8,"A",IF(SUM($E$9:E20)/$E$49&lt;0.95,"B","C")))</f>
        <v>C</v>
      </c>
      <c r="U21" t="str">
        <f>IF('Paramètres'!N18="OK",'Paramètres'!K18,"")</f>
        <v>Attente programme ou consignes</v>
      </c>
      <c r="V21" t="str">
        <f>IF(U21="","",'Paramètres'!L18)</f>
        <v>Organisation</v>
      </c>
      <c r="W21" t="str">
        <f>IF(U21="","",'Paramètres'!M18)</f>
        <v>Non planifié</v>
      </c>
      <c r="Y21">
        <f>IF(U21="",0,COUNTIFS(st_cause,U21,st_sel,1))</f>
        <v>23.0</v>
      </c>
      <c r="Z21">
        <f>IF(U21="",0,SUMIFS(st_min,st_cause,U21,st_sel,1))</f>
        <v>472.0</v>
      </c>
      <c r="AA21">
        <f>IF(AND(U21&lt;&gt;"",W21="Non planifié",Z21&gt;0),ROUND(Z21,4),"")</f>
        <v>472.0</v>
      </c>
      <c r="AB21">
        <f>IF(AA21="","",COUNTIF($AA$9:$AA$48,"&gt;"&amp;AA21)+COUNTIF($AA$9:AA21,AA21))</f>
        <v>12.0</v>
      </c>
      <c r="AC21">
        <f>IF(U21="",0,SUMIFS(st_min,st_cause,U21,st_in,1))</f>
        <v>472.0</v>
      </c>
      <c r="AD21">
        <f>IF(U21="",0,COUNTIFS(st_cause,U21,st_in,1))</f>
        <v>23.0</v>
      </c>
      <c r="AE21">
        <f>IF(AND(U21&lt;&gt;"",W21="Non planifié",AC21&gt;0),ROUND(AC21,4),"")</f>
        <v>472.0</v>
      </c>
      <c r="AF21">
        <f>IF(AE21="","",COUNTIF($AE$9:$AE$48,"&gt;"&amp;AE21)+COUNTIF($AE$9:AE21,AE21))</f>
        <v>12.0</v>
      </c>
    </row>
    <row r="22">
      <c r="A22" s="58">
        <f>IF(COUNT($AB$9:$AB$48)&gt;=14,14,"")</f>
        <v>14.0</v>
      </c>
      <c r="B22" s="61" t="str">
        <f>IF(A22="","",INDEX($U$9:$U$48,MATCH(14,$AB$9:$AB$48,0)))</f>
        <v>Attente chariot élévateur</v>
      </c>
      <c r="C22" s="61" t="str">
        <f>IF(A22="","",INDEX($V$9:$V$48,MATCH(14,$AB$9:$AB$48,0)))</f>
        <v>Organisation</v>
      </c>
      <c r="D22" s="55">
        <f>IF(A22="","",INDEX($Y$9:$Y$48,MATCH(14,$AB$9:$AB$48,0)))</f>
        <v>14.0</v>
      </c>
      <c r="E22" s="55">
        <f>IF(A22="","",INDEX($Z$9:$Z$48,MATCH(14,$AB$9:$AB$48,0)))</f>
        <v>183.0</v>
      </c>
      <c r="F22" s="68">
        <f>IF(A22="","",E22/60)</f>
        <v>3.05</v>
      </c>
      <c r="G22" s="57">
        <f>IF(A22="","",E22/$E$49)</f>
        <v>0.00857504334379832</v>
      </c>
      <c r="H22" s="57">
        <f>IF(A22="","",SUM($E$9:E22)/$E$49)</f>
        <v>1.0</v>
      </c>
      <c r="I22" s="58" t="str">
        <f>IF(A22="","",IF(SUM($E$9:E21)/$E$49&lt;0.8,"A",IF(SUM($E$9:E21)/$E$49&lt;0.95,"B","C")))</f>
        <v>C</v>
      </c>
      <c r="U22" t="str">
        <f>IF('Paramètres'!N19="OK",'Paramètres'!K19,"")</f>
        <v>Attente chariot élévateur</v>
      </c>
      <c r="V22" t="str">
        <f>IF(U22="","",'Paramètres'!L19)</f>
        <v>Organisation</v>
      </c>
      <c r="W22" t="str">
        <f>IF(U22="","",'Paramètres'!M19)</f>
        <v>Non planifié</v>
      </c>
      <c r="Y22">
        <f>IF(U22="",0,COUNTIFS(st_cause,U22,st_sel,1))</f>
        <v>14.0</v>
      </c>
      <c r="Z22">
        <f>IF(U22="",0,SUMIFS(st_min,st_cause,U22,st_sel,1))</f>
        <v>183.0</v>
      </c>
      <c r="AA22">
        <f>IF(AND(U22&lt;&gt;"",W22="Non planifié",Z22&gt;0),ROUND(Z22,4),"")</f>
        <v>183.0</v>
      </c>
      <c r="AB22">
        <f>IF(AA22="","",COUNTIF($AA$9:$AA$48,"&gt;"&amp;AA22)+COUNTIF($AA$9:AA22,AA22))</f>
        <v>14.0</v>
      </c>
      <c r="AC22">
        <f>IF(U22="",0,SUMIFS(st_min,st_cause,U22,st_in,1))</f>
        <v>183.0</v>
      </c>
      <c r="AD22">
        <f>IF(U22="",0,COUNTIFS(st_cause,U22,st_in,1))</f>
        <v>14.0</v>
      </c>
      <c r="AE22">
        <f>IF(AND(U22&lt;&gt;"",W22="Non planifié",AC22&gt;0),ROUND(AC22,4),"")</f>
        <v>183.0</v>
      </c>
      <c r="AF22">
        <f>IF(AE22="","",COUNTIF($AE$9:$AE$48,"&gt;"&amp;AE22)+COUNTIF($AE$9:AE22,AE22))</f>
        <v>14.0</v>
      </c>
    </row>
    <row r="23">
      <c r="A23" s="58" t="str">
        <f>IF(COUNT($AB$9:$AB$48)&gt;=15,15,"")</f>
        <v/>
      </c>
      <c r="B23" s="61" t="str">
        <f>IF(A23="","",INDEX($U$9:$U$48,MATCH(15,$AB$9:$AB$48,0)))</f>
        <v/>
      </c>
      <c r="C23" s="61" t="str">
        <f>IF(A23="","",INDEX($V$9:$V$48,MATCH(15,$AB$9:$AB$48,0)))</f>
        <v/>
      </c>
      <c r="D23" s="55" t="str">
        <f>IF(A23="","",INDEX($Y$9:$Y$48,MATCH(15,$AB$9:$AB$48,0)))</f>
        <v/>
      </c>
      <c r="E23" s="55" t="str">
        <f>IF(A23="","",INDEX($Z$9:$Z$48,MATCH(15,$AB$9:$AB$48,0)))</f>
        <v/>
      </c>
      <c r="F23" s="68" t="str">
        <f>IF(A23="","",E23/60)</f>
        <v/>
      </c>
      <c r="G23" s="57" t="str">
        <f>IF(A23="","",E23/$E$49)</f>
        <v/>
      </c>
      <c r="H23" s="57" t="str">
        <f>IF(A23="","",SUM($E$9:E23)/$E$49)</f>
        <v/>
      </c>
      <c r="I23" s="58" t="str">
        <f>IF(A23="","",IF(SUM($E$9:E22)/$E$49&lt;0.8,"A",IF(SUM($E$9:E22)/$E$49&lt;0.95,"B","C")))</f>
        <v/>
      </c>
      <c r="U23" t="str">
        <f>IF('Paramètres'!N20="OK",'Paramètres'!K20,"")</f>
        <v>Maintenance préventive</v>
      </c>
      <c r="V23" t="str">
        <f>IF(U23="","",'Paramètres'!L20)</f>
        <v>Arrêt planifié</v>
      </c>
      <c r="W23" t="str">
        <f>IF(U23="","",'Paramètres'!M20)</f>
        <v>Planifié</v>
      </c>
      <c r="Y23">
        <f>IF(U23="",0,COUNTIFS(st_cause,U23,st_sel,1))</f>
        <v>15.0</v>
      </c>
      <c r="Z23">
        <f>IF(U23="",0,SUMIFS(st_min,st_cause,U23,st_sel,1))</f>
        <v>1080.0</v>
      </c>
      <c r="AA23" t="str">
        <f>IF(AND(U23&lt;&gt;"",W23="Non planifié",Z23&gt;0),ROUND(Z23,4),"")</f>
        <v/>
      </c>
      <c r="AB23" t="str">
        <f>IF(AA23="","",COUNTIF($AA$9:$AA$48,"&gt;"&amp;AA23)+COUNTIF($AA$9:AA23,AA23))</f>
        <v/>
      </c>
      <c r="AC23">
        <f>IF(U23="",0,SUMIFS(st_min,st_cause,U23,st_in,1))</f>
        <v>1080.0</v>
      </c>
      <c r="AD23">
        <f>IF(U23="",0,COUNTIFS(st_cause,U23,st_in,1))</f>
        <v>15.0</v>
      </c>
      <c r="AE23" t="str">
        <f>IF(AND(U23&lt;&gt;"",W23="Non planifié",AC23&gt;0),ROUND(AC23,4),"")</f>
        <v/>
      </c>
      <c r="AF23" t="str">
        <f>IF(AE23="","",COUNTIF($AE$9:$AE$48,"&gt;"&amp;AE23)+COUNTIF($AE$9:AE23,AE23))</f>
        <v/>
      </c>
    </row>
    <row r="24">
      <c r="A24" s="58" t="str">
        <f>IF(COUNT($AB$9:$AB$48)&gt;=16,16,"")</f>
        <v/>
      </c>
      <c r="B24" s="61" t="str">
        <f>IF(A24="","",INDEX($U$9:$U$48,MATCH(16,$AB$9:$AB$48,0)))</f>
        <v/>
      </c>
      <c r="C24" s="61" t="str">
        <f>IF(A24="","",INDEX($V$9:$V$48,MATCH(16,$AB$9:$AB$48,0)))</f>
        <v/>
      </c>
      <c r="D24" s="55" t="str">
        <f>IF(A24="","",INDEX($Y$9:$Y$48,MATCH(16,$AB$9:$AB$48,0)))</f>
        <v/>
      </c>
      <c r="E24" s="55" t="str">
        <f>IF(A24="","",INDEX($Z$9:$Z$48,MATCH(16,$AB$9:$AB$48,0)))</f>
        <v/>
      </c>
      <c r="F24" s="68" t="str">
        <f>IF(A24="","",E24/60)</f>
        <v/>
      </c>
      <c r="G24" s="57" t="str">
        <f>IF(A24="","",E24/$E$49)</f>
        <v/>
      </c>
      <c r="H24" s="57" t="str">
        <f>IF(A24="","",SUM($E$9:E24)/$E$49)</f>
        <v/>
      </c>
      <c r="I24" s="58" t="str">
        <f>IF(A24="","",IF(SUM($E$9:E23)/$E$49&lt;0.8,"A",IF(SUM($E$9:E23)/$E$49&lt;0.95,"B","C")))</f>
        <v/>
      </c>
      <c r="U24" t="str">
        <f>IF('Paramètres'!N21="OK",'Paramètres'!K21,"")</f>
        <v>Réunion ou formation</v>
      </c>
      <c r="V24" t="str">
        <f>IF(U24="","",'Paramètres'!L21)</f>
        <v>Arrêt planifié</v>
      </c>
      <c r="W24" t="str">
        <f>IF(U24="","",'Paramètres'!M21)</f>
        <v>Planifié</v>
      </c>
      <c r="Y24">
        <f>IF(U24="",0,COUNTIFS(st_cause,U24,st_sel,1))</f>
        <v>0.0</v>
      </c>
      <c r="Z24">
        <f>IF(U24="",0,SUMIFS(st_min,st_cause,U24,st_sel,1))</f>
        <v>0.0</v>
      </c>
      <c r="AA24" t="str">
        <f>IF(AND(U24&lt;&gt;"",W24="Non planifié",Z24&gt;0),ROUND(Z24,4),"")</f>
        <v/>
      </c>
      <c r="AB24" t="str">
        <f>IF(AA24="","",COUNTIF($AA$9:$AA$48,"&gt;"&amp;AA24)+COUNTIF($AA$9:AA24,AA24))</f>
        <v/>
      </c>
      <c r="AC24">
        <f>IF(U24="",0,SUMIFS(st_min,st_cause,U24,st_in,1))</f>
        <v>0.0</v>
      </c>
      <c r="AD24">
        <f>IF(U24="",0,COUNTIFS(st_cause,U24,st_in,1))</f>
        <v>0.0</v>
      </c>
      <c r="AE24" t="str">
        <f>IF(AND(U24&lt;&gt;"",W24="Non planifié",AC24&gt;0),ROUND(AC24,4),"")</f>
        <v/>
      </c>
      <c r="AF24" t="str">
        <f>IF(AE24="","",COUNTIF($AE$9:$AE$48,"&gt;"&amp;AE24)+COUNTIF($AE$9:AE24,AE24))</f>
        <v/>
      </c>
    </row>
    <row r="25">
      <c r="A25" s="58" t="str">
        <f>IF(COUNT($AB$9:$AB$48)&gt;=17,17,"")</f>
        <v/>
      </c>
      <c r="B25" s="61" t="str">
        <f>IF(A25="","",INDEX($U$9:$U$48,MATCH(17,$AB$9:$AB$48,0)))</f>
        <v/>
      </c>
      <c r="C25" s="61" t="str">
        <f>IF(A25="","",INDEX($V$9:$V$48,MATCH(17,$AB$9:$AB$48,0)))</f>
        <v/>
      </c>
      <c r="D25" s="55" t="str">
        <f>IF(A25="","",INDEX($Y$9:$Y$48,MATCH(17,$AB$9:$AB$48,0)))</f>
        <v/>
      </c>
      <c r="E25" s="55" t="str">
        <f>IF(A25="","",INDEX($Z$9:$Z$48,MATCH(17,$AB$9:$AB$48,0)))</f>
        <v/>
      </c>
      <c r="F25" s="68" t="str">
        <f>IF(A25="","",E25/60)</f>
        <v/>
      </c>
      <c r="G25" s="57" t="str">
        <f>IF(A25="","",E25/$E$49)</f>
        <v/>
      </c>
      <c r="H25" s="57" t="str">
        <f>IF(A25="","",SUM($E$9:E25)/$E$49)</f>
        <v/>
      </c>
      <c r="I25" s="58" t="str">
        <f>IF(A25="","",IF(SUM($E$9:E24)/$E$49&lt;0.8,"A",IF(SUM($E$9:E24)/$E$49&lt;0.95,"B","C")))</f>
        <v/>
      </c>
      <c r="U25" t="str">
        <f>IF('Paramètres'!N22="OK",'Paramètres'!K22,"")</f>
        <v>Nettoyage planifié</v>
      </c>
      <c r="V25" t="str">
        <f>IF(U25="","",'Paramètres'!L22)</f>
        <v>Arrêt planifié</v>
      </c>
      <c r="W25" t="str">
        <f>IF(U25="","",'Paramètres'!M22)</f>
        <v>Planifié</v>
      </c>
      <c r="Y25">
        <f>IF(U25="",0,COUNTIFS(st_cause,U25,st_sel,1))</f>
        <v>0.0</v>
      </c>
      <c r="Z25">
        <f>IF(U25="",0,SUMIFS(st_min,st_cause,U25,st_sel,1))</f>
        <v>0.0</v>
      </c>
      <c r="AA25" t="str">
        <f>IF(AND(U25&lt;&gt;"",W25="Non planifié",Z25&gt;0),ROUND(Z25,4),"")</f>
        <v/>
      </c>
      <c r="AB25" t="str">
        <f>IF(AA25="","",COUNTIF($AA$9:$AA$48,"&gt;"&amp;AA25)+COUNTIF($AA$9:AA25,AA25))</f>
        <v/>
      </c>
      <c r="AC25">
        <f>IF(U25="",0,SUMIFS(st_min,st_cause,U25,st_in,1))</f>
        <v>0.0</v>
      </c>
      <c r="AD25">
        <f>IF(U25="",0,COUNTIFS(st_cause,U25,st_in,1))</f>
        <v>0.0</v>
      </c>
      <c r="AE25" t="str">
        <f>IF(AND(U25&lt;&gt;"",W25="Non planifié",AC25&gt;0),ROUND(AC25,4),"")</f>
        <v/>
      </c>
      <c r="AF25" t="str">
        <f>IF(AE25="","",COUNTIF($AE$9:$AE$48,"&gt;"&amp;AE25)+COUNTIF($AE$9:AE25,AE25))</f>
        <v/>
      </c>
    </row>
    <row r="26">
      <c r="A26" s="58" t="str">
        <f>IF(COUNT($AB$9:$AB$48)&gt;=18,18,"")</f>
        <v/>
      </c>
      <c r="B26" s="61" t="str">
        <f>IF(A26="","",INDEX($U$9:$U$48,MATCH(18,$AB$9:$AB$48,0)))</f>
        <v/>
      </c>
      <c r="C26" s="61" t="str">
        <f>IF(A26="","",INDEX($V$9:$V$48,MATCH(18,$AB$9:$AB$48,0)))</f>
        <v/>
      </c>
      <c r="D26" s="55" t="str">
        <f>IF(A26="","",INDEX($Y$9:$Y$48,MATCH(18,$AB$9:$AB$48,0)))</f>
        <v/>
      </c>
      <c r="E26" s="55" t="str">
        <f>IF(A26="","",INDEX($Z$9:$Z$48,MATCH(18,$AB$9:$AB$48,0)))</f>
        <v/>
      </c>
      <c r="F26" s="68" t="str">
        <f>IF(A26="","",E26/60)</f>
        <v/>
      </c>
      <c r="G26" s="57" t="str">
        <f>IF(A26="","",E26/$E$49)</f>
        <v/>
      </c>
      <c r="H26" s="57" t="str">
        <f>IF(A26="","",SUM($E$9:E26)/$E$49)</f>
        <v/>
      </c>
      <c r="I26" s="58" t="str">
        <f>IF(A26="","",IF(SUM($E$9:E25)/$E$49&lt;0.8,"A",IF(SUM($E$9:E25)/$E$49&lt;0.95,"B","C")))</f>
        <v/>
      </c>
      <c r="U26" t="str">
        <f>IF('Paramètres'!N23="OK",'Paramètres'!K23,"")</f>
        <v>Essais</v>
      </c>
      <c r="V26" t="str">
        <f>IF(U26="","",'Paramètres'!L23)</f>
        <v>Arrêt planifié</v>
      </c>
      <c r="W26" t="str">
        <f>IF(U26="","",'Paramètres'!M23)</f>
        <v>Planifié</v>
      </c>
      <c r="Y26">
        <f>IF(U26="",0,COUNTIFS(st_cause,U26,st_sel,1))</f>
        <v>0.0</v>
      </c>
      <c r="Z26">
        <f>IF(U26="",0,SUMIFS(st_min,st_cause,U26,st_sel,1))</f>
        <v>0.0</v>
      </c>
      <c r="AA26" t="str">
        <f>IF(AND(U26&lt;&gt;"",W26="Non planifié",Z26&gt;0),ROUND(Z26,4),"")</f>
        <v/>
      </c>
      <c r="AB26" t="str">
        <f>IF(AA26="","",COUNTIF($AA$9:$AA$48,"&gt;"&amp;AA26)+COUNTIF($AA$9:AA26,AA26))</f>
        <v/>
      </c>
      <c r="AC26">
        <f>IF(U26="",0,SUMIFS(st_min,st_cause,U26,st_in,1))</f>
        <v>0.0</v>
      </c>
      <c r="AD26">
        <f>IF(U26="",0,COUNTIFS(st_cause,U26,st_in,1))</f>
        <v>0.0</v>
      </c>
      <c r="AE26" t="str">
        <f>IF(AND(U26&lt;&gt;"",W26="Non planifié",AC26&gt;0),ROUND(AC26,4),"")</f>
        <v/>
      </c>
      <c r="AF26" t="str">
        <f>IF(AE26="","",COUNTIF($AE$9:$AE$48,"&gt;"&amp;AE26)+COUNTIF($AE$9:AE26,AE26))</f>
        <v/>
      </c>
    </row>
    <row r="27" ht="22" customHeight="1">
      <c r="A27" s="58" t="str">
        <f>IF(COUNT($AB$9:$AB$48)&gt;=19,19,"")</f>
        <v/>
      </c>
      <c r="B27" s="61" t="str">
        <f>IF(A27="","",INDEX($U$9:$U$48,MATCH(19,$AB$9:$AB$48,0)))</f>
        <v/>
      </c>
      <c r="C27" s="61" t="str">
        <f>IF(A27="","",INDEX($V$9:$V$48,MATCH(19,$AB$9:$AB$48,0)))</f>
        <v/>
      </c>
      <c r="D27" s="55" t="str">
        <f>IF(A27="","",INDEX($Y$9:$Y$48,MATCH(19,$AB$9:$AB$48,0)))</f>
        <v/>
      </c>
      <c r="E27" s="55" t="str">
        <f>IF(A27="","",INDEX($Z$9:$Z$48,MATCH(19,$AB$9:$AB$48,0)))</f>
        <v/>
      </c>
      <c r="F27" s="68" t="str">
        <f>IF(A27="","",E27/60)</f>
        <v/>
      </c>
      <c r="G27" s="57" t="str">
        <f>IF(A27="","",E27/$E$49)</f>
        <v/>
      </c>
      <c r="H27" s="57" t="str">
        <f>IF(A27="","",SUM($E$9:E27)/$E$49)</f>
        <v/>
      </c>
      <c r="I27" s="58" t="str">
        <f>IF(A27="","",IF(SUM($E$9:E26)/$E$49&lt;0.8,"A",IF(SUM($E$9:E26)/$E$49&lt;0.95,"B","C")))</f>
        <v/>
      </c>
      <c r="K27" s="5" t="inlineStr">
        <is>
          <t>Par famille</t>
        </is>
      </c>
      <c r="L27" s="6" t="n"/>
      <c r="M27" s="6" t="n"/>
      <c r="N27" s="6" t="n"/>
      <c r="U27" t="str">
        <f>IF('Paramètres'!N24="OK",'Paramètres'!K24,"")</f>
        <v/>
      </c>
      <c r="V27" t="str">
        <f>IF(U27="","",'Paramètres'!L24)</f>
        <v/>
      </c>
      <c r="W27" t="str">
        <f>IF(U27="","",'Paramètres'!M24)</f>
        <v/>
      </c>
      <c r="Y27">
        <f>IF(U27="",0,COUNTIFS(st_cause,U27,st_sel,1))</f>
        <v>0.0</v>
      </c>
      <c r="Z27">
        <f>IF(U27="",0,SUMIFS(st_min,st_cause,U27,st_sel,1))</f>
        <v>0.0</v>
      </c>
      <c r="AA27" t="str">
        <f>IF(AND(U27&lt;&gt;"",W27="Non planifié",Z27&gt;0),ROUND(Z27,4),"")</f>
        <v/>
      </c>
      <c r="AB27" t="str">
        <f>IF(AA27="","",COUNTIF($AA$9:$AA$48,"&gt;"&amp;AA27)+COUNTIF($AA$9:AA27,AA27))</f>
        <v/>
      </c>
      <c r="AC27">
        <f>IF(U27="",0,SUMIFS(st_min,st_cause,U27,st_in,1))</f>
        <v>0.0</v>
      </c>
      <c r="AD27">
        <f>IF(U27="",0,COUNTIFS(st_cause,U27,st_in,1))</f>
        <v>0.0</v>
      </c>
      <c r="AE27" t="str">
        <f>IF(AND(U27&lt;&gt;"",W27="Non planifié",AC27&gt;0),ROUND(AC27,4),"")</f>
        <v/>
      </c>
      <c r="AF27" t="str">
        <f>IF(AE27="","",COUNTIF($AE$9:$AE$48,"&gt;"&amp;AE27)+COUNTIF($AE$9:AE27,AE27))</f>
        <v/>
      </c>
    </row>
    <row r="28" ht="20" customHeight="1">
      <c r="A28" s="58" t="str">
        <f>IF(COUNT($AB$9:$AB$48)&gt;=20,20,"")</f>
        <v/>
      </c>
      <c r="B28" s="61" t="str">
        <f>IF(A28="","",INDEX($U$9:$U$48,MATCH(20,$AB$9:$AB$48,0)))</f>
        <v/>
      </c>
      <c r="C28" s="61" t="str">
        <f>IF(A28="","",INDEX($V$9:$V$48,MATCH(20,$AB$9:$AB$48,0)))</f>
        <v/>
      </c>
      <c r="D28" s="55" t="str">
        <f>IF(A28="","",INDEX($Y$9:$Y$48,MATCH(20,$AB$9:$AB$48,0)))</f>
        <v/>
      </c>
      <c r="E28" s="55" t="str">
        <f>IF(A28="","",INDEX($Z$9:$Z$48,MATCH(20,$AB$9:$AB$48,0)))</f>
        <v/>
      </c>
      <c r="F28" s="68" t="str">
        <f>IF(A28="","",E28/60)</f>
        <v/>
      </c>
      <c r="G28" s="57" t="str">
        <f>IF(A28="","",E28/$E$49)</f>
        <v/>
      </c>
      <c r="H28" s="57" t="str">
        <f>IF(A28="","",SUM($E$9:E28)/$E$49)</f>
        <v/>
      </c>
      <c r="I28" s="58" t="str">
        <f>IF(A28="","",IF(SUM($E$9:E27)/$E$49&lt;0.8,"A",IF(SUM($E$9:E27)/$E$49&lt;0.95,"B","C")))</f>
        <v/>
      </c>
      <c r="K28" s="38" t="inlineStr">
        <is>
          <t>Famille</t>
        </is>
      </c>
      <c r="L28" s="39" t="n"/>
      <c r="M28" s="38" t="inlineStr">
        <is>
          <t>Minutes</t>
        </is>
      </c>
      <c r="N28" s="38" t="inlineStr">
        <is>
          <t>%</t>
        </is>
      </c>
      <c r="U28" t="str">
        <f>IF('Paramètres'!N25="OK",'Paramètres'!K25,"")</f>
        <v/>
      </c>
      <c r="V28" t="str">
        <f>IF(U28="","",'Paramètres'!L25)</f>
        <v/>
      </c>
      <c r="W28" t="str">
        <f>IF(U28="","",'Paramètres'!M25)</f>
        <v/>
      </c>
      <c r="Y28">
        <f>IF(U28="",0,COUNTIFS(st_cause,U28,st_sel,1))</f>
        <v>0.0</v>
      </c>
      <c r="Z28">
        <f>IF(U28="",0,SUMIFS(st_min,st_cause,U28,st_sel,1))</f>
        <v>0.0</v>
      </c>
      <c r="AA28" t="str">
        <f>IF(AND(U28&lt;&gt;"",W28="Non planifié",Z28&gt;0),ROUND(Z28,4),"")</f>
        <v/>
      </c>
      <c r="AB28" t="str">
        <f>IF(AA28="","",COUNTIF($AA$9:$AA$48,"&gt;"&amp;AA28)+COUNTIF($AA$9:AA28,AA28))</f>
        <v/>
      </c>
      <c r="AC28">
        <f>IF(U28="",0,SUMIFS(st_min,st_cause,U28,st_in,1))</f>
        <v>0.0</v>
      </c>
      <c r="AD28">
        <f>IF(U28="",0,COUNTIFS(st_cause,U28,st_in,1))</f>
        <v>0.0</v>
      </c>
      <c r="AE28" t="str">
        <f>IF(AND(U28&lt;&gt;"",W28="Non planifié",AC28&gt;0),ROUND(AC28,4),"")</f>
        <v/>
      </c>
      <c r="AF28" t="str">
        <f>IF(AE28="","",COUNTIF($AE$9:$AE$48,"&gt;"&amp;AE28)+COUNTIF($AE$9:AE28,AE28))</f>
        <v/>
      </c>
    </row>
    <row r="29">
      <c r="A29" s="58" t="str">
        <f>IF(COUNT($AB$9:$AB$48)&gt;=21,21,"")</f>
        <v/>
      </c>
      <c r="B29" s="61" t="str">
        <f>IF(A29="","",INDEX($U$9:$U$48,MATCH(21,$AB$9:$AB$48,0)))</f>
        <v/>
      </c>
      <c r="C29" s="61" t="str">
        <f>IF(A29="","",INDEX($V$9:$V$48,MATCH(21,$AB$9:$AB$48,0)))</f>
        <v/>
      </c>
      <c r="D29" s="55" t="str">
        <f>IF(A29="","",INDEX($Y$9:$Y$48,MATCH(21,$AB$9:$AB$48,0)))</f>
        <v/>
      </c>
      <c r="E29" s="55" t="str">
        <f>IF(A29="","",INDEX($Z$9:$Z$48,MATCH(21,$AB$9:$AB$48,0)))</f>
        <v/>
      </c>
      <c r="F29" s="68" t="str">
        <f>IF(A29="","",E29/60)</f>
        <v/>
      </c>
      <c r="G29" s="57" t="str">
        <f>IF(A29="","",E29/$E$49)</f>
        <v/>
      </c>
      <c r="H29" s="57" t="str">
        <f>IF(A29="","",SUM($E$9:E29)/$E$49)</f>
        <v/>
      </c>
      <c r="I29" s="58" t="str">
        <f>IF(A29="","",IF(SUM($E$9:E28)/$E$49&lt;0.8,"A",IF(SUM($E$9:E28)/$E$49&lt;0.95,"B","C")))</f>
        <v/>
      </c>
      <c r="K29" s="83" t="inlineStr">
        <is>
          <t>Panne</t>
        </is>
      </c>
      <c r="L29" s="83" t="n"/>
      <c r="M29" s="84">
        <f>SUMIFS($Z$9:$Z$48,$V$9:$V$48,K29,$W$9:$W$48,"Non planifié")</f>
        <v>3362.0</v>
      </c>
      <c r="N29" s="42">
        <f>IF($E$49=0,"",M29/$E$49)</f>
        <v>0.157537135092076</v>
      </c>
      <c r="U29" t="str">
        <f>IF('Paramètres'!N26="OK",'Paramètres'!K26,"")</f>
        <v/>
      </c>
      <c r="V29" t="str">
        <f>IF(U29="","",'Paramètres'!L26)</f>
        <v/>
      </c>
      <c r="W29" t="str">
        <f>IF(U29="","",'Paramètres'!M26)</f>
        <v/>
      </c>
      <c r="Y29">
        <f>IF(U29="",0,COUNTIFS(st_cause,U29,st_sel,1))</f>
        <v>0.0</v>
      </c>
      <c r="Z29">
        <f>IF(U29="",0,SUMIFS(st_min,st_cause,U29,st_sel,1))</f>
        <v>0.0</v>
      </c>
      <c r="AA29" t="str">
        <f>IF(AND(U29&lt;&gt;"",W29="Non planifié",Z29&gt;0),ROUND(Z29,4),"")</f>
        <v/>
      </c>
      <c r="AB29" t="str">
        <f>IF(AA29="","",COUNTIF($AA$9:$AA$48,"&gt;"&amp;AA29)+COUNTIF($AA$9:AA29,AA29))</f>
        <v/>
      </c>
      <c r="AC29">
        <f>IF(U29="",0,SUMIFS(st_min,st_cause,U29,st_in,1))</f>
        <v>0.0</v>
      </c>
      <c r="AD29">
        <f>IF(U29="",0,COUNTIFS(st_cause,U29,st_in,1))</f>
        <v>0.0</v>
      </c>
      <c r="AE29" t="str">
        <f>IF(AND(U29&lt;&gt;"",W29="Non planifié",AC29&gt;0),ROUND(AC29,4),"")</f>
        <v/>
      </c>
      <c r="AF29" t="str">
        <f>IF(AE29="","",COUNTIF($AE$9:$AE$48,"&gt;"&amp;AE29)+COUNTIF($AE$9:AE29,AE29))</f>
        <v/>
      </c>
    </row>
    <row r="30">
      <c r="A30" s="58" t="str">
        <f>IF(COUNT($AB$9:$AB$48)&gt;=22,22,"")</f>
        <v/>
      </c>
      <c r="B30" s="61" t="str">
        <f>IF(A30="","",INDEX($U$9:$U$48,MATCH(22,$AB$9:$AB$48,0)))</f>
        <v/>
      </c>
      <c r="C30" s="61" t="str">
        <f>IF(A30="","",INDEX($V$9:$V$48,MATCH(22,$AB$9:$AB$48,0)))</f>
        <v/>
      </c>
      <c r="D30" s="55" t="str">
        <f>IF(A30="","",INDEX($Y$9:$Y$48,MATCH(22,$AB$9:$AB$48,0)))</f>
        <v/>
      </c>
      <c r="E30" s="55" t="str">
        <f>IF(A30="","",INDEX($Z$9:$Z$48,MATCH(22,$AB$9:$AB$48,0)))</f>
        <v/>
      </c>
      <c r="F30" s="68" t="str">
        <f>IF(A30="","",E30/60)</f>
        <v/>
      </c>
      <c r="G30" s="57" t="str">
        <f>IF(A30="","",E30/$E$49)</f>
        <v/>
      </c>
      <c r="H30" s="57" t="str">
        <f>IF(A30="","",SUM($E$9:E30)/$E$49)</f>
        <v/>
      </c>
      <c r="I30" s="58" t="str">
        <f>IF(A30="","",IF(SUM($E$9:E29)/$E$49&lt;0.8,"A",IF(SUM($E$9:E29)/$E$49&lt;0.95,"B","C")))</f>
        <v/>
      </c>
      <c r="K30" s="83" t="inlineStr">
        <is>
          <t>Réglage et changement de série</t>
        </is>
      </c>
      <c r="L30" s="83" t="n"/>
      <c r="M30" s="84">
        <f>SUMIFS($Z$9:$Z$48,$V$9:$V$48,K30,$W$9:$W$48,"Non planifié")</f>
        <v>10503.0</v>
      </c>
      <c r="N30" s="42">
        <f>IF($E$49=0,"",M30/$E$49)</f>
        <v>0.492151258141605</v>
      </c>
      <c r="U30" t="str">
        <f>IF('Paramètres'!N27="OK",'Paramètres'!K27,"")</f>
        <v/>
      </c>
      <c r="V30" t="str">
        <f>IF(U30="","",'Paramètres'!L27)</f>
        <v/>
      </c>
      <c r="W30" t="str">
        <f>IF(U30="","",'Paramètres'!M27)</f>
        <v/>
      </c>
      <c r="Y30">
        <f>IF(U30="",0,COUNTIFS(st_cause,U30,st_sel,1))</f>
        <v>0.0</v>
      </c>
      <c r="Z30">
        <f>IF(U30="",0,SUMIFS(st_min,st_cause,U30,st_sel,1))</f>
        <v>0.0</v>
      </c>
      <c r="AA30" t="str">
        <f>IF(AND(U30&lt;&gt;"",W30="Non planifié",Z30&gt;0),ROUND(Z30,4),"")</f>
        <v/>
      </c>
      <c r="AB30" t="str">
        <f>IF(AA30="","",COUNTIF($AA$9:$AA$48,"&gt;"&amp;AA30)+COUNTIF($AA$9:AA30,AA30))</f>
        <v/>
      </c>
      <c r="AC30">
        <f>IF(U30="",0,SUMIFS(st_min,st_cause,U30,st_in,1))</f>
        <v>0.0</v>
      </c>
      <c r="AD30">
        <f>IF(U30="",0,COUNTIFS(st_cause,U30,st_in,1))</f>
        <v>0.0</v>
      </c>
      <c r="AE30" t="str">
        <f>IF(AND(U30&lt;&gt;"",W30="Non planifié",AC30&gt;0),ROUND(AC30,4),"")</f>
        <v/>
      </c>
      <c r="AF30" t="str">
        <f>IF(AE30="","",COUNTIF($AE$9:$AE$48,"&gt;"&amp;AE30)+COUNTIF($AE$9:AE30,AE30))</f>
        <v/>
      </c>
    </row>
    <row r="31">
      <c r="A31" s="58" t="str">
        <f>IF(COUNT($AB$9:$AB$48)&gt;=23,23,"")</f>
        <v/>
      </c>
      <c r="B31" s="61" t="str">
        <f>IF(A31="","",INDEX($U$9:$U$48,MATCH(23,$AB$9:$AB$48,0)))</f>
        <v/>
      </c>
      <c r="C31" s="61" t="str">
        <f>IF(A31="","",INDEX($V$9:$V$48,MATCH(23,$AB$9:$AB$48,0)))</f>
        <v/>
      </c>
      <c r="D31" s="55" t="str">
        <f>IF(A31="","",INDEX($Y$9:$Y$48,MATCH(23,$AB$9:$AB$48,0)))</f>
        <v/>
      </c>
      <c r="E31" s="55" t="str">
        <f>IF(A31="","",INDEX($Z$9:$Z$48,MATCH(23,$AB$9:$AB$48,0)))</f>
        <v/>
      </c>
      <c r="F31" s="68" t="str">
        <f>IF(A31="","",E31/60)</f>
        <v/>
      </c>
      <c r="G31" s="57" t="str">
        <f>IF(A31="","",E31/$E$49)</f>
        <v/>
      </c>
      <c r="H31" s="57" t="str">
        <f>IF(A31="","",SUM($E$9:E31)/$E$49)</f>
        <v/>
      </c>
      <c r="I31" s="58" t="str">
        <f>IF(A31="","",IF(SUM($E$9:E30)/$E$49&lt;0.8,"A",IF(SUM($E$9:E30)/$E$49&lt;0.95,"B","C")))</f>
        <v/>
      </c>
      <c r="K31" s="83" t="inlineStr">
        <is>
          <t>Manque matière</t>
        </is>
      </c>
      <c r="L31" s="83" t="n"/>
      <c r="M31" s="84">
        <f>SUMIFS($Z$9:$Z$48,$V$9:$V$48,K31,$W$9:$W$48,"Non planifié")</f>
        <v>2594.0</v>
      </c>
      <c r="N31" s="42">
        <f>IF($E$49=0,"",M31/$E$49)</f>
        <v>0.121550067944333</v>
      </c>
      <c r="U31" t="str">
        <f>IF('Paramètres'!N28="OK",'Paramètres'!K28,"")</f>
        <v/>
      </c>
      <c r="V31" t="str">
        <f>IF(U31="","",'Paramètres'!L28)</f>
        <v/>
      </c>
      <c r="W31" t="str">
        <f>IF(U31="","",'Paramètres'!M28)</f>
        <v/>
      </c>
      <c r="Y31">
        <f>IF(U31="",0,COUNTIFS(st_cause,U31,st_sel,1))</f>
        <v>0.0</v>
      </c>
      <c r="Z31">
        <f>IF(U31="",0,SUMIFS(st_min,st_cause,U31,st_sel,1))</f>
        <v>0.0</v>
      </c>
      <c r="AA31" t="str">
        <f>IF(AND(U31&lt;&gt;"",W31="Non planifié",Z31&gt;0),ROUND(Z31,4),"")</f>
        <v/>
      </c>
      <c r="AB31" t="str">
        <f>IF(AA31="","",COUNTIF($AA$9:$AA$48,"&gt;"&amp;AA31)+COUNTIF($AA$9:AA31,AA31))</f>
        <v/>
      </c>
      <c r="AC31">
        <f>IF(U31="",0,SUMIFS(st_min,st_cause,U31,st_in,1))</f>
        <v>0.0</v>
      </c>
      <c r="AD31">
        <f>IF(U31="",0,COUNTIFS(st_cause,U31,st_in,1))</f>
        <v>0.0</v>
      </c>
      <c r="AE31" t="str">
        <f>IF(AND(U31&lt;&gt;"",W31="Non planifié",AC31&gt;0),ROUND(AC31,4),"")</f>
        <v/>
      </c>
      <c r="AF31" t="str">
        <f>IF(AE31="","",COUNTIF($AE$9:$AE$48,"&gt;"&amp;AE31)+COUNTIF($AE$9:AE31,AE31))</f>
        <v/>
      </c>
    </row>
    <row r="32">
      <c r="A32" s="58" t="str">
        <f>IF(COUNT($AB$9:$AB$48)&gt;=24,24,"")</f>
        <v/>
      </c>
      <c r="B32" s="61" t="str">
        <f>IF(A32="","",INDEX($U$9:$U$48,MATCH(24,$AB$9:$AB$48,0)))</f>
        <v/>
      </c>
      <c r="C32" s="61" t="str">
        <f>IF(A32="","",INDEX($V$9:$V$48,MATCH(24,$AB$9:$AB$48,0)))</f>
        <v/>
      </c>
      <c r="D32" s="55" t="str">
        <f>IF(A32="","",INDEX($Y$9:$Y$48,MATCH(24,$AB$9:$AB$48,0)))</f>
        <v/>
      </c>
      <c r="E32" s="55" t="str">
        <f>IF(A32="","",INDEX($Z$9:$Z$48,MATCH(24,$AB$9:$AB$48,0)))</f>
        <v/>
      </c>
      <c r="F32" s="68" t="str">
        <f>IF(A32="","",E32/60)</f>
        <v/>
      </c>
      <c r="G32" s="57" t="str">
        <f>IF(A32="","",E32/$E$49)</f>
        <v/>
      </c>
      <c r="H32" s="57" t="str">
        <f>IF(A32="","",SUM($E$9:E32)/$E$49)</f>
        <v/>
      </c>
      <c r="I32" s="58" t="str">
        <f>IF(A32="","",IF(SUM($E$9:E31)/$E$49&lt;0.8,"A",IF(SUM($E$9:E31)/$E$49&lt;0.95,"B","C")))</f>
        <v/>
      </c>
      <c r="K32" s="83" t="inlineStr">
        <is>
          <t>Manque personnel</t>
        </is>
      </c>
      <c r="L32" s="83" t="n"/>
      <c r="M32" s="84">
        <f>SUMIFS($Z$9:$Z$48,$V$9:$V$48,K32,$W$9:$W$48,"Non planifié")</f>
        <v>2900.0</v>
      </c>
      <c r="N32" s="42">
        <f>IF($E$49=0,"",M32/$E$49)</f>
        <v>0.135888665011012</v>
      </c>
      <c r="U32" t="str">
        <f>IF('Paramètres'!N29="OK",'Paramètres'!K29,"")</f>
        <v/>
      </c>
      <c r="V32" t="str">
        <f>IF(U32="","",'Paramètres'!L29)</f>
        <v/>
      </c>
      <c r="W32" t="str">
        <f>IF(U32="","",'Paramètres'!M29)</f>
        <v/>
      </c>
      <c r="Y32">
        <f>IF(U32="",0,COUNTIFS(st_cause,U32,st_sel,1))</f>
        <v>0.0</v>
      </c>
      <c r="Z32">
        <f>IF(U32="",0,SUMIFS(st_min,st_cause,U32,st_sel,1))</f>
        <v>0.0</v>
      </c>
      <c r="AA32" t="str">
        <f>IF(AND(U32&lt;&gt;"",W32="Non planifié",Z32&gt;0),ROUND(Z32,4),"")</f>
        <v/>
      </c>
      <c r="AB32" t="str">
        <f>IF(AA32="","",COUNTIF($AA$9:$AA$48,"&gt;"&amp;AA32)+COUNTIF($AA$9:AA32,AA32))</f>
        <v/>
      </c>
      <c r="AC32">
        <f>IF(U32="",0,SUMIFS(st_min,st_cause,U32,st_in,1))</f>
        <v>0.0</v>
      </c>
      <c r="AD32">
        <f>IF(U32="",0,COUNTIFS(st_cause,U32,st_in,1))</f>
        <v>0.0</v>
      </c>
      <c r="AE32" t="str">
        <f>IF(AND(U32&lt;&gt;"",W32="Non planifié",AC32&gt;0),ROUND(AC32,4),"")</f>
        <v/>
      </c>
      <c r="AF32" t="str">
        <f>IF(AE32="","",COUNTIF($AE$9:$AE$48,"&gt;"&amp;AE32)+COUNTIF($AE$9:AE32,AE32))</f>
        <v/>
      </c>
    </row>
    <row r="33">
      <c r="A33" s="58" t="str">
        <f>IF(COUNT($AB$9:$AB$48)&gt;=25,25,"")</f>
        <v/>
      </c>
      <c r="B33" s="61" t="str">
        <f>IF(A33="","",INDEX($U$9:$U$48,MATCH(25,$AB$9:$AB$48,0)))</f>
        <v/>
      </c>
      <c r="C33" s="61" t="str">
        <f>IF(A33="","",INDEX($V$9:$V$48,MATCH(25,$AB$9:$AB$48,0)))</f>
        <v/>
      </c>
      <c r="D33" s="55" t="str">
        <f>IF(A33="","",INDEX($Y$9:$Y$48,MATCH(25,$AB$9:$AB$48,0)))</f>
        <v/>
      </c>
      <c r="E33" s="55" t="str">
        <f>IF(A33="","",INDEX($Z$9:$Z$48,MATCH(25,$AB$9:$AB$48,0)))</f>
        <v/>
      </c>
      <c r="F33" s="68" t="str">
        <f>IF(A33="","",E33/60)</f>
        <v/>
      </c>
      <c r="G33" s="57" t="str">
        <f>IF(A33="","",E33/$E$49)</f>
        <v/>
      </c>
      <c r="H33" s="57" t="str">
        <f>IF(A33="","",SUM($E$9:E33)/$E$49)</f>
        <v/>
      </c>
      <c r="I33" s="58" t="str">
        <f>IF(A33="","",IF(SUM($E$9:E32)/$E$49&lt;0.8,"A",IF(SUM($E$9:E32)/$E$49&lt;0.95,"B","C")))</f>
        <v/>
      </c>
      <c r="K33" s="83" t="inlineStr">
        <is>
          <t>Qualité</t>
        </is>
      </c>
      <c r="L33" s="83" t="n"/>
      <c r="M33" s="84">
        <f>SUMIFS($Z$9:$Z$48,$V$9:$V$48,K33,$W$9:$W$48,"Non planifié")</f>
        <v>1327.0</v>
      </c>
      <c r="N33" s="42">
        <f>IF($E$49=0,"",M33/$E$49)</f>
        <v>0.062180778782625</v>
      </c>
      <c r="U33" t="str">
        <f>IF('Paramètres'!N30="OK",'Paramètres'!K30,"")</f>
        <v/>
      </c>
      <c r="V33" t="str">
        <f>IF(U33="","",'Paramètres'!L30)</f>
        <v/>
      </c>
      <c r="W33" t="str">
        <f>IF(U33="","",'Paramètres'!M30)</f>
        <v/>
      </c>
      <c r="Y33">
        <f>IF(U33="",0,COUNTIFS(st_cause,U33,st_sel,1))</f>
        <v>0.0</v>
      </c>
      <c r="Z33">
        <f>IF(U33="",0,SUMIFS(st_min,st_cause,U33,st_sel,1))</f>
        <v>0.0</v>
      </c>
      <c r="AA33" t="str">
        <f>IF(AND(U33&lt;&gt;"",W33="Non planifié",Z33&gt;0),ROUND(Z33,4),"")</f>
        <v/>
      </c>
      <c r="AB33" t="str">
        <f>IF(AA33="","",COUNTIF($AA$9:$AA$48,"&gt;"&amp;AA33)+COUNTIF($AA$9:AA33,AA33))</f>
        <v/>
      </c>
      <c r="AC33">
        <f>IF(U33="",0,SUMIFS(st_min,st_cause,U33,st_in,1))</f>
        <v>0.0</v>
      </c>
      <c r="AD33">
        <f>IF(U33="",0,COUNTIFS(st_cause,U33,st_in,1))</f>
        <v>0.0</v>
      </c>
      <c r="AE33" t="str">
        <f>IF(AND(U33&lt;&gt;"",W33="Non planifié",AC33&gt;0),ROUND(AC33,4),"")</f>
        <v/>
      </c>
      <c r="AF33" t="str">
        <f>IF(AE33="","",COUNTIF($AE$9:$AE$48,"&gt;"&amp;AE33)+COUNTIF($AE$9:AE33,AE33))</f>
        <v/>
      </c>
    </row>
    <row r="34">
      <c r="A34" s="58" t="str">
        <f>IF(COUNT($AB$9:$AB$48)&gt;=26,26,"")</f>
        <v/>
      </c>
      <c r="B34" s="61" t="str">
        <f>IF(A34="","",INDEX($U$9:$U$48,MATCH(26,$AB$9:$AB$48,0)))</f>
        <v/>
      </c>
      <c r="C34" s="61" t="str">
        <f>IF(A34="","",INDEX($V$9:$V$48,MATCH(26,$AB$9:$AB$48,0)))</f>
        <v/>
      </c>
      <c r="D34" s="55" t="str">
        <f>IF(A34="","",INDEX($Y$9:$Y$48,MATCH(26,$AB$9:$AB$48,0)))</f>
        <v/>
      </c>
      <c r="E34" s="55" t="str">
        <f>IF(A34="","",INDEX($Z$9:$Z$48,MATCH(26,$AB$9:$AB$48,0)))</f>
        <v/>
      </c>
      <c r="F34" s="68" t="str">
        <f>IF(A34="","",E34/60)</f>
        <v/>
      </c>
      <c r="G34" s="57" t="str">
        <f>IF(A34="","",E34/$E$49)</f>
        <v/>
      </c>
      <c r="H34" s="57" t="str">
        <f>IF(A34="","",SUM($E$9:E34)/$E$49)</f>
        <v/>
      </c>
      <c r="I34" s="58" t="str">
        <f>IF(A34="","",IF(SUM($E$9:E33)/$E$49&lt;0.8,"A",IF(SUM($E$9:E33)/$E$49&lt;0.95,"B","C")))</f>
        <v/>
      </c>
      <c r="K34" s="83" t="inlineStr">
        <is>
          <t>Organisation</t>
        </is>
      </c>
      <c r="L34" s="83" t="n"/>
      <c r="M34" s="84">
        <f>SUMIFS($Z$9:$Z$48,$V$9:$V$48,K34,$W$9:$W$48,"Non planifié")</f>
        <v>655.0</v>
      </c>
      <c r="N34" s="42">
        <f>IF($E$49=0,"",M34/$E$49)</f>
        <v>0.0306920950283492</v>
      </c>
      <c r="U34" t="str">
        <f>IF('Paramètres'!N31="OK",'Paramètres'!K31,"")</f>
        <v/>
      </c>
      <c r="V34" t="str">
        <f>IF(U34="","",'Paramètres'!L31)</f>
        <v/>
      </c>
      <c r="W34" t="str">
        <f>IF(U34="","",'Paramètres'!M31)</f>
        <v/>
      </c>
      <c r="Y34">
        <f>IF(U34="",0,COUNTIFS(st_cause,U34,st_sel,1))</f>
        <v>0.0</v>
      </c>
      <c r="Z34">
        <f>IF(U34="",0,SUMIFS(st_min,st_cause,U34,st_sel,1))</f>
        <v>0.0</v>
      </c>
      <c r="AA34" t="str">
        <f>IF(AND(U34&lt;&gt;"",W34="Non planifié",Z34&gt;0),ROUND(Z34,4),"")</f>
        <v/>
      </c>
      <c r="AB34" t="str">
        <f>IF(AA34="","",COUNTIF($AA$9:$AA$48,"&gt;"&amp;AA34)+COUNTIF($AA$9:AA34,AA34))</f>
        <v/>
      </c>
      <c r="AC34">
        <f>IF(U34="",0,SUMIFS(st_min,st_cause,U34,st_in,1))</f>
        <v>0.0</v>
      </c>
      <c r="AD34">
        <f>IF(U34="",0,COUNTIFS(st_cause,U34,st_in,1))</f>
        <v>0.0</v>
      </c>
      <c r="AE34" t="str">
        <f>IF(AND(U34&lt;&gt;"",W34="Non planifié",AC34&gt;0),ROUND(AC34,4),"")</f>
        <v/>
      </c>
      <c r="AF34" t="str">
        <f>IF(AE34="","",COUNTIF($AE$9:$AE$48,"&gt;"&amp;AE34)+COUNTIF($AE$9:AE34,AE34))</f>
        <v/>
      </c>
    </row>
    <row r="35">
      <c r="A35" s="58" t="str">
        <f>IF(COUNT($AB$9:$AB$48)&gt;=27,27,"")</f>
        <v/>
      </c>
      <c r="B35" s="61" t="str">
        <f>IF(A35="","",INDEX($U$9:$U$48,MATCH(27,$AB$9:$AB$48,0)))</f>
        <v/>
      </c>
      <c r="C35" s="61" t="str">
        <f>IF(A35="","",INDEX($V$9:$V$48,MATCH(27,$AB$9:$AB$48,0)))</f>
        <v/>
      </c>
      <c r="D35" s="55" t="str">
        <f>IF(A35="","",INDEX($Y$9:$Y$48,MATCH(27,$AB$9:$AB$48,0)))</f>
        <v/>
      </c>
      <c r="E35" s="55" t="str">
        <f>IF(A35="","",INDEX($Z$9:$Z$48,MATCH(27,$AB$9:$AB$48,0)))</f>
        <v/>
      </c>
      <c r="F35" s="68" t="str">
        <f>IF(A35="","",E35/60)</f>
        <v/>
      </c>
      <c r="G35" s="57" t="str">
        <f>IF(A35="","",E35/$E$49)</f>
        <v/>
      </c>
      <c r="H35" s="57" t="str">
        <f>IF(A35="","",SUM($E$9:E35)/$E$49)</f>
        <v/>
      </c>
      <c r="I35" s="58" t="str">
        <f>IF(A35="","",IF(SUM($E$9:E34)/$E$49&lt;0.8,"A",IF(SUM($E$9:E34)/$E$49&lt;0.95,"B","C")))</f>
        <v/>
      </c>
      <c r="U35" t="str">
        <f>IF('Paramètres'!N32="OK",'Paramètres'!K32,"")</f>
        <v/>
      </c>
      <c r="V35" t="str">
        <f>IF(U35="","",'Paramètres'!L32)</f>
        <v/>
      </c>
      <c r="W35" t="str">
        <f>IF(U35="","",'Paramètres'!M32)</f>
        <v/>
      </c>
      <c r="Y35">
        <f>IF(U35="",0,COUNTIFS(st_cause,U35,st_sel,1))</f>
        <v>0.0</v>
      </c>
      <c r="Z35">
        <f>IF(U35="",0,SUMIFS(st_min,st_cause,U35,st_sel,1))</f>
        <v>0.0</v>
      </c>
      <c r="AA35" t="str">
        <f>IF(AND(U35&lt;&gt;"",W35="Non planifié",Z35&gt;0),ROUND(Z35,4),"")</f>
        <v/>
      </c>
      <c r="AB35" t="str">
        <f>IF(AA35="","",COUNTIF($AA$9:$AA$48,"&gt;"&amp;AA35)+COUNTIF($AA$9:AA35,AA35))</f>
        <v/>
      </c>
      <c r="AC35">
        <f>IF(U35="",0,SUMIFS(st_min,st_cause,U35,st_in,1))</f>
        <v>0.0</v>
      </c>
      <c r="AD35">
        <f>IF(U35="",0,COUNTIFS(st_cause,U35,st_in,1))</f>
        <v>0.0</v>
      </c>
      <c r="AE35" t="str">
        <f>IF(AND(U35&lt;&gt;"",W35="Non planifié",AC35&gt;0),ROUND(AC35,4),"")</f>
        <v/>
      </c>
      <c r="AF35" t="str">
        <f>IF(AE35="","",COUNTIF($AE$9:$AE$48,"&gt;"&amp;AE35)+COUNTIF($AE$9:AE35,AE35))</f>
        <v/>
      </c>
    </row>
    <row r="36">
      <c r="A36" s="58" t="str">
        <f>IF(COUNT($AB$9:$AB$48)&gt;=28,28,"")</f>
        <v/>
      </c>
      <c r="B36" s="61" t="str">
        <f>IF(A36="","",INDEX($U$9:$U$48,MATCH(28,$AB$9:$AB$48,0)))</f>
        <v/>
      </c>
      <c r="C36" s="61" t="str">
        <f>IF(A36="","",INDEX($V$9:$V$48,MATCH(28,$AB$9:$AB$48,0)))</f>
        <v/>
      </c>
      <c r="D36" s="55" t="str">
        <f>IF(A36="","",INDEX($Y$9:$Y$48,MATCH(28,$AB$9:$AB$48,0)))</f>
        <v/>
      </c>
      <c r="E36" s="55" t="str">
        <f>IF(A36="","",INDEX($Z$9:$Z$48,MATCH(28,$AB$9:$AB$48,0)))</f>
        <v/>
      </c>
      <c r="F36" s="68" t="str">
        <f>IF(A36="","",E36/60)</f>
        <v/>
      </c>
      <c r="G36" s="57" t="str">
        <f>IF(A36="","",E36/$E$49)</f>
        <v/>
      </c>
      <c r="H36" s="57" t="str">
        <f>IF(A36="","",SUM($E$9:E36)/$E$49)</f>
        <v/>
      </c>
      <c r="I36" s="58" t="str">
        <f>IF(A36="","",IF(SUM($E$9:E35)/$E$49&lt;0.8,"A",IF(SUM($E$9:E35)/$E$49&lt;0.95,"B","C")))</f>
        <v/>
      </c>
      <c r="U36" t="str">
        <f>IF('Paramètres'!N33="OK",'Paramètres'!K33,"")</f>
        <v/>
      </c>
      <c r="V36" t="str">
        <f>IF(U36="","",'Paramètres'!L33)</f>
        <v/>
      </c>
      <c r="W36" t="str">
        <f>IF(U36="","",'Paramètres'!M33)</f>
        <v/>
      </c>
      <c r="Y36">
        <f>IF(U36="",0,COUNTIFS(st_cause,U36,st_sel,1))</f>
        <v>0.0</v>
      </c>
      <c r="Z36">
        <f>IF(U36="",0,SUMIFS(st_min,st_cause,U36,st_sel,1))</f>
        <v>0.0</v>
      </c>
      <c r="AA36" t="str">
        <f>IF(AND(U36&lt;&gt;"",W36="Non planifié",Z36&gt;0),ROUND(Z36,4),"")</f>
        <v/>
      </c>
      <c r="AB36" t="str">
        <f>IF(AA36="","",COUNTIF($AA$9:$AA$48,"&gt;"&amp;AA36)+COUNTIF($AA$9:AA36,AA36))</f>
        <v/>
      </c>
      <c r="AC36">
        <f>IF(U36="",0,SUMIFS(st_min,st_cause,U36,st_in,1))</f>
        <v>0.0</v>
      </c>
      <c r="AD36">
        <f>IF(U36="",0,COUNTIFS(st_cause,U36,st_in,1))</f>
        <v>0.0</v>
      </c>
      <c r="AE36" t="str">
        <f>IF(AND(U36&lt;&gt;"",W36="Non planifié",AC36&gt;0),ROUND(AC36,4),"")</f>
        <v/>
      </c>
      <c r="AF36" t="str">
        <f>IF(AE36="","",COUNTIF($AE$9:$AE$48,"&gt;"&amp;AE36)+COUNTIF($AE$9:AE36,AE36))</f>
        <v/>
      </c>
    </row>
    <row r="37">
      <c r="A37" s="58" t="str">
        <f>IF(COUNT($AB$9:$AB$48)&gt;=29,29,"")</f>
        <v/>
      </c>
      <c r="B37" s="61" t="str">
        <f>IF(A37="","",INDEX($U$9:$U$48,MATCH(29,$AB$9:$AB$48,0)))</f>
        <v/>
      </c>
      <c r="C37" s="61" t="str">
        <f>IF(A37="","",INDEX($V$9:$V$48,MATCH(29,$AB$9:$AB$48,0)))</f>
        <v/>
      </c>
      <c r="D37" s="55" t="str">
        <f>IF(A37="","",INDEX($Y$9:$Y$48,MATCH(29,$AB$9:$AB$48,0)))</f>
        <v/>
      </c>
      <c r="E37" s="55" t="str">
        <f>IF(A37="","",INDEX($Z$9:$Z$48,MATCH(29,$AB$9:$AB$48,0)))</f>
        <v/>
      </c>
      <c r="F37" s="68" t="str">
        <f>IF(A37="","",E37/60)</f>
        <v/>
      </c>
      <c r="G37" s="57" t="str">
        <f>IF(A37="","",E37/$E$49)</f>
        <v/>
      </c>
      <c r="H37" s="57" t="str">
        <f>IF(A37="","",SUM($E$9:E37)/$E$49)</f>
        <v/>
      </c>
      <c r="I37" s="58" t="str">
        <f>IF(A37="","",IF(SUM($E$9:E36)/$E$49&lt;0.8,"A",IF(SUM($E$9:E36)/$E$49&lt;0.95,"B","C")))</f>
        <v/>
      </c>
      <c r="U37" t="str">
        <f>IF('Paramètres'!N34="OK",'Paramètres'!K34,"")</f>
        <v/>
      </c>
      <c r="V37" t="str">
        <f>IF(U37="","",'Paramètres'!L34)</f>
        <v/>
      </c>
      <c r="W37" t="str">
        <f>IF(U37="","",'Paramètres'!M34)</f>
        <v/>
      </c>
      <c r="Y37">
        <f>IF(U37="",0,COUNTIFS(st_cause,U37,st_sel,1))</f>
        <v>0.0</v>
      </c>
      <c r="Z37">
        <f>IF(U37="",0,SUMIFS(st_min,st_cause,U37,st_sel,1))</f>
        <v>0.0</v>
      </c>
      <c r="AA37" t="str">
        <f>IF(AND(U37&lt;&gt;"",W37="Non planifié",Z37&gt;0),ROUND(Z37,4),"")</f>
        <v/>
      </c>
      <c r="AB37" t="str">
        <f>IF(AA37="","",COUNTIF($AA$9:$AA$48,"&gt;"&amp;AA37)+COUNTIF($AA$9:AA37,AA37))</f>
        <v/>
      </c>
      <c r="AC37">
        <f>IF(U37="",0,SUMIFS(st_min,st_cause,U37,st_in,1))</f>
        <v>0.0</v>
      </c>
      <c r="AD37">
        <f>IF(U37="",0,COUNTIFS(st_cause,U37,st_in,1))</f>
        <v>0.0</v>
      </c>
      <c r="AE37" t="str">
        <f>IF(AND(U37&lt;&gt;"",W37="Non planifié",AC37&gt;0),ROUND(AC37,4),"")</f>
        <v/>
      </c>
      <c r="AF37" t="str">
        <f>IF(AE37="","",COUNTIF($AE$9:$AE$48,"&gt;"&amp;AE37)+COUNTIF($AE$9:AE37,AE37))</f>
        <v/>
      </c>
    </row>
    <row r="38">
      <c r="A38" s="58" t="str">
        <f>IF(COUNT($AB$9:$AB$48)&gt;=30,30,"")</f>
        <v/>
      </c>
      <c r="B38" s="61" t="str">
        <f>IF(A38="","",INDEX($U$9:$U$48,MATCH(30,$AB$9:$AB$48,0)))</f>
        <v/>
      </c>
      <c r="C38" s="61" t="str">
        <f>IF(A38="","",INDEX($V$9:$V$48,MATCH(30,$AB$9:$AB$48,0)))</f>
        <v/>
      </c>
      <c r="D38" s="55" t="str">
        <f>IF(A38="","",INDEX($Y$9:$Y$48,MATCH(30,$AB$9:$AB$48,0)))</f>
        <v/>
      </c>
      <c r="E38" s="55" t="str">
        <f>IF(A38="","",INDEX($Z$9:$Z$48,MATCH(30,$AB$9:$AB$48,0)))</f>
        <v/>
      </c>
      <c r="F38" s="68" t="str">
        <f>IF(A38="","",E38/60)</f>
        <v/>
      </c>
      <c r="G38" s="57" t="str">
        <f>IF(A38="","",E38/$E$49)</f>
        <v/>
      </c>
      <c r="H38" s="57" t="str">
        <f>IF(A38="","",SUM($E$9:E38)/$E$49)</f>
        <v/>
      </c>
      <c r="I38" s="58" t="str">
        <f>IF(A38="","",IF(SUM($E$9:E37)/$E$49&lt;0.8,"A",IF(SUM($E$9:E37)/$E$49&lt;0.95,"B","C")))</f>
        <v/>
      </c>
      <c r="U38" t="str">
        <f>IF('Paramètres'!N35="OK",'Paramètres'!K35,"")</f>
        <v/>
      </c>
      <c r="V38" t="str">
        <f>IF(U38="","",'Paramètres'!L35)</f>
        <v/>
      </c>
      <c r="W38" t="str">
        <f>IF(U38="","",'Paramètres'!M35)</f>
        <v/>
      </c>
      <c r="Y38">
        <f>IF(U38="",0,COUNTIFS(st_cause,U38,st_sel,1))</f>
        <v>0.0</v>
      </c>
      <c r="Z38">
        <f>IF(U38="",0,SUMIFS(st_min,st_cause,U38,st_sel,1))</f>
        <v>0.0</v>
      </c>
      <c r="AA38" t="str">
        <f>IF(AND(U38&lt;&gt;"",W38="Non planifié",Z38&gt;0),ROUND(Z38,4),"")</f>
        <v/>
      </c>
      <c r="AB38" t="str">
        <f>IF(AA38="","",COUNTIF($AA$9:$AA$48,"&gt;"&amp;AA38)+COUNTIF($AA$9:AA38,AA38))</f>
        <v/>
      </c>
      <c r="AC38">
        <f>IF(U38="",0,SUMIFS(st_min,st_cause,U38,st_in,1))</f>
        <v>0.0</v>
      </c>
      <c r="AD38">
        <f>IF(U38="",0,COUNTIFS(st_cause,U38,st_in,1))</f>
        <v>0.0</v>
      </c>
      <c r="AE38" t="str">
        <f>IF(AND(U38&lt;&gt;"",W38="Non planifié",AC38&gt;0),ROUND(AC38,4),"")</f>
        <v/>
      </c>
      <c r="AF38" t="str">
        <f>IF(AE38="","",COUNTIF($AE$9:$AE$48,"&gt;"&amp;AE38)+COUNTIF($AE$9:AE38,AE38))</f>
        <v/>
      </c>
    </row>
    <row r="39">
      <c r="A39" s="58" t="str">
        <f>IF(COUNT($AB$9:$AB$48)&gt;=31,31,"")</f>
        <v/>
      </c>
      <c r="B39" s="61" t="str">
        <f>IF(A39="","",INDEX($U$9:$U$48,MATCH(31,$AB$9:$AB$48,0)))</f>
        <v/>
      </c>
      <c r="C39" s="61" t="str">
        <f>IF(A39="","",INDEX($V$9:$V$48,MATCH(31,$AB$9:$AB$48,0)))</f>
        <v/>
      </c>
      <c r="D39" s="55" t="str">
        <f>IF(A39="","",INDEX($Y$9:$Y$48,MATCH(31,$AB$9:$AB$48,0)))</f>
        <v/>
      </c>
      <c r="E39" s="55" t="str">
        <f>IF(A39="","",INDEX($Z$9:$Z$48,MATCH(31,$AB$9:$AB$48,0)))</f>
        <v/>
      </c>
      <c r="F39" s="68" t="str">
        <f>IF(A39="","",E39/60)</f>
        <v/>
      </c>
      <c r="G39" s="57" t="str">
        <f>IF(A39="","",E39/$E$49)</f>
        <v/>
      </c>
      <c r="H39" s="57" t="str">
        <f>IF(A39="","",SUM($E$9:E39)/$E$49)</f>
        <v/>
      </c>
      <c r="I39" s="58" t="str">
        <f>IF(A39="","",IF(SUM($E$9:E38)/$E$49&lt;0.8,"A",IF(SUM($E$9:E38)/$E$49&lt;0.95,"B","C")))</f>
        <v/>
      </c>
      <c r="U39" t="str">
        <f>IF('Paramètres'!N36="OK",'Paramètres'!K36,"")</f>
        <v/>
      </c>
      <c r="V39" t="str">
        <f>IF(U39="","",'Paramètres'!L36)</f>
        <v/>
      </c>
      <c r="W39" t="str">
        <f>IF(U39="","",'Paramètres'!M36)</f>
        <v/>
      </c>
      <c r="Y39">
        <f>IF(U39="",0,COUNTIFS(st_cause,U39,st_sel,1))</f>
        <v>0.0</v>
      </c>
      <c r="Z39">
        <f>IF(U39="",0,SUMIFS(st_min,st_cause,U39,st_sel,1))</f>
        <v>0.0</v>
      </c>
      <c r="AA39" t="str">
        <f>IF(AND(U39&lt;&gt;"",W39="Non planifié",Z39&gt;0),ROUND(Z39,4),"")</f>
        <v/>
      </c>
      <c r="AB39" t="str">
        <f>IF(AA39="","",COUNTIF($AA$9:$AA$48,"&gt;"&amp;AA39)+COUNTIF($AA$9:AA39,AA39))</f>
        <v/>
      </c>
      <c r="AC39">
        <f>IF(U39="",0,SUMIFS(st_min,st_cause,U39,st_in,1))</f>
        <v>0.0</v>
      </c>
      <c r="AD39">
        <f>IF(U39="",0,COUNTIFS(st_cause,U39,st_in,1))</f>
        <v>0.0</v>
      </c>
      <c r="AE39" t="str">
        <f>IF(AND(U39&lt;&gt;"",W39="Non planifié",AC39&gt;0),ROUND(AC39,4),"")</f>
        <v/>
      </c>
      <c r="AF39" t="str">
        <f>IF(AE39="","",COUNTIF($AE$9:$AE$48,"&gt;"&amp;AE39)+COUNTIF($AE$9:AE39,AE39))</f>
        <v/>
      </c>
    </row>
    <row r="40">
      <c r="A40" s="58" t="str">
        <f>IF(COUNT($AB$9:$AB$48)&gt;=32,32,"")</f>
        <v/>
      </c>
      <c r="B40" s="61" t="str">
        <f>IF(A40="","",INDEX($U$9:$U$48,MATCH(32,$AB$9:$AB$48,0)))</f>
        <v/>
      </c>
      <c r="C40" s="61" t="str">
        <f>IF(A40="","",INDEX($V$9:$V$48,MATCH(32,$AB$9:$AB$48,0)))</f>
        <v/>
      </c>
      <c r="D40" s="55" t="str">
        <f>IF(A40="","",INDEX($Y$9:$Y$48,MATCH(32,$AB$9:$AB$48,0)))</f>
        <v/>
      </c>
      <c r="E40" s="55" t="str">
        <f>IF(A40="","",INDEX($Z$9:$Z$48,MATCH(32,$AB$9:$AB$48,0)))</f>
        <v/>
      </c>
      <c r="F40" s="68" t="str">
        <f>IF(A40="","",E40/60)</f>
        <v/>
      </c>
      <c r="G40" s="57" t="str">
        <f>IF(A40="","",E40/$E$49)</f>
        <v/>
      </c>
      <c r="H40" s="57" t="str">
        <f>IF(A40="","",SUM($E$9:E40)/$E$49)</f>
        <v/>
      </c>
      <c r="I40" s="58" t="str">
        <f>IF(A40="","",IF(SUM($E$9:E39)/$E$49&lt;0.8,"A",IF(SUM($E$9:E39)/$E$49&lt;0.95,"B","C")))</f>
        <v/>
      </c>
      <c r="U40" t="str">
        <f>IF('Paramètres'!N37="OK",'Paramètres'!K37,"")</f>
        <v/>
      </c>
      <c r="V40" t="str">
        <f>IF(U40="","",'Paramètres'!L37)</f>
        <v/>
      </c>
      <c r="W40" t="str">
        <f>IF(U40="","",'Paramètres'!M37)</f>
        <v/>
      </c>
      <c r="Y40">
        <f>IF(U40="",0,COUNTIFS(st_cause,U40,st_sel,1))</f>
        <v>0.0</v>
      </c>
      <c r="Z40">
        <f>IF(U40="",0,SUMIFS(st_min,st_cause,U40,st_sel,1))</f>
        <v>0.0</v>
      </c>
      <c r="AA40" t="str">
        <f>IF(AND(U40&lt;&gt;"",W40="Non planifié",Z40&gt;0),ROUND(Z40,4),"")</f>
        <v/>
      </c>
      <c r="AB40" t="str">
        <f>IF(AA40="","",COUNTIF($AA$9:$AA$48,"&gt;"&amp;AA40)+COUNTIF($AA$9:AA40,AA40))</f>
        <v/>
      </c>
      <c r="AC40">
        <f>IF(U40="",0,SUMIFS(st_min,st_cause,U40,st_in,1))</f>
        <v>0.0</v>
      </c>
      <c r="AD40">
        <f>IF(U40="",0,COUNTIFS(st_cause,U40,st_in,1))</f>
        <v>0.0</v>
      </c>
      <c r="AE40" t="str">
        <f>IF(AND(U40&lt;&gt;"",W40="Non planifié",AC40&gt;0),ROUND(AC40,4),"")</f>
        <v/>
      </c>
      <c r="AF40" t="str">
        <f>IF(AE40="","",COUNTIF($AE$9:$AE$48,"&gt;"&amp;AE40)+COUNTIF($AE$9:AE40,AE40))</f>
        <v/>
      </c>
    </row>
    <row r="41">
      <c r="A41" s="58" t="str">
        <f>IF(COUNT($AB$9:$AB$48)&gt;=33,33,"")</f>
        <v/>
      </c>
      <c r="B41" s="61" t="str">
        <f>IF(A41="","",INDEX($U$9:$U$48,MATCH(33,$AB$9:$AB$48,0)))</f>
        <v/>
      </c>
      <c r="C41" s="61" t="str">
        <f>IF(A41="","",INDEX($V$9:$V$48,MATCH(33,$AB$9:$AB$48,0)))</f>
        <v/>
      </c>
      <c r="D41" s="55" t="str">
        <f>IF(A41="","",INDEX($Y$9:$Y$48,MATCH(33,$AB$9:$AB$48,0)))</f>
        <v/>
      </c>
      <c r="E41" s="55" t="str">
        <f>IF(A41="","",INDEX($Z$9:$Z$48,MATCH(33,$AB$9:$AB$48,0)))</f>
        <v/>
      </c>
      <c r="F41" s="68" t="str">
        <f>IF(A41="","",E41/60)</f>
        <v/>
      </c>
      <c r="G41" s="57" t="str">
        <f>IF(A41="","",E41/$E$49)</f>
        <v/>
      </c>
      <c r="H41" s="57" t="str">
        <f>IF(A41="","",SUM($E$9:E41)/$E$49)</f>
        <v/>
      </c>
      <c r="I41" s="58" t="str">
        <f>IF(A41="","",IF(SUM($E$9:E40)/$E$49&lt;0.8,"A",IF(SUM($E$9:E40)/$E$49&lt;0.95,"B","C")))</f>
        <v/>
      </c>
      <c r="U41" t="str">
        <f>IF('Paramètres'!N38="OK",'Paramètres'!K38,"")</f>
        <v/>
      </c>
      <c r="V41" t="str">
        <f>IF(U41="","",'Paramètres'!L38)</f>
        <v/>
      </c>
      <c r="W41" t="str">
        <f>IF(U41="","",'Paramètres'!M38)</f>
        <v/>
      </c>
      <c r="Y41">
        <f>IF(U41="",0,COUNTIFS(st_cause,U41,st_sel,1))</f>
        <v>0.0</v>
      </c>
      <c r="Z41">
        <f>IF(U41="",0,SUMIFS(st_min,st_cause,U41,st_sel,1))</f>
        <v>0.0</v>
      </c>
      <c r="AA41" t="str">
        <f>IF(AND(U41&lt;&gt;"",W41="Non planifié",Z41&gt;0),ROUND(Z41,4),"")</f>
        <v/>
      </c>
      <c r="AB41" t="str">
        <f>IF(AA41="","",COUNTIF($AA$9:$AA$48,"&gt;"&amp;AA41)+COUNTIF($AA$9:AA41,AA41))</f>
        <v/>
      </c>
      <c r="AC41">
        <f>IF(U41="",0,SUMIFS(st_min,st_cause,U41,st_in,1))</f>
        <v>0.0</v>
      </c>
      <c r="AD41">
        <f>IF(U41="",0,COUNTIFS(st_cause,U41,st_in,1))</f>
        <v>0.0</v>
      </c>
      <c r="AE41" t="str">
        <f>IF(AND(U41&lt;&gt;"",W41="Non planifié",AC41&gt;0),ROUND(AC41,4),"")</f>
        <v/>
      </c>
      <c r="AF41" t="str">
        <f>IF(AE41="","",COUNTIF($AE$9:$AE$48,"&gt;"&amp;AE41)+COUNTIF($AE$9:AE41,AE41))</f>
        <v/>
      </c>
    </row>
    <row r="42">
      <c r="A42" s="58" t="str">
        <f>IF(COUNT($AB$9:$AB$48)&gt;=34,34,"")</f>
        <v/>
      </c>
      <c r="B42" s="61" t="str">
        <f>IF(A42="","",INDEX($U$9:$U$48,MATCH(34,$AB$9:$AB$48,0)))</f>
        <v/>
      </c>
      <c r="C42" s="61" t="str">
        <f>IF(A42="","",INDEX($V$9:$V$48,MATCH(34,$AB$9:$AB$48,0)))</f>
        <v/>
      </c>
      <c r="D42" s="55" t="str">
        <f>IF(A42="","",INDEX($Y$9:$Y$48,MATCH(34,$AB$9:$AB$48,0)))</f>
        <v/>
      </c>
      <c r="E42" s="55" t="str">
        <f>IF(A42="","",INDEX($Z$9:$Z$48,MATCH(34,$AB$9:$AB$48,0)))</f>
        <v/>
      </c>
      <c r="F42" s="68" t="str">
        <f>IF(A42="","",E42/60)</f>
        <v/>
      </c>
      <c r="G42" s="57" t="str">
        <f>IF(A42="","",E42/$E$49)</f>
        <v/>
      </c>
      <c r="H42" s="57" t="str">
        <f>IF(A42="","",SUM($E$9:E42)/$E$49)</f>
        <v/>
      </c>
      <c r="I42" s="58" t="str">
        <f>IF(A42="","",IF(SUM($E$9:E41)/$E$49&lt;0.8,"A",IF(SUM($E$9:E41)/$E$49&lt;0.95,"B","C")))</f>
        <v/>
      </c>
      <c r="U42" t="str">
        <f>IF('Paramètres'!N39="OK",'Paramètres'!K39,"")</f>
        <v/>
      </c>
      <c r="V42" t="str">
        <f>IF(U42="","",'Paramètres'!L39)</f>
        <v/>
      </c>
      <c r="W42" t="str">
        <f>IF(U42="","",'Paramètres'!M39)</f>
        <v/>
      </c>
      <c r="Y42">
        <f>IF(U42="",0,COUNTIFS(st_cause,U42,st_sel,1))</f>
        <v>0.0</v>
      </c>
      <c r="Z42">
        <f>IF(U42="",0,SUMIFS(st_min,st_cause,U42,st_sel,1))</f>
        <v>0.0</v>
      </c>
      <c r="AA42" t="str">
        <f>IF(AND(U42&lt;&gt;"",W42="Non planifié",Z42&gt;0),ROUND(Z42,4),"")</f>
        <v/>
      </c>
      <c r="AB42" t="str">
        <f>IF(AA42="","",COUNTIF($AA$9:$AA$48,"&gt;"&amp;AA42)+COUNTIF($AA$9:AA42,AA42))</f>
        <v/>
      </c>
      <c r="AC42">
        <f>IF(U42="",0,SUMIFS(st_min,st_cause,U42,st_in,1))</f>
        <v>0.0</v>
      </c>
      <c r="AD42">
        <f>IF(U42="",0,COUNTIFS(st_cause,U42,st_in,1))</f>
        <v>0.0</v>
      </c>
      <c r="AE42" t="str">
        <f>IF(AND(U42&lt;&gt;"",W42="Non planifié",AC42&gt;0),ROUND(AC42,4),"")</f>
        <v/>
      </c>
      <c r="AF42" t="str">
        <f>IF(AE42="","",COUNTIF($AE$9:$AE$48,"&gt;"&amp;AE42)+COUNTIF($AE$9:AE42,AE42))</f>
        <v/>
      </c>
    </row>
    <row r="43">
      <c r="A43" s="58" t="str">
        <f>IF(COUNT($AB$9:$AB$48)&gt;=35,35,"")</f>
        <v/>
      </c>
      <c r="B43" s="61" t="str">
        <f>IF(A43="","",INDEX($U$9:$U$48,MATCH(35,$AB$9:$AB$48,0)))</f>
        <v/>
      </c>
      <c r="C43" s="61" t="str">
        <f>IF(A43="","",INDEX($V$9:$V$48,MATCH(35,$AB$9:$AB$48,0)))</f>
        <v/>
      </c>
      <c r="D43" s="55" t="str">
        <f>IF(A43="","",INDEX($Y$9:$Y$48,MATCH(35,$AB$9:$AB$48,0)))</f>
        <v/>
      </c>
      <c r="E43" s="55" t="str">
        <f>IF(A43="","",INDEX($Z$9:$Z$48,MATCH(35,$AB$9:$AB$48,0)))</f>
        <v/>
      </c>
      <c r="F43" s="68" t="str">
        <f>IF(A43="","",E43/60)</f>
        <v/>
      </c>
      <c r="G43" s="57" t="str">
        <f>IF(A43="","",E43/$E$49)</f>
        <v/>
      </c>
      <c r="H43" s="57" t="str">
        <f>IF(A43="","",SUM($E$9:E43)/$E$49)</f>
        <v/>
      </c>
      <c r="I43" s="58" t="str">
        <f>IF(A43="","",IF(SUM($E$9:E42)/$E$49&lt;0.8,"A",IF(SUM($E$9:E42)/$E$49&lt;0.95,"B","C")))</f>
        <v/>
      </c>
      <c r="U43" t="str">
        <f>IF('Paramètres'!N40="OK",'Paramètres'!K40,"")</f>
        <v/>
      </c>
      <c r="V43" t="str">
        <f>IF(U43="","",'Paramètres'!L40)</f>
        <v/>
      </c>
      <c r="W43" t="str">
        <f>IF(U43="","",'Paramètres'!M40)</f>
        <v/>
      </c>
      <c r="Y43">
        <f>IF(U43="",0,COUNTIFS(st_cause,U43,st_sel,1))</f>
        <v>0.0</v>
      </c>
      <c r="Z43">
        <f>IF(U43="",0,SUMIFS(st_min,st_cause,U43,st_sel,1))</f>
        <v>0.0</v>
      </c>
      <c r="AA43" t="str">
        <f>IF(AND(U43&lt;&gt;"",W43="Non planifié",Z43&gt;0),ROUND(Z43,4),"")</f>
        <v/>
      </c>
      <c r="AB43" t="str">
        <f>IF(AA43="","",COUNTIF($AA$9:$AA$48,"&gt;"&amp;AA43)+COUNTIF($AA$9:AA43,AA43))</f>
        <v/>
      </c>
      <c r="AC43">
        <f>IF(U43="",0,SUMIFS(st_min,st_cause,U43,st_in,1))</f>
        <v>0.0</v>
      </c>
      <c r="AD43">
        <f>IF(U43="",0,COUNTIFS(st_cause,U43,st_in,1))</f>
        <v>0.0</v>
      </c>
      <c r="AE43" t="str">
        <f>IF(AND(U43&lt;&gt;"",W43="Non planifié",AC43&gt;0),ROUND(AC43,4),"")</f>
        <v/>
      </c>
      <c r="AF43" t="str">
        <f>IF(AE43="","",COUNTIF($AE$9:$AE$48,"&gt;"&amp;AE43)+COUNTIF($AE$9:AE43,AE43))</f>
        <v/>
      </c>
    </row>
    <row r="44">
      <c r="A44" s="58" t="str">
        <f>IF(COUNT($AB$9:$AB$48)&gt;=36,36,"")</f>
        <v/>
      </c>
      <c r="B44" s="61" t="str">
        <f>IF(A44="","",INDEX($U$9:$U$48,MATCH(36,$AB$9:$AB$48,0)))</f>
        <v/>
      </c>
      <c r="C44" s="61" t="str">
        <f>IF(A44="","",INDEX($V$9:$V$48,MATCH(36,$AB$9:$AB$48,0)))</f>
        <v/>
      </c>
      <c r="D44" s="55" t="str">
        <f>IF(A44="","",INDEX($Y$9:$Y$48,MATCH(36,$AB$9:$AB$48,0)))</f>
        <v/>
      </c>
      <c r="E44" s="55" t="str">
        <f>IF(A44="","",INDEX($Z$9:$Z$48,MATCH(36,$AB$9:$AB$48,0)))</f>
        <v/>
      </c>
      <c r="F44" s="68" t="str">
        <f>IF(A44="","",E44/60)</f>
        <v/>
      </c>
      <c r="G44" s="57" t="str">
        <f>IF(A44="","",E44/$E$49)</f>
        <v/>
      </c>
      <c r="H44" s="57" t="str">
        <f>IF(A44="","",SUM($E$9:E44)/$E$49)</f>
        <v/>
      </c>
      <c r="I44" s="58" t="str">
        <f>IF(A44="","",IF(SUM($E$9:E43)/$E$49&lt;0.8,"A",IF(SUM($E$9:E43)/$E$49&lt;0.95,"B","C")))</f>
        <v/>
      </c>
      <c r="U44" t="str">
        <f>IF('Paramètres'!N41="OK",'Paramètres'!K41,"")</f>
        <v/>
      </c>
      <c r="V44" t="str">
        <f>IF(U44="","",'Paramètres'!L41)</f>
        <v/>
      </c>
      <c r="W44" t="str">
        <f>IF(U44="","",'Paramètres'!M41)</f>
        <v/>
      </c>
      <c r="Y44">
        <f>IF(U44="",0,COUNTIFS(st_cause,U44,st_sel,1))</f>
        <v>0.0</v>
      </c>
      <c r="Z44">
        <f>IF(U44="",0,SUMIFS(st_min,st_cause,U44,st_sel,1))</f>
        <v>0.0</v>
      </c>
      <c r="AA44" t="str">
        <f>IF(AND(U44&lt;&gt;"",W44="Non planifié",Z44&gt;0),ROUND(Z44,4),"")</f>
        <v/>
      </c>
      <c r="AB44" t="str">
        <f>IF(AA44="","",COUNTIF($AA$9:$AA$48,"&gt;"&amp;AA44)+COUNTIF($AA$9:AA44,AA44))</f>
        <v/>
      </c>
      <c r="AC44">
        <f>IF(U44="",0,SUMIFS(st_min,st_cause,U44,st_in,1))</f>
        <v>0.0</v>
      </c>
      <c r="AD44">
        <f>IF(U44="",0,COUNTIFS(st_cause,U44,st_in,1))</f>
        <v>0.0</v>
      </c>
      <c r="AE44" t="str">
        <f>IF(AND(U44&lt;&gt;"",W44="Non planifié",AC44&gt;0),ROUND(AC44,4),"")</f>
        <v/>
      </c>
      <c r="AF44" t="str">
        <f>IF(AE44="","",COUNTIF($AE$9:$AE$48,"&gt;"&amp;AE44)+COUNTIF($AE$9:AE44,AE44))</f>
        <v/>
      </c>
    </row>
    <row r="45">
      <c r="A45" s="58" t="str">
        <f>IF(COUNT($AB$9:$AB$48)&gt;=37,37,"")</f>
        <v/>
      </c>
      <c r="B45" s="61" t="str">
        <f>IF(A45="","",INDEX($U$9:$U$48,MATCH(37,$AB$9:$AB$48,0)))</f>
        <v/>
      </c>
      <c r="C45" s="61" t="str">
        <f>IF(A45="","",INDEX($V$9:$V$48,MATCH(37,$AB$9:$AB$48,0)))</f>
        <v/>
      </c>
      <c r="D45" s="55" t="str">
        <f>IF(A45="","",INDEX($Y$9:$Y$48,MATCH(37,$AB$9:$AB$48,0)))</f>
        <v/>
      </c>
      <c r="E45" s="55" t="str">
        <f>IF(A45="","",INDEX($Z$9:$Z$48,MATCH(37,$AB$9:$AB$48,0)))</f>
        <v/>
      </c>
      <c r="F45" s="68" t="str">
        <f>IF(A45="","",E45/60)</f>
        <v/>
      </c>
      <c r="G45" s="57" t="str">
        <f>IF(A45="","",E45/$E$49)</f>
        <v/>
      </c>
      <c r="H45" s="57" t="str">
        <f>IF(A45="","",SUM($E$9:E45)/$E$49)</f>
        <v/>
      </c>
      <c r="I45" s="58" t="str">
        <f>IF(A45="","",IF(SUM($E$9:E44)/$E$49&lt;0.8,"A",IF(SUM($E$9:E44)/$E$49&lt;0.95,"B","C")))</f>
        <v/>
      </c>
      <c r="U45" t="str">
        <f>IF('Paramètres'!N42="OK",'Paramètres'!K42,"")</f>
        <v/>
      </c>
      <c r="V45" t="str">
        <f>IF(U45="","",'Paramètres'!L42)</f>
        <v/>
      </c>
      <c r="W45" t="str">
        <f>IF(U45="","",'Paramètres'!M42)</f>
        <v/>
      </c>
      <c r="Y45">
        <f>IF(U45="",0,COUNTIFS(st_cause,U45,st_sel,1))</f>
        <v>0.0</v>
      </c>
      <c r="Z45">
        <f>IF(U45="",0,SUMIFS(st_min,st_cause,U45,st_sel,1))</f>
        <v>0.0</v>
      </c>
      <c r="AA45" t="str">
        <f>IF(AND(U45&lt;&gt;"",W45="Non planifié",Z45&gt;0),ROUND(Z45,4),"")</f>
        <v/>
      </c>
      <c r="AB45" t="str">
        <f>IF(AA45="","",COUNTIF($AA$9:$AA$48,"&gt;"&amp;AA45)+COUNTIF($AA$9:AA45,AA45))</f>
        <v/>
      </c>
      <c r="AC45">
        <f>IF(U45="",0,SUMIFS(st_min,st_cause,U45,st_in,1))</f>
        <v>0.0</v>
      </c>
      <c r="AD45">
        <f>IF(U45="",0,COUNTIFS(st_cause,U45,st_in,1))</f>
        <v>0.0</v>
      </c>
      <c r="AE45" t="str">
        <f>IF(AND(U45&lt;&gt;"",W45="Non planifié",AC45&gt;0),ROUND(AC45,4),"")</f>
        <v/>
      </c>
      <c r="AF45" t="str">
        <f>IF(AE45="","",COUNTIF($AE$9:$AE$48,"&gt;"&amp;AE45)+COUNTIF($AE$9:AE45,AE45))</f>
        <v/>
      </c>
    </row>
    <row r="46">
      <c r="A46" s="58" t="str">
        <f>IF(COUNT($AB$9:$AB$48)&gt;=38,38,"")</f>
        <v/>
      </c>
      <c r="B46" s="61" t="str">
        <f>IF(A46="","",INDEX($U$9:$U$48,MATCH(38,$AB$9:$AB$48,0)))</f>
        <v/>
      </c>
      <c r="C46" s="61" t="str">
        <f>IF(A46="","",INDEX($V$9:$V$48,MATCH(38,$AB$9:$AB$48,0)))</f>
        <v/>
      </c>
      <c r="D46" s="55" t="str">
        <f>IF(A46="","",INDEX($Y$9:$Y$48,MATCH(38,$AB$9:$AB$48,0)))</f>
        <v/>
      </c>
      <c r="E46" s="55" t="str">
        <f>IF(A46="","",INDEX($Z$9:$Z$48,MATCH(38,$AB$9:$AB$48,0)))</f>
        <v/>
      </c>
      <c r="F46" s="68" t="str">
        <f>IF(A46="","",E46/60)</f>
        <v/>
      </c>
      <c r="G46" s="57" t="str">
        <f>IF(A46="","",E46/$E$49)</f>
        <v/>
      </c>
      <c r="H46" s="57" t="str">
        <f>IF(A46="","",SUM($E$9:E46)/$E$49)</f>
        <v/>
      </c>
      <c r="I46" s="58" t="str">
        <f>IF(A46="","",IF(SUM($E$9:E45)/$E$49&lt;0.8,"A",IF(SUM($E$9:E45)/$E$49&lt;0.95,"B","C")))</f>
        <v/>
      </c>
      <c r="U46" t="str">
        <f>IF('Paramètres'!N43="OK",'Paramètres'!K43,"")</f>
        <v/>
      </c>
      <c r="V46" t="str">
        <f>IF(U46="","",'Paramètres'!L43)</f>
        <v/>
      </c>
      <c r="W46" t="str">
        <f>IF(U46="","",'Paramètres'!M43)</f>
        <v/>
      </c>
      <c r="Y46">
        <f>IF(U46="",0,COUNTIFS(st_cause,U46,st_sel,1))</f>
        <v>0.0</v>
      </c>
      <c r="Z46">
        <f>IF(U46="",0,SUMIFS(st_min,st_cause,U46,st_sel,1))</f>
        <v>0.0</v>
      </c>
      <c r="AA46" t="str">
        <f>IF(AND(U46&lt;&gt;"",W46="Non planifié",Z46&gt;0),ROUND(Z46,4),"")</f>
        <v/>
      </c>
      <c r="AB46" t="str">
        <f>IF(AA46="","",COUNTIF($AA$9:$AA$48,"&gt;"&amp;AA46)+COUNTIF($AA$9:AA46,AA46))</f>
        <v/>
      </c>
      <c r="AC46">
        <f>IF(U46="",0,SUMIFS(st_min,st_cause,U46,st_in,1))</f>
        <v>0.0</v>
      </c>
      <c r="AD46">
        <f>IF(U46="",0,COUNTIFS(st_cause,U46,st_in,1))</f>
        <v>0.0</v>
      </c>
      <c r="AE46" t="str">
        <f>IF(AND(U46&lt;&gt;"",W46="Non planifié",AC46&gt;0),ROUND(AC46,4),"")</f>
        <v/>
      </c>
      <c r="AF46" t="str">
        <f>IF(AE46="","",COUNTIF($AE$9:$AE$48,"&gt;"&amp;AE46)+COUNTIF($AE$9:AE46,AE46))</f>
        <v/>
      </c>
    </row>
    <row r="47">
      <c r="A47" s="58" t="str">
        <f>IF(COUNT($AB$9:$AB$48)&gt;=39,39,"")</f>
        <v/>
      </c>
      <c r="B47" s="61" t="str">
        <f>IF(A47="","",INDEX($U$9:$U$48,MATCH(39,$AB$9:$AB$48,0)))</f>
        <v/>
      </c>
      <c r="C47" s="61" t="str">
        <f>IF(A47="","",INDEX($V$9:$V$48,MATCH(39,$AB$9:$AB$48,0)))</f>
        <v/>
      </c>
      <c r="D47" s="55" t="str">
        <f>IF(A47="","",INDEX($Y$9:$Y$48,MATCH(39,$AB$9:$AB$48,0)))</f>
        <v/>
      </c>
      <c r="E47" s="55" t="str">
        <f>IF(A47="","",INDEX($Z$9:$Z$48,MATCH(39,$AB$9:$AB$48,0)))</f>
        <v/>
      </c>
      <c r="F47" s="68" t="str">
        <f>IF(A47="","",E47/60)</f>
        <v/>
      </c>
      <c r="G47" s="57" t="str">
        <f>IF(A47="","",E47/$E$49)</f>
        <v/>
      </c>
      <c r="H47" s="57" t="str">
        <f>IF(A47="","",SUM($E$9:E47)/$E$49)</f>
        <v/>
      </c>
      <c r="I47" s="58" t="str">
        <f>IF(A47="","",IF(SUM($E$9:E46)/$E$49&lt;0.8,"A",IF(SUM($E$9:E46)/$E$49&lt;0.95,"B","C")))</f>
        <v/>
      </c>
      <c r="U47" t="str">
        <f>IF('Paramètres'!N44="OK",'Paramètres'!K44,"")</f>
        <v/>
      </c>
      <c r="V47" t="str">
        <f>IF(U47="","",'Paramètres'!L44)</f>
        <v/>
      </c>
      <c r="W47" t="str">
        <f>IF(U47="","",'Paramètres'!M44)</f>
        <v/>
      </c>
      <c r="Y47">
        <f>IF(U47="",0,COUNTIFS(st_cause,U47,st_sel,1))</f>
        <v>0.0</v>
      </c>
      <c r="Z47">
        <f>IF(U47="",0,SUMIFS(st_min,st_cause,U47,st_sel,1))</f>
        <v>0.0</v>
      </c>
      <c r="AA47" t="str">
        <f>IF(AND(U47&lt;&gt;"",W47="Non planifié",Z47&gt;0),ROUND(Z47,4),"")</f>
        <v/>
      </c>
      <c r="AB47" t="str">
        <f>IF(AA47="","",COUNTIF($AA$9:$AA$48,"&gt;"&amp;AA47)+COUNTIF($AA$9:AA47,AA47))</f>
        <v/>
      </c>
      <c r="AC47">
        <f>IF(U47="",0,SUMIFS(st_min,st_cause,U47,st_in,1))</f>
        <v>0.0</v>
      </c>
      <c r="AD47">
        <f>IF(U47="",0,COUNTIFS(st_cause,U47,st_in,1))</f>
        <v>0.0</v>
      </c>
      <c r="AE47" t="str">
        <f>IF(AND(U47&lt;&gt;"",W47="Non planifié",AC47&gt;0),ROUND(AC47,4),"")</f>
        <v/>
      </c>
      <c r="AF47" t="str">
        <f>IF(AE47="","",COUNTIF($AE$9:$AE$48,"&gt;"&amp;AE47)+COUNTIF($AE$9:AE47,AE47))</f>
        <v/>
      </c>
    </row>
    <row r="48">
      <c r="A48" s="58" t="str">
        <f>IF(COUNT($AB$9:$AB$48)&gt;=40,40,"")</f>
        <v/>
      </c>
      <c r="B48" s="61" t="str">
        <f>IF(A48="","",INDEX($U$9:$U$48,MATCH(40,$AB$9:$AB$48,0)))</f>
        <v/>
      </c>
      <c r="C48" s="61" t="str">
        <f>IF(A48="","",INDEX($V$9:$V$48,MATCH(40,$AB$9:$AB$48,0)))</f>
        <v/>
      </c>
      <c r="D48" s="55" t="str">
        <f>IF(A48="","",INDEX($Y$9:$Y$48,MATCH(40,$AB$9:$AB$48,0)))</f>
        <v/>
      </c>
      <c r="E48" s="55" t="str">
        <f>IF(A48="","",INDEX($Z$9:$Z$48,MATCH(40,$AB$9:$AB$48,0)))</f>
        <v/>
      </c>
      <c r="F48" s="68" t="str">
        <f>IF(A48="","",E48/60)</f>
        <v/>
      </c>
      <c r="G48" s="57" t="str">
        <f>IF(A48="","",E48/$E$49)</f>
        <v/>
      </c>
      <c r="H48" s="57" t="str">
        <f>IF(A48="","",SUM($E$9:E48)/$E$49)</f>
        <v/>
      </c>
      <c r="I48" s="58" t="str">
        <f>IF(A48="","",IF(SUM($E$9:E47)/$E$49&lt;0.8,"A",IF(SUM($E$9:E47)/$E$49&lt;0.95,"B","C")))</f>
        <v/>
      </c>
      <c r="U48" t="str">
        <f>IF('Paramètres'!N45="OK",'Paramètres'!K45,"")</f>
        <v/>
      </c>
      <c r="V48" t="str">
        <f>IF(U48="","",'Paramètres'!L45)</f>
        <v/>
      </c>
      <c r="W48" t="str">
        <f>IF(U48="","",'Paramètres'!M45)</f>
        <v/>
      </c>
      <c r="Y48">
        <f>IF(U48="",0,COUNTIFS(st_cause,U48,st_sel,1))</f>
        <v>0.0</v>
      </c>
      <c r="Z48">
        <f>IF(U48="",0,SUMIFS(st_min,st_cause,U48,st_sel,1))</f>
        <v>0.0</v>
      </c>
      <c r="AA48" t="str">
        <f>IF(AND(U48&lt;&gt;"",W48="Non planifié",Z48&gt;0),ROUND(Z48,4),"")</f>
        <v/>
      </c>
      <c r="AB48" t="str">
        <f>IF(AA48="","",COUNTIF($AA$9:$AA$48,"&gt;"&amp;AA48)+COUNTIF($AA$9:AA48,AA48))</f>
        <v/>
      </c>
      <c r="AC48">
        <f>IF(U48="",0,SUMIFS(st_min,st_cause,U48,st_in,1))</f>
        <v>0.0</v>
      </c>
      <c r="AD48">
        <f>IF(U48="",0,COUNTIFS(st_cause,U48,st_in,1))</f>
        <v>0.0</v>
      </c>
      <c r="AE48" t="str">
        <f>IF(AND(U48&lt;&gt;"",W48="Non planifié",AC48&gt;0),ROUND(AC48,4),"")</f>
        <v/>
      </c>
      <c r="AF48" t="str">
        <f>IF(AE48="","",COUNTIF($AE$9:$AE$48,"&gt;"&amp;AE48)+COUNTIF($AE$9:AE48,AE48))</f>
        <v/>
      </c>
    </row>
    <row r="49">
      <c r="A49" s="85" t="n"/>
      <c r="B49" s="85" t="inlineStr">
        <is>
          <t>Total des arrêts non planifiés</t>
        </is>
      </c>
      <c r="C49" s="85" t="n"/>
      <c r="D49" s="86">
        <f>SUM(D9:D48)</f>
        <v>530.0</v>
      </c>
      <c r="E49" s="86">
        <f>SUM(E9:E48)</f>
        <v>21341.0</v>
      </c>
      <c r="F49" s="87">
        <f>E49/60</f>
        <v>355.683333333333</v>
      </c>
      <c r="G49" s="85" t="n"/>
      <c r="H49" s="85" t="n"/>
      <c r="I49" s="85" t="n"/>
    </row>
    <row r="50">
      <c r="B50" s="37" t="str">
        <f>IF(SUM($Z$9:$Z$48)-E49&gt;0,"Arrêts planifiés de la sélection, hors Pareto : "&amp;ROUND((SUM($Z$9:$Z$48)-E49)/60,1)&amp;" h.",IF(E49=0,"Aucun arrêt non planifié dans la sélection.",""))</f>
        <v>Arrêts planifiés de la sélection, hors Pareto : 18 h.</v>
      </c>
    </row>
  </sheetData>
  <mergeCells count="7">
    <mergeCell ref="K29:L29"/>
    <mergeCell ref="K30:L30"/>
    <mergeCell ref="K34:L34"/>
    <mergeCell ref="K32:L32"/>
    <mergeCell ref="K33:L33"/>
    <mergeCell ref="K28:L28"/>
    <mergeCell ref="K31:L31"/>
  </mergeCells>
  <conditionalFormatting sqref="F4">
    <cfRule type="expression" priority="1" dxfId="15">
      <formula>RIGHT($F$4,7)="inconnu"</formula>
    </cfRule>
    <cfRule type="expression" priority="2" dxfId="15">
      <formula>RIGHT($F$4,8)="inconnue"</formula>
    </cfRule>
  </conditionalFormatting>
  <conditionalFormatting sqref="I9:I48">
    <cfRule type="expression" priority="3" dxfId="5">
      <formula>$I9="A"</formula>
    </cfRule>
    <cfRule type="expression" priority="4" dxfId="4">
      <formula>$I9="B"</formula>
    </cfRule>
    <cfRule type="expression" priority="5" dxfId="16">
      <formula>$I9="C"</formula>
    </cfRule>
  </conditionalFormatting>
  <conditionalFormatting sqref="H9:H48">
    <cfRule type="dataBar" priority="6">
      <dataBar showValue="1">
        <cfvo type="num" val="0"/>
        <cfvo type="num" val="1"/>
        <color rgb="000369A1"/>
      </dataBar>
    </cfRule>
  </conditionalFormatting>
  <conditionalFormatting sqref="N29:N34">
    <cfRule type="dataBar" priority="7">
      <dataBar showValue="1">
        <cfvo type="num" val="0"/>
        <cfvo type="num" val="1"/>
        <color rgb="000369A1"/>
      </dataBar>
    </cfRule>
  </conditionalFormatting>
  <dataValidations count="2">
    <dataValidation sqref="B4" showDropDown="0" showInputMessage="1" showErrorMessage="1" allowBlank="1" errorTitle="Poste" error="Facultatif. Limitez le Pareto à un poste. Vide = tous les postes." promptTitle="Poste" prompt="Facultatif. Limitez le Pareto à un poste. Vide = tous les postes." type="list">
      <formula1>=po_code</formula1>
    </dataValidation>
    <dataValidation sqref="D4" showDropDown="0" showInputMessage="1" showErrorMessage="1" allowBlank="1" errorTitle="Équipe" error="Facultatif. Limitez le Pareto à une équipe. Vide = toutes les équipes." promptTitle="Équipe" prompt="Facultatif. Limitez le Pareto à une équipe. Vide = toutes les équipes." type="list">
      <formula1>=eq_code</formula1>
    </dataValidation>
  </dataValidations>
  <hyperlinks>
    <hyperlink ref="N1" location="'Mode d''emploi'!A1"/>
    <hyperlink ref="F5" location="'Synthèse'!A1"/>
  </hyperlinks>
  <printOptions horizontalCentered="1"/>
  <pageMargins left="0.4" right="0.4" top="0.5" bottom="0.5" header="0.5" footer="0.5"/>
  <pageSetup orientation="landscape" paperSize="9" fitToHeight="0" fitToWidth="1"/>
  <drawing xmlns:r="http://schemas.openxmlformats.org/officeDocument/2006/relationships" r:id="rId1"/>
</worksheet>
</file>

<file path=xl/worksheets/sheet7.xml><?xml version="1.0" encoding="utf-8"?>
<worksheet xmlns="http://schemas.openxmlformats.org/spreadsheetml/2006/main">
  <sheetPr>
    <tabColor rgb="FF0369A1"/>
    <outlinePr summaryBelow="1" summaryRight="1"/>
    <pageSetUpPr fitToPage="1"/>
  </sheetPr>
  <dimension ref="A1:E3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6" customWidth="1" min="3" max="3"/>
    <col width="16" customWidth="1" min="4" max="4"/>
    <col width="22" customWidth="1" min="5" max="5"/>
  </cols>
  <sheetData>
    <row r="1" ht="38" customHeight="1">
      <c r="A1" s="2" t="inlineStr">
        <is>
          <t>Postes</t>
        </is>
      </c>
      <c r="B1" s="1" t="n"/>
      <c r="C1" s="1" t="n"/>
      <c r="D1" s="1" t="n"/>
      <c r="E1" s="18" t="inlineStr">
        <is>
          <t>⌂ Mode d'emploi</t>
        </is>
      </c>
    </row>
    <row r="2" ht="22" customHeight="1">
      <c r="A2" s="4" t="inlineStr">
        <is>
          <t>Une ligne par machine ou ligne. La cadence théorique est la base de la performance.</t>
        </is>
      </c>
      <c r="B2" s="3" t="n"/>
      <c r="C2" s="3" t="n"/>
      <c r="D2" s="3" t="n"/>
      <c r="E2" s="3" t="n"/>
    </row>
    <row r="3" ht="18" customHeight="1">
      <c r="D3" s="16" t="inlineStr">
        <is>
          <t>Saisie</t>
        </is>
      </c>
      <c r="E3" s="17" t="inlineStr">
        <is>
          <t>Calcul auto</t>
        </is>
      </c>
    </row>
    <row r="5" ht="34" customHeight="1">
      <c r="A5" s="38" t="inlineStr">
        <is>
          <t>Code</t>
        </is>
      </c>
      <c r="B5" s="38" t="inlineStr">
        <is>
          <t>Nom du poste</t>
        </is>
      </c>
      <c r="C5" s="38" t="inlineStr">
        <is>
          <t>Cadence théorique (pièces/h)</t>
        </is>
      </c>
      <c r="D5" s="38" t="inlineStr">
        <is>
          <t>Temps de cycle (s/pièce)</t>
        </is>
      </c>
      <c r="E5" s="38" t="inlineStr">
        <is>
          <t>Contrôle</t>
        </is>
      </c>
    </row>
    <row r="6">
      <c r="A6" s="52" t="inlineStr">
        <is>
          <t>TOUR1</t>
        </is>
      </c>
      <c r="B6" s="53" t="inlineStr">
        <is>
          <t>Tour CN 1</t>
        </is>
      </c>
      <c r="C6" s="60" t="n">
        <v>30</v>
      </c>
      <c r="D6" s="88">
        <f>IF(AND(ISNUMBER(C6),N(C6)&gt;0),3600/C6,"")</f>
        <v>120.0</v>
      </c>
      <c r="E6" s="58" t="str">
        <f>IF(A6="",IF(COUNTA(B6:C6)=0,"","Code manquant"),IF(COUNTIF($A$6:A6,A6)&gt;1,"Code en double",IF(OR(NOT(ISNUMBER(C6)),N(C6)&lt;=0),"Cadence manquante","OK")))</f>
        <v>OK</v>
      </c>
    </row>
    <row r="7">
      <c r="A7" s="52" t="inlineStr">
        <is>
          <t>TOUR2</t>
        </is>
      </c>
      <c r="B7" s="53" t="inlineStr">
        <is>
          <t>Tour CN 2</t>
        </is>
      </c>
      <c r="C7" s="60" t="n">
        <v>30</v>
      </c>
      <c r="D7" s="88">
        <f>IF(AND(ISNUMBER(C7),N(C7)&gt;0),3600/C7,"")</f>
        <v>120.0</v>
      </c>
      <c r="E7" s="58" t="str">
        <f>IF(A7="",IF(COUNTA(B7:C7)=0,"","Code manquant"),IF(COUNTIF($A$6:A7,A7)&gt;1,"Code en double",IF(OR(NOT(ISNUMBER(C7)),N(C7)&lt;=0),"Cadence manquante","OK")))</f>
        <v>OK</v>
      </c>
    </row>
    <row r="8">
      <c r="A8" s="52" t="inlineStr">
        <is>
          <t>USIN</t>
        </is>
      </c>
      <c r="B8" s="53" t="inlineStr">
        <is>
          <t>Centre d'usinage</t>
        </is>
      </c>
      <c r="C8" s="60" t="n">
        <v>12</v>
      </c>
      <c r="D8" s="88">
        <f>IF(AND(ISNUMBER(C8),N(C8)&gt;0),3600/C8,"")</f>
        <v>300.0</v>
      </c>
      <c r="E8" s="58" t="str">
        <f>IF(A8="",IF(COUNTA(B8:C8)=0,"","Code manquant"),IF(COUNTIF($A$6:A8,A8)&gt;1,"Code en double",IF(OR(NOT(ISNUMBER(C8)),N(C8)&lt;=0),"Cadence manquante","OK")))</f>
        <v>OK</v>
      </c>
    </row>
    <row r="9">
      <c r="A9" s="52" t="inlineStr">
        <is>
          <t>PRESSE</t>
        </is>
      </c>
      <c r="B9" s="53" t="inlineStr">
        <is>
          <t>Presse à découper 160 t</t>
        </is>
      </c>
      <c r="C9" s="60" t="n">
        <v>420</v>
      </c>
      <c r="D9" s="88">
        <f>IF(AND(ISNUMBER(C9),N(C9)&gt;0),3600/C9,"")</f>
        <v>8.57142857142857</v>
      </c>
      <c r="E9" s="58" t="str">
        <f>IF(A9="",IF(COUNTA(B9:C9)=0,"","Code manquant"),IF(COUNTIF($A$6:A9,A9)&gt;1,"Code en double",IF(OR(NOT(ISNUMBER(C9)),N(C9)&lt;=0),"Cadence manquante","OK")))</f>
        <v>OK</v>
      </c>
    </row>
    <row r="10">
      <c r="A10" s="52" t="inlineStr">
        <is>
          <t>PLIE</t>
        </is>
      </c>
      <c r="B10" s="53" t="inlineStr">
        <is>
          <t>Presse plieuse</t>
        </is>
      </c>
      <c r="C10" s="60" t="n">
        <v>90</v>
      </c>
      <c r="D10" s="88">
        <f>IF(AND(ISNUMBER(C10),N(C10)&gt;0),3600/C10,"")</f>
        <v>40.0</v>
      </c>
      <c r="E10" s="58" t="str">
        <f>IF(A10="",IF(COUNTA(B10:C10)=0,"","Code manquant"),IF(COUNTIF($A$6:A10,A10)&gt;1,"Code en double",IF(OR(NOT(ISNUMBER(C10)),N(C10)&lt;=0),"Cadence manquante","OK")))</f>
        <v>OK</v>
      </c>
    </row>
    <row r="11">
      <c r="A11" s="52" t="inlineStr">
        <is>
          <t>SOUD</t>
        </is>
      </c>
      <c r="B11" s="53" t="inlineStr">
        <is>
          <t>Robot de soudure</t>
        </is>
      </c>
      <c r="C11" s="60" t="n">
        <v>20</v>
      </c>
      <c r="D11" s="88">
        <f>IF(AND(ISNUMBER(C11),N(C11)&gt;0),3600/C11,"")</f>
        <v>180.0</v>
      </c>
      <c r="E11" s="58" t="str">
        <f>IF(A11="",IF(COUNTA(B11:C11)=0,"","Code manquant"),IF(COUNTIF($A$6:A11,A11)&gt;1,"Code en double",IF(OR(NOT(ISNUMBER(C11)),N(C11)&lt;=0),"Cadence manquante","OK")))</f>
        <v>OK</v>
      </c>
    </row>
    <row r="12">
      <c r="A12" s="52" t="n"/>
      <c r="B12" s="53" t="n"/>
      <c r="C12" s="60" t="n"/>
      <c r="D12" s="88" t="str">
        <f>IF(AND(ISNUMBER(C12),N(C12)&gt;0),3600/C12,"")</f>
        <v/>
      </c>
      <c r="E12" s="58" t="str">
        <f>IF(A12="",IF(COUNTA(B12:C12)=0,"","Code manquant"),IF(COUNTIF($A$6:A12,A12)&gt;1,"Code en double",IF(OR(NOT(ISNUMBER(C12)),N(C12)&lt;=0),"Cadence manquante","OK")))</f>
        <v/>
      </c>
    </row>
    <row r="13">
      <c r="A13" s="52" t="n"/>
      <c r="B13" s="53" t="n"/>
      <c r="C13" s="60" t="n"/>
      <c r="D13" s="88" t="str">
        <f>IF(AND(ISNUMBER(C13),N(C13)&gt;0),3600/C13,"")</f>
        <v/>
      </c>
      <c r="E13" s="58" t="str">
        <f>IF(A13="",IF(COUNTA(B13:C13)=0,"","Code manquant"),IF(COUNTIF($A$6:A13,A13)&gt;1,"Code en double",IF(OR(NOT(ISNUMBER(C13)),N(C13)&lt;=0),"Cadence manquante","OK")))</f>
        <v/>
      </c>
    </row>
    <row r="14">
      <c r="A14" s="52" t="n"/>
      <c r="B14" s="53" t="n"/>
      <c r="C14" s="60" t="n"/>
      <c r="D14" s="88" t="str">
        <f>IF(AND(ISNUMBER(C14),N(C14)&gt;0),3600/C14,"")</f>
        <v/>
      </c>
      <c r="E14" s="58" t="str">
        <f>IF(A14="",IF(COUNTA(B14:C14)=0,"","Code manquant"),IF(COUNTIF($A$6:A14,A14)&gt;1,"Code en double",IF(OR(NOT(ISNUMBER(C14)),N(C14)&lt;=0),"Cadence manquante","OK")))</f>
        <v/>
      </c>
    </row>
    <row r="15">
      <c r="A15" s="52" t="n"/>
      <c r="B15" s="53" t="n"/>
      <c r="C15" s="60" t="n"/>
      <c r="D15" s="88" t="str">
        <f>IF(AND(ISNUMBER(C15),N(C15)&gt;0),3600/C15,"")</f>
        <v/>
      </c>
      <c r="E15" s="58" t="str">
        <f>IF(A15="",IF(COUNTA(B15:C15)=0,"","Code manquant"),IF(COUNTIF($A$6:A15,A15)&gt;1,"Code en double",IF(OR(NOT(ISNUMBER(C15)),N(C15)&lt;=0),"Cadence manquante","OK")))</f>
        <v/>
      </c>
    </row>
    <row r="16">
      <c r="A16" s="52" t="n"/>
      <c r="B16" s="53" t="n"/>
      <c r="C16" s="60" t="n"/>
      <c r="D16" s="88" t="str">
        <f>IF(AND(ISNUMBER(C16),N(C16)&gt;0),3600/C16,"")</f>
        <v/>
      </c>
      <c r="E16" s="58" t="str">
        <f>IF(A16="",IF(COUNTA(B16:C16)=0,"","Code manquant"),IF(COUNTIF($A$6:A16,A16)&gt;1,"Code en double",IF(OR(NOT(ISNUMBER(C16)),N(C16)&lt;=0),"Cadence manquante","OK")))</f>
        <v/>
      </c>
    </row>
    <row r="17">
      <c r="A17" s="52" t="n"/>
      <c r="B17" s="53" t="n"/>
      <c r="C17" s="60" t="n"/>
      <c r="D17" s="88" t="str">
        <f>IF(AND(ISNUMBER(C17),N(C17)&gt;0),3600/C17,"")</f>
        <v/>
      </c>
      <c r="E17" s="58" t="str">
        <f>IF(A17="",IF(COUNTA(B17:C17)=0,"","Code manquant"),IF(COUNTIF($A$6:A17,A17)&gt;1,"Code en double",IF(OR(NOT(ISNUMBER(C17)),N(C17)&lt;=0),"Cadence manquante","OK")))</f>
        <v/>
      </c>
    </row>
    <row r="18">
      <c r="A18" s="52" t="n"/>
      <c r="B18" s="53" t="n"/>
      <c r="C18" s="60" t="n"/>
      <c r="D18" s="88" t="str">
        <f>IF(AND(ISNUMBER(C18),N(C18)&gt;0),3600/C18,"")</f>
        <v/>
      </c>
      <c r="E18" s="58" t="str">
        <f>IF(A18="",IF(COUNTA(B18:C18)=0,"","Code manquant"),IF(COUNTIF($A$6:A18,A18)&gt;1,"Code en double",IF(OR(NOT(ISNUMBER(C18)),N(C18)&lt;=0),"Cadence manquante","OK")))</f>
        <v/>
      </c>
    </row>
    <row r="19">
      <c r="A19" s="52" t="n"/>
      <c r="B19" s="53" t="n"/>
      <c r="C19" s="60" t="n"/>
      <c r="D19" s="88" t="str">
        <f>IF(AND(ISNUMBER(C19),N(C19)&gt;0),3600/C19,"")</f>
        <v/>
      </c>
      <c r="E19" s="58" t="str">
        <f>IF(A19="",IF(COUNTA(B19:C19)=0,"","Code manquant"),IF(COUNTIF($A$6:A19,A19)&gt;1,"Code en double",IF(OR(NOT(ISNUMBER(C19)),N(C19)&lt;=0),"Cadence manquante","OK")))</f>
        <v/>
      </c>
    </row>
    <row r="20">
      <c r="A20" s="52" t="n"/>
      <c r="B20" s="53" t="n"/>
      <c r="C20" s="60" t="n"/>
      <c r="D20" s="88" t="str">
        <f>IF(AND(ISNUMBER(C20),N(C20)&gt;0),3600/C20,"")</f>
        <v/>
      </c>
      <c r="E20" s="58" t="str">
        <f>IF(A20="",IF(COUNTA(B20:C20)=0,"","Code manquant"),IF(COUNTIF($A$6:A20,A20)&gt;1,"Code en double",IF(OR(NOT(ISNUMBER(C20)),N(C20)&lt;=0),"Cadence manquante","OK")))</f>
        <v/>
      </c>
    </row>
    <row r="21">
      <c r="A21" s="52" t="n"/>
      <c r="B21" s="53" t="n"/>
      <c r="C21" s="60" t="n"/>
      <c r="D21" s="88" t="str">
        <f>IF(AND(ISNUMBER(C21),N(C21)&gt;0),3600/C21,"")</f>
        <v/>
      </c>
      <c r="E21" s="58" t="str">
        <f>IF(A21="",IF(COUNTA(B21:C21)=0,"","Code manquant"),IF(COUNTIF($A$6:A21,A21)&gt;1,"Code en double",IF(OR(NOT(ISNUMBER(C21)),N(C21)&lt;=0),"Cadence manquante","OK")))</f>
        <v/>
      </c>
    </row>
    <row r="22">
      <c r="A22" s="52" t="n"/>
      <c r="B22" s="53" t="n"/>
      <c r="C22" s="60" t="n"/>
      <c r="D22" s="88" t="str">
        <f>IF(AND(ISNUMBER(C22),N(C22)&gt;0),3600/C22,"")</f>
        <v/>
      </c>
      <c r="E22" s="58" t="str">
        <f>IF(A22="",IF(COUNTA(B22:C22)=0,"","Code manquant"),IF(COUNTIF($A$6:A22,A22)&gt;1,"Code en double",IF(OR(NOT(ISNUMBER(C22)),N(C22)&lt;=0),"Cadence manquante","OK")))</f>
        <v/>
      </c>
    </row>
    <row r="23">
      <c r="A23" s="52" t="n"/>
      <c r="B23" s="53" t="n"/>
      <c r="C23" s="60" t="n"/>
      <c r="D23" s="88" t="str">
        <f>IF(AND(ISNUMBER(C23),N(C23)&gt;0),3600/C23,"")</f>
        <v/>
      </c>
      <c r="E23" s="58" t="str">
        <f>IF(A23="",IF(COUNTA(B23:C23)=0,"","Code manquant"),IF(COUNTIF($A$6:A23,A23)&gt;1,"Code en double",IF(OR(NOT(ISNUMBER(C23)),N(C23)&lt;=0),"Cadence manquante","OK")))</f>
        <v/>
      </c>
    </row>
    <row r="24">
      <c r="A24" s="52" t="n"/>
      <c r="B24" s="53" t="n"/>
      <c r="C24" s="60" t="n"/>
      <c r="D24" s="88" t="str">
        <f>IF(AND(ISNUMBER(C24),N(C24)&gt;0),3600/C24,"")</f>
        <v/>
      </c>
      <c r="E24" s="58" t="str">
        <f>IF(A24="",IF(COUNTA(B24:C24)=0,"","Code manquant"),IF(COUNTIF($A$6:A24,A24)&gt;1,"Code en double",IF(OR(NOT(ISNUMBER(C24)),N(C24)&lt;=0),"Cadence manquante","OK")))</f>
        <v/>
      </c>
    </row>
    <row r="25">
      <c r="A25" s="52" t="n"/>
      <c r="B25" s="53" t="n"/>
      <c r="C25" s="60" t="n"/>
      <c r="D25" s="88" t="str">
        <f>IF(AND(ISNUMBER(C25),N(C25)&gt;0),3600/C25,"")</f>
        <v/>
      </c>
      <c r="E25" s="58" t="str">
        <f>IF(A25="",IF(COUNTA(B25:C25)=0,"","Code manquant"),IF(COUNTIF($A$6:A25,A25)&gt;1,"Code en double",IF(OR(NOT(ISNUMBER(C25)),N(C25)&lt;=0),"Cadence manquante","OK")))</f>
        <v/>
      </c>
    </row>
    <row r="26">
      <c r="A26" s="52" t="n"/>
      <c r="B26" s="53" t="n"/>
      <c r="C26" s="60" t="n"/>
      <c r="D26" s="88" t="str">
        <f>IF(AND(ISNUMBER(C26),N(C26)&gt;0),3600/C26,"")</f>
        <v/>
      </c>
      <c r="E26" s="58" t="str">
        <f>IF(A26="",IF(COUNTA(B26:C26)=0,"","Code manquant"),IF(COUNTIF($A$6:A26,A26)&gt;1,"Code en double",IF(OR(NOT(ISNUMBER(C26)),N(C26)&lt;=0),"Cadence manquante","OK")))</f>
        <v/>
      </c>
    </row>
    <row r="27">
      <c r="A27" s="52" t="n"/>
      <c r="B27" s="53" t="n"/>
      <c r="C27" s="60" t="n"/>
      <c r="D27" s="88" t="str">
        <f>IF(AND(ISNUMBER(C27),N(C27)&gt;0),3600/C27,"")</f>
        <v/>
      </c>
      <c r="E27" s="58" t="str">
        <f>IF(A27="",IF(COUNTA(B27:C27)=0,"","Code manquant"),IF(COUNTIF($A$6:A27,A27)&gt;1,"Code en double",IF(OR(NOT(ISNUMBER(C27)),N(C27)&lt;=0),"Cadence manquante","OK")))</f>
        <v/>
      </c>
    </row>
    <row r="28">
      <c r="A28" s="52" t="n"/>
      <c r="B28" s="53" t="n"/>
      <c r="C28" s="60" t="n"/>
      <c r="D28" s="88" t="str">
        <f>IF(AND(ISNUMBER(C28),N(C28)&gt;0),3600/C28,"")</f>
        <v/>
      </c>
      <c r="E28" s="58" t="str">
        <f>IF(A28="",IF(COUNTA(B28:C28)=0,"","Code manquant"),IF(COUNTIF($A$6:A28,A28)&gt;1,"Code en double",IF(OR(NOT(ISNUMBER(C28)),N(C28)&lt;=0),"Cadence manquante","OK")))</f>
        <v/>
      </c>
    </row>
    <row r="29">
      <c r="A29" s="52" t="n"/>
      <c r="B29" s="53" t="n"/>
      <c r="C29" s="60" t="n"/>
      <c r="D29" s="88" t="str">
        <f>IF(AND(ISNUMBER(C29),N(C29)&gt;0),3600/C29,"")</f>
        <v/>
      </c>
      <c r="E29" s="58" t="str">
        <f>IF(A29="",IF(COUNTA(B29:C29)=0,"","Code manquant"),IF(COUNTIF($A$6:A29,A29)&gt;1,"Code en double",IF(OR(NOT(ISNUMBER(C29)),N(C29)&lt;=0),"Cadence manquante","OK")))</f>
        <v/>
      </c>
    </row>
    <row r="30">
      <c r="A30" s="52" t="n"/>
      <c r="B30" s="53" t="n"/>
      <c r="C30" s="60" t="n"/>
      <c r="D30" s="88" t="str">
        <f>IF(AND(ISNUMBER(C30),N(C30)&gt;0),3600/C30,"")</f>
        <v/>
      </c>
      <c r="E30" s="58" t="str">
        <f>IF(A30="",IF(COUNTA(B30:C30)=0,"","Code manquant"),IF(COUNTIF($A$6:A30,A30)&gt;1,"Code en double",IF(OR(NOT(ISNUMBER(C30)),N(C30)&lt;=0),"Cadence manquante","OK")))</f>
        <v/>
      </c>
    </row>
    <row r="31">
      <c r="A31" s="52" t="n"/>
      <c r="B31" s="53" t="n"/>
      <c r="C31" s="60" t="n"/>
      <c r="D31" s="88" t="str">
        <f>IF(AND(ISNUMBER(C31),N(C31)&gt;0),3600/C31,"")</f>
        <v/>
      </c>
      <c r="E31" s="58" t="str">
        <f>IF(A31="",IF(COUNTA(B31:C31)=0,"","Code manquant"),IF(COUNTIF($A$6:A31,A31)&gt;1,"Code en double",IF(OR(NOT(ISNUMBER(C31)),N(C31)&lt;=0),"Cadence manquante","OK")))</f>
        <v/>
      </c>
    </row>
    <row r="32">
      <c r="A32" s="52" t="n"/>
      <c r="B32" s="53" t="n"/>
      <c r="C32" s="60" t="n"/>
      <c r="D32" s="88" t="str">
        <f>IF(AND(ISNUMBER(C32),N(C32)&gt;0),3600/C32,"")</f>
        <v/>
      </c>
      <c r="E32" s="58" t="str">
        <f>IF(A32="",IF(COUNTA(B32:C32)=0,"","Code manquant"),IF(COUNTIF($A$6:A32,A32)&gt;1,"Code en double",IF(OR(NOT(ISNUMBER(C32)),N(C32)&lt;=0),"Cadence manquante","OK")))</f>
        <v/>
      </c>
    </row>
    <row r="33">
      <c r="A33" s="52" t="n"/>
      <c r="B33" s="53" t="n"/>
      <c r="C33" s="60" t="n"/>
      <c r="D33" s="88" t="str">
        <f>IF(AND(ISNUMBER(C33),N(C33)&gt;0),3600/C33,"")</f>
        <v/>
      </c>
      <c r="E33" s="58" t="str">
        <f>IF(A33="",IF(COUNTA(B33:C33)=0,"","Code manquant"),IF(COUNTIF($A$6:A33,A33)&gt;1,"Code en double",IF(OR(NOT(ISNUMBER(C33)),N(C33)&lt;=0),"Cadence manquante","OK")))</f>
        <v/>
      </c>
    </row>
    <row r="34">
      <c r="A34" s="52" t="n"/>
      <c r="B34" s="53" t="n"/>
      <c r="C34" s="60" t="n"/>
      <c r="D34" s="88" t="str">
        <f>IF(AND(ISNUMBER(C34),N(C34)&gt;0),3600/C34,"")</f>
        <v/>
      </c>
      <c r="E34" s="58" t="str">
        <f>IF(A34="",IF(COUNTA(B34:C34)=0,"","Code manquant"),IF(COUNTIF($A$6:A34,A34)&gt;1,"Code en double",IF(OR(NOT(ISNUMBER(C34)),N(C34)&lt;=0),"Cadence manquante","OK")))</f>
        <v/>
      </c>
    </row>
    <row r="35">
      <c r="A35" s="52" t="n"/>
      <c r="B35" s="53" t="n"/>
      <c r="C35" s="60" t="n"/>
      <c r="D35" s="88" t="str">
        <f>IF(AND(ISNUMBER(C35),N(C35)&gt;0),3600/C35,"")</f>
        <v/>
      </c>
      <c r="E35" s="58" t="str">
        <f>IF(A35="",IF(COUNTA(B35:C35)=0,"","Code manquant"),IF(COUNTIF($A$6:A35,A35)&gt;1,"Code en double",IF(OR(NOT(ISNUMBER(C35)),N(C35)&lt;=0),"Cadence manquante","OK")))</f>
        <v/>
      </c>
    </row>
  </sheetData>
  <conditionalFormatting sqref="E6:E35">
    <cfRule type="expression" priority="1" dxfId="9" stopIfTrue="1">
      <formula>$E6="OK"</formula>
    </cfRule>
    <cfRule type="expression" priority="2" dxfId="5">
      <formula>$E6&lt;&gt;""</formula>
    </cfRule>
  </conditionalFormatting>
  <dataValidations count="1">
    <dataValidation sqref="C6:C35" showDropDown="0" showInputMessage="1" showErrorMessage="1" allowBlank="1" errorTitle="Cadence théorique" error="Pièces par heure à la cadence nominale (constructeur, ou meilleure cadence tenue sur une équipe complète). 120 = une pièce toutes les 30 secondes." promptTitle="Cadence théorique" prompt="Pièces par heure à la cadence nominale (constructeur, ou meilleure cadence tenue sur une équipe complète). 120 = une pièce toutes les 30 secondes." type="decimal" operator="greaterThan">
      <formula1>0</formula1>
    </dataValidation>
  </dataValidations>
  <hyperlinks>
    <hyperlink ref="E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0369A1"/>
    <outlinePr summaryBelow="1" summaryRight="1"/>
    <pageSetUpPr fitToPage="1"/>
  </sheetPr>
  <dimension ref="A1:F5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16" customWidth="1" min="3" max="3"/>
    <col width="15" customWidth="1" min="4" max="4"/>
    <col width="16" customWidth="1" min="5" max="5"/>
    <col width="22" customWidth="1" min="6" max="6"/>
  </cols>
  <sheetData>
    <row r="1" ht="38" customHeight="1">
      <c r="A1" s="2" t="inlineStr">
        <is>
          <t>Articles</t>
        </is>
      </c>
      <c r="B1" s="1" t="n"/>
      <c r="C1" s="1" t="n"/>
      <c r="D1" s="1" t="n"/>
      <c r="E1" s="1" t="n"/>
      <c r="F1" s="18" t="inlineStr">
        <is>
          <t>⌂ Mode d'emploi</t>
        </is>
      </c>
    </row>
    <row r="2" ht="22" customHeight="1">
      <c r="A2" s="4" t="inlineStr">
        <is>
          <t>Facultatif. Une cadence propre à l'article remplace celle du poste ; le coût unitaire valorise les rebuts.</t>
        </is>
      </c>
      <c r="B2" s="3" t="n"/>
      <c r="C2" s="3" t="n"/>
      <c r="D2" s="3" t="n"/>
      <c r="E2" s="3" t="n"/>
      <c r="F2" s="3" t="n"/>
    </row>
    <row r="3" ht="18" customHeight="1">
      <c r="E3" s="16" t="inlineStr">
        <is>
          <t>Saisie</t>
        </is>
      </c>
      <c r="F3" s="17" t="inlineStr">
        <is>
          <t>Calcul auto</t>
        </is>
      </c>
    </row>
    <row r="5" ht="34" customHeight="1">
      <c r="A5" s="38" t="inlineStr">
        <is>
          <t>Référence</t>
        </is>
      </c>
      <c r="B5" s="38" t="inlineStr">
        <is>
          <t>Désignation</t>
        </is>
      </c>
      <c r="C5" s="38" t="inlineStr">
        <is>
          <t>Cadence spécifique (pièces/h)</t>
        </is>
      </c>
      <c r="D5" s="38" t="inlineStr">
        <is>
          <t>Coût unitaire</t>
        </is>
      </c>
      <c r="E5" s="38" t="inlineStr">
        <is>
          <t>Temps de cycle (s/pièce)</t>
        </is>
      </c>
      <c r="F5" s="38" t="inlineStr">
        <is>
          <t>Contrôle</t>
        </is>
      </c>
    </row>
    <row r="6">
      <c r="A6" s="53" t="inlineStr">
        <is>
          <t>AXE-R20</t>
        </is>
      </c>
      <c r="B6" s="53" t="inlineStr">
        <is>
          <t>Axe de roue Ø20</t>
        </is>
      </c>
      <c r="C6" s="60" t="n"/>
      <c r="D6" s="89" t="n">
        <v>38.5</v>
      </c>
      <c r="E6" s="88" t="str">
        <f>IF(AND(ISNUMBER(C6),N(C6)&gt;0),3600/C6,"")</f>
        <v/>
      </c>
      <c r="F6" s="58" t="str">
        <f>IF(A6="",IF(COUNTA(B6:D6)=0,"","Référence manquante"),IF(COUNTIF($A$6:A6,A6)&gt;1,"Référence en double",IF(AND(C6&lt;&gt;"",OR(NOT(ISNUMBER(C6)),N(C6)&lt;=0)),"Cadence invalide",IF(AND(D6&lt;&gt;"",OR(NOT(ISNUMBER(D6)),N(D6)&lt;0)),"Coût invalide","OK"))))</f>
        <v>OK</v>
      </c>
    </row>
    <row r="7">
      <c r="A7" s="53" t="inlineStr">
        <is>
          <t>BAG-BR-32</t>
        </is>
      </c>
      <c r="B7" s="53" t="inlineStr">
        <is>
          <t>Bague bronze Ø32</t>
        </is>
      </c>
      <c r="C7" s="60" t="n">
        <v>40</v>
      </c>
      <c r="D7" s="89" t="n">
        <v>52</v>
      </c>
      <c r="E7" s="88">
        <f>IF(AND(ISNUMBER(C7),N(C7)&gt;0),3600/C7,"")</f>
        <v>90.0</v>
      </c>
      <c r="F7" s="58" t="str">
        <f>IF(A7="",IF(COUNTA(B7:D7)=0,"","Référence manquante"),IF(COUNTIF($A$6:A7,A7)&gt;1,"Référence en double",IF(AND(C7&lt;&gt;"",OR(NOT(ISNUMBER(C7)),N(C7)&lt;=0)),"Cadence invalide",IF(AND(D7&lt;&gt;"",OR(NOT(ISNUMBER(D7)),N(D7)&lt;0)),"Coût invalide","OK"))))</f>
        <v>OK</v>
      </c>
    </row>
    <row r="8">
      <c r="A8" s="53" t="inlineStr">
        <is>
          <t>ENT-12</t>
        </is>
      </c>
      <c r="B8" s="53" t="inlineStr">
        <is>
          <t>Entretoise Ø12</t>
        </is>
      </c>
      <c r="C8" s="60" t="n">
        <v>55</v>
      </c>
      <c r="D8" s="89" t="n">
        <v>6.8</v>
      </c>
      <c r="E8" s="88">
        <f>IF(AND(ISNUMBER(C8),N(C8)&gt;0),3600/C8,"")</f>
        <v>65.4545454545455</v>
      </c>
      <c r="F8" s="58" t="str">
        <f>IF(A8="",IF(COUNTA(B8:D8)=0,"","Référence manquante"),IF(COUNTIF($A$6:A8,A8)&gt;1,"Référence en double",IF(AND(C8&lt;&gt;"",OR(NOT(ISNUMBER(C8)),N(C8)&lt;=0)),"Cadence invalide",IF(AND(D8&lt;&gt;"",OR(NOT(ISNUMBER(D8)),N(D8)&lt;0)),"Coût invalide","OK"))))</f>
        <v>OK</v>
      </c>
    </row>
    <row r="9">
      <c r="A9" s="53" t="inlineStr">
        <is>
          <t>FLA-PL-150</t>
        </is>
      </c>
      <c r="B9" s="53" t="inlineStr">
        <is>
          <t>Flasque usinée 150</t>
        </is>
      </c>
      <c r="C9" s="60" t="n"/>
      <c r="D9" s="89" t="n">
        <v>145</v>
      </c>
      <c r="E9" s="88" t="str">
        <f>IF(AND(ISNUMBER(C9),N(C9)&gt;0),3600/C9,"")</f>
        <v/>
      </c>
      <c r="F9" s="58" t="str">
        <f>IF(A9="",IF(COUNTA(B9:D9)=0,"","Référence manquante"),IF(COUNTIF($A$6:A9,A9)&gt;1,"Référence en double",IF(AND(C9&lt;&gt;"",OR(NOT(ISNUMBER(C9)),N(C9)&lt;=0)),"Cadence invalide",IF(AND(D9&lt;&gt;"",OR(NOT(ISNUMBER(D9)),N(D9)&lt;0)),"Coût invalide","OK"))))</f>
        <v>OK</v>
      </c>
    </row>
    <row r="10">
      <c r="A10" s="53" t="inlineStr">
        <is>
          <t>CAR-BOI-04</t>
        </is>
      </c>
      <c r="B10" s="53" t="inlineStr">
        <is>
          <t>Carter de boîte usiné</t>
        </is>
      </c>
      <c r="C10" s="60" t="n">
        <v>6</v>
      </c>
      <c r="D10" s="89" t="n">
        <v>610</v>
      </c>
      <c r="E10" s="88">
        <f>IF(AND(ISNUMBER(C10),N(C10)&gt;0),3600/C10,"")</f>
        <v>600.0</v>
      </c>
      <c r="F10" s="58" t="str">
        <f>IF(A10="",IF(COUNTA(B10:D10)=0,"","Référence manquante"),IF(COUNTIF($A$6:A10,A10)&gt;1,"Référence en double",IF(AND(C10&lt;&gt;"",OR(NOT(ISNUMBER(C10)),N(C10)&lt;=0)),"Cadence invalide",IF(AND(D10&lt;&gt;"",OR(NOT(ISNUMBER(D10)),N(D10)&lt;0)),"Coût invalide","OK"))))</f>
        <v>OK</v>
      </c>
    </row>
    <row r="11">
      <c r="A11" s="53" t="inlineStr">
        <is>
          <t>PAT-FIX-10</t>
        </is>
      </c>
      <c r="B11" s="53" t="inlineStr">
        <is>
          <t>Patte de fixation découpée</t>
        </is>
      </c>
      <c r="C11" s="60" t="n"/>
      <c r="D11" s="89" t="n">
        <v>4.2</v>
      </c>
      <c r="E11" s="88" t="str">
        <f>IF(AND(ISNUMBER(C11),N(C11)&gt;0),3600/C11,"")</f>
        <v/>
      </c>
      <c r="F11" s="58" t="str">
        <f>IF(A11="",IF(COUNTA(B11:D11)=0,"","Référence manquante"),IF(COUNTIF($A$6:A11,A11)&gt;1,"Référence en double",IF(AND(C11&lt;&gt;"",OR(NOT(ISNUMBER(C11)),N(C11)&lt;=0)),"Cadence invalide",IF(AND(D11&lt;&gt;"",OR(NOT(ISNUMBER(D11)),N(D11)&lt;0)),"Coût invalide","OK"))))</f>
        <v>OK</v>
      </c>
    </row>
    <row r="12">
      <c r="A12" s="53" t="inlineStr">
        <is>
          <t>RON-M10</t>
        </is>
      </c>
      <c r="B12" s="53" t="inlineStr">
        <is>
          <t>Rondelle M10 découpée</t>
        </is>
      </c>
      <c r="C12" s="60" t="n">
        <v>600</v>
      </c>
      <c r="D12" s="89" t="n">
        <v>0.9</v>
      </c>
      <c r="E12" s="88">
        <f>IF(AND(ISNUMBER(C12),N(C12)&gt;0),3600/C12,"")</f>
        <v>6.0</v>
      </c>
      <c r="F12" s="58" t="str">
        <f>IF(A12="",IF(COUNTA(B12:D12)=0,"","Référence manquante"),IF(COUNTIF($A$6:A12,A12)&gt;1,"Référence en double",IF(AND(C12&lt;&gt;"",OR(NOT(ISNUMBER(C12)),N(C12)&lt;=0)),"Cadence invalide",IF(AND(D12&lt;&gt;"",OR(NOT(ISNUMBER(D12)),N(D12)&lt;0)),"Coût invalide","OK"))))</f>
        <v>OK</v>
      </c>
    </row>
    <row r="13">
      <c r="A13" s="53" t="inlineStr">
        <is>
          <t>SUP-MOT-01</t>
        </is>
      </c>
      <c r="B13" s="53" t="inlineStr">
        <is>
          <t>Support moteur plié</t>
        </is>
      </c>
      <c r="C13" s="60" t="n"/>
      <c r="D13" s="89" t="n">
        <v>64</v>
      </c>
      <c r="E13" s="88" t="str">
        <f>IF(AND(ISNUMBER(C13),N(C13)&gt;0),3600/C13,"")</f>
        <v/>
      </c>
      <c r="F13" s="58" t="str">
        <f>IF(A13="",IF(COUNTA(B13:D13)=0,"","Référence manquante"),IF(COUNTIF($A$6:A13,A13)&gt;1,"Référence en double",IF(AND(C13&lt;&gt;"",OR(NOT(ISNUMBER(C13)),N(C13)&lt;=0)),"Cadence invalide",IF(AND(D13&lt;&gt;"",OR(NOT(ISNUMBER(D13)),N(D13)&lt;0)),"Coût invalide","OK"))))</f>
        <v>OK</v>
      </c>
    </row>
    <row r="14">
      <c r="A14" s="53" t="inlineStr">
        <is>
          <t>GAR-SUP-02</t>
        </is>
      </c>
      <c r="B14" s="53" t="inlineStr">
        <is>
          <t>Support garde-boue plié</t>
        </is>
      </c>
      <c r="C14" s="60" t="n">
        <v>110</v>
      </c>
      <c r="D14" s="89" t="n">
        <v>21.5</v>
      </c>
      <c r="E14" s="88">
        <f>IF(AND(ISNUMBER(C14),N(C14)&gt;0),3600/C14,"")</f>
        <v>32.7272727272727</v>
      </c>
      <c r="F14" s="58" t="str">
        <f>IF(A14="",IF(COUNTA(B14:D14)=0,"","Référence manquante"),IF(COUNTIF($A$6:A14,A14)&gt;1,"Référence en double",IF(AND(C14&lt;&gt;"",OR(NOT(ISNUMBER(C14)),N(C14)&lt;=0)),"Cadence invalide",IF(AND(D14&lt;&gt;"",OR(NOT(ISNUMBER(D14)),N(D14)&lt;0)),"Coût invalide","OK"))))</f>
        <v>OK</v>
      </c>
    </row>
    <row r="15">
      <c r="A15" s="53" t="inlineStr">
        <is>
          <t>BRA-SUS-02</t>
        </is>
      </c>
      <c r="B15" s="53" t="inlineStr">
        <is>
          <t>Bras de suspension soudé</t>
        </is>
      </c>
      <c r="C15" s="60" t="n"/>
      <c r="D15" s="89" t="n">
        <v>238</v>
      </c>
      <c r="E15" s="88" t="str">
        <f>IF(AND(ISNUMBER(C15),N(C15)&gt;0),3600/C15,"")</f>
        <v/>
      </c>
      <c r="F15" s="58" t="str">
        <f>IF(A15="",IF(COUNTA(B15:D15)=0,"","Référence manquante"),IF(COUNTIF($A$6:A15,A15)&gt;1,"Référence en double",IF(AND(C15&lt;&gt;"",OR(NOT(ISNUMBER(C15)),N(C15)&lt;=0)),"Cadence invalide",IF(AND(D15&lt;&gt;"",OR(NOT(ISNUMBER(D15)),N(D15)&lt;0)),"Coût invalide","OK"))))</f>
        <v>OK</v>
      </c>
    </row>
    <row r="16">
      <c r="A16" s="53" t="inlineStr">
        <is>
          <t>CHA-REM-01</t>
        </is>
      </c>
      <c r="B16" s="53" t="inlineStr">
        <is>
          <t>Sous-ensemble châssis soudé</t>
        </is>
      </c>
      <c r="C16" s="60" t="n">
        <v>4</v>
      </c>
      <c r="D16" s="89" t="n">
        <v>1350</v>
      </c>
      <c r="E16" s="88">
        <f>IF(AND(ISNUMBER(C16),N(C16)&gt;0),3600/C16,"")</f>
        <v>900.0</v>
      </c>
      <c r="F16" s="58" t="str">
        <f>IF(A16="",IF(COUNTA(B16:D16)=0,"","Référence manquante"),IF(COUNTIF($A$6:A16,A16)&gt;1,"Référence en double",IF(AND(C16&lt;&gt;"",OR(NOT(ISNUMBER(C16)),N(C16)&lt;=0)),"Cadence invalide",IF(AND(D16&lt;&gt;"",OR(NOT(ISNUMBER(D16)),N(D16)&lt;0)),"Coût invalide","OK"))))</f>
        <v>OK</v>
      </c>
    </row>
    <row r="17">
      <c r="A17" s="53" t="n"/>
      <c r="B17" s="53" t="n"/>
      <c r="C17" s="60" t="n"/>
      <c r="D17" s="89" t="n"/>
      <c r="E17" s="88" t="str">
        <f>IF(AND(ISNUMBER(C17),N(C17)&gt;0),3600/C17,"")</f>
        <v/>
      </c>
      <c r="F17" s="58" t="str">
        <f>IF(A17="",IF(COUNTA(B17:D17)=0,"","Référence manquante"),IF(COUNTIF($A$6:A17,A17)&gt;1,"Référence en double",IF(AND(C17&lt;&gt;"",OR(NOT(ISNUMBER(C17)),N(C17)&lt;=0)),"Cadence invalide",IF(AND(D17&lt;&gt;"",OR(NOT(ISNUMBER(D17)),N(D17)&lt;0)),"Coût invalide","OK"))))</f>
        <v/>
      </c>
    </row>
    <row r="18">
      <c r="A18" s="53" t="n"/>
      <c r="B18" s="53" t="n"/>
      <c r="C18" s="60" t="n"/>
      <c r="D18" s="89" t="n"/>
      <c r="E18" s="88" t="str">
        <f>IF(AND(ISNUMBER(C18),N(C18)&gt;0),3600/C18,"")</f>
        <v/>
      </c>
      <c r="F18" s="58" t="str">
        <f>IF(A18="",IF(COUNTA(B18:D18)=0,"","Référence manquante"),IF(COUNTIF($A$6:A18,A18)&gt;1,"Référence en double",IF(AND(C18&lt;&gt;"",OR(NOT(ISNUMBER(C18)),N(C18)&lt;=0)),"Cadence invalide",IF(AND(D18&lt;&gt;"",OR(NOT(ISNUMBER(D18)),N(D18)&lt;0)),"Coût invalide","OK"))))</f>
        <v/>
      </c>
    </row>
    <row r="19">
      <c r="A19" s="53" t="n"/>
      <c r="B19" s="53" t="n"/>
      <c r="C19" s="60" t="n"/>
      <c r="D19" s="89" t="n"/>
      <c r="E19" s="88" t="str">
        <f>IF(AND(ISNUMBER(C19),N(C19)&gt;0),3600/C19,"")</f>
        <v/>
      </c>
      <c r="F19" s="58" t="str">
        <f>IF(A19="",IF(COUNTA(B19:D19)=0,"","Référence manquante"),IF(COUNTIF($A$6:A19,A19)&gt;1,"Référence en double",IF(AND(C19&lt;&gt;"",OR(NOT(ISNUMBER(C19)),N(C19)&lt;=0)),"Cadence invalide",IF(AND(D19&lt;&gt;"",OR(NOT(ISNUMBER(D19)),N(D19)&lt;0)),"Coût invalide","OK"))))</f>
        <v/>
      </c>
    </row>
    <row r="20">
      <c r="A20" s="53" t="n"/>
      <c r="B20" s="53" t="n"/>
      <c r="C20" s="60" t="n"/>
      <c r="D20" s="89" t="n"/>
      <c r="E20" s="88" t="str">
        <f>IF(AND(ISNUMBER(C20),N(C20)&gt;0),3600/C20,"")</f>
        <v/>
      </c>
      <c r="F20" s="58" t="str">
        <f>IF(A20="",IF(COUNTA(B20:D20)=0,"","Référence manquante"),IF(COUNTIF($A$6:A20,A20)&gt;1,"Référence en double",IF(AND(C20&lt;&gt;"",OR(NOT(ISNUMBER(C20)),N(C20)&lt;=0)),"Cadence invalide",IF(AND(D20&lt;&gt;"",OR(NOT(ISNUMBER(D20)),N(D20)&lt;0)),"Coût invalide","OK"))))</f>
        <v/>
      </c>
    </row>
    <row r="21">
      <c r="A21" s="53" t="n"/>
      <c r="B21" s="53" t="n"/>
      <c r="C21" s="60" t="n"/>
      <c r="D21" s="89" t="n"/>
      <c r="E21" s="88" t="str">
        <f>IF(AND(ISNUMBER(C21),N(C21)&gt;0),3600/C21,"")</f>
        <v/>
      </c>
      <c r="F21" s="58" t="str">
        <f>IF(A21="",IF(COUNTA(B21:D21)=0,"","Référence manquante"),IF(COUNTIF($A$6:A21,A21)&gt;1,"Référence en double",IF(AND(C21&lt;&gt;"",OR(NOT(ISNUMBER(C21)),N(C21)&lt;=0)),"Cadence invalide",IF(AND(D21&lt;&gt;"",OR(NOT(ISNUMBER(D21)),N(D21)&lt;0)),"Coût invalide","OK"))))</f>
        <v/>
      </c>
    </row>
    <row r="22">
      <c r="A22" s="53" t="n"/>
      <c r="B22" s="53" t="n"/>
      <c r="C22" s="60" t="n"/>
      <c r="D22" s="89" t="n"/>
      <c r="E22" s="88" t="str">
        <f>IF(AND(ISNUMBER(C22),N(C22)&gt;0),3600/C22,"")</f>
        <v/>
      </c>
      <c r="F22" s="58" t="str">
        <f>IF(A22="",IF(COUNTA(B22:D22)=0,"","Référence manquante"),IF(COUNTIF($A$6:A22,A22)&gt;1,"Référence en double",IF(AND(C22&lt;&gt;"",OR(NOT(ISNUMBER(C22)),N(C22)&lt;=0)),"Cadence invalide",IF(AND(D22&lt;&gt;"",OR(NOT(ISNUMBER(D22)),N(D22)&lt;0)),"Coût invalide","OK"))))</f>
        <v/>
      </c>
    </row>
    <row r="23">
      <c r="A23" s="53" t="n"/>
      <c r="B23" s="53" t="n"/>
      <c r="C23" s="60" t="n"/>
      <c r="D23" s="89" t="n"/>
      <c r="E23" s="88" t="str">
        <f>IF(AND(ISNUMBER(C23),N(C23)&gt;0),3600/C23,"")</f>
        <v/>
      </c>
      <c r="F23" s="58" t="str">
        <f>IF(A23="",IF(COUNTA(B23:D23)=0,"","Référence manquante"),IF(COUNTIF($A$6:A23,A23)&gt;1,"Référence en double",IF(AND(C23&lt;&gt;"",OR(NOT(ISNUMBER(C23)),N(C23)&lt;=0)),"Cadence invalide",IF(AND(D23&lt;&gt;"",OR(NOT(ISNUMBER(D23)),N(D23)&lt;0)),"Coût invalide","OK"))))</f>
        <v/>
      </c>
    </row>
    <row r="24">
      <c r="A24" s="53" t="n"/>
      <c r="B24" s="53" t="n"/>
      <c r="C24" s="60" t="n"/>
      <c r="D24" s="89" t="n"/>
      <c r="E24" s="88" t="str">
        <f>IF(AND(ISNUMBER(C24),N(C24)&gt;0),3600/C24,"")</f>
        <v/>
      </c>
      <c r="F24" s="58" t="str">
        <f>IF(A24="",IF(COUNTA(B24:D24)=0,"","Référence manquante"),IF(COUNTIF($A$6:A24,A24)&gt;1,"Référence en double",IF(AND(C24&lt;&gt;"",OR(NOT(ISNUMBER(C24)),N(C24)&lt;=0)),"Cadence invalide",IF(AND(D24&lt;&gt;"",OR(NOT(ISNUMBER(D24)),N(D24)&lt;0)),"Coût invalide","OK"))))</f>
        <v/>
      </c>
    </row>
    <row r="25">
      <c r="A25" s="53" t="n"/>
      <c r="B25" s="53" t="n"/>
      <c r="C25" s="60" t="n"/>
      <c r="D25" s="89" t="n"/>
      <c r="E25" s="88" t="str">
        <f>IF(AND(ISNUMBER(C25),N(C25)&gt;0),3600/C25,"")</f>
        <v/>
      </c>
      <c r="F25" s="58" t="str">
        <f>IF(A25="",IF(COUNTA(B25:D25)=0,"","Référence manquante"),IF(COUNTIF($A$6:A25,A25)&gt;1,"Référence en double",IF(AND(C25&lt;&gt;"",OR(NOT(ISNUMBER(C25)),N(C25)&lt;=0)),"Cadence invalide",IF(AND(D25&lt;&gt;"",OR(NOT(ISNUMBER(D25)),N(D25)&lt;0)),"Coût invalide","OK"))))</f>
        <v/>
      </c>
    </row>
    <row r="26">
      <c r="A26" s="53" t="n"/>
      <c r="B26" s="53" t="n"/>
      <c r="C26" s="60" t="n"/>
      <c r="D26" s="89" t="n"/>
      <c r="E26" s="88" t="str">
        <f>IF(AND(ISNUMBER(C26),N(C26)&gt;0),3600/C26,"")</f>
        <v/>
      </c>
      <c r="F26" s="58" t="str">
        <f>IF(A26="",IF(COUNTA(B26:D26)=0,"","Référence manquante"),IF(COUNTIF($A$6:A26,A26)&gt;1,"Référence en double",IF(AND(C26&lt;&gt;"",OR(NOT(ISNUMBER(C26)),N(C26)&lt;=0)),"Cadence invalide",IF(AND(D26&lt;&gt;"",OR(NOT(ISNUMBER(D26)),N(D26)&lt;0)),"Coût invalide","OK"))))</f>
        <v/>
      </c>
    </row>
    <row r="27">
      <c r="A27" s="53" t="n"/>
      <c r="B27" s="53" t="n"/>
      <c r="C27" s="60" t="n"/>
      <c r="D27" s="89" t="n"/>
      <c r="E27" s="88" t="str">
        <f>IF(AND(ISNUMBER(C27),N(C27)&gt;0),3600/C27,"")</f>
        <v/>
      </c>
      <c r="F27" s="58" t="str">
        <f>IF(A27="",IF(COUNTA(B27:D27)=0,"","Référence manquante"),IF(COUNTIF($A$6:A27,A27)&gt;1,"Référence en double",IF(AND(C27&lt;&gt;"",OR(NOT(ISNUMBER(C27)),N(C27)&lt;=0)),"Cadence invalide",IF(AND(D27&lt;&gt;"",OR(NOT(ISNUMBER(D27)),N(D27)&lt;0)),"Coût invalide","OK"))))</f>
        <v/>
      </c>
    </row>
    <row r="28">
      <c r="A28" s="53" t="n"/>
      <c r="B28" s="53" t="n"/>
      <c r="C28" s="60" t="n"/>
      <c r="D28" s="89" t="n"/>
      <c r="E28" s="88" t="str">
        <f>IF(AND(ISNUMBER(C28),N(C28)&gt;0),3600/C28,"")</f>
        <v/>
      </c>
      <c r="F28" s="58" t="str">
        <f>IF(A28="",IF(COUNTA(B28:D28)=0,"","Référence manquante"),IF(COUNTIF($A$6:A28,A28)&gt;1,"Référence en double",IF(AND(C28&lt;&gt;"",OR(NOT(ISNUMBER(C28)),N(C28)&lt;=0)),"Cadence invalide",IF(AND(D28&lt;&gt;"",OR(NOT(ISNUMBER(D28)),N(D28)&lt;0)),"Coût invalide","OK"))))</f>
        <v/>
      </c>
    </row>
    <row r="29">
      <c r="A29" s="53" t="n"/>
      <c r="B29" s="53" t="n"/>
      <c r="C29" s="60" t="n"/>
      <c r="D29" s="89" t="n"/>
      <c r="E29" s="88" t="str">
        <f>IF(AND(ISNUMBER(C29),N(C29)&gt;0),3600/C29,"")</f>
        <v/>
      </c>
      <c r="F29" s="58" t="str">
        <f>IF(A29="",IF(COUNTA(B29:D29)=0,"","Référence manquante"),IF(COUNTIF($A$6:A29,A29)&gt;1,"Référence en double",IF(AND(C29&lt;&gt;"",OR(NOT(ISNUMBER(C29)),N(C29)&lt;=0)),"Cadence invalide",IF(AND(D29&lt;&gt;"",OR(NOT(ISNUMBER(D29)),N(D29)&lt;0)),"Coût invalide","OK"))))</f>
        <v/>
      </c>
    </row>
    <row r="30">
      <c r="A30" s="53" t="n"/>
      <c r="B30" s="53" t="n"/>
      <c r="C30" s="60" t="n"/>
      <c r="D30" s="89" t="n"/>
      <c r="E30" s="88" t="str">
        <f>IF(AND(ISNUMBER(C30),N(C30)&gt;0),3600/C30,"")</f>
        <v/>
      </c>
      <c r="F30" s="58" t="str">
        <f>IF(A30="",IF(COUNTA(B30:D30)=0,"","Référence manquante"),IF(COUNTIF($A$6:A30,A30)&gt;1,"Référence en double",IF(AND(C30&lt;&gt;"",OR(NOT(ISNUMBER(C30)),N(C30)&lt;=0)),"Cadence invalide",IF(AND(D30&lt;&gt;"",OR(NOT(ISNUMBER(D30)),N(D30)&lt;0)),"Coût invalide","OK"))))</f>
        <v/>
      </c>
    </row>
    <row r="31">
      <c r="A31" s="53" t="n"/>
      <c r="B31" s="53" t="n"/>
      <c r="C31" s="60" t="n"/>
      <c r="D31" s="89" t="n"/>
      <c r="E31" s="88" t="str">
        <f>IF(AND(ISNUMBER(C31),N(C31)&gt;0),3600/C31,"")</f>
        <v/>
      </c>
      <c r="F31" s="58" t="str">
        <f>IF(A31="",IF(COUNTA(B31:D31)=0,"","Référence manquante"),IF(COUNTIF($A$6:A31,A31)&gt;1,"Référence en double",IF(AND(C31&lt;&gt;"",OR(NOT(ISNUMBER(C31)),N(C31)&lt;=0)),"Cadence invalide",IF(AND(D31&lt;&gt;"",OR(NOT(ISNUMBER(D31)),N(D31)&lt;0)),"Coût invalide","OK"))))</f>
        <v/>
      </c>
    </row>
    <row r="32">
      <c r="A32" s="53" t="n"/>
      <c r="B32" s="53" t="n"/>
      <c r="C32" s="60" t="n"/>
      <c r="D32" s="89" t="n"/>
      <c r="E32" s="88" t="str">
        <f>IF(AND(ISNUMBER(C32),N(C32)&gt;0),3600/C32,"")</f>
        <v/>
      </c>
      <c r="F32" s="58" t="str">
        <f>IF(A32="",IF(COUNTA(B32:D32)=0,"","Référence manquante"),IF(COUNTIF($A$6:A32,A32)&gt;1,"Référence en double",IF(AND(C32&lt;&gt;"",OR(NOT(ISNUMBER(C32)),N(C32)&lt;=0)),"Cadence invalide",IF(AND(D32&lt;&gt;"",OR(NOT(ISNUMBER(D32)),N(D32)&lt;0)),"Coût invalide","OK"))))</f>
        <v/>
      </c>
    </row>
    <row r="33">
      <c r="A33" s="53" t="n"/>
      <c r="B33" s="53" t="n"/>
      <c r="C33" s="60" t="n"/>
      <c r="D33" s="89" t="n"/>
      <c r="E33" s="88" t="str">
        <f>IF(AND(ISNUMBER(C33),N(C33)&gt;0),3600/C33,"")</f>
        <v/>
      </c>
      <c r="F33" s="58" t="str">
        <f>IF(A33="",IF(COUNTA(B33:D33)=0,"","Référence manquante"),IF(COUNTIF($A$6:A33,A33)&gt;1,"Référence en double",IF(AND(C33&lt;&gt;"",OR(NOT(ISNUMBER(C33)),N(C33)&lt;=0)),"Cadence invalide",IF(AND(D33&lt;&gt;"",OR(NOT(ISNUMBER(D33)),N(D33)&lt;0)),"Coût invalide","OK"))))</f>
        <v/>
      </c>
    </row>
    <row r="34">
      <c r="A34" s="53" t="n"/>
      <c r="B34" s="53" t="n"/>
      <c r="C34" s="60" t="n"/>
      <c r="D34" s="89" t="n"/>
      <c r="E34" s="88" t="str">
        <f>IF(AND(ISNUMBER(C34),N(C34)&gt;0),3600/C34,"")</f>
        <v/>
      </c>
      <c r="F34" s="58" t="str">
        <f>IF(A34="",IF(COUNTA(B34:D34)=0,"","Référence manquante"),IF(COUNTIF($A$6:A34,A34)&gt;1,"Référence en double",IF(AND(C34&lt;&gt;"",OR(NOT(ISNUMBER(C34)),N(C34)&lt;=0)),"Cadence invalide",IF(AND(D34&lt;&gt;"",OR(NOT(ISNUMBER(D34)),N(D34)&lt;0)),"Coût invalide","OK"))))</f>
        <v/>
      </c>
    </row>
    <row r="35">
      <c r="A35" s="53" t="n"/>
      <c r="B35" s="53" t="n"/>
      <c r="C35" s="60" t="n"/>
      <c r="D35" s="89" t="n"/>
      <c r="E35" s="88" t="str">
        <f>IF(AND(ISNUMBER(C35),N(C35)&gt;0),3600/C35,"")</f>
        <v/>
      </c>
      <c r="F35" s="58" t="str">
        <f>IF(A35="",IF(COUNTA(B35:D35)=0,"","Référence manquante"),IF(COUNTIF($A$6:A35,A35)&gt;1,"Référence en double",IF(AND(C35&lt;&gt;"",OR(NOT(ISNUMBER(C35)),N(C35)&lt;=0)),"Cadence invalide",IF(AND(D35&lt;&gt;"",OR(NOT(ISNUMBER(D35)),N(D35)&lt;0)),"Coût invalide","OK"))))</f>
        <v/>
      </c>
    </row>
    <row r="36">
      <c r="A36" s="53" t="n"/>
      <c r="B36" s="53" t="n"/>
      <c r="C36" s="60" t="n"/>
      <c r="D36" s="89" t="n"/>
      <c r="E36" s="88" t="str">
        <f>IF(AND(ISNUMBER(C36),N(C36)&gt;0),3600/C36,"")</f>
        <v/>
      </c>
      <c r="F36" s="58" t="str">
        <f>IF(A36="",IF(COUNTA(B36:D36)=0,"","Référence manquante"),IF(COUNTIF($A$6:A36,A36)&gt;1,"Référence en double",IF(AND(C36&lt;&gt;"",OR(NOT(ISNUMBER(C36)),N(C36)&lt;=0)),"Cadence invalide",IF(AND(D36&lt;&gt;"",OR(NOT(ISNUMBER(D36)),N(D36)&lt;0)),"Coût invalide","OK"))))</f>
        <v/>
      </c>
    </row>
    <row r="37">
      <c r="A37" s="53" t="n"/>
      <c r="B37" s="53" t="n"/>
      <c r="C37" s="60" t="n"/>
      <c r="D37" s="89" t="n"/>
      <c r="E37" s="88" t="str">
        <f>IF(AND(ISNUMBER(C37),N(C37)&gt;0),3600/C37,"")</f>
        <v/>
      </c>
      <c r="F37" s="58" t="str">
        <f>IF(A37="",IF(COUNTA(B37:D37)=0,"","Référence manquante"),IF(COUNTIF($A$6:A37,A37)&gt;1,"Référence en double",IF(AND(C37&lt;&gt;"",OR(NOT(ISNUMBER(C37)),N(C37)&lt;=0)),"Cadence invalide",IF(AND(D37&lt;&gt;"",OR(NOT(ISNUMBER(D37)),N(D37)&lt;0)),"Coût invalide","OK"))))</f>
        <v/>
      </c>
    </row>
    <row r="38">
      <c r="A38" s="53" t="n"/>
      <c r="B38" s="53" t="n"/>
      <c r="C38" s="60" t="n"/>
      <c r="D38" s="89" t="n"/>
      <c r="E38" s="88" t="str">
        <f>IF(AND(ISNUMBER(C38),N(C38)&gt;0),3600/C38,"")</f>
        <v/>
      </c>
      <c r="F38" s="58" t="str">
        <f>IF(A38="",IF(COUNTA(B38:D38)=0,"","Référence manquante"),IF(COUNTIF($A$6:A38,A38)&gt;1,"Référence en double",IF(AND(C38&lt;&gt;"",OR(NOT(ISNUMBER(C38)),N(C38)&lt;=0)),"Cadence invalide",IF(AND(D38&lt;&gt;"",OR(NOT(ISNUMBER(D38)),N(D38)&lt;0)),"Coût invalide","OK"))))</f>
        <v/>
      </c>
    </row>
    <row r="39">
      <c r="A39" s="53" t="n"/>
      <c r="B39" s="53" t="n"/>
      <c r="C39" s="60" t="n"/>
      <c r="D39" s="89" t="n"/>
      <c r="E39" s="88" t="str">
        <f>IF(AND(ISNUMBER(C39),N(C39)&gt;0),3600/C39,"")</f>
        <v/>
      </c>
      <c r="F39" s="58" t="str">
        <f>IF(A39="",IF(COUNTA(B39:D39)=0,"","Référence manquante"),IF(COUNTIF($A$6:A39,A39)&gt;1,"Référence en double",IF(AND(C39&lt;&gt;"",OR(NOT(ISNUMBER(C39)),N(C39)&lt;=0)),"Cadence invalide",IF(AND(D39&lt;&gt;"",OR(NOT(ISNUMBER(D39)),N(D39)&lt;0)),"Coût invalide","OK"))))</f>
        <v/>
      </c>
    </row>
    <row r="40">
      <c r="A40" s="53" t="n"/>
      <c r="B40" s="53" t="n"/>
      <c r="C40" s="60" t="n"/>
      <c r="D40" s="89" t="n"/>
      <c r="E40" s="88" t="str">
        <f>IF(AND(ISNUMBER(C40),N(C40)&gt;0),3600/C40,"")</f>
        <v/>
      </c>
      <c r="F40" s="58" t="str">
        <f>IF(A40="",IF(COUNTA(B40:D40)=0,"","Référence manquante"),IF(COUNTIF($A$6:A40,A40)&gt;1,"Référence en double",IF(AND(C40&lt;&gt;"",OR(NOT(ISNUMBER(C40)),N(C40)&lt;=0)),"Cadence invalide",IF(AND(D40&lt;&gt;"",OR(NOT(ISNUMBER(D40)),N(D40)&lt;0)),"Coût invalide","OK"))))</f>
        <v/>
      </c>
    </row>
    <row r="41">
      <c r="A41" s="53" t="n"/>
      <c r="B41" s="53" t="n"/>
      <c r="C41" s="60" t="n"/>
      <c r="D41" s="89" t="n"/>
      <c r="E41" s="88" t="str">
        <f>IF(AND(ISNUMBER(C41),N(C41)&gt;0),3600/C41,"")</f>
        <v/>
      </c>
      <c r="F41" s="58" t="str">
        <f>IF(A41="",IF(COUNTA(B41:D41)=0,"","Référence manquante"),IF(COUNTIF($A$6:A41,A41)&gt;1,"Référence en double",IF(AND(C41&lt;&gt;"",OR(NOT(ISNUMBER(C41)),N(C41)&lt;=0)),"Cadence invalide",IF(AND(D41&lt;&gt;"",OR(NOT(ISNUMBER(D41)),N(D41)&lt;0)),"Coût invalide","OK"))))</f>
        <v/>
      </c>
    </row>
    <row r="42">
      <c r="A42" s="53" t="n"/>
      <c r="B42" s="53" t="n"/>
      <c r="C42" s="60" t="n"/>
      <c r="D42" s="89" t="n"/>
      <c r="E42" s="88" t="str">
        <f>IF(AND(ISNUMBER(C42),N(C42)&gt;0),3600/C42,"")</f>
        <v/>
      </c>
      <c r="F42" s="58" t="str">
        <f>IF(A42="",IF(COUNTA(B42:D42)=0,"","Référence manquante"),IF(COUNTIF($A$6:A42,A42)&gt;1,"Référence en double",IF(AND(C42&lt;&gt;"",OR(NOT(ISNUMBER(C42)),N(C42)&lt;=0)),"Cadence invalide",IF(AND(D42&lt;&gt;"",OR(NOT(ISNUMBER(D42)),N(D42)&lt;0)),"Coût invalide","OK"))))</f>
        <v/>
      </c>
    </row>
    <row r="43">
      <c r="A43" s="53" t="n"/>
      <c r="B43" s="53" t="n"/>
      <c r="C43" s="60" t="n"/>
      <c r="D43" s="89" t="n"/>
      <c r="E43" s="88" t="str">
        <f>IF(AND(ISNUMBER(C43),N(C43)&gt;0),3600/C43,"")</f>
        <v/>
      </c>
      <c r="F43" s="58" t="str">
        <f>IF(A43="",IF(COUNTA(B43:D43)=0,"","Référence manquante"),IF(COUNTIF($A$6:A43,A43)&gt;1,"Référence en double",IF(AND(C43&lt;&gt;"",OR(NOT(ISNUMBER(C43)),N(C43)&lt;=0)),"Cadence invalide",IF(AND(D43&lt;&gt;"",OR(NOT(ISNUMBER(D43)),N(D43)&lt;0)),"Coût invalide","OK"))))</f>
        <v/>
      </c>
    </row>
    <row r="44">
      <c r="A44" s="53" t="n"/>
      <c r="B44" s="53" t="n"/>
      <c r="C44" s="60" t="n"/>
      <c r="D44" s="89" t="n"/>
      <c r="E44" s="88" t="str">
        <f>IF(AND(ISNUMBER(C44),N(C44)&gt;0),3600/C44,"")</f>
        <v/>
      </c>
      <c r="F44" s="58" t="str">
        <f>IF(A44="",IF(COUNTA(B44:D44)=0,"","Référence manquante"),IF(COUNTIF($A$6:A44,A44)&gt;1,"Référence en double",IF(AND(C44&lt;&gt;"",OR(NOT(ISNUMBER(C44)),N(C44)&lt;=0)),"Cadence invalide",IF(AND(D44&lt;&gt;"",OR(NOT(ISNUMBER(D44)),N(D44)&lt;0)),"Coût invalide","OK"))))</f>
        <v/>
      </c>
    </row>
    <row r="45">
      <c r="A45" s="53" t="n"/>
      <c r="B45" s="53" t="n"/>
      <c r="C45" s="60" t="n"/>
      <c r="D45" s="89" t="n"/>
      <c r="E45" s="88" t="str">
        <f>IF(AND(ISNUMBER(C45),N(C45)&gt;0),3600/C45,"")</f>
        <v/>
      </c>
      <c r="F45" s="58" t="str">
        <f>IF(A45="",IF(COUNTA(B45:D45)=0,"","Référence manquante"),IF(COUNTIF($A$6:A45,A45)&gt;1,"Référence en double",IF(AND(C45&lt;&gt;"",OR(NOT(ISNUMBER(C45)),N(C45)&lt;=0)),"Cadence invalide",IF(AND(D45&lt;&gt;"",OR(NOT(ISNUMBER(D45)),N(D45)&lt;0)),"Coût invalide","OK"))))</f>
        <v/>
      </c>
    </row>
    <row r="46">
      <c r="A46" s="53" t="n"/>
      <c r="B46" s="53" t="n"/>
      <c r="C46" s="60" t="n"/>
      <c r="D46" s="89" t="n"/>
      <c r="E46" s="88" t="str">
        <f>IF(AND(ISNUMBER(C46),N(C46)&gt;0),3600/C46,"")</f>
        <v/>
      </c>
      <c r="F46" s="58" t="str">
        <f>IF(A46="",IF(COUNTA(B46:D46)=0,"","Référence manquante"),IF(COUNTIF($A$6:A46,A46)&gt;1,"Référence en double",IF(AND(C46&lt;&gt;"",OR(NOT(ISNUMBER(C46)),N(C46)&lt;=0)),"Cadence invalide",IF(AND(D46&lt;&gt;"",OR(NOT(ISNUMBER(D46)),N(D46)&lt;0)),"Coût invalide","OK"))))</f>
        <v/>
      </c>
    </row>
    <row r="47">
      <c r="A47" s="53" t="n"/>
      <c r="B47" s="53" t="n"/>
      <c r="C47" s="60" t="n"/>
      <c r="D47" s="89" t="n"/>
      <c r="E47" s="88" t="str">
        <f>IF(AND(ISNUMBER(C47),N(C47)&gt;0),3600/C47,"")</f>
        <v/>
      </c>
      <c r="F47" s="58" t="str">
        <f>IF(A47="",IF(COUNTA(B47:D47)=0,"","Référence manquante"),IF(COUNTIF($A$6:A47,A47)&gt;1,"Référence en double",IF(AND(C47&lt;&gt;"",OR(NOT(ISNUMBER(C47)),N(C47)&lt;=0)),"Cadence invalide",IF(AND(D47&lt;&gt;"",OR(NOT(ISNUMBER(D47)),N(D47)&lt;0)),"Coût invalide","OK"))))</f>
        <v/>
      </c>
    </row>
    <row r="48">
      <c r="A48" s="53" t="n"/>
      <c r="B48" s="53" t="n"/>
      <c r="C48" s="60" t="n"/>
      <c r="D48" s="89" t="n"/>
      <c r="E48" s="88" t="str">
        <f>IF(AND(ISNUMBER(C48),N(C48)&gt;0),3600/C48,"")</f>
        <v/>
      </c>
      <c r="F48" s="58" t="str">
        <f>IF(A48="",IF(COUNTA(B48:D48)=0,"","Référence manquante"),IF(COUNTIF($A$6:A48,A48)&gt;1,"Référence en double",IF(AND(C48&lt;&gt;"",OR(NOT(ISNUMBER(C48)),N(C48)&lt;=0)),"Cadence invalide",IF(AND(D48&lt;&gt;"",OR(NOT(ISNUMBER(D48)),N(D48)&lt;0)),"Coût invalide","OK"))))</f>
        <v/>
      </c>
    </row>
    <row r="49">
      <c r="A49" s="53" t="n"/>
      <c r="B49" s="53" t="n"/>
      <c r="C49" s="60" t="n"/>
      <c r="D49" s="89" t="n"/>
      <c r="E49" s="88" t="str">
        <f>IF(AND(ISNUMBER(C49),N(C49)&gt;0),3600/C49,"")</f>
        <v/>
      </c>
      <c r="F49" s="58" t="str">
        <f>IF(A49="",IF(COUNTA(B49:D49)=0,"","Référence manquante"),IF(COUNTIF($A$6:A49,A49)&gt;1,"Référence en double",IF(AND(C49&lt;&gt;"",OR(NOT(ISNUMBER(C49)),N(C49)&lt;=0)),"Cadence invalide",IF(AND(D49&lt;&gt;"",OR(NOT(ISNUMBER(D49)),N(D49)&lt;0)),"Coût invalide","OK"))))</f>
        <v/>
      </c>
    </row>
    <row r="50">
      <c r="A50" s="53" t="n"/>
      <c r="B50" s="53" t="n"/>
      <c r="C50" s="60" t="n"/>
      <c r="D50" s="89" t="n"/>
      <c r="E50" s="88" t="str">
        <f>IF(AND(ISNUMBER(C50),N(C50)&gt;0),3600/C50,"")</f>
        <v/>
      </c>
      <c r="F50" s="58" t="str">
        <f>IF(A50="",IF(COUNTA(B50:D50)=0,"","Référence manquante"),IF(COUNTIF($A$6:A50,A50)&gt;1,"Référence en double",IF(AND(C50&lt;&gt;"",OR(NOT(ISNUMBER(C50)),N(C50)&lt;=0)),"Cadence invalide",IF(AND(D50&lt;&gt;"",OR(NOT(ISNUMBER(D50)),N(D50)&lt;0)),"Coût invalide","OK"))))</f>
        <v/>
      </c>
    </row>
    <row r="51">
      <c r="A51" s="53" t="n"/>
      <c r="B51" s="53" t="n"/>
      <c r="C51" s="60" t="n"/>
      <c r="D51" s="89" t="n"/>
      <c r="E51" s="88" t="str">
        <f>IF(AND(ISNUMBER(C51),N(C51)&gt;0),3600/C51,"")</f>
        <v/>
      </c>
      <c r="F51" s="58" t="str">
        <f>IF(A51="",IF(COUNTA(B51:D51)=0,"","Référence manquante"),IF(COUNTIF($A$6:A51,A51)&gt;1,"Référence en double",IF(AND(C51&lt;&gt;"",OR(NOT(ISNUMBER(C51)),N(C51)&lt;=0)),"Cadence invalide",IF(AND(D51&lt;&gt;"",OR(NOT(ISNUMBER(D51)),N(D51)&lt;0)),"Coût invalide","OK"))))</f>
        <v/>
      </c>
    </row>
    <row r="52">
      <c r="A52" s="53" t="n"/>
      <c r="B52" s="53" t="n"/>
      <c r="C52" s="60" t="n"/>
      <c r="D52" s="89" t="n"/>
      <c r="E52" s="88" t="str">
        <f>IF(AND(ISNUMBER(C52),N(C52)&gt;0),3600/C52,"")</f>
        <v/>
      </c>
      <c r="F52" s="58" t="str">
        <f>IF(A52="",IF(COUNTA(B52:D52)=0,"","Référence manquante"),IF(COUNTIF($A$6:A52,A52)&gt;1,"Référence en double",IF(AND(C52&lt;&gt;"",OR(NOT(ISNUMBER(C52)),N(C52)&lt;=0)),"Cadence invalide",IF(AND(D52&lt;&gt;"",OR(NOT(ISNUMBER(D52)),N(D52)&lt;0)),"Coût invalide","OK"))))</f>
        <v/>
      </c>
    </row>
    <row r="53">
      <c r="A53" s="53" t="n"/>
      <c r="B53" s="53" t="n"/>
      <c r="C53" s="60" t="n"/>
      <c r="D53" s="89" t="n"/>
      <c r="E53" s="88" t="str">
        <f>IF(AND(ISNUMBER(C53),N(C53)&gt;0),3600/C53,"")</f>
        <v/>
      </c>
      <c r="F53" s="58" t="str">
        <f>IF(A53="",IF(COUNTA(B53:D53)=0,"","Référence manquante"),IF(COUNTIF($A$6:A53,A53)&gt;1,"Référence en double",IF(AND(C53&lt;&gt;"",OR(NOT(ISNUMBER(C53)),N(C53)&lt;=0)),"Cadence invalide",IF(AND(D53&lt;&gt;"",OR(NOT(ISNUMBER(D53)),N(D53)&lt;0)),"Coût invalide","OK"))))</f>
        <v/>
      </c>
    </row>
    <row r="54">
      <c r="A54" s="53" t="n"/>
      <c r="B54" s="53" t="n"/>
      <c r="C54" s="60" t="n"/>
      <c r="D54" s="89" t="n"/>
      <c r="E54" s="88" t="str">
        <f>IF(AND(ISNUMBER(C54),N(C54)&gt;0),3600/C54,"")</f>
        <v/>
      </c>
      <c r="F54" s="58" t="str">
        <f>IF(A54="",IF(COUNTA(B54:D54)=0,"","Référence manquante"),IF(COUNTIF($A$6:A54,A54)&gt;1,"Référence en double",IF(AND(C54&lt;&gt;"",OR(NOT(ISNUMBER(C54)),N(C54)&lt;=0)),"Cadence invalide",IF(AND(D54&lt;&gt;"",OR(NOT(ISNUMBER(D54)),N(D54)&lt;0)),"Coût invalide","OK"))))</f>
        <v/>
      </c>
    </row>
    <row r="55">
      <c r="A55" s="53" t="n"/>
      <c r="B55" s="53" t="n"/>
      <c r="C55" s="60" t="n"/>
      <c r="D55" s="89" t="n"/>
      <c r="E55" s="88" t="str">
        <f>IF(AND(ISNUMBER(C55),N(C55)&gt;0),3600/C55,"")</f>
        <v/>
      </c>
      <c r="F55" s="58" t="str">
        <f>IF(A55="",IF(COUNTA(B55:D55)=0,"","Référence manquante"),IF(COUNTIF($A$6:A55,A55)&gt;1,"Référence en double",IF(AND(C55&lt;&gt;"",OR(NOT(ISNUMBER(C55)),N(C55)&lt;=0)),"Cadence invalide",IF(AND(D55&lt;&gt;"",OR(NOT(ISNUMBER(D55)),N(D55)&lt;0)),"Coût invalide","OK"))))</f>
        <v/>
      </c>
    </row>
    <row r="56">
      <c r="A56" s="53" t="n"/>
      <c r="B56" s="53" t="n"/>
      <c r="C56" s="60" t="n"/>
      <c r="D56" s="89" t="n"/>
      <c r="E56" s="88" t="str">
        <f>IF(AND(ISNUMBER(C56),N(C56)&gt;0),3600/C56,"")</f>
        <v/>
      </c>
      <c r="F56" s="58" t="str">
        <f>IF(A56="",IF(COUNTA(B56:D56)=0,"","Référence manquante"),IF(COUNTIF($A$6:A56,A56)&gt;1,"Référence en double",IF(AND(C56&lt;&gt;"",OR(NOT(ISNUMBER(C56)),N(C56)&lt;=0)),"Cadence invalide",IF(AND(D56&lt;&gt;"",OR(NOT(ISNUMBER(D56)),N(D56)&lt;0)),"Coût invalide","OK"))))</f>
        <v/>
      </c>
    </row>
    <row r="57">
      <c r="A57" s="53" t="n"/>
      <c r="B57" s="53" t="n"/>
      <c r="C57" s="60" t="n"/>
      <c r="D57" s="89" t="n"/>
      <c r="E57" s="88" t="str">
        <f>IF(AND(ISNUMBER(C57),N(C57)&gt;0),3600/C57,"")</f>
        <v/>
      </c>
      <c r="F57" s="58" t="str">
        <f>IF(A57="",IF(COUNTA(B57:D57)=0,"","Référence manquante"),IF(COUNTIF($A$6:A57,A57)&gt;1,"Référence en double",IF(AND(C57&lt;&gt;"",OR(NOT(ISNUMBER(C57)),N(C57)&lt;=0)),"Cadence invalide",IF(AND(D57&lt;&gt;"",OR(NOT(ISNUMBER(D57)),N(D57)&lt;0)),"Coût invalide","OK"))))</f>
        <v/>
      </c>
    </row>
    <row r="58">
      <c r="A58" s="53" t="n"/>
      <c r="B58" s="53" t="n"/>
      <c r="C58" s="60" t="n"/>
      <c r="D58" s="89" t="n"/>
      <c r="E58" s="88" t="str">
        <f>IF(AND(ISNUMBER(C58),N(C58)&gt;0),3600/C58,"")</f>
        <v/>
      </c>
      <c r="F58" s="58" t="str">
        <f>IF(A58="",IF(COUNTA(B58:D58)=0,"","Référence manquante"),IF(COUNTIF($A$6:A58,A58)&gt;1,"Référence en double",IF(AND(C58&lt;&gt;"",OR(NOT(ISNUMBER(C58)),N(C58)&lt;=0)),"Cadence invalide",IF(AND(D58&lt;&gt;"",OR(NOT(ISNUMBER(D58)),N(D58)&lt;0)),"Coût invalide","OK"))))</f>
        <v/>
      </c>
    </row>
    <row r="59">
      <c r="A59" s="53" t="n"/>
      <c r="B59" s="53" t="n"/>
      <c r="C59" s="60" t="n"/>
      <c r="D59" s="89" t="n"/>
      <c r="E59" s="88" t="str">
        <f>IF(AND(ISNUMBER(C59),N(C59)&gt;0),3600/C59,"")</f>
        <v/>
      </c>
      <c r="F59" s="58" t="str">
        <f>IF(A59="",IF(COUNTA(B59:D59)=0,"","Référence manquante"),IF(COUNTIF($A$6:A59,A59)&gt;1,"Référence en double",IF(AND(C59&lt;&gt;"",OR(NOT(ISNUMBER(C59)),N(C59)&lt;=0)),"Cadence invalide",IF(AND(D59&lt;&gt;"",OR(NOT(ISNUMBER(D59)),N(D59)&lt;0)),"Coût invalide","OK"))))</f>
        <v/>
      </c>
    </row>
    <row r="60">
      <c r="A60" s="53" t="n"/>
      <c r="B60" s="53" t="n"/>
      <c r="C60" s="60" t="n"/>
      <c r="D60" s="89" t="n"/>
      <c r="E60" s="88" t="str">
        <f>IF(AND(ISNUMBER(C60),N(C60)&gt;0),3600/C60,"")</f>
        <v/>
      </c>
      <c r="F60" s="58" t="str">
        <f>IF(A60="",IF(COUNTA(B60:D60)=0,"","Référence manquante"),IF(COUNTIF($A$6:A60,A60)&gt;1,"Référence en double",IF(AND(C60&lt;&gt;"",OR(NOT(ISNUMBER(C60)),N(C60)&lt;=0)),"Cadence invalide",IF(AND(D60&lt;&gt;"",OR(NOT(ISNUMBER(D60)),N(D60)&lt;0)),"Coût invalide","OK"))))</f>
        <v/>
      </c>
    </row>
    <row r="61">
      <c r="A61" s="53" t="n"/>
      <c r="B61" s="53" t="n"/>
      <c r="C61" s="60" t="n"/>
      <c r="D61" s="89" t="n"/>
      <c r="E61" s="88" t="str">
        <f>IF(AND(ISNUMBER(C61),N(C61)&gt;0),3600/C61,"")</f>
        <v/>
      </c>
      <c r="F61" s="58" t="str">
        <f>IF(A61="",IF(COUNTA(B61:D61)=0,"","Référence manquante"),IF(COUNTIF($A$6:A61,A61)&gt;1,"Référence en double",IF(AND(C61&lt;&gt;"",OR(NOT(ISNUMBER(C61)),N(C61)&lt;=0)),"Cadence invalide",IF(AND(D61&lt;&gt;"",OR(NOT(ISNUMBER(D61)),N(D61)&lt;0)),"Coût invalide","OK"))))</f>
        <v/>
      </c>
    </row>
    <row r="62">
      <c r="A62" s="53" t="n"/>
      <c r="B62" s="53" t="n"/>
      <c r="C62" s="60" t="n"/>
      <c r="D62" s="89" t="n"/>
      <c r="E62" s="88" t="str">
        <f>IF(AND(ISNUMBER(C62),N(C62)&gt;0),3600/C62,"")</f>
        <v/>
      </c>
      <c r="F62" s="58" t="str">
        <f>IF(A62="",IF(COUNTA(B62:D62)=0,"","Référence manquante"),IF(COUNTIF($A$6:A62,A62)&gt;1,"Référence en double",IF(AND(C62&lt;&gt;"",OR(NOT(ISNUMBER(C62)),N(C62)&lt;=0)),"Cadence invalide",IF(AND(D62&lt;&gt;"",OR(NOT(ISNUMBER(D62)),N(D62)&lt;0)),"Coût invalide","OK"))))</f>
        <v/>
      </c>
    </row>
    <row r="63">
      <c r="A63" s="53" t="n"/>
      <c r="B63" s="53" t="n"/>
      <c r="C63" s="60" t="n"/>
      <c r="D63" s="89" t="n"/>
      <c r="E63" s="88" t="str">
        <f>IF(AND(ISNUMBER(C63),N(C63)&gt;0),3600/C63,"")</f>
        <v/>
      </c>
      <c r="F63" s="58" t="str">
        <f>IF(A63="",IF(COUNTA(B63:D63)=0,"","Référence manquante"),IF(COUNTIF($A$6:A63,A63)&gt;1,"Référence en double",IF(AND(C63&lt;&gt;"",OR(NOT(ISNUMBER(C63)),N(C63)&lt;=0)),"Cadence invalide",IF(AND(D63&lt;&gt;"",OR(NOT(ISNUMBER(D63)),N(D63)&lt;0)),"Coût invalide","OK"))))</f>
        <v/>
      </c>
    </row>
    <row r="64">
      <c r="A64" s="53" t="n"/>
      <c r="B64" s="53" t="n"/>
      <c r="C64" s="60" t="n"/>
      <c r="D64" s="89" t="n"/>
      <c r="E64" s="88" t="str">
        <f>IF(AND(ISNUMBER(C64),N(C64)&gt;0),3600/C64,"")</f>
        <v/>
      </c>
      <c r="F64" s="58" t="str">
        <f>IF(A64="",IF(COUNTA(B64:D64)=0,"","Référence manquante"),IF(COUNTIF($A$6:A64,A64)&gt;1,"Référence en double",IF(AND(C64&lt;&gt;"",OR(NOT(ISNUMBER(C64)),N(C64)&lt;=0)),"Cadence invalide",IF(AND(D64&lt;&gt;"",OR(NOT(ISNUMBER(D64)),N(D64)&lt;0)),"Coût invalide","OK"))))</f>
        <v/>
      </c>
    </row>
    <row r="65">
      <c r="A65" s="53" t="n"/>
      <c r="B65" s="53" t="n"/>
      <c r="C65" s="60" t="n"/>
      <c r="D65" s="89" t="n"/>
      <c r="E65" s="88" t="str">
        <f>IF(AND(ISNUMBER(C65),N(C65)&gt;0),3600/C65,"")</f>
        <v/>
      </c>
      <c r="F65" s="58" t="str">
        <f>IF(A65="",IF(COUNTA(B65:D65)=0,"","Référence manquante"),IF(COUNTIF($A$6:A65,A65)&gt;1,"Référence en double",IF(AND(C65&lt;&gt;"",OR(NOT(ISNUMBER(C65)),N(C65)&lt;=0)),"Cadence invalide",IF(AND(D65&lt;&gt;"",OR(NOT(ISNUMBER(D65)),N(D65)&lt;0)),"Coût invalide","OK"))))</f>
        <v/>
      </c>
    </row>
    <row r="66">
      <c r="A66" s="53" t="n"/>
      <c r="B66" s="53" t="n"/>
      <c r="C66" s="60" t="n"/>
      <c r="D66" s="89" t="n"/>
      <c r="E66" s="88" t="str">
        <f>IF(AND(ISNUMBER(C66),N(C66)&gt;0),3600/C66,"")</f>
        <v/>
      </c>
      <c r="F66" s="58" t="str">
        <f>IF(A66="",IF(COUNTA(B66:D66)=0,"","Référence manquante"),IF(COUNTIF($A$6:A66,A66)&gt;1,"Référence en double",IF(AND(C66&lt;&gt;"",OR(NOT(ISNUMBER(C66)),N(C66)&lt;=0)),"Cadence invalide",IF(AND(D66&lt;&gt;"",OR(NOT(ISNUMBER(D66)),N(D66)&lt;0)),"Coût invalide","OK"))))</f>
        <v/>
      </c>
    </row>
    <row r="67">
      <c r="A67" s="53" t="n"/>
      <c r="B67" s="53" t="n"/>
      <c r="C67" s="60" t="n"/>
      <c r="D67" s="89" t="n"/>
      <c r="E67" s="88" t="str">
        <f>IF(AND(ISNUMBER(C67),N(C67)&gt;0),3600/C67,"")</f>
        <v/>
      </c>
      <c r="F67" s="58" t="str">
        <f>IF(A67="",IF(COUNTA(B67:D67)=0,"","Référence manquante"),IF(COUNTIF($A$6:A67,A67)&gt;1,"Référence en double",IF(AND(C67&lt;&gt;"",OR(NOT(ISNUMBER(C67)),N(C67)&lt;=0)),"Cadence invalide",IF(AND(D67&lt;&gt;"",OR(NOT(ISNUMBER(D67)),N(D67)&lt;0)),"Coût invalide","OK"))))</f>
        <v/>
      </c>
    </row>
    <row r="68">
      <c r="A68" s="53" t="n"/>
      <c r="B68" s="53" t="n"/>
      <c r="C68" s="60" t="n"/>
      <c r="D68" s="89" t="n"/>
      <c r="E68" s="88" t="str">
        <f>IF(AND(ISNUMBER(C68),N(C68)&gt;0),3600/C68,"")</f>
        <v/>
      </c>
      <c r="F68" s="58" t="str">
        <f>IF(A68="",IF(COUNTA(B68:D68)=0,"","Référence manquante"),IF(COUNTIF($A$6:A68,A68)&gt;1,"Référence en double",IF(AND(C68&lt;&gt;"",OR(NOT(ISNUMBER(C68)),N(C68)&lt;=0)),"Cadence invalide",IF(AND(D68&lt;&gt;"",OR(NOT(ISNUMBER(D68)),N(D68)&lt;0)),"Coût invalide","OK"))))</f>
        <v/>
      </c>
    </row>
    <row r="69">
      <c r="A69" s="53" t="n"/>
      <c r="B69" s="53" t="n"/>
      <c r="C69" s="60" t="n"/>
      <c r="D69" s="89" t="n"/>
      <c r="E69" s="88" t="str">
        <f>IF(AND(ISNUMBER(C69),N(C69)&gt;0),3600/C69,"")</f>
        <v/>
      </c>
      <c r="F69" s="58" t="str">
        <f>IF(A69="",IF(COUNTA(B69:D69)=0,"","Référence manquante"),IF(COUNTIF($A$6:A69,A69)&gt;1,"Référence en double",IF(AND(C69&lt;&gt;"",OR(NOT(ISNUMBER(C69)),N(C69)&lt;=0)),"Cadence invalide",IF(AND(D69&lt;&gt;"",OR(NOT(ISNUMBER(D69)),N(D69)&lt;0)),"Coût invalide","OK"))))</f>
        <v/>
      </c>
    </row>
    <row r="70">
      <c r="A70" s="53" t="n"/>
      <c r="B70" s="53" t="n"/>
      <c r="C70" s="60" t="n"/>
      <c r="D70" s="89" t="n"/>
      <c r="E70" s="88" t="str">
        <f>IF(AND(ISNUMBER(C70),N(C70)&gt;0),3600/C70,"")</f>
        <v/>
      </c>
      <c r="F70" s="58" t="str">
        <f>IF(A70="",IF(COUNTA(B70:D70)=0,"","Référence manquante"),IF(COUNTIF($A$6:A70,A70)&gt;1,"Référence en double",IF(AND(C70&lt;&gt;"",OR(NOT(ISNUMBER(C70)),N(C70)&lt;=0)),"Cadence invalide",IF(AND(D70&lt;&gt;"",OR(NOT(ISNUMBER(D70)),N(D70)&lt;0)),"Coût invalide","OK"))))</f>
        <v/>
      </c>
    </row>
    <row r="71">
      <c r="A71" s="53" t="n"/>
      <c r="B71" s="53" t="n"/>
      <c r="C71" s="60" t="n"/>
      <c r="D71" s="89" t="n"/>
      <c r="E71" s="88" t="str">
        <f>IF(AND(ISNUMBER(C71),N(C71)&gt;0),3600/C71,"")</f>
        <v/>
      </c>
      <c r="F71" s="58" t="str">
        <f>IF(A71="",IF(COUNTA(B71:D71)=0,"","Référence manquante"),IF(COUNTIF($A$6:A71,A71)&gt;1,"Référence en double",IF(AND(C71&lt;&gt;"",OR(NOT(ISNUMBER(C71)),N(C71)&lt;=0)),"Cadence invalide",IF(AND(D71&lt;&gt;"",OR(NOT(ISNUMBER(D71)),N(D71)&lt;0)),"Coût invalide","OK"))))</f>
        <v/>
      </c>
    </row>
    <row r="72">
      <c r="A72" s="53" t="n"/>
      <c r="B72" s="53" t="n"/>
      <c r="C72" s="60" t="n"/>
      <c r="D72" s="89" t="n"/>
      <c r="E72" s="88" t="str">
        <f>IF(AND(ISNUMBER(C72),N(C72)&gt;0),3600/C72,"")</f>
        <v/>
      </c>
      <c r="F72" s="58" t="str">
        <f>IF(A72="",IF(COUNTA(B72:D72)=0,"","Référence manquante"),IF(COUNTIF($A$6:A72,A72)&gt;1,"Référence en double",IF(AND(C72&lt;&gt;"",OR(NOT(ISNUMBER(C72)),N(C72)&lt;=0)),"Cadence invalide",IF(AND(D72&lt;&gt;"",OR(NOT(ISNUMBER(D72)),N(D72)&lt;0)),"Coût invalide","OK"))))</f>
        <v/>
      </c>
    </row>
    <row r="73">
      <c r="A73" s="53" t="n"/>
      <c r="B73" s="53" t="n"/>
      <c r="C73" s="60" t="n"/>
      <c r="D73" s="89" t="n"/>
      <c r="E73" s="88" t="str">
        <f>IF(AND(ISNUMBER(C73),N(C73)&gt;0),3600/C73,"")</f>
        <v/>
      </c>
      <c r="F73" s="58" t="str">
        <f>IF(A73="",IF(COUNTA(B73:D73)=0,"","Référence manquante"),IF(COUNTIF($A$6:A73,A73)&gt;1,"Référence en double",IF(AND(C73&lt;&gt;"",OR(NOT(ISNUMBER(C73)),N(C73)&lt;=0)),"Cadence invalide",IF(AND(D73&lt;&gt;"",OR(NOT(ISNUMBER(D73)),N(D73)&lt;0)),"Coût invalide","OK"))))</f>
        <v/>
      </c>
    </row>
    <row r="74">
      <c r="A74" s="53" t="n"/>
      <c r="B74" s="53" t="n"/>
      <c r="C74" s="60" t="n"/>
      <c r="D74" s="89" t="n"/>
      <c r="E74" s="88" t="str">
        <f>IF(AND(ISNUMBER(C74),N(C74)&gt;0),3600/C74,"")</f>
        <v/>
      </c>
      <c r="F74" s="58" t="str">
        <f>IF(A74="",IF(COUNTA(B74:D74)=0,"","Référence manquante"),IF(COUNTIF($A$6:A74,A74)&gt;1,"Référence en double",IF(AND(C74&lt;&gt;"",OR(NOT(ISNUMBER(C74)),N(C74)&lt;=0)),"Cadence invalide",IF(AND(D74&lt;&gt;"",OR(NOT(ISNUMBER(D74)),N(D74)&lt;0)),"Coût invalide","OK"))))</f>
        <v/>
      </c>
    </row>
    <row r="75">
      <c r="A75" s="53" t="n"/>
      <c r="B75" s="53" t="n"/>
      <c r="C75" s="60" t="n"/>
      <c r="D75" s="89" t="n"/>
      <c r="E75" s="88" t="str">
        <f>IF(AND(ISNUMBER(C75),N(C75)&gt;0),3600/C75,"")</f>
        <v/>
      </c>
      <c r="F75" s="58" t="str">
        <f>IF(A75="",IF(COUNTA(B75:D75)=0,"","Référence manquante"),IF(COUNTIF($A$6:A75,A75)&gt;1,"Référence en double",IF(AND(C75&lt;&gt;"",OR(NOT(ISNUMBER(C75)),N(C75)&lt;=0)),"Cadence invalide",IF(AND(D75&lt;&gt;"",OR(NOT(ISNUMBER(D75)),N(D75)&lt;0)),"Coût invalide","OK"))))</f>
        <v/>
      </c>
    </row>
    <row r="76">
      <c r="A76" s="53" t="n"/>
      <c r="B76" s="53" t="n"/>
      <c r="C76" s="60" t="n"/>
      <c r="D76" s="89" t="n"/>
      <c r="E76" s="88" t="str">
        <f>IF(AND(ISNUMBER(C76),N(C76)&gt;0),3600/C76,"")</f>
        <v/>
      </c>
      <c r="F76" s="58" t="str">
        <f>IF(A76="",IF(COUNTA(B76:D76)=0,"","Référence manquante"),IF(COUNTIF($A$6:A76,A76)&gt;1,"Référence en double",IF(AND(C76&lt;&gt;"",OR(NOT(ISNUMBER(C76)),N(C76)&lt;=0)),"Cadence invalide",IF(AND(D76&lt;&gt;"",OR(NOT(ISNUMBER(D76)),N(D76)&lt;0)),"Coût invalide","OK"))))</f>
        <v/>
      </c>
    </row>
    <row r="77">
      <c r="A77" s="53" t="n"/>
      <c r="B77" s="53" t="n"/>
      <c r="C77" s="60" t="n"/>
      <c r="D77" s="89" t="n"/>
      <c r="E77" s="88" t="str">
        <f>IF(AND(ISNUMBER(C77),N(C77)&gt;0),3600/C77,"")</f>
        <v/>
      </c>
      <c r="F77" s="58" t="str">
        <f>IF(A77="",IF(COUNTA(B77:D77)=0,"","Référence manquante"),IF(COUNTIF($A$6:A77,A77)&gt;1,"Référence en double",IF(AND(C77&lt;&gt;"",OR(NOT(ISNUMBER(C77)),N(C77)&lt;=0)),"Cadence invalide",IF(AND(D77&lt;&gt;"",OR(NOT(ISNUMBER(D77)),N(D77)&lt;0)),"Coût invalide","OK"))))</f>
        <v/>
      </c>
    </row>
    <row r="78">
      <c r="A78" s="53" t="n"/>
      <c r="B78" s="53" t="n"/>
      <c r="C78" s="60" t="n"/>
      <c r="D78" s="89" t="n"/>
      <c r="E78" s="88" t="str">
        <f>IF(AND(ISNUMBER(C78),N(C78)&gt;0),3600/C78,"")</f>
        <v/>
      </c>
      <c r="F78" s="58" t="str">
        <f>IF(A78="",IF(COUNTA(B78:D78)=0,"","Référence manquante"),IF(COUNTIF($A$6:A78,A78)&gt;1,"Référence en double",IF(AND(C78&lt;&gt;"",OR(NOT(ISNUMBER(C78)),N(C78)&lt;=0)),"Cadence invalide",IF(AND(D78&lt;&gt;"",OR(NOT(ISNUMBER(D78)),N(D78)&lt;0)),"Coût invalide","OK"))))</f>
        <v/>
      </c>
    </row>
    <row r="79">
      <c r="A79" s="53" t="n"/>
      <c r="B79" s="53" t="n"/>
      <c r="C79" s="60" t="n"/>
      <c r="D79" s="89" t="n"/>
      <c r="E79" s="88" t="str">
        <f>IF(AND(ISNUMBER(C79),N(C79)&gt;0),3600/C79,"")</f>
        <v/>
      </c>
      <c r="F79" s="58" t="str">
        <f>IF(A79="",IF(COUNTA(B79:D79)=0,"","Référence manquante"),IF(COUNTIF($A$6:A79,A79)&gt;1,"Référence en double",IF(AND(C79&lt;&gt;"",OR(NOT(ISNUMBER(C79)),N(C79)&lt;=0)),"Cadence invalide",IF(AND(D79&lt;&gt;"",OR(NOT(ISNUMBER(D79)),N(D79)&lt;0)),"Coût invalide","OK"))))</f>
        <v/>
      </c>
    </row>
    <row r="80">
      <c r="A80" s="53" t="n"/>
      <c r="B80" s="53" t="n"/>
      <c r="C80" s="60" t="n"/>
      <c r="D80" s="89" t="n"/>
      <c r="E80" s="88" t="str">
        <f>IF(AND(ISNUMBER(C80),N(C80)&gt;0),3600/C80,"")</f>
        <v/>
      </c>
      <c r="F80" s="58" t="str">
        <f>IF(A80="",IF(COUNTA(B80:D80)=0,"","Référence manquante"),IF(COUNTIF($A$6:A80,A80)&gt;1,"Référence en double",IF(AND(C80&lt;&gt;"",OR(NOT(ISNUMBER(C80)),N(C80)&lt;=0)),"Cadence invalide",IF(AND(D80&lt;&gt;"",OR(NOT(ISNUMBER(D80)),N(D80)&lt;0)),"Coût invalide","OK"))))</f>
        <v/>
      </c>
    </row>
    <row r="81">
      <c r="A81" s="53" t="n"/>
      <c r="B81" s="53" t="n"/>
      <c r="C81" s="60" t="n"/>
      <c r="D81" s="89" t="n"/>
      <c r="E81" s="88" t="str">
        <f>IF(AND(ISNUMBER(C81),N(C81)&gt;0),3600/C81,"")</f>
        <v/>
      </c>
      <c r="F81" s="58" t="str">
        <f>IF(A81="",IF(COUNTA(B81:D81)=0,"","Référence manquante"),IF(COUNTIF($A$6:A81,A81)&gt;1,"Référence en double",IF(AND(C81&lt;&gt;"",OR(NOT(ISNUMBER(C81)),N(C81)&lt;=0)),"Cadence invalide",IF(AND(D81&lt;&gt;"",OR(NOT(ISNUMBER(D81)),N(D81)&lt;0)),"Coût invalide","OK"))))</f>
        <v/>
      </c>
    </row>
    <row r="82">
      <c r="A82" s="53" t="n"/>
      <c r="B82" s="53" t="n"/>
      <c r="C82" s="60" t="n"/>
      <c r="D82" s="89" t="n"/>
      <c r="E82" s="88" t="str">
        <f>IF(AND(ISNUMBER(C82),N(C82)&gt;0),3600/C82,"")</f>
        <v/>
      </c>
      <c r="F82" s="58" t="str">
        <f>IF(A82="",IF(COUNTA(B82:D82)=0,"","Référence manquante"),IF(COUNTIF($A$6:A82,A82)&gt;1,"Référence en double",IF(AND(C82&lt;&gt;"",OR(NOT(ISNUMBER(C82)),N(C82)&lt;=0)),"Cadence invalide",IF(AND(D82&lt;&gt;"",OR(NOT(ISNUMBER(D82)),N(D82)&lt;0)),"Coût invalide","OK"))))</f>
        <v/>
      </c>
    </row>
    <row r="83">
      <c r="A83" s="53" t="n"/>
      <c r="B83" s="53" t="n"/>
      <c r="C83" s="60" t="n"/>
      <c r="D83" s="89" t="n"/>
      <c r="E83" s="88" t="str">
        <f>IF(AND(ISNUMBER(C83),N(C83)&gt;0),3600/C83,"")</f>
        <v/>
      </c>
      <c r="F83" s="58" t="str">
        <f>IF(A83="",IF(COUNTA(B83:D83)=0,"","Référence manquante"),IF(COUNTIF($A$6:A83,A83)&gt;1,"Référence en double",IF(AND(C83&lt;&gt;"",OR(NOT(ISNUMBER(C83)),N(C83)&lt;=0)),"Cadence invalide",IF(AND(D83&lt;&gt;"",OR(NOT(ISNUMBER(D83)),N(D83)&lt;0)),"Coût invalide","OK"))))</f>
        <v/>
      </c>
    </row>
    <row r="84">
      <c r="A84" s="53" t="n"/>
      <c r="B84" s="53" t="n"/>
      <c r="C84" s="60" t="n"/>
      <c r="D84" s="89" t="n"/>
      <c r="E84" s="88" t="str">
        <f>IF(AND(ISNUMBER(C84),N(C84)&gt;0),3600/C84,"")</f>
        <v/>
      </c>
      <c r="F84" s="58" t="str">
        <f>IF(A84="",IF(COUNTA(B84:D84)=0,"","Référence manquante"),IF(COUNTIF($A$6:A84,A84)&gt;1,"Référence en double",IF(AND(C84&lt;&gt;"",OR(NOT(ISNUMBER(C84)),N(C84)&lt;=0)),"Cadence invalide",IF(AND(D84&lt;&gt;"",OR(NOT(ISNUMBER(D84)),N(D84)&lt;0)),"Coût invalide","OK"))))</f>
        <v/>
      </c>
    </row>
    <row r="85">
      <c r="A85" s="53" t="n"/>
      <c r="B85" s="53" t="n"/>
      <c r="C85" s="60" t="n"/>
      <c r="D85" s="89" t="n"/>
      <c r="E85" s="88" t="str">
        <f>IF(AND(ISNUMBER(C85),N(C85)&gt;0),3600/C85,"")</f>
        <v/>
      </c>
      <c r="F85" s="58" t="str">
        <f>IF(A85="",IF(COUNTA(B85:D85)=0,"","Référence manquante"),IF(COUNTIF($A$6:A85,A85)&gt;1,"Référence en double",IF(AND(C85&lt;&gt;"",OR(NOT(ISNUMBER(C85)),N(C85)&lt;=0)),"Cadence invalide",IF(AND(D85&lt;&gt;"",OR(NOT(ISNUMBER(D85)),N(D85)&lt;0)),"Coût invalide","OK"))))</f>
        <v/>
      </c>
    </row>
    <row r="86">
      <c r="A86" s="53" t="n"/>
      <c r="B86" s="53" t="n"/>
      <c r="C86" s="60" t="n"/>
      <c r="D86" s="89" t="n"/>
      <c r="E86" s="88" t="str">
        <f>IF(AND(ISNUMBER(C86),N(C86)&gt;0),3600/C86,"")</f>
        <v/>
      </c>
      <c r="F86" s="58" t="str">
        <f>IF(A86="",IF(COUNTA(B86:D86)=0,"","Référence manquante"),IF(COUNTIF($A$6:A86,A86)&gt;1,"Référence en double",IF(AND(C86&lt;&gt;"",OR(NOT(ISNUMBER(C86)),N(C86)&lt;=0)),"Cadence invalide",IF(AND(D86&lt;&gt;"",OR(NOT(ISNUMBER(D86)),N(D86)&lt;0)),"Coût invalide","OK"))))</f>
        <v/>
      </c>
    </row>
    <row r="87">
      <c r="A87" s="53" t="n"/>
      <c r="B87" s="53" t="n"/>
      <c r="C87" s="60" t="n"/>
      <c r="D87" s="89" t="n"/>
      <c r="E87" s="88" t="str">
        <f>IF(AND(ISNUMBER(C87),N(C87)&gt;0),3600/C87,"")</f>
        <v/>
      </c>
      <c r="F87" s="58" t="str">
        <f>IF(A87="",IF(COUNTA(B87:D87)=0,"","Référence manquante"),IF(COUNTIF($A$6:A87,A87)&gt;1,"Référence en double",IF(AND(C87&lt;&gt;"",OR(NOT(ISNUMBER(C87)),N(C87)&lt;=0)),"Cadence invalide",IF(AND(D87&lt;&gt;"",OR(NOT(ISNUMBER(D87)),N(D87)&lt;0)),"Coût invalide","OK"))))</f>
        <v/>
      </c>
    </row>
    <row r="88">
      <c r="A88" s="53" t="n"/>
      <c r="B88" s="53" t="n"/>
      <c r="C88" s="60" t="n"/>
      <c r="D88" s="89" t="n"/>
      <c r="E88" s="88" t="str">
        <f>IF(AND(ISNUMBER(C88),N(C88)&gt;0),3600/C88,"")</f>
        <v/>
      </c>
      <c r="F88" s="58" t="str">
        <f>IF(A88="",IF(COUNTA(B88:D88)=0,"","Référence manquante"),IF(COUNTIF($A$6:A88,A88)&gt;1,"Référence en double",IF(AND(C88&lt;&gt;"",OR(NOT(ISNUMBER(C88)),N(C88)&lt;=0)),"Cadence invalide",IF(AND(D88&lt;&gt;"",OR(NOT(ISNUMBER(D88)),N(D88)&lt;0)),"Coût invalide","OK"))))</f>
        <v/>
      </c>
    </row>
    <row r="89">
      <c r="A89" s="53" t="n"/>
      <c r="B89" s="53" t="n"/>
      <c r="C89" s="60" t="n"/>
      <c r="D89" s="89" t="n"/>
      <c r="E89" s="88" t="str">
        <f>IF(AND(ISNUMBER(C89),N(C89)&gt;0),3600/C89,"")</f>
        <v/>
      </c>
      <c r="F89" s="58" t="str">
        <f>IF(A89="",IF(COUNTA(B89:D89)=0,"","Référence manquante"),IF(COUNTIF($A$6:A89,A89)&gt;1,"Référence en double",IF(AND(C89&lt;&gt;"",OR(NOT(ISNUMBER(C89)),N(C89)&lt;=0)),"Cadence invalide",IF(AND(D89&lt;&gt;"",OR(NOT(ISNUMBER(D89)),N(D89)&lt;0)),"Coût invalide","OK"))))</f>
        <v/>
      </c>
    </row>
    <row r="90">
      <c r="A90" s="53" t="n"/>
      <c r="B90" s="53" t="n"/>
      <c r="C90" s="60" t="n"/>
      <c r="D90" s="89" t="n"/>
      <c r="E90" s="88" t="str">
        <f>IF(AND(ISNUMBER(C90),N(C90)&gt;0),3600/C90,"")</f>
        <v/>
      </c>
      <c r="F90" s="58" t="str">
        <f>IF(A90="",IF(COUNTA(B90:D90)=0,"","Référence manquante"),IF(COUNTIF($A$6:A90,A90)&gt;1,"Référence en double",IF(AND(C90&lt;&gt;"",OR(NOT(ISNUMBER(C90)),N(C90)&lt;=0)),"Cadence invalide",IF(AND(D90&lt;&gt;"",OR(NOT(ISNUMBER(D90)),N(D90)&lt;0)),"Coût invalide","OK"))))</f>
        <v/>
      </c>
    </row>
    <row r="91">
      <c r="A91" s="53" t="n"/>
      <c r="B91" s="53" t="n"/>
      <c r="C91" s="60" t="n"/>
      <c r="D91" s="89" t="n"/>
      <c r="E91" s="88" t="str">
        <f>IF(AND(ISNUMBER(C91),N(C91)&gt;0),3600/C91,"")</f>
        <v/>
      </c>
      <c r="F91" s="58" t="str">
        <f>IF(A91="",IF(COUNTA(B91:D91)=0,"","Référence manquante"),IF(COUNTIF($A$6:A91,A91)&gt;1,"Référence en double",IF(AND(C91&lt;&gt;"",OR(NOT(ISNUMBER(C91)),N(C91)&lt;=0)),"Cadence invalide",IF(AND(D91&lt;&gt;"",OR(NOT(ISNUMBER(D91)),N(D91)&lt;0)),"Coût invalide","OK"))))</f>
        <v/>
      </c>
    </row>
    <row r="92">
      <c r="A92" s="53" t="n"/>
      <c r="B92" s="53" t="n"/>
      <c r="C92" s="60" t="n"/>
      <c r="D92" s="89" t="n"/>
      <c r="E92" s="88" t="str">
        <f>IF(AND(ISNUMBER(C92),N(C92)&gt;0),3600/C92,"")</f>
        <v/>
      </c>
      <c r="F92" s="58" t="str">
        <f>IF(A92="",IF(COUNTA(B92:D92)=0,"","Référence manquante"),IF(COUNTIF($A$6:A92,A92)&gt;1,"Référence en double",IF(AND(C92&lt;&gt;"",OR(NOT(ISNUMBER(C92)),N(C92)&lt;=0)),"Cadence invalide",IF(AND(D92&lt;&gt;"",OR(NOT(ISNUMBER(D92)),N(D92)&lt;0)),"Coût invalide","OK"))))</f>
        <v/>
      </c>
    </row>
    <row r="93">
      <c r="A93" s="53" t="n"/>
      <c r="B93" s="53" t="n"/>
      <c r="C93" s="60" t="n"/>
      <c r="D93" s="89" t="n"/>
      <c r="E93" s="88" t="str">
        <f>IF(AND(ISNUMBER(C93),N(C93)&gt;0),3600/C93,"")</f>
        <v/>
      </c>
      <c r="F93" s="58" t="str">
        <f>IF(A93="",IF(COUNTA(B93:D93)=0,"","Référence manquante"),IF(COUNTIF($A$6:A93,A93)&gt;1,"Référence en double",IF(AND(C93&lt;&gt;"",OR(NOT(ISNUMBER(C93)),N(C93)&lt;=0)),"Cadence invalide",IF(AND(D93&lt;&gt;"",OR(NOT(ISNUMBER(D93)),N(D93)&lt;0)),"Coût invalide","OK"))))</f>
        <v/>
      </c>
    </row>
    <row r="94">
      <c r="A94" s="53" t="n"/>
      <c r="B94" s="53" t="n"/>
      <c r="C94" s="60" t="n"/>
      <c r="D94" s="89" t="n"/>
      <c r="E94" s="88" t="str">
        <f>IF(AND(ISNUMBER(C94),N(C94)&gt;0),3600/C94,"")</f>
        <v/>
      </c>
      <c r="F94" s="58" t="str">
        <f>IF(A94="",IF(COUNTA(B94:D94)=0,"","Référence manquante"),IF(COUNTIF($A$6:A94,A94)&gt;1,"Référence en double",IF(AND(C94&lt;&gt;"",OR(NOT(ISNUMBER(C94)),N(C94)&lt;=0)),"Cadence invalide",IF(AND(D94&lt;&gt;"",OR(NOT(ISNUMBER(D94)),N(D94)&lt;0)),"Coût invalide","OK"))))</f>
        <v/>
      </c>
    </row>
    <row r="95">
      <c r="A95" s="53" t="n"/>
      <c r="B95" s="53" t="n"/>
      <c r="C95" s="60" t="n"/>
      <c r="D95" s="89" t="n"/>
      <c r="E95" s="88" t="str">
        <f>IF(AND(ISNUMBER(C95),N(C95)&gt;0),3600/C95,"")</f>
        <v/>
      </c>
      <c r="F95" s="58" t="str">
        <f>IF(A95="",IF(COUNTA(B95:D95)=0,"","Référence manquante"),IF(COUNTIF($A$6:A95,A95)&gt;1,"Référence en double",IF(AND(C95&lt;&gt;"",OR(NOT(ISNUMBER(C95)),N(C95)&lt;=0)),"Cadence invalide",IF(AND(D95&lt;&gt;"",OR(NOT(ISNUMBER(D95)),N(D95)&lt;0)),"Coût invalide","OK"))))</f>
        <v/>
      </c>
    </row>
    <row r="96">
      <c r="A96" s="53" t="n"/>
      <c r="B96" s="53" t="n"/>
      <c r="C96" s="60" t="n"/>
      <c r="D96" s="89" t="n"/>
      <c r="E96" s="88" t="str">
        <f>IF(AND(ISNUMBER(C96),N(C96)&gt;0),3600/C96,"")</f>
        <v/>
      </c>
      <c r="F96" s="58" t="str">
        <f>IF(A96="",IF(COUNTA(B96:D96)=0,"","Référence manquante"),IF(COUNTIF($A$6:A96,A96)&gt;1,"Référence en double",IF(AND(C96&lt;&gt;"",OR(NOT(ISNUMBER(C96)),N(C96)&lt;=0)),"Cadence invalide",IF(AND(D96&lt;&gt;"",OR(NOT(ISNUMBER(D96)),N(D96)&lt;0)),"Coût invalide","OK"))))</f>
        <v/>
      </c>
    </row>
    <row r="97">
      <c r="A97" s="53" t="n"/>
      <c r="B97" s="53" t="n"/>
      <c r="C97" s="60" t="n"/>
      <c r="D97" s="89" t="n"/>
      <c r="E97" s="88" t="str">
        <f>IF(AND(ISNUMBER(C97),N(C97)&gt;0),3600/C97,"")</f>
        <v/>
      </c>
      <c r="F97" s="58" t="str">
        <f>IF(A97="",IF(COUNTA(B97:D97)=0,"","Référence manquante"),IF(COUNTIF($A$6:A97,A97)&gt;1,"Référence en double",IF(AND(C97&lt;&gt;"",OR(NOT(ISNUMBER(C97)),N(C97)&lt;=0)),"Cadence invalide",IF(AND(D97&lt;&gt;"",OR(NOT(ISNUMBER(D97)),N(D97)&lt;0)),"Coût invalide","OK"))))</f>
        <v/>
      </c>
    </row>
    <row r="98">
      <c r="A98" s="53" t="n"/>
      <c r="B98" s="53" t="n"/>
      <c r="C98" s="60" t="n"/>
      <c r="D98" s="89" t="n"/>
      <c r="E98" s="88" t="str">
        <f>IF(AND(ISNUMBER(C98),N(C98)&gt;0),3600/C98,"")</f>
        <v/>
      </c>
      <c r="F98" s="58" t="str">
        <f>IF(A98="",IF(COUNTA(B98:D98)=0,"","Référence manquante"),IF(COUNTIF($A$6:A98,A98)&gt;1,"Référence en double",IF(AND(C98&lt;&gt;"",OR(NOT(ISNUMBER(C98)),N(C98)&lt;=0)),"Cadence invalide",IF(AND(D98&lt;&gt;"",OR(NOT(ISNUMBER(D98)),N(D98)&lt;0)),"Coût invalide","OK"))))</f>
        <v/>
      </c>
    </row>
    <row r="99">
      <c r="A99" s="53" t="n"/>
      <c r="B99" s="53" t="n"/>
      <c r="C99" s="60" t="n"/>
      <c r="D99" s="89" t="n"/>
      <c r="E99" s="88" t="str">
        <f>IF(AND(ISNUMBER(C99),N(C99)&gt;0),3600/C99,"")</f>
        <v/>
      </c>
      <c r="F99" s="58" t="str">
        <f>IF(A99="",IF(COUNTA(B99:D99)=0,"","Référence manquante"),IF(COUNTIF($A$6:A99,A99)&gt;1,"Référence en double",IF(AND(C99&lt;&gt;"",OR(NOT(ISNUMBER(C99)),N(C99)&lt;=0)),"Cadence invalide",IF(AND(D99&lt;&gt;"",OR(NOT(ISNUMBER(D99)),N(D99)&lt;0)),"Coût invalide","OK"))))</f>
        <v/>
      </c>
    </row>
    <row r="100">
      <c r="A100" s="53" t="n"/>
      <c r="B100" s="53" t="n"/>
      <c r="C100" s="60" t="n"/>
      <c r="D100" s="89" t="n"/>
      <c r="E100" s="88" t="str">
        <f>IF(AND(ISNUMBER(C100),N(C100)&gt;0),3600/C100,"")</f>
        <v/>
      </c>
      <c r="F100" s="58" t="str">
        <f>IF(A100="",IF(COUNTA(B100:D100)=0,"","Référence manquante"),IF(COUNTIF($A$6:A100,A100)&gt;1,"Référence en double",IF(AND(C100&lt;&gt;"",OR(NOT(ISNUMBER(C100)),N(C100)&lt;=0)),"Cadence invalide",IF(AND(D100&lt;&gt;"",OR(NOT(ISNUMBER(D100)),N(D100)&lt;0)),"Coût invalide","OK"))))</f>
        <v/>
      </c>
    </row>
    <row r="101">
      <c r="A101" s="53" t="n"/>
      <c r="B101" s="53" t="n"/>
      <c r="C101" s="60" t="n"/>
      <c r="D101" s="89" t="n"/>
      <c r="E101" s="88" t="str">
        <f>IF(AND(ISNUMBER(C101),N(C101)&gt;0),3600/C101,"")</f>
        <v/>
      </c>
      <c r="F101" s="58" t="str">
        <f>IF(A101="",IF(COUNTA(B101:D101)=0,"","Référence manquante"),IF(COUNTIF($A$6:A101,A101)&gt;1,"Référence en double",IF(AND(C101&lt;&gt;"",OR(NOT(ISNUMBER(C101)),N(C101)&lt;=0)),"Cadence invalide",IF(AND(D101&lt;&gt;"",OR(NOT(ISNUMBER(D101)),N(D101)&lt;0)),"Coût invalide","OK"))))</f>
        <v/>
      </c>
    </row>
    <row r="102">
      <c r="A102" s="53" t="n"/>
      <c r="B102" s="53" t="n"/>
      <c r="C102" s="60" t="n"/>
      <c r="D102" s="89" t="n"/>
      <c r="E102" s="88" t="str">
        <f>IF(AND(ISNUMBER(C102),N(C102)&gt;0),3600/C102,"")</f>
        <v/>
      </c>
      <c r="F102" s="58" t="str">
        <f>IF(A102="",IF(COUNTA(B102:D102)=0,"","Référence manquante"),IF(COUNTIF($A$6:A102,A102)&gt;1,"Référence en double",IF(AND(C102&lt;&gt;"",OR(NOT(ISNUMBER(C102)),N(C102)&lt;=0)),"Cadence invalide",IF(AND(D102&lt;&gt;"",OR(NOT(ISNUMBER(D102)),N(D102)&lt;0)),"Coût invalide","OK"))))</f>
        <v/>
      </c>
    </row>
    <row r="103">
      <c r="A103" s="53" t="n"/>
      <c r="B103" s="53" t="n"/>
      <c r="C103" s="60" t="n"/>
      <c r="D103" s="89" t="n"/>
      <c r="E103" s="88" t="str">
        <f>IF(AND(ISNUMBER(C103),N(C103)&gt;0),3600/C103,"")</f>
        <v/>
      </c>
      <c r="F103" s="58" t="str">
        <f>IF(A103="",IF(COUNTA(B103:D103)=0,"","Référence manquante"),IF(COUNTIF($A$6:A103,A103)&gt;1,"Référence en double",IF(AND(C103&lt;&gt;"",OR(NOT(ISNUMBER(C103)),N(C103)&lt;=0)),"Cadence invalide",IF(AND(D103&lt;&gt;"",OR(NOT(ISNUMBER(D103)),N(D103)&lt;0)),"Coût invalide","OK"))))</f>
        <v/>
      </c>
    </row>
    <row r="104">
      <c r="A104" s="53" t="n"/>
      <c r="B104" s="53" t="n"/>
      <c r="C104" s="60" t="n"/>
      <c r="D104" s="89" t="n"/>
      <c r="E104" s="88" t="str">
        <f>IF(AND(ISNUMBER(C104),N(C104)&gt;0),3600/C104,"")</f>
        <v/>
      </c>
      <c r="F104" s="58" t="str">
        <f>IF(A104="",IF(COUNTA(B104:D104)=0,"","Référence manquante"),IF(COUNTIF($A$6:A104,A104)&gt;1,"Référence en double",IF(AND(C104&lt;&gt;"",OR(NOT(ISNUMBER(C104)),N(C104)&lt;=0)),"Cadence invalide",IF(AND(D104&lt;&gt;"",OR(NOT(ISNUMBER(D104)),N(D104)&lt;0)),"Coût invalide","OK"))))</f>
        <v/>
      </c>
    </row>
    <row r="105">
      <c r="A105" s="53" t="n"/>
      <c r="B105" s="53" t="n"/>
      <c r="C105" s="60" t="n"/>
      <c r="D105" s="89" t="n"/>
      <c r="E105" s="88" t="str">
        <f>IF(AND(ISNUMBER(C105),N(C105)&gt;0),3600/C105,"")</f>
        <v/>
      </c>
      <c r="F105" s="58" t="str">
        <f>IF(A105="",IF(COUNTA(B105:D105)=0,"","Référence manquante"),IF(COUNTIF($A$6:A105,A105)&gt;1,"Référence en double",IF(AND(C105&lt;&gt;"",OR(NOT(ISNUMBER(C105)),N(C105)&lt;=0)),"Cadence invalide",IF(AND(D105&lt;&gt;"",OR(NOT(ISNUMBER(D105)),N(D105)&lt;0)),"Coût invalide","OK"))))</f>
        <v/>
      </c>
    </row>
    <row r="106">
      <c r="A106" s="53" t="n"/>
      <c r="B106" s="53" t="n"/>
      <c r="C106" s="60" t="n"/>
      <c r="D106" s="89" t="n"/>
      <c r="E106" s="88" t="str">
        <f>IF(AND(ISNUMBER(C106),N(C106)&gt;0),3600/C106,"")</f>
        <v/>
      </c>
      <c r="F106" s="58" t="str">
        <f>IF(A106="",IF(COUNTA(B106:D106)=0,"","Référence manquante"),IF(COUNTIF($A$6:A106,A106)&gt;1,"Référence en double",IF(AND(C106&lt;&gt;"",OR(NOT(ISNUMBER(C106)),N(C106)&lt;=0)),"Cadence invalide",IF(AND(D106&lt;&gt;"",OR(NOT(ISNUMBER(D106)),N(D106)&lt;0)),"Coût invalide","OK"))))</f>
        <v/>
      </c>
    </row>
    <row r="107">
      <c r="A107" s="53" t="n"/>
      <c r="B107" s="53" t="n"/>
      <c r="C107" s="60" t="n"/>
      <c r="D107" s="89" t="n"/>
      <c r="E107" s="88" t="str">
        <f>IF(AND(ISNUMBER(C107),N(C107)&gt;0),3600/C107,"")</f>
        <v/>
      </c>
      <c r="F107" s="58" t="str">
        <f>IF(A107="",IF(COUNTA(B107:D107)=0,"","Référence manquante"),IF(COUNTIF($A$6:A107,A107)&gt;1,"Référence en double",IF(AND(C107&lt;&gt;"",OR(NOT(ISNUMBER(C107)),N(C107)&lt;=0)),"Cadence invalide",IF(AND(D107&lt;&gt;"",OR(NOT(ISNUMBER(D107)),N(D107)&lt;0)),"Coût invalide","OK"))))</f>
        <v/>
      </c>
    </row>
    <row r="108">
      <c r="A108" s="53" t="n"/>
      <c r="B108" s="53" t="n"/>
      <c r="C108" s="60" t="n"/>
      <c r="D108" s="89" t="n"/>
      <c r="E108" s="88" t="str">
        <f>IF(AND(ISNUMBER(C108),N(C108)&gt;0),3600/C108,"")</f>
        <v/>
      </c>
      <c r="F108" s="58" t="str">
        <f>IF(A108="",IF(COUNTA(B108:D108)=0,"","Référence manquante"),IF(COUNTIF($A$6:A108,A108)&gt;1,"Référence en double",IF(AND(C108&lt;&gt;"",OR(NOT(ISNUMBER(C108)),N(C108)&lt;=0)),"Cadence invalide",IF(AND(D108&lt;&gt;"",OR(NOT(ISNUMBER(D108)),N(D108)&lt;0)),"Coût invalide","OK"))))</f>
        <v/>
      </c>
    </row>
    <row r="109">
      <c r="A109" s="53" t="n"/>
      <c r="B109" s="53" t="n"/>
      <c r="C109" s="60" t="n"/>
      <c r="D109" s="89" t="n"/>
      <c r="E109" s="88" t="str">
        <f>IF(AND(ISNUMBER(C109),N(C109)&gt;0),3600/C109,"")</f>
        <v/>
      </c>
      <c r="F109" s="58" t="str">
        <f>IF(A109="",IF(COUNTA(B109:D109)=0,"","Référence manquante"),IF(COUNTIF($A$6:A109,A109)&gt;1,"Référence en double",IF(AND(C109&lt;&gt;"",OR(NOT(ISNUMBER(C109)),N(C109)&lt;=0)),"Cadence invalide",IF(AND(D109&lt;&gt;"",OR(NOT(ISNUMBER(D109)),N(D109)&lt;0)),"Coût invalide","OK"))))</f>
        <v/>
      </c>
    </row>
    <row r="110">
      <c r="A110" s="53" t="n"/>
      <c r="B110" s="53" t="n"/>
      <c r="C110" s="60" t="n"/>
      <c r="D110" s="89" t="n"/>
      <c r="E110" s="88" t="str">
        <f>IF(AND(ISNUMBER(C110),N(C110)&gt;0),3600/C110,"")</f>
        <v/>
      </c>
      <c r="F110" s="58" t="str">
        <f>IF(A110="",IF(COUNTA(B110:D110)=0,"","Référence manquante"),IF(COUNTIF($A$6:A110,A110)&gt;1,"Référence en double",IF(AND(C110&lt;&gt;"",OR(NOT(ISNUMBER(C110)),N(C110)&lt;=0)),"Cadence invalide",IF(AND(D110&lt;&gt;"",OR(NOT(ISNUMBER(D110)),N(D110)&lt;0)),"Coût invalide","OK"))))</f>
        <v/>
      </c>
    </row>
    <row r="111">
      <c r="A111" s="53" t="n"/>
      <c r="B111" s="53" t="n"/>
      <c r="C111" s="60" t="n"/>
      <c r="D111" s="89" t="n"/>
      <c r="E111" s="88" t="str">
        <f>IF(AND(ISNUMBER(C111),N(C111)&gt;0),3600/C111,"")</f>
        <v/>
      </c>
      <c r="F111" s="58" t="str">
        <f>IF(A111="",IF(COUNTA(B111:D111)=0,"","Référence manquante"),IF(COUNTIF($A$6:A111,A111)&gt;1,"Référence en double",IF(AND(C111&lt;&gt;"",OR(NOT(ISNUMBER(C111)),N(C111)&lt;=0)),"Cadence invalide",IF(AND(D111&lt;&gt;"",OR(NOT(ISNUMBER(D111)),N(D111)&lt;0)),"Coût invalide","OK"))))</f>
        <v/>
      </c>
    </row>
    <row r="112">
      <c r="A112" s="53" t="n"/>
      <c r="B112" s="53" t="n"/>
      <c r="C112" s="60" t="n"/>
      <c r="D112" s="89" t="n"/>
      <c r="E112" s="88" t="str">
        <f>IF(AND(ISNUMBER(C112),N(C112)&gt;0),3600/C112,"")</f>
        <v/>
      </c>
      <c r="F112" s="58" t="str">
        <f>IF(A112="",IF(COUNTA(B112:D112)=0,"","Référence manquante"),IF(COUNTIF($A$6:A112,A112)&gt;1,"Référence en double",IF(AND(C112&lt;&gt;"",OR(NOT(ISNUMBER(C112)),N(C112)&lt;=0)),"Cadence invalide",IF(AND(D112&lt;&gt;"",OR(NOT(ISNUMBER(D112)),N(D112)&lt;0)),"Coût invalide","OK"))))</f>
        <v/>
      </c>
    </row>
    <row r="113">
      <c r="A113" s="53" t="n"/>
      <c r="B113" s="53" t="n"/>
      <c r="C113" s="60" t="n"/>
      <c r="D113" s="89" t="n"/>
      <c r="E113" s="88" t="str">
        <f>IF(AND(ISNUMBER(C113),N(C113)&gt;0),3600/C113,"")</f>
        <v/>
      </c>
      <c r="F113" s="58" t="str">
        <f>IF(A113="",IF(COUNTA(B113:D113)=0,"","Référence manquante"),IF(COUNTIF($A$6:A113,A113)&gt;1,"Référence en double",IF(AND(C113&lt;&gt;"",OR(NOT(ISNUMBER(C113)),N(C113)&lt;=0)),"Cadence invalide",IF(AND(D113&lt;&gt;"",OR(NOT(ISNUMBER(D113)),N(D113)&lt;0)),"Coût invalide","OK"))))</f>
        <v/>
      </c>
    </row>
    <row r="114">
      <c r="A114" s="53" t="n"/>
      <c r="B114" s="53" t="n"/>
      <c r="C114" s="60" t="n"/>
      <c r="D114" s="89" t="n"/>
      <c r="E114" s="88" t="str">
        <f>IF(AND(ISNUMBER(C114),N(C114)&gt;0),3600/C114,"")</f>
        <v/>
      </c>
      <c r="F114" s="58" t="str">
        <f>IF(A114="",IF(COUNTA(B114:D114)=0,"","Référence manquante"),IF(COUNTIF($A$6:A114,A114)&gt;1,"Référence en double",IF(AND(C114&lt;&gt;"",OR(NOT(ISNUMBER(C114)),N(C114)&lt;=0)),"Cadence invalide",IF(AND(D114&lt;&gt;"",OR(NOT(ISNUMBER(D114)),N(D114)&lt;0)),"Coût invalide","OK"))))</f>
        <v/>
      </c>
    </row>
    <row r="115">
      <c r="A115" s="53" t="n"/>
      <c r="B115" s="53" t="n"/>
      <c r="C115" s="60" t="n"/>
      <c r="D115" s="89" t="n"/>
      <c r="E115" s="88" t="str">
        <f>IF(AND(ISNUMBER(C115),N(C115)&gt;0),3600/C115,"")</f>
        <v/>
      </c>
      <c r="F115" s="58" t="str">
        <f>IF(A115="",IF(COUNTA(B115:D115)=0,"","Référence manquante"),IF(COUNTIF($A$6:A115,A115)&gt;1,"Référence en double",IF(AND(C115&lt;&gt;"",OR(NOT(ISNUMBER(C115)),N(C115)&lt;=0)),"Cadence invalide",IF(AND(D115&lt;&gt;"",OR(NOT(ISNUMBER(D115)),N(D115)&lt;0)),"Coût invalide","OK"))))</f>
        <v/>
      </c>
    </row>
    <row r="116">
      <c r="A116" s="53" t="n"/>
      <c r="B116" s="53" t="n"/>
      <c r="C116" s="60" t="n"/>
      <c r="D116" s="89" t="n"/>
      <c r="E116" s="88" t="str">
        <f>IF(AND(ISNUMBER(C116),N(C116)&gt;0),3600/C116,"")</f>
        <v/>
      </c>
      <c r="F116" s="58" t="str">
        <f>IF(A116="",IF(COUNTA(B116:D116)=0,"","Référence manquante"),IF(COUNTIF($A$6:A116,A116)&gt;1,"Référence en double",IF(AND(C116&lt;&gt;"",OR(NOT(ISNUMBER(C116)),N(C116)&lt;=0)),"Cadence invalide",IF(AND(D116&lt;&gt;"",OR(NOT(ISNUMBER(D116)),N(D116)&lt;0)),"Coût invalide","OK"))))</f>
        <v/>
      </c>
    </row>
    <row r="117">
      <c r="A117" s="53" t="n"/>
      <c r="B117" s="53" t="n"/>
      <c r="C117" s="60" t="n"/>
      <c r="D117" s="89" t="n"/>
      <c r="E117" s="88" t="str">
        <f>IF(AND(ISNUMBER(C117),N(C117)&gt;0),3600/C117,"")</f>
        <v/>
      </c>
      <c r="F117" s="58" t="str">
        <f>IF(A117="",IF(COUNTA(B117:D117)=0,"","Référence manquante"),IF(COUNTIF($A$6:A117,A117)&gt;1,"Référence en double",IF(AND(C117&lt;&gt;"",OR(NOT(ISNUMBER(C117)),N(C117)&lt;=0)),"Cadence invalide",IF(AND(D117&lt;&gt;"",OR(NOT(ISNUMBER(D117)),N(D117)&lt;0)),"Coût invalide","OK"))))</f>
        <v/>
      </c>
    </row>
    <row r="118">
      <c r="A118" s="53" t="n"/>
      <c r="B118" s="53" t="n"/>
      <c r="C118" s="60" t="n"/>
      <c r="D118" s="89" t="n"/>
      <c r="E118" s="88" t="str">
        <f>IF(AND(ISNUMBER(C118),N(C118)&gt;0),3600/C118,"")</f>
        <v/>
      </c>
      <c r="F118" s="58" t="str">
        <f>IF(A118="",IF(COUNTA(B118:D118)=0,"","Référence manquante"),IF(COUNTIF($A$6:A118,A118)&gt;1,"Référence en double",IF(AND(C118&lt;&gt;"",OR(NOT(ISNUMBER(C118)),N(C118)&lt;=0)),"Cadence invalide",IF(AND(D118&lt;&gt;"",OR(NOT(ISNUMBER(D118)),N(D118)&lt;0)),"Coût invalide","OK"))))</f>
        <v/>
      </c>
    </row>
    <row r="119">
      <c r="A119" s="53" t="n"/>
      <c r="B119" s="53" t="n"/>
      <c r="C119" s="60" t="n"/>
      <c r="D119" s="89" t="n"/>
      <c r="E119" s="88" t="str">
        <f>IF(AND(ISNUMBER(C119),N(C119)&gt;0),3600/C119,"")</f>
        <v/>
      </c>
      <c r="F119" s="58" t="str">
        <f>IF(A119="",IF(COUNTA(B119:D119)=0,"","Référence manquante"),IF(COUNTIF($A$6:A119,A119)&gt;1,"Référence en double",IF(AND(C119&lt;&gt;"",OR(NOT(ISNUMBER(C119)),N(C119)&lt;=0)),"Cadence invalide",IF(AND(D119&lt;&gt;"",OR(NOT(ISNUMBER(D119)),N(D119)&lt;0)),"Coût invalide","OK"))))</f>
        <v/>
      </c>
    </row>
    <row r="120">
      <c r="A120" s="53" t="n"/>
      <c r="B120" s="53" t="n"/>
      <c r="C120" s="60" t="n"/>
      <c r="D120" s="89" t="n"/>
      <c r="E120" s="88" t="str">
        <f>IF(AND(ISNUMBER(C120),N(C120)&gt;0),3600/C120,"")</f>
        <v/>
      </c>
      <c r="F120" s="58" t="str">
        <f>IF(A120="",IF(COUNTA(B120:D120)=0,"","Référence manquante"),IF(COUNTIF($A$6:A120,A120)&gt;1,"Référence en double",IF(AND(C120&lt;&gt;"",OR(NOT(ISNUMBER(C120)),N(C120)&lt;=0)),"Cadence invalide",IF(AND(D120&lt;&gt;"",OR(NOT(ISNUMBER(D120)),N(D120)&lt;0)),"Coût invalide","OK"))))</f>
        <v/>
      </c>
    </row>
    <row r="121">
      <c r="A121" s="53" t="n"/>
      <c r="B121" s="53" t="n"/>
      <c r="C121" s="60" t="n"/>
      <c r="D121" s="89" t="n"/>
      <c r="E121" s="88" t="str">
        <f>IF(AND(ISNUMBER(C121),N(C121)&gt;0),3600/C121,"")</f>
        <v/>
      </c>
      <c r="F121" s="58" t="str">
        <f>IF(A121="",IF(COUNTA(B121:D121)=0,"","Référence manquante"),IF(COUNTIF($A$6:A121,A121)&gt;1,"Référence en double",IF(AND(C121&lt;&gt;"",OR(NOT(ISNUMBER(C121)),N(C121)&lt;=0)),"Cadence invalide",IF(AND(D121&lt;&gt;"",OR(NOT(ISNUMBER(D121)),N(D121)&lt;0)),"Coût invalide","OK"))))</f>
        <v/>
      </c>
    </row>
    <row r="122">
      <c r="A122" s="53" t="n"/>
      <c r="B122" s="53" t="n"/>
      <c r="C122" s="60" t="n"/>
      <c r="D122" s="89" t="n"/>
      <c r="E122" s="88" t="str">
        <f>IF(AND(ISNUMBER(C122),N(C122)&gt;0),3600/C122,"")</f>
        <v/>
      </c>
      <c r="F122" s="58" t="str">
        <f>IF(A122="",IF(COUNTA(B122:D122)=0,"","Référence manquante"),IF(COUNTIF($A$6:A122,A122)&gt;1,"Référence en double",IF(AND(C122&lt;&gt;"",OR(NOT(ISNUMBER(C122)),N(C122)&lt;=0)),"Cadence invalide",IF(AND(D122&lt;&gt;"",OR(NOT(ISNUMBER(D122)),N(D122)&lt;0)),"Coût invalide","OK"))))</f>
        <v/>
      </c>
    </row>
    <row r="123">
      <c r="A123" s="53" t="n"/>
      <c r="B123" s="53" t="n"/>
      <c r="C123" s="60" t="n"/>
      <c r="D123" s="89" t="n"/>
      <c r="E123" s="88" t="str">
        <f>IF(AND(ISNUMBER(C123),N(C123)&gt;0),3600/C123,"")</f>
        <v/>
      </c>
      <c r="F123" s="58" t="str">
        <f>IF(A123="",IF(COUNTA(B123:D123)=0,"","Référence manquante"),IF(COUNTIF($A$6:A123,A123)&gt;1,"Référence en double",IF(AND(C123&lt;&gt;"",OR(NOT(ISNUMBER(C123)),N(C123)&lt;=0)),"Cadence invalide",IF(AND(D123&lt;&gt;"",OR(NOT(ISNUMBER(D123)),N(D123)&lt;0)),"Coût invalide","OK"))))</f>
        <v/>
      </c>
    </row>
    <row r="124">
      <c r="A124" s="53" t="n"/>
      <c r="B124" s="53" t="n"/>
      <c r="C124" s="60" t="n"/>
      <c r="D124" s="89" t="n"/>
      <c r="E124" s="88" t="str">
        <f>IF(AND(ISNUMBER(C124),N(C124)&gt;0),3600/C124,"")</f>
        <v/>
      </c>
      <c r="F124" s="58" t="str">
        <f>IF(A124="",IF(COUNTA(B124:D124)=0,"","Référence manquante"),IF(COUNTIF($A$6:A124,A124)&gt;1,"Référence en double",IF(AND(C124&lt;&gt;"",OR(NOT(ISNUMBER(C124)),N(C124)&lt;=0)),"Cadence invalide",IF(AND(D124&lt;&gt;"",OR(NOT(ISNUMBER(D124)),N(D124)&lt;0)),"Coût invalide","OK"))))</f>
        <v/>
      </c>
    </row>
    <row r="125">
      <c r="A125" s="53" t="n"/>
      <c r="B125" s="53" t="n"/>
      <c r="C125" s="60" t="n"/>
      <c r="D125" s="89" t="n"/>
      <c r="E125" s="88" t="str">
        <f>IF(AND(ISNUMBER(C125),N(C125)&gt;0),3600/C125,"")</f>
        <v/>
      </c>
      <c r="F125" s="58" t="str">
        <f>IF(A125="",IF(COUNTA(B125:D125)=0,"","Référence manquante"),IF(COUNTIF($A$6:A125,A125)&gt;1,"Référence en double",IF(AND(C125&lt;&gt;"",OR(NOT(ISNUMBER(C125)),N(C125)&lt;=0)),"Cadence invalide",IF(AND(D125&lt;&gt;"",OR(NOT(ISNUMBER(D125)),N(D125)&lt;0)),"Coût invalide","OK"))))</f>
        <v/>
      </c>
    </row>
    <row r="126">
      <c r="A126" s="53" t="n"/>
      <c r="B126" s="53" t="n"/>
      <c r="C126" s="60" t="n"/>
      <c r="D126" s="89" t="n"/>
      <c r="E126" s="88" t="str">
        <f>IF(AND(ISNUMBER(C126),N(C126)&gt;0),3600/C126,"")</f>
        <v/>
      </c>
      <c r="F126" s="58" t="str">
        <f>IF(A126="",IF(COUNTA(B126:D126)=0,"","Référence manquante"),IF(COUNTIF($A$6:A126,A126)&gt;1,"Référence en double",IF(AND(C126&lt;&gt;"",OR(NOT(ISNUMBER(C126)),N(C126)&lt;=0)),"Cadence invalide",IF(AND(D126&lt;&gt;"",OR(NOT(ISNUMBER(D126)),N(D126)&lt;0)),"Coût invalide","OK"))))</f>
        <v/>
      </c>
    </row>
    <row r="127">
      <c r="A127" s="53" t="n"/>
      <c r="B127" s="53" t="n"/>
      <c r="C127" s="60" t="n"/>
      <c r="D127" s="89" t="n"/>
      <c r="E127" s="88" t="str">
        <f>IF(AND(ISNUMBER(C127),N(C127)&gt;0),3600/C127,"")</f>
        <v/>
      </c>
      <c r="F127" s="58" t="str">
        <f>IF(A127="",IF(COUNTA(B127:D127)=0,"","Référence manquante"),IF(COUNTIF($A$6:A127,A127)&gt;1,"Référence en double",IF(AND(C127&lt;&gt;"",OR(NOT(ISNUMBER(C127)),N(C127)&lt;=0)),"Cadence invalide",IF(AND(D127&lt;&gt;"",OR(NOT(ISNUMBER(D127)),N(D127)&lt;0)),"Coût invalide","OK"))))</f>
        <v/>
      </c>
    </row>
    <row r="128">
      <c r="A128" s="53" t="n"/>
      <c r="B128" s="53" t="n"/>
      <c r="C128" s="60" t="n"/>
      <c r="D128" s="89" t="n"/>
      <c r="E128" s="88" t="str">
        <f>IF(AND(ISNUMBER(C128),N(C128)&gt;0),3600/C128,"")</f>
        <v/>
      </c>
      <c r="F128" s="58" t="str">
        <f>IF(A128="",IF(COUNTA(B128:D128)=0,"","Référence manquante"),IF(COUNTIF($A$6:A128,A128)&gt;1,"Référence en double",IF(AND(C128&lt;&gt;"",OR(NOT(ISNUMBER(C128)),N(C128)&lt;=0)),"Cadence invalide",IF(AND(D128&lt;&gt;"",OR(NOT(ISNUMBER(D128)),N(D128)&lt;0)),"Coût invalide","OK"))))</f>
        <v/>
      </c>
    </row>
    <row r="129">
      <c r="A129" s="53" t="n"/>
      <c r="B129" s="53" t="n"/>
      <c r="C129" s="60" t="n"/>
      <c r="D129" s="89" t="n"/>
      <c r="E129" s="88" t="str">
        <f>IF(AND(ISNUMBER(C129),N(C129)&gt;0),3600/C129,"")</f>
        <v/>
      </c>
      <c r="F129" s="58" t="str">
        <f>IF(A129="",IF(COUNTA(B129:D129)=0,"","Référence manquante"),IF(COUNTIF($A$6:A129,A129)&gt;1,"Référence en double",IF(AND(C129&lt;&gt;"",OR(NOT(ISNUMBER(C129)),N(C129)&lt;=0)),"Cadence invalide",IF(AND(D129&lt;&gt;"",OR(NOT(ISNUMBER(D129)),N(D129)&lt;0)),"Coût invalide","OK"))))</f>
        <v/>
      </c>
    </row>
    <row r="130">
      <c r="A130" s="53" t="n"/>
      <c r="B130" s="53" t="n"/>
      <c r="C130" s="60" t="n"/>
      <c r="D130" s="89" t="n"/>
      <c r="E130" s="88" t="str">
        <f>IF(AND(ISNUMBER(C130),N(C130)&gt;0),3600/C130,"")</f>
        <v/>
      </c>
      <c r="F130" s="58" t="str">
        <f>IF(A130="",IF(COUNTA(B130:D130)=0,"","Référence manquante"),IF(COUNTIF($A$6:A130,A130)&gt;1,"Référence en double",IF(AND(C130&lt;&gt;"",OR(NOT(ISNUMBER(C130)),N(C130)&lt;=0)),"Cadence invalide",IF(AND(D130&lt;&gt;"",OR(NOT(ISNUMBER(D130)),N(D130)&lt;0)),"Coût invalide","OK"))))</f>
        <v/>
      </c>
    </row>
    <row r="131">
      <c r="A131" s="53" t="n"/>
      <c r="B131" s="53" t="n"/>
      <c r="C131" s="60" t="n"/>
      <c r="D131" s="89" t="n"/>
      <c r="E131" s="88" t="str">
        <f>IF(AND(ISNUMBER(C131),N(C131)&gt;0),3600/C131,"")</f>
        <v/>
      </c>
      <c r="F131" s="58" t="str">
        <f>IF(A131="",IF(COUNTA(B131:D131)=0,"","Référence manquante"),IF(COUNTIF($A$6:A131,A131)&gt;1,"Référence en double",IF(AND(C131&lt;&gt;"",OR(NOT(ISNUMBER(C131)),N(C131)&lt;=0)),"Cadence invalide",IF(AND(D131&lt;&gt;"",OR(NOT(ISNUMBER(D131)),N(D131)&lt;0)),"Coût invalide","OK"))))</f>
        <v/>
      </c>
    </row>
    <row r="132">
      <c r="A132" s="53" t="n"/>
      <c r="B132" s="53" t="n"/>
      <c r="C132" s="60" t="n"/>
      <c r="D132" s="89" t="n"/>
      <c r="E132" s="88" t="str">
        <f>IF(AND(ISNUMBER(C132),N(C132)&gt;0),3600/C132,"")</f>
        <v/>
      </c>
      <c r="F132" s="58" t="str">
        <f>IF(A132="",IF(COUNTA(B132:D132)=0,"","Référence manquante"),IF(COUNTIF($A$6:A132,A132)&gt;1,"Référence en double",IF(AND(C132&lt;&gt;"",OR(NOT(ISNUMBER(C132)),N(C132)&lt;=0)),"Cadence invalide",IF(AND(D132&lt;&gt;"",OR(NOT(ISNUMBER(D132)),N(D132)&lt;0)),"Coût invalide","OK"))))</f>
        <v/>
      </c>
    </row>
    <row r="133">
      <c r="A133" s="53" t="n"/>
      <c r="B133" s="53" t="n"/>
      <c r="C133" s="60" t="n"/>
      <c r="D133" s="89" t="n"/>
      <c r="E133" s="88" t="str">
        <f>IF(AND(ISNUMBER(C133),N(C133)&gt;0),3600/C133,"")</f>
        <v/>
      </c>
      <c r="F133" s="58" t="str">
        <f>IF(A133="",IF(COUNTA(B133:D133)=0,"","Référence manquante"),IF(COUNTIF($A$6:A133,A133)&gt;1,"Référence en double",IF(AND(C133&lt;&gt;"",OR(NOT(ISNUMBER(C133)),N(C133)&lt;=0)),"Cadence invalide",IF(AND(D133&lt;&gt;"",OR(NOT(ISNUMBER(D133)),N(D133)&lt;0)),"Coût invalide","OK"))))</f>
        <v/>
      </c>
    </row>
    <row r="134">
      <c r="A134" s="53" t="n"/>
      <c r="B134" s="53" t="n"/>
      <c r="C134" s="60" t="n"/>
      <c r="D134" s="89" t="n"/>
      <c r="E134" s="88" t="str">
        <f>IF(AND(ISNUMBER(C134),N(C134)&gt;0),3600/C134,"")</f>
        <v/>
      </c>
      <c r="F134" s="58" t="str">
        <f>IF(A134="",IF(COUNTA(B134:D134)=0,"","Référence manquante"),IF(COUNTIF($A$6:A134,A134)&gt;1,"Référence en double",IF(AND(C134&lt;&gt;"",OR(NOT(ISNUMBER(C134)),N(C134)&lt;=0)),"Cadence invalide",IF(AND(D134&lt;&gt;"",OR(NOT(ISNUMBER(D134)),N(D134)&lt;0)),"Coût invalide","OK"))))</f>
        <v/>
      </c>
    </row>
    <row r="135">
      <c r="A135" s="53" t="n"/>
      <c r="B135" s="53" t="n"/>
      <c r="C135" s="60" t="n"/>
      <c r="D135" s="89" t="n"/>
      <c r="E135" s="88" t="str">
        <f>IF(AND(ISNUMBER(C135),N(C135)&gt;0),3600/C135,"")</f>
        <v/>
      </c>
      <c r="F135" s="58" t="str">
        <f>IF(A135="",IF(COUNTA(B135:D135)=0,"","Référence manquante"),IF(COUNTIF($A$6:A135,A135)&gt;1,"Référence en double",IF(AND(C135&lt;&gt;"",OR(NOT(ISNUMBER(C135)),N(C135)&lt;=0)),"Cadence invalide",IF(AND(D135&lt;&gt;"",OR(NOT(ISNUMBER(D135)),N(D135)&lt;0)),"Coût invalide","OK"))))</f>
        <v/>
      </c>
    </row>
    <row r="136">
      <c r="A136" s="53" t="n"/>
      <c r="B136" s="53" t="n"/>
      <c r="C136" s="60" t="n"/>
      <c r="D136" s="89" t="n"/>
      <c r="E136" s="88" t="str">
        <f>IF(AND(ISNUMBER(C136),N(C136)&gt;0),3600/C136,"")</f>
        <v/>
      </c>
      <c r="F136" s="58" t="str">
        <f>IF(A136="",IF(COUNTA(B136:D136)=0,"","Référence manquante"),IF(COUNTIF($A$6:A136,A136)&gt;1,"Référence en double",IF(AND(C136&lt;&gt;"",OR(NOT(ISNUMBER(C136)),N(C136)&lt;=0)),"Cadence invalide",IF(AND(D136&lt;&gt;"",OR(NOT(ISNUMBER(D136)),N(D136)&lt;0)),"Coût invalide","OK"))))</f>
        <v/>
      </c>
    </row>
    <row r="137">
      <c r="A137" s="53" t="n"/>
      <c r="B137" s="53" t="n"/>
      <c r="C137" s="60" t="n"/>
      <c r="D137" s="89" t="n"/>
      <c r="E137" s="88" t="str">
        <f>IF(AND(ISNUMBER(C137),N(C137)&gt;0),3600/C137,"")</f>
        <v/>
      </c>
      <c r="F137" s="58" t="str">
        <f>IF(A137="",IF(COUNTA(B137:D137)=0,"","Référence manquante"),IF(COUNTIF($A$6:A137,A137)&gt;1,"Référence en double",IF(AND(C137&lt;&gt;"",OR(NOT(ISNUMBER(C137)),N(C137)&lt;=0)),"Cadence invalide",IF(AND(D137&lt;&gt;"",OR(NOT(ISNUMBER(D137)),N(D137)&lt;0)),"Coût invalide","OK"))))</f>
        <v/>
      </c>
    </row>
    <row r="138">
      <c r="A138" s="53" t="n"/>
      <c r="B138" s="53" t="n"/>
      <c r="C138" s="60" t="n"/>
      <c r="D138" s="89" t="n"/>
      <c r="E138" s="88" t="str">
        <f>IF(AND(ISNUMBER(C138),N(C138)&gt;0),3600/C138,"")</f>
        <v/>
      </c>
      <c r="F138" s="58" t="str">
        <f>IF(A138="",IF(COUNTA(B138:D138)=0,"","Référence manquante"),IF(COUNTIF($A$6:A138,A138)&gt;1,"Référence en double",IF(AND(C138&lt;&gt;"",OR(NOT(ISNUMBER(C138)),N(C138)&lt;=0)),"Cadence invalide",IF(AND(D138&lt;&gt;"",OR(NOT(ISNUMBER(D138)),N(D138)&lt;0)),"Coût invalide","OK"))))</f>
        <v/>
      </c>
    </row>
    <row r="139">
      <c r="A139" s="53" t="n"/>
      <c r="B139" s="53" t="n"/>
      <c r="C139" s="60" t="n"/>
      <c r="D139" s="89" t="n"/>
      <c r="E139" s="88" t="str">
        <f>IF(AND(ISNUMBER(C139),N(C139)&gt;0),3600/C139,"")</f>
        <v/>
      </c>
      <c r="F139" s="58" t="str">
        <f>IF(A139="",IF(COUNTA(B139:D139)=0,"","Référence manquante"),IF(COUNTIF($A$6:A139,A139)&gt;1,"Référence en double",IF(AND(C139&lt;&gt;"",OR(NOT(ISNUMBER(C139)),N(C139)&lt;=0)),"Cadence invalide",IF(AND(D139&lt;&gt;"",OR(NOT(ISNUMBER(D139)),N(D139)&lt;0)),"Coût invalide","OK"))))</f>
        <v/>
      </c>
    </row>
    <row r="140">
      <c r="A140" s="53" t="n"/>
      <c r="B140" s="53" t="n"/>
      <c r="C140" s="60" t="n"/>
      <c r="D140" s="89" t="n"/>
      <c r="E140" s="88" t="str">
        <f>IF(AND(ISNUMBER(C140),N(C140)&gt;0),3600/C140,"")</f>
        <v/>
      </c>
      <c r="F140" s="58" t="str">
        <f>IF(A140="",IF(COUNTA(B140:D140)=0,"","Référence manquante"),IF(COUNTIF($A$6:A140,A140)&gt;1,"Référence en double",IF(AND(C140&lt;&gt;"",OR(NOT(ISNUMBER(C140)),N(C140)&lt;=0)),"Cadence invalide",IF(AND(D140&lt;&gt;"",OR(NOT(ISNUMBER(D140)),N(D140)&lt;0)),"Coût invalide","OK"))))</f>
        <v/>
      </c>
    </row>
    <row r="141">
      <c r="A141" s="53" t="n"/>
      <c r="B141" s="53" t="n"/>
      <c r="C141" s="60" t="n"/>
      <c r="D141" s="89" t="n"/>
      <c r="E141" s="88" t="str">
        <f>IF(AND(ISNUMBER(C141),N(C141)&gt;0),3600/C141,"")</f>
        <v/>
      </c>
      <c r="F141" s="58" t="str">
        <f>IF(A141="",IF(COUNTA(B141:D141)=0,"","Référence manquante"),IF(COUNTIF($A$6:A141,A141)&gt;1,"Référence en double",IF(AND(C141&lt;&gt;"",OR(NOT(ISNUMBER(C141)),N(C141)&lt;=0)),"Cadence invalide",IF(AND(D141&lt;&gt;"",OR(NOT(ISNUMBER(D141)),N(D141)&lt;0)),"Coût invalide","OK"))))</f>
        <v/>
      </c>
    </row>
    <row r="142">
      <c r="A142" s="53" t="n"/>
      <c r="B142" s="53" t="n"/>
      <c r="C142" s="60" t="n"/>
      <c r="D142" s="89" t="n"/>
      <c r="E142" s="88" t="str">
        <f>IF(AND(ISNUMBER(C142),N(C142)&gt;0),3600/C142,"")</f>
        <v/>
      </c>
      <c r="F142" s="58" t="str">
        <f>IF(A142="",IF(COUNTA(B142:D142)=0,"","Référence manquante"),IF(COUNTIF($A$6:A142,A142)&gt;1,"Référence en double",IF(AND(C142&lt;&gt;"",OR(NOT(ISNUMBER(C142)),N(C142)&lt;=0)),"Cadence invalide",IF(AND(D142&lt;&gt;"",OR(NOT(ISNUMBER(D142)),N(D142)&lt;0)),"Coût invalide","OK"))))</f>
        <v/>
      </c>
    </row>
    <row r="143">
      <c r="A143" s="53" t="n"/>
      <c r="B143" s="53" t="n"/>
      <c r="C143" s="60" t="n"/>
      <c r="D143" s="89" t="n"/>
      <c r="E143" s="88" t="str">
        <f>IF(AND(ISNUMBER(C143),N(C143)&gt;0),3600/C143,"")</f>
        <v/>
      </c>
      <c r="F143" s="58" t="str">
        <f>IF(A143="",IF(COUNTA(B143:D143)=0,"","Référence manquante"),IF(COUNTIF($A$6:A143,A143)&gt;1,"Référence en double",IF(AND(C143&lt;&gt;"",OR(NOT(ISNUMBER(C143)),N(C143)&lt;=0)),"Cadence invalide",IF(AND(D143&lt;&gt;"",OR(NOT(ISNUMBER(D143)),N(D143)&lt;0)),"Coût invalide","OK"))))</f>
        <v/>
      </c>
    </row>
    <row r="144">
      <c r="A144" s="53" t="n"/>
      <c r="B144" s="53" t="n"/>
      <c r="C144" s="60" t="n"/>
      <c r="D144" s="89" t="n"/>
      <c r="E144" s="88" t="str">
        <f>IF(AND(ISNUMBER(C144),N(C144)&gt;0),3600/C144,"")</f>
        <v/>
      </c>
      <c r="F144" s="58" t="str">
        <f>IF(A144="",IF(COUNTA(B144:D144)=0,"","Référence manquante"),IF(COUNTIF($A$6:A144,A144)&gt;1,"Référence en double",IF(AND(C144&lt;&gt;"",OR(NOT(ISNUMBER(C144)),N(C144)&lt;=0)),"Cadence invalide",IF(AND(D144&lt;&gt;"",OR(NOT(ISNUMBER(D144)),N(D144)&lt;0)),"Coût invalide","OK"))))</f>
        <v/>
      </c>
    </row>
    <row r="145">
      <c r="A145" s="53" t="n"/>
      <c r="B145" s="53" t="n"/>
      <c r="C145" s="60" t="n"/>
      <c r="D145" s="89" t="n"/>
      <c r="E145" s="88" t="str">
        <f>IF(AND(ISNUMBER(C145),N(C145)&gt;0),3600/C145,"")</f>
        <v/>
      </c>
      <c r="F145" s="58" t="str">
        <f>IF(A145="",IF(COUNTA(B145:D145)=0,"","Référence manquante"),IF(COUNTIF($A$6:A145,A145)&gt;1,"Référence en double",IF(AND(C145&lt;&gt;"",OR(NOT(ISNUMBER(C145)),N(C145)&lt;=0)),"Cadence invalide",IF(AND(D145&lt;&gt;"",OR(NOT(ISNUMBER(D145)),N(D145)&lt;0)),"Coût invalide","OK"))))</f>
        <v/>
      </c>
    </row>
    <row r="146">
      <c r="A146" s="53" t="n"/>
      <c r="B146" s="53" t="n"/>
      <c r="C146" s="60" t="n"/>
      <c r="D146" s="89" t="n"/>
      <c r="E146" s="88" t="str">
        <f>IF(AND(ISNUMBER(C146),N(C146)&gt;0),3600/C146,"")</f>
        <v/>
      </c>
      <c r="F146" s="58" t="str">
        <f>IF(A146="",IF(COUNTA(B146:D146)=0,"","Référence manquante"),IF(COUNTIF($A$6:A146,A146)&gt;1,"Référence en double",IF(AND(C146&lt;&gt;"",OR(NOT(ISNUMBER(C146)),N(C146)&lt;=0)),"Cadence invalide",IF(AND(D146&lt;&gt;"",OR(NOT(ISNUMBER(D146)),N(D146)&lt;0)),"Coût invalide","OK"))))</f>
        <v/>
      </c>
    </row>
    <row r="147">
      <c r="A147" s="53" t="n"/>
      <c r="B147" s="53" t="n"/>
      <c r="C147" s="60" t="n"/>
      <c r="D147" s="89" t="n"/>
      <c r="E147" s="88" t="str">
        <f>IF(AND(ISNUMBER(C147),N(C147)&gt;0),3600/C147,"")</f>
        <v/>
      </c>
      <c r="F147" s="58" t="str">
        <f>IF(A147="",IF(COUNTA(B147:D147)=0,"","Référence manquante"),IF(COUNTIF($A$6:A147,A147)&gt;1,"Référence en double",IF(AND(C147&lt;&gt;"",OR(NOT(ISNUMBER(C147)),N(C147)&lt;=0)),"Cadence invalide",IF(AND(D147&lt;&gt;"",OR(NOT(ISNUMBER(D147)),N(D147)&lt;0)),"Coût invalide","OK"))))</f>
        <v/>
      </c>
    </row>
    <row r="148">
      <c r="A148" s="53" t="n"/>
      <c r="B148" s="53" t="n"/>
      <c r="C148" s="60" t="n"/>
      <c r="D148" s="89" t="n"/>
      <c r="E148" s="88" t="str">
        <f>IF(AND(ISNUMBER(C148),N(C148)&gt;0),3600/C148,"")</f>
        <v/>
      </c>
      <c r="F148" s="58" t="str">
        <f>IF(A148="",IF(COUNTA(B148:D148)=0,"","Référence manquante"),IF(COUNTIF($A$6:A148,A148)&gt;1,"Référence en double",IF(AND(C148&lt;&gt;"",OR(NOT(ISNUMBER(C148)),N(C148)&lt;=0)),"Cadence invalide",IF(AND(D148&lt;&gt;"",OR(NOT(ISNUMBER(D148)),N(D148)&lt;0)),"Coût invalide","OK"))))</f>
        <v/>
      </c>
    </row>
    <row r="149">
      <c r="A149" s="53" t="n"/>
      <c r="B149" s="53" t="n"/>
      <c r="C149" s="60" t="n"/>
      <c r="D149" s="89" t="n"/>
      <c r="E149" s="88" t="str">
        <f>IF(AND(ISNUMBER(C149),N(C149)&gt;0),3600/C149,"")</f>
        <v/>
      </c>
      <c r="F149" s="58" t="str">
        <f>IF(A149="",IF(COUNTA(B149:D149)=0,"","Référence manquante"),IF(COUNTIF($A$6:A149,A149)&gt;1,"Référence en double",IF(AND(C149&lt;&gt;"",OR(NOT(ISNUMBER(C149)),N(C149)&lt;=0)),"Cadence invalide",IF(AND(D149&lt;&gt;"",OR(NOT(ISNUMBER(D149)),N(D149)&lt;0)),"Coût invalide","OK"))))</f>
        <v/>
      </c>
    </row>
    <row r="150">
      <c r="A150" s="53" t="n"/>
      <c r="B150" s="53" t="n"/>
      <c r="C150" s="60" t="n"/>
      <c r="D150" s="89" t="n"/>
      <c r="E150" s="88" t="str">
        <f>IF(AND(ISNUMBER(C150),N(C150)&gt;0),3600/C150,"")</f>
        <v/>
      </c>
      <c r="F150" s="58" t="str">
        <f>IF(A150="",IF(COUNTA(B150:D150)=0,"","Référence manquante"),IF(COUNTIF($A$6:A150,A150)&gt;1,"Référence en double",IF(AND(C150&lt;&gt;"",OR(NOT(ISNUMBER(C150)),N(C150)&lt;=0)),"Cadence invalide",IF(AND(D150&lt;&gt;"",OR(NOT(ISNUMBER(D150)),N(D150)&lt;0)),"Coût invalide","OK"))))</f>
        <v/>
      </c>
    </row>
    <row r="151">
      <c r="A151" s="53" t="n"/>
      <c r="B151" s="53" t="n"/>
      <c r="C151" s="60" t="n"/>
      <c r="D151" s="89" t="n"/>
      <c r="E151" s="88" t="str">
        <f>IF(AND(ISNUMBER(C151),N(C151)&gt;0),3600/C151,"")</f>
        <v/>
      </c>
      <c r="F151" s="58" t="str">
        <f>IF(A151="",IF(COUNTA(B151:D151)=0,"","Référence manquante"),IF(COUNTIF($A$6:A151,A151)&gt;1,"Référence en double",IF(AND(C151&lt;&gt;"",OR(NOT(ISNUMBER(C151)),N(C151)&lt;=0)),"Cadence invalide",IF(AND(D151&lt;&gt;"",OR(NOT(ISNUMBER(D151)),N(D151)&lt;0)),"Coût invalide","OK"))))</f>
        <v/>
      </c>
    </row>
    <row r="152">
      <c r="A152" s="53" t="n"/>
      <c r="B152" s="53" t="n"/>
      <c r="C152" s="60" t="n"/>
      <c r="D152" s="89" t="n"/>
      <c r="E152" s="88" t="str">
        <f>IF(AND(ISNUMBER(C152),N(C152)&gt;0),3600/C152,"")</f>
        <v/>
      </c>
      <c r="F152" s="58" t="str">
        <f>IF(A152="",IF(COUNTA(B152:D152)=0,"","Référence manquante"),IF(COUNTIF($A$6:A152,A152)&gt;1,"Référence en double",IF(AND(C152&lt;&gt;"",OR(NOT(ISNUMBER(C152)),N(C152)&lt;=0)),"Cadence invalide",IF(AND(D152&lt;&gt;"",OR(NOT(ISNUMBER(D152)),N(D152)&lt;0)),"Coût invalide","OK"))))</f>
        <v/>
      </c>
    </row>
    <row r="153">
      <c r="A153" s="53" t="n"/>
      <c r="B153" s="53" t="n"/>
      <c r="C153" s="60" t="n"/>
      <c r="D153" s="89" t="n"/>
      <c r="E153" s="88" t="str">
        <f>IF(AND(ISNUMBER(C153),N(C153)&gt;0),3600/C153,"")</f>
        <v/>
      </c>
      <c r="F153" s="58" t="str">
        <f>IF(A153="",IF(COUNTA(B153:D153)=0,"","Référence manquante"),IF(COUNTIF($A$6:A153,A153)&gt;1,"Référence en double",IF(AND(C153&lt;&gt;"",OR(NOT(ISNUMBER(C153)),N(C153)&lt;=0)),"Cadence invalide",IF(AND(D153&lt;&gt;"",OR(NOT(ISNUMBER(D153)),N(D153)&lt;0)),"Coût invalide","OK"))))</f>
        <v/>
      </c>
    </row>
    <row r="154">
      <c r="A154" s="53" t="n"/>
      <c r="B154" s="53" t="n"/>
      <c r="C154" s="60" t="n"/>
      <c r="D154" s="89" t="n"/>
      <c r="E154" s="88" t="str">
        <f>IF(AND(ISNUMBER(C154),N(C154)&gt;0),3600/C154,"")</f>
        <v/>
      </c>
      <c r="F154" s="58" t="str">
        <f>IF(A154="",IF(COUNTA(B154:D154)=0,"","Référence manquante"),IF(COUNTIF($A$6:A154,A154)&gt;1,"Référence en double",IF(AND(C154&lt;&gt;"",OR(NOT(ISNUMBER(C154)),N(C154)&lt;=0)),"Cadence invalide",IF(AND(D154&lt;&gt;"",OR(NOT(ISNUMBER(D154)),N(D154)&lt;0)),"Coût invalide","OK"))))</f>
        <v/>
      </c>
    </row>
    <row r="155">
      <c r="A155" s="53" t="n"/>
      <c r="B155" s="53" t="n"/>
      <c r="C155" s="60" t="n"/>
      <c r="D155" s="89" t="n"/>
      <c r="E155" s="88" t="str">
        <f>IF(AND(ISNUMBER(C155),N(C155)&gt;0),3600/C155,"")</f>
        <v/>
      </c>
      <c r="F155" s="58" t="str">
        <f>IF(A155="",IF(COUNTA(B155:D155)=0,"","Référence manquante"),IF(COUNTIF($A$6:A155,A155)&gt;1,"Référence en double",IF(AND(C155&lt;&gt;"",OR(NOT(ISNUMBER(C155)),N(C155)&lt;=0)),"Cadence invalide",IF(AND(D155&lt;&gt;"",OR(NOT(ISNUMBER(D155)),N(D155)&lt;0)),"Coût invalide","OK"))))</f>
        <v/>
      </c>
    </row>
    <row r="156">
      <c r="A156" s="53" t="n"/>
      <c r="B156" s="53" t="n"/>
      <c r="C156" s="60" t="n"/>
      <c r="D156" s="89" t="n"/>
      <c r="E156" s="88" t="str">
        <f>IF(AND(ISNUMBER(C156),N(C156)&gt;0),3600/C156,"")</f>
        <v/>
      </c>
      <c r="F156" s="58" t="str">
        <f>IF(A156="",IF(COUNTA(B156:D156)=0,"","Référence manquante"),IF(COUNTIF($A$6:A156,A156)&gt;1,"Référence en double",IF(AND(C156&lt;&gt;"",OR(NOT(ISNUMBER(C156)),N(C156)&lt;=0)),"Cadence invalide",IF(AND(D156&lt;&gt;"",OR(NOT(ISNUMBER(D156)),N(D156)&lt;0)),"Coût invalide","OK"))))</f>
        <v/>
      </c>
    </row>
    <row r="157">
      <c r="A157" s="53" t="n"/>
      <c r="B157" s="53" t="n"/>
      <c r="C157" s="60" t="n"/>
      <c r="D157" s="89" t="n"/>
      <c r="E157" s="88" t="str">
        <f>IF(AND(ISNUMBER(C157),N(C157)&gt;0),3600/C157,"")</f>
        <v/>
      </c>
      <c r="F157" s="58" t="str">
        <f>IF(A157="",IF(COUNTA(B157:D157)=0,"","Référence manquante"),IF(COUNTIF($A$6:A157,A157)&gt;1,"Référence en double",IF(AND(C157&lt;&gt;"",OR(NOT(ISNUMBER(C157)),N(C157)&lt;=0)),"Cadence invalide",IF(AND(D157&lt;&gt;"",OR(NOT(ISNUMBER(D157)),N(D157)&lt;0)),"Coût invalide","OK"))))</f>
        <v/>
      </c>
    </row>
    <row r="158">
      <c r="A158" s="53" t="n"/>
      <c r="B158" s="53" t="n"/>
      <c r="C158" s="60" t="n"/>
      <c r="D158" s="89" t="n"/>
      <c r="E158" s="88" t="str">
        <f>IF(AND(ISNUMBER(C158),N(C158)&gt;0),3600/C158,"")</f>
        <v/>
      </c>
      <c r="F158" s="58" t="str">
        <f>IF(A158="",IF(COUNTA(B158:D158)=0,"","Référence manquante"),IF(COUNTIF($A$6:A158,A158)&gt;1,"Référence en double",IF(AND(C158&lt;&gt;"",OR(NOT(ISNUMBER(C158)),N(C158)&lt;=0)),"Cadence invalide",IF(AND(D158&lt;&gt;"",OR(NOT(ISNUMBER(D158)),N(D158)&lt;0)),"Coût invalide","OK"))))</f>
        <v/>
      </c>
    </row>
    <row r="159">
      <c r="A159" s="53" t="n"/>
      <c r="B159" s="53" t="n"/>
      <c r="C159" s="60" t="n"/>
      <c r="D159" s="89" t="n"/>
      <c r="E159" s="88" t="str">
        <f>IF(AND(ISNUMBER(C159),N(C159)&gt;0),3600/C159,"")</f>
        <v/>
      </c>
      <c r="F159" s="58" t="str">
        <f>IF(A159="",IF(COUNTA(B159:D159)=0,"","Référence manquante"),IF(COUNTIF($A$6:A159,A159)&gt;1,"Référence en double",IF(AND(C159&lt;&gt;"",OR(NOT(ISNUMBER(C159)),N(C159)&lt;=0)),"Cadence invalide",IF(AND(D159&lt;&gt;"",OR(NOT(ISNUMBER(D159)),N(D159)&lt;0)),"Coût invalide","OK"))))</f>
        <v/>
      </c>
    </row>
    <row r="160">
      <c r="A160" s="53" t="n"/>
      <c r="B160" s="53" t="n"/>
      <c r="C160" s="60" t="n"/>
      <c r="D160" s="89" t="n"/>
      <c r="E160" s="88" t="str">
        <f>IF(AND(ISNUMBER(C160),N(C160)&gt;0),3600/C160,"")</f>
        <v/>
      </c>
      <c r="F160" s="58" t="str">
        <f>IF(A160="",IF(COUNTA(B160:D160)=0,"","Référence manquante"),IF(COUNTIF($A$6:A160,A160)&gt;1,"Référence en double",IF(AND(C160&lt;&gt;"",OR(NOT(ISNUMBER(C160)),N(C160)&lt;=0)),"Cadence invalide",IF(AND(D160&lt;&gt;"",OR(NOT(ISNUMBER(D160)),N(D160)&lt;0)),"Coût invalide","OK"))))</f>
        <v/>
      </c>
    </row>
    <row r="161">
      <c r="A161" s="53" t="n"/>
      <c r="B161" s="53" t="n"/>
      <c r="C161" s="60" t="n"/>
      <c r="D161" s="89" t="n"/>
      <c r="E161" s="88" t="str">
        <f>IF(AND(ISNUMBER(C161),N(C161)&gt;0),3600/C161,"")</f>
        <v/>
      </c>
      <c r="F161" s="58" t="str">
        <f>IF(A161="",IF(COUNTA(B161:D161)=0,"","Référence manquante"),IF(COUNTIF($A$6:A161,A161)&gt;1,"Référence en double",IF(AND(C161&lt;&gt;"",OR(NOT(ISNUMBER(C161)),N(C161)&lt;=0)),"Cadence invalide",IF(AND(D161&lt;&gt;"",OR(NOT(ISNUMBER(D161)),N(D161)&lt;0)),"Coût invalide","OK"))))</f>
        <v/>
      </c>
    </row>
    <row r="162">
      <c r="A162" s="53" t="n"/>
      <c r="B162" s="53" t="n"/>
      <c r="C162" s="60" t="n"/>
      <c r="D162" s="89" t="n"/>
      <c r="E162" s="88" t="str">
        <f>IF(AND(ISNUMBER(C162),N(C162)&gt;0),3600/C162,"")</f>
        <v/>
      </c>
      <c r="F162" s="58" t="str">
        <f>IF(A162="",IF(COUNTA(B162:D162)=0,"","Référence manquante"),IF(COUNTIF($A$6:A162,A162)&gt;1,"Référence en double",IF(AND(C162&lt;&gt;"",OR(NOT(ISNUMBER(C162)),N(C162)&lt;=0)),"Cadence invalide",IF(AND(D162&lt;&gt;"",OR(NOT(ISNUMBER(D162)),N(D162)&lt;0)),"Coût invalide","OK"))))</f>
        <v/>
      </c>
    </row>
    <row r="163">
      <c r="A163" s="53" t="n"/>
      <c r="B163" s="53" t="n"/>
      <c r="C163" s="60" t="n"/>
      <c r="D163" s="89" t="n"/>
      <c r="E163" s="88" t="str">
        <f>IF(AND(ISNUMBER(C163),N(C163)&gt;0),3600/C163,"")</f>
        <v/>
      </c>
      <c r="F163" s="58" t="str">
        <f>IF(A163="",IF(COUNTA(B163:D163)=0,"","Référence manquante"),IF(COUNTIF($A$6:A163,A163)&gt;1,"Référence en double",IF(AND(C163&lt;&gt;"",OR(NOT(ISNUMBER(C163)),N(C163)&lt;=0)),"Cadence invalide",IF(AND(D163&lt;&gt;"",OR(NOT(ISNUMBER(D163)),N(D163)&lt;0)),"Coût invalide","OK"))))</f>
        <v/>
      </c>
    </row>
    <row r="164">
      <c r="A164" s="53" t="n"/>
      <c r="B164" s="53" t="n"/>
      <c r="C164" s="60" t="n"/>
      <c r="D164" s="89" t="n"/>
      <c r="E164" s="88" t="str">
        <f>IF(AND(ISNUMBER(C164),N(C164)&gt;0),3600/C164,"")</f>
        <v/>
      </c>
      <c r="F164" s="58" t="str">
        <f>IF(A164="",IF(COUNTA(B164:D164)=0,"","Référence manquante"),IF(COUNTIF($A$6:A164,A164)&gt;1,"Référence en double",IF(AND(C164&lt;&gt;"",OR(NOT(ISNUMBER(C164)),N(C164)&lt;=0)),"Cadence invalide",IF(AND(D164&lt;&gt;"",OR(NOT(ISNUMBER(D164)),N(D164)&lt;0)),"Coût invalide","OK"))))</f>
        <v/>
      </c>
    </row>
    <row r="165">
      <c r="A165" s="53" t="n"/>
      <c r="B165" s="53" t="n"/>
      <c r="C165" s="60" t="n"/>
      <c r="D165" s="89" t="n"/>
      <c r="E165" s="88" t="str">
        <f>IF(AND(ISNUMBER(C165),N(C165)&gt;0),3600/C165,"")</f>
        <v/>
      </c>
      <c r="F165" s="58" t="str">
        <f>IF(A165="",IF(COUNTA(B165:D165)=0,"","Référence manquante"),IF(COUNTIF($A$6:A165,A165)&gt;1,"Référence en double",IF(AND(C165&lt;&gt;"",OR(NOT(ISNUMBER(C165)),N(C165)&lt;=0)),"Cadence invalide",IF(AND(D165&lt;&gt;"",OR(NOT(ISNUMBER(D165)),N(D165)&lt;0)),"Coût invalide","OK"))))</f>
        <v/>
      </c>
    </row>
    <row r="166">
      <c r="A166" s="53" t="n"/>
      <c r="B166" s="53" t="n"/>
      <c r="C166" s="60" t="n"/>
      <c r="D166" s="89" t="n"/>
      <c r="E166" s="88" t="str">
        <f>IF(AND(ISNUMBER(C166),N(C166)&gt;0),3600/C166,"")</f>
        <v/>
      </c>
      <c r="F166" s="58" t="str">
        <f>IF(A166="",IF(COUNTA(B166:D166)=0,"","Référence manquante"),IF(COUNTIF($A$6:A166,A166)&gt;1,"Référence en double",IF(AND(C166&lt;&gt;"",OR(NOT(ISNUMBER(C166)),N(C166)&lt;=0)),"Cadence invalide",IF(AND(D166&lt;&gt;"",OR(NOT(ISNUMBER(D166)),N(D166)&lt;0)),"Coût invalide","OK"))))</f>
        <v/>
      </c>
    </row>
    <row r="167">
      <c r="A167" s="53" t="n"/>
      <c r="B167" s="53" t="n"/>
      <c r="C167" s="60" t="n"/>
      <c r="D167" s="89" t="n"/>
      <c r="E167" s="88" t="str">
        <f>IF(AND(ISNUMBER(C167),N(C167)&gt;0),3600/C167,"")</f>
        <v/>
      </c>
      <c r="F167" s="58" t="str">
        <f>IF(A167="",IF(COUNTA(B167:D167)=0,"","Référence manquante"),IF(COUNTIF($A$6:A167,A167)&gt;1,"Référence en double",IF(AND(C167&lt;&gt;"",OR(NOT(ISNUMBER(C167)),N(C167)&lt;=0)),"Cadence invalide",IF(AND(D167&lt;&gt;"",OR(NOT(ISNUMBER(D167)),N(D167)&lt;0)),"Coût invalide","OK"))))</f>
        <v/>
      </c>
    </row>
    <row r="168">
      <c r="A168" s="53" t="n"/>
      <c r="B168" s="53" t="n"/>
      <c r="C168" s="60" t="n"/>
      <c r="D168" s="89" t="n"/>
      <c r="E168" s="88" t="str">
        <f>IF(AND(ISNUMBER(C168),N(C168)&gt;0),3600/C168,"")</f>
        <v/>
      </c>
      <c r="F168" s="58" t="str">
        <f>IF(A168="",IF(COUNTA(B168:D168)=0,"","Référence manquante"),IF(COUNTIF($A$6:A168,A168)&gt;1,"Référence en double",IF(AND(C168&lt;&gt;"",OR(NOT(ISNUMBER(C168)),N(C168)&lt;=0)),"Cadence invalide",IF(AND(D168&lt;&gt;"",OR(NOT(ISNUMBER(D168)),N(D168)&lt;0)),"Coût invalide","OK"))))</f>
        <v/>
      </c>
    </row>
    <row r="169">
      <c r="A169" s="53" t="n"/>
      <c r="B169" s="53" t="n"/>
      <c r="C169" s="60" t="n"/>
      <c r="D169" s="89" t="n"/>
      <c r="E169" s="88" t="str">
        <f>IF(AND(ISNUMBER(C169),N(C169)&gt;0),3600/C169,"")</f>
        <v/>
      </c>
      <c r="F169" s="58" t="str">
        <f>IF(A169="",IF(COUNTA(B169:D169)=0,"","Référence manquante"),IF(COUNTIF($A$6:A169,A169)&gt;1,"Référence en double",IF(AND(C169&lt;&gt;"",OR(NOT(ISNUMBER(C169)),N(C169)&lt;=0)),"Cadence invalide",IF(AND(D169&lt;&gt;"",OR(NOT(ISNUMBER(D169)),N(D169)&lt;0)),"Coût invalide","OK"))))</f>
        <v/>
      </c>
    </row>
    <row r="170">
      <c r="A170" s="53" t="n"/>
      <c r="B170" s="53" t="n"/>
      <c r="C170" s="60" t="n"/>
      <c r="D170" s="89" t="n"/>
      <c r="E170" s="88" t="str">
        <f>IF(AND(ISNUMBER(C170),N(C170)&gt;0),3600/C170,"")</f>
        <v/>
      </c>
      <c r="F170" s="58" t="str">
        <f>IF(A170="",IF(COUNTA(B170:D170)=0,"","Référence manquante"),IF(COUNTIF($A$6:A170,A170)&gt;1,"Référence en double",IF(AND(C170&lt;&gt;"",OR(NOT(ISNUMBER(C170)),N(C170)&lt;=0)),"Cadence invalide",IF(AND(D170&lt;&gt;"",OR(NOT(ISNUMBER(D170)),N(D170)&lt;0)),"Coût invalide","OK"))))</f>
        <v/>
      </c>
    </row>
    <row r="171">
      <c r="A171" s="53" t="n"/>
      <c r="B171" s="53" t="n"/>
      <c r="C171" s="60" t="n"/>
      <c r="D171" s="89" t="n"/>
      <c r="E171" s="88" t="str">
        <f>IF(AND(ISNUMBER(C171),N(C171)&gt;0),3600/C171,"")</f>
        <v/>
      </c>
      <c r="F171" s="58" t="str">
        <f>IF(A171="",IF(COUNTA(B171:D171)=0,"","Référence manquante"),IF(COUNTIF($A$6:A171,A171)&gt;1,"Référence en double",IF(AND(C171&lt;&gt;"",OR(NOT(ISNUMBER(C171)),N(C171)&lt;=0)),"Cadence invalide",IF(AND(D171&lt;&gt;"",OR(NOT(ISNUMBER(D171)),N(D171)&lt;0)),"Coût invalide","OK"))))</f>
        <v/>
      </c>
    </row>
    <row r="172">
      <c r="A172" s="53" t="n"/>
      <c r="B172" s="53" t="n"/>
      <c r="C172" s="60" t="n"/>
      <c r="D172" s="89" t="n"/>
      <c r="E172" s="88" t="str">
        <f>IF(AND(ISNUMBER(C172),N(C172)&gt;0),3600/C172,"")</f>
        <v/>
      </c>
      <c r="F172" s="58" t="str">
        <f>IF(A172="",IF(COUNTA(B172:D172)=0,"","Référence manquante"),IF(COUNTIF($A$6:A172,A172)&gt;1,"Référence en double",IF(AND(C172&lt;&gt;"",OR(NOT(ISNUMBER(C172)),N(C172)&lt;=0)),"Cadence invalide",IF(AND(D172&lt;&gt;"",OR(NOT(ISNUMBER(D172)),N(D172)&lt;0)),"Coût invalide","OK"))))</f>
        <v/>
      </c>
    </row>
    <row r="173">
      <c r="A173" s="53" t="n"/>
      <c r="B173" s="53" t="n"/>
      <c r="C173" s="60" t="n"/>
      <c r="D173" s="89" t="n"/>
      <c r="E173" s="88" t="str">
        <f>IF(AND(ISNUMBER(C173),N(C173)&gt;0),3600/C173,"")</f>
        <v/>
      </c>
      <c r="F173" s="58" t="str">
        <f>IF(A173="",IF(COUNTA(B173:D173)=0,"","Référence manquante"),IF(COUNTIF($A$6:A173,A173)&gt;1,"Référence en double",IF(AND(C173&lt;&gt;"",OR(NOT(ISNUMBER(C173)),N(C173)&lt;=0)),"Cadence invalide",IF(AND(D173&lt;&gt;"",OR(NOT(ISNUMBER(D173)),N(D173)&lt;0)),"Coût invalide","OK"))))</f>
        <v/>
      </c>
    </row>
    <row r="174">
      <c r="A174" s="53" t="n"/>
      <c r="B174" s="53" t="n"/>
      <c r="C174" s="60" t="n"/>
      <c r="D174" s="89" t="n"/>
      <c r="E174" s="88" t="str">
        <f>IF(AND(ISNUMBER(C174),N(C174)&gt;0),3600/C174,"")</f>
        <v/>
      </c>
      <c r="F174" s="58" t="str">
        <f>IF(A174="",IF(COUNTA(B174:D174)=0,"","Référence manquante"),IF(COUNTIF($A$6:A174,A174)&gt;1,"Référence en double",IF(AND(C174&lt;&gt;"",OR(NOT(ISNUMBER(C174)),N(C174)&lt;=0)),"Cadence invalide",IF(AND(D174&lt;&gt;"",OR(NOT(ISNUMBER(D174)),N(D174)&lt;0)),"Coût invalide","OK"))))</f>
        <v/>
      </c>
    </row>
    <row r="175">
      <c r="A175" s="53" t="n"/>
      <c r="B175" s="53" t="n"/>
      <c r="C175" s="60" t="n"/>
      <c r="D175" s="89" t="n"/>
      <c r="E175" s="88" t="str">
        <f>IF(AND(ISNUMBER(C175),N(C175)&gt;0),3600/C175,"")</f>
        <v/>
      </c>
      <c r="F175" s="58" t="str">
        <f>IF(A175="",IF(COUNTA(B175:D175)=0,"","Référence manquante"),IF(COUNTIF($A$6:A175,A175)&gt;1,"Référence en double",IF(AND(C175&lt;&gt;"",OR(NOT(ISNUMBER(C175)),N(C175)&lt;=0)),"Cadence invalide",IF(AND(D175&lt;&gt;"",OR(NOT(ISNUMBER(D175)),N(D175)&lt;0)),"Coût invalide","OK"))))</f>
        <v/>
      </c>
    </row>
    <row r="176">
      <c r="A176" s="53" t="n"/>
      <c r="B176" s="53" t="n"/>
      <c r="C176" s="60" t="n"/>
      <c r="D176" s="89" t="n"/>
      <c r="E176" s="88" t="str">
        <f>IF(AND(ISNUMBER(C176),N(C176)&gt;0),3600/C176,"")</f>
        <v/>
      </c>
      <c r="F176" s="58" t="str">
        <f>IF(A176="",IF(COUNTA(B176:D176)=0,"","Référence manquante"),IF(COUNTIF($A$6:A176,A176)&gt;1,"Référence en double",IF(AND(C176&lt;&gt;"",OR(NOT(ISNUMBER(C176)),N(C176)&lt;=0)),"Cadence invalide",IF(AND(D176&lt;&gt;"",OR(NOT(ISNUMBER(D176)),N(D176)&lt;0)),"Coût invalide","OK"))))</f>
        <v/>
      </c>
    </row>
    <row r="177">
      <c r="A177" s="53" t="n"/>
      <c r="B177" s="53" t="n"/>
      <c r="C177" s="60" t="n"/>
      <c r="D177" s="89" t="n"/>
      <c r="E177" s="88" t="str">
        <f>IF(AND(ISNUMBER(C177),N(C177)&gt;0),3600/C177,"")</f>
        <v/>
      </c>
      <c r="F177" s="58" t="str">
        <f>IF(A177="",IF(COUNTA(B177:D177)=0,"","Référence manquante"),IF(COUNTIF($A$6:A177,A177)&gt;1,"Référence en double",IF(AND(C177&lt;&gt;"",OR(NOT(ISNUMBER(C177)),N(C177)&lt;=0)),"Cadence invalide",IF(AND(D177&lt;&gt;"",OR(NOT(ISNUMBER(D177)),N(D177)&lt;0)),"Coût invalide","OK"))))</f>
        <v/>
      </c>
    </row>
    <row r="178">
      <c r="A178" s="53" t="n"/>
      <c r="B178" s="53" t="n"/>
      <c r="C178" s="60" t="n"/>
      <c r="D178" s="89" t="n"/>
      <c r="E178" s="88" t="str">
        <f>IF(AND(ISNUMBER(C178),N(C178)&gt;0),3600/C178,"")</f>
        <v/>
      </c>
      <c r="F178" s="58" t="str">
        <f>IF(A178="",IF(COUNTA(B178:D178)=0,"","Référence manquante"),IF(COUNTIF($A$6:A178,A178)&gt;1,"Référence en double",IF(AND(C178&lt;&gt;"",OR(NOT(ISNUMBER(C178)),N(C178)&lt;=0)),"Cadence invalide",IF(AND(D178&lt;&gt;"",OR(NOT(ISNUMBER(D178)),N(D178)&lt;0)),"Coût invalide","OK"))))</f>
        <v/>
      </c>
    </row>
    <row r="179">
      <c r="A179" s="53" t="n"/>
      <c r="B179" s="53" t="n"/>
      <c r="C179" s="60" t="n"/>
      <c r="D179" s="89" t="n"/>
      <c r="E179" s="88" t="str">
        <f>IF(AND(ISNUMBER(C179),N(C179)&gt;0),3600/C179,"")</f>
        <v/>
      </c>
      <c r="F179" s="58" t="str">
        <f>IF(A179="",IF(COUNTA(B179:D179)=0,"","Référence manquante"),IF(COUNTIF($A$6:A179,A179)&gt;1,"Référence en double",IF(AND(C179&lt;&gt;"",OR(NOT(ISNUMBER(C179)),N(C179)&lt;=0)),"Cadence invalide",IF(AND(D179&lt;&gt;"",OR(NOT(ISNUMBER(D179)),N(D179)&lt;0)),"Coût invalide","OK"))))</f>
        <v/>
      </c>
    </row>
    <row r="180">
      <c r="A180" s="53" t="n"/>
      <c r="B180" s="53" t="n"/>
      <c r="C180" s="60" t="n"/>
      <c r="D180" s="89" t="n"/>
      <c r="E180" s="88" t="str">
        <f>IF(AND(ISNUMBER(C180),N(C180)&gt;0),3600/C180,"")</f>
        <v/>
      </c>
      <c r="F180" s="58" t="str">
        <f>IF(A180="",IF(COUNTA(B180:D180)=0,"","Référence manquante"),IF(COUNTIF($A$6:A180,A180)&gt;1,"Référence en double",IF(AND(C180&lt;&gt;"",OR(NOT(ISNUMBER(C180)),N(C180)&lt;=0)),"Cadence invalide",IF(AND(D180&lt;&gt;"",OR(NOT(ISNUMBER(D180)),N(D180)&lt;0)),"Coût invalide","OK"))))</f>
        <v/>
      </c>
    </row>
    <row r="181">
      <c r="A181" s="53" t="n"/>
      <c r="B181" s="53" t="n"/>
      <c r="C181" s="60" t="n"/>
      <c r="D181" s="89" t="n"/>
      <c r="E181" s="88" t="str">
        <f>IF(AND(ISNUMBER(C181),N(C181)&gt;0),3600/C181,"")</f>
        <v/>
      </c>
      <c r="F181" s="58" t="str">
        <f>IF(A181="",IF(COUNTA(B181:D181)=0,"","Référence manquante"),IF(COUNTIF($A$6:A181,A181)&gt;1,"Référence en double",IF(AND(C181&lt;&gt;"",OR(NOT(ISNUMBER(C181)),N(C181)&lt;=0)),"Cadence invalide",IF(AND(D181&lt;&gt;"",OR(NOT(ISNUMBER(D181)),N(D181)&lt;0)),"Coût invalide","OK"))))</f>
        <v/>
      </c>
    </row>
    <row r="182">
      <c r="A182" s="53" t="n"/>
      <c r="B182" s="53" t="n"/>
      <c r="C182" s="60" t="n"/>
      <c r="D182" s="89" t="n"/>
      <c r="E182" s="88" t="str">
        <f>IF(AND(ISNUMBER(C182),N(C182)&gt;0),3600/C182,"")</f>
        <v/>
      </c>
      <c r="F182" s="58" t="str">
        <f>IF(A182="",IF(COUNTA(B182:D182)=0,"","Référence manquante"),IF(COUNTIF($A$6:A182,A182)&gt;1,"Référence en double",IF(AND(C182&lt;&gt;"",OR(NOT(ISNUMBER(C182)),N(C182)&lt;=0)),"Cadence invalide",IF(AND(D182&lt;&gt;"",OR(NOT(ISNUMBER(D182)),N(D182)&lt;0)),"Coût invalide","OK"))))</f>
        <v/>
      </c>
    </row>
    <row r="183">
      <c r="A183" s="53" t="n"/>
      <c r="B183" s="53" t="n"/>
      <c r="C183" s="60" t="n"/>
      <c r="D183" s="89" t="n"/>
      <c r="E183" s="88" t="str">
        <f>IF(AND(ISNUMBER(C183),N(C183)&gt;0),3600/C183,"")</f>
        <v/>
      </c>
      <c r="F183" s="58" t="str">
        <f>IF(A183="",IF(COUNTA(B183:D183)=0,"","Référence manquante"),IF(COUNTIF($A$6:A183,A183)&gt;1,"Référence en double",IF(AND(C183&lt;&gt;"",OR(NOT(ISNUMBER(C183)),N(C183)&lt;=0)),"Cadence invalide",IF(AND(D183&lt;&gt;"",OR(NOT(ISNUMBER(D183)),N(D183)&lt;0)),"Coût invalide","OK"))))</f>
        <v/>
      </c>
    </row>
    <row r="184">
      <c r="A184" s="53" t="n"/>
      <c r="B184" s="53" t="n"/>
      <c r="C184" s="60" t="n"/>
      <c r="D184" s="89" t="n"/>
      <c r="E184" s="88" t="str">
        <f>IF(AND(ISNUMBER(C184),N(C184)&gt;0),3600/C184,"")</f>
        <v/>
      </c>
      <c r="F184" s="58" t="str">
        <f>IF(A184="",IF(COUNTA(B184:D184)=0,"","Référence manquante"),IF(COUNTIF($A$6:A184,A184)&gt;1,"Référence en double",IF(AND(C184&lt;&gt;"",OR(NOT(ISNUMBER(C184)),N(C184)&lt;=0)),"Cadence invalide",IF(AND(D184&lt;&gt;"",OR(NOT(ISNUMBER(D184)),N(D184)&lt;0)),"Coût invalide","OK"))))</f>
        <v/>
      </c>
    </row>
    <row r="185">
      <c r="A185" s="53" t="n"/>
      <c r="B185" s="53" t="n"/>
      <c r="C185" s="60" t="n"/>
      <c r="D185" s="89" t="n"/>
      <c r="E185" s="88" t="str">
        <f>IF(AND(ISNUMBER(C185),N(C185)&gt;0),3600/C185,"")</f>
        <v/>
      </c>
      <c r="F185" s="58" t="str">
        <f>IF(A185="",IF(COUNTA(B185:D185)=0,"","Référence manquante"),IF(COUNTIF($A$6:A185,A185)&gt;1,"Référence en double",IF(AND(C185&lt;&gt;"",OR(NOT(ISNUMBER(C185)),N(C185)&lt;=0)),"Cadence invalide",IF(AND(D185&lt;&gt;"",OR(NOT(ISNUMBER(D185)),N(D185)&lt;0)),"Coût invalide","OK"))))</f>
        <v/>
      </c>
    </row>
    <row r="186">
      <c r="A186" s="53" t="n"/>
      <c r="B186" s="53" t="n"/>
      <c r="C186" s="60" t="n"/>
      <c r="D186" s="89" t="n"/>
      <c r="E186" s="88" t="str">
        <f>IF(AND(ISNUMBER(C186),N(C186)&gt;0),3600/C186,"")</f>
        <v/>
      </c>
      <c r="F186" s="58" t="str">
        <f>IF(A186="",IF(COUNTA(B186:D186)=0,"","Référence manquante"),IF(COUNTIF($A$6:A186,A186)&gt;1,"Référence en double",IF(AND(C186&lt;&gt;"",OR(NOT(ISNUMBER(C186)),N(C186)&lt;=0)),"Cadence invalide",IF(AND(D186&lt;&gt;"",OR(NOT(ISNUMBER(D186)),N(D186)&lt;0)),"Coût invalide","OK"))))</f>
        <v/>
      </c>
    </row>
    <row r="187">
      <c r="A187" s="53" t="n"/>
      <c r="B187" s="53" t="n"/>
      <c r="C187" s="60" t="n"/>
      <c r="D187" s="89" t="n"/>
      <c r="E187" s="88" t="str">
        <f>IF(AND(ISNUMBER(C187),N(C187)&gt;0),3600/C187,"")</f>
        <v/>
      </c>
      <c r="F187" s="58" t="str">
        <f>IF(A187="",IF(COUNTA(B187:D187)=0,"","Référence manquante"),IF(COUNTIF($A$6:A187,A187)&gt;1,"Référence en double",IF(AND(C187&lt;&gt;"",OR(NOT(ISNUMBER(C187)),N(C187)&lt;=0)),"Cadence invalide",IF(AND(D187&lt;&gt;"",OR(NOT(ISNUMBER(D187)),N(D187)&lt;0)),"Coût invalide","OK"))))</f>
        <v/>
      </c>
    </row>
    <row r="188">
      <c r="A188" s="53" t="n"/>
      <c r="B188" s="53" t="n"/>
      <c r="C188" s="60" t="n"/>
      <c r="D188" s="89" t="n"/>
      <c r="E188" s="88" t="str">
        <f>IF(AND(ISNUMBER(C188),N(C188)&gt;0),3600/C188,"")</f>
        <v/>
      </c>
      <c r="F188" s="58" t="str">
        <f>IF(A188="",IF(COUNTA(B188:D188)=0,"","Référence manquante"),IF(COUNTIF($A$6:A188,A188)&gt;1,"Référence en double",IF(AND(C188&lt;&gt;"",OR(NOT(ISNUMBER(C188)),N(C188)&lt;=0)),"Cadence invalide",IF(AND(D188&lt;&gt;"",OR(NOT(ISNUMBER(D188)),N(D188)&lt;0)),"Coût invalide","OK"))))</f>
        <v/>
      </c>
    </row>
    <row r="189">
      <c r="A189" s="53" t="n"/>
      <c r="B189" s="53" t="n"/>
      <c r="C189" s="60" t="n"/>
      <c r="D189" s="89" t="n"/>
      <c r="E189" s="88" t="str">
        <f>IF(AND(ISNUMBER(C189),N(C189)&gt;0),3600/C189,"")</f>
        <v/>
      </c>
      <c r="F189" s="58" t="str">
        <f>IF(A189="",IF(COUNTA(B189:D189)=0,"","Référence manquante"),IF(COUNTIF($A$6:A189,A189)&gt;1,"Référence en double",IF(AND(C189&lt;&gt;"",OR(NOT(ISNUMBER(C189)),N(C189)&lt;=0)),"Cadence invalide",IF(AND(D189&lt;&gt;"",OR(NOT(ISNUMBER(D189)),N(D189)&lt;0)),"Coût invalide","OK"))))</f>
        <v/>
      </c>
    </row>
    <row r="190">
      <c r="A190" s="53" t="n"/>
      <c r="B190" s="53" t="n"/>
      <c r="C190" s="60" t="n"/>
      <c r="D190" s="89" t="n"/>
      <c r="E190" s="88" t="str">
        <f>IF(AND(ISNUMBER(C190),N(C190)&gt;0),3600/C190,"")</f>
        <v/>
      </c>
      <c r="F190" s="58" t="str">
        <f>IF(A190="",IF(COUNTA(B190:D190)=0,"","Référence manquante"),IF(COUNTIF($A$6:A190,A190)&gt;1,"Référence en double",IF(AND(C190&lt;&gt;"",OR(NOT(ISNUMBER(C190)),N(C190)&lt;=0)),"Cadence invalide",IF(AND(D190&lt;&gt;"",OR(NOT(ISNUMBER(D190)),N(D190)&lt;0)),"Coût invalide","OK"))))</f>
        <v/>
      </c>
    </row>
    <row r="191">
      <c r="A191" s="53" t="n"/>
      <c r="B191" s="53" t="n"/>
      <c r="C191" s="60" t="n"/>
      <c r="D191" s="89" t="n"/>
      <c r="E191" s="88" t="str">
        <f>IF(AND(ISNUMBER(C191),N(C191)&gt;0),3600/C191,"")</f>
        <v/>
      </c>
      <c r="F191" s="58" t="str">
        <f>IF(A191="",IF(COUNTA(B191:D191)=0,"","Référence manquante"),IF(COUNTIF($A$6:A191,A191)&gt;1,"Référence en double",IF(AND(C191&lt;&gt;"",OR(NOT(ISNUMBER(C191)),N(C191)&lt;=0)),"Cadence invalide",IF(AND(D191&lt;&gt;"",OR(NOT(ISNUMBER(D191)),N(D191)&lt;0)),"Coût invalide","OK"))))</f>
        <v/>
      </c>
    </row>
    <row r="192">
      <c r="A192" s="53" t="n"/>
      <c r="B192" s="53" t="n"/>
      <c r="C192" s="60" t="n"/>
      <c r="D192" s="89" t="n"/>
      <c r="E192" s="88" t="str">
        <f>IF(AND(ISNUMBER(C192),N(C192)&gt;0),3600/C192,"")</f>
        <v/>
      </c>
      <c r="F192" s="58" t="str">
        <f>IF(A192="",IF(COUNTA(B192:D192)=0,"","Référence manquante"),IF(COUNTIF($A$6:A192,A192)&gt;1,"Référence en double",IF(AND(C192&lt;&gt;"",OR(NOT(ISNUMBER(C192)),N(C192)&lt;=0)),"Cadence invalide",IF(AND(D192&lt;&gt;"",OR(NOT(ISNUMBER(D192)),N(D192)&lt;0)),"Coût invalide","OK"))))</f>
        <v/>
      </c>
    </row>
    <row r="193">
      <c r="A193" s="53" t="n"/>
      <c r="B193" s="53" t="n"/>
      <c r="C193" s="60" t="n"/>
      <c r="D193" s="89" t="n"/>
      <c r="E193" s="88" t="str">
        <f>IF(AND(ISNUMBER(C193),N(C193)&gt;0),3600/C193,"")</f>
        <v/>
      </c>
      <c r="F193" s="58" t="str">
        <f>IF(A193="",IF(COUNTA(B193:D193)=0,"","Référence manquante"),IF(COUNTIF($A$6:A193,A193)&gt;1,"Référence en double",IF(AND(C193&lt;&gt;"",OR(NOT(ISNUMBER(C193)),N(C193)&lt;=0)),"Cadence invalide",IF(AND(D193&lt;&gt;"",OR(NOT(ISNUMBER(D193)),N(D193)&lt;0)),"Coût invalide","OK"))))</f>
        <v/>
      </c>
    </row>
    <row r="194">
      <c r="A194" s="53" t="n"/>
      <c r="B194" s="53" t="n"/>
      <c r="C194" s="60" t="n"/>
      <c r="D194" s="89" t="n"/>
      <c r="E194" s="88" t="str">
        <f>IF(AND(ISNUMBER(C194),N(C194)&gt;0),3600/C194,"")</f>
        <v/>
      </c>
      <c r="F194" s="58" t="str">
        <f>IF(A194="",IF(COUNTA(B194:D194)=0,"","Référence manquante"),IF(COUNTIF($A$6:A194,A194)&gt;1,"Référence en double",IF(AND(C194&lt;&gt;"",OR(NOT(ISNUMBER(C194)),N(C194)&lt;=0)),"Cadence invalide",IF(AND(D194&lt;&gt;"",OR(NOT(ISNUMBER(D194)),N(D194)&lt;0)),"Coût invalide","OK"))))</f>
        <v/>
      </c>
    </row>
    <row r="195">
      <c r="A195" s="53" t="n"/>
      <c r="B195" s="53" t="n"/>
      <c r="C195" s="60" t="n"/>
      <c r="D195" s="89" t="n"/>
      <c r="E195" s="88" t="str">
        <f>IF(AND(ISNUMBER(C195),N(C195)&gt;0),3600/C195,"")</f>
        <v/>
      </c>
      <c r="F195" s="58" t="str">
        <f>IF(A195="",IF(COUNTA(B195:D195)=0,"","Référence manquante"),IF(COUNTIF($A$6:A195,A195)&gt;1,"Référence en double",IF(AND(C195&lt;&gt;"",OR(NOT(ISNUMBER(C195)),N(C195)&lt;=0)),"Cadence invalide",IF(AND(D195&lt;&gt;"",OR(NOT(ISNUMBER(D195)),N(D195)&lt;0)),"Coût invalide","OK"))))</f>
        <v/>
      </c>
    </row>
    <row r="196">
      <c r="A196" s="53" t="n"/>
      <c r="B196" s="53" t="n"/>
      <c r="C196" s="60" t="n"/>
      <c r="D196" s="89" t="n"/>
      <c r="E196" s="88" t="str">
        <f>IF(AND(ISNUMBER(C196),N(C196)&gt;0),3600/C196,"")</f>
        <v/>
      </c>
      <c r="F196" s="58" t="str">
        <f>IF(A196="",IF(COUNTA(B196:D196)=0,"","Référence manquante"),IF(COUNTIF($A$6:A196,A196)&gt;1,"Référence en double",IF(AND(C196&lt;&gt;"",OR(NOT(ISNUMBER(C196)),N(C196)&lt;=0)),"Cadence invalide",IF(AND(D196&lt;&gt;"",OR(NOT(ISNUMBER(D196)),N(D196)&lt;0)),"Coût invalide","OK"))))</f>
        <v/>
      </c>
    </row>
    <row r="197">
      <c r="A197" s="53" t="n"/>
      <c r="B197" s="53" t="n"/>
      <c r="C197" s="60" t="n"/>
      <c r="D197" s="89" t="n"/>
      <c r="E197" s="88" t="str">
        <f>IF(AND(ISNUMBER(C197),N(C197)&gt;0),3600/C197,"")</f>
        <v/>
      </c>
      <c r="F197" s="58" t="str">
        <f>IF(A197="",IF(COUNTA(B197:D197)=0,"","Référence manquante"),IF(COUNTIF($A$6:A197,A197)&gt;1,"Référence en double",IF(AND(C197&lt;&gt;"",OR(NOT(ISNUMBER(C197)),N(C197)&lt;=0)),"Cadence invalide",IF(AND(D197&lt;&gt;"",OR(NOT(ISNUMBER(D197)),N(D197)&lt;0)),"Coût invalide","OK"))))</f>
        <v/>
      </c>
    </row>
    <row r="198">
      <c r="A198" s="53" t="n"/>
      <c r="B198" s="53" t="n"/>
      <c r="C198" s="60" t="n"/>
      <c r="D198" s="89" t="n"/>
      <c r="E198" s="88" t="str">
        <f>IF(AND(ISNUMBER(C198),N(C198)&gt;0),3600/C198,"")</f>
        <v/>
      </c>
      <c r="F198" s="58" t="str">
        <f>IF(A198="",IF(COUNTA(B198:D198)=0,"","Référence manquante"),IF(COUNTIF($A$6:A198,A198)&gt;1,"Référence en double",IF(AND(C198&lt;&gt;"",OR(NOT(ISNUMBER(C198)),N(C198)&lt;=0)),"Cadence invalide",IF(AND(D198&lt;&gt;"",OR(NOT(ISNUMBER(D198)),N(D198)&lt;0)),"Coût invalide","OK"))))</f>
        <v/>
      </c>
    </row>
    <row r="199">
      <c r="A199" s="53" t="n"/>
      <c r="B199" s="53" t="n"/>
      <c r="C199" s="60" t="n"/>
      <c r="D199" s="89" t="n"/>
      <c r="E199" s="88" t="str">
        <f>IF(AND(ISNUMBER(C199),N(C199)&gt;0),3600/C199,"")</f>
        <v/>
      </c>
      <c r="F199" s="58" t="str">
        <f>IF(A199="",IF(COUNTA(B199:D199)=0,"","Référence manquante"),IF(COUNTIF($A$6:A199,A199)&gt;1,"Référence en double",IF(AND(C199&lt;&gt;"",OR(NOT(ISNUMBER(C199)),N(C199)&lt;=0)),"Cadence invalide",IF(AND(D199&lt;&gt;"",OR(NOT(ISNUMBER(D199)),N(D199)&lt;0)),"Coût invalide","OK"))))</f>
        <v/>
      </c>
    </row>
    <row r="200">
      <c r="A200" s="53" t="n"/>
      <c r="B200" s="53" t="n"/>
      <c r="C200" s="60" t="n"/>
      <c r="D200" s="89" t="n"/>
      <c r="E200" s="88" t="str">
        <f>IF(AND(ISNUMBER(C200),N(C200)&gt;0),3600/C200,"")</f>
        <v/>
      </c>
      <c r="F200" s="58" t="str">
        <f>IF(A200="",IF(COUNTA(B200:D200)=0,"","Référence manquante"),IF(COUNTIF($A$6:A200,A200)&gt;1,"Référence en double",IF(AND(C200&lt;&gt;"",OR(NOT(ISNUMBER(C200)),N(C200)&lt;=0)),"Cadence invalide",IF(AND(D200&lt;&gt;"",OR(NOT(ISNUMBER(D200)),N(D200)&lt;0)),"Coût invalide","OK"))))</f>
        <v/>
      </c>
    </row>
    <row r="201">
      <c r="A201" s="53" t="n"/>
      <c r="B201" s="53" t="n"/>
      <c r="C201" s="60" t="n"/>
      <c r="D201" s="89" t="n"/>
      <c r="E201" s="88" t="str">
        <f>IF(AND(ISNUMBER(C201),N(C201)&gt;0),3600/C201,"")</f>
        <v/>
      </c>
      <c r="F201" s="58" t="str">
        <f>IF(A201="",IF(COUNTA(B201:D201)=0,"","Référence manquante"),IF(COUNTIF($A$6:A201,A201)&gt;1,"Référence en double",IF(AND(C201&lt;&gt;"",OR(NOT(ISNUMBER(C201)),N(C201)&lt;=0)),"Cadence invalide",IF(AND(D201&lt;&gt;"",OR(NOT(ISNUMBER(D201)),N(D201)&lt;0)),"Coût invalide","OK"))))</f>
        <v/>
      </c>
    </row>
    <row r="202">
      <c r="A202" s="53" t="n"/>
      <c r="B202" s="53" t="n"/>
      <c r="C202" s="60" t="n"/>
      <c r="D202" s="89" t="n"/>
      <c r="E202" s="88" t="str">
        <f>IF(AND(ISNUMBER(C202),N(C202)&gt;0),3600/C202,"")</f>
        <v/>
      </c>
      <c r="F202" s="58" t="str">
        <f>IF(A202="",IF(COUNTA(B202:D202)=0,"","Référence manquante"),IF(COUNTIF($A$6:A202,A202)&gt;1,"Référence en double",IF(AND(C202&lt;&gt;"",OR(NOT(ISNUMBER(C202)),N(C202)&lt;=0)),"Cadence invalide",IF(AND(D202&lt;&gt;"",OR(NOT(ISNUMBER(D202)),N(D202)&lt;0)),"Coût invalide","OK"))))</f>
        <v/>
      </c>
    </row>
    <row r="203">
      <c r="A203" s="53" t="n"/>
      <c r="B203" s="53" t="n"/>
      <c r="C203" s="60" t="n"/>
      <c r="D203" s="89" t="n"/>
      <c r="E203" s="88" t="str">
        <f>IF(AND(ISNUMBER(C203),N(C203)&gt;0),3600/C203,"")</f>
        <v/>
      </c>
      <c r="F203" s="58" t="str">
        <f>IF(A203="",IF(COUNTA(B203:D203)=0,"","Référence manquante"),IF(COUNTIF($A$6:A203,A203)&gt;1,"Référence en double",IF(AND(C203&lt;&gt;"",OR(NOT(ISNUMBER(C203)),N(C203)&lt;=0)),"Cadence invalide",IF(AND(D203&lt;&gt;"",OR(NOT(ISNUMBER(D203)),N(D203)&lt;0)),"Coût invalide","OK"))))</f>
        <v/>
      </c>
    </row>
    <row r="204">
      <c r="A204" s="53" t="n"/>
      <c r="B204" s="53" t="n"/>
      <c r="C204" s="60" t="n"/>
      <c r="D204" s="89" t="n"/>
      <c r="E204" s="88" t="str">
        <f>IF(AND(ISNUMBER(C204),N(C204)&gt;0),3600/C204,"")</f>
        <v/>
      </c>
      <c r="F204" s="58" t="str">
        <f>IF(A204="",IF(COUNTA(B204:D204)=0,"","Référence manquante"),IF(COUNTIF($A$6:A204,A204)&gt;1,"Référence en double",IF(AND(C204&lt;&gt;"",OR(NOT(ISNUMBER(C204)),N(C204)&lt;=0)),"Cadence invalide",IF(AND(D204&lt;&gt;"",OR(NOT(ISNUMBER(D204)),N(D204)&lt;0)),"Coût invalide","OK"))))</f>
        <v/>
      </c>
    </row>
    <row r="205">
      <c r="A205" s="53" t="n"/>
      <c r="B205" s="53" t="n"/>
      <c r="C205" s="60" t="n"/>
      <c r="D205" s="89" t="n"/>
      <c r="E205" s="88" t="str">
        <f>IF(AND(ISNUMBER(C205),N(C205)&gt;0),3600/C205,"")</f>
        <v/>
      </c>
      <c r="F205" s="58" t="str">
        <f>IF(A205="",IF(COUNTA(B205:D205)=0,"","Référence manquante"),IF(COUNTIF($A$6:A205,A205)&gt;1,"Référence en double",IF(AND(C205&lt;&gt;"",OR(NOT(ISNUMBER(C205)),N(C205)&lt;=0)),"Cadence invalide",IF(AND(D205&lt;&gt;"",OR(NOT(ISNUMBER(D205)),N(D205)&lt;0)),"Coût invalide","OK"))))</f>
        <v/>
      </c>
    </row>
    <row r="206">
      <c r="A206" s="53" t="n"/>
      <c r="B206" s="53" t="n"/>
      <c r="C206" s="60" t="n"/>
      <c r="D206" s="89" t="n"/>
      <c r="E206" s="88" t="str">
        <f>IF(AND(ISNUMBER(C206),N(C206)&gt;0),3600/C206,"")</f>
        <v/>
      </c>
      <c r="F206" s="58" t="str">
        <f>IF(A206="",IF(COUNTA(B206:D206)=0,"","Référence manquante"),IF(COUNTIF($A$6:A206,A206)&gt;1,"Référence en double",IF(AND(C206&lt;&gt;"",OR(NOT(ISNUMBER(C206)),N(C206)&lt;=0)),"Cadence invalide",IF(AND(D206&lt;&gt;"",OR(NOT(ISNUMBER(D206)),N(D206)&lt;0)),"Coût invalide","OK"))))</f>
        <v/>
      </c>
    </row>
    <row r="207">
      <c r="A207" s="53" t="n"/>
      <c r="B207" s="53" t="n"/>
      <c r="C207" s="60" t="n"/>
      <c r="D207" s="89" t="n"/>
      <c r="E207" s="88" t="str">
        <f>IF(AND(ISNUMBER(C207),N(C207)&gt;0),3600/C207,"")</f>
        <v/>
      </c>
      <c r="F207" s="58" t="str">
        <f>IF(A207="",IF(COUNTA(B207:D207)=0,"","Référence manquante"),IF(COUNTIF($A$6:A207,A207)&gt;1,"Référence en double",IF(AND(C207&lt;&gt;"",OR(NOT(ISNUMBER(C207)),N(C207)&lt;=0)),"Cadence invalide",IF(AND(D207&lt;&gt;"",OR(NOT(ISNUMBER(D207)),N(D207)&lt;0)),"Coût invalide","OK"))))</f>
        <v/>
      </c>
    </row>
    <row r="208">
      <c r="A208" s="53" t="n"/>
      <c r="B208" s="53" t="n"/>
      <c r="C208" s="60" t="n"/>
      <c r="D208" s="89" t="n"/>
      <c r="E208" s="88" t="str">
        <f>IF(AND(ISNUMBER(C208),N(C208)&gt;0),3600/C208,"")</f>
        <v/>
      </c>
      <c r="F208" s="58" t="str">
        <f>IF(A208="",IF(COUNTA(B208:D208)=0,"","Référence manquante"),IF(COUNTIF($A$6:A208,A208)&gt;1,"Référence en double",IF(AND(C208&lt;&gt;"",OR(NOT(ISNUMBER(C208)),N(C208)&lt;=0)),"Cadence invalide",IF(AND(D208&lt;&gt;"",OR(NOT(ISNUMBER(D208)),N(D208)&lt;0)),"Coût invalide","OK"))))</f>
        <v/>
      </c>
    </row>
    <row r="209">
      <c r="A209" s="53" t="n"/>
      <c r="B209" s="53" t="n"/>
      <c r="C209" s="60" t="n"/>
      <c r="D209" s="89" t="n"/>
      <c r="E209" s="88" t="str">
        <f>IF(AND(ISNUMBER(C209),N(C209)&gt;0),3600/C209,"")</f>
        <v/>
      </c>
      <c r="F209" s="58" t="str">
        <f>IF(A209="",IF(COUNTA(B209:D209)=0,"","Référence manquante"),IF(COUNTIF($A$6:A209,A209)&gt;1,"Référence en double",IF(AND(C209&lt;&gt;"",OR(NOT(ISNUMBER(C209)),N(C209)&lt;=0)),"Cadence invalide",IF(AND(D209&lt;&gt;"",OR(NOT(ISNUMBER(D209)),N(D209)&lt;0)),"Coût invalide","OK"))))</f>
        <v/>
      </c>
    </row>
    <row r="210">
      <c r="A210" s="53" t="n"/>
      <c r="B210" s="53" t="n"/>
      <c r="C210" s="60" t="n"/>
      <c r="D210" s="89" t="n"/>
      <c r="E210" s="88" t="str">
        <f>IF(AND(ISNUMBER(C210),N(C210)&gt;0),3600/C210,"")</f>
        <v/>
      </c>
      <c r="F210" s="58" t="str">
        <f>IF(A210="",IF(COUNTA(B210:D210)=0,"","Référence manquante"),IF(COUNTIF($A$6:A210,A210)&gt;1,"Référence en double",IF(AND(C210&lt;&gt;"",OR(NOT(ISNUMBER(C210)),N(C210)&lt;=0)),"Cadence invalide",IF(AND(D210&lt;&gt;"",OR(NOT(ISNUMBER(D210)),N(D210)&lt;0)),"Coût invalide","OK"))))</f>
        <v/>
      </c>
    </row>
    <row r="211">
      <c r="A211" s="53" t="n"/>
      <c r="B211" s="53" t="n"/>
      <c r="C211" s="60" t="n"/>
      <c r="D211" s="89" t="n"/>
      <c r="E211" s="88" t="str">
        <f>IF(AND(ISNUMBER(C211),N(C211)&gt;0),3600/C211,"")</f>
        <v/>
      </c>
      <c r="F211" s="58" t="str">
        <f>IF(A211="",IF(COUNTA(B211:D211)=0,"","Référence manquante"),IF(COUNTIF($A$6:A211,A211)&gt;1,"Référence en double",IF(AND(C211&lt;&gt;"",OR(NOT(ISNUMBER(C211)),N(C211)&lt;=0)),"Cadence invalide",IF(AND(D211&lt;&gt;"",OR(NOT(ISNUMBER(D211)),N(D211)&lt;0)),"Coût invalide","OK"))))</f>
        <v/>
      </c>
    </row>
    <row r="212">
      <c r="A212" s="53" t="n"/>
      <c r="B212" s="53" t="n"/>
      <c r="C212" s="60" t="n"/>
      <c r="D212" s="89" t="n"/>
      <c r="E212" s="88" t="str">
        <f>IF(AND(ISNUMBER(C212),N(C212)&gt;0),3600/C212,"")</f>
        <v/>
      </c>
      <c r="F212" s="58" t="str">
        <f>IF(A212="",IF(COUNTA(B212:D212)=0,"","Référence manquante"),IF(COUNTIF($A$6:A212,A212)&gt;1,"Référence en double",IF(AND(C212&lt;&gt;"",OR(NOT(ISNUMBER(C212)),N(C212)&lt;=0)),"Cadence invalide",IF(AND(D212&lt;&gt;"",OR(NOT(ISNUMBER(D212)),N(D212)&lt;0)),"Coût invalide","OK"))))</f>
        <v/>
      </c>
    </row>
    <row r="213">
      <c r="A213" s="53" t="n"/>
      <c r="B213" s="53" t="n"/>
      <c r="C213" s="60" t="n"/>
      <c r="D213" s="89" t="n"/>
      <c r="E213" s="88" t="str">
        <f>IF(AND(ISNUMBER(C213),N(C213)&gt;0),3600/C213,"")</f>
        <v/>
      </c>
      <c r="F213" s="58" t="str">
        <f>IF(A213="",IF(COUNTA(B213:D213)=0,"","Référence manquante"),IF(COUNTIF($A$6:A213,A213)&gt;1,"Référence en double",IF(AND(C213&lt;&gt;"",OR(NOT(ISNUMBER(C213)),N(C213)&lt;=0)),"Cadence invalide",IF(AND(D213&lt;&gt;"",OR(NOT(ISNUMBER(D213)),N(D213)&lt;0)),"Coût invalide","OK"))))</f>
        <v/>
      </c>
    </row>
    <row r="214">
      <c r="A214" s="53" t="n"/>
      <c r="B214" s="53" t="n"/>
      <c r="C214" s="60" t="n"/>
      <c r="D214" s="89" t="n"/>
      <c r="E214" s="88" t="str">
        <f>IF(AND(ISNUMBER(C214),N(C214)&gt;0),3600/C214,"")</f>
        <v/>
      </c>
      <c r="F214" s="58" t="str">
        <f>IF(A214="",IF(COUNTA(B214:D214)=0,"","Référence manquante"),IF(COUNTIF($A$6:A214,A214)&gt;1,"Référence en double",IF(AND(C214&lt;&gt;"",OR(NOT(ISNUMBER(C214)),N(C214)&lt;=0)),"Cadence invalide",IF(AND(D214&lt;&gt;"",OR(NOT(ISNUMBER(D214)),N(D214)&lt;0)),"Coût invalide","OK"))))</f>
        <v/>
      </c>
    </row>
    <row r="215">
      <c r="A215" s="53" t="n"/>
      <c r="B215" s="53" t="n"/>
      <c r="C215" s="60" t="n"/>
      <c r="D215" s="89" t="n"/>
      <c r="E215" s="88" t="str">
        <f>IF(AND(ISNUMBER(C215),N(C215)&gt;0),3600/C215,"")</f>
        <v/>
      </c>
      <c r="F215" s="58" t="str">
        <f>IF(A215="",IF(COUNTA(B215:D215)=0,"","Référence manquante"),IF(COUNTIF($A$6:A215,A215)&gt;1,"Référence en double",IF(AND(C215&lt;&gt;"",OR(NOT(ISNUMBER(C215)),N(C215)&lt;=0)),"Cadence invalide",IF(AND(D215&lt;&gt;"",OR(NOT(ISNUMBER(D215)),N(D215)&lt;0)),"Coût invalide","OK"))))</f>
        <v/>
      </c>
    </row>
    <row r="216">
      <c r="A216" s="53" t="n"/>
      <c r="B216" s="53" t="n"/>
      <c r="C216" s="60" t="n"/>
      <c r="D216" s="89" t="n"/>
      <c r="E216" s="88" t="str">
        <f>IF(AND(ISNUMBER(C216),N(C216)&gt;0),3600/C216,"")</f>
        <v/>
      </c>
      <c r="F216" s="58" t="str">
        <f>IF(A216="",IF(COUNTA(B216:D216)=0,"","Référence manquante"),IF(COUNTIF($A$6:A216,A216)&gt;1,"Référence en double",IF(AND(C216&lt;&gt;"",OR(NOT(ISNUMBER(C216)),N(C216)&lt;=0)),"Cadence invalide",IF(AND(D216&lt;&gt;"",OR(NOT(ISNUMBER(D216)),N(D216)&lt;0)),"Coût invalide","OK"))))</f>
        <v/>
      </c>
    </row>
    <row r="217">
      <c r="A217" s="53" t="n"/>
      <c r="B217" s="53" t="n"/>
      <c r="C217" s="60" t="n"/>
      <c r="D217" s="89" t="n"/>
      <c r="E217" s="88" t="str">
        <f>IF(AND(ISNUMBER(C217),N(C217)&gt;0),3600/C217,"")</f>
        <v/>
      </c>
      <c r="F217" s="58" t="str">
        <f>IF(A217="",IF(COUNTA(B217:D217)=0,"","Référence manquante"),IF(COUNTIF($A$6:A217,A217)&gt;1,"Référence en double",IF(AND(C217&lt;&gt;"",OR(NOT(ISNUMBER(C217)),N(C217)&lt;=0)),"Cadence invalide",IF(AND(D217&lt;&gt;"",OR(NOT(ISNUMBER(D217)),N(D217)&lt;0)),"Coût invalide","OK"))))</f>
        <v/>
      </c>
    </row>
    <row r="218">
      <c r="A218" s="53" t="n"/>
      <c r="B218" s="53" t="n"/>
      <c r="C218" s="60" t="n"/>
      <c r="D218" s="89" t="n"/>
      <c r="E218" s="88" t="str">
        <f>IF(AND(ISNUMBER(C218),N(C218)&gt;0),3600/C218,"")</f>
        <v/>
      </c>
      <c r="F218" s="58" t="str">
        <f>IF(A218="",IF(COUNTA(B218:D218)=0,"","Référence manquante"),IF(COUNTIF($A$6:A218,A218)&gt;1,"Référence en double",IF(AND(C218&lt;&gt;"",OR(NOT(ISNUMBER(C218)),N(C218)&lt;=0)),"Cadence invalide",IF(AND(D218&lt;&gt;"",OR(NOT(ISNUMBER(D218)),N(D218)&lt;0)),"Coût invalide","OK"))))</f>
        <v/>
      </c>
    </row>
    <row r="219">
      <c r="A219" s="53" t="n"/>
      <c r="B219" s="53" t="n"/>
      <c r="C219" s="60" t="n"/>
      <c r="D219" s="89" t="n"/>
      <c r="E219" s="88" t="str">
        <f>IF(AND(ISNUMBER(C219),N(C219)&gt;0),3600/C219,"")</f>
        <v/>
      </c>
      <c r="F219" s="58" t="str">
        <f>IF(A219="",IF(COUNTA(B219:D219)=0,"","Référence manquante"),IF(COUNTIF($A$6:A219,A219)&gt;1,"Référence en double",IF(AND(C219&lt;&gt;"",OR(NOT(ISNUMBER(C219)),N(C219)&lt;=0)),"Cadence invalide",IF(AND(D219&lt;&gt;"",OR(NOT(ISNUMBER(D219)),N(D219)&lt;0)),"Coût invalide","OK"))))</f>
        <v/>
      </c>
    </row>
    <row r="220">
      <c r="A220" s="53" t="n"/>
      <c r="B220" s="53" t="n"/>
      <c r="C220" s="60" t="n"/>
      <c r="D220" s="89" t="n"/>
      <c r="E220" s="88" t="str">
        <f>IF(AND(ISNUMBER(C220),N(C220)&gt;0),3600/C220,"")</f>
        <v/>
      </c>
      <c r="F220" s="58" t="str">
        <f>IF(A220="",IF(COUNTA(B220:D220)=0,"","Référence manquante"),IF(COUNTIF($A$6:A220,A220)&gt;1,"Référence en double",IF(AND(C220&lt;&gt;"",OR(NOT(ISNUMBER(C220)),N(C220)&lt;=0)),"Cadence invalide",IF(AND(D220&lt;&gt;"",OR(NOT(ISNUMBER(D220)),N(D220)&lt;0)),"Coût invalide","OK"))))</f>
        <v/>
      </c>
    </row>
    <row r="221">
      <c r="A221" s="53" t="n"/>
      <c r="B221" s="53" t="n"/>
      <c r="C221" s="60" t="n"/>
      <c r="D221" s="89" t="n"/>
      <c r="E221" s="88" t="str">
        <f>IF(AND(ISNUMBER(C221),N(C221)&gt;0),3600/C221,"")</f>
        <v/>
      </c>
      <c r="F221" s="58" t="str">
        <f>IF(A221="",IF(COUNTA(B221:D221)=0,"","Référence manquante"),IF(COUNTIF($A$6:A221,A221)&gt;1,"Référence en double",IF(AND(C221&lt;&gt;"",OR(NOT(ISNUMBER(C221)),N(C221)&lt;=0)),"Cadence invalide",IF(AND(D221&lt;&gt;"",OR(NOT(ISNUMBER(D221)),N(D221)&lt;0)),"Coût invalide","OK"))))</f>
        <v/>
      </c>
    </row>
    <row r="222">
      <c r="A222" s="53" t="n"/>
      <c r="B222" s="53" t="n"/>
      <c r="C222" s="60" t="n"/>
      <c r="D222" s="89" t="n"/>
      <c r="E222" s="88" t="str">
        <f>IF(AND(ISNUMBER(C222),N(C222)&gt;0),3600/C222,"")</f>
        <v/>
      </c>
      <c r="F222" s="58" t="str">
        <f>IF(A222="",IF(COUNTA(B222:D222)=0,"","Référence manquante"),IF(COUNTIF($A$6:A222,A222)&gt;1,"Référence en double",IF(AND(C222&lt;&gt;"",OR(NOT(ISNUMBER(C222)),N(C222)&lt;=0)),"Cadence invalide",IF(AND(D222&lt;&gt;"",OR(NOT(ISNUMBER(D222)),N(D222)&lt;0)),"Coût invalide","OK"))))</f>
        <v/>
      </c>
    </row>
    <row r="223">
      <c r="A223" s="53" t="n"/>
      <c r="B223" s="53" t="n"/>
      <c r="C223" s="60" t="n"/>
      <c r="D223" s="89" t="n"/>
      <c r="E223" s="88" t="str">
        <f>IF(AND(ISNUMBER(C223),N(C223)&gt;0),3600/C223,"")</f>
        <v/>
      </c>
      <c r="F223" s="58" t="str">
        <f>IF(A223="",IF(COUNTA(B223:D223)=0,"","Référence manquante"),IF(COUNTIF($A$6:A223,A223)&gt;1,"Référence en double",IF(AND(C223&lt;&gt;"",OR(NOT(ISNUMBER(C223)),N(C223)&lt;=0)),"Cadence invalide",IF(AND(D223&lt;&gt;"",OR(NOT(ISNUMBER(D223)),N(D223)&lt;0)),"Coût invalide","OK"))))</f>
        <v/>
      </c>
    </row>
    <row r="224">
      <c r="A224" s="53" t="n"/>
      <c r="B224" s="53" t="n"/>
      <c r="C224" s="60" t="n"/>
      <c r="D224" s="89" t="n"/>
      <c r="E224" s="88" t="str">
        <f>IF(AND(ISNUMBER(C224),N(C224)&gt;0),3600/C224,"")</f>
        <v/>
      </c>
      <c r="F224" s="58" t="str">
        <f>IF(A224="",IF(COUNTA(B224:D224)=0,"","Référence manquante"),IF(COUNTIF($A$6:A224,A224)&gt;1,"Référence en double",IF(AND(C224&lt;&gt;"",OR(NOT(ISNUMBER(C224)),N(C224)&lt;=0)),"Cadence invalide",IF(AND(D224&lt;&gt;"",OR(NOT(ISNUMBER(D224)),N(D224)&lt;0)),"Coût invalide","OK"))))</f>
        <v/>
      </c>
    </row>
    <row r="225">
      <c r="A225" s="53" t="n"/>
      <c r="B225" s="53" t="n"/>
      <c r="C225" s="60" t="n"/>
      <c r="D225" s="89" t="n"/>
      <c r="E225" s="88" t="str">
        <f>IF(AND(ISNUMBER(C225),N(C225)&gt;0),3600/C225,"")</f>
        <v/>
      </c>
      <c r="F225" s="58" t="str">
        <f>IF(A225="",IF(COUNTA(B225:D225)=0,"","Référence manquante"),IF(COUNTIF($A$6:A225,A225)&gt;1,"Référence en double",IF(AND(C225&lt;&gt;"",OR(NOT(ISNUMBER(C225)),N(C225)&lt;=0)),"Cadence invalide",IF(AND(D225&lt;&gt;"",OR(NOT(ISNUMBER(D225)),N(D225)&lt;0)),"Coût invalide","OK"))))</f>
        <v/>
      </c>
    </row>
    <row r="226">
      <c r="A226" s="53" t="n"/>
      <c r="B226" s="53" t="n"/>
      <c r="C226" s="60" t="n"/>
      <c r="D226" s="89" t="n"/>
      <c r="E226" s="88" t="str">
        <f>IF(AND(ISNUMBER(C226),N(C226)&gt;0),3600/C226,"")</f>
        <v/>
      </c>
      <c r="F226" s="58" t="str">
        <f>IF(A226="",IF(COUNTA(B226:D226)=0,"","Référence manquante"),IF(COUNTIF($A$6:A226,A226)&gt;1,"Référence en double",IF(AND(C226&lt;&gt;"",OR(NOT(ISNUMBER(C226)),N(C226)&lt;=0)),"Cadence invalide",IF(AND(D226&lt;&gt;"",OR(NOT(ISNUMBER(D226)),N(D226)&lt;0)),"Coût invalide","OK"))))</f>
        <v/>
      </c>
    </row>
    <row r="227">
      <c r="A227" s="53" t="n"/>
      <c r="B227" s="53" t="n"/>
      <c r="C227" s="60" t="n"/>
      <c r="D227" s="89" t="n"/>
      <c r="E227" s="88" t="str">
        <f>IF(AND(ISNUMBER(C227),N(C227)&gt;0),3600/C227,"")</f>
        <v/>
      </c>
      <c r="F227" s="58" t="str">
        <f>IF(A227="",IF(COUNTA(B227:D227)=0,"","Référence manquante"),IF(COUNTIF($A$6:A227,A227)&gt;1,"Référence en double",IF(AND(C227&lt;&gt;"",OR(NOT(ISNUMBER(C227)),N(C227)&lt;=0)),"Cadence invalide",IF(AND(D227&lt;&gt;"",OR(NOT(ISNUMBER(D227)),N(D227)&lt;0)),"Coût invalide","OK"))))</f>
        <v/>
      </c>
    </row>
    <row r="228">
      <c r="A228" s="53" t="n"/>
      <c r="B228" s="53" t="n"/>
      <c r="C228" s="60" t="n"/>
      <c r="D228" s="89" t="n"/>
      <c r="E228" s="88" t="str">
        <f>IF(AND(ISNUMBER(C228),N(C228)&gt;0),3600/C228,"")</f>
        <v/>
      </c>
      <c r="F228" s="58" t="str">
        <f>IF(A228="",IF(COUNTA(B228:D228)=0,"","Référence manquante"),IF(COUNTIF($A$6:A228,A228)&gt;1,"Référence en double",IF(AND(C228&lt;&gt;"",OR(NOT(ISNUMBER(C228)),N(C228)&lt;=0)),"Cadence invalide",IF(AND(D228&lt;&gt;"",OR(NOT(ISNUMBER(D228)),N(D228)&lt;0)),"Coût invalide","OK"))))</f>
        <v/>
      </c>
    </row>
    <row r="229">
      <c r="A229" s="53" t="n"/>
      <c r="B229" s="53" t="n"/>
      <c r="C229" s="60" t="n"/>
      <c r="D229" s="89" t="n"/>
      <c r="E229" s="88" t="str">
        <f>IF(AND(ISNUMBER(C229),N(C229)&gt;0),3600/C229,"")</f>
        <v/>
      </c>
      <c r="F229" s="58" t="str">
        <f>IF(A229="",IF(COUNTA(B229:D229)=0,"","Référence manquante"),IF(COUNTIF($A$6:A229,A229)&gt;1,"Référence en double",IF(AND(C229&lt;&gt;"",OR(NOT(ISNUMBER(C229)),N(C229)&lt;=0)),"Cadence invalide",IF(AND(D229&lt;&gt;"",OR(NOT(ISNUMBER(D229)),N(D229)&lt;0)),"Coût invalide","OK"))))</f>
        <v/>
      </c>
    </row>
    <row r="230">
      <c r="A230" s="53" t="n"/>
      <c r="B230" s="53" t="n"/>
      <c r="C230" s="60" t="n"/>
      <c r="D230" s="89" t="n"/>
      <c r="E230" s="88" t="str">
        <f>IF(AND(ISNUMBER(C230),N(C230)&gt;0),3600/C230,"")</f>
        <v/>
      </c>
      <c r="F230" s="58" t="str">
        <f>IF(A230="",IF(COUNTA(B230:D230)=0,"","Référence manquante"),IF(COUNTIF($A$6:A230,A230)&gt;1,"Référence en double",IF(AND(C230&lt;&gt;"",OR(NOT(ISNUMBER(C230)),N(C230)&lt;=0)),"Cadence invalide",IF(AND(D230&lt;&gt;"",OR(NOT(ISNUMBER(D230)),N(D230)&lt;0)),"Coût invalide","OK"))))</f>
        <v/>
      </c>
    </row>
    <row r="231">
      <c r="A231" s="53" t="n"/>
      <c r="B231" s="53" t="n"/>
      <c r="C231" s="60" t="n"/>
      <c r="D231" s="89" t="n"/>
      <c r="E231" s="88" t="str">
        <f>IF(AND(ISNUMBER(C231),N(C231)&gt;0),3600/C231,"")</f>
        <v/>
      </c>
      <c r="F231" s="58" t="str">
        <f>IF(A231="",IF(COUNTA(B231:D231)=0,"","Référence manquante"),IF(COUNTIF($A$6:A231,A231)&gt;1,"Référence en double",IF(AND(C231&lt;&gt;"",OR(NOT(ISNUMBER(C231)),N(C231)&lt;=0)),"Cadence invalide",IF(AND(D231&lt;&gt;"",OR(NOT(ISNUMBER(D231)),N(D231)&lt;0)),"Coût invalide","OK"))))</f>
        <v/>
      </c>
    </row>
    <row r="232">
      <c r="A232" s="53" t="n"/>
      <c r="B232" s="53" t="n"/>
      <c r="C232" s="60" t="n"/>
      <c r="D232" s="89" t="n"/>
      <c r="E232" s="88" t="str">
        <f>IF(AND(ISNUMBER(C232),N(C232)&gt;0),3600/C232,"")</f>
        <v/>
      </c>
      <c r="F232" s="58" t="str">
        <f>IF(A232="",IF(COUNTA(B232:D232)=0,"","Référence manquante"),IF(COUNTIF($A$6:A232,A232)&gt;1,"Référence en double",IF(AND(C232&lt;&gt;"",OR(NOT(ISNUMBER(C232)),N(C232)&lt;=0)),"Cadence invalide",IF(AND(D232&lt;&gt;"",OR(NOT(ISNUMBER(D232)),N(D232)&lt;0)),"Coût invalide","OK"))))</f>
        <v/>
      </c>
    </row>
    <row r="233">
      <c r="A233" s="53" t="n"/>
      <c r="B233" s="53" t="n"/>
      <c r="C233" s="60" t="n"/>
      <c r="D233" s="89" t="n"/>
      <c r="E233" s="88" t="str">
        <f>IF(AND(ISNUMBER(C233),N(C233)&gt;0),3600/C233,"")</f>
        <v/>
      </c>
      <c r="F233" s="58" t="str">
        <f>IF(A233="",IF(COUNTA(B233:D233)=0,"","Référence manquante"),IF(COUNTIF($A$6:A233,A233)&gt;1,"Référence en double",IF(AND(C233&lt;&gt;"",OR(NOT(ISNUMBER(C233)),N(C233)&lt;=0)),"Cadence invalide",IF(AND(D233&lt;&gt;"",OR(NOT(ISNUMBER(D233)),N(D233)&lt;0)),"Coût invalide","OK"))))</f>
        <v/>
      </c>
    </row>
    <row r="234">
      <c r="A234" s="53" t="n"/>
      <c r="B234" s="53" t="n"/>
      <c r="C234" s="60" t="n"/>
      <c r="D234" s="89" t="n"/>
      <c r="E234" s="88" t="str">
        <f>IF(AND(ISNUMBER(C234),N(C234)&gt;0),3600/C234,"")</f>
        <v/>
      </c>
      <c r="F234" s="58" t="str">
        <f>IF(A234="",IF(COUNTA(B234:D234)=0,"","Référence manquante"),IF(COUNTIF($A$6:A234,A234)&gt;1,"Référence en double",IF(AND(C234&lt;&gt;"",OR(NOT(ISNUMBER(C234)),N(C234)&lt;=0)),"Cadence invalide",IF(AND(D234&lt;&gt;"",OR(NOT(ISNUMBER(D234)),N(D234)&lt;0)),"Coût invalide","OK"))))</f>
        <v/>
      </c>
    </row>
    <row r="235">
      <c r="A235" s="53" t="n"/>
      <c r="B235" s="53" t="n"/>
      <c r="C235" s="60" t="n"/>
      <c r="D235" s="89" t="n"/>
      <c r="E235" s="88" t="str">
        <f>IF(AND(ISNUMBER(C235),N(C235)&gt;0),3600/C235,"")</f>
        <v/>
      </c>
      <c r="F235" s="58" t="str">
        <f>IF(A235="",IF(COUNTA(B235:D235)=0,"","Référence manquante"),IF(COUNTIF($A$6:A235,A235)&gt;1,"Référence en double",IF(AND(C235&lt;&gt;"",OR(NOT(ISNUMBER(C235)),N(C235)&lt;=0)),"Cadence invalide",IF(AND(D235&lt;&gt;"",OR(NOT(ISNUMBER(D235)),N(D235)&lt;0)),"Coût invalide","OK"))))</f>
        <v/>
      </c>
    </row>
    <row r="236">
      <c r="A236" s="53" t="n"/>
      <c r="B236" s="53" t="n"/>
      <c r="C236" s="60" t="n"/>
      <c r="D236" s="89" t="n"/>
      <c r="E236" s="88" t="str">
        <f>IF(AND(ISNUMBER(C236),N(C236)&gt;0),3600/C236,"")</f>
        <v/>
      </c>
      <c r="F236" s="58" t="str">
        <f>IF(A236="",IF(COUNTA(B236:D236)=0,"","Référence manquante"),IF(COUNTIF($A$6:A236,A236)&gt;1,"Référence en double",IF(AND(C236&lt;&gt;"",OR(NOT(ISNUMBER(C236)),N(C236)&lt;=0)),"Cadence invalide",IF(AND(D236&lt;&gt;"",OR(NOT(ISNUMBER(D236)),N(D236)&lt;0)),"Coût invalide","OK"))))</f>
        <v/>
      </c>
    </row>
    <row r="237">
      <c r="A237" s="53" t="n"/>
      <c r="B237" s="53" t="n"/>
      <c r="C237" s="60" t="n"/>
      <c r="D237" s="89" t="n"/>
      <c r="E237" s="88" t="str">
        <f>IF(AND(ISNUMBER(C237),N(C237)&gt;0),3600/C237,"")</f>
        <v/>
      </c>
      <c r="F237" s="58" t="str">
        <f>IF(A237="",IF(COUNTA(B237:D237)=0,"","Référence manquante"),IF(COUNTIF($A$6:A237,A237)&gt;1,"Référence en double",IF(AND(C237&lt;&gt;"",OR(NOT(ISNUMBER(C237)),N(C237)&lt;=0)),"Cadence invalide",IF(AND(D237&lt;&gt;"",OR(NOT(ISNUMBER(D237)),N(D237)&lt;0)),"Coût invalide","OK"))))</f>
        <v/>
      </c>
    </row>
    <row r="238">
      <c r="A238" s="53" t="n"/>
      <c r="B238" s="53" t="n"/>
      <c r="C238" s="60" t="n"/>
      <c r="D238" s="89" t="n"/>
      <c r="E238" s="88" t="str">
        <f>IF(AND(ISNUMBER(C238),N(C238)&gt;0),3600/C238,"")</f>
        <v/>
      </c>
      <c r="F238" s="58" t="str">
        <f>IF(A238="",IF(COUNTA(B238:D238)=0,"","Référence manquante"),IF(COUNTIF($A$6:A238,A238)&gt;1,"Référence en double",IF(AND(C238&lt;&gt;"",OR(NOT(ISNUMBER(C238)),N(C238)&lt;=0)),"Cadence invalide",IF(AND(D238&lt;&gt;"",OR(NOT(ISNUMBER(D238)),N(D238)&lt;0)),"Coût invalide","OK"))))</f>
        <v/>
      </c>
    </row>
    <row r="239">
      <c r="A239" s="53" t="n"/>
      <c r="B239" s="53" t="n"/>
      <c r="C239" s="60" t="n"/>
      <c r="D239" s="89" t="n"/>
      <c r="E239" s="88" t="str">
        <f>IF(AND(ISNUMBER(C239),N(C239)&gt;0),3600/C239,"")</f>
        <v/>
      </c>
      <c r="F239" s="58" t="str">
        <f>IF(A239="",IF(COUNTA(B239:D239)=0,"","Référence manquante"),IF(COUNTIF($A$6:A239,A239)&gt;1,"Référence en double",IF(AND(C239&lt;&gt;"",OR(NOT(ISNUMBER(C239)),N(C239)&lt;=0)),"Cadence invalide",IF(AND(D239&lt;&gt;"",OR(NOT(ISNUMBER(D239)),N(D239)&lt;0)),"Coût invalide","OK"))))</f>
        <v/>
      </c>
    </row>
    <row r="240">
      <c r="A240" s="53" t="n"/>
      <c r="B240" s="53" t="n"/>
      <c r="C240" s="60" t="n"/>
      <c r="D240" s="89" t="n"/>
      <c r="E240" s="88" t="str">
        <f>IF(AND(ISNUMBER(C240),N(C240)&gt;0),3600/C240,"")</f>
        <v/>
      </c>
      <c r="F240" s="58" t="str">
        <f>IF(A240="",IF(COUNTA(B240:D240)=0,"","Référence manquante"),IF(COUNTIF($A$6:A240,A240)&gt;1,"Référence en double",IF(AND(C240&lt;&gt;"",OR(NOT(ISNUMBER(C240)),N(C240)&lt;=0)),"Cadence invalide",IF(AND(D240&lt;&gt;"",OR(NOT(ISNUMBER(D240)),N(D240)&lt;0)),"Coût invalide","OK"))))</f>
        <v/>
      </c>
    </row>
    <row r="241">
      <c r="A241" s="53" t="n"/>
      <c r="B241" s="53" t="n"/>
      <c r="C241" s="60" t="n"/>
      <c r="D241" s="89" t="n"/>
      <c r="E241" s="88" t="str">
        <f>IF(AND(ISNUMBER(C241),N(C241)&gt;0),3600/C241,"")</f>
        <v/>
      </c>
      <c r="F241" s="58" t="str">
        <f>IF(A241="",IF(COUNTA(B241:D241)=0,"","Référence manquante"),IF(COUNTIF($A$6:A241,A241)&gt;1,"Référence en double",IF(AND(C241&lt;&gt;"",OR(NOT(ISNUMBER(C241)),N(C241)&lt;=0)),"Cadence invalide",IF(AND(D241&lt;&gt;"",OR(NOT(ISNUMBER(D241)),N(D241)&lt;0)),"Coût invalide","OK"))))</f>
        <v/>
      </c>
    </row>
    <row r="242">
      <c r="A242" s="53" t="n"/>
      <c r="B242" s="53" t="n"/>
      <c r="C242" s="60" t="n"/>
      <c r="D242" s="89" t="n"/>
      <c r="E242" s="88" t="str">
        <f>IF(AND(ISNUMBER(C242),N(C242)&gt;0),3600/C242,"")</f>
        <v/>
      </c>
      <c r="F242" s="58" t="str">
        <f>IF(A242="",IF(COUNTA(B242:D242)=0,"","Référence manquante"),IF(COUNTIF($A$6:A242,A242)&gt;1,"Référence en double",IF(AND(C242&lt;&gt;"",OR(NOT(ISNUMBER(C242)),N(C242)&lt;=0)),"Cadence invalide",IF(AND(D242&lt;&gt;"",OR(NOT(ISNUMBER(D242)),N(D242)&lt;0)),"Coût invalide","OK"))))</f>
        <v/>
      </c>
    </row>
    <row r="243">
      <c r="A243" s="53" t="n"/>
      <c r="B243" s="53" t="n"/>
      <c r="C243" s="60" t="n"/>
      <c r="D243" s="89" t="n"/>
      <c r="E243" s="88" t="str">
        <f>IF(AND(ISNUMBER(C243),N(C243)&gt;0),3600/C243,"")</f>
        <v/>
      </c>
      <c r="F243" s="58" t="str">
        <f>IF(A243="",IF(COUNTA(B243:D243)=0,"","Référence manquante"),IF(COUNTIF($A$6:A243,A243)&gt;1,"Référence en double",IF(AND(C243&lt;&gt;"",OR(NOT(ISNUMBER(C243)),N(C243)&lt;=0)),"Cadence invalide",IF(AND(D243&lt;&gt;"",OR(NOT(ISNUMBER(D243)),N(D243)&lt;0)),"Coût invalide","OK"))))</f>
        <v/>
      </c>
    </row>
    <row r="244">
      <c r="A244" s="53" t="n"/>
      <c r="B244" s="53" t="n"/>
      <c r="C244" s="60" t="n"/>
      <c r="D244" s="89" t="n"/>
      <c r="E244" s="88" t="str">
        <f>IF(AND(ISNUMBER(C244),N(C244)&gt;0),3600/C244,"")</f>
        <v/>
      </c>
      <c r="F244" s="58" t="str">
        <f>IF(A244="",IF(COUNTA(B244:D244)=0,"","Référence manquante"),IF(COUNTIF($A$6:A244,A244)&gt;1,"Référence en double",IF(AND(C244&lt;&gt;"",OR(NOT(ISNUMBER(C244)),N(C244)&lt;=0)),"Cadence invalide",IF(AND(D244&lt;&gt;"",OR(NOT(ISNUMBER(D244)),N(D244)&lt;0)),"Coût invalide","OK"))))</f>
        <v/>
      </c>
    </row>
    <row r="245">
      <c r="A245" s="53" t="n"/>
      <c r="B245" s="53" t="n"/>
      <c r="C245" s="60" t="n"/>
      <c r="D245" s="89" t="n"/>
      <c r="E245" s="88" t="str">
        <f>IF(AND(ISNUMBER(C245),N(C245)&gt;0),3600/C245,"")</f>
        <v/>
      </c>
      <c r="F245" s="58" t="str">
        <f>IF(A245="",IF(COUNTA(B245:D245)=0,"","Référence manquante"),IF(COUNTIF($A$6:A245,A245)&gt;1,"Référence en double",IF(AND(C245&lt;&gt;"",OR(NOT(ISNUMBER(C245)),N(C245)&lt;=0)),"Cadence invalide",IF(AND(D245&lt;&gt;"",OR(NOT(ISNUMBER(D245)),N(D245)&lt;0)),"Coût invalide","OK"))))</f>
        <v/>
      </c>
    </row>
    <row r="246">
      <c r="A246" s="53" t="n"/>
      <c r="B246" s="53" t="n"/>
      <c r="C246" s="60" t="n"/>
      <c r="D246" s="89" t="n"/>
      <c r="E246" s="88" t="str">
        <f>IF(AND(ISNUMBER(C246),N(C246)&gt;0),3600/C246,"")</f>
        <v/>
      </c>
      <c r="F246" s="58" t="str">
        <f>IF(A246="",IF(COUNTA(B246:D246)=0,"","Référence manquante"),IF(COUNTIF($A$6:A246,A246)&gt;1,"Référence en double",IF(AND(C246&lt;&gt;"",OR(NOT(ISNUMBER(C246)),N(C246)&lt;=0)),"Cadence invalide",IF(AND(D246&lt;&gt;"",OR(NOT(ISNUMBER(D246)),N(D246)&lt;0)),"Coût invalide","OK"))))</f>
        <v/>
      </c>
    </row>
    <row r="247">
      <c r="A247" s="53" t="n"/>
      <c r="B247" s="53" t="n"/>
      <c r="C247" s="60" t="n"/>
      <c r="D247" s="89" t="n"/>
      <c r="E247" s="88" t="str">
        <f>IF(AND(ISNUMBER(C247),N(C247)&gt;0),3600/C247,"")</f>
        <v/>
      </c>
      <c r="F247" s="58" t="str">
        <f>IF(A247="",IF(COUNTA(B247:D247)=0,"","Référence manquante"),IF(COUNTIF($A$6:A247,A247)&gt;1,"Référence en double",IF(AND(C247&lt;&gt;"",OR(NOT(ISNUMBER(C247)),N(C247)&lt;=0)),"Cadence invalide",IF(AND(D247&lt;&gt;"",OR(NOT(ISNUMBER(D247)),N(D247)&lt;0)),"Coût invalide","OK"))))</f>
        <v/>
      </c>
    </row>
    <row r="248">
      <c r="A248" s="53" t="n"/>
      <c r="B248" s="53" t="n"/>
      <c r="C248" s="60" t="n"/>
      <c r="D248" s="89" t="n"/>
      <c r="E248" s="88" t="str">
        <f>IF(AND(ISNUMBER(C248),N(C248)&gt;0),3600/C248,"")</f>
        <v/>
      </c>
      <c r="F248" s="58" t="str">
        <f>IF(A248="",IF(COUNTA(B248:D248)=0,"","Référence manquante"),IF(COUNTIF($A$6:A248,A248)&gt;1,"Référence en double",IF(AND(C248&lt;&gt;"",OR(NOT(ISNUMBER(C248)),N(C248)&lt;=0)),"Cadence invalide",IF(AND(D248&lt;&gt;"",OR(NOT(ISNUMBER(D248)),N(D248)&lt;0)),"Coût invalide","OK"))))</f>
        <v/>
      </c>
    </row>
    <row r="249">
      <c r="A249" s="53" t="n"/>
      <c r="B249" s="53" t="n"/>
      <c r="C249" s="60" t="n"/>
      <c r="D249" s="89" t="n"/>
      <c r="E249" s="88" t="str">
        <f>IF(AND(ISNUMBER(C249),N(C249)&gt;0),3600/C249,"")</f>
        <v/>
      </c>
      <c r="F249" s="58" t="str">
        <f>IF(A249="",IF(COUNTA(B249:D249)=0,"","Référence manquante"),IF(COUNTIF($A$6:A249,A249)&gt;1,"Référence en double",IF(AND(C249&lt;&gt;"",OR(NOT(ISNUMBER(C249)),N(C249)&lt;=0)),"Cadence invalide",IF(AND(D249&lt;&gt;"",OR(NOT(ISNUMBER(D249)),N(D249)&lt;0)),"Coût invalide","OK"))))</f>
        <v/>
      </c>
    </row>
    <row r="250">
      <c r="A250" s="53" t="n"/>
      <c r="B250" s="53" t="n"/>
      <c r="C250" s="60" t="n"/>
      <c r="D250" s="89" t="n"/>
      <c r="E250" s="88" t="str">
        <f>IF(AND(ISNUMBER(C250),N(C250)&gt;0),3600/C250,"")</f>
        <v/>
      </c>
      <c r="F250" s="58" t="str">
        <f>IF(A250="",IF(COUNTA(B250:D250)=0,"","Référence manquante"),IF(COUNTIF($A$6:A250,A250)&gt;1,"Référence en double",IF(AND(C250&lt;&gt;"",OR(NOT(ISNUMBER(C250)),N(C250)&lt;=0)),"Cadence invalide",IF(AND(D250&lt;&gt;"",OR(NOT(ISNUMBER(D250)),N(D250)&lt;0)),"Coût invalide","OK"))))</f>
        <v/>
      </c>
    </row>
    <row r="251">
      <c r="A251" s="53" t="n"/>
      <c r="B251" s="53" t="n"/>
      <c r="C251" s="60" t="n"/>
      <c r="D251" s="89" t="n"/>
      <c r="E251" s="88" t="str">
        <f>IF(AND(ISNUMBER(C251),N(C251)&gt;0),3600/C251,"")</f>
        <v/>
      </c>
      <c r="F251" s="58" t="str">
        <f>IF(A251="",IF(COUNTA(B251:D251)=0,"","Référence manquante"),IF(COUNTIF($A$6:A251,A251)&gt;1,"Référence en double",IF(AND(C251&lt;&gt;"",OR(NOT(ISNUMBER(C251)),N(C251)&lt;=0)),"Cadence invalide",IF(AND(D251&lt;&gt;"",OR(NOT(ISNUMBER(D251)),N(D251)&lt;0)),"Coût invalide","OK"))))</f>
        <v/>
      </c>
    </row>
    <row r="252">
      <c r="A252" s="53" t="n"/>
      <c r="B252" s="53" t="n"/>
      <c r="C252" s="60" t="n"/>
      <c r="D252" s="89" t="n"/>
      <c r="E252" s="88" t="str">
        <f>IF(AND(ISNUMBER(C252),N(C252)&gt;0),3600/C252,"")</f>
        <v/>
      </c>
      <c r="F252" s="58" t="str">
        <f>IF(A252="",IF(COUNTA(B252:D252)=0,"","Référence manquante"),IF(COUNTIF($A$6:A252,A252)&gt;1,"Référence en double",IF(AND(C252&lt;&gt;"",OR(NOT(ISNUMBER(C252)),N(C252)&lt;=0)),"Cadence invalide",IF(AND(D252&lt;&gt;"",OR(NOT(ISNUMBER(D252)),N(D252)&lt;0)),"Coût invalide","OK"))))</f>
        <v/>
      </c>
    </row>
    <row r="253">
      <c r="A253" s="53" t="n"/>
      <c r="B253" s="53" t="n"/>
      <c r="C253" s="60" t="n"/>
      <c r="D253" s="89" t="n"/>
      <c r="E253" s="88" t="str">
        <f>IF(AND(ISNUMBER(C253),N(C253)&gt;0),3600/C253,"")</f>
        <v/>
      </c>
      <c r="F253" s="58" t="str">
        <f>IF(A253="",IF(COUNTA(B253:D253)=0,"","Référence manquante"),IF(COUNTIF($A$6:A253,A253)&gt;1,"Référence en double",IF(AND(C253&lt;&gt;"",OR(NOT(ISNUMBER(C253)),N(C253)&lt;=0)),"Cadence invalide",IF(AND(D253&lt;&gt;"",OR(NOT(ISNUMBER(D253)),N(D253)&lt;0)),"Coût invalide","OK"))))</f>
        <v/>
      </c>
    </row>
    <row r="254">
      <c r="A254" s="53" t="n"/>
      <c r="B254" s="53" t="n"/>
      <c r="C254" s="60" t="n"/>
      <c r="D254" s="89" t="n"/>
      <c r="E254" s="88" t="str">
        <f>IF(AND(ISNUMBER(C254),N(C254)&gt;0),3600/C254,"")</f>
        <v/>
      </c>
      <c r="F254" s="58" t="str">
        <f>IF(A254="",IF(COUNTA(B254:D254)=0,"","Référence manquante"),IF(COUNTIF($A$6:A254,A254)&gt;1,"Référence en double",IF(AND(C254&lt;&gt;"",OR(NOT(ISNUMBER(C254)),N(C254)&lt;=0)),"Cadence invalide",IF(AND(D254&lt;&gt;"",OR(NOT(ISNUMBER(D254)),N(D254)&lt;0)),"Coût invalide","OK"))))</f>
        <v/>
      </c>
    </row>
    <row r="255">
      <c r="A255" s="53" t="n"/>
      <c r="B255" s="53" t="n"/>
      <c r="C255" s="60" t="n"/>
      <c r="D255" s="89" t="n"/>
      <c r="E255" s="88" t="str">
        <f>IF(AND(ISNUMBER(C255),N(C255)&gt;0),3600/C255,"")</f>
        <v/>
      </c>
      <c r="F255" s="58" t="str">
        <f>IF(A255="",IF(COUNTA(B255:D255)=0,"","Référence manquante"),IF(COUNTIF($A$6:A255,A255)&gt;1,"Référence en double",IF(AND(C255&lt;&gt;"",OR(NOT(ISNUMBER(C255)),N(C255)&lt;=0)),"Cadence invalide",IF(AND(D255&lt;&gt;"",OR(NOT(ISNUMBER(D255)),N(D255)&lt;0)),"Coût invalide","OK"))))</f>
        <v/>
      </c>
    </row>
    <row r="256">
      <c r="A256" s="53" t="n"/>
      <c r="B256" s="53" t="n"/>
      <c r="C256" s="60" t="n"/>
      <c r="D256" s="89" t="n"/>
      <c r="E256" s="88" t="str">
        <f>IF(AND(ISNUMBER(C256),N(C256)&gt;0),3600/C256,"")</f>
        <v/>
      </c>
      <c r="F256" s="58" t="str">
        <f>IF(A256="",IF(COUNTA(B256:D256)=0,"","Référence manquante"),IF(COUNTIF($A$6:A256,A256)&gt;1,"Référence en double",IF(AND(C256&lt;&gt;"",OR(NOT(ISNUMBER(C256)),N(C256)&lt;=0)),"Cadence invalide",IF(AND(D256&lt;&gt;"",OR(NOT(ISNUMBER(D256)),N(D256)&lt;0)),"Coût invalide","OK"))))</f>
        <v/>
      </c>
    </row>
    <row r="257">
      <c r="A257" s="53" t="n"/>
      <c r="B257" s="53" t="n"/>
      <c r="C257" s="60" t="n"/>
      <c r="D257" s="89" t="n"/>
      <c r="E257" s="88" t="str">
        <f>IF(AND(ISNUMBER(C257),N(C257)&gt;0),3600/C257,"")</f>
        <v/>
      </c>
      <c r="F257" s="58" t="str">
        <f>IF(A257="",IF(COUNTA(B257:D257)=0,"","Référence manquante"),IF(COUNTIF($A$6:A257,A257)&gt;1,"Référence en double",IF(AND(C257&lt;&gt;"",OR(NOT(ISNUMBER(C257)),N(C257)&lt;=0)),"Cadence invalide",IF(AND(D257&lt;&gt;"",OR(NOT(ISNUMBER(D257)),N(D257)&lt;0)),"Coût invalide","OK"))))</f>
        <v/>
      </c>
    </row>
    <row r="258">
      <c r="A258" s="53" t="n"/>
      <c r="B258" s="53" t="n"/>
      <c r="C258" s="60" t="n"/>
      <c r="D258" s="89" t="n"/>
      <c r="E258" s="88" t="str">
        <f>IF(AND(ISNUMBER(C258),N(C258)&gt;0),3600/C258,"")</f>
        <v/>
      </c>
      <c r="F258" s="58" t="str">
        <f>IF(A258="",IF(COUNTA(B258:D258)=0,"","Référence manquante"),IF(COUNTIF($A$6:A258,A258)&gt;1,"Référence en double",IF(AND(C258&lt;&gt;"",OR(NOT(ISNUMBER(C258)),N(C258)&lt;=0)),"Cadence invalide",IF(AND(D258&lt;&gt;"",OR(NOT(ISNUMBER(D258)),N(D258)&lt;0)),"Coût invalide","OK"))))</f>
        <v/>
      </c>
    </row>
    <row r="259">
      <c r="A259" s="53" t="n"/>
      <c r="B259" s="53" t="n"/>
      <c r="C259" s="60" t="n"/>
      <c r="D259" s="89" t="n"/>
      <c r="E259" s="88" t="str">
        <f>IF(AND(ISNUMBER(C259),N(C259)&gt;0),3600/C259,"")</f>
        <v/>
      </c>
      <c r="F259" s="58" t="str">
        <f>IF(A259="",IF(COUNTA(B259:D259)=0,"","Référence manquante"),IF(COUNTIF($A$6:A259,A259)&gt;1,"Référence en double",IF(AND(C259&lt;&gt;"",OR(NOT(ISNUMBER(C259)),N(C259)&lt;=0)),"Cadence invalide",IF(AND(D259&lt;&gt;"",OR(NOT(ISNUMBER(D259)),N(D259)&lt;0)),"Coût invalide","OK"))))</f>
        <v/>
      </c>
    </row>
    <row r="260">
      <c r="A260" s="53" t="n"/>
      <c r="B260" s="53" t="n"/>
      <c r="C260" s="60" t="n"/>
      <c r="D260" s="89" t="n"/>
      <c r="E260" s="88" t="str">
        <f>IF(AND(ISNUMBER(C260),N(C260)&gt;0),3600/C260,"")</f>
        <v/>
      </c>
      <c r="F260" s="58" t="str">
        <f>IF(A260="",IF(COUNTA(B260:D260)=0,"","Référence manquante"),IF(COUNTIF($A$6:A260,A260)&gt;1,"Référence en double",IF(AND(C260&lt;&gt;"",OR(NOT(ISNUMBER(C260)),N(C260)&lt;=0)),"Cadence invalide",IF(AND(D260&lt;&gt;"",OR(NOT(ISNUMBER(D260)),N(D260)&lt;0)),"Coût invalide","OK"))))</f>
        <v/>
      </c>
    </row>
    <row r="261">
      <c r="A261" s="53" t="n"/>
      <c r="B261" s="53" t="n"/>
      <c r="C261" s="60" t="n"/>
      <c r="D261" s="89" t="n"/>
      <c r="E261" s="88" t="str">
        <f>IF(AND(ISNUMBER(C261),N(C261)&gt;0),3600/C261,"")</f>
        <v/>
      </c>
      <c r="F261" s="58" t="str">
        <f>IF(A261="",IF(COUNTA(B261:D261)=0,"","Référence manquante"),IF(COUNTIF($A$6:A261,A261)&gt;1,"Référence en double",IF(AND(C261&lt;&gt;"",OR(NOT(ISNUMBER(C261)),N(C261)&lt;=0)),"Cadence invalide",IF(AND(D261&lt;&gt;"",OR(NOT(ISNUMBER(D261)),N(D261)&lt;0)),"Coût invalide","OK"))))</f>
        <v/>
      </c>
    </row>
    <row r="262">
      <c r="A262" s="53" t="n"/>
      <c r="B262" s="53" t="n"/>
      <c r="C262" s="60" t="n"/>
      <c r="D262" s="89" t="n"/>
      <c r="E262" s="88" t="str">
        <f>IF(AND(ISNUMBER(C262),N(C262)&gt;0),3600/C262,"")</f>
        <v/>
      </c>
      <c r="F262" s="58" t="str">
        <f>IF(A262="",IF(COUNTA(B262:D262)=0,"","Référence manquante"),IF(COUNTIF($A$6:A262,A262)&gt;1,"Référence en double",IF(AND(C262&lt;&gt;"",OR(NOT(ISNUMBER(C262)),N(C262)&lt;=0)),"Cadence invalide",IF(AND(D262&lt;&gt;"",OR(NOT(ISNUMBER(D262)),N(D262)&lt;0)),"Coût invalide","OK"))))</f>
        <v/>
      </c>
    </row>
    <row r="263">
      <c r="A263" s="53" t="n"/>
      <c r="B263" s="53" t="n"/>
      <c r="C263" s="60" t="n"/>
      <c r="D263" s="89" t="n"/>
      <c r="E263" s="88" t="str">
        <f>IF(AND(ISNUMBER(C263),N(C263)&gt;0),3600/C263,"")</f>
        <v/>
      </c>
      <c r="F263" s="58" t="str">
        <f>IF(A263="",IF(COUNTA(B263:D263)=0,"","Référence manquante"),IF(COUNTIF($A$6:A263,A263)&gt;1,"Référence en double",IF(AND(C263&lt;&gt;"",OR(NOT(ISNUMBER(C263)),N(C263)&lt;=0)),"Cadence invalide",IF(AND(D263&lt;&gt;"",OR(NOT(ISNUMBER(D263)),N(D263)&lt;0)),"Coût invalide","OK"))))</f>
        <v/>
      </c>
    </row>
    <row r="264">
      <c r="A264" s="53" t="n"/>
      <c r="B264" s="53" t="n"/>
      <c r="C264" s="60" t="n"/>
      <c r="D264" s="89" t="n"/>
      <c r="E264" s="88" t="str">
        <f>IF(AND(ISNUMBER(C264),N(C264)&gt;0),3600/C264,"")</f>
        <v/>
      </c>
      <c r="F264" s="58" t="str">
        <f>IF(A264="",IF(COUNTA(B264:D264)=0,"","Référence manquante"),IF(COUNTIF($A$6:A264,A264)&gt;1,"Référence en double",IF(AND(C264&lt;&gt;"",OR(NOT(ISNUMBER(C264)),N(C264)&lt;=0)),"Cadence invalide",IF(AND(D264&lt;&gt;"",OR(NOT(ISNUMBER(D264)),N(D264)&lt;0)),"Coût invalide","OK"))))</f>
        <v/>
      </c>
    </row>
    <row r="265">
      <c r="A265" s="53" t="n"/>
      <c r="B265" s="53" t="n"/>
      <c r="C265" s="60" t="n"/>
      <c r="D265" s="89" t="n"/>
      <c r="E265" s="88" t="str">
        <f>IF(AND(ISNUMBER(C265),N(C265)&gt;0),3600/C265,"")</f>
        <v/>
      </c>
      <c r="F265" s="58" t="str">
        <f>IF(A265="",IF(COUNTA(B265:D265)=0,"","Référence manquante"),IF(COUNTIF($A$6:A265,A265)&gt;1,"Référence en double",IF(AND(C265&lt;&gt;"",OR(NOT(ISNUMBER(C265)),N(C265)&lt;=0)),"Cadence invalide",IF(AND(D265&lt;&gt;"",OR(NOT(ISNUMBER(D265)),N(D265)&lt;0)),"Coût invalide","OK"))))</f>
        <v/>
      </c>
    </row>
    <row r="266">
      <c r="A266" s="53" t="n"/>
      <c r="B266" s="53" t="n"/>
      <c r="C266" s="60" t="n"/>
      <c r="D266" s="89" t="n"/>
      <c r="E266" s="88" t="str">
        <f>IF(AND(ISNUMBER(C266),N(C266)&gt;0),3600/C266,"")</f>
        <v/>
      </c>
      <c r="F266" s="58" t="str">
        <f>IF(A266="",IF(COUNTA(B266:D266)=0,"","Référence manquante"),IF(COUNTIF($A$6:A266,A266)&gt;1,"Référence en double",IF(AND(C266&lt;&gt;"",OR(NOT(ISNUMBER(C266)),N(C266)&lt;=0)),"Cadence invalide",IF(AND(D266&lt;&gt;"",OR(NOT(ISNUMBER(D266)),N(D266)&lt;0)),"Coût invalide","OK"))))</f>
        <v/>
      </c>
    </row>
    <row r="267">
      <c r="A267" s="53" t="n"/>
      <c r="B267" s="53" t="n"/>
      <c r="C267" s="60" t="n"/>
      <c r="D267" s="89" t="n"/>
      <c r="E267" s="88" t="str">
        <f>IF(AND(ISNUMBER(C267),N(C267)&gt;0),3600/C267,"")</f>
        <v/>
      </c>
      <c r="F267" s="58" t="str">
        <f>IF(A267="",IF(COUNTA(B267:D267)=0,"","Référence manquante"),IF(COUNTIF($A$6:A267,A267)&gt;1,"Référence en double",IF(AND(C267&lt;&gt;"",OR(NOT(ISNUMBER(C267)),N(C267)&lt;=0)),"Cadence invalide",IF(AND(D267&lt;&gt;"",OR(NOT(ISNUMBER(D267)),N(D267)&lt;0)),"Coût invalide","OK"))))</f>
        <v/>
      </c>
    </row>
    <row r="268">
      <c r="A268" s="53" t="n"/>
      <c r="B268" s="53" t="n"/>
      <c r="C268" s="60" t="n"/>
      <c r="D268" s="89" t="n"/>
      <c r="E268" s="88" t="str">
        <f>IF(AND(ISNUMBER(C268),N(C268)&gt;0),3600/C268,"")</f>
        <v/>
      </c>
      <c r="F268" s="58" t="str">
        <f>IF(A268="",IF(COUNTA(B268:D268)=0,"","Référence manquante"),IF(COUNTIF($A$6:A268,A268)&gt;1,"Référence en double",IF(AND(C268&lt;&gt;"",OR(NOT(ISNUMBER(C268)),N(C268)&lt;=0)),"Cadence invalide",IF(AND(D268&lt;&gt;"",OR(NOT(ISNUMBER(D268)),N(D268)&lt;0)),"Coût invalide","OK"))))</f>
        <v/>
      </c>
    </row>
    <row r="269">
      <c r="A269" s="53" t="n"/>
      <c r="B269" s="53" t="n"/>
      <c r="C269" s="60" t="n"/>
      <c r="D269" s="89" t="n"/>
      <c r="E269" s="88" t="str">
        <f>IF(AND(ISNUMBER(C269),N(C269)&gt;0),3600/C269,"")</f>
        <v/>
      </c>
      <c r="F269" s="58" t="str">
        <f>IF(A269="",IF(COUNTA(B269:D269)=0,"","Référence manquante"),IF(COUNTIF($A$6:A269,A269)&gt;1,"Référence en double",IF(AND(C269&lt;&gt;"",OR(NOT(ISNUMBER(C269)),N(C269)&lt;=0)),"Cadence invalide",IF(AND(D269&lt;&gt;"",OR(NOT(ISNUMBER(D269)),N(D269)&lt;0)),"Coût invalide","OK"))))</f>
        <v/>
      </c>
    </row>
    <row r="270">
      <c r="A270" s="53" t="n"/>
      <c r="B270" s="53" t="n"/>
      <c r="C270" s="60" t="n"/>
      <c r="D270" s="89" t="n"/>
      <c r="E270" s="88" t="str">
        <f>IF(AND(ISNUMBER(C270),N(C270)&gt;0),3600/C270,"")</f>
        <v/>
      </c>
      <c r="F270" s="58" t="str">
        <f>IF(A270="",IF(COUNTA(B270:D270)=0,"","Référence manquante"),IF(COUNTIF($A$6:A270,A270)&gt;1,"Référence en double",IF(AND(C270&lt;&gt;"",OR(NOT(ISNUMBER(C270)),N(C270)&lt;=0)),"Cadence invalide",IF(AND(D270&lt;&gt;"",OR(NOT(ISNUMBER(D270)),N(D270)&lt;0)),"Coût invalide","OK"))))</f>
        <v/>
      </c>
    </row>
    <row r="271">
      <c r="A271" s="53" t="n"/>
      <c r="B271" s="53" t="n"/>
      <c r="C271" s="60" t="n"/>
      <c r="D271" s="89" t="n"/>
      <c r="E271" s="88" t="str">
        <f>IF(AND(ISNUMBER(C271),N(C271)&gt;0),3600/C271,"")</f>
        <v/>
      </c>
      <c r="F271" s="58" t="str">
        <f>IF(A271="",IF(COUNTA(B271:D271)=0,"","Référence manquante"),IF(COUNTIF($A$6:A271,A271)&gt;1,"Référence en double",IF(AND(C271&lt;&gt;"",OR(NOT(ISNUMBER(C271)),N(C271)&lt;=0)),"Cadence invalide",IF(AND(D271&lt;&gt;"",OR(NOT(ISNUMBER(D271)),N(D271)&lt;0)),"Coût invalide","OK"))))</f>
        <v/>
      </c>
    </row>
    <row r="272">
      <c r="A272" s="53" t="n"/>
      <c r="B272" s="53" t="n"/>
      <c r="C272" s="60" t="n"/>
      <c r="D272" s="89" t="n"/>
      <c r="E272" s="88" t="str">
        <f>IF(AND(ISNUMBER(C272),N(C272)&gt;0),3600/C272,"")</f>
        <v/>
      </c>
      <c r="F272" s="58" t="str">
        <f>IF(A272="",IF(COUNTA(B272:D272)=0,"","Référence manquante"),IF(COUNTIF($A$6:A272,A272)&gt;1,"Référence en double",IF(AND(C272&lt;&gt;"",OR(NOT(ISNUMBER(C272)),N(C272)&lt;=0)),"Cadence invalide",IF(AND(D272&lt;&gt;"",OR(NOT(ISNUMBER(D272)),N(D272)&lt;0)),"Coût invalide","OK"))))</f>
        <v/>
      </c>
    </row>
    <row r="273">
      <c r="A273" s="53" t="n"/>
      <c r="B273" s="53" t="n"/>
      <c r="C273" s="60" t="n"/>
      <c r="D273" s="89" t="n"/>
      <c r="E273" s="88" t="str">
        <f>IF(AND(ISNUMBER(C273),N(C273)&gt;0),3600/C273,"")</f>
        <v/>
      </c>
      <c r="F273" s="58" t="str">
        <f>IF(A273="",IF(COUNTA(B273:D273)=0,"","Référence manquante"),IF(COUNTIF($A$6:A273,A273)&gt;1,"Référence en double",IF(AND(C273&lt;&gt;"",OR(NOT(ISNUMBER(C273)),N(C273)&lt;=0)),"Cadence invalide",IF(AND(D273&lt;&gt;"",OR(NOT(ISNUMBER(D273)),N(D273)&lt;0)),"Coût invalide","OK"))))</f>
        <v/>
      </c>
    </row>
    <row r="274">
      <c r="A274" s="53" t="n"/>
      <c r="B274" s="53" t="n"/>
      <c r="C274" s="60" t="n"/>
      <c r="D274" s="89" t="n"/>
      <c r="E274" s="88" t="str">
        <f>IF(AND(ISNUMBER(C274),N(C274)&gt;0),3600/C274,"")</f>
        <v/>
      </c>
      <c r="F274" s="58" t="str">
        <f>IF(A274="",IF(COUNTA(B274:D274)=0,"","Référence manquante"),IF(COUNTIF($A$6:A274,A274)&gt;1,"Référence en double",IF(AND(C274&lt;&gt;"",OR(NOT(ISNUMBER(C274)),N(C274)&lt;=0)),"Cadence invalide",IF(AND(D274&lt;&gt;"",OR(NOT(ISNUMBER(D274)),N(D274)&lt;0)),"Coût invalide","OK"))))</f>
        <v/>
      </c>
    </row>
    <row r="275">
      <c r="A275" s="53" t="n"/>
      <c r="B275" s="53" t="n"/>
      <c r="C275" s="60" t="n"/>
      <c r="D275" s="89" t="n"/>
      <c r="E275" s="88" t="str">
        <f>IF(AND(ISNUMBER(C275),N(C275)&gt;0),3600/C275,"")</f>
        <v/>
      </c>
      <c r="F275" s="58" t="str">
        <f>IF(A275="",IF(COUNTA(B275:D275)=0,"","Référence manquante"),IF(COUNTIF($A$6:A275,A275)&gt;1,"Référence en double",IF(AND(C275&lt;&gt;"",OR(NOT(ISNUMBER(C275)),N(C275)&lt;=0)),"Cadence invalide",IF(AND(D275&lt;&gt;"",OR(NOT(ISNUMBER(D275)),N(D275)&lt;0)),"Coût invalide","OK"))))</f>
        <v/>
      </c>
    </row>
    <row r="276">
      <c r="A276" s="53" t="n"/>
      <c r="B276" s="53" t="n"/>
      <c r="C276" s="60" t="n"/>
      <c r="D276" s="89" t="n"/>
      <c r="E276" s="88" t="str">
        <f>IF(AND(ISNUMBER(C276),N(C276)&gt;0),3600/C276,"")</f>
        <v/>
      </c>
      <c r="F276" s="58" t="str">
        <f>IF(A276="",IF(COUNTA(B276:D276)=0,"","Référence manquante"),IF(COUNTIF($A$6:A276,A276)&gt;1,"Référence en double",IF(AND(C276&lt;&gt;"",OR(NOT(ISNUMBER(C276)),N(C276)&lt;=0)),"Cadence invalide",IF(AND(D276&lt;&gt;"",OR(NOT(ISNUMBER(D276)),N(D276)&lt;0)),"Coût invalide","OK"))))</f>
        <v/>
      </c>
    </row>
    <row r="277">
      <c r="A277" s="53" t="n"/>
      <c r="B277" s="53" t="n"/>
      <c r="C277" s="60" t="n"/>
      <c r="D277" s="89" t="n"/>
      <c r="E277" s="88" t="str">
        <f>IF(AND(ISNUMBER(C277),N(C277)&gt;0),3600/C277,"")</f>
        <v/>
      </c>
      <c r="F277" s="58" t="str">
        <f>IF(A277="",IF(COUNTA(B277:D277)=0,"","Référence manquante"),IF(COUNTIF($A$6:A277,A277)&gt;1,"Référence en double",IF(AND(C277&lt;&gt;"",OR(NOT(ISNUMBER(C277)),N(C277)&lt;=0)),"Cadence invalide",IF(AND(D277&lt;&gt;"",OR(NOT(ISNUMBER(D277)),N(D277)&lt;0)),"Coût invalide","OK"))))</f>
        <v/>
      </c>
    </row>
    <row r="278">
      <c r="A278" s="53" t="n"/>
      <c r="B278" s="53" t="n"/>
      <c r="C278" s="60" t="n"/>
      <c r="D278" s="89" t="n"/>
      <c r="E278" s="88" t="str">
        <f>IF(AND(ISNUMBER(C278),N(C278)&gt;0),3600/C278,"")</f>
        <v/>
      </c>
      <c r="F278" s="58" t="str">
        <f>IF(A278="",IF(COUNTA(B278:D278)=0,"","Référence manquante"),IF(COUNTIF($A$6:A278,A278)&gt;1,"Référence en double",IF(AND(C278&lt;&gt;"",OR(NOT(ISNUMBER(C278)),N(C278)&lt;=0)),"Cadence invalide",IF(AND(D278&lt;&gt;"",OR(NOT(ISNUMBER(D278)),N(D278)&lt;0)),"Coût invalide","OK"))))</f>
        <v/>
      </c>
    </row>
    <row r="279">
      <c r="A279" s="53" t="n"/>
      <c r="B279" s="53" t="n"/>
      <c r="C279" s="60" t="n"/>
      <c r="D279" s="89" t="n"/>
      <c r="E279" s="88" t="str">
        <f>IF(AND(ISNUMBER(C279),N(C279)&gt;0),3600/C279,"")</f>
        <v/>
      </c>
      <c r="F279" s="58" t="str">
        <f>IF(A279="",IF(COUNTA(B279:D279)=0,"","Référence manquante"),IF(COUNTIF($A$6:A279,A279)&gt;1,"Référence en double",IF(AND(C279&lt;&gt;"",OR(NOT(ISNUMBER(C279)),N(C279)&lt;=0)),"Cadence invalide",IF(AND(D279&lt;&gt;"",OR(NOT(ISNUMBER(D279)),N(D279)&lt;0)),"Coût invalide","OK"))))</f>
        <v/>
      </c>
    </row>
    <row r="280">
      <c r="A280" s="53" t="n"/>
      <c r="B280" s="53" t="n"/>
      <c r="C280" s="60" t="n"/>
      <c r="D280" s="89" t="n"/>
      <c r="E280" s="88" t="str">
        <f>IF(AND(ISNUMBER(C280),N(C280)&gt;0),3600/C280,"")</f>
        <v/>
      </c>
      <c r="F280" s="58" t="str">
        <f>IF(A280="",IF(COUNTA(B280:D280)=0,"","Référence manquante"),IF(COUNTIF($A$6:A280,A280)&gt;1,"Référence en double",IF(AND(C280&lt;&gt;"",OR(NOT(ISNUMBER(C280)),N(C280)&lt;=0)),"Cadence invalide",IF(AND(D280&lt;&gt;"",OR(NOT(ISNUMBER(D280)),N(D280)&lt;0)),"Coût invalide","OK"))))</f>
        <v/>
      </c>
    </row>
    <row r="281">
      <c r="A281" s="53" t="n"/>
      <c r="B281" s="53" t="n"/>
      <c r="C281" s="60" t="n"/>
      <c r="D281" s="89" t="n"/>
      <c r="E281" s="88" t="str">
        <f>IF(AND(ISNUMBER(C281),N(C281)&gt;0),3600/C281,"")</f>
        <v/>
      </c>
      <c r="F281" s="58" t="str">
        <f>IF(A281="",IF(COUNTA(B281:D281)=0,"","Référence manquante"),IF(COUNTIF($A$6:A281,A281)&gt;1,"Référence en double",IF(AND(C281&lt;&gt;"",OR(NOT(ISNUMBER(C281)),N(C281)&lt;=0)),"Cadence invalide",IF(AND(D281&lt;&gt;"",OR(NOT(ISNUMBER(D281)),N(D281)&lt;0)),"Coût invalide","OK"))))</f>
        <v/>
      </c>
    </row>
    <row r="282">
      <c r="A282" s="53" t="n"/>
      <c r="B282" s="53" t="n"/>
      <c r="C282" s="60" t="n"/>
      <c r="D282" s="89" t="n"/>
      <c r="E282" s="88" t="str">
        <f>IF(AND(ISNUMBER(C282),N(C282)&gt;0),3600/C282,"")</f>
        <v/>
      </c>
      <c r="F282" s="58" t="str">
        <f>IF(A282="",IF(COUNTA(B282:D282)=0,"","Référence manquante"),IF(COUNTIF($A$6:A282,A282)&gt;1,"Référence en double",IF(AND(C282&lt;&gt;"",OR(NOT(ISNUMBER(C282)),N(C282)&lt;=0)),"Cadence invalide",IF(AND(D282&lt;&gt;"",OR(NOT(ISNUMBER(D282)),N(D282)&lt;0)),"Coût invalide","OK"))))</f>
        <v/>
      </c>
    </row>
    <row r="283">
      <c r="A283" s="53" t="n"/>
      <c r="B283" s="53" t="n"/>
      <c r="C283" s="60" t="n"/>
      <c r="D283" s="89" t="n"/>
      <c r="E283" s="88" t="str">
        <f>IF(AND(ISNUMBER(C283),N(C283)&gt;0),3600/C283,"")</f>
        <v/>
      </c>
      <c r="F283" s="58" t="str">
        <f>IF(A283="",IF(COUNTA(B283:D283)=0,"","Référence manquante"),IF(COUNTIF($A$6:A283,A283)&gt;1,"Référence en double",IF(AND(C283&lt;&gt;"",OR(NOT(ISNUMBER(C283)),N(C283)&lt;=0)),"Cadence invalide",IF(AND(D283&lt;&gt;"",OR(NOT(ISNUMBER(D283)),N(D283)&lt;0)),"Coût invalide","OK"))))</f>
        <v/>
      </c>
    </row>
    <row r="284">
      <c r="A284" s="53" t="n"/>
      <c r="B284" s="53" t="n"/>
      <c r="C284" s="60" t="n"/>
      <c r="D284" s="89" t="n"/>
      <c r="E284" s="88" t="str">
        <f>IF(AND(ISNUMBER(C284),N(C284)&gt;0),3600/C284,"")</f>
        <v/>
      </c>
      <c r="F284" s="58" t="str">
        <f>IF(A284="",IF(COUNTA(B284:D284)=0,"","Référence manquante"),IF(COUNTIF($A$6:A284,A284)&gt;1,"Référence en double",IF(AND(C284&lt;&gt;"",OR(NOT(ISNUMBER(C284)),N(C284)&lt;=0)),"Cadence invalide",IF(AND(D284&lt;&gt;"",OR(NOT(ISNUMBER(D284)),N(D284)&lt;0)),"Coût invalide","OK"))))</f>
        <v/>
      </c>
    </row>
    <row r="285">
      <c r="A285" s="53" t="n"/>
      <c r="B285" s="53" t="n"/>
      <c r="C285" s="60" t="n"/>
      <c r="D285" s="89" t="n"/>
      <c r="E285" s="88" t="str">
        <f>IF(AND(ISNUMBER(C285),N(C285)&gt;0),3600/C285,"")</f>
        <v/>
      </c>
      <c r="F285" s="58" t="str">
        <f>IF(A285="",IF(COUNTA(B285:D285)=0,"","Référence manquante"),IF(COUNTIF($A$6:A285,A285)&gt;1,"Référence en double",IF(AND(C285&lt;&gt;"",OR(NOT(ISNUMBER(C285)),N(C285)&lt;=0)),"Cadence invalide",IF(AND(D285&lt;&gt;"",OR(NOT(ISNUMBER(D285)),N(D285)&lt;0)),"Coût invalide","OK"))))</f>
        <v/>
      </c>
    </row>
    <row r="286">
      <c r="A286" s="53" t="n"/>
      <c r="B286" s="53" t="n"/>
      <c r="C286" s="60" t="n"/>
      <c r="D286" s="89" t="n"/>
      <c r="E286" s="88" t="str">
        <f>IF(AND(ISNUMBER(C286),N(C286)&gt;0),3600/C286,"")</f>
        <v/>
      </c>
      <c r="F286" s="58" t="str">
        <f>IF(A286="",IF(COUNTA(B286:D286)=0,"","Référence manquante"),IF(COUNTIF($A$6:A286,A286)&gt;1,"Référence en double",IF(AND(C286&lt;&gt;"",OR(NOT(ISNUMBER(C286)),N(C286)&lt;=0)),"Cadence invalide",IF(AND(D286&lt;&gt;"",OR(NOT(ISNUMBER(D286)),N(D286)&lt;0)),"Coût invalide","OK"))))</f>
        <v/>
      </c>
    </row>
    <row r="287">
      <c r="A287" s="53" t="n"/>
      <c r="B287" s="53" t="n"/>
      <c r="C287" s="60" t="n"/>
      <c r="D287" s="89" t="n"/>
      <c r="E287" s="88" t="str">
        <f>IF(AND(ISNUMBER(C287),N(C287)&gt;0),3600/C287,"")</f>
        <v/>
      </c>
      <c r="F287" s="58" t="str">
        <f>IF(A287="",IF(COUNTA(B287:D287)=0,"","Référence manquante"),IF(COUNTIF($A$6:A287,A287)&gt;1,"Référence en double",IF(AND(C287&lt;&gt;"",OR(NOT(ISNUMBER(C287)),N(C287)&lt;=0)),"Cadence invalide",IF(AND(D287&lt;&gt;"",OR(NOT(ISNUMBER(D287)),N(D287)&lt;0)),"Coût invalide","OK"))))</f>
        <v/>
      </c>
    </row>
    <row r="288">
      <c r="A288" s="53" t="n"/>
      <c r="B288" s="53" t="n"/>
      <c r="C288" s="60" t="n"/>
      <c r="D288" s="89" t="n"/>
      <c r="E288" s="88" t="str">
        <f>IF(AND(ISNUMBER(C288),N(C288)&gt;0),3600/C288,"")</f>
        <v/>
      </c>
      <c r="F288" s="58" t="str">
        <f>IF(A288="",IF(COUNTA(B288:D288)=0,"","Référence manquante"),IF(COUNTIF($A$6:A288,A288)&gt;1,"Référence en double",IF(AND(C288&lt;&gt;"",OR(NOT(ISNUMBER(C288)),N(C288)&lt;=0)),"Cadence invalide",IF(AND(D288&lt;&gt;"",OR(NOT(ISNUMBER(D288)),N(D288)&lt;0)),"Coût invalide","OK"))))</f>
        <v/>
      </c>
    </row>
    <row r="289">
      <c r="A289" s="53" t="n"/>
      <c r="B289" s="53" t="n"/>
      <c r="C289" s="60" t="n"/>
      <c r="D289" s="89" t="n"/>
      <c r="E289" s="88" t="str">
        <f>IF(AND(ISNUMBER(C289),N(C289)&gt;0),3600/C289,"")</f>
        <v/>
      </c>
      <c r="F289" s="58" t="str">
        <f>IF(A289="",IF(COUNTA(B289:D289)=0,"","Référence manquante"),IF(COUNTIF($A$6:A289,A289)&gt;1,"Référence en double",IF(AND(C289&lt;&gt;"",OR(NOT(ISNUMBER(C289)),N(C289)&lt;=0)),"Cadence invalide",IF(AND(D289&lt;&gt;"",OR(NOT(ISNUMBER(D289)),N(D289)&lt;0)),"Coût invalide","OK"))))</f>
        <v/>
      </c>
    </row>
    <row r="290">
      <c r="A290" s="53" t="n"/>
      <c r="B290" s="53" t="n"/>
      <c r="C290" s="60" t="n"/>
      <c r="D290" s="89" t="n"/>
      <c r="E290" s="88" t="str">
        <f>IF(AND(ISNUMBER(C290),N(C290)&gt;0),3600/C290,"")</f>
        <v/>
      </c>
      <c r="F290" s="58" t="str">
        <f>IF(A290="",IF(COUNTA(B290:D290)=0,"","Référence manquante"),IF(COUNTIF($A$6:A290,A290)&gt;1,"Référence en double",IF(AND(C290&lt;&gt;"",OR(NOT(ISNUMBER(C290)),N(C290)&lt;=0)),"Cadence invalide",IF(AND(D290&lt;&gt;"",OR(NOT(ISNUMBER(D290)),N(D290)&lt;0)),"Coût invalide","OK"))))</f>
        <v/>
      </c>
    </row>
    <row r="291">
      <c r="A291" s="53" t="n"/>
      <c r="B291" s="53" t="n"/>
      <c r="C291" s="60" t="n"/>
      <c r="D291" s="89" t="n"/>
      <c r="E291" s="88" t="str">
        <f>IF(AND(ISNUMBER(C291),N(C291)&gt;0),3600/C291,"")</f>
        <v/>
      </c>
      <c r="F291" s="58" t="str">
        <f>IF(A291="",IF(COUNTA(B291:D291)=0,"","Référence manquante"),IF(COUNTIF($A$6:A291,A291)&gt;1,"Référence en double",IF(AND(C291&lt;&gt;"",OR(NOT(ISNUMBER(C291)),N(C291)&lt;=0)),"Cadence invalide",IF(AND(D291&lt;&gt;"",OR(NOT(ISNUMBER(D291)),N(D291)&lt;0)),"Coût invalide","OK"))))</f>
        <v/>
      </c>
    </row>
    <row r="292">
      <c r="A292" s="53" t="n"/>
      <c r="B292" s="53" t="n"/>
      <c r="C292" s="60" t="n"/>
      <c r="D292" s="89" t="n"/>
      <c r="E292" s="88" t="str">
        <f>IF(AND(ISNUMBER(C292),N(C292)&gt;0),3600/C292,"")</f>
        <v/>
      </c>
      <c r="F292" s="58" t="str">
        <f>IF(A292="",IF(COUNTA(B292:D292)=0,"","Référence manquante"),IF(COUNTIF($A$6:A292,A292)&gt;1,"Référence en double",IF(AND(C292&lt;&gt;"",OR(NOT(ISNUMBER(C292)),N(C292)&lt;=0)),"Cadence invalide",IF(AND(D292&lt;&gt;"",OR(NOT(ISNUMBER(D292)),N(D292)&lt;0)),"Coût invalide","OK"))))</f>
        <v/>
      </c>
    </row>
    <row r="293">
      <c r="A293" s="53" t="n"/>
      <c r="B293" s="53" t="n"/>
      <c r="C293" s="60" t="n"/>
      <c r="D293" s="89" t="n"/>
      <c r="E293" s="88" t="str">
        <f>IF(AND(ISNUMBER(C293),N(C293)&gt;0),3600/C293,"")</f>
        <v/>
      </c>
      <c r="F293" s="58" t="str">
        <f>IF(A293="",IF(COUNTA(B293:D293)=0,"","Référence manquante"),IF(COUNTIF($A$6:A293,A293)&gt;1,"Référence en double",IF(AND(C293&lt;&gt;"",OR(NOT(ISNUMBER(C293)),N(C293)&lt;=0)),"Cadence invalide",IF(AND(D293&lt;&gt;"",OR(NOT(ISNUMBER(D293)),N(D293)&lt;0)),"Coût invalide","OK"))))</f>
        <v/>
      </c>
    </row>
    <row r="294">
      <c r="A294" s="53" t="n"/>
      <c r="B294" s="53" t="n"/>
      <c r="C294" s="60" t="n"/>
      <c r="D294" s="89" t="n"/>
      <c r="E294" s="88" t="str">
        <f>IF(AND(ISNUMBER(C294),N(C294)&gt;0),3600/C294,"")</f>
        <v/>
      </c>
      <c r="F294" s="58" t="str">
        <f>IF(A294="",IF(COUNTA(B294:D294)=0,"","Référence manquante"),IF(COUNTIF($A$6:A294,A294)&gt;1,"Référence en double",IF(AND(C294&lt;&gt;"",OR(NOT(ISNUMBER(C294)),N(C294)&lt;=0)),"Cadence invalide",IF(AND(D294&lt;&gt;"",OR(NOT(ISNUMBER(D294)),N(D294)&lt;0)),"Coût invalide","OK"))))</f>
        <v/>
      </c>
    </row>
    <row r="295">
      <c r="A295" s="53" t="n"/>
      <c r="B295" s="53" t="n"/>
      <c r="C295" s="60" t="n"/>
      <c r="D295" s="89" t="n"/>
      <c r="E295" s="88" t="str">
        <f>IF(AND(ISNUMBER(C295),N(C295)&gt;0),3600/C295,"")</f>
        <v/>
      </c>
      <c r="F295" s="58" t="str">
        <f>IF(A295="",IF(COUNTA(B295:D295)=0,"","Référence manquante"),IF(COUNTIF($A$6:A295,A295)&gt;1,"Référence en double",IF(AND(C295&lt;&gt;"",OR(NOT(ISNUMBER(C295)),N(C295)&lt;=0)),"Cadence invalide",IF(AND(D295&lt;&gt;"",OR(NOT(ISNUMBER(D295)),N(D295)&lt;0)),"Coût invalide","OK"))))</f>
        <v/>
      </c>
    </row>
    <row r="296">
      <c r="A296" s="53" t="n"/>
      <c r="B296" s="53" t="n"/>
      <c r="C296" s="60" t="n"/>
      <c r="D296" s="89" t="n"/>
      <c r="E296" s="88" t="str">
        <f>IF(AND(ISNUMBER(C296),N(C296)&gt;0),3600/C296,"")</f>
        <v/>
      </c>
      <c r="F296" s="58" t="str">
        <f>IF(A296="",IF(COUNTA(B296:D296)=0,"","Référence manquante"),IF(COUNTIF($A$6:A296,A296)&gt;1,"Référence en double",IF(AND(C296&lt;&gt;"",OR(NOT(ISNUMBER(C296)),N(C296)&lt;=0)),"Cadence invalide",IF(AND(D296&lt;&gt;"",OR(NOT(ISNUMBER(D296)),N(D296)&lt;0)),"Coût invalide","OK"))))</f>
        <v/>
      </c>
    </row>
    <row r="297">
      <c r="A297" s="53" t="n"/>
      <c r="B297" s="53" t="n"/>
      <c r="C297" s="60" t="n"/>
      <c r="D297" s="89" t="n"/>
      <c r="E297" s="88" t="str">
        <f>IF(AND(ISNUMBER(C297),N(C297)&gt;0),3600/C297,"")</f>
        <v/>
      </c>
      <c r="F297" s="58" t="str">
        <f>IF(A297="",IF(COUNTA(B297:D297)=0,"","Référence manquante"),IF(COUNTIF($A$6:A297,A297)&gt;1,"Référence en double",IF(AND(C297&lt;&gt;"",OR(NOT(ISNUMBER(C297)),N(C297)&lt;=0)),"Cadence invalide",IF(AND(D297&lt;&gt;"",OR(NOT(ISNUMBER(D297)),N(D297)&lt;0)),"Coût invalide","OK"))))</f>
        <v/>
      </c>
    </row>
    <row r="298">
      <c r="A298" s="53" t="n"/>
      <c r="B298" s="53" t="n"/>
      <c r="C298" s="60" t="n"/>
      <c r="D298" s="89" t="n"/>
      <c r="E298" s="88" t="str">
        <f>IF(AND(ISNUMBER(C298),N(C298)&gt;0),3600/C298,"")</f>
        <v/>
      </c>
      <c r="F298" s="58" t="str">
        <f>IF(A298="",IF(COUNTA(B298:D298)=0,"","Référence manquante"),IF(COUNTIF($A$6:A298,A298)&gt;1,"Référence en double",IF(AND(C298&lt;&gt;"",OR(NOT(ISNUMBER(C298)),N(C298)&lt;=0)),"Cadence invalide",IF(AND(D298&lt;&gt;"",OR(NOT(ISNUMBER(D298)),N(D298)&lt;0)),"Coût invalide","OK"))))</f>
        <v/>
      </c>
    </row>
    <row r="299">
      <c r="A299" s="53" t="n"/>
      <c r="B299" s="53" t="n"/>
      <c r="C299" s="60" t="n"/>
      <c r="D299" s="89" t="n"/>
      <c r="E299" s="88" t="str">
        <f>IF(AND(ISNUMBER(C299),N(C299)&gt;0),3600/C299,"")</f>
        <v/>
      </c>
      <c r="F299" s="58" t="str">
        <f>IF(A299="",IF(COUNTA(B299:D299)=0,"","Référence manquante"),IF(COUNTIF($A$6:A299,A299)&gt;1,"Référence en double",IF(AND(C299&lt;&gt;"",OR(NOT(ISNUMBER(C299)),N(C299)&lt;=0)),"Cadence invalide",IF(AND(D299&lt;&gt;"",OR(NOT(ISNUMBER(D299)),N(D299)&lt;0)),"Coût invalide","OK"))))</f>
        <v/>
      </c>
    </row>
    <row r="300">
      <c r="A300" s="53" t="n"/>
      <c r="B300" s="53" t="n"/>
      <c r="C300" s="60" t="n"/>
      <c r="D300" s="89" t="n"/>
      <c r="E300" s="88" t="str">
        <f>IF(AND(ISNUMBER(C300),N(C300)&gt;0),3600/C300,"")</f>
        <v/>
      </c>
      <c r="F300" s="58" t="str">
        <f>IF(A300="",IF(COUNTA(B300:D300)=0,"","Référence manquante"),IF(COUNTIF($A$6:A300,A300)&gt;1,"Référence en double",IF(AND(C300&lt;&gt;"",OR(NOT(ISNUMBER(C300)),N(C300)&lt;=0)),"Cadence invalide",IF(AND(D300&lt;&gt;"",OR(NOT(ISNUMBER(D300)),N(D300)&lt;0)),"Coût invalide","OK"))))</f>
        <v/>
      </c>
    </row>
    <row r="301">
      <c r="A301" s="53" t="n"/>
      <c r="B301" s="53" t="n"/>
      <c r="C301" s="60" t="n"/>
      <c r="D301" s="89" t="n"/>
      <c r="E301" s="88" t="str">
        <f>IF(AND(ISNUMBER(C301),N(C301)&gt;0),3600/C301,"")</f>
        <v/>
      </c>
      <c r="F301" s="58" t="str">
        <f>IF(A301="",IF(COUNTA(B301:D301)=0,"","Référence manquante"),IF(COUNTIF($A$6:A301,A301)&gt;1,"Référence en double",IF(AND(C301&lt;&gt;"",OR(NOT(ISNUMBER(C301)),N(C301)&lt;=0)),"Cadence invalide",IF(AND(D301&lt;&gt;"",OR(NOT(ISNUMBER(D301)),N(D301)&lt;0)),"Coût invalide","OK"))))</f>
        <v/>
      </c>
    </row>
    <row r="302">
      <c r="A302" s="53" t="n"/>
      <c r="B302" s="53" t="n"/>
      <c r="C302" s="60" t="n"/>
      <c r="D302" s="89" t="n"/>
      <c r="E302" s="88" t="str">
        <f>IF(AND(ISNUMBER(C302),N(C302)&gt;0),3600/C302,"")</f>
        <v/>
      </c>
      <c r="F302" s="58" t="str">
        <f>IF(A302="",IF(COUNTA(B302:D302)=0,"","Référence manquante"),IF(COUNTIF($A$6:A302,A302)&gt;1,"Référence en double",IF(AND(C302&lt;&gt;"",OR(NOT(ISNUMBER(C302)),N(C302)&lt;=0)),"Cadence invalide",IF(AND(D302&lt;&gt;"",OR(NOT(ISNUMBER(D302)),N(D302)&lt;0)),"Coût invalide","OK"))))</f>
        <v/>
      </c>
    </row>
    <row r="303">
      <c r="A303" s="53" t="n"/>
      <c r="B303" s="53" t="n"/>
      <c r="C303" s="60" t="n"/>
      <c r="D303" s="89" t="n"/>
      <c r="E303" s="88" t="str">
        <f>IF(AND(ISNUMBER(C303),N(C303)&gt;0),3600/C303,"")</f>
        <v/>
      </c>
      <c r="F303" s="58" t="str">
        <f>IF(A303="",IF(COUNTA(B303:D303)=0,"","Référence manquante"),IF(COUNTIF($A$6:A303,A303)&gt;1,"Référence en double",IF(AND(C303&lt;&gt;"",OR(NOT(ISNUMBER(C303)),N(C303)&lt;=0)),"Cadence invalide",IF(AND(D303&lt;&gt;"",OR(NOT(ISNUMBER(D303)),N(D303)&lt;0)),"Coût invalide","OK"))))</f>
        <v/>
      </c>
    </row>
    <row r="304">
      <c r="A304" s="53" t="n"/>
      <c r="B304" s="53" t="n"/>
      <c r="C304" s="60" t="n"/>
      <c r="D304" s="89" t="n"/>
      <c r="E304" s="88" t="str">
        <f>IF(AND(ISNUMBER(C304),N(C304)&gt;0),3600/C304,"")</f>
        <v/>
      </c>
      <c r="F304" s="58" t="str">
        <f>IF(A304="",IF(COUNTA(B304:D304)=0,"","Référence manquante"),IF(COUNTIF($A$6:A304,A304)&gt;1,"Référence en double",IF(AND(C304&lt;&gt;"",OR(NOT(ISNUMBER(C304)),N(C304)&lt;=0)),"Cadence invalide",IF(AND(D304&lt;&gt;"",OR(NOT(ISNUMBER(D304)),N(D304)&lt;0)),"Coût invalide","OK"))))</f>
        <v/>
      </c>
    </row>
    <row r="305">
      <c r="A305" s="53" t="n"/>
      <c r="B305" s="53" t="n"/>
      <c r="C305" s="60" t="n"/>
      <c r="D305" s="89" t="n"/>
      <c r="E305" s="88" t="str">
        <f>IF(AND(ISNUMBER(C305),N(C305)&gt;0),3600/C305,"")</f>
        <v/>
      </c>
      <c r="F305" s="58" t="str">
        <f>IF(A305="",IF(COUNTA(B305:D305)=0,"","Référence manquante"),IF(COUNTIF($A$6:A305,A305)&gt;1,"Référence en double",IF(AND(C305&lt;&gt;"",OR(NOT(ISNUMBER(C305)),N(C305)&lt;=0)),"Cadence invalide",IF(AND(D305&lt;&gt;"",OR(NOT(ISNUMBER(D305)),N(D305)&lt;0)),"Coût invalide","OK"))))</f>
        <v/>
      </c>
    </row>
    <row r="306">
      <c r="A306" s="53" t="n"/>
      <c r="B306" s="53" t="n"/>
      <c r="C306" s="60" t="n"/>
      <c r="D306" s="89" t="n"/>
      <c r="E306" s="88" t="str">
        <f>IF(AND(ISNUMBER(C306),N(C306)&gt;0),3600/C306,"")</f>
        <v/>
      </c>
      <c r="F306" s="58" t="str">
        <f>IF(A306="",IF(COUNTA(B306:D306)=0,"","Référence manquante"),IF(COUNTIF($A$6:A306,A306)&gt;1,"Référence en double",IF(AND(C306&lt;&gt;"",OR(NOT(ISNUMBER(C306)),N(C306)&lt;=0)),"Cadence invalide",IF(AND(D306&lt;&gt;"",OR(NOT(ISNUMBER(D306)),N(D306)&lt;0)),"Coût invalide","OK"))))</f>
        <v/>
      </c>
    </row>
    <row r="307">
      <c r="A307" s="53" t="n"/>
      <c r="B307" s="53" t="n"/>
      <c r="C307" s="60" t="n"/>
      <c r="D307" s="89" t="n"/>
      <c r="E307" s="88" t="str">
        <f>IF(AND(ISNUMBER(C307),N(C307)&gt;0),3600/C307,"")</f>
        <v/>
      </c>
      <c r="F307" s="58" t="str">
        <f>IF(A307="",IF(COUNTA(B307:D307)=0,"","Référence manquante"),IF(COUNTIF($A$6:A307,A307)&gt;1,"Référence en double",IF(AND(C307&lt;&gt;"",OR(NOT(ISNUMBER(C307)),N(C307)&lt;=0)),"Cadence invalide",IF(AND(D307&lt;&gt;"",OR(NOT(ISNUMBER(D307)),N(D307)&lt;0)),"Coût invalide","OK"))))</f>
        <v/>
      </c>
    </row>
    <row r="308">
      <c r="A308" s="53" t="n"/>
      <c r="B308" s="53" t="n"/>
      <c r="C308" s="60" t="n"/>
      <c r="D308" s="89" t="n"/>
      <c r="E308" s="88" t="str">
        <f>IF(AND(ISNUMBER(C308),N(C308)&gt;0),3600/C308,"")</f>
        <v/>
      </c>
      <c r="F308" s="58" t="str">
        <f>IF(A308="",IF(COUNTA(B308:D308)=0,"","Référence manquante"),IF(COUNTIF($A$6:A308,A308)&gt;1,"Référence en double",IF(AND(C308&lt;&gt;"",OR(NOT(ISNUMBER(C308)),N(C308)&lt;=0)),"Cadence invalide",IF(AND(D308&lt;&gt;"",OR(NOT(ISNUMBER(D308)),N(D308)&lt;0)),"Coût invalide","OK"))))</f>
        <v/>
      </c>
    </row>
    <row r="309">
      <c r="A309" s="53" t="n"/>
      <c r="B309" s="53" t="n"/>
      <c r="C309" s="60" t="n"/>
      <c r="D309" s="89" t="n"/>
      <c r="E309" s="88" t="str">
        <f>IF(AND(ISNUMBER(C309),N(C309)&gt;0),3600/C309,"")</f>
        <v/>
      </c>
      <c r="F309" s="58" t="str">
        <f>IF(A309="",IF(COUNTA(B309:D309)=0,"","Référence manquante"),IF(COUNTIF($A$6:A309,A309)&gt;1,"Référence en double",IF(AND(C309&lt;&gt;"",OR(NOT(ISNUMBER(C309)),N(C309)&lt;=0)),"Cadence invalide",IF(AND(D309&lt;&gt;"",OR(NOT(ISNUMBER(D309)),N(D309)&lt;0)),"Coût invalide","OK"))))</f>
        <v/>
      </c>
    </row>
    <row r="310">
      <c r="A310" s="53" t="n"/>
      <c r="B310" s="53" t="n"/>
      <c r="C310" s="60" t="n"/>
      <c r="D310" s="89" t="n"/>
      <c r="E310" s="88" t="str">
        <f>IF(AND(ISNUMBER(C310),N(C310)&gt;0),3600/C310,"")</f>
        <v/>
      </c>
      <c r="F310" s="58" t="str">
        <f>IF(A310="",IF(COUNTA(B310:D310)=0,"","Référence manquante"),IF(COUNTIF($A$6:A310,A310)&gt;1,"Référence en double",IF(AND(C310&lt;&gt;"",OR(NOT(ISNUMBER(C310)),N(C310)&lt;=0)),"Cadence invalide",IF(AND(D310&lt;&gt;"",OR(NOT(ISNUMBER(D310)),N(D310)&lt;0)),"Coût invalide","OK"))))</f>
        <v/>
      </c>
    </row>
    <row r="311">
      <c r="A311" s="53" t="n"/>
      <c r="B311" s="53" t="n"/>
      <c r="C311" s="60" t="n"/>
      <c r="D311" s="89" t="n"/>
      <c r="E311" s="88" t="str">
        <f>IF(AND(ISNUMBER(C311),N(C311)&gt;0),3600/C311,"")</f>
        <v/>
      </c>
      <c r="F311" s="58" t="str">
        <f>IF(A311="",IF(COUNTA(B311:D311)=0,"","Référence manquante"),IF(COUNTIF($A$6:A311,A311)&gt;1,"Référence en double",IF(AND(C311&lt;&gt;"",OR(NOT(ISNUMBER(C311)),N(C311)&lt;=0)),"Cadence invalide",IF(AND(D311&lt;&gt;"",OR(NOT(ISNUMBER(D311)),N(D311)&lt;0)),"Coût invalide","OK"))))</f>
        <v/>
      </c>
    </row>
    <row r="312">
      <c r="A312" s="53" t="n"/>
      <c r="B312" s="53" t="n"/>
      <c r="C312" s="60" t="n"/>
      <c r="D312" s="89" t="n"/>
      <c r="E312" s="88" t="str">
        <f>IF(AND(ISNUMBER(C312),N(C312)&gt;0),3600/C312,"")</f>
        <v/>
      </c>
      <c r="F312" s="58" t="str">
        <f>IF(A312="",IF(COUNTA(B312:D312)=0,"","Référence manquante"),IF(COUNTIF($A$6:A312,A312)&gt;1,"Référence en double",IF(AND(C312&lt;&gt;"",OR(NOT(ISNUMBER(C312)),N(C312)&lt;=0)),"Cadence invalide",IF(AND(D312&lt;&gt;"",OR(NOT(ISNUMBER(D312)),N(D312)&lt;0)),"Coût invalide","OK"))))</f>
        <v/>
      </c>
    </row>
    <row r="313">
      <c r="A313" s="53" t="n"/>
      <c r="B313" s="53" t="n"/>
      <c r="C313" s="60" t="n"/>
      <c r="D313" s="89" t="n"/>
      <c r="E313" s="88" t="str">
        <f>IF(AND(ISNUMBER(C313),N(C313)&gt;0),3600/C313,"")</f>
        <v/>
      </c>
      <c r="F313" s="58" t="str">
        <f>IF(A313="",IF(COUNTA(B313:D313)=0,"","Référence manquante"),IF(COUNTIF($A$6:A313,A313)&gt;1,"Référence en double",IF(AND(C313&lt;&gt;"",OR(NOT(ISNUMBER(C313)),N(C313)&lt;=0)),"Cadence invalide",IF(AND(D313&lt;&gt;"",OR(NOT(ISNUMBER(D313)),N(D313)&lt;0)),"Coût invalide","OK"))))</f>
        <v/>
      </c>
    </row>
    <row r="314">
      <c r="A314" s="53" t="n"/>
      <c r="B314" s="53" t="n"/>
      <c r="C314" s="60" t="n"/>
      <c r="D314" s="89" t="n"/>
      <c r="E314" s="88" t="str">
        <f>IF(AND(ISNUMBER(C314),N(C314)&gt;0),3600/C314,"")</f>
        <v/>
      </c>
      <c r="F314" s="58" t="str">
        <f>IF(A314="",IF(COUNTA(B314:D314)=0,"","Référence manquante"),IF(COUNTIF($A$6:A314,A314)&gt;1,"Référence en double",IF(AND(C314&lt;&gt;"",OR(NOT(ISNUMBER(C314)),N(C314)&lt;=0)),"Cadence invalide",IF(AND(D314&lt;&gt;"",OR(NOT(ISNUMBER(D314)),N(D314)&lt;0)),"Coût invalide","OK"))))</f>
        <v/>
      </c>
    </row>
    <row r="315">
      <c r="A315" s="53" t="n"/>
      <c r="B315" s="53" t="n"/>
      <c r="C315" s="60" t="n"/>
      <c r="D315" s="89" t="n"/>
      <c r="E315" s="88" t="str">
        <f>IF(AND(ISNUMBER(C315),N(C315)&gt;0),3600/C315,"")</f>
        <v/>
      </c>
      <c r="F315" s="58" t="str">
        <f>IF(A315="",IF(COUNTA(B315:D315)=0,"","Référence manquante"),IF(COUNTIF($A$6:A315,A315)&gt;1,"Référence en double",IF(AND(C315&lt;&gt;"",OR(NOT(ISNUMBER(C315)),N(C315)&lt;=0)),"Cadence invalide",IF(AND(D315&lt;&gt;"",OR(NOT(ISNUMBER(D315)),N(D315)&lt;0)),"Coût invalide","OK"))))</f>
        <v/>
      </c>
    </row>
    <row r="316">
      <c r="A316" s="53" t="n"/>
      <c r="B316" s="53" t="n"/>
      <c r="C316" s="60" t="n"/>
      <c r="D316" s="89" t="n"/>
      <c r="E316" s="88" t="str">
        <f>IF(AND(ISNUMBER(C316),N(C316)&gt;0),3600/C316,"")</f>
        <v/>
      </c>
      <c r="F316" s="58" t="str">
        <f>IF(A316="",IF(COUNTA(B316:D316)=0,"","Référence manquante"),IF(COUNTIF($A$6:A316,A316)&gt;1,"Référence en double",IF(AND(C316&lt;&gt;"",OR(NOT(ISNUMBER(C316)),N(C316)&lt;=0)),"Cadence invalide",IF(AND(D316&lt;&gt;"",OR(NOT(ISNUMBER(D316)),N(D316)&lt;0)),"Coût invalide","OK"))))</f>
        <v/>
      </c>
    </row>
    <row r="317">
      <c r="A317" s="53" t="n"/>
      <c r="B317" s="53" t="n"/>
      <c r="C317" s="60" t="n"/>
      <c r="D317" s="89" t="n"/>
      <c r="E317" s="88" t="str">
        <f>IF(AND(ISNUMBER(C317),N(C317)&gt;0),3600/C317,"")</f>
        <v/>
      </c>
      <c r="F317" s="58" t="str">
        <f>IF(A317="",IF(COUNTA(B317:D317)=0,"","Référence manquante"),IF(COUNTIF($A$6:A317,A317)&gt;1,"Référence en double",IF(AND(C317&lt;&gt;"",OR(NOT(ISNUMBER(C317)),N(C317)&lt;=0)),"Cadence invalide",IF(AND(D317&lt;&gt;"",OR(NOT(ISNUMBER(D317)),N(D317)&lt;0)),"Coût invalide","OK"))))</f>
        <v/>
      </c>
    </row>
    <row r="318">
      <c r="A318" s="53" t="n"/>
      <c r="B318" s="53" t="n"/>
      <c r="C318" s="60" t="n"/>
      <c r="D318" s="89" t="n"/>
      <c r="E318" s="88" t="str">
        <f>IF(AND(ISNUMBER(C318),N(C318)&gt;0),3600/C318,"")</f>
        <v/>
      </c>
      <c r="F318" s="58" t="str">
        <f>IF(A318="",IF(COUNTA(B318:D318)=0,"","Référence manquante"),IF(COUNTIF($A$6:A318,A318)&gt;1,"Référence en double",IF(AND(C318&lt;&gt;"",OR(NOT(ISNUMBER(C318)),N(C318)&lt;=0)),"Cadence invalide",IF(AND(D318&lt;&gt;"",OR(NOT(ISNUMBER(D318)),N(D318)&lt;0)),"Coût invalide","OK"))))</f>
        <v/>
      </c>
    </row>
    <row r="319">
      <c r="A319" s="53" t="n"/>
      <c r="B319" s="53" t="n"/>
      <c r="C319" s="60" t="n"/>
      <c r="D319" s="89" t="n"/>
      <c r="E319" s="88" t="str">
        <f>IF(AND(ISNUMBER(C319),N(C319)&gt;0),3600/C319,"")</f>
        <v/>
      </c>
      <c r="F319" s="58" t="str">
        <f>IF(A319="",IF(COUNTA(B319:D319)=0,"","Référence manquante"),IF(COUNTIF($A$6:A319,A319)&gt;1,"Référence en double",IF(AND(C319&lt;&gt;"",OR(NOT(ISNUMBER(C319)),N(C319)&lt;=0)),"Cadence invalide",IF(AND(D319&lt;&gt;"",OR(NOT(ISNUMBER(D319)),N(D319)&lt;0)),"Coût invalide","OK"))))</f>
        <v/>
      </c>
    </row>
    <row r="320">
      <c r="A320" s="53" t="n"/>
      <c r="B320" s="53" t="n"/>
      <c r="C320" s="60" t="n"/>
      <c r="D320" s="89" t="n"/>
      <c r="E320" s="88" t="str">
        <f>IF(AND(ISNUMBER(C320),N(C320)&gt;0),3600/C320,"")</f>
        <v/>
      </c>
      <c r="F320" s="58" t="str">
        <f>IF(A320="",IF(COUNTA(B320:D320)=0,"","Référence manquante"),IF(COUNTIF($A$6:A320,A320)&gt;1,"Référence en double",IF(AND(C320&lt;&gt;"",OR(NOT(ISNUMBER(C320)),N(C320)&lt;=0)),"Cadence invalide",IF(AND(D320&lt;&gt;"",OR(NOT(ISNUMBER(D320)),N(D320)&lt;0)),"Coût invalide","OK"))))</f>
        <v/>
      </c>
    </row>
    <row r="321">
      <c r="A321" s="53" t="n"/>
      <c r="B321" s="53" t="n"/>
      <c r="C321" s="60" t="n"/>
      <c r="D321" s="89" t="n"/>
      <c r="E321" s="88" t="str">
        <f>IF(AND(ISNUMBER(C321),N(C321)&gt;0),3600/C321,"")</f>
        <v/>
      </c>
      <c r="F321" s="58" t="str">
        <f>IF(A321="",IF(COUNTA(B321:D321)=0,"","Référence manquante"),IF(COUNTIF($A$6:A321,A321)&gt;1,"Référence en double",IF(AND(C321&lt;&gt;"",OR(NOT(ISNUMBER(C321)),N(C321)&lt;=0)),"Cadence invalide",IF(AND(D321&lt;&gt;"",OR(NOT(ISNUMBER(D321)),N(D321)&lt;0)),"Coût invalide","OK"))))</f>
        <v/>
      </c>
    </row>
    <row r="322">
      <c r="A322" s="53" t="n"/>
      <c r="B322" s="53" t="n"/>
      <c r="C322" s="60" t="n"/>
      <c r="D322" s="89" t="n"/>
      <c r="E322" s="88" t="str">
        <f>IF(AND(ISNUMBER(C322),N(C322)&gt;0),3600/C322,"")</f>
        <v/>
      </c>
      <c r="F322" s="58" t="str">
        <f>IF(A322="",IF(COUNTA(B322:D322)=0,"","Référence manquante"),IF(COUNTIF($A$6:A322,A322)&gt;1,"Référence en double",IF(AND(C322&lt;&gt;"",OR(NOT(ISNUMBER(C322)),N(C322)&lt;=0)),"Cadence invalide",IF(AND(D322&lt;&gt;"",OR(NOT(ISNUMBER(D322)),N(D322)&lt;0)),"Coût invalide","OK"))))</f>
        <v/>
      </c>
    </row>
    <row r="323">
      <c r="A323" s="53" t="n"/>
      <c r="B323" s="53" t="n"/>
      <c r="C323" s="60" t="n"/>
      <c r="D323" s="89" t="n"/>
      <c r="E323" s="88" t="str">
        <f>IF(AND(ISNUMBER(C323),N(C323)&gt;0),3600/C323,"")</f>
        <v/>
      </c>
      <c r="F323" s="58" t="str">
        <f>IF(A323="",IF(COUNTA(B323:D323)=0,"","Référence manquante"),IF(COUNTIF($A$6:A323,A323)&gt;1,"Référence en double",IF(AND(C323&lt;&gt;"",OR(NOT(ISNUMBER(C323)),N(C323)&lt;=0)),"Cadence invalide",IF(AND(D323&lt;&gt;"",OR(NOT(ISNUMBER(D323)),N(D323)&lt;0)),"Coût invalide","OK"))))</f>
        <v/>
      </c>
    </row>
    <row r="324">
      <c r="A324" s="53" t="n"/>
      <c r="B324" s="53" t="n"/>
      <c r="C324" s="60" t="n"/>
      <c r="D324" s="89" t="n"/>
      <c r="E324" s="88" t="str">
        <f>IF(AND(ISNUMBER(C324),N(C324)&gt;0),3600/C324,"")</f>
        <v/>
      </c>
      <c r="F324" s="58" t="str">
        <f>IF(A324="",IF(COUNTA(B324:D324)=0,"","Référence manquante"),IF(COUNTIF($A$6:A324,A324)&gt;1,"Référence en double",IF(AND(C324&lt;&gt;"",OR(NOT(ISNUMBER(C324)),N(C324)&lt;=0)),"Cadence invalide",IF(AND(D324&lt;&gt;"",OR(NOT(ISNUMBER(D324)),N(D324)&lt;0)),"Coût invalide","OK"))))</f>
        <v/>
      </c>
    </row>
    <row r="325">
      <c r="A325" s="53" t="n"/>
      <c r="B325" s="53" t="n"/>
      <c r="C325" s="60" t="n"/>
      <c r="D325" s="89" t="n"/>
      <c r="E325" s="88" t="str">
        <f>IF(AND(ISNUMBER(C325),N(C325)&gt;0),3600/C325,"")</f>
        <v/>
      </c>
      <c r="F325" s="58" t="str">
        <f>IF(A325="",IF(COUNTA(B325:D325)=0,"","Référence manquante"),IF(COUNTIF($A$6:A325,A325)&gt;1,"Référence en double",IF(AND(C325&lt;&gt;"",OR(NOT(ISNUMBER(C325)),N(C325)&lt;=0)),"Cadence invalide",IF(AND(D325&lt;&gt;"",OR(NOT(ISNUMBER(D325)),N(D325)&lt;0)),"Coût invalide","OK"))))</f>
        <v/>
      </c>
    </row>
    <row r="326">
      <c r="A326" s="53" t="n"/>
      <c r="B326" s="53" t="n"/>
      <c r="C326" s="60" t="n"/>
      <c r="D326" s="89" t="n"/>
      <c r="E326" s="88" t="str">
        <f>IF(AND(ISNUMBER(C326),N(C326)&gt;0),3600/C326,"")</f>
        <v/>
      </c>
      <c r="F326" s="58" t="str">
        <f>IF(A326="",IF(COUNTA(B326:D326)=0,"","Référence manquante"),IF(COUNTIF($A$6:A326,A326)&gt;1,"Référence en double",IF(AND(C326&lt;&gt;"",OR(NOT(ISNUMBER(C326)),N(C326)&lt;=0)),"Cadence invalide",IF(AND(D326&lt;&gt;"",OR(NOT(ISNUMBER(D326)),N(D326)&lt;0)),"Coût invalide","OK"))))</f>
        <v/>
      </c>
    </row>
    <row r="327">
      <c r="A327" s="53" t="n"/>
      <c r="B327" s="53" t="n"/>
      <c r="C327" s="60" t="n"/>
      <c r="D327" s="89" t="n"/>
      <c r="E327" s="88" t="str">
        <f>IF(AND(ISNUMBER(C327),N(C327)&gt;0),3600/C327,"")</f>
        <v/>
      </c>
      <c r="F327" s="58" t="str">
        <f>IF(A327="",IF(COUNTA(B327:D327)=0,"","Référence manquante"),IF(COUNTIF($A$6:A327,A327)&gt;1,"Référence en double",IF(AND(C327&lt;&gt;"",OR(NOT(ISNUMBER(C327)),N(C327)&lt;=0)),"Cadence invalide",IF(AND(D327&lt;&gt;"",OR(NOT(ISNUMBER(D327)),N(D327)&lt;0)),"Coût invalide","OK"))))</f>
        <v/>
      </c>
    </row>
    <row r="328">
      <c r="A328" s="53" t="n"/>
      <c r="B328" s="53" t="n"/>
      <c r="C328" s="60" t="n"/>
      <c r="D328" s="89" t="n"/>
      <c r="E328" s="88" t="str">
        <f>IF(AND(ISNUMBER(C328),N(C328)&gt;0),3600/C328,"")</f>
        <v/>
      </c>
      <c r="F328" s="58" t="str">
        <f>IF(A328="",IF(COUNTA(B328:D328)=0,"","Référence manquante"),IF(COUNTIF($A$6:A328,A328)&gt;1,"Référence en double",IF(AND(C328&lt;&gt;"",OR(NOT(ISNUMBER(C328)),N(C328)&lt;=0)),"Cadence invalide",IF(AND(D328&lt;&gt;"",OR(NOT(ISNUMBER(D328)),N(D328)&lt;0)),"Coût invalide","OK"))))</f>
        <v/>
      </c>
    </row>
    <row r="329">
      <c r="A329" s="53" t="n"/>
      <c r="B329" s="53" t="n"/>
      <c r="C329" s="60" t="n"/>
      <c r="D329" s="89" t="n"/>
      <c r="E329" s="88" t="str">
        <f>IF(AND(ISNUMBER(C329),N(C329)&gt;0),3600/C329,"")</f>
        <v/>
      </c>
      <c r="F329" s="58" t="str">
        <f>IF(A329="",IF(COUNTA(B329:D329)=0,"","Référence manquante"),IF(COUNTIF($A$6:A329,A329)&gt;1,"Référence en double",IF(AND(C329&lt;&gt;"",OR(NOT(ISNUMBER(C329)),N(C329)&lt;=0)),"Cadence invalide",IF(AND(D329&lt;&gt;"",OR(NOT(ISNUMBER(D329)),N(D329)&lt;0)),"Coût invalide","OK"))))</f>
        <v/>
      </c>
    </row>
    <row r="330">
      <c r="A330" s="53" t="n"/>
      <c r="B330" s="53" t="n"/>
      <c r="C330" s="60" t="n"/>
      <c r="D330" s="89" t="n"/>
      <c r="E330" s="88" t="str">
        <f>IF(AND(ISNUMBER(C330),N(C330)&gt;0),3600/C330,"")</f>
        <v/>
      </c>
      <c r="F330" s="58" t="str">
        <f>IF(A330="",IF(COUNTA(B330:D330)=0,"","Référence manquante"),IF(COUNTIF($A$6:A330,A330)&gt;1,"Référence en double",IF(AND(C330&lt;&gt;"",OR(NOT(ISNUMBER(C330)),N(C330)&lt;=0)),"Cadence invalide",IF(AND(D330&lt;&gt;"",OR(NOT(ISNUMBER(D330)),N(D330)&lt;0)),"Coût invalide","OK"))))</f>
        <v/>
      </c>
    </row>
    <row r="331">
      <c r="A331" s="53" t="n"/>
      <c r="B331" s="53" t="n"/>
      <c r="C331" s="60" t="n"/>
      <c r="D331" s="89" t="n"/>
      <c r="E331" s="88" t="str">
        <f>IF(AND(ISNUMBER(C331),N(C331)&gt;0),3600/C331,"")</f>
        <v/>
      </c>
      <c r="F331" s="58" t="str">
        <f>IF(A331="",IF(COUNTA(B331:D331)=0,"","Référence manquante"),IF(COUNTIF($A$6:A331,A331)&gt;1,"Référence en double",IF(AND(C331&lt;&gt;"",OR(NOT(ISNUMBER(C331)),N(C331)&lt;=0)),"Cadence invalide",IF(AND(D331&lt;&gt;"",OR(NOT(ISNUMBER(D331)),N(D331)&lt;0)),"Coût invalide","OK"))))</f>
        <v/>
      </c>
    </row>
    <row r="332">
      <c r="A332" s="53" t="n"/>
      <c r="B332" s="53" t="n"/>
      <c r="C332" s="60" t="n"/>
      <c r="D332" s="89" t="n"/>
      <c r="E332" s="88" t="str">
        <f>IF(AND(ISNUMBER(C332),N(C332)&gt;0),3600/C332,"")</f>
        <v/>
      </c>
      <c r="F332" s="58" t="str">
        <f>IF(A332="",IF(COUNTA(B332:D332)=0,"","Référence manquante"),IF(COUNTIF($A$6:A332,A332)&gt;1,"Référence en double",IF(AND(C332&lt;&gt;"",OR(NOT(ISNUMBER(C332)),N(C332)&lt;=0)),"Cadence invalide",IF(AND(D332&lt;&gt;"",OR(NOT(ISNUMBER(D332)),N(D332)&lt;0)),"Coût invalide","OK"))))</f>
        <v/>
      </c>
    </row>
    <row r="333">
      <c r="A333" s="53" t="n"/>
      <c r="B333" s="53" t="n"/>
      <c r="C333" s="60" t="n"/>
      <c r="D333" s="89" t="n"/>
      <c r="E333" s="88" t="str">
        <f>IF(AND(ISNUMBER(C333),N(C333)&gt;0),3600/C333,"")</f>
        <v/>
      </c>
      <c r="F333" s="58" t="str">
        <f>IF(A333="",IF(COUNTA(B333:D333)=0,"","Référence manquante"),IF(COUNTIF($A$6:A333,A333)&gt;1,"Référence en double",IF(AND(C333&lt;&gt;"",OR(NOT(ISNUMBER(C333)),N(C333)&lt;=0)),"Cadence invalide",IF(AND(D333&lt;&gt;"",OR(NOT(ISNUMBER(D333)),N(D333)&lt;0)),"Coût invalide","OK"))))</f>
        <v/>
      </c>
    </row>
    <row r="334">
      <c r="A334" s="53" t="n"/>
      <c r="B334" s="53" t="n"/>
      <c r="C334" s="60" t="n"/>
      <c r="D334" s="89" t="n"/>
      <c r="E334" s="88" t="str">
        <f>IF(AND(ISNUMBER(C334),N(C334)&gt;0),3600/C334,"")</f>
        <v/>
      </c>
      <c r="F334" s="58" t="str">
        <f>IF(A334="",IF(COUNTA(B334:D334)=0,"","Référence manquante"),IF(COUNTIF($A$6:A334,A334)&gt;1,"Référence en double",IF(AND(C334&lt;&gt;"",OR(NOT(ISNUMBER(C334)),N(C334)&lt;=0)),"Cadence invalide",IF(AND(D334&lt;&gt;"",OR(NOT(ISNUMBER(D334)),N(D334)&lt;0)),"Coût invalide","OK"))))</f>
        <v/>
      </c>
    </row>
    <row r="335">
      <c r="A335" s="53" t="n"/>
      <c r="B335" s="53" t="n"/>
      <c r="C335" s="60" t="n"/>
      <c r="D335" s="89" t="n"/>
      <c r="E335" s="88" t="str">
        <f>IF(AND(ISNUMBER(C335),N(C335)&gt;0),3600/C335,"")</f>
        <v/>
      </c>
      <c r="F335" s="58" t="str">
        <f>IF(A335="",IF(COUNTA(B335:D335)=0,"","Référence manquante"),IF(COUNTIF($A$6:A335,A335)&gt;1,"Référence en double",IF(AND(C335&lt;&gt;"",OR(NOT(ISNUMBER(C335)),N(C335)&lt;=0)),"Cadence invalide",IF(AND(D335&lt;&gt;"",OR(NOT(ISNUMBER(D335)),N(D335)&lt;0)),"Coût invalide","OK"))))</f>
        <v/>
      </c>
    </row>
    <row r="336">
      <c r="A336" s="53" t="n"/>
      <c r="B336" s="53" t="n"/>
      <c r="C336" s="60" t="n"/>
      <c r="D336" s="89" t="n"/>
      <c r="E336" s="88" t="str">
        <f>IF(AND(ISNUMBER(C336),N(C336)&gt;0),3600/C336,"")</f>
        <v/>
      </c>
      <c r="F336" s="58" t="str">
        <f>IF(A336="",IF(COUNTA(B336:D336)=0,"","Référence manquante"),IF(COUNTIF($A$6:A336,A336)&gt;1,"Référence en double",IF(AND(C336&lt;&gt;"",OR(NOT(ISNUMBER(C336)),N(C336)&lt;=0)),"Cadence invalide",IF(AND(D336&lt;&gt;"",OR(NOT(ISNUMBER(D336)),N(D336)&lt;0)),"Coût invalide","OK"))))</f>
        <v/>
      </c>
    </row>
    <row r="337">
      <c r="A337" s="53" t="n"/>
      <c r="B337" s="53" t="n"/>
      <c r="C337" s="60" t="n"/>
      <c r="D337" s="89" t="n"/>
      <c r="E337" s="88" t="str">
        <f>IF(AND(ISNUMBER(C337),N(C337)&gt;0),3600/C337,"")</f>
        <v/>
      </c>
      <c r="F337" s="58" t="str">
        <f>IF(A337="",IF(COUNTA(B337:D337)=0,"","Référence manquante"),IF(COUNTIF($A$6:A337,A337)&gt;1,"Référence en double",IF(AND(C337&lt;&gt;"",OR(NOT(ISNUMBER(C337)),N(C337)&lt;=0)),"Cadence invalide",IF(AND(D337&lt;&gt;"",OR(NOT(ISNUMBER(D337)),N(D337)&lt;0)),"Coût invalide","OK"))))</f>
        <v/>
      </c>
    </row>
    <row r="338">
      <c r="A338" s="53" t="n"/>
      <c r="B338" s="53" t="n"/>
      <c r="C338" s="60" t="n"/>
      <c r="D338" s="89" t="n"/>
      <c r="E338" s="88" t="str">
        <f>IF(AND(ISNUMBER(C338),N(C338)&gt;0),3600/C338,"")</f>
        <v/>
      </c>
      <c r="F338" s="58" t="str">
        <f>IF(A338="",IF(COUNTA(B338:D338)=0,"","Référence manquante"),IF(COUNTIF($A$6:A338,A338)&gt;1,"Référence en double",IF(AND(C338&lt;&gt;"",OR(NOT(ISNUMBER(C338)),N(C338)&lt;=0)),"Cadence invalide",IF(AND(D338&lt;&gt;"",OR(NOT(ISNUMBER(D338)),N(D338)&lt;0)),"Coût invalide","OK"))))</f>
        <v/>
      </c>
    </row>
    <row r="339">
      <c r="A339" s="53" t="n"/>
      <c r="B339" s="53" t="n"/>
      <c r="C339" s="60" t="n"/>
      <c r="D339" s="89" t="n"/>
      <c r="E339" s="88" t="str">
        <f>IF(AND(ISNUMBER(C339),N(C339)&gt;0),3600/C339,"")</f>
        <v/>
      </c>
      <c r="F339" s="58" t="str">
        <f>IF(A339="",IF(COUNTA(B339:D339)=0,"","Référence manquante"),IF(COUNTIF($A$6:A339,A339)&gt;1,"Référence en double",IF(AND(C339&lt;&gt;"",OR(NOT(ISNUMBER(C339)),N(C339)&lt;=0)),"Cadence invalide",IF(AND(D339&lt;&gt;"",OR(NOT(ISNUMBER(D339)),N(D339)&lt;0)),"Coût invalide","OK"))))</f>
        <v/>
      </c>
    </row>
    <row r="340">
      <c r="A340" s="53" t="n"/>
      <c r="B340" s="53" t="n"/>
      <c r="C340" s="60" t="n"/>
      <c r="D340" s="89" t="n"/>
      <c r="E340" s="88" t="str">
        <f>IF(AND(ISNUMBER(C340),N(C340)&gt;0),3600/C340,"")</f>
        <v/>
      </c>
      <c r="F340" s="58" t="str">
        <f>IF(A340="",IF(COUNTA(B340:D340)=0,"","Référence manquante"),IF(COUNTIF($A$6:A340,A340)&gt;1,"Référence en double",IF(AND(C340&lt;&gt;"",OR(NOT(ISNUMBER(C340)),N(C340)&lt;=0)),"Cadence invalide",IF(AND(D340&lt;&gt;"",OR(NOT(ISNUMBER(D340)),N(D340)&lt;0)),"Coût invalide","OK"))))</f>
        <v/>
      </c>
    </row>
    <row r="341">
      <c r="A341" s="53" t="n"/>
      <c r="B341" s="53" t="n"/>
      <c r="C341" s="60" t="n"/>
      <c r="D341" s="89" t="n"/>
      <c r="E341" s="88" t="str">
        <f>IF(AND(ISNUMBER(C341),N(C341)&gt;0),3600/C341,"")</f>
        <v/>
      </c>
      <c r="F341" s="58" t="str">
        <f>IF(A341="",IF(COUNTA(B341:D341)=0,"","Référence manquante"),IF(COUNTIF($A$6:A341,A341)&gt;1,"Référence en double",IF(AND(C341&lt;&gt;"",OR(NOT(ISNUMBER(C341)),N(C341)&lt;=0)),"Cadence invalide",IF(AND(D341&lt;&gt;"",OR(NOT(ISNUMBER(D341)),N(D341)&lt;0)),"Coût invalide","OK"))))</f>
        <v/>
      </c>
    </row>
    <row r="342">
      <c r="A342" s="53" t="n"/>
      <c r="B342" s="53" t="n"/>
      <c r="C342" s="60" t="n"/>
      <c r="D342" s="89" t="n"/>
      <c r="E342" s="88" t="str">
        <f>IF(AND(ISNUMBER(C342),N(C342)&gt;0),3600/C342,"")</f>
        <v/>
      </c>
      <c r="F342" s="58" t="str">
        <f>IF(A342="",IF(COUNTA(B342:D342)=0,"","Référence manquante"),IF(COUNTIF($A$6:A342,A342)&gt;1,"Référence en double",IF(AND(C342&lt;&gt;"",OR(NOT(ISNUMBER(C342)),N(C342)&lt;=0)),"Cadence invalide",IF(AND(D342&lt;&gt;"",OR(NOT(ISNUMBER(D342)),N(D342)&lt;0)),"Coût invalide","OK"))))</f>
        <v/>
      </c>
    </row>
    <row r="343">
      <c r="A343" s="53" t="n"/>
      <c r="B343" s="53" t="n"/>
      <c r="C343" s="60" t="n"/>
      <c r="D343" s="89" t="n"/>
      <c r="E343" s="88" t="str">
        <f>IF(AND(ISNUMBER(C343),N(C343)&gt;0),3600/C343,"")</f>
        <v/>
      </c>
      <c r="F343" s="58" t="str">
        <f>IF(A343="",IF(COUNTA(B343:D343)=0,"","Référence manquante"),IF(COUNTIF($A$6:A343,A343)&gt;1,"Référence en double",IF(AND(C343&lt;&gt;"",OR(NOT(ISNUMBER(C343)),N(C343)&lt;=0)),"Cadence invalide",IF(AND(D343&lt;&gt;"",OR(NOT(ISNUMBER(D343)),N(D343)&lt;0)),"Coût invalide","OK"))))</f>
        <v/>
      </c>
    </row>
    <row r="344">
      <c r="A344" s="53" t="n"/>
      <c r="B344" s="53" t="n"/>
      <c r="C344" s="60" t="n"/>
      <c r="D344" s="89" t="n"/>
      <c r="E344" s="88" t="str">
        <f>IF(AND(ISNUMBER(C344),N(C344)&gt;0),3600/C344,"")</f>
        <v/>
      </c>
      <c r="F344" s="58" t="str">
        <f>IF(A344="",IF(COUNTA(B344:D344)=0,"","Référence manquante"),IF(COUNTIF($A$6:A344,A344)&gt;1,"Référence en double",IF(AND(C344&lt;&gt;"",OR(NOT(ISNUMBER(C344)),N(C344)&lt;=0)),"Cadence invalide",IF(AND(D344&lt;&gt;"",OR(NOT(ISNUMBER(D344)),N(D344)&lt;0)),"Coût invalide","OK"))))</f>
        <v/>
      </c>
    </row>
    <row r="345">
      <c r="A345" s="53" t="n"/>
      <c r="B345" s="53" t="n"/>
      <c r="C345" s="60" t="n"/>
      <c r="D345" s="89" t="n"/>
      <c r="E345" s="88" t="str">
        <f>IF(AND(ISNUMBER(C345),N(C345)&gt;0),3600/C345,"")</f>
        <v/>
      </c>
      <c r="F345" s="58" t="str">
        <f>IF(A345="",IF(COUNTA(B345:D345)=0,"","Référence manquante"),IF(COUNTIF($A$6:A345,A345)&gt;1,"Référence en double",IF(AND(C345&lt;&gt;"",OR(NOT(ISNUMBER(C345)),N(C345)&lt;=0)),"Cadence invalide",IF(AND(D345&lt;&gt;"",OR(NOT(ISNUMBER(D345)),N(D345)&lt;0)),"Coût invalide","OK"))))</f>
        <v/>
      </c>
    </row>
    <row r="346">
      <c r="A346" s="53" t="n"/>
      <c r="B346" s="53" t="n"/>
      <c r="C346" s="60" t="n"/>
      <c r="D346" s="89" t="n"/>
      <c r="E346" s="88" t="str">
        <f>IF(AND(ISNUMBER(C346),N(C346)&gt;0),3600/C346,"")</f>
        <v/>
      </c>
      <c r="F346" s="58" t="str">
        <f>IF(A346="",IF(COUNTA(B346:D346)=0,"","Référence manquante"),IF(COUNTIF($A$6:A346,A346)&gt;1,"Référence en double",IF(AND(C346&lt;&gt;"",OR(NOT(ISNUMBER(C346)),N(C346)&lt;=0)),"Cadence invalide",IF(AND(D346&lt;&gt;"",OR(NOT(ISNUMBER(D346)),N(D346)&lt;0)),"Coût invalide","OK"))))</f>
        <v/>
      </c>
    </row>
    <row r="347">
      <c r="A347" s="53" t="n"/>
      <c r="B347" s="53" t="n"/>
      <c r="C347" s="60" t="n"/>
      <c r="D347" s="89" t="n"/>
      <c r="E347" s="88" t="str">
        <f>IF(AND(ISNUMBER(C347),N(C347)&gt;0),3600/C347,"")</f>
        <v/>
      </c>
      <c r="F347" s="58" t="str">
        <f>IF(A347="",IF(COUNTA(B347:D347)=0,"","Référence manquante"),IF(COUNTIF($A$6:A347,A347)&gt;1,"Référence en double",IF(AND(C347&lt;&gt;"",OR(NOT(ISNUMBER(C347)),N(C347)&lt;=0)),"Cadence invalide",IF(AND(D347&lt;&gt;"",OR(NOT(ISNUMBER(D347)),N(D347)&lt;0)),"Coût invalide","OK"))))</f>
        <v/>
      </c>
    </row>
    <row r="348">
      <c r="A348" s="53" t="n"/>
      <c r="B348" s="53" t="n"/>
      <c r="C348" s="60" t="n"/>
      <c r="D348" s="89" t="n"/>
      <c r="E348" s="88" t="str">
        <f>IF(AND(ISNUMBER(C348),N(C348)&gt;0),3600/C348,"")</f>
        <v/>
      </c>
      <c r="F348" s="58" t="str">
        <f>IF(A348="",IF(COUNTA(B348:D348)=0,"","Référence manquante"),IF(COUNTIF($A$6:A348,A348)&gt;1,"Référence en double",IF(AND(C348&lt;&gt;"",OR(NOT(ISNUMBER(C348)),N(C348)&lt;=0)),"Cadence invalide",IF(AND(D348&lt;&gt;"",OR(NOT(ISNUMBER(D348)),N(D348)&lt;0)),"Coût invalide","OK"))))</f>
        <v/>
      </c>
    </row>
    <row r="349">
      <c r="A349" s="53" t="n"/>
      <c r="B349" s="53" t="n"/>
      <c r="C349" s="60" t="n"/>
      <c r="D349" s="89" t="n"/>
      <c r="E349" s="88" t="str">
        <f>IF(AND(ISNUMBER(C349),N(C349)&gt;0),3600/C349,"")</f>
        <v/>
      </c>
      <c r="F349" s="58" t="str">
        <f>IF(A349="",IF(COUNTA(B349:D349)=0,"","Référence manquante"),IF(COUNTIF($A$6:A349,A349)&gt;1,"Référence en double",IF(AND(C349&lt;&gt;"",OR(NOT(ISNUMBER(C349)),N(C349)&lt;=0)),"Cadence invalide",IF(AND(D349&lt;&gt;"",OR(NOT(ISNUMBER(D349)),N(D349)&lt;0)),"Coût invalide","OK"))))</f>
        <v/>
      </c>
    </row>
    <row r="350">
      <c r="A350" s="53" t="n"/>
      <c r="B350" s="53" t="n"/>
      <c r="C350" s="60" t="n"/>
      <c r="D350" s="89" t="n"/>
      <c r="E350" s="88" t="str">
        <f>IF(AND(ISNUMBER(C350),N(C350)&gt;0),3600/C350,"")</f>
        <v/>
      </c>
      <c r="F350" s="58" t="str">
        <f>IF(A350="",IF(COUNTA(B350:D350)=0,"","Référence manquante"),IF(COUNTIF($A$6:A350,A350)&gt;1,"Référence en double",IF(AND(C350&lt;&gt;"",OR(NOT(ISNUMBER(C350)),N(C350)&lt;=0)),"Cadence invalide",IF(AND(D350&lt;&gt;"",OR(NOT(ISNUMBER(D350)),N(D350)&lt;0)),"Coût invalide","OK"))))</f>
        <v/>
      </c>
    </row>
    <row r="351">
      <c r="A351" s="53" t="n"/>
      <c r="B351" s="53" t="n"/>
      <c r="C351" s="60" t="n"/>
      <c r="D351" s="89" t="n"/>
      <c r="E351" s="88" t="str">
        <f>IF(AND(ISNUMBER(C351),N(C351)&gt;0),3600/C351,"")</f>
        <v/>
      </c>
      <c r="F351" s="58" t="str">
        <f>IF(A351="",IF(COUNTA(B351:D351)=0,"","Référence manquante"),IF(COUNTIF($A$6:A351,A351)&gt;1,"Référence en double",IF(AND(C351&lt;&gt;"",OR(NOT(ISNUMBER(C351)),N(C351)&lt;=0)),"Cadence invalide",IF(AND(D351&lt;&gt;"",OR(NOT(ISNUMBER(D351)),N(D351)&lt;0)),"Coût invalide","OK"))))</f>
        <v/>
      </c>
    </row>
    <row r="352">
      <c r="A352" s="53" t="n"/>
      <c r="B352" s="53" t="n"/>
      <c r="C352" s="60" t="n"/>
      <c r="D352" s="89" t="n"/>
      <c r="E352" s="88" t="str">
        <f>IF(AND(ISNUMBER(C352),N(C352)&gt;0),3600/C352,"")</f>
        <v/>
      </c>
      <c r="F352" s="58" t="str">
        <f>IF(A352="",IF(COUNTA(B352:D352)=0,"","Référence manquante"),IF(COUNTIF($A$6:A352,A352)&gt;1,"Référence en double",IF(AND(C352&lt;&gt;"",OR(NOT(ISNUMBER(C352)),N(C352)&lt;=0)),"Cadence invalide",IF(AND(D352&lt;&gt;"",OR(NOT(ISNUMBER(D352)),N(D352)&lt;0)),"Coût invalide","OK"))))</f>
        <v/>
      </c>
    </row>
    <row r="353">
      <c r="A353" s="53" t="n"/>
      <c r="B353" s="53" t="n"/>
      <c r="C353" s="60" t="n"/>
      <c r="D353" s="89" t="n"/>
      <c r="E353" s="88" t="str">
        <f>IF(AND(ISNUMBER(C353),N(C353)&gt;0),3600/C353,"")</f>
        <v/>
      </c>
      <c r="F353" s="58" t="str">
        <f>IF(A353="",IF(COUNTA(B353:D353)=0,"","Référence manquante"),IF(COUNTIF($A$6:A353,A353)&gt;1,"Référence en double",IF(AND(C353&lt;&gt;"",OR(NOT(ISNUMBER(C353)),N(C353)&lt;=0)),"Cadence invalide",IF(AND(D353&lt;&gt;"",OR(NOT(ISNUMBER(D353)),N(D353)&lt;0)),"Coût invalide","OK"))))</f>
        <v/>
      </c>
    </row>
    <row r="354">
      <c r="A354" s="53" t="n"/>
      <c r="B354" s="53" t="n"/>
      <c r="C354" s="60" t="n"/>
      <c r="D354" s="89" t="n"/>
      <c r="E354" s="88" t="str">
        <f>IF(AND(ISNUMBER(C354),N(C354)&gt;0),3600/C354,"")</f>
        <v/>
      </c>
      <c r="F354" s="58" t="str">
        <f>IF(A354="",IF(COUNTA(B354:D354)=0,"","Référence manquante"),IF(COUNTIF($A$6:A354,A354)&gt;1,"Référence en double",IF(AND(C354&lt;&gt;"",OR(NOT(ISNUMBER(C354)),N(C354)&lt;=0)),"Cadence invalide",IF(AND(D354&lt;&gt;"",OR(NOT(ISNUMBER(D354)),N(D354)&lt;0)),"Coût invalide","OK"))))</f>
        <v/>
      </c>
    </row>
    <row r="355">
      <c r="A355" s="53" t="n"/>
      <c r="B355" s="53" t="n"/>
      <c r="C355" s="60" t="n"/>
      <c r="D355" s="89" t="n"/>
      <c r="E355" s="88" t="str">
        <f>IF(AND(ISNUMBER(C355),N(C355)&gt;0),3600/C355,"")</f>
        <v/>
      </c>
      <c r="F355" s="58" t="str">
        <f>IF(A355="",IF(COUNTA(B355:D355)=0,"","Référence manquante"),IF(COUNTIF($A$6:A355,A355)&gt;1,"Référence en double",IF(AND(C355&lt;&gt;"",OR(NOT(ISNUMBER(C355)),N(C355)&lt;=0)),"Cadence invalide",IF(AND(D355&lt;&gt;"",OR(NOT(ISNUMBER(D355)),N(D355)&lt;0)),"Coût invalide","OK"))))</f>
        <v/>
      </c>
    </row>
    <row r="356">
      <c r="A356" s="53" t="n"/>
      <c r="B356" s="53" t="n"/>
      <c r="C356" s="60" t="n"/>
      <c r="D356" s="89" t="n"/>
      <c r="E356" s="88" t="str">
        <f>IF(AND(ISNUMBER(C356),N(C356)&gt;0),3600/C356,"")</f>
        <v/>
      </c>
      <c r="F356" s="58" t="str">
        <f>IF(A356="",IF(COUNTA(B356:D356)=0,"","Référence manquante"),IF(COUNTIF($A$6:A356,A356)&gt;1,"Référence en double",IF(AND(C356&lt;&gt;"",OR(NOT(ISNUMBER(C356)),N(C356)&lt;=0)),"Cadence invalide",IF(AND(D356&lt;&gt;"",OR(NOT(ISNUMBER(D356)),N(D356)&lt;0)),"Coût invalide","OK"))))</f>
        <v/>
      </c>
    </row>
    <row r="357">
      <c r="A357" s="53" t="n"/>
      <c r="B357" s="53" t="n"/>
      <c r="C357" s="60" t="n"/>
      <c r="D357" s="89" t="n"/>
      <c r="E357" s="88" t="str">
        <f>IF(AND(ISNUMBER(C357),N(C357)&gt;0),3600/C357,"")</f>
        <v/>
      </c>
      <c r="F357" s="58" t="str">
        <f>IF(A357="",IF(COUNTA(B357:D357)=0,"","Référence manquante"),IF(COUNTIF($A$6:A357,A357)&gt;1,"Référence en double",IF(AND(C357&lt;&gt;"",OR(NOT(ISNUMBER(C357)),N(C357)&lt;=0)),"Cadence invalide",IF(AND(D357&lt;&gt;"",OR(NOT(ISNUMBER(D357)),N(D357)&lt;0)),"Coût invalide","OK"))))</f>
        <v/>
      </c>
    </row>
    <row r="358">
      <c r="A358" s="53" t="n"/>
      <c r="B358" s="53" t="n"/>
      <c r="C358" s="60" t="n"/>
      <c r="D358" s="89" t="n"/>
      <c r="E358" s="88" t="str">
        <f>IF(AND(ISNUMBER(C358),N(C358)&gt;0),3600/C358,"")</f>
        <v/>
      </c>
      <c r="F358" s="58" t="str">
        <f>IF(A358="",IF(COUNTA(B358:D358)=0,"","Référence manquante"),IF(COUNTIF($A$6:A358,A358)&gt;1,"Référence en double",IF(AND(C358&lt;&gt;"",OR(NOT(ISNUMBER(C358)),N(C358)&lt;=0)),"Cadence invalide",IF(AND(D358&lt;&gt;"",OR(NOT(ISNUMBER(D358)),N(D358)&lt;0)),"Coût invalide","OK"))))</f>
        <v/>
      </c>
    </row>
    <row r="359">
      <c r="A359" s="53" t="n"/>
      <c r="B359" s="53" t="n"/>
      <c r="C359" s="60" t="n"/>
      <c r="D359" s="89" t="n"/>
      <c r="E359" s="88" t="str">
        <f>IF(AND(ISNUMBER(C359),N(C359)&gt;0),3600/C359,"")</f>
        <v/>
      </c>
      <c r="F359" s="58" t="str">
        <f>IF(A359="",IF(COUNTA(B359:D359)=0,"","Référence manquante"),IF(COUNTIF($A$6:A359,A359)&gt;1,"Référence en double",IF(AND(C359&lt;&gt;"",OR(NOT(ISNUMBER(C359)),N(C359)&lt;=0)),"Cadence invalide",IF(AND(D359&lt;&gt;"",OR(NOT(ISNUMBER(D359)),N(D359)&lt;0)),"Coût invalide","OK"))))</f>
        <v/>
      </c>
    </row>
    <row r="360">
      <c r="A360" s="53" t="n"/>
      <c r="B360" s="53" t="n"/>
      <c r="C360" s="60" t="n"/>
      <c r="D360" s="89" t="n"/>
      <c r="E360" s="88" t="str">
        <f>IF(AND(ISNUMBER(C360),N(C360)&gt;0),3600/C360,"")</f>
        <v/>
      </c>
      <c r="F360" s="58" t="str">
        <f>IF(A360="",IF(COUNTA(B360:D360)=0,"","Référence manquante"),IF(COUNTIF($A$6:A360,A360)&gt;1,"Référence en double",IF(AND(C360&lt;&gt;"",OR(NOT(ISNUMBER(C360)),N(C360)&lt;=0)),"Cadence invalide",IF(AND(D360&lt;&gt;"",OR(NOT(ISNUMBER(D360)),N(D360)&lt;0)),"Coût invalide","OK"))))</f>
        <v/>
      </c>
    </row>
    <row r="361">
      <c r="A361" s="53" t="n"/>
      <c r="B361" s="53" t="n"/>
      <c r="C361" s="60" t="n"/>
      <c r="D361" s="89" t="n"/>
      <c r="E361" s="88" t="str">
        <f>IF(AND(ISNUMBER(C361),N(C361)&gt;0),3600/C361,"")</f>
        <v/>
      </c>
      <c r="F361" s="58" t="str">
        <f>IF(A361="",IF(COUNTA(B361:D361)=0,"","Référence manquante"),IF(COUNTIF($A$6:A361,A361)&gt;1,"Référence en double",IF(AND(C361&lt;&gt;"",OR(NOT(ISNUMBER(C361)),N(C361)&lt;=0)),"Cadence invalide",IF(AND(D361&lt;&gt;"",OR(NOT(ISNUMBER(D361)),N(D361)&lt;0)),"Coût invalide","OK"))))</f>
        <v/>
      </c>
    </row>
    <row r="362">
      <c r="A362" s="53" t="n"/>
      <c r="B362" s="53" t="n"/>
      <c r="C362" s="60" t="n"/>
      <c r="D362" s="89" t="n"/>
      <c r="E362" s="88" t="str">
        <f>IF(AND(ISNUMBER(C362),N(C362)&gt;0),3600/C362,"")</f>
        <v/>
      </c>
      <c r="F362" s="58" t="str">
        <f>IF(A362="",IF(COUNTA(B362:D362)=0,"","Référence manquante"),IF(COUNTIF($A$6:A362,A362)&gt;1,"Référence en double",IF(AND(C362&lt;&gt;"",OR(NOT(ISNUMBER(C362)),N(C362)&lt;=0)),"Cadence invalide",IF(AND(D362&lt;&gt;"",OR(NOT(ISNUMBER(D362)),N(D362)&lt;0)),"Coût invalide","OK"))))</f>
        <v/>
      </c>
    </row>
    <row r="363">
      <c r="A363" s="53" t="n"/>
      <c r="B363" s="53" t="n"/>
      <c r="C363" s="60" t="n"/>
      <c r="D363" s="89" t="n"/>
      <c r="E363" s="88" t="str">
        <f>IF(AND(ISNUMBER(C363),N(C363)&gt;0),3600/C363,"")</f>
        <v/>
      </c>
      <c r="F363" s="58" t="str">
        <f>IF(A363="",IF(COUNTA(B363:D363)=0,"","Référence manquante"),IF(COUNTIF($A$6:A363,A363)&gt;1,"Référence en double",IF(AND(C363&lt;&gt;"",OR(NOT(ISNUMBER(C363)),N(C363)&lt;=0)),"Cadence invalide",IF(AND(D363&lt;&gt;"",OR(NOT(ISNUMBER(D363)),N(D363)&lt;0)),"Coût invalide","OK"))))</f>
        <v/>
      </c>
    </row>
    <row r="364">
      <c r="A364" s="53" t="n"/>
      <c r="B364" s="53" t="n"/>
      <c r="C364" s="60" t="n"/>
      <c r="D364" s="89" t="n"/>
      <c r="E364" s="88" t="str">
        <f>IF(AND(ISNUMBER(C364),N(C364)&gt;0),3600/C364,"")</f>
        <v/>
      </c>
      <c r="F364" s="58" t="str">
        <f>IF(A364="",IF(COUNTA(B364:D364)=0,"","Référence manquante"),IF(COUNTIF($A$6:A364,A364)&gt;1,"Référence en double",IF(AND(C364&lt;&gt;"",OR(NOT(ISNUMBER(C364)),N(C364)&lt;=0)),"Cadence invalide",IF(AND(D364&lt;&gt;"",OR(NOT(ISNUMBER(D364)),N(D364)&lt;0)),"Coût invalide","OK"))))</f>
        <v/>
      </c>
    </row>
    <row r="365">
      <c r="A365" s="53" t="n"/>
      <c r="B365" s="53" t="n"/>
      <c r="C365" s="60" t="n"/>
      <c r="D365" s="89" t="n"/>
      <c r="E365" s="88" t="str">
        <f>IF(AND(ISNUMBER(C365),N(C365)&gt;0),3600/C365,"")</f>
        <v/>
      </c>
      <c r="F365" s="58" t="str">
        <f>IF(A365="",IF(COUNTA(B365:D365)=0,"","Référence manquante"),IF(COUNTIF($A$6:A365,A365)&gt;1,"Référence en double",IF(AND(C365&lt;&gt;"",OR(NOT(ISNUMBER(C365)),N(C365)&lt;=0)),"Cadence invalide",IF(AND(D365&lt;&gt;"",OR(NOT(ISNUMBER(D365)),N(D365)&lt;0)),"Coût invalide","OK"))))</f>
        <v/>
      </c>
    </row>
    <row r="366">
      <c r="A366" s="53" t="n"/>
      <c r="B366" s="53" t="n"/>
      <c r="C366" s="60" t="n"/>
      <c r="D366" s="89" t="n"/>
      <c r="E366" s="88" t="str">
        <f>IF(AND(ISNUMBER(C366),N(C366)&gt;0),3600/C366,"")</f>
        <v/>
      </c>
      <c r="F366" s="58" t="str">
        <f>IF(A366="",IF(COUNTA(B366:D366)=0,"","Référence manquante"),IF(COUNTIF($A$6:A366,A366)&gt;1,"Référence en double",IF(AND(C366&lt;&gt;"",OR(NOT(ISNUMBER(C366)),N(C366)&lt;=0)),"Cadence invalide",IF(AND(D366&lt;&gt;"",OR(NOT(ISNUMBER(D366)),N(D366)&lt;0)),"Coût invalide","OK"))))</f>
        <v/>
      </c>
    </row>
    <row r="367">
      <c r="A367" s="53" t="n"/>
      <c r="B367" s="53" t="n"/>
      <c r="C367" s="60" t="n"/>
      <c r="D367" s="89" t="n"/>
      <c r="E367" s="88" t="str">
        <f>IF(AND(ISNUMBER(C367),N(C367)&gt;0),3600/C367,"")</f>
        <v/>
      </c>
      <c r="F367" s="58" t="str">
        <f>IF(A367="",IF(COUNTA(B367:D367)=0,"","Référence manquante"),IF(COUNTIF($A$6:A367,A367)&gt;1,"Référence en double",IF(AND(C367&lt;&gt;"",OR(NOT(ISNUMBER(C367)),N(C367)&lt;=0)),"Cadence invalide",IF(AND(D367&lt;&gt;"",OR(NOT(ISNUMBER(D367)),N(D367)&lt;0)),"Coût invalide","OK"))))</f>
        <v/>
      </c>
    </row>
    <row r="368">
      <c r="A368" s="53" t="n"/>
      <c r="B368" s="53" t="n"/>
      <c r="C368" s="60" t="n"/>
      <c r="D368" s="89" t="n"/>
      <c r="E368" s="88" t="str">
        <f>IF(AND(ISNUMBER(C368),N(C368)&gt;0),3600/C368,"")</f>
        <v/>
      </c>
      <c r="F368" s="58" t="str">
        <f>IF(A368="",IF(COUNTA(B368:D368)=0,"","Référence manquante"),IF(COUNTIF($A$6:A368,A368)&gt;1,"Référence en double",IF(AND(C368&lt;&gt;"",OR(NOT(ISNUMBER(C368)),N(C368)&lt;=0)),"Cadence invalide",IF(AND(D368&lt;&gt;"",OR(NOT(ISNUMBER(D368)),N(D368)&lt;0)),"Coût invalide","OK"))))</f>
        <v/>
      </c>
    </row>
    <row r="369">
      <c r="A369" s="53" t="n"/>
      <c r="B369" s="53" t="n"/>
      <c r="C369" s="60" t="n"/>
      <c r="D369" s="89" t="n"/>
      <c r="E369" s="88" t="str">
        <f>IF(AND(ISNUMBER(C369),N(C369)&gt;0),3600/C369,"")</f>
        <v/>
      </c>
      <c r="F369" s="58" t="str">
        <f>IF(A369="",IF(COUNTA(B369:D369)=0,"","Référence manquante"),IF(COUNTIF($A$6:A369,A369)&gt;1,"Référence en double",IF(AND(C369&lt;&gt;"",OR(NOT(ISNUMBER(C369)),N(C369)&lt;=0)),"Cadence invalide",IF(AND(D369&lt;&gt;"",OR(NOT(ISNUMBER(D369)),N(D369)&lt;0)),"Coût invalide","OK"))))</f>
        <v/>
      </c>
    </row>
    <row r="370">
      <c r="A370" s="53" t="n"/>
      <c r="B370" s="53" t="n"/>
      <c r="C370" s="60" t="n"/>
      <c r="D370" s="89" t="n"/>
      <c r="E370" s="88" t="str">
        <f>IF(AND(ISNUMBER(C370),N(C370)&gt;0),3600/C370,"")</f>
        <v/>
      </c>
      <c r="F370" s="58" t="str">
        <f>IF(A370="",IF(COUNTA(B370:D370)=0,"","Référence manquante"),IF(COUNTIF($A$6:A370,A370)&gt;1,"Référence en double",IF(AND(C370&lt;&gt;"",OR(NOT(ISNUMBER(C370)),N(C370)&lt;=0)),"Cadence invalide",IF(AND(D370&lt;&gt;"",OR(NOT(ISNUMBER(D370)),N(D370)&lt;0)),"Coût invalide","OK"))))</f>
        <v/>
      </c>
    </row>
    <row r="371">
      <c r="A371" s="53" t="n"/>
      <c r="B371" s="53" t="n"/>
      <c r="C371" s="60" t="n"/>
      <c r="D371" s="89" t="n"/>
      <c r="E371" s="88" t="str">
        <f>IF(AND(ISNUMBER(C371),N(C371)&gt;0),3600/C371,"")</f>
        <v/>
      </c>
      <c r="F371" s="58" t="str">
        <f>IF(A371="",IF(COUNTA(B371:D371)=0,"","Référence manquante"),IF(COUNTIF($A$6:A371,A371)&gt;1,"Référence en double",IF(AND(C371&lt;&gt;"",OR(NOT(ISNUMBER(C371)),N(C371)&lt;=0)),"Cadence invalide",IF(AND(D371&lt;&gt;"",OR(NOT(ISNUMBER(D371)),N(D371)&lt;0)),"Coût invalide","OK"))))</f>
        <v/>
      </c>
    </row>
    <row r="372">
      <c r="A372" s="53" t="n"/>
      <c r="B372" s="53" t="n"/>
      <c r="C372" s="60" t="n"/>
      <c r="D372" s="89" t="n"/>
      <c r="E372" s="88" t="str">
        <f>IF(AND(ISNUMBER(C372),N(C372)&gt;0),3600/C372,"")</f>
        <v/>
      </c>
      <c r="F372" s="58" t="str">
        <f>IF(A372="",IF(COUNTA(B372:D372)=0,"","Référence manquante"),IF(COUNTIF($A$6:A372,A372)&gt;1,"Référence en double",IF(AND(C372&lt;&gt;"",OR(NOT(ISNUMBER(C372)),N(C372)&lt;=0)),"Cadence invalide",IF(AND(D372&lt;&gt;"",OR(NOT(ISNUMBER(D372)),N(D372)&lt;0)),"Coût invalide","OK"))))</f>
        <v/>
      </c>
    </row>
    <row r="373">
      <c r="A373" s="53" t="n"/>
      <c r="B373" s="53" t="n"/>
      <c r="C373" s="60" t="n"/>
      <c r="D373" s="89" t="n"/>
      <c r="E373" s="88" t="str">
        <f>IF(AND(ISNUMBER(C373),N(C373)&gt;0),3600/C373,"")</f>
        <v/>
      </c>
      <c r="F373" s="58" t="str">
        <f>IF(A373="",IF(COUNTA(B373:D373)=0,"","Référence manquante"),IF(COUNTIF($A$6:A373,A373)&gt;1,"Référence en double",IF(AND(C373&lt;&gt;"",OR(NOT(ISNUMBER(C373)),N(C373)&lt;=0)),"Cadence invalide",IF(AND(D373&lt;&gt;"",OR(NOT(ISNUMBER(D373)),N(D373)&lt;0)),"Coût invalide","OK"))))</f>
        <v/>
      </c>
    </row>
    <row r="374">
      <c r="A374" s="53" t="n"/>
      <c r="B374" s="53" t="n"/>
      <c r="C374" s="60" t="n"/>
      <c r="D374" s="89" t="n"/>
      <c r="E374" s="88" t="str">
        <f>IF(AND(ISNUMBER(C374),N(C374)&gt;0),3600/C374,"")</f>
        <v/>
      </c>
      <c r="F374" s="58" t="str">
        <f>IF(A374="",IF(COUNTA(B374:D374)=0,"","Référence manquante"),IF(COUNTIF($A$6:A374,A374)&gt;1,"Référence en double",IF(AND(C374&lt;&gt;"",OR(NOT(ISNUMBER(C374)),N(C374)&lt;=0)),"Cadence invalide",IF(AND(D374&lt;&gt;"",OR(NOT(ISNUMBER(D374)),N(D374)&lt;0)),"Coût invalide","OK"))))</f>
        <v/>
      </c>
    </row>
    <row r="375">
      <c r="A375" s="53" t="n"/>
      <c r="B375" s="53" t="n"/>
      <c r="C375" s="60" t="n"/>
      <c r="D375" s="89" t="n"/>
      <c r="E375" s="88" t="str">
        <f>IF(AND(ISNUMBER(C375),N(C375)&gt;0),3600/C375,"")</f>
        <v/>
      </c>
      <c r="F375" s="58" t="str">
        <f>IF(A375="",IF(COUNTA(B375:D375)=0,"","Référence manquante"),IF(COUNTIF($A$6:A375,A375)&gt;1,"Référence en double",IF(AND(C375&lt;&gt;"",OR(NOT(ISNUMBER(C375)),N(C375)&lt;=0)),"Cadence invalide",IF(AND(D375&lt;&gt;"",OR(NOT(ISNUMBER(D375)),N(D375)&lt;0)),"Coût invalide","OK"))))</f>
        <v/>
      </c>
    </row>
    <row r="376">
      <c r="A376" s="53" t="n"/>
      <c r="B376" s="53" t="n"/>
      <c r="C376" s="60" t="n"/>
      <c r="D376" s="89" t="n"/>
      <c r="E376" s="88" t="str">
        <f>IF(AND(ISNUMBER(C376),N(C376)&gt;0),3600/C376,"")</f>
        <v/>
      </c>
      <c r="F376" s="58" t="str">
        <f>IF(A376="",IF(COUNTA(B376:D376)=0,"","Référence manquante"),IF(COUNTIF($A$6:A376,A376)&gt;1,"Référence en double",IF(AND(C376&lt;&gt;"",OR(NOT(ISNUMBER(C376)),N(C376)&lt;=0)),"Cadence invalide",IF(AND(D376&lt;&gt;"",OR(NOT(ISNUMBER(D376)),N(D376)&lt;0)),"Coût invalide","OK"))))</f>
        <v/>
      </c>
    </row>
    <row r="377">
      <c r="A377" s="53" t="n"/>
      <c r="B377" s="53" t="n"/>
      <c r="C377" s="60" t="n"/>
      <c r="D377" s="89" t="n"/>
      <c r="E377" s="88" t="str">
        <f>IF(AND(ISNUMBER(C377),N(C377)&gt;0),3600/C377,"")</f>
        <v/>
      </c>
      <c r="F377" s="58" t="str">
        <f>IF(A377="",IF(COUNTA(B377:D377)=0,"","Référence manquante"),IF(COUNTIF($A$6:A377,A377)&gt;1,"Référence en double",IF(AND(C377&lt;&gt;"",OR(NOT(ISNUMBER(C377)),N(C377)&lt;=0)),"Cadence invalide",IF(AND(D377&lt;&gt;"",OR(NOT(ISNUMBER(D377)),N(D377)&lt;0)),"Coût invalide","OK"))))</f>
        <v/>
      </c>
    </row>
    <row r="378">
      <c r="A378" s="53" t="n"/>
      <c r="B378" s="53" t="n"/>
      <c r="C378" s="60" t="n"/>
      <c r="D378" s="89" t="n"/>
      <c r="E378" s="88" t="str">
        <f>IF(AND(ISNUMBER(C378),N(C378)&gt;0),3600/C378,"")</f>
        <v/>
      </c>
      <c r="F378" s="58" t="str">
        <f>IF(A378="",IF(COUNTA(B378:D378)=0,"","Référence manquante"),IF(COUNTIF($A$6:A378,A378)&gt;1,"Référence en double",IF(AND(C378&lt;&gt;"",OR(NOT(ISNUMBER(C378)),N(C378)&lt;=0)),"Cadence invalide",IF(AND(D378&lt;&gt;"",OR(NOT(ISNUMBER(D378)),N(D378)&lt;0)),"Coût invalide","OK"))))</f>
        <v/>
      </c>
    </row>
    <row r="379">
      <c r="A379" s="53" t="n"/>
      <c r="B379" s="53" t="n"/>
      <c r="C379" s="60" t="n"/>
      <c r="D379" s="89" t="n"/>
      <c r="E379" s="88" t="str">
        <f>IF(AND(ISNUMBER(C379),N(C379)&gt;0),3600/C379,"")</f>
        <v/>
      </c>
      <c r="F379" s="58" t="str">
        <f>IF(A379="",IF(COUNTA(B379:D379)=0,"","Référence manquante"),IF(COUNTIF($A$6:A379,A379)&gt;1,"Référence en double",IF(AND(C379&lt;&gt;"",OR(NOT(ISNUMBER(C379)),N(C379)&lt;=0)),"Cadence invalide",IF(AND(D379&lt;&gt;"",OR(NOT(ISNUMBER(D379)),N(D379)&lt;0)),"Coût invalide","OK"))))</f>
        <v/>
      </c>
    </row>
    <row r="380">
      <c r="A380" s="53" t="n"/>
      <c r="B380" s="53" t="n"/>
      <c r="C380" s="60" t="n"/>
      <c r="D380" s="89" t="n"/>
      <c r="E380" s="88" t="str">
        <f>IF(AND(ISNUMBER(C380),N(C380)&gt;0),3600/C380,"")</f>
        <v/>
      </c>
      <c r="F380" s="58" t="str">
        <f>IF(A380="",IF(COUNTA(B380:D380)=0,"","Référence manquante"),IF(COUNTIF($A$6:A380,A380)&gt;1,"Référence en double",IF(AND(C380&lt;&gt;"",OR(NOT(ISNUMBER(C380)),N(C380)&lt;=0)),"Cadence invalide",IF(AND(D380&lt;&gt;"",OR(NOT(ISNUMBER(D380)),N(D380)&lt;0)),"Coût invalide","OK"))))</f>
        <v/>
      </c>
    </row>
    <row r="381">
      <c r="A381" s="53" t="n"/>
      <c r="B381" s="53" t="n"/>
      <c r="C381" s="60" t="n"/>
      <c r="D381" s="89" t="n"/>
      <c r="E381" s="88" t="str">
        <f>IF(AND(ISNUMBER(C381),N(C381)&gt;0),3600/C381,"")</f>
        <v/>
      </c>
      <c r="F381" s="58" t="str">
        <f>IF(A381="",IF(COUNTA(B381:D381)=0,"","Référence manquante"),IF(COUNTIF($A$6:A381,A381)&gt;1,"Référence en double",IF(AND(C381&lt;&gt;"",OR(NOT(ISNUMBER(C381)),N(C381)&lt;=0)),"Cadence invalide",IF(AND(D381&lt;&gt;"",OR(NOT(ISNUMBER(D381)),N(D381)&lt;0)),"Coût invalide","OK"))))</f>
        <v/>
      </c>
    </row>
    <row r="382">
      <c r="A382" s="53" t="n"/>
      <c r="B382" s="53" t="n"/>
      <c r="C382" s="60" t="n"/>
      <c r="D382" s="89" t="n"/>
      <c r="E382" s="88" t="str">
        <f>IF(AND(ISNUMBER(C382),N(C382)&gt;0),3600/C382,"")</f>
        <v/>
      </c>
      <c r="F382" s="58" t="str">
        <f>IF(A382="",IF(COUNTA(B382:D382)=0,"","Référence manquante"),IF(COUNTIF($A$6:A382,A382)&gt;1,"Référence en double",IF(AND(C382&lt;&gt;"",OR(NOT(ISNUMBER(C382)),N(C382)&lt;=0)),"Cadence invalide",IF(AND(D382&lt;&gt;"",OR(NOT(ISNUMBER(D382)),N(D382)&lt;0)),"Coût invalide","OK"))))</f>
        <v/>
      </c>
    </row>
    <row r="383">
      <c r="A383" s="53" t="n"/>
      <c r="B383" s="53" t="n"/>
      <c r="C383" s="60" t="n"/>
      <c r="D383" s="89" t="n"/>
      <c r="E383" s="88" t="str">
        <f>IF(AND(ISNUMBER(C383),N(C383)&gt;0),3600/C383,"")</f>
        <v/>
      </c>
      <c r="F383" s="58" t="str">
        <f>IF(A383="",IF(COUNTA(B383:D383)=0,"","Référence manquante"),IF(COUNTIF($A$6:A383,A383)&gt;1,"Référence en double",IF(AND(C383&lt;&gt;"",OR(NOT(ISNUMBER(C383)),N(C383)&lt;=0)),"Cadence invalide",IF(AND(D383&lt;&gt;"",OR(NOT(ISNUMBER(D383)),N(D383)&lt;0)),"Coût invalide","OK"))))</f>
        <v/>
      </c>
    </row>
    <row r="384">
      <c r="A384" s="53" t="n"/>
      <c r="B384" s="53" t="n"/>
      <c r="C384" s="60" t="n"/>
      <c r="D384" s="89" t="n"/>
      <c r="E384" s="88" t="str">
        <f>IF(AND(ISNUMBER(C384),N(C384)&gt;0),3600/C384,"")</f>
        <v/>
      </c>
      <c r="F384" s="58" t="str">
        <f>IF(A384="",IF(COUNTA(B384:D384)=0,"","Référence manquante"),IF(COUNTIF($A$6:A384,A384)&gt;1,"Référence en double",IF(AND(C384&lt;&gt;"",OR(NOT(ISNUMBER(C384)),N(C384)&lt;=0)),"Cadence invalide",IF(AND(D384&lt;&gt;"",OR(NOT(ISNUMBER(D384)),N(D384)&lt;0)),"Coût invalide","OK"))))</f>
        <v/>
      </c>
    </row>
    <row r="385">
      <c r="A385" s="53" t="n"/>
      <c r="B385" s="53" t="n"/>
      <c r="C385" s="60" t="n"/>
      <c r="D385" s="89" t="n"/>
      <c r="E385" s="88" t="str">
        <f>IF(AND(ISNUMBER(C385),N(C385)&gt;0),3600/C385,"")</f>
        <v/>
      </c>
      <c r="F385" s="58" t="str">
        <f>IF(A385="",IF(COUNTA(B385:D385)=0,"","Référence manquante"),IF(COUNTIF($A$6:A385,A385)&gt;1,"Référence en double",IF(AND(C385&lt;&gt;"",OR(NOT(ISNUMBER(C385)),N(C385)&lt;=0)),"Cadence invalide",IF(AND(D385&lt;&gt;"",OR(NOT(ISNUMBER(D385)),N(D385)&lt;0)),"Coût invalide","OK"))))</f>
        <v/>
      </c>
    </row>
    <row r="386">
      <c r="A386" s="53" t="n"/>
      <c r="B386" s="53" t="n"/>
      <c r="C386" s="60" t="n"/>
      <c r="D386" s="89" t="n"/>
      <c r="E386" s="88" t="str">
        <f>IF(AND(ISNUMBER(C386),N(C386)&gt;0),3600/C386,"")</f>
        <v/>
      </c>
      <c r="F386" s="58" t="str">
        <f>IF(A386="",IF(COUNTA(B386:D386)=0,"","Référence manquante"),IF(COUNTIF($A$6:A386,A386)&gt;1,"Référence en double",IF(AND(C386&lt;&gt;"",OR(NOT(ISNUMBER(C386)),N(C386)&lt;=0)),"Cadence invalide",IF(AND(D386&lt;&gt;"",OR(NOT(ISNUMBER(D386)),N(D386)&lt;0)),"Coût invalide","OK"))))</f>
        <v/>
      </c>
    </row>
    <row r="387">
      <c r="A387" s="53" t="n"/>
      <c r="B387" s="53" t="n"/>
      <c r="C387" s="60" t="n"/>
      <c r="D387" s="89" t="n"/>
      <c r="E387" s="88" t="str">
        <f>IF(AND(ISNUMBER(C387),N(C387)&gt;0),3600/C387,"")</f>
        <v/>
      </c>
      <c r="F387" s="58" t="str">
        <f>IF(A387="",IF(COUNTA(B387:D387)=0,"","Référence manquante"),IF(COUNTIF($A$6:A387,A387)&gt;1,"Référence en double",IF(AND(C387&lt;&gt;"",OR(NOT(ISNUMBER(C387)),N(C387)&lt;=0)),"Cadence invalide",IF(AND(D387&lt;&gt;"",OR(NOT(ISNUMBER(D387)),N(D387)&lt;0)),"Coût invalide","OK"))))</f>
        <v/>
      </c>
    </row>
    <row r="388">
      <c r="A388" s="53" t="n"/>
      <c r="B388" s="53" t="n"/>
      <c r="C388" s="60" t="n"/>
      <c r="D388" s="89" t="n"/>
      <c r="E388" s="88" t="str">
        <f>IF(AND(ISNUMBER(C388),N(C388)&gt;0),3600/C388,"")</f>
        <v/>
      </c>
      <c r="F388" s="58" t="str">
        <f>IF(A388="",IF(COUNTA(B388:D388)=0,"","Référence manquante"),IF(COUNTIF($A$6:A388,A388)&gt;1,"Référence en double",IF(AND(C388&lt;&gt;"",OR(NOT(ISNUMBER(C388)),N(C388)&lt;=0)),"Cadence invalide",IF(AND(D388&lt;&gt;"",OR(NOT(ISNUMBER(D388)),N(D388)&lt;0)),"Coût invalide","OK"))))</f>
        <v/>
      </c>
    </row>
    <row r="389">
      <c r="A389" s="53" t="n"/>
      <c r="B389" s="53" t="n"/>
      <c r="C389" s="60" t="n"/>
      <c r="D389" s="89" t="n"/>
      <c r="E389" s="88" t="str">
        <f>IF(AND(ISNUMBER(C389),N(C389)&gt;0),3600/C389,"")</f>
        <v/>
      </c>
      <c r="F389" s="58" t="str">
        <f>IF(A389="",IF(COUNTA(B389:D389)=0,"","Référence manquante"),IF(COUNTIF($A$6:A389,A389)&gt;1,"Référence en double",IF(AND(C389&lt;&gt;"",OR(NOT(ISNUMBER(C389)),N(C389)&lt;=0)),"Cadence invalide",IF(AND(D389&lt;&gt;"",OR(NOT(ISNUMBER(D389)),N(D389)&lt;0)),"Coût invalide","OK"))))</f>
        <v/>
      </c>
    </row>
    <row r="390">
      <c r="A390" s="53" t="n"/>
      <c r="B390" s="53" t="n"/>
      <c r="C390" s="60" t="n"/>
      <c r="D390" s="89" t="n"/>
      <c r="E390" s="88" t="str">
        <f>IF(AND(ISNUMBER(C390),N(C390)&gt;0),3600/C390,"")</f>
        <v/>
      </c>
      <c r="F390" s="58" t="str">
        <f>IF(A390="",IF(COUNTA(B390:D390)=0,"","Référence manquante"),IF(COUNTIF($A$6:A390,A390)&gt;1,"Référence en double",IF(AND(C390&lt;&gt;"",OR(NOT(ISNUMBER(C390)),N(C390)&lt;=0)),"Cadence invalide",IF(AND(D390&lt;&gt;"",OR(NOT(ISNUMBER(D390)),N(D390)&lt;0)),"Coût invalide","OK"))))</f>
        <v/>
      </c>
    </row>
    <row r="391">
      <c r="A391" s="53" t="n"/>
      <c r="B391" s="53" t="n"/>
      <c r="C391" s="60" t="n"/>
      <c r="D391" s="89" t="n"/>
      <c r="E391" s="88" t="str">
        <f>IF(AND(ISNUMBER(C391),N(C391)&gt;0),3600/C391,"")</f>
        <v/>
      </c>
      <c r="F391" s="58" t="str">
        <f>IF(A391="",IF(COUNTA(B391:D391)=0,"","Référence manquante"),IF(COUNTIF($A$6:A391,A391)&gt;1,"Référence en double",IF(AND(C391&lt;&gt;"",OR(NOT(ISNUMBER(C391)),N(C391)&lt;=0)),"Cadence invalide",IF(AND(D391&lt;&gt;"",OR(NOT(ISNUMBER(D391)),N(D391)&lt;0)),"Coût invalide","OK"))))</f>
        <v/>
      </c>
    </row>
    <row r="392">
      <c r="A392" s="53" t="n"/>
      <c r="B392" s="53" t="n"/>
      <c r="C392" s="60" t="n"/>
      <c r="D392" s="89" t="n"/>
      <c r="E392" s="88" t="str">
        <f>IF(AND(ISNUMBER(C392),N(C392)&gt;0),3600/C392,"")</f>
        <v/>
      </c>
      <c r="F392" s="58" t="str">
        <f>IF(A392="",IF(COUNTA(B392:D392)=0,"","Référence manquante"),IF(COUNTIF($A$6:A392,A392)&gt;1,"Référence en double",IF(AND(C392&lt;&gt;"",OR(NOT(ISNUMBER(C392)),N(C392)&lt;=0)),"Cadence invalide",IF(AND(D392&lt;&gt;"",OR(NOT(ISNUMBER(D392)),N(D392)&lt;0)),"Coût invalide","OK"))))</f>
        <v/>
      </c>
    </row>
    <row r="393">
      <c r="A393" s="53" t="n"/>
      <c r="B393" s="53" t="n"/>
      <c r="C393" s="60" t="n"/>
      <c r="D393" s="89" t="n"/>
      <c r="E393" s="88" t="str">
        <f>IF(AND(ISNUMBER(C393),N(C393)&gt;0),3600/C393,"")</f>
        <v/>
      </c>
      <c r="F393" s="58" t="str">
        <f>IF(A393="",IF(COUNTA(B393:D393)=0,"","Référence manquante"),IF(COUNTIF($A$6:A393,A393)&gt;1,"Référence en double",IF(AND(C393&lt;&gt;"",OR(NOT(ISNUMBER(C393)),N(C393)&lt;=0)),"Cadence invalide",IF(AND(D393&lt;&gt;"",OR(NOT(ISNUMBER(D393)),N(D393)&lt;0)),"Coût invalide","OK"))))</f>
        <v/>
      </c>
    </row>
    <row r="394">
      <c r="A394" s="53" t="n"/>
      <c r="B394" s="53" t="n"/>
      <c r="C394" s="60" t="n"/>
      <c r="D394" s="89" t="n"/>
      <c r="E394" s="88" t="str">
        <f>IF(AND(ISNUMBER(C394),N(C394)&gt;0),3600/C394,"")</f>
        <v/>
      </c>
      <c r="F394" s="58" t="str">
        <f>IF(A394="",IF(COUNTA(B394:D394)=0,"","Référence manquante"),IF(COUNTIF($A$6:A394,A394)&gt;1,"Référence en double",IF(AND(C394&lt;&gt;"",OR(NOT(ISNUMBER(C394)),N(C394)&lt;=0)),"Cadence invalide",IF(AND(D394&lt;&gt;"",OR(NOT(ISNUMBER(D394)),N(D394)&lt;0)),"Coût invalide","OK"))))</f>
        <v/>
      </c>
    </row>
    <row r="395">
      <c r="A395" s="53" t="n"/>
      <c r="B395" s="53" t="n"/>
      <c r="C395" s="60" t="n"/>
      <c r="D395" s="89" t="n"/>
      <c r="E395" s="88" t="str">
        <f>IF(AND(ISNUMBER(C395),N(C395)&gt;0),3600/C395,"")</f>
        <v/>
      </c>
      <c r="F395" s="58" t="str">
        <f>IF(A395="",IF(COUNTA(B395:D395)=0,"","Référence manquante"),IF(COUNTIF($A$6:A395,A395)&gt;1,"Référence en double",IF(AND(C395&lt;&gt;"",OR(NOT(ISNUMBER(C395)),N(C395)&lt;=0)),"Cadence invalide",IF(AND(D395&lt;&gt;"",OR(NOT(ISNUMBER(D395)),N(D395)&lt;0)),"Coût invalide","OK"))))</f>
        <v/>
      </c>
    </row>
    <row r="396">
      <c r="A396" s="53" t="n"/>
      <c r="B396" s="53" t="n"/>
      <c r="C396" s="60" t="n"/>
      <c r="D396" s="89" t="n"/>
      <c r="E396" s="88" t="str">
        <f>IF(AND(ISNUMBER(C396),N(C396)&gt;0),3600/C396,"")</f>
        <v/>
      </c>
      <c r="F396" s="58" t="str">
        <f>IF(A396="",IF(COUNTA(B396:D396)=0,"","Référence manquante"),IF(COUNTIF($A$6:A396,A396)&gt;1,"Référence en double",IF(AND(C396&lt;&gt;"",OR(NOT(ISNUMBER(C396)),N(C396)&lt;=0)),"Cadence invalide",IF(AND(D396&lt;&gt;"",OR(NOT(ISNUMBER(D396)),N(D396)&lt;0)),"Coût invalide","OK"))))</f>
        <v/>
      </c>
    </row>
    <row r="397">
      <c r="A397" s="53" t="n"/>
      <c r="B397" s="53" t="n"/>
      <c r="C397" s="60" t="n"/>
      <c r="D397" s="89" t="n"/>
      <c r="E397" s="88" t="str">
        <f>IF(AND(ISNUMBER(C397),N(C397)&gt;0),3600/C397,"")</f>
        <v/>
      </c>
      <c r="F397" s="58" t="str">
        <f>IF(A397="",IF(COUNTA(B397:D397)=0,"","Référence manquante"),IF(COUNTIF($A$6:A397,A397)&gt;1,"Référence en double",IF(AND(C397&lt;&gt;"",OR(NOT(ISNUMBER(C397)),N(C397)&lt;=0)),"Cadence invalide",IF(AND(D397&lt;&gt;"",OR(NOT(ISNUMBER(D397)),N(D397)&lt;0)),"Coût invalide","OK"))))</f>
        <v/>
      </c>
    </row>
    <row r="398">
      <c r="A398" s="53" t="n"/>
      <c r="B398" s="53" t="n"/>
      <c r="C398" s="60" t="n"/>
      <c r="D398" s="89" t="n"/>
      <c r="E398" s="88" t="str">
        <f>IF(AND(ISNUMBER(C398),N(C398)&gt;0),3600/C398,"")</f>
        <v/>
      </c>
      <c r="F398" s="58" t="str">
        <f>IF(A398="",IF(COUNTA(B398:D398)=0,"","Référence manquante"),IF(COUNTIF($A$6:A398,A398)&gt;1,"Référence en double",IF(AND(C398&lt;&gt;"",OR(NOT(ISNUMBER(C398)),N(C398)&lt;=0)),"Cadence invalide",IF(AND(D398&lt;&gt;"",OR(NOT(ISNUMBER(D398)),N(D398)&lt;0)),"Coût invalide","OK"))))</f>
        <v/>
      </c>
    </row>
    <row r="399">
      <c r="A399" s="53" t="n"/>
      <c r="B399" s="53" t="n"/>
      <c r="C399" s="60" t="n"/>
      <c r="D399" s="89" t="n"/>
      <c r="E399" s="88" t="str">
        <f>IF(AND(ISNUMBER(C399),N(C399)&gt;0),3600/C399,"")</f>
        <v/>
      </c>
      <c r="F399" s="58" t="str">
        <f>IF(A399="",IF(COUNTA(B399:D399)=0,"","Référence manquante"),IF(COUNTIF($A$6:A399,A399)&gt;1,"Référence en double",IF(AND(C399&lt;&gt;"",OR(NOT(ISNUMBER(C399)),N(C399)&lt;=0)),"Cadence invalide",IF(AND(D399&lt;&gt;"",OR(NOT(ISNUMBER(D399)),N(D399)&lt;0)),"Coût invalide","OK"))))</f>
        <v/>
      </c>
    </row>
    <row r="400">
      <c r="A400" s="53" t="n"/>
      <c r="B400" s="53" t="n"/>
      <c r="C400" s="60" t="n"/>
      <c r="D400" s="89" t="n"/>
      <c r="E400" s="88" t="str">
        <f>IF(AND(ISNUMBER(C400),N(C400)&gt;0),3600/C400,"")</f>
        <v/>
      </c>
      <c r="F400" s="58" t="str">
        <f>IF(A400="",IF(COUNTA(B400:D400)=0,"","Référence manquante"),IF(COUNTIF($A$6:A400,A400)&gt;1,"Référence en double",IF(AND(C400&lt;&gt;"",OR(NOT(ISNUMBER(C400)),N(C400)&lt;=0)),"Cadence invalide",IF(AND(D400&lt;&gt;"",OR(NOT(ISNUMBER(D400)),N(D400)&lt;0)),"Coût invalide","OK"))))</f>
        <v/>
      </c>
    </row>
    <row r="401">
      <c r="A401" s="53" t="n"/>
      <c r="B401" s="53" t="n"/>
      <c r="C401" s="60" t="n"/>
      <c r="D401" s="89" t="n"/>
      <c r="E401" s="88" t="str">
        <f>IF(AND(ISNUMBER(C401),N(C401)&gt;0),3600/C401,"")</f>
        <v/>
      </c>
      <c r="F401" s="58" t="str">
        <f>IF(A401="",IF(COUNTA(B401:D401)=0,"","Référence manquante"),IF(COUNTIF($A$6:A401,A401)&gt;1,"Référence en double",IF(AND(C401&lt;&gt;"",OR(NOT(ISNUMBER(C401)),N(C401)&lt;=0)),"Cadence invalide",IF(AND(D401&lt;&gt;"",OR(NOT(ISNUMBER(D401)),N(D401)&lt;0)),"Coût invalide","OK"))))</f>
        <v/>
      </c>
    </row>
    <row r="402">
      <c r="A402" s="53" t="n"/>
      <c r="B402" s="53" t="n"/>
      <c r="C402" s="60" t="n"/>
      <c r="D402" s="89" t="n"/>
      <c r="E402" s="88" t="str">
        <f>IF(AND(ISNUMBER(C402),N(C402)&gt;0),3600/C402,"")</f>
        <v/>
      </c>
      <c r="F402" s="58" t="str">
        <f>IF(A402="",IF(COUNTA(B402:D402)=0,"","Référence manquante"),IF(COUNTIF($A$6:A402,A402)&gt;1,"Référence en double",IF(AND(C402&lt;&gt;"",OR(NOT(ISNUMBER(C402)),N(C402)&lt;=0)),"Cadence invalide",IF(AND(D402&lt;&gt;"",OR(NOT(ISNUMBER(D402)),N(D402)&lt;0)),"Coût invalide","OK"))))</f>
        <v/>
      </c>
    </row>
    <row r="403">
      <c r="A403" s="53" t="n"/>
      <c r="B403" s="53" t="n"/>
      <c r="C403" s="60" t="n"/>
      <c r="D403" s="89" t="n"/>
      <c r="E403" s="88" t="str">
        <f>IF(AND(ISNUMBER(C403),N(C403)&gt;0),3600/C403,"")</f>
        <v/>
      </c>
      <c r="F403" s="58" t="str">
        <f>IF(A403="",IF(COUNTA(B403:D403)=0,"","Référence manquante"),IF(COUNTIF($A$6:A403,A403)&gt;1,"Référence en double",IF(AND(C403&lt;&gt;"",OR(NOT(ISNUMBER(C403)),N(C403)&lt;=0)),"Cadence invalide",IF(AND(D403&lt;&gt;"",OR(NOT(ISNUMBER(D403)),N(D403)&lt;0)),"Coût invalide","OK"))))</f>
        <v/>
      </c>
    </row>
    <row r="404">
      <c r="A404" s="53" t="n"/>
      <c r="B404" s="53" t="n"/>
      <c r="C404" s="60" t="n"/>
      <c r="D404" s="89" t="n"/>
      <c r="E404" s="88" t="str">
        <f>IF(AND(ISNUMBER(C404),N(C404)&gt;0),3600/C404,"")</f>
        <v/>
      </c>
      <c r="F404" s="58" t="str">
        <f>IF(A404="",IF(COUNTA(B404:D404)=0,"","Référence manquante"),IF(COUNTIF($A$6:A404,A404)&gt;1,"Référence en double",IF(AND(C404&lt;&gt;"",OR(NOT(ISNUMBER(C404)),N(C404)&lt;=0)),"Cadence invalide",IF(AND(D404&lt;&gt;"",OR(NOT(ISNUMBER(D404)),N(D404)&lt;0)),"Coût invalide","OK"))))</f>
        <v/>
      </c>
    </row>
    <row r="405">
      <c r="A405" s="53" t="n"/>
      <c r="B405" s="53" t="n"/>
      <c r="C405" s="60" t="n"/>
      <c r="D405" s="89" t="n"/>
      <c r="E405" s="88" t="str">
        <f>IF(AND(ISNUMBER(C405),N(C405)&gt;0),3600/C405,"")</f>
        <v/>
      </c>
      <c r="F405" s="58" t="str">
        <f>IF(A405="",IF(COUNTA(B405:D405)=0,"","Référence manquante"),IF(COUNTIF($A$6:A405,A405)&gt;1,"Référence en double",IF(AND(C405&lt;&gt;"",OR(NOT(ISNUMBER(C405)),N(C405)&lt;=0)),"Cadence invalide",IF(AND(D405&lt;&gt;"",OR(NOT(ISNUMBER(D405)),N(D405)&lt;0)),"Coût invalide","OK"))))</f>
        <v/>
      </c>
    </row>
    <row r="406">
      <c r="A406" s="53" t="n"/>
      <c r="B406" s="53" t="n"/>
      <c r="C406" s="60" t="n"/>
      <c r="D406" s="89" t="n"/>
      <c r="E406" s="88" t="str">
        <f>IF(AND(ISNUMBER(C406),N(C406)&gt;0),3600/C406,"")</f>
        <v/>
      </c>
      <c r="F406" s="58" t="str">
        <f>IF(A406="",IF(COUNTA(B406:D406)=0,"","Référence manquante"),IF(COUNTIF($A$6:A406,A406)&gt;1,"Référence en double",IF(AND(C406&lt;&gt;"",OR(NOT(ISNUMBER(C406)),N(C406)&lt;=0)),"Cadence invalide",IF(AND(D406&lt;&gt;"",OR(NOT(ISNUMBER(D406)),N(D406)&lt;0)),"Coût invalide","OK"))))</f>
        <v/>
      </c>
    </row>
    <row r="407">
      <c r="A407" s="53" t="n"/>
      <c r="B407" s="53" t="n"/>
      <c r="C407" s="60" t="n"/>
      <c r="D407" s="89" t="n"/>
      <c r="E407" s="88" t="str">
        <f>IF(AND(ISNUMBER(C407),N(C407)&gt;0),3600/C407,"")</f>
        <v/>
      </c>
      <c r="F407" s="58" t="str">
        <f>IF(A407="",IF(COUNTA(B407:D407)=0,"","Référence manquante"),IF(COUNTIF($A$6:A407,A407)&gt;1,"Référence en double",IF(AND(C407&lt;&gt;"",OR(NOT(ISNUMBER(C407)),N(C407)&lt;=0)),"Cadence invalide",IF(AND(D407&lt;&gt;"",OR(NOT(ISNUMBER(D407)),N(D407)&lt;0)),"Coût invalide","OK"))))</f>
        <v/>
      </c>
    </row>
    <row r="408">
      <c r="A408" s="53" t="n"/>
      <c r="B408" s="53" t="n"/>
      <c r="C408" s="60" t="n"/>
      <c r="D408" s="89" t="n"/>
      <c r="E408" s="88" t="str">
        <f>IF(AND(ISNUMBER(C408),N(C408)&gt;0),3600/C408,"")</f>
        <v/>
      </c>
      <c r="F408" s="58" t="str">
        <f>IF(A408="",IF(COUNTA(B408:D408)=0,"","Référence manquante"),IF(COUNTIF($A$6:A408,A408)&gt;1,"Référence en double",IF(AND(C408&lt;&gt;"",OR(NOT(ISNUMBER(C408)),N(C408)&lt;=0)),"Cadence invalide",IF(AND(D408&lt;&gt;"",OR(NOT(ISNUMBER(D408)),N(D408)&lt;0)),"Coût invalide","OK"))))</f>
        <v/>
      </c>
    </row>
    <row r="409">
      <c r="A409" s="53" t="n"/>
      <c r="B409" s="53" t="n"/>
      <c r="C409" s="60" t="n"/>
      <c r="D409" s="89" t="n"/>
      <c r="E409" s="88" t="str">
        <f>IF(AND(ISNUMBER(C409),N(C409)&gt;0),3600/C409,"")</f>
        <v/>
      </c>
      <c r="F409" s="58" t="str">
        <f>IF(A409="",IF(COUNTA(B409:D409)=0,"","Référence manquante"),IF(COUNTIF($A$6:A409,A409)&gt;1,"Référence en double",IF(AND(C409&lt;&gt;"",OR(NOT(ISNUMBER(C409)),N(C409)&lt;=0)),"Cadence invalide",IF(AND(D409&lt;&gt;"",OR(NOT(ISNUMBER(D409)),N(D409)&lt;0)),"Coût invalide","OK"))))</f>
        <v/>
      </c>
    </row>
    <row r="410">
      <c r="A410" s="53" t="n"/>
      <c r="B410" s="53" t="n"/>
      <c r="C410" s="60" t="n"/>
      <c r="D410" s="89" t="n"/>
      <c r="E410" s="88" t="str">
        <f>IF(AND(ISNUMBER(C410),N(C410)&gt;0),3600/C410,"")</f>
        <v/>
      </c>
      <c r="F410" s="58" t="str">
        <f>IF(A410="",IF(COUNTA(B410:D410)=0,"","Référence manquante"),IF(COUNTIF($A$6:A410,A410)&gt;1,"Référence en double",IF(AND(C410&lt;&gt;"",OR(NOT(ISNUMBER(C410)),N(C410)&lt;=0)),"Cadence invalide",IF(AND(D410&lt;&gt;"",OR(NOT(ISNUMBER(D410)),N(D410)&lt;0)),"Coût invalide","OK"))))</f>
        <v/>
      </c>
    </row>
    <row r="411">
      <c r="A411" s="53" t="n"/>
      <c r="B411" s="53" t="n"/>
      <c r="C411" s="60" t="n"/>
      <c r="D411" s="89" t="n"/>
      <c r="E411" s="88" t="str">
        <f>IF(AND(ISNUMBER(C411),N(C411)&gt;0),3600/C411,"")</f>
        <v/>
      </c>
      <c r="F411" s="58" t="str">
        <f>IF(A411="",IF(COUNTA(B411:D411)=0,"","Référence manquante"),IF(COUNTIF($A$6:A411,A411)&gt;1,"Référence en double",IF(AND(C411&lt;&gt;"",OR(NOT(ISNUMBER(C411)),N(C411)&lt;=0)),"Cadence invalide",IF(AND(D411&lt;&gt;"",OR(NOT(ISNUMBER(D411)),N(D411)&lt;0)),"Coût invalide","OK"))))</f>
        <v/>
      </c>
    </row>
    <row r="412">
      <c r="A412" s="53" t="n"/>
      <c r="B412" s="53" t="n"/>
      <c r="C412" s="60" t="n"/>
      <c r="D412" s="89" t="n"/>
      <c r="E412" s="88" t="str">
        <f>IF(AND(ISNUMBER(C412),N(C412)&gt;0),3600/C412,"")</f>
        <v/>
      </c>
      <c r="F412" s="58" t="str">
        <f>IF(A412="",IF(COUNTA(B412:D412)=0,"","Référence manquante"),IF(COUNTIF($A$6:A412,A412)&gt;1,"Référence en double",IF(AND(C412&lt;&gt;"",OR(NOT(ISNUMBER(C412)),N(C412)&lt;=0)),"Cadence invalide",IF(AND(D412&lt;&gt;"",OR(NOT(ISNUMBER(D412)),N(D412)&lt;0)),"Coût invalide","OK"))))</f>
        <v/>
      </c>
    </row>
    <row r="413">
      <c r="A413" s="53" t="n"/>
      <c r="B413" s="53" t="n"/>
      <c r="C413" s="60" t="n"/>
      <c r="D413" s="89" t="n"/>
      <c r="E413" s="88" t="str">
        <f>IF(AND(ISNUMBER(C413),N(C413)&gt;0),3600/C413,"")</f>
        <v/>
      </c>
      <c r="F413" s="58" t="str">
        <f>IF(A413="",IF(COUNTA(B413:D413)=0,"","Référence manquante"),IF(COUNTIF($A$6:A413,A413)&gt;1,"Référence en double",IF(AND(C413&lt;&gt;"",OR(NOT(ISNUMBER(C413)),N(C413)&lt;=0)),"Cadence invalide",IF(AND(D413&lt;&gt;"",OR(NOT(ISNUMBER(D413)),N(D413)&lt;0)),"Coût invalide","OK"))))</f>
        <v/>
      </c>
    </row>
    <row r="414">
      <c r="A414" s="53" t="n"/>
      <c r="B414" s="53" t="n"/>
      <c r="C414" s="60" t="n"/>
      <c r="D414" s="89" t="n"/>
      <c r="E414" s="88" t="str">
        <f>IF(AND(ISNUMBER(C414),N(C414)&gt;0),3600/C414,"")</f>
        <v/>
      </c>
      <c r="F414" s="58" t="str">
        <f>IF(A414="",IF(COUNTA(B414:D414)=0,"","Référence manquante"),IF(COUNTIF($A$6:A414,A414)&gt;1,"Référence en double",IF(AND(C414&lt;&gt;"",OR(NOT(ISNUMBER(C414)),N(C414)&lt;=0)),"Cadence invalide",IF(AND(D414&lt;&gt;"",OR(NOT(ISNUMBER(D414)),N(D414)&lt;0)),"Coût invalide","OK"))))</f>
        <v/>
      </c>
    </row>
    <row r="415">
      <c r="A415" s="53" t="n"/>
      <c r="B415" s="53" t="n"/>
      <c r="C415" s="60" t="n"/>
      <c r="D415" s="89" t="n"/>
      <c r="E415" s="88" t="str">
        <f>IF(AND(ISNUMBER(C415),N(C415)&gt;0),3600/C415,"")</f>
        <v/>
      </c>
      <c r="F415" s="58" t="str">
        <f>IF(A415="",IF(COUNTA(B415:D415)=0,"","Référence manquante"),IF(COUNTIF($A$6:A415,A415)&gt;1,"Référence en double",IF(AND(C415&lt;&gt;"",OR(NOT(ISNUMBER(C415)),N(C415)&lt;=0)),"Cadence invalide",IF(AND(D415&lt;&gt;"",OR(NOT(ISNUMBER(D415)),N(D415)&lt;0)),"Coût invalide","OK"))))</f>
        <v/>
      </c>
    </row>
    <row r="416">
      <c r="A416" s="53" t="n"/>
      <c r="B416" s="53" t="n"/>
      <c r="C416" s="60" t="n"/>
      <c r="D416" s="89" t="n"/>
      <c r="E416" s="88" t="str">
        <f>IF(AND(ISNUMBER(C416),N(C416)&gt;0),3600/C416,"")</f>
        <v/>
      </c>
      <c r="F416" s="58" t="str">
        <f>IF(A416="",IF(COUNTA(B416:D416)=0,"","Référence manquante"),IF(COUNTIF($A$6:A416,A416)&gt;1,"Référence en double",IF(AND(C416&lt;&gt;"",OR(NOT(ISNUMBER(C416)),N(C416)&lt;=0)),"Cadence invalide",IF(AND(D416&lt;&gt;"",OR(NOT(ISNUMBER(D416)),N(D416)&lt;0)),"Coût invalide","OK"))))</f>
        <v/>
      </c>
    </row>
    <row r="417">
      <c r="A417" s="53" t="n"/>
      <c r="B417" s="53" t="n"/>
      <c r="C417" s="60" t="n"/>
      <c r="D417" s="89" t="n"/>
      <c r="E417" s="88" t="str">
        <f>IF(AND(ISNUMBER(C417),N(C417)&gt;0),3600/C417,"")</f>
        <v/>
      </c>
      <c r="F417" s="58" t="str">
        <f>IF(A417="",IF(COUNTA(B417:D417)=0,"","Référence manquante"),IF(COUNTIF($A$6:A417,A417)&gt;1,"Référence en double",IF(AND(C417&lt;&gt;"",OR(NOT(ISNUMBER(C417)),N(C417)&lt;=0)),"Cadence invalide",IF(AND(D417&lt;&gt;"",OR(NOT(ISNUMBER(D417)),N(D417)&lt;0)),"Coût invalide","OK"))))</f>
        <v/>
      </c>
    </row>
    <row r="418">
      <c r="A418" s="53" t="n"/>
      <c r="B418" s="53" t="n"/>
      <c r="C418" s="60" t="n"/>
      <c r="D418" s="89" t="n"/>
      <c r="E418" s="88" t="str">
        <f>IF(AND(ISNUMBER(C418),N(C418)&gt;0),3600/C418,"")</f>
        <v/>
      </c>
      <c r="F418" s="58" t="str">
        <f>IF(A418="",IF(COUNTA(B418:D418)=0,"","Référence manquante"),IF(COUNTIF($A$6:A418,A418)&gt;1,"Référence en double",IF(AND(C418&lt;&gt;"",OR(NOT(ISNUMBER(C418)),N(C418)&lt;=0)),"Cadence invalide",IF(AND(D418&lt;&gt;"",OR(NOT(ISNUMBER(D418)),N(D418)&lt;0)),"Coût invalide","OK"))))</f>
        <v/>
      </c>
    </row>
    <row r="419">
      <c r="A419" s="53" t="n"/>
      <c r="B419" s="53" t="n"/>
      <c r="C419" s="60" t="n"/>
      <c r="D419" s="89" t="n"/>
      <c r="E419" s="88" t="str">
        <f>IF(AND(ISNUMBER(C419),N(C419)&gt;0),3600/C419,"")</f>
        <v/>
      </c>
      <c r="F419" s="58" t="str">
        <f>IF(A419="",IF(COUNTA(B419:D419)=0,"","Référence manquante"),IF(COUNTIF($A$6:A419,A419)&gt;1,"Référence en double",IF(AND(C419&lt;&gt;"",OR(NOT(ISNUMBER(C419)),N(C419)&lt;=0)),"Cadence invalide",IF(AND(D419&lt;&gt;"",OR(NOT(ISNUMBER(D419)),N(D419)&lt;0)),"Coût invalide","OK"))))</f>
        <v/>
      </c>
    </row>
    <row r="420">
      <c r="A420" s="53" t="n"/>
      <c r="B420" s="53" t="n"/>
      <c r="C420" s="60" t="n"/>
      <c r="D420" s="89" t="n"/>
      <c r="E420" s="88" t="str">
        <f>IF(AND(ISNUMBER(C420),N(C420)&gt;0),3600/C420,"")</f>
        <v/>
      </c>
      <c r="F420" s="58" t="str">
        <f>IF(A420="",IF(COUNTA(B420:D420)=0,"","Référence manquante"),IF(COUNTIF($A$6:A420,A420)&gt;1,"Référence en double",IF(AND(C420&lt;&gt;"",OR(NOT(ISNUMBER(C420)),N(C420)&lt;=0)),"Cadence invalide",IF(AND(D420&lt;&gt;"",OR(NOT(ISNUMBER(D420)),N(D420)&lt;0)),"Coût invalide","OK"))))</f>
        <v/>
      </c>
    </row>
    <row r="421">
      <c r="A421" s="53" t="n"/>
      <c r="B421" s="53" t="n"/>
      <c r="C421" s="60" t="n"/>
      <c r="D421" s="89" t="n"/>
      <c r="E421" s="88" t="str">
        <f>IF(AND(ISNUMBER(C421),N(C421)&gt;0),3600/C421,"")</f>
        <v/>
      </c>
      <c r="F421" s="58" t="str">
        <f>IF(A421="",IF(COUNTA(B421:D421)=0,"","Référence manquante"),IF(COUNTIF($A$6:A421,A421)&gt;1,"Référence en double",IF(AND(C421&lt;&gt;"",OR(NOT(ISNUMBER(C421)),N(C421)&lt;=0)),"Cadence invalide",IF(AND(D421&lt;&gt;"",OR(NOT(ISNUMBER(D421)),N(D421)&lt;0)),"Coût invalide","OK"))))</f>
        <v/>
      </c>
    </row>
    <row r="422">
      <c r="A422" s="53" t="n"/>
      <c r="B422" s="53" t="n"/>
      <c r="C422" s="60" t="n"/>
      <c r="D422" s="89" t="n"/>
      <c r="E422" s="88" t="str">
        <f>IF(AND(ISNUMBER(C422),N(C422)&gt;0),3600/C422,"")</f>
        <v/>
      </c>
      <c r="F422" s="58" t="str">
        <f>IF(A422="",IF(COUNTA(B422:D422)=0,"","Référence manquante"),IF(COUNTIF($A$6:A422,A422)&gt;1,"Référence en double",IF(AND(C422&lt;&gt;"",OR(NOT(ISNUMBER(C422)),N(C422)&lt;=0)),"Cadence invalide",IF(AND(D422&lt;&gt;"",OR(NOT(ISNUMBER(D422)),N(D422)&lt;0)),"Coût invalide","OK"))))</f>
        <v/>
      </c>
    </row>
    <row r="423">
      <c r="A423" s="53" t="n"/>
      <c r="B423" s="53" t="n"/>
      <c r="C423" s="60" t="n"/>
      <c r="D423" s="89" t="n"/>
      <c r="E423" s="88" t="str">
        <f>IF(AND(ISNUMBER(C423),N(C423)&gt;0),3600/C423,"")</f>
        <v/>
      </c>
      <c r="F423" s="58" t="str">
        <f>IF(A423="",IF(COUNTA(B423:D423)=0,"","Référence manquante"),IF(COUNTIF($A$6:A423,A423)&gt;1,"Référence en double",IF(AND(C423&lt;&gt;"",OR(NOT(ISNUMBER(C423)),N(C423)&lt;=0)),"Cadence invalide",IF(AND(D423&lt;&gt;"",OR(NOT(ISNUMBER(D423)),N(D423)&lt;0)),"Coût invalide","OK"))))</f>
        <v/>
      </c>
    </row>
    <row r="424">
      <c r="A424" s="53" t="n"/>
      <c r="B424" s="53" t="n"/>
      <c r="C424" s="60" t="n"/>
      <c r="D424" s="89" t="n"/>
      <c r="E424" s="88" t="str">
        <f>IF(AND(ISNUMBER(C424),N(C424)&gt;0),3600/C424,"")</f>
        <v/>
      </c>
      <c r="F424" s="58" t="str">
        <f>IF(A424="",IF(COUNTA(B424:D424)=0,"","Référence manquante"),IF(COUNTIF($A$6:A424,A424)&gt;1,"Référence en double",IF(AND(C424&lt;&gt;"",OR(NOT(ISNUMBER(C424)),N(C424)&lt;=0)),"Cadence invalide",IF(AND(D424&lt;&gt;"",OR(NOT(ISNUMBER(D424)),N(D424)&lt;0)),"Coût invalide","OK"))))</f>
        <v/>
      </c>
    </row>
    <row r="425">
      <c r="A425" s="53" t="n"/>
      <c r="B425" s="53" t="n"/>
      <c r="C425" s="60" t="n"/>
      <c r="D425" s="89" t="n"/>
      <c r="E425" s="88" t="str">
        <f>IF(AND(ISNUMBER(C425),N(C425)&gt;0),3600/C425,"")</f>
        <v/>
      </c>
      <c r="F425" s="58" t="str">
        <f>IF(A425="",IF(COUNTA(B425:D425)=0,"","Référence manquante"),IF(COUNTIF($A$6:A425,A425)&gt;1,"Référence en double",IF(AND(C425&lt;&gt;"",OR(NOT(ISNUMBER(C425)),N(C425)&lt;=0)),"Cadence invalide",IF(AND(D425&lt;&gt;"",OR(NOT(ISNUMBER(D425)),N(D425)&lt;0)),"Coût invalide","OK"))))</f>
        <v/>
      </c>
    </row>
    <row r="426">
      <c r="A426" s="53" t="n"/>
      <c r="B426" s="53" t="n"/>
      <c r="C426" s="60" t="n"/>
      <c r="D426" s="89" t="n"/>
      <c r="E426" s="88" t="str">
        <f>IF(AND(ISNUMBER(C426),N(C426)&gt;0),3600/C426,"")</f>
        <v/>
      </c>
      <c r="F426" s="58" t="str">
        <f>IF(A426="",IF(COUNTA(B426:D426)=0,"","Référence manquante"),IF(COUNTIF($A$6:A426,A426)&gt;1,"Référence en double",IF(AND(C426&lt;&gt;"",OR(NOT(ISNUMBER(C426)),N(C426)&lt;=0)),"Cadence invalide",IF(AND(D426&lt;&gt;"",OR(NOT(ISNUMBER(D426)),N(D426)&lt;0)),"Coût invalide","OK"))))</f>
        <v/>
      </c>
    </row>
    <row r="427">
      <c r="A427" s="53" t="n"/>
      <c r="B427" s="53" t="n"/>
      <c r="C427" s="60" t="n"/>
      <c r="D427" s="89" t="n"/>
      <c r="E427" s="88" t="str">
        <f>IF(AND(ISNUMBER(C427),N(C427)&gt;0),3600/C427,"")</f>
        <v/>
      </c>
      <c r="F427" s="58" t="str">
        <f>IF(A427="",IF(COUNTA(B427:D427)=0,"","Référence manquante"),IF(COUNTIF($A$6:A427,A427)&gt;1,"Référence en double",IF(AND(C427&lt;&gt;"",OR(NOT(ISNUMBER(C427)),N(C427)&lt;=0)),"Cadence invalide",IF(AND(D427&lt;&gt;"",OR(NOT(ISNUMBER(D427)),N(D427)&lt;0)),"Coût invalide","OK"))))</f>
        <v/>
      </c>
    </row>
    <row r="428">
      <c r="A428" s="53" t="n"/>
      <c r="B428" s="53" t="n"/>
      <c r="C428" s="60" t="n"/>
      <c r="D428" s="89" t="n"/>
      <c r="E428" s="88" t="str">
        <f>IF(AND(ISNUMBER(C428),N(C428)&gt;0),3600/C428,"")</f>
        <v/>
      </c>
      <c r="F428" s="58" t="str">
        <f>IF(A428="",IF(COUNTA(B428:D428)=0,"","Référence manquante"),IF(COUNTIF($A$6:A428,A428)&gt;1,"Référence en double",IF(AND(C428&lt;&gt;"",OR(NOT(ISNUMBER(C428)),N(C428)&lt;=0)),"Cadence invalide",IF(AND(D428&lt;&gt;"",OR(NOT(ISNUMBER(D428)),N(D428)&lt;0)),"Coût invalide","OK"))))</f>
        <v/>
      </c>
    </row>
    <row r="429">
      <c r="A429" s="53" t="n"/>
      <c r="B429" s="53" t="n"/>
      <c r="C429" s="60" t="n"/>
      <c r="D429" s="89" t="n"/>
      <c r="E429" s="88" t="str">
        <f>IF(AND(ISNUMBER(C429),N(C429)&gt;0),3600/C429,"")</f>
        <v/>
      </c>
      <c r="F429" s="58" t="str">
        <f>IF(A429="",IF(COUNTA(B429:D429)=0,"","Référence manquante"),IF(COUNTIF($A$6:A429,A429)&gt;1,"Référence en double",IF(AND(C429&lt;&gt;"",OR(NOT(ISNUMBER(C429)),N(C429)&lt;=0)),"Cadence invalide",IF(AND(D429&lt;&gt;"",OR(NOT(ISNUMBER(D429)),N(D429)&lt;0)),"Coût invalide","OK"))))</f>
        <v/>
      </c>
    </row>
    <row r="430">
      <c r="A430" s="53" t="n"/>
      <c r="B430" s="53" t="n"/>
      <c r="C430" s="60" t="n"/>
      <c r="D430" s="89" t="n"/>
      <c r="E430" s="88" t="str">
        <f>IF(AND(ISNUMBER(C430),N(C430)&gt;0),3600/C430,"")</f>
        <v/>
      </c>
      <c r="F430" s="58" t="str">
        <f>IF(A430="",IF(COUNTA(B430:D430)=0,"","Référence manquante"),IF(COUNTIF($A$6:A430,A430)&gt;1,"Référence en double",IF(AND(C430&lt;&gt;"",OR(NOT(ISNUMBER(C430)),N(C430)&lt;=0)),"Cadence invalide",IF(AND(D430&lt;&gt;"",OR(NOT(ISNUMBER(D430)),N(D430)&lt;0)),"Coût invalide","OK"))))</f>
        <v/>
      </c>
    </row>
    <row r="431">
      <c r="A431" s="53" t="n"/>
      <c r="B431" s="53" t="n"/>
      <c r="C431" s="60" t="n"/>
      <c r="D431" s="89" t="n"/>
      <c r="E431" s="88" t="str">
        <f>IF(AND(ISNUMBER(C431),N(C431)&gt;0),3600/C431,"")</f>
        <v/>
      </c>
      <c r="F431" s="58" t="str">
        <f>IF(A431="",IF(COUNTA(B431:D431)=0,"","Référence manquante"),IF(COUNTIF($A$6:A431,A431)&gt;1,"Référence en double",IF(AND(C431&lt;&gt;"",OR(NOT(ISNUMBER(C431)),N(C431)&lt;=0)),"Cadence invalide",IF(AND(D431&lt;&gt;"",OR(NOT(ISNUMBER(D431)),N(D431)&lt;0)),"Coût invalide","OK"))))</f>
        <v/>
      </c>
    </row>
    <row r="432">
      <c r="A432" s="53" t="n"/>
      <c r="B432" s="53" t="n"/>
      <c r="C432" s="60" t="n"/>
      <c r="D432" s="89" t="n"/>
      <c r="E432" s="88" t="str">
        <f>IF(AND(ISNUMBER(C432),N(C432)&gt;0),3600/C432,"")</f>
        <v/>
      </c>
      <c r="F432" s="58" t="str">
        <f>IF(A432="",IF(COUNTA(B432:D432)=0,"","Référence manquante"),IF(COUNTIF($A$6:A432,A432)&gt;1,"Référence en double",IF(AND(C432&lt;&gt;"",OR(NOT(ISNUMBER(C432)),N(C432)&lt;=0)),"Cadence invalide",IF(AND(D432&lt;&gt;"",OR(NOT(ISNUMBER(D432)),N(D432)&lt;0)),"Coût invalide","OK"))))</f>
        <v/>
      </c>
    </row>
    <row r="433">
      <c r="A433" s="53" t="n"/>
      <c r="B433" s="53" t="n"/>
      <c r="C433" s="60" t="n"/>
      <c r="D433" s="89" t="n"/>
      <c r="E433" s="88" t="str">
        <f>IF(AND(ISNUMBER(C433),N(C433)&gt;0),3600/C433,"")</f>
        <v/>
      </c>
      <c r="F433" s="58" t="str">
        <f>IF(A433="",IF(COUNTA(B433:D433)=0,"","Référence manquante"),IF(COUNTIF($A$6:A433,A433)&gt;1,"Référence en double",IF(AND(C433&lt;&gt;"",OR(NOT(ISNUMBER(C433)),N(C433)&lt;=0)),"Cadence invalide",IF(AND(D433&lt;&gt;"",OR(NOT(ISNUMBER(D433)),N(D433)&lt;0)),"Coût invalide","OK"))))</f>
        <v/>
      </c>
    </row>
    <row r="434">
      <c r="A434" s="53" t="n"/>
      <c r="B434" s="53" t="n"/>
      <c r="C434" s="60" t="n"/>
      <c r="D434" s="89" t="n"/>
      <c r="E434" s="88" t="str">
        <f>IF(AND(ISNUMBER(C434),N(C434)&gt;0),3600/C434,"")</f>
        <v/>
      </c>
      <c r="F434" s="58" t="str">
        <f>IF(A434="",IF(COUNTA(B434:D434)=0,"","Référence manquante"),IF(COUNTIF($A$6:A434,A434)&gt;1,"Référence en double",IF(AND(C434&lt;&gt;"",OR(NOT(ISNUMBER(C434)),N(C434)&lt;=0)),"Cadence invalide",IF(AND(D434&lt;&gt;"",OR(NOT(ISNUMBER(D434)),N(D434)&lt;0)),"Coût invalide","OK"))))</f>
        <v/>
      </c>
    </row>
    <row r="435">
      <c r="A435" s="53" t="n"/>
      <c r="B435" s="53" t="n"/>
      <c r="C435" s="60" t="n"/>
      <c r="D435" s="89" t="n"/>
      <c r="E435" s="88" t="str">
        <f>IF(AND(ISNUMBER(C435),N(C435)&gt;0),3600/C435,"")</f>
        <v/>
      </c>
      <c r="F435" s="58" t="str">
        <f>IF(A435="",IF(COUNTA(B435:D435)=0,"","Référence manquante"),IF(COUNTIF($A$6:A435,A435)&gt;1,"Référence en double",IF(AND(C435&lt;&gt;"",OR(NOT(ISNUMBER(C435)),N(C435)&lt;=0)),"Cadence invalide",IF(AND(D435&lt;&gt;"",OR(NOT(ISNUMBER(D435)),N(D435)&lt;0)),"Coût invalide","OK"))))</f>
        <v/>
      </c>
    </row>
    <row r="436">
      <c r="A436" s="53" t="n"/>
      <c r="B436" s="53" t="n"/>
      <c r="C436" s="60" t="n"/>
      <c r="D436" s="89" t="n"/>
      <c r="E436" s="88" t="str">
        <f>IF(AND(ISNUMBER(C436),N(C436)&gt;0),3600/C436,"")</f>
        <v/>
      </c>
      <c r="F436" s="58" t="str">
        <f>IF(A436="",IF(COUNTA(B436:D436)=0,"","Référence manquante"),IF(COUNTIF($A$6:A436,A436)&gt;1,"Référence en double",IF(AND(C436&lt;&gt;"",OR(NOT(ISNUMBER(C436)),N(C436)&lt;=0)),"Cadence invalide",IF(AND(D436&lt;&gt;"",OR(NOT(ISNUMBER(D436)),N(D436)&lt;0)),"Coût invalide","OK"))))</f>
        <v/>
      </c>
    </row>
    <row r="437">
      <c r="A437" s="53" t="n"/>
      <c r="B437" s="53" t="n"/>
      <c r="C437" s="60" t="n"/>
      <c r="D437" s="89" t="n"/>
      <c r="E437" s="88" t="str">
        <f>IF(AND(ISNUMBER(C437),N(C437)&gt;0),3600/C437,"")</f>
        <v/>
      </c>
      <c r="F437" s="58" t="str">
        <f>IF(A437="",IF(COUNTA(B437:D437)=0,"","Référence manquante"),IF(COUNTIF($A$6:A437,A437)&gt;1,"Référence en double",IF(AND(C437&lt;&gt;"",OR(NOT(ISNUMBER(C437)),N(C437)&lt;=0)),"Cadence invalide",IF(AND(D437&lt;&gt;"",OR(NOT(ISNUMBER(D437)),N(D437)&lt;0)),"Coût invalide","OK"))))</f>
        <v/>
      </c>
    </row>
    <row r="438">
      <c r="A438" s="53" t="n"/>
      <c r="B438" s="53" t="n"/>
      <c r="C438" s="60" t="n"/>
      <c r="D438" s="89" t="n"/>
      <c r="E438" s="88" t="str">
        <f>IF(AND(ISNUMBER(C438),N(C438)&gt;0),3600/C438,"")</f>
        <v/>
      </c>
      <c r="F438" s="58" t="str">
        <f>IF(A438="",IF(COUNTA(B438:D438)=0,"","Référence manquante"),IF(COUNTIF($A$6:A438,A438)&gt;1,"Référence en double",IF(AND(C438&lt;&gt;"",OR(NOT(ISNUMBER(C438)),N(C438)&lt;=0)),"Cadence invalide",IF(AND(D438&lt;&gt;"",OR(NOT(ISNUMBER(D438)),N(D438)&lt;0)),"Coût invalide","OK"))))</f>
        <v/>
      </c>
    </row>
    <row r="439">
      <c r="A439" s="53" t="n"/>
      <c r="B439" s="53" t="n"/>
      <c r="C439" s="60" t="n"/>
      <c r="D439" s="89" t="n"/>
      <c r="E439" s="88" t="str">
        <f>IF(AND(ISNUMBER(C439),N(C439)&gt;0),3600/C439,"")</f>
        <v/>
      </c>
      <c r="F439" s="58" t="str">
        <f>IF(A439="",IF(COUNTA(B439:D439)=0,"","Référence manquante"),IF(COUNTIF($A$6:A439,A439)&gt;1,"Référence en double",IF(AND(C439&lt;&gt;"",OR(NOT(ISNUMBER(C439)),N(C439)&lt;=0)),"Cadence invalide",IF(AND(D439&lt;&gt;"",OR(NOT(ISNUMBER(D439)),N(D439)&lt;0)),"Coût invalide","OK"))))</f>
        <v/>
      </c>
    </row>
    <row r="440">
      <c r="A440" s="53" t="n"/>
      <c r="B440" s="53" t="n"/>
      <c r="C440" s="60" t="n"/>
      <c r="D440" s="89" t="n"/>
      <c r="E440" s="88" t="str">
        <f>IF(AND(ISNUMBER(C440),N(C440)&gt;0),3600/C440,"")</f>
        <v/>
      </c>
      <c r="F440" s="58" t="str">
        <f>IF(A440="",IF(COUNTA(B440:D440)=0,"","Référence manquante"),IF(COUNTIF($A$6:A440,A440)&gt;1,"Référence en double",IF(AND(C440&lt;&gt;"",OR(NOT(ISNUMBER(C440)),N(C440)&lt;=0)),"Cadence invalide",IF(AND(D440&lt;&gt;"",OR(NOT(ISNUMBER(D440)),N(D440)&lt;0)),"Coût invalide","OK"))))</f>
        <v/>
      </c>
    </row>
    <row r="441">
      <c r="A441" s="53" t="n"/>
      <c r="B441" s="53" t="n"/>
      <c r="C441" s="60" t="n"/>
      <c r="D441" s="89" t="n"/>
      <c r="E441" s="88" t="str">
        <f>IF(AND(ISNUMBER(C441),N(C441)&gt;0),3600/C441,"")</f>
        <v/>
      </c>
      <c r="F441" s="58" t="str">
        <f>IF(A441="",IF(COUNTA(B441:D441)=0,"","Référence manquante"),IF(COUNTIF($A$6:A441,A441)&gt;1,"Référence en double",IF(AND(C441&lt;&gt;"",OR(NOT(ISNUMBER(C441)),N(C441)&lt;=0)),"Cadence invalide",IF(AND(D441&lt;&gt;"",OR(NOT(ISNUMBER(D441)),N(D441)&lt;0)),"Coût invalide","OK"))))</f>
        <v/>
      </c>
    </row>
    <row r="442">
      <c r="A442" s="53" t="n"/>
      <c r="B442" s="53" t="n"/>
      <c r="C442" s="60" t="n"/>
      <c r="D442" s="89" t="n"/>
      <c r="E442" s="88" t="str">
        <f>IF(AND(ISNUMBER(C442),N(C442)&gt;0),3600/C442,"")</f>
        <v/>
      </c>
      <c r="F442" s="58" t="str">
        <f>IF(A442="",IF(COUNTA(B442:D442)=0,"","Référence manquante"),IF(COUNTIF($A$6:A442,A442)&gt;1,"Référence en double",IF(AND(C442&lt;&gt;"",OR(NOT(ISNUMBER(C442)),N(C442)&lt;=0)),"Cadence invalide",IF(AND(D442&lt;&gt;"",OR(NOT(ISNUMBER(D442)),N(D442)&lt;0)),"Coût invalide","OK"))))</f>
        <v/>
      </c>
    </row>
    <row r="443">
      <c r="A443" s="53" t="n"/>
      <c r="B443" s="53" t="n"/>
      <c r="C443" s="60" t="n"/>
      <c r="D443" s="89" t="n"/>
      <c r="E443" s="88" t="str">
        <f>IF(AND(ISNUMBER(C443),N(C443)&gt;0),3600/C443,"")</f>
        <v/>
      </c>
      <c r="F443" s="58" t="str">
        <f>IF(A443="",IF(COUNTA(B443:D443)=0,"","Référence manquante"),IF(COUNTIF($A$6:A443,A443)&gt;1,"Référence en double",IF(AND(C443&lt;&gt;"",OR(NOT(ISNUMBER(C443)),N(C443)&lt;=0)),"Cadence invalide",IF(AND(D443&lt;&gt;"",OR(NOT(ISNUMBER(D443)),N(D443)&lt;0)),"Coût invalide","OK"))))</f>
        <v/>
      </c>
    </row>
    <row r="444">
      <c r="A444" s="53" t="n"/>
      <c r="B444" s="53" t="n"/>
      <c r="C444" s="60" t="n"/>
      <c r="D444" s="89" t="n"/>
      <c r="E444" s="88" t="str">
        <f>IF(AND(ISNUMBER(C444),N(C444)&gt;0),3600/C444,"")</f>
        <v/>
      </c>
      <c r="F444" s="58" t="str">
        <f>IF(A444="",IF(COUNTA(B444:D444)=0,"","Référence manquante"),IF(COUNTIF($A$6:A444,A444)&gt;1,"Référence en double",IF(AND(C444&lt;&gt;"",OR(NOT(ISNUMBER(C444)),N(C444)&lt;=0)),"Cadence invalide",IF(AND(D444&lt;&gt;"",OR(NOT(ISNUMBER(D444)),N(D444)&lt;0)),"Coût invalide","OK"))))</f>
        <v/>
      </c>
    </row>
    <row r="445">
      <c r="A445" s="53" t="n"/>
      <c r="B445" s="53" t="n"/>
      <c r="C445" s="60" t="n"/>
      <c r="D445" s="89" t="n"/>
      <c r="E445" s="88" t="str">
        <f>IF(AND(ISNUMBER(C445),N(C445)&gt;0),3600/C445,"")</f>
        <v/>
      </c>
      <c r="F445" s="58" t="str">
        <f>IF(A445="",IF(COUNTA(B445:D445)=0,"","Référence manquante"),IF(COUNTIF($A$6:A445,A445)&gt;1,"Référence en double",IF(AND(C445&lt;&gt;"",OR(NOT(ISNUMBER(C445)),N(C445)&lt;=0)),"Cadence invalide",IF(AND(D445&lt;&gt;"",OR(NOT(ISNUMBER(D445)),N(D445)&lt;0)),"Coût invalide","OK"))))</f>
        <v/>
      </c>
    </row>
    <row r="446">
      <c r="A446" s="53" t="n"/>
      <c r="B446" s="53" t="n"/>
      <c r="C446" s="60" t="n"/>
      <c r="D446" s="89" t="n"/>
      <c r="E446" s="88" t="str">
        <f>IF(AND(ISNUMBER(C446),N(C446)&gt;0),3600/C446,"")</f>
        <v/>
      </c>
      <c r="F446" s="58" t="str">
        <f>IF(A446="",IF(COUNTA(B446:D446)=0,"","Référence manquante"),IF(COUNTIF($A$6:A446,A446)&gt;1,"Référence en double",IF(AND(C446&lt;&gt;"",OR(NOT(ISNUMBER(C446)),N(C446)&lt;=0)),"Cadence invalide",IF(AND(D446&lt;&gt;"",OR(NOT(ISNUMBER(D446)),N(D446)&lt;0)),"Coût invalide","OK"))))</f>
        <v/>
      </c>
    </row>
    <row r="447">
      <c r="A447" s="53" t="n"/>
      <c r="B447" s="53" t="n"/>
      <c r="C447" s="60" t="n"/>
      <c r="D447" s="89" t="n"/>
      <c r="E447" s="88" t="str">
        <f>IF(AND(ISNUMBER(C447),N(C447)&gt;0),3600/C447,"")</f>
        <v/>
      </c>
      <c r="F447" s="58" t="str">
        <f>IF(A447="",IF(COUNTA(B447:D447)=0,"","Référence manquante"),IF(COUNTIF($A$6:A447,A447)&gt;1,"Référence en double",IF(AND(C447&lt;&gt;"",OR(NOT(ISNUMBER(C447)),N(C447)&lt;=0)),"Cadence invalide",IF(AND(D447&lt;&gt;"",OR(NOT(ISNUMBER(D447)),N(D447)&lt;0)),"Coût invalide","OK"))))</f>
        <v/>
      </c>
    </row>
    <row r="448">
      <c r="A448" s="53" t="n"/>
      <c r="B448" s="53" t="n"/>
      <c r="C448" s="60" t="n"/>
      <c r="D448" s="89" t="n"/>
      <c r="E448" s="88" t="str">
        <f>IF(AND(ISNUMBER(C448),N(C448)&gt;0),3600/C448,"")</f>
        <v/>
      </c>
      <c r="F448" s="58" t="str">
        <f>IF(A448="",IF(COUNTA(B448:D448)=0,"","Référence manquante"),IF(COUNTIF($A$6:A448,A448)&gt;1,"Référence en double",IF(AND(C448&lt;&gt;"",OR(NOT(ISNUMBER(C448)),N(C448)&lt;=0)),"Cadence invalide",IF(AND(D448&lt;&gt;"",OR(NOT(ISNUMBER(D448)),N(D448)&lt;0)),"Coût invalide","OK"))))</f>
        <v/>
      </c>
    </row>
    <row r="449">
      <c r="A449" s="53" t="n"/>
      <c r="B449" s="53" t="n"/>
      <c r="C449" s="60" t="n"/>
      <c r="D449" s="89" t="n"/>
      <c r="E449" s="88" t="str">
        <f>IF(AND(ISNUMBER(C449),N(C449)&gt;0),3600/C449,"")</f>
        <v/>
      </c>
      <c r="F449" s="58" t="str">
        <f>IF(A449="",IF(COUNTA(B449:D449)=0,"","Référence manquante"),IF(COUNTIF($A$6:A449,A449)&gt;1,"Référence en double",IF(AND(C449&lt;&gt;"",OR(NOT(ISNUMBER(C449)),N(C449)&lt;=0)),"Cadence invalide",IF(AND(D449&lt;&gt;"",OR(NOT(ISNUMBER(D449)),N(D449)&lt;0)),"Coût invalide","OK"))))</f>
        <v/>
      </c>
    </row>
    <row r="450">
      <c r="A450" s="53" t="n"/>
      <c r="B450" s="53" t="n"/>
      <c r="C450" s="60" t="n"/>
      <c r="D450" s="89" t="n"/>
      <c r="E450" s="88" t="str">
        <f>IF(AND(ISNUMBER(C450),N(C450)&gt;0),3600/C450,"")</f>
        <v/>
      </c>
      <c r="F450" s="58" t="str">
        <f>IF(A450="",IF(COUNTA(B450:D450)=0,"","Référence manquante"),IF(COUNTIF($A$6:A450,A450)&gt;1,"Référence en double",IF(AND(C450&lt;&gt;"",OR(NOT(ISNUMBER(C450)),N(C450)&lt;=0)),"Cadence invalide",IF(AND(D450&lt;&gt;"",OR(NOT(ISNUMBER(D450)),N(D450)&lt;0)),"Coût invalide","OK"))))</f>
        <v/>
      </c>
    </row>
    <row r="451">
      <c r="A451" s="53" t="n"/>
      <c r="B451" s="53" t="n"/>
      <c r="C451" s="60" t="n"/>
      <c r="D451" s="89" t="n"/>
      <c r="E451" s="88" t="str">
        <f>IF(AND(ISNUMBER(C451),N(C451)&gt;0),3600/C451,"")</f>
        <v/>
      </c>
      <c r="F451" s="58" t="str">
        <f>IF(A451="",IF(COUNTA(B451:D451)=0,"","Référence manquante"),IF(COUNTIF($A$6:A451,A451)&gt;1,"Référence en double",IF(AND(C451&lt;&gt;"",OR(NOT(ISNUMBER(C451)),N(C451)&lt;=0)),"Cadence invalide",IF(AND(D451&lt;&gt;"",OR(NOT(ISNUMBER(D451)),N(D451)&lt;0)),"Coût invalide","OK"))))</f>
        <v/>
      </c>
    </row>
    <row r="452">
      <c r="A452" s="53" t="n"/>
      <c r="B452" s="53" t="n"/>
      <c r="C452" s="60" t="n"/>
      <c r="D452" s="89" t="n"/>
      <c r="E452" s="88" t="str">
        <f>IF(AND(ISNUMBER(C452),N(C452)&gt;0),3600/C452,"")</f>
        <v/>
      </c>
      <c r="F452" s="58" t="str">
        <f>IF(A452="",IF(COUNTA(B452:D452)=0,"","Référence manquante"),IF(COUNTIF($A$6:A452,A452)&gt;1,"Référence en double",IF(AND(C452&lt;&gt;"",OR(NOT(ISNUMBER(C452)),N(C452)&lt;=0)),"Cadence invalide",IF(AND(D452&lt;&gt;"",OR(NOT(ISNUMBER(D452)),N(D452)&lt;0)),"Coût invalide","OK"))))</f>
        <v/>
      </c>
    </row>
    <row r="453">
      <c r="A453" s="53" t="n"/>
      <c r="B453" s="53" t="n"/>
      <c r="C453" s="60" t="n"/>
      <c r="D453" s="89" t="n"/>
      <c r="E453" s="88" t="str">
        <f>IF(AND(ISNUMBER(C453),N(C453)&gt;0),3600/C453,"")</f>
        <v/>
      </c>
      <c r="F453" s="58" t="str">
        <f>IF(A453="",IF(COUNTA(B453:D453)=0,"","Référence manquante"),IF(COUNTIF($A$6:A453,A453)&gt;1,"Référence en double",IF(AND(C453&lt;&gt;"",OR(NOT(ISNUMBER(C453)),N(C453)&lt;=0)),"Cadence invalide",IF(AND(D453&lt;&gt;"",OR(NOT(ISNUMBER(D453)),N(D453)&lt;0)),"Coût invalide","OK"))))</f>
        <v/>
      </c>
    </row>
    <row r="454">
      <c r="A454" s="53" t="n"/>
      <c r="B454" s="53" t="n"/>
      <c r="C454" s="60" t="n"/>
      <c r="D454" s="89" t="n"/>
      <c r="E454" s="88" t="str">
        <f>IF(AND(ISNUMBER(C454),N(C454)&gt;0),3600/C454,"")</f>
        <v/>
      </c>
      <c r="F454" s="58" t="str">
        <f>IF(A454="",IF(COUNTA(B454:D454)=0,"","Référence manquante"),IF(COUNTIF($A$6:A454,A454)&gt;1,"Référence en double",IF(AND(C454&lt;&gt;"",OR(NOT(ISNUMBER(C454)),N(C454)&lt;=0)),"Cadence invalide",IF(AND(D454&lt;&gt;"",OR(NOT(ISNUMBER(D454)),N(D454)&lt;0)),"Coût invalide","OK"))))</f>
        <v/>
      </c>
    </row>
    <row r="455">
      <c r="A455" s="53" t="n"/>
      <c r="B455" s="53" t="n"/>
      <c r="C455" s="60" t="n"/>
      <c r="D455" s="89" t="n"/>
      <c r="E455" s="88" t="str">
        <f>IF(AND(ISNUMBER(C455),N(C455)&gt;0),3600/C455,"")</f>
        <v/>
      </c>
      <c r="F455" s="58" t="str">
        <f>IF(A455="",IF(COUNTA(B455:D455)=0,"","Référence manquante"),IF(COUNTIF($A$6:A455,A455)&gt;1,"Référence en double",IF(AND(C455&lt;&gt;"",OR(NOT(ISNUMBER(C455)),N(C455)&lt;=0)),"Cadence invalide",IF(AND(D455&lt;&gt;"",OR(NOT(ISNUMBER(D455)),N(D455)&lt;0)),"Coût invalide","OK"))))</f>
        <v/>
      </c>
    </row>
    <row r="456">
      <c r="A456" s="53" t="n"/>
      <c r="B456" s="53" t="n"/>
      <c r="C456" s="60" t="n"/>
      <c r="D456" s="89" t="n"/>
      <c r="E456" s="88" t="str">
        <f>IF(AND(ISNUMBER(C456),N(C456)&gt;0),3600/C456,"")</f>
        <v/>
      </c>
      <c r="F456" s="58" t="str">
        <f>IF(A456="",IF(COUNTA(B456:D456)=0,"","Référence manquante"),IF(COUNTIF($A$6:A456,A456)&gt;1,"Référence en double",IF(AND(C456&lt;&gt;"",OR(NOT(ISNUMBER(C456)),N(C456)&lt;=0)),"Cadence invalide",IF(AND(D456&lt;&gt;"",OR(NOT(ISNUMBER(D456)),N(D456)&lt;0)),"Coût invalide","OK"))))</f>
        <v/>
      </c>
    </row>
    <row r="457">
      <c r="A457" s="53" t="n"/>
      <c r="B457" s="53" t="n"/>
      <c r="C457" s="60" t="n"/>
      <c r="D457" s="89" t="n"/>
      <c r="E457" s="88" t="str">
        <f>IF(AND(ISNUMBER(C457),N(C457)&gt;0),3600/C457,"")</f>
        <v/>
      </c>
      <c r="F457" s="58" t="str">
        <f>IF(A457="",IF(COUNTA(B457:D457)=0,"","Référence manquante"),IF(COUNTIF($A$6:A457,A457)&gt;1,"Référence en double",IF(AND(C457&lt;&gt;"",OR(NOT(ISNUMBER(C457)),N(C457)&lt;=0)),"Cadence invalide",IF(AND(D457&lt;&gt;"",OR(NOT(ISNUMBER(D457)),N(D457)&lt;0)),"Coût invalide","OK"))))</f>
        <v/>
      </c>
    </row>
    <row r="458">
      <c r="A458" s="53" t="n"/>
      <c r="B458" s="53" t="n"/>
      <c r="C458" s="60" t="n"/>
      <c r="D458" s="89" t="n"/>
      <c r="E458" s="88" t="str">
        <f>IF(AND(ISNUMBER(C458),N(C458)&gt;0),3600/C458,"")</f>
        <v/>
      </c>
      <c r="F458" s="58" t="str">
        <f>IF(A458="",IF(COUNTA(B458:D458)=0,"","Référence manquante"),IF(COUNTIF($A$6:A458,A458)&gt;1,"Référence en double",IF(AND(C458&lt;&gt;"",OR(NOT(ISNUMBER(C458)),N(C458)&lt;=0)),"Cadence invalide",IF(AND(D458&lt;&gt;"",OR(NOT(ISNUMBER(D458)),N(D458)&lt;0)),"Coût invalide","OK"))))</f>
        <v/>
      </c>
    </row>
    <row r="459">
      <c r="A459" s="53" t="n"/>
      <c r="B459" s="53" t="n"/>
      <c r="C459" s="60" t="n"/>
      <c r="D459" s="89" t="n"/>
      <c r="E459" s="88" t="str">
        <f>IF(AND(ISNUMBER(C459),N(C459)&gt;0),3600/C459,"")</f>
        <v/>
      </c>
      <c r="F459" s="58" t="str">
        <f>IF(A459="",IF(COUNTA(B459:D459)=0,"","Référence manquante"),IF(COUNTIF($A$6:A459,A459)&gt;1,"Référence en double",IF(AND(C459&lt;&gt;"",OR(NOT(ISNUMBER(C459)),N(C459)&lt;=0)),"Cadence invalide",IF(AND(D459&lt;&gt;"",OR(NOT(ISNUMBER(D459)),N(D459)&lt;0)),"Coût invalide","OK"))))</f>
        <v/>
      </c>
    </row>
    <row r="460">
      <c r="A460" s="53" t="n"/>
      <c r="B460" s="53" t="n"/>
      <c r="C460" s="60" t="n"/>
      <c r="D460" s="89" t="n"/>
      <c r="E460" s="88" t="str">
        <f>IF(AND(ISNUMBER(C460),N(C460)&gt;0),3600/C460,"")</f>
        <v/>
      </c>
      <c r="F460" s="58" t="str">
        <f>IF(A460="",IF(COUNTA(B460:D460)=0,"","Référence manquante"),IF(COUNTIF($A$6:A460,A460)&gt;1,"Référence en double",IF(AND(C460&lt;&gt;"",OR(NOT(ISNUMBER(C460)),N(C460)&lt;=0)),"Cadence invalide",IF(AND(D460&lt;&gt;"",OR(NOT(ISNUMBER(D460)),N(D460)&lt;0)),"Coût invalide","OK"))))</f>
        <v/>
      </c>
    </row>
    <row r="461">
      <c r="A461" s="53" t="n"/>
      <c r="B461" s="53" t="n"/>
      <c r="C461" s="60" t="n"/>
      <c r="D461" s="89" t="n"/>
      <c r="E461" s="88" t="str">
        <f>IF(AND(ISNUMBER(C461),N(C461)&gt;0),3600/C461,"")</f>
        <v/>
      </c>
      <c r="F461" s="58" t="str">
        <f>IF(A461="",IF(COUNTA(B461:D461)=0,"","Référence manquante"),IF(COUNTIF($A$6:A461,A461)&gt;1,"Référence en double",IF(AND(C461&lt;&gt;"",OR(NOT(ISNUMBER(C461)),N(C461)&lt;=0)),"Cadence invalide",IF(AND(D461&lt;&gt;"",OR(NOT(ISNUMBER(D461)),N(D461)&lt;0)),"Coût invalide","OK"))))</f>
        <v/>
      </c>
    </row>
    <row r="462">
      <c r="A462" s="53" t="n"/>
      <c r="B462" s="53" t="n"/>
      <c r="C462" s="60" t="n"/>
      <c r="D462" s="89" t="n"/>
      <c r="E462" s="88" t="str">
        <f>IF(AND(ISNUMBER(C462),N(C462)&gt;0),3600/C462,"")</f>
        <v/>
      </c>
      <c r="F462" s="58" t="str">
        <f>IF(A462="",IF(COUNTA(B462:D462)=0,"","Référence manquante"),IF(COUNTIF($A$6:A462,A462)&gt;1,"Référence en double",IF(AND(C462&lt;&gt;"",OR(NOT(ISNUMBER(C462)),N(C462)&lt;=0)),"Cadence invalide",IF(AND(D462&lt;&gt;"",OR(NOT(ISNUMBER(D462)),N(D462)&lt;0)),"Coût invalide","OK"))))</f>
        <v/>
      </c>
    </row>
    <row r="463">
      <c r="A463" s="53" t="n"/>
      <c r="B463" s="53" t="n"/>
      <c r="C463" s="60" t="n"/>
      <c r="D463" s="89" t="n"/>
      <c r="E463" s="88" t="str">
        <f>IF(AND(ISNUMBER(C463),N(C463)&gt;0),3600/C463,"")</f>
        <v/>
      </c>
      <c r="F463" s="58" t="str">
        <f>IF(A463="",IF(COUNTA(B463:D463)=0,"","Référence manquante"),IF(COUNTIF($A$6:A463,A463)&gt;1,"Référence en double",IF(AND(C463&lt;&gt;"",OR(NOT(ISNUMBER(C463)),N(C463)&lt;=0)),"Cadence invalide",IF(AND(D463&lt;&gt;"",OR(NOT(ISNUMBER(D463)),N(D463)&lt;0)),"Coût invalide","OK"))))</f>
        <v/>
      </c>
    </row>
    <row r="464">
      <c r="A464" s="53" t="n"/>
      <c r="B464" s="53" t="n"/>
      <c r="C464" s="60" t="n"/>
      <c r="D464" s="89" t="n"/>
      <c r="E464" s="88" t="str">
        <f>IF(AND(ISNUMBER(C464),N(C464)&gt;0),3600/C464,"")</f>
        <v/>
      </c>
      <c r="F464" s="58" t="str">
        <f>IF(A464="",IF(COUNTA(B464:D464)=0,"","Référence manquante"),IF(COUNTIF($A$6:A464,A464)&gt;1,"Référence en double",IF(AND(C464&lt;&gt;"",OR(NOT(ISNUMBER(C464)),N(C464)&lt;=0)),"Cadence invalide",IF(AND(D464&lt;&gt;"",OR(NOT(ISNUMBER(D464)),N(D464)&lt;0)),"Coût invalide","OK"))))</f>
        <v/>
      </c>
    </row>
    <row r="465">
      <c r="A465" s="53" t="n"/>
      <c r="B465" s="53" t="n"/>
      <c r="C465" s="60" t="n"/>
      <c r="D465" s="89" t="n"/>
      <c r="E465" s="88" t="str">
        <f>IF(AND(ISNUMBER(C465),N(C465)&gt;0),3600/C465,"")</f>
        <v/>
      </c>
      <c r="F465" s="58" t="str">
        <f>IF(A465="",IF(COUNTA(B465:D465)=0,"","Référence manquante"),IF(COUNTIF($A$6:A465,A465)&gt;1,"Référence en double",IF(AND(C465&lt;&gt;"",OR(NOT(ISNUMBER(C465)),N(C465)&lt;=0)),"Cadence invalide",IF(AND(D465&lt;&gt;"",OR(NOT(ISNUMBER(D465)),N(D465)&lt;0)),"Coût invalide","OK"))))</f>
        <v/>
      </c>
    </row>
    <row r="466">
      <c r="A466" s="53" t="n"/>
      <c r="B466" s="53" t="n"/>
      <c r="C466" s="60" t="n"/>
      <c r="D466" s="89" t="n"/>
      <c r="E466" s="88" t="str">
        <f>IF(AND(ISNUMBER(C466),N(C466)&gt;0),3600/C466,"")</f>
        <v/>
      </c>
      <c r="F466" s="58" t="str">
        <f>IF(A466="",IF(COUNTA(B466:D466)=0,"","Référence manquante"),IF(COUNTIF($A$6:A466,A466)&gt;1,"Référence en double",IF(AND(C466&lt;&gt;"",OR(NOT(ISNUMBER(C466)),N(C466)&lt;=0)),"Cadence invalide",IF(AND(D466&lt;&gt;"",OR(NOT(ISNUMBER(D466)),N(D466)&lt;0)),"Coût invalide","OK"))))</f>
        <v/>
      </c>
    </row>
    <row r="467">
      <c r="A467" s="53" t="n"/>
      <c r="B467" s="53" t="n"/>
      <c r="C467" s="60" t="n"/>
      <c r="D467" s="89" t="n"/>
      <c r="E467" s="88" t="str">
        <f>IF(AND(ISNUMBER(C467),N(C467)&gt;0),3600/C467,"")</f>
        <v/>
      </c>
      <c r="F467" s="58" t="str">
        <f>IF(A467="",IF(COUNTA(B467:D467)=0,"","Référence manquante"),IF(COUNTIF($A$6:A467,A467)&gt;1,"Référence en double",IF(AND(C467&lt;&gt;"",OR(NOT(ISNUMBER(C467)),N(C467)&lt;=0)),"Cadence invalide",IF(AND(D467&lt;&gt;"",OR(NOT(ISNUMBER(D467)),N(D467)&lt;0)),"Coût invalide","OK"))))</f>
        <v/>
      </c>
    </row>
    <row r="468">
      <c r="A468" s="53" t="n"/>
      <c r="B468" s="53" t="n"/>
      <c r="C468" s="60" t="n"/>
      <c r="D468" s="89" t="n"/>
      <c r="E468" s="88" t="str">
        <f>IF(AND(ISNUMBER(C468),N(C468)&gt;0),3600/C468,"")</f>
        <v/>
      </c>
      <c r="F468" s="58" t="str">
        <f>IF(A468="",IF(COUNTA(B468:D468)=0,"","Référence manquante"),IF(COUNTIF($A$6:A468,A468)&gt;1,"Référence en double",IF(AND(C468&lt;&gt;"",OR(NOT(ISNUMBER(C468)),N(C468)&lt;=0)),"Cadence invalide",IF(AND(D468&lt;&gt;"",OR(NOT(ISNUMBER(D468)),N(D468)&lt;0)),"Coût invalide","OK"))))</f>
        <v/>
      </c>
    </row>
    <row r="469">
      <c r="A469" s="53" t="n"/>
      <c r="B469" s="53" t="n"/>
      <c r="C469" s="60" t="n"/>
      <c r="D469" s="89" t="n"/>
      <c r="E469" s="88" t="str">
        <f>IF(AND(ISNUMBER(C469),N(C469)&gt;0),3600/C469,"")</f>
        <v/>
      </c>
      <c r="F469" s="58" t="str">
        <f>IF(A469="",IF(COUNTA(B469:D469)=0,"","Référence manquante"),IF(COUNTIF($A$6:A469,A469)&gt;1,"Référence en double",IF(AND(C469&lt;&gt;"",OR(NOT(ISNUMBER(C469)),N(C469)&lt;=0)),"Cadence invalide",IF(AND(D469&lt;&gt;"",OR(NOT(ISNUMBER(D469)),N(D469)&lt;0)),"Coût invalide","OK"))))</f>
        <v/>
      </c>
    </row>
    <row r="470">
      <c r="A470" s="53" t="n"/>
      <c r="B470" s="53" t="n"/>
      <c r="C470" s="60" t="n"/>
      <c r="D470" s="89" t="n"/>
      <c r="E470" s="88" t="str">
        <f>IF(AND(ISNUMBER(C470),N(C470)&gt;0),3600/C470,"")</f>
        <v/>
      </c>
      <c r="F470" s="58" t="str">
        <f>IF(A470="",IF(COUNTA(B470:D470)=0,"","Référence manquante"),IF(COUNTIF($A$6:A470,A470)&gt;1,"Référence en double",IF(AND(C470&lt;&gt;"",OR(NOT(ISNUMBER(C470)),N(C470)&lt;=0)),"Cadence invalide",IF(AND(D470&lt;&gt;"",OR(NOT(ISNUMBER(D470)),N(D470)&lt;0)),"Coût invalide","OK"))))</f>
        <v/>
      </c>
    </row>
    <row r="471">
      <c r="A471" s="53" t="n"/>
      <c r="B471" s="53" t="n"/>
      <c r="C471" s="60" t="n"/>
      <c r="D471" s="89" t="n"/>
      <c r="E471" s="88" t="str">
        <f>IF(AND(ISNUMBER(C471),N(C471)&gt;0),3600/C471,"")</f>
        <v/>
      </c>
      <c r="F471" s="58" t="str">
        <f>IF(A471="",IF(COUNTA(B471:D471)=0,"","Référence manquante"),IF(COUNTIF($A$6:A471,A471)&gt;1,"Référence en double",IF(AND(C471&lt;&gt;"",OR(NOT(ISNUMBER(C471)),N(C471)&lt;=0)),"Cadence invalide",IF(AND(D471&lt;&gt;"",OR(NOT(ISNUMBER(D471)),N(D471)&lt;0)),"Coût invalide","OK"))))</f>
        <v/>
      </c>
    </row>
    <row r="472">
      <c r="A472" s="53" t="n"/>
      <c r="B472" s="53" t="n"/>
      <c r="C472" s="60" t="n"/>
      <c r="D472" s="89" t="n"/>
      <c r="E472" s="88" t="str">
        <f>IF(AND(ISNUMBER(C472),N(C472)&gt;0),3600/C472,"")</f>
        <v/>
      </c>
      <c r="F472" s="58" t="str">
        <f>IF(A472="",IF(COUNTA(B472:D472)=0,"","Référence manquante"),IF(COUNTIF($A$6:A472,A472)&gt;1,"Référence en double",IF(AND(C472&lt;&gt;"",OR(NOT(ISNUMBER(C472)),N(C472)&lt;=0)),"Cadence invalide",IF(AND(D472&lt;&gt;"",OR(NOT(ISNUMBER(D472)),N(D472)&lt;0)),"Coût invalide","OK"))))</f>
        <v/>
      </c>
    </row>
    <row r="473">
      <c r="A473" s="53" t="n"/>
      <c r="B473" s="53" t="n"/>
      <c r="C473" s="60" t="n"/>
      <c r="D473" s="89" t="n"/>
      <c r="E473" s="88" t="str">
        <f>IF(AND(ISNUMBER(C473),N(C473)&gt;0),3600/C473,"")</f>
        <v/>
      </c>
      <c r="F473" s="58" t="str">
        <f>IF(A473="",IF(COUNTA(B473:D473)=0,"","Référence manquante"),IF(COUNTIF($A$6:A473,A473)&gt;1,"Référence en double",IF(AND(C473&lt;&gt;"",OR(NOT(ISNUMBER(C473)),N(C473)&lt;=0)),"Cadence invalide",IF(AND(D473&lt;&gt;"",OR(NOT(ISNUMBER(D473)),N(D473)&lt;0)),"Coût invalide","OK"))))</f>
        <v/>
      </c>
    </row>
    <row r="474">
      <c r="A474" s="53" t="n"/>
      <c r="B474" s="53" t="n"/>
      <c r="C474" s="60" t="n"/>
      <c r="D474" s="89" t="n"/>
      <c r="E474" s="88" t="str">
        <f>IF(AND(ISNUMBER(C474),N(C474)&gt;0),3600/C474,"")</f>
        <v/>
      </c>
      <c r="F474" s="58" t="str">
        <f>IF(A474="",IF(COUNTA(B474:D474)=0,"","Référence manquante"),IF(COUNTIF($A$6:A474,A474)&gt;1,"Référence en double",IF(AND(C474&lt;&gt;"",OR(NOT(ISNUMBER(C474)),N(C474)&lt;=0)),"Cadence invalide",IF(AND(D474&lt;&gt;"",OR(NOT(ISNUMBER(D474)),N(D474)&lt;0)),"Coût invalide","OK"))))</f>
        <v/>
      </c>
    </row>
    <row r="475">
      <c r="A475" s="53" t="n"/>
      <c r="B475" s="53" t="n"/>
      <c r="C475" s="60" t="n"/>
      <c r="D475" s="89" t="n"/>
      <c r="E475" s="88" t="str">
        <f>IF(AND(ISNUMBER(C475),N(C475)&gt;0),3600/C475,"")</f>
        <v/>
      </c>
      <c r="F475" s="58" t="str">
        <f>IF(A475="",IF(COUNTA(B475:D475)=0,"","Référence manquante"),IF(COUNTIF($A$6:A475,A475)&gt;1,"Référence en double",IF(AND(C475&lt;&gt;"",OR(NOT(ISNUMBER(C475)),N(C475)&lt;=0)),"Cadence invalide",IF(AND(D475&lt;&gt;"",OR(NOT(ISNUMBER(D475)),N(D475)&lt;0)),"Coût invalide","OK"))))</f>
        <v/>
      </c>
    </row>
    <row r="476">
      <c r="A476" s="53" t="n"/>
      <c r="B476" s="53" t="n"/>
      <c r="C476" s="60" t="n"/>
      <c r="D476" s="89" t="n"/>
      <c r="E476" s="88" t="str">
        <f>IF(AND(ISNUMBER(C476),N(C476)&gt;0),3600/C476,"")</f>
        <v/>
      </c>
      <c r="F476" s="58" t="str">
        <f>IF(A476="",IF(COUNTA(B476:D476)=0,"","Référence manquante"),IF(COUNTIF($A$6:A476,A476)&gt;1,"Référence en double",IF(AND(C476&lt;&gt;"",OR(NOT(ISNUMBER(C476)),N(C476)&lt;=0)),"Cadence invalide",IF(AND(D476&lt;&gt;"",OR(NOT(ISNUMBER(D476)),N(D476)&lt;0)),"Coût invalide","OK"))))</f>
        <v/>
      </c>
    </row>
    <row r="477">
      <c r="A477" s="53" t="n"/>
      <c r="B477" s="53" t="n"/>
      <c r="C477" s="60" t="n"/>
      <c r="D477" s="89" t="n"/>
      <c r="E477" s="88" t="str">
        <f>IF(AND(ISNUMBER(C477),N(C477)&gt;0),3600/C477,"")</f>
        <v/>
      </c>
      <c r="F477" s="58" t="str">
        <f>IF(A477="",IF(COUNTA(B477:D477)=0,"","Référence manquante"),IF(COUNTIF($A$6:A477,A477)&gt;1,"Référence en double",IF(AND(C477&lt;&gt;"",OR(NOT(ISNUMBER(C477)),N(C477)&lt;=0)),"Cadence invalide",IF(AND(D477&lt;&gt;"",OR(NOT(ISNUMBER(D477)),N(D477)&lt;0)),"Coût invalide","OK"))))</f>
        <v/>
      </c>
    </row>
    <row r="478">
      <c r="A478" s="53" t="n"/>
      <c r="B478" s="53" t="n"/>
      <c r="C478" s="60" t="n"/>
      <c r="D478" s="89" t="n"/>
      <c r="E478" s="88" t="str">
        <f>IF(AND(ISNUMBER(C478),N(C478)&gt;0),3600/C478,"")</f>
        <v/>
      </c>
      <c r="F478" s="58" t="str">
        <f>IF(A478="",IF(COUNTA(B478:D478)=0,"","Référence manquante"),IF(COUNTIF($A$6:A478,A478)&gt;1,"Référence en double",IF(AND(C478&lt;&gt;"",OR(NOT(ISNUMBER(C478)),N(C478)&lt;=0)),"Cadence invalide",IF(AND(D478&lt;&gt;"",OR(NOT(ISNUMBER(D478)),N(D478)&lt;0)),"Coût invalide","OK"))))</f>
        <v/>
      </c>
    </row>
    <row r="479">
      <c r="A479" s="53" t="n"/>
      <c r="B479" s="53" t="n"/>
      <c r="C479" s="60" t="n"/>
      <c r="D479" s="89" t="n"/>
      <c r="E479" s="88" t="str">
        <f>IF(AND(ISNUMBER(C479),N(C479)&gt;0),3600/C479,"")</f>
        <v/>
      </c>
      <c r="F479" s="58" t="str">
        <f>IF(A479="",IF(COUNTA(B479:D479)=0,"","Référence manquante"),IF(COUNTIF($A$6:A479,A479)&gt;1,"Référence en double",IF(AND(C479&lt;&gt;"",OR(NOT(ISNUMBER(C479)),N(C479)&lt;=0)),"Cadence invalide",IF(AND(D479&lt;&gt;"",OR(NOT(ISNUMBER(D479)),N(D479)&lt;0)),"Coût invalide","OK"))))</f>
        <v/>
      </c>
    </row>
    <row r="480">
      <c r="A480" s="53" t="n"/>
      <c r="B480" s="53" t="n"/>
      <c r="C480" s="60" t="n"/>
      <c r="D480" s="89" t="n"/>
      <c r="E480" s="88" t="str">
        <f>IF(AND(ISNUMBER(C480),N(C480)&gt;0),3600/C480,"")</f>
        <v/>
      </c>
      <c r="F480" s="58" t="str">
        <f>IF(A480="",IF(COUNTA(B480:D480)=0,"","Référence manquante"),IF(COUNTIF($A$6:A480,A480)&gt;1,"Référence en double",IF(AND(C480&lt;&gt;"",OR(NOT(ISNUMBER(C480)),N(C480)&lt;=0)),"Cadence invalide",IF(AND(D480&lt;&gt;"",OR(NOT(ISNUMBER(D480)),N(D480)&lt;0)),"Coût invalide","OK"))))</f>
        <v/>
      </c>
    </row>
    <row r="481">
      <c r="A481" s="53" t="n"/>
      <c r="B481" s="53" t="n"/>
      <c r="C481" s="60" t="n"/>
      <c r="D481" s="89" t="n"/>
      <c r="E481" s="88" t="str">
        <f>IF(AND(ISNUMBER(C481),N(C481)&gt;0),3600/C481,"")</f>
        <v/>
      </c>
      <c r="F481" s="58" t="str">
        <f>IF(A481="",IF(COUNTA(B481:D481)=0,"","Référence manquante"),IF(COUNTIF($A$6:A481,A481)&gt;1,"Référence en double",IF(AND(C481&lt;&gt;"",OR(NOT(ISNUMBER(C481)),N(C481)&lt;=0)),"Cadence invalide",IF(AND(D481&lt;&gt;"",OR(NOT(ISNUMBER(D481)),N(D481)&lt;0)),"Coût invalide","OK"))))</f>
        <v/>
      </c>
    </row>
    <row r="482">
      <c r="A482" s="53" t="n"/>
      <c r="B482" s="53" t="n"/>
      <c r="C482" s="60" t="n"/>
      <c r="D482" s="89" t="n"/>
      <c r="E482" s="88" t="str">
        <f>IF(AND(ISNUMBER(C482),N(C482)&gt;0),3600/C482,"")</f>
        <v/>
      </c>
      <c r="F482" s="58" t="str">
        <f>IF(A482="",IF(COUNTA(B482:D482)=0,"","Référence manquante"),IF(COUNTIF($A$6:A482,A482)&gt;1,"Référence en double",IF(AND(C482&lt;&gt;"",OR(NOT(ISNUMBER(C482)),N(C482)&lt;=0)),"Cadence invalide",IF(AND(D482&lt;&gt;"",OR(NOT(ISNUMBER(D482)),N(D482)&lt;0)),"Coût invalide","OK"))))</f>
        <v/>
      </c>
    </row>
    <row r="483">
      <c r="A483" s="53" t="n"/>
      <c r="B483" s="53" t="n"/>
      <c r="C483" s="60" t="n"/>
      <c r="D483" s="89" t="n"/>
      <c r="E483" s="88" t="str">
        <f>IF(AND(ISNUMBER(C483),N(C483)&gt;0),3600/C483,"")</f>
        <v/>
      </c>
      <c r="F483" s="58" t="str">
        <f>IF(A483="",IF(COUNTA(B483:D483)=0,"","Référence manquante"),IF(COUNTIF($A$6:A483,A483)&gt;1,"Référence en double",IF(AND(C483&lt;&gt;"",OR(NOT(ISNUMBER(C483)),N(C483)&lt;=0)),"Cadence invalide",IF(AND(D483&lt;&gt;"",OR(NOT(ISNUMBER(D483)),N(D483)&lt;0)),"Coût invalide","OK"))))</f>
        <v/>
      </c>
    </row>
    <row r="484">
      <c r="A484" s="53" t="n"/>
      <c r="B484" s="53" t="n"/>
      <c r="C484" s="60" t="n"/>
      <c r="D484" s="89" t="n"/>
      <c r="E484" s="88" t="str">
        <f>IF(AND(ISNUMBER(C484),N(C484)&gt;0),3600/C484,"")</f>
        <v/>
      </c>
      <c r="F484" s="58" t="str">
        <f>IF(A484="",IF(COUNTA(B484:D484)=0,"","Référence manquante"),IF(COUNTIF($A$6:A484,A484)&gt;1,"Référence en double",IF(AND(C484&lt;&gt;"",OR(NOT(ISNUMBER(C484)),N(C484)&lt;=0)),"Cadence invalide",IF(AND(D484&lt;&gt;"",OR(NOT(ISNUMBER(D484)),N(D484)&lt;0)),"Coût invalide","OK"))))</f>
        <v/>
      </c>
    </row>
    <row r="485">
      <c r="A485" s="53" t="n"/>
      <c r="B485" s="53" t="n"/>
      <c r="C485" s="60" t="n"/>
      <c r="D485" s="89" t="n"/>
      <c r="E485" s="88" t="str">
        <f>IF(AND(ISNUMBER(C485),N(C485)&gt;0),3600/C485,"")</f>
        <v/>
      </c>
      <c r="F485" s="58" t="str">
        <f>IF(A485="",IF(COUNTA(B485:D485)=0,"","Référence manquante"),IF(COUNTIF($A$6:A485,A485)&gt;1,"Référence en double",IF(AND(C485&lt;&gt;"",OR(NOT(ISNUMBER(C485)),N(C485)&lt;=0)),"Cadence invalide",IF(AND(D485&lt;&gt;"",OR(NOT(ISNUMBER(D485)),N(D485)&lt;0)),"Coût invalide","OK"))))</f>
        <v/>
      </c>
    </row>
    <row r="486">
      <c r="A486" s="53" t="n"/>
      <c r="B486" s="53" t="n"/>
      <c r="C486" s="60" t="n"/>
      <c r="D486" s="89" t="n"/>
      <c r="E486" s="88" t="str">
        <f>IF(AND(ISNUMBER(C486),N(C486)&gt;0),3600/C486,"")</f>
        <v/>
      </c>
      <c r="F486" s="58" t="str">
        <f>IF(A486="",IF(COUNTA(B486:D486)=0,"","Référence manquante"),IF(COUNTIF($A$6:A486,A486)&gt;1,"Référence en double",IF(AND(C486&lt;&gt;"",OR(NOT(ISNUMBER(C486)),N(C486)&lt;=0)),"Cadence invalide",IF(AND(D486&lt;&gt;"",OR(NOT(ISNUMBER(D486)),N(D486)&lt;0)),"Coût invalide","OK"))))</f>
        <v/>
      </c>
    </row>
    <row r="487">
      <c r="A487" s="53" t="n"/>
      <c r="B487" s="53" t="n"/>
      <c r="C487" s="60" t="n"/>
      <c r="D487" s="89" t="n"/>
      <c r="E487" s="88" t="str">
        <f>IF(AND(ISNUMBER(C487),N(C487)&gt;0),3600/C487,"")</f>
        <v/>
      </c>
      <c r="F487" s="58" t="str">
        <f>IF(A487="",IF(COUNTA(B487:D487)=0,"","Référence manquante"),IF(COUNTIF($A$6:A487,A487)&gt;1,"Référence en double",IF(AND(C487&lt;&gt;"",OR(NOT(ISNUMBER(C487)),N(C487)&lt;=0)),"Cadence invalide",IF(AND(D487&lt;&gt;"",OR(NOT(ISNUMBER(D487)),N(D487)&lt;0)),"Coût invalide","OK"))))</f>
        <v/>
      </c>
    </row>
    <row r="488">
      <c r="A488" s="53" t="n"/>
      <c r="B488" s="53" t="n"/>
      <c r="C488" s="60" t="n"/>
      <c r="D488" s="89" t="n"/>
      <c r="E488" s="88" t="str">
        <f>IF(AND(ISNUMBER(C488),N(C488)&gt;0),3600/C488,"")</f>
        <v/>
      </c>
      <c r="F488" s="58" t="str">
        <f>IF(A488="",IF(COUNTA(B488:D488)=0,"","Référence manquante"),IF(COUNTIF($A$6:A488,A488)&gt;1,"Référence en double",IF(AND(C488&lt;&gt;"",OR(NOT(ISNUMBER(C488)),N(C488)&lt;=0)),"Cadence invalide",IF(AND(D488&lt;&gt;"",OR(NOT(ISNUMBER(D488)),N(D488)&lt;0)),"Coût invalide","OK"))))</f>
        <v/>
      </c>
    </row>
    <row r="489">
      <c r="A489" s="53" t="n"/>
      <c r="B489" s="53" t="n"/>
      <c r="C489" s="60" t="n"/>
      <c r="D489" s="89" t="n"/>
      <c r="E489" s="88" t="str">
        <f>IF(AND(ISNUMBER(C489),N(C489)&gt;0),3600/C489,"")</f>
        <v/>
      </c>
      <c r="F489" s="58" t="str">
        <f>IF(A489="",IF(COUNTA(B489:D489)=0,"","Référence manquante"),IF(COUNTIF($A$6:A489,A489)&gt;1,"Référence en double",IF(AND(C489&lt;&gt;"",OR(NOT(ISNUMBER(C489)),N(C489)&lt;=0)),"Cadence invalide",IF(AND(D489&lt;&gt;"",OR(NOT(ISNUMBER(D489)),N(D489)&lt;0)),"Coût invalide","OK"))))</f>
        <v/>
      </c>
    </row>
    <row r="490">
      <c r="A490" s="53" t="n"/>
      <c r="B490" s="53" t="n"/>
      <c r="C490" s="60" t="n"/>
      <c r="D490" s="89" t="n"/>
      <c r="E490" s="88" t="str">
        <f>IF(AND(ISNUMBER(C490),N(C490)&gt;0),3600/C490,"")</f>
        <v/>
      </c>
      <c r="F490" s="58" t="str">
        <f>IF(A490="",IF(COUNTA(B490:D490)=0,"","Référence manquante"),IF(COUNTIF($A$6:A490,A490)&gt;1,"Référence en double",IF(AND(C490&lt;&gt;"",OR(NOT(ISNUMBER(C490)),N(C490)&lt;=0)),"Cadence invalide",IF(AND(D490&lt;&gt;"",OR(NOT(ISNUMBER(D490)),N(D490)&lt;0)),"Coût invalide","OK"))))</f>
        <v/>
      </c>
    </row>
    <row r="491">
      <c r="A491" s="53" t="n"/>
      <c r="B491" s="53" t="n"/>
      <c r="C491" s="60" t="n"/>
      <c r="D491" s="89" t="n"/>
      <c r="E491" s="88" t="str">
        <f>IF(AND(ISNUMBER(C491),N(C491)&gt;0),3600/C491,"")</f>
        <v/>
      </c>
      <c r="F491" s="58" t="str">
        <f>IF(A491="",IF(COUNTA(B491:D491)=0,"","Référence manquante"),IF(COUNTIF($A$6:A491,A491)&gt;1,"Référence en double",IF(AND(C491&lt;&gt;"",OR(NOT(ISNUMBER(C491)),N(C491)&lt;=0)),"Cadence invalide",IF(AND(D491&lt;&gt;"",OR(NOT(ISNUMBER(D491)),N(D491)&lt;0)),"Coût invalide","OK"))))</f>
        <v/>
      </c>
    </row>
    <row r="492">
      <c r="A492" s="53" t="n"/>
      <c r="B492" s="53" t="n"/>
      <c r="C492" s="60" t="n"/>
      <c r="D492" s="89" t="n"/>
      <c r="E492" s="88" t="str">
        <f>IF(AND(ISNUMBER(C492),N(C492)&gt;0),3600/C492,"")</f>
        <v/>
      </c>
      <c r="F492" s="58" t="str">
        <f>IF(A492="",IF(COUNTA(B492:D492)=0,"","Référence manquante"),IF(COUNTIF($A$6:A492,A492)&gt;1,"Référence en double",IF(AND(C492&lt;&gt;"",OR(NOT(ISNUMBER(C492)),N(C492)&lt;=0)),"Cadence invalide",IF(AND(D492&lt;&gt;"",OR(NOT(ISNUMBER(D492)),N(D492)&lt;0)),"Coût invalide","OK"))))</f>
        <v/>
      </c>
    </row>
    <row r="493">
      <c r="A493" s="53" t="n"/>
      <c r="B493" s="53" t="n"/>
      <c r="C493" s="60" t="n"/>
      <c r="D493" s="89" t="n"/>
      <c r="E493" s="88" t="str">
        <f>IF(AND(ISNUMBER(C493),N(C493)&gt;0),3600/C493,"")</f>
        <v/>
      </c>
      <c r="F493" s="58" t="str">
        <f>IF(A493="",IF(COUNTA(B493:D493)=0,"","Référence manquante"),IF(COUNTIF($A$6:A493,A493)&gt;1,"Référence en double",IF(AND(C493&lt;&gt;"",OR(NOT(ISNUMBER(C493)),N(C493)&lt;=0)),"Cadence invalide",IF(AND(D493&lt;&gt;"",OR(NOT(ISNUMBER(D493)),N(D493)&lt;0)),"Coût invalide","OK"))))</f>
        <v/>
      </c>
    </row>
    <row r="494">
      <c r="A494" s="53" t="n"/>
      <c r="B494" s="53" t="n"/>
      <c r="C494" s="60" t="n"/>
      <c r="D494" s="89" t="n"/>
      <c r="E494" s="88" t="str">
        <f>IF(AND(ISNUMBER(C494),N(C494)&gt;0),3600/C494,"")</f>
        <v/>
      </c>
      <c r="F494" s="58" t="str">
        <f>IF(A494="",IF(COUNTA(B494:D494)=0,"","Référence manquante"),IF(COUNTIF($A$6:A494,A494)&gt;1,"Référence en double",IF(AND(C494&lt;&gt;"",OR(NOT(ISNUMBER(C494)),N(C494)&lt;=0)),"Cadence invalide",IF(AND(D494&lt;&gt;"",OR(NOT(ISNUMBER(D494)),N(D494)&lt;0)),"Coût invalide","OK"))))</f>
        <v/>
      </c>
    </row>
    <row r="495">
      <c r="A495" s="53" t="n"/>
      <c r="B495" s="53" t="n"/>
      <c r="C495" s="60" t="n"/>
      <c r="D495" s="89" t="n"/>
      <c r="E495" s="88" t="str">
        <f>IF(AND(ISNUMBER(C495),N(C495)&gt;0),3600/C495,"")</f>
        <v/>
      </c>
      <c r="F495" s="58" t="str">
        <f>IF(A495="",IF(COUNTA(B495:D495)=0,"","Référence manquante"),IF(COUNTIF($A$6:A495,A495)&gt;1,"Référence en double",IF(AND(C495&lt;&gt;"",OR(NOT(ISNUMBER(C495)),N(C495)&lt;=0)),"Cadence invalide",IF(AND(D495&lt;&gt;"",OR(NOT(ISNUMBER(D495)),N(D495)&lt;0)),"Coût invalide","OK"))))</f>
        <v/>
      </c>
    </row>
    <row r="496">
      <c r="A496" s="53" t="n"/>
      <c r="B496" s="53" t="n"/>
      <c r="C496" s="60" t="n"/>
      <c r="D496" s="89" t="n"/>
      <c r="E496" s="88" t="str">
        <f>IF(AND(ISNUMBER(C496),N(C496)&gt;0),3600/C496,"")</f>
        <v/>
      </c>
      <c r="F496" s="58" t="str">
        <f>IF(A496="",IF(COUNTA(B496:D496)=0,"","Référence manquante"),IF(COUNTIF($A$6:A496,A496)&gt;1,"Référence en double",IF(AND(C496&lt;&gt;"",OR(NOT(ISNUMBER(C496)),N(C496)&lt;=0)),"Cadence invalide",IF(AND(D496&lt;&gt;"",OR(NOT(ISNUMBER(D496)),N(D496)&lt;0)),"Coût invalide","OK"))))</f>
        <v/>
      </c>
    </row>
    <row r="497">
      <c r="A497" s="53" t="n"/>
      <c r="B497" s="53" t="n"/>
      <c r="C497" s="60" t="n"/>
      <c r="D497" s="89" t="n"/>
      <c r="E497" s="88" t="str">
        <f>IF(AND(ISNUMBER(C497),N(C497)&gt;0),3600/C497,"")</f>
        <v/>
      </c>
      <c r="F497" s="58" t="str">
        <f>IF(A497="",IF(COUNTA(B497:D497)=0,"","Référence manquante"),IF(COUNTIF($A$6:A497,A497)&gt;1,"Référence en double",IF(AND(C497&lt;&gt;"",OR(NOT(ISNUMBER(C497)),N(C497)&lt;=0)),"Cadence invalide",IF(AND(D497&lt;&gt;"",OR(NOT(ISNUMBER(D497)),N(D497)&lt;0)),"Coût invalide","OK"))))</f>
        <v/>
      </c>
    </row>
    <row r="498">
      <c r="A498" s="53" t="n"/>
      <c r="B498" s="53" t="n"/>
      <c r="C498" s="60" t="n"/>
      <c r="D498" s="89" t="n"/>
      <c r="E498" s="88" t="str">
        <f>IF(AND(ISNUMBER(C498),N(C498)&gt;0),3600/C498,"")</f>
        <v/>
      </c>
      <c r="F498" s="58" t="str">
        <f>IF(A498="",IF(COUNTA(B498:D498)=0,"","Référence manquante"),IF(COUNTIF($A$6:A498,A498)&gt;1,"Référence en double",IF(AND(C498&lt;&gt;"",OR(NOT(ISNUMBER(C498)),N(C498)&lt;=0)),"Cadence invalide",IF(AND(D498&lt;&gt;"",OR(NOT(ISNUMBER(D498)),N(D498)&lt;0)),"Coût invalide","OK"))))</f>
        <v/>
      </c>
    </row>
    <row r="499">
      <c r="A499" s="53" t="n"/>
      <c r="B499" s="53" t="n"/>
      <c r="C499" s="60" t="n"/>
      <c r="D499" s="89" t="n"/>
      <c r="E499" s="88" t="str">
        <f>IF(AND(ISNUMBER(C499),N(C499)&gt;0),3600/C499,"")</f>
        <v/>
      </c>
      <c r="F499" s="58" t="str">
        <f>IF(A499="",IF(COUNTA(B499:D499)=0,"","Référence manquante"),IF(COUNTIF($A$6:A499,A499)&gt;1,"Référence en double",IF(AND(C499&lt;&gt;"",OR(NOT(ISNUMBER(C499)),N(C499)&lt;=0)),"Cadence invalide",IF(AND(D499&lt;&gt;"",OR(NOT(ISNUMBER(D499)),N(D499)&lt;0)),"Coût invalide","OK"))))</f>
        <v/>
      </c>
    </row>
    <row r="500">
      <c r="A500" s="53" t="n"/>
      <c r="B500" s="53" t="n"/>
      <c r="C500" s="60" t="n"/>
      <c r="D500" s="89" t="n"/>
      <c r="E500" s="88" t="str">
        <f>IF(AND(ISNUMBER(C500),N(C500)&gt;0),3600/C500,"")</f>
        <v/>
      </c>
      <c r="F500" s="58" t="str">
        <f>IF(A500="",IF(COUNTA(B500:D500)=0,"","Référence manquante"),IF(COUNTIF($A$6:A500,A500)&gt;1,"Référence en double",IF(AND(C500&lt;&gt;"",OR(NOT(ISNUMBER(C500)),N(C500)&lt;=0)),"Cadence invalide",IF(AND(D500&lt;&gt;"",OR(NOT(ISNUMBER(D500)),N(D500)&lt;0)),"Coût invalide","OK"))))</f>
        <v/>
      </c>
    </row>
    <row r="501">
      <c r="A501" s="53" t="n"/>
      <c r="B501" s="53" t="n"/>
      <c r="C501" s="60" t="n"/>
      <c r="D501" s="89" t="n"/>
      <c r="E501" s="88" t="str">
        <f>IF(AND(ISNUMBER(C501),N(C501)&gt;0),3600/C501,"")</f>
        <v/>
      </c>
      <c r="F501" s="58" t="str">
        <f>IF(A501="",IF(COUNTA(B501:D501)=0,"","Référence manquante"),IF(COUNTIF($A$6:A501,A501)&gt;1,"Référence en double",IF(AND(C501&lt;&gt;"",OR(NOT(ISNUMBER(C501)),N(C501)&lt;=0)),"Cadence invalide",IF(AND(D501&lt;&gt;"",OR(NOT(ISNUMBER(D501)),N(D501)&lt;0)),"Coût invalide","OK"))))</f>
        <v/>
      </c>
    </row>
    <row r="502">
      <c r="A502" s="53" t="n"/>
      <c r="B502" s="53" t="n"/>
      <c r="C502" s="60" t="n"/>
      <c r="D502" s="89" t="n"/>
      <c r="E502" s="88" t="str">
        <f>IF(AND(ISNUMBER(C502),N(C502)&gt;0),3600/C502,"")</f>
        <v/>
      </c>
      <c r="F502" s="58" t="str">
        <f>IF(A502="",IF(COUNTA(B502:D502)=0,"","Référence manquante"),IF(COUNTIF($A$6:A502,A502)&gt;1,"Référence en double",IF(AND(C502&lt;&gt;"",OR(NOT(ISNUMBER(C502)),N(C502)&lt;=0)),"Cadence invalide",IF(AND(D502&lt;&gt;"",OR(NOT(ISNUMBER(D502)),N(D502)&lt;0)),"Coût invalide","OK"))))</f>
        <v/>
      </c>
    </row>
    <row r="503">
      <c r="A503" s="53" t="n"/>
      <c r="B503" s="53" t="n"/>
      <c r="C503" s="60" t="n"/>
      <c r="D503" s="89" t="n"/>
      <c r="E503" s="88" t="str">
        <f>IF(AND(ISNUMBER(C503),N(C503)&gt;0),3600/C503,"")</f>
        <v/>
      </c>
      <c r="F503" s="58" t="str">
        <f>IF(A503="",IF(COUNTA(B503:D503)=0,"","Référence manquante"),IF(COUNTIF($A$6:A503,A503)&gt;1,"Référence en double",IF(AND(C503&lt;&gt;"",OR(NOT(ISNUMBER(C503)),N(C503)&lt;=0)),"Cadence invalide",IF(AND(D503&lt;&gt;"",OR(NOT(ISNUMBER(D503)),N(D503)&lt;0)),"Coût invalide","OK"))))</f>
        <v/>
      </c>
    </row>
    <row r="504">
      <c r="A504" s="53" t="n"/>
      <c r="B504" s="53" t="n"/>
      <c r="C504" s="60" t="n"/>
      <c r="D504" s="89" t="n"/>
      <c r="E504" s="88" t="str">
        <f>IF(AND(ISNUMBER(C504),N(C504)&gt;0),3600/C504,"")</f>
        <v/>
      </c>
      <c r="F504" s="58" t="str">
        <f>IF(A504="",IF(COUNTA(B504:D504)=0,"","Référence manquante"),IF(COUNTIF($A$6:A504,A504)&gt;1,"Référence en double",IF(AND(C504&lt;&gt;"",OR(NOT(ISNUMBER(C504)),N(C504)&lt;=0)),"Cadence invalide",IF(AND(D504&lt;&gt;"",OR(NOT(ISNUMBER(D504)),N(D504)&lt;0)),"Coût invalide","OK"))))</f>
        <v/>
      </c>
    </row>
    <row r="505">
      <c r="A505" s="53" t="n"/>
      <c r="B505" s="53" t="n"/>
      <c r="C505" s="60" t="n"/>
      <c r="D505" s="89" t="n"/>
      <c r="E505" s="88" t="str">
        <f>IF(AND(ISNUMBER(C505),N(C505)&gt;0),3600/C505,"")</f>
        <v/>
      </c>
      <c r="F505" s="58" t="str">
        <f>IF(A505="",IF(COUNTA(B505:D505)=0,"","Référence manquante"),IF(COUNTIF($A$6:A505,A505)&gt;1,"Référence en double",IF(AND(C505&lt;&gt;"",OR(NOT(ISNUMBER(C505)),N(C505)&lt;=0)),"Cadence invalide",IF(AND(D505&lt;&gt;"",OR(NOT(ISNUMBER(D505)),N(D505)&lt;0)),"Coût invalide","OK"))))</f>
        <v/>
      </c>
    </row>
  </sheetData>
  <conditionalFormatting sqref="F6:F505">
    <cfRule type="expression" priority="1" dxfId="9" stopIfTrue="1">
      <formula>$F6="OK"</formula>
    </cfRule>
    <cfRule type="expression" priority="2" dxfId="5">
      <formula>$F6&lt;&gt;""</formula>
    </cfRule>
  </conditionalFormatting>
  <conditionalFormatting sqref="D6:D505">
    <cfRule type="expression" priority="3" dxfId="10">
      <formula>p_currency="MAD"</formula>
    </cfRule>
    <cfRule type="expression" priority="4" dxfId="11">
      <formula>p_currency="EUR"</formula>
    </cfRule>
    <cfRule type="expression" priority="5" dxfId="12">
      <formula>p_currency="USD"</formula>
    </cfRule>
  </conditionalFormatting>
  <dataValidations count="2">
    <dataValidation sqref="C6:C505" showDropDown="0" showInputMessage="1" showErrorMessage="1" allowBlank="1" errorTitle="Cadence spécifique" error="Facultatif. Pièces par heure pour cet article, quel que soit le poste. Vide = cadence du poste." promptTitle="Cadence spécifique" prompt="Facultatif. Pièces par heure pour cet article, quel que soit le poste. Vide = cadence du poste." type="decimal" operator="greaterThan">
      <formula1>0</formula1>
    </dataValidation>
    <dataValidation sqref="D6:D505" showDropDown="0" showInputMessage="1" showErrorMessage="1" allowBlank="1" errorTitle="Coût unitaire" error="Coût de revient d'une pièce (matière + transformation), pour valoriser les rebuts." promptTitle="Coût unitaire" prompt="Coût de revient d'une pièce (matière + transformation), pour valoriser les rebuts." type="decimal" operator="greaterThanOrEqual">
      <formula1>0</formula1>
    </dataValidation>
  </dataValidations>
  <hyperlinks>
    <hyperlink ref="F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94A3B8"/>
    <outlinePr summaryBelow="1" summaryRight="1"/>
    <pageSetUpPr fitToPage="1"/>
  </sheetPr>
  <dimension ref="A1:P45"/>
  <sheetViews>
    <sheetView showGridLines="0" tabSelected="0" zoomScale="100" workbookViewId="0">
      <pane ySplit="5" topLeftCell="A6" activePane="bottomLeft" state="frozen"/>
      <selection pane="bottomLeft" activeCell="A1" sqref="A1"/>
    </sheetView>
  </sheetViews>
  <sheetFormatPr baseColWidth="8" defaultRowHeight="15"/>
  <cols>
    <col width="26" customWidth="1" min="1" max="1"/>
    <col width="16" customWidth="1" min="2" max="2"/>
    <col width="3" customWidth="1" min="3" max="3"/>
    <col width="15" customWidth="1" min="4" max="4"/>
    <col width="9" customWidth="1" min="5" max="5"/>
    <col width="9" customWidth="1" min="6" max="6"/>
    <col width="11" customWidth="1" min="7" max="7"/>
    <col width="11" customWidth="1" min="8" max="8"/>
    <col width="26" customWidth="1" min="9" max="9"/>
    <col width="3" customWidth="1" min="10" max="10"/>
    <col width="34" customWidth="1" min="11" max="11"/>
    <col width="30" customWidth="1" min="12" max="12"/>
    <col width="13" customWidth="1" min="13" max="13"/>
    <col width="20" customWidth="1" min="14" max="14"/>
    <col width="3" customWidth="1" min="15" max="15"/>
    <col width="30" customWidth="1" min="16" max="16"/>
  </cols>
  <sheetData>
    <row r="1" ht="38" customHeight="1">
      <c r="A1" s="2" t="inlineStr">
        <is>
          <t>Paramètres</t>
        </is>
      </c>
      <c r="B1" s="1" t="n"/>
      <c r="C1" s="1" t="n"/>
      <c r="D1" s="1" t="n"/>
      <c r="E1" s="1" t="n"/>
      <c r="F1" s="1" t="n"/>
      <c r="G1" s="1" t="n"/>
      <c r="H1" s="1" t="n"/>
      <c r="I1" s="1" t="n"/>
      <c r="J1" s="1" t="n"/>
      <c r="K1" s="1" t="n"/>
      <c r="L1" s="1" t="n"/>
      <c r="M1" s="1" t="n"/>
      <c r="N1" s="1" t="n"/>
      <c r="O1" s="1" t="n"/>
      <c r="P1" s="18" t="inlineStr">
        <is>
          <t>⌂ Mode d'emploi</t>
        </is>
      </c>
    </row>
    <row r="2" ht="22" customHeight="1">
      <c r="A2" s="4" t="inlineStr">
        <is>
          <t>Réglages du suivi. Les cellules blanches sont à remplir.</t>
        </is>
      </c>
      <c r="B2" s="3" t="n"/>
      <c r="C2" s="3" t="n"/>
      <c r="D2" s="3" t="n"/>
      <c r="E2" s="3" t="n"/>
      <c r="F2" s="3" t="n"/>
      <c r="G2" s="3" t="n"/>
      <c r="H2" s="3" t="n"/>
      <c r="I2" s="3" t="n"/>
      <c r="J2" s="3" t="n"/>
      <c r="K2" s="3" t="n"/>
      <c r="L2" s="3" t="n"/>
      <c r="M2" s="3" t="n"/>
      <c r="N2" s="3" t="n"/>
      <c r="O2" s="3" t="n"/>
      <c r="P2" s="3" t="n"/>
    </row>
    <row r="3" ht="18" customHeight="1"/>
    <row r="4" ht="22" customHeight="1">
      <c r="A4" s="5" t="inlineStr">
        <is>
          <t>Votre atelier</t>
        </is>
      </c>
      <c r="B4" s="6" t="n"/>
    </row>
    <row r="5" ht="34" customHeight="1">
      <c r="A5" s="78" t="inlineStr">
        <is>
          <t>Nom de l'entreprise</t>
        </is>
      </c>
      <c r="B5" s="90" t="inlineStr">
        <is>
          <t>Atelier Exemple</t>
        </is>
      </c>
      <c r="D5" s="38" t="inlineStr">
        <is>
          <t>Équipe</t>
        </is>
      </c>
      <c r="E5" s="38" t="inlineStr">
        <is>
          <t>Début</t>
        </is>
      </c>
      <c r="F5" s="38" t="inlineStr">
        <is>
          <t>Fin</t>
        </is>
      </c>
      <c r="G5" s="38" t="inlineStr">
        <is>
          <t>Pause planifiée (min)</t>
        </is>
      </c>
      <c r="H5" s="38" t="inlineStr">
        <is>
          <t>Durée (min)</t>
        </is>
      </c>
      <c r="I5" s="38" t="inlineStr">
        <is>
          <t>Contrôle</t>
        </is>
      </c>
      <c r="K5" s="38" t="inlineStr">
        <is>
          <t>Cause d'arrêt</t>
        </is>
      </c>
      <c r="L5" s="38" t="inlineStr">
        <is>
          <t>Famille</t>
        </is>
      </c>
      <c r="M5" s="38" t="inlineStr">
        <is>
          <t>Type</t>
        </is>
      </c>
      <c r="N5" s="38" t="inlineStr">
        <is>
          <t>Contrôle</t>
        </is>
      </c>
      <c r="P5" s="38" t="inlineStr">
        <is>
          <t>Familles (liste fixe)</t>
        </is>
      </c>
    </row>
    <row r="6">
      <c r="A6" s="78" t="inlineStr">
        <is>
          <t>Devise</t>
        </is>
      </c>
      <c r="B6" s="91" t="inlineStr">
        <is>
          <t>MAD</t>
        </is>
      </c>
      <c r="D6" s="53" t="inlineStr">
        <is>
          <t>Matin</t>
        </is>
      </c>
      <c r="E6" s="92" t="n">
        <v>0.25</v>
      </c>
      <c r="F6" s="92" t="n">
        <v>0.5833333333333334</v>
      </c>
      <c r="G6" s="93" t="n">
        <v>30</v>
      </c>
      <c r="H6" s="94">
        <f>IF(OR(D6="",NOT(ISNUMBER(E6)),NOT(ISNUMBER(F6))),"",ROUND(MOD(F6-E6,1)*1440,0))</f>
        <v>480.0</v>
      </c>
      <c r="I6" s="58" t="str">
        <f>IF(D6="","",IF(COUNTIF($D$6:D6,D6)&gt;1,"Équipe en double",IF(H6="","Heure de début ou de fin manquante",IF(H6&lt;=0,"Début et fin identiques",IF(OR(AND(G6&lt;&gt;"",NOT(ISNUMBER(G6))),N(G6)&lt;0,N(G6)&gt;=N(H6)),"Pause invalide","OK")))))</f>
        <v>OK</v>
      </c>
      <c r="K6" s="53" t="inlineStr">
        <is>
          <t>Panne mécanique</t>
        </is>
      </c>
      <c r="L6" s="53" t="inlineStr">
        <is>
          <t>Panne</t>
        </is>
      </c>
      <c r="M6" s="58" t="str">
        <f>IF(OR(K6="",L6=""),"",IF(L6="Arrêt planifié","Planifié",IF(ISNA(MATCH(L6,fam_list,0)),"","Non planifié")))</f>
        <v>Non planifié</v>
      </c>
      <c r="N6" s="58" t="str">
        <f>IF(K6="",IF(L6="","","Cause manquante"),IF(COUNTIF($K$6:K6,K6)&gt;1,"Cause en double",IF(L6="","Famille manquante",IF(M6="","Famille inconnue","OK"))))</f>
        <v>OK</v>
      </c>
      <c r="P6" s="95" t="inlineStr">
        <is>
          <t>Panne</t>
        </is>
      </c>
    </row>
    <row r="7">
      <c r="A7" s="78" t="inlineStr">
        <is>
          <t>Objectif de TRS</t>
        </is>
      </c>
      <c r="B7" s="96" t="n">
        <v>0.75</v>
      </c>
      <c r="D7" s="53" t="inlineStr">
        <is>
          <t>Après-midi</t>
        </is>
      </c>
      <c r="E7" s="92" t="n">
        <v>0.5833333333333334</v>
      </c>
      <c r="F7" s="92" t="n">
        <v>0.9166666666666666</v>
      </c>
      <c r="G7" s="93" t="n">
        <v>30</v>
      </c>
      <c r="H7" s="94">
        <f>IF(OR(D7="",NOT(ISNUMBER(E7)),NOT(ISNUMBER(F7))),"",ROUND(MOD(F7-E7,1)*1440,0))</f>
        <v>480.0</v>
      </c>
      <c r="I7" s="58" t="str">
        <f>IF(D7="","",IF(COUNTIF($D$6:D7,D7)&gt;1,"Équipe en double",IF(H7="","Heure de début ou de fin manquante",IF(H7&lt;=0,"Début et fin identiques",IF(OR(AND(G7&lt;&gt;"",NOT(ISNUMBER(G7))),N(G7)&lt;0,N(G7)&gt;=N(H7)),"Pause invalide","OK")))))</f>
        <v>OK</v>
      </c>
      <c r="K7" s="53" t="inlineStr">
        <is>
          <t>Panne électrique</t>
        </is>
      </c>
      <c r="L7" s="53" t="inlineStr">
        <is>
          <t>Panne</t>
        </is>
      </c>
      <c r="M7" s="58" t="str">
        <f>IF(OR(K7="",L7=""),"",IF(L7="Arrêt planifié","Planifié",IF(ISNA(MATCH(L7,fam_list,0)),"","Non planifié")))</f>
        <v>Non planifié</v>
      </c>
      <c r="N7" s="58" t="str">
        <f>IF(K7="",IF(L7="","","Cause manquante"),IF(COUNTIF($K$6:K7,K7)&gt;1,"Cause en double",IF(L7="","Famille manquante",IF(M7="","Famille inconnue","OK"))))</f>
        <v>OK</v>
      </c>
      <c r="P7" s="95" t="inlineStr">
        <is>
          <t>Réglage et changement de série</t>
        </is>
      </c>
    </row>
    <row r="8">
      <c r="A8" s="78" t="inlineStr">
        <is>
          <t>Seuil d'alerte TRS</t>
        </is>
      </c>
      <c r="B8" s="96" t="n">
        <v>0.55</v>
      </c>
      <c r="D8" s="53" t="inlineStr">
        <is>
          <t>Nuit</t>
        </is>
      </c>
      <c r="E8" s="92" t="n">
        <v>0.9166666666666666</v>
      </c>
      <c r="F8" s="92" t="n">
        <v>0.25</v>
      </c>
      <c r="G8" s="93" t="n">
        <v>30</v>
      </c>
      <c r="H8" s="94">
        <f>IF(OR(D8="",NOT(ISNUMBER(E8)),NOT(ISNUMBER(F8))),"",ROUND(MOD(F8-E8,1)*1440,0))</f>
        <v>480.0</v>
      </c>
      <c r="I8" s="58" t="str">
        <f>IF(D8="","",IF(COUNTIF($D$6:D8,D8)&gt;1,"Équipe en double",IF(H8="","Heure de début ou de fin manquante",IF(H8&lt;=0,"Début et fin identiques",IF(OR(AND(G8&lt;&gt;"",NOT(ISNUMBER(G8))),N(G8)&lt;0,N(G8)&gt;=N(H8)),"Pause invalide","OK")))))</f>
        <v>OK</v>
      </c>
      <c r="K8" s="53" t="inlineStr">
        <is>
          <t>Casse outil</t>
        </is>
      </c>
      <c r="L8" s="53" t="inlineStr">
        <is>
          <t>Panne</t>
        </is>
      </c>
      <c r="M8" s="58" t="str">
        <f>IF(OR(K8="",L8=""),"",IF(L8="Arrêt planifié","Planifié",IF(ISNA(MATCH(L8,fam_list,0)),"","Non planifié")))</f>
        <v>Non planifié</v>
      </c>
      <c r="N8" s="58" t="str">
        <f>IF(K8="",IF(L8="","","Cause manquante"),IF(COUNTIF($K$6:K8,K8)&gt;1,"Cause en double",IF(L8="","Famille manquante",IF(M8="","Famille inconnue","OK"))))</f>
        <v>OK</v>
      </c>
      <c r="P8" s="95" t="inlineStr">
        <is>
          <t>Manque matière</t>
        </is>
      </c>
    </row>
    <row r="9">
      <c r="A9" s="65" t="inlineStr">
        <is>
          <t>Contrôle</t>
        </is>
      </c>
      <c r="B9" s="97" t="str">
        <f>IF(OR(NOT(ISNUMBER(p_target)),NOT(ISNUMBER(p_alert))),"Objectif et seuil à saisir",IF(p_alert&gt;p_target,"Seuil au-dessus de l'objectif","OK"))</f>
        <v>OK</v>
      </c>
      <c r="D9" s="53" t="inlineStr">
        <is>
          <t>Journée</t>
        </is>
      </c>
      <c r="E9" s="92" t="n">
        <v>0.3333333333333333</v>
      </c>
      <c r="F9" s="92" t="n">
        <v>0.7083333333333334</v>
      </c>
      <c r="G9" s="93" t="n">
        <v>60</v>
      </c>
      <c r="H9" s="94">
        <f>IF(OR(D9="",NOT(ISNUMBER(E9)),NOT(ISNUMBER(F9))),"",ROUND(MOD(F9-E9,1)*1440,0))</f>
        <v>540.0</v>
      </c>
      <c r="I9" s="58" t="str">
        <f>IF(D9="","",IF(COUNTIF($D$6:D9,D9)&gt;1,"Équipe en double",IF(H9="","Heure de début ou de fin manquante",IF(H9&lt;=0,"Début et fin identiques",IF(OR(AND(G9&lt;&gt;"",NOT(ISNUMBER(G9))),N(G9)&lt;0,N(G9)&gt;=N(H9)),"Pause invalide","OK")))))</f>
        <v>OK</v>
      </c>
      <c r="K9" s="53" t="inlineStr">
        <is>
          <t>Changement de série</t>
        </is>
      </c>
      <c r="L9" s="53" t="inlineStr">
        <is>
          <t>Réglage et changement de série</t>
        </is>
      </c>
      <c r="M9" s="58" t="str">
        <f>IF(OR(K9="",L9=""),"",IF(L9="Arrêt planifié","Planifié",IF(ISNA(MATCH(L9,fam_list,0)),"","Non planifié")))</f>
        <v>Non planifié</v>
      </c>
      <c r="N9" s="58" t="str">
        <f>IF(K9="",IF(L9="","","Cause manquante"),IF(COUNTIF($K$6:K9,K9)&gt;1,"Cause en double",IF(L9="","Famille manquante",IF(M9="","Famille inconnue","OK"))))</f>
        <v>OK</v>
      </c>
      <c r="P9" s="95" t="inlineStr">
        <is>
          <t>Manque personnel</t>
        </is>
      </c>
    </row>
    <row r="10">
      <c r="D10" s="53" t="n"/>
      <c r="E10" s="92" t="n"/>
      <c r="F10" s="92" t="n"/>
      <c r="G10" s="93" t="n"/>
      <c r="H10" s="94" t="str">
        <f>IF(OR(D10="",NOT(ISNUMBER(E10)),NOT(ISNUMBER(F10))),"",ROUND(MOD(F10-E10,1)*1440,0))</f>
        <v/>
      </c>
      <c r="I10" s="58" t="str">
        <f>IF(D10="","",IF(COUNTIF($D$6:D10,D10)&gt;1,"Équipe en double",IF(H10="","Heure de début ou de fin manquante",IF(H10&lt;=0,"Début et fin identiques",IF(OR(AND(G10&lt;&gt;"",NOT(ISNUMBER(G10))),N(G10)&lt;0,N(G10)&gt;=N(H10)),"Pause invalide","OK")))))</f>
        <v/>
      </c>
      <c r="K10" s="53" t="inlineStr">
        <is>
          <t>Réglage en cours de production</t>
        </is>
      </c>
      <c r="L10" s="53" t="inlineStr">
        <is>
          <t>Réglage et changement de série</t>
        </is>
      </c>
      <c r="M10" s="58" t="str">
        <f>IF(OR(K10="",L10=""),"",IF(L10="Arrêt planifié","Planifié",IF(ISNA(MATCH(L10,fam_list,0)),"","Non planifié")))</f>
        <v>Non planifié</v>
      </c>
      <c r="N10" s="58" t="str">
        <f>IF(K10="",IF(L10="","","Cause manquante"),IF(COUNTIF($K$6:K10,K10)&gt;1,"Cause en double",IF(L10="","Famille manquante",IF(M10="","Famille inconnue","OK"))))</f>
        <v>OK</v>
      </c>
      <c r="P10" s="95" t="inlineStr">
        <is>
          <t>Qualité</t>
        </is>
      </c>
    </row>
    <row r="11">
      <c r="A11" s="98" t="inlineStr">
        <is>
          <t>La devise change l'affichage des montants (coût des rebuts), sans conversion.</t>
        </is>
      </c>
      <c r="D11" s="53" t="n"/>
      <c r="E11" s="92" t="n"/>
      <c r="F11" s="92" t="n"/>
      <c r="G11" s="93" t="n"/>
      <c r="H11" s="94" t="str">
        <f>IF(OR(D11="",NOT(ISNUMBER(E11)),NOT(ISNUMBER(F11))),"",ROUND(MOD(F11-E11,1)*1440,0))</f>
        <v/>
      </c>
      <c r="I11" s="58" t="str">
        <f>IF(D11="","",IF(COUNTIF($D$6:D11,D11)&gt;1,"Équipe en double",IF(H11="","Heure de début ou de fin manquante",IF(H11&lt;=0,"Début et fin identiques",IF(OR(AND(G11&lt;&gt;"",NOT(ISNUMBER(G11))),N(G11)&lt;0,N(G11)&gt;=N(H11)),"Pause invalide","OK")))))</f>
        <v/>
      </c>
      <c r="K11" s="53" t="inlineStr">
        <is>
          <t>Changement d'outil</t>
        </is>
      </c>
      <c r="L11" s="53" t="inlineStr">
        <is>
          <t>Réglage et changement de série</t>
        </is>
      </c>
      <c r="M11" s="58" t="str">
        <f>IF(OR(K11="",L11=""),"",IF(L11="Arrêt planifié","Planifié",IF(ISNA(MATCH(L11,fam_list,0)),"","Non planifié")))</f>
        <v>Non planifié</v>
      </c>
      <c r="N11" s="58" t="str">
        <f>IF(K11="",IF(L11="","","Cause manquante"),IF(COUNTIF($K$6:K11,K11)&gt;1,"Cause en double",IF(L11="","Famille manquante",IF(M11="","Famille inconnue","OK"))))</f>
        <v>OK</v>
      </c>
      <c r="P11" s="95" t="inlineStr">
        <is>
          <t>Organisation</t>
        </is>
      </c>
    </row>
    <row r="12">
      <c r="D12" s="53" t="n"/>
      <c r="E12" s="92" t="n"/>
      <c r="F12" s="92" t="n"/>
      <c r="G12" s="93" t="n"/>
      <c r="H12" s="94" t="str">
        <f>IF(OR(D12="",NOT(ISNUMBER(E12)),NOT(ISNUMBER(F12))),"",ROUND(MOD(F12-E12,1)*1440,0))</f>
        <v/>
      </c>
      <c r="I12" s="58" t="str">
        <f>IF(D12="","",IF(COUNTIF($D$6:D12,D12)&gt;1,"Équipe en double",IF(H12="","Heure de début ou de fin manquante",IF(H12&lt;=0,"Début et fin identiques",IF(OR(AND(G12&lt;&gt;"",NOT(ISNUMBER(G12))),N(G12)&lt;0,N(G12)&gt;=N(H12)),"Pause invalide","OK")))))</f>
        <v/>
      </c>
      <c r="K12" s="53" t="inlineStr">
        <is>
          <t>Attente matière</t>
        </is>
      </c>
      <c r="L12" s="53" t="inlineStr">
        <is>
          <t>Manque matière</t>
        </is>
      </c>
      <c r="M12" s="58" t="str">
        <f>IF(OR(K12="",L12=""),"",IF(L12="Arrêt planifié","Planifié",IF(ISNA(MATCH(L12,fam_list,0)),"","Non planifié")))</f>
        <v>Non planifié</v>
      </c>
      <c r="N12" s="58" t="str">
        <f>IF(K12="",IF(L12="","","Cause manquante"),IF(COUNTIF($K$6:K12,K12)&gt;1,"Cause en double",IF(L12="","Famille manquante",IF(M12="","Famille inconnue","OK"))))</f>
        <v>OK</v>
      </c>
      <c r="P12" s="95" t="inlineStr">
        <is>
          <t>Arrêt planifié</t>
        </is>
      </c>
    </row>
    <row r="13">
      <c r="D13" s="53" t="n"/>
      <c r="E13" s="92" t="n"/>
      <c r="F13" s="92" t="n"/>
      <c r="G13" s="93" t="n"/>
      <c r="H13" s="94" t="str">
        <f>IF(OR(D13="",NOT(ISNUMBER(E13)),NOT(ISNUMBER(F13))),"",ROUND(MOD(F13-E13,1)*1440,0))</f>
        <v/>
      </c>
      <c r="I13" s="58" t="str">
        <f>IF(D13="","",IF(COUNTIF($D$6:D13,D13)&gt;1,"Équipe en double",IF(H13="","Heure de début ou de fin manquante",IF(H13&lt;=0,"Début et fin identiques",IF(OR(AND(G13&lt;&gt;"",NOT(ISNUMBER(G13))),N(G13)&lt;0,N(G13)&gt;=N(H13)),"Pause invalide","OK")))))</f>
        <v/>
      </c>
      <c r="K13" s="53" t="inlineStr">
        <is>
          <t>Attente pièces de l'opération précédente</t>
        </is>
      </c>
      <c r="L13" s="53" t="inlineStr">
        <is>
          <t>Manque matière</t>
        </is>
      </c>
      <c r="M13" s="58" t="str">
        <f>IF(OR(K13="",L13=""),"",IF(L13="Arrêt planifié","Planifié",IF(ISNA(MATCH(L13,fam_list,0)),"","Non planifié")))</f>
        <v>Non planifié</v>
      </c>
      <c r="N13" s="58" t="str">
        <f>IF(K13="",IF(L13="","","Cause manquante"),IF(COUNTIF($K$6:K13,K13)&gt;1,"Cause en double",IF(L13="","Famille manquante",IF(M13="","Famille inconnue","OK"))))</f>
        <v>OK</v>
      </c>
    </row>
    <row r="14">
      <c r="K14" s="53" t="inlineStr">
        <is>
          <t>Absence opérateur</t>
        </is>
      </c>
      <c r="L14" s="53" t="inlineStr">
        <is>
          <t>Manque personnel</t>
        </is>
      </c>
      <c r="M14" s="58" t="str">
        <f>IF(OR(K14="",L14=""),"",IF(L14="Arrêt planifié","Planifié",IF(ISNA(MATCH(L14,fam_list,0)),"","Non planifié")))</f>
        <v>Non planifié</v>
      </c>
      <c r="N14" s="58" t="str">
        <f>IF(K14="",IF(L14="","","Cause manquante"),IF(COUNTIF($K$6:K14,K14)&gt;1,"Cause en double",IF(L14="","Famille manquante",IF(M14="","Famille inconnue","OK"))))</f>
        <v>OK</v>
      </c>
      <c r="P14" s="98" t="inlineStr">
        <is>
          <t>Les familles servent au Pareto et au calcul : seule « Arrêt planifié » est planifiée.</t>
        </is>
      </c>
    </row>
    <row r="15">
      <c r="D15" s="98" t="inlineStr">
        <is>
          <t>La pause est un arrêt planifié : elle ne pénalise pas la disponibilité, mais elle compte dans le TRG.</t>
        </is>
      </c>
      <c r="K15" s="53" t="inlineStr">
        <is>
          <t>Opérateur sur un autre poste</t>
        </is>
      </c>
      <c r="L15" s="53" t="inlineStr">
        <is>
          <t>Manque personnel</t>
        </is>
      </c>
      <c r="M15" s="58" t="str">
        <f>IF(OR(K15="",L15=""),"",IF(L15="Arrêt planifié","Planifié",IF(ISNA(MATCH(L15,fam_list,0)),"","Non planifié")))</f>
        <v>Non planifié</v>
      </c>
      <c r="N15" s="58" t="str">
        <f>IF(K15="",IF(L15="","","Cause manquante"),IF(COUNTIF($K$6:K15,K15)&gt;1,"Cause en double",IF(L15="","Famille manquante",IF(M15="","Famille inconnue","OK"))))</f>
        <v>OK</v>
      </c>
    </row>
    <row r="16">
      <c r="K16" s="53" t="inlineStr">
        <is>
          <t>Attente contrôle qualité</t>
        </is>
      </c>
      <c r="L16" s="53" t="inlineStr">
        <is>
          <t>Qualité</t>
        </is>
      </c>
      <c r="M16" s="58" t="str">
        <f>IF(OR(K16="",L16=""),"",IF(L16="Arrêt planifié","Planifié",IF(ISNA(MATCH(L16,fam_list,0)),"","Non planifié")))</f>
        <v>Non planifié</v>
      </c>
      <c r="N16" s="58" t="str">
        <f>IF(K16="",IF(L16="","","Cause manquante"),IF(COUNTIF($K$6:K16,K16)&gt;1,"Cause en double",IF(L16="","Famille manquante",IF(M16="","Famille inconnue","OK"))))</f>
        <v>OK</v>
      </c>
    </row>
    <row r="17">
      <c r="K17" s="53" t="inlineStr">
        <is>
          <t>Arrêt pour non-conformité</t>
        </is>
      </c>
      <c r="L17" s="53" t="inlineStr">
        <is>
          <t>Qualité</t>
        </is>
      </c>
      <c r="M17" s="58" t="str">
        <f>IF(OR(K17="",L17=""),"",IF(L17="Arrêt planifié","Planifié",IF(ISNA(MATCH(L17,fam_list,0)),"","Non planifié")))</f>
        <v>Non planifié</v>
      </c>
      <c r="N17" s="58" t="str">
        <f>IF(K17="",IF(L17="","","Cause manquante"),IF(COUNTIF($K$6:K17,K17)&gt;1,"Cause en double",IF(L17="","Famille manquante",IF(M17="","Famille inconnue","OK"))))</f>
        <v>OK</v>
      </c>
    </row>
    <row r="18">
      <c r="K18" s="53" t="inlineStr">
        <is>
          <t>Attente programme ou consignes</t>
        </is>
      </c>
      <c r="L18" s="53" t="inlineStr">
        <is>
          <t>Organisation</t>
        </is>
      </c>
      <c r="M18" s="58" t="str">
        <f>IF(OR(K18="",L18=""),"",IF(L18="Arrêt planifié","Planifié",IF(ISNA(MATCH(L18,fam_list,0)),"","Non planifié")))</f>
        <v>Non planifié</v>
      </c>
      <c r="N18" s="58" t="str">
        <f>IF(K18="",IF(L18="","","Cause manquante"),IF(COUNTIF($K$6:K18,K18)&gt;1,"Cause en double",IF(L18="","Famille manquante",IF(M18="","Famille inconnue","OK"))))</f>
        <v>OK</v>
      </c>
    </row>
    <row r="19">
      <c r="K19" s="53" t="inlineStr">
        <is>
          <t>Attente chariot élévateur</t>
        </is>
      </c>
      <c r="L19" s="53" t="inlineStr">
        <is>
          <t>Organisation</t>
        </is>
      </c>
      <c r="M19" s="58" t="str">
        <f>IF(OR(K19="",L19=""),"",IF(L19="Arrêt planifié","Planifié",IF(ISNA(MATCH(L19,fam_list,0)),"","Non planifié")))</f>
        <v>Non planifié</v>
      </c>
      <c r="N19" s="58" t="str">
        <f>IF(K19="",IF(L19="","","Cause manquante"),IF(COUNTIF($K$6:K19,K19)&gt;1,"Cause en double",IF(L19="","Famille manquante",IF(M19="","Famille inconnue","OK"))))</f>
        <v>OK</v>
      </c>
    </row>
    <row r="20">
      <c r="K20" s="53" t="inlineStr">
        <is>
          <t>Maintenance préventive</t>
        </is>
      </c>
      <c r="L20" s="53" t="inlineStr">
        <is>
          <t>Arrêt planifié</t>
        </is>
      </c>
      <c r="M20" s="58" t="str">
        <f>IF(OR(K20="",L20=""),"",IF(L20="Arrêt planifié","Planifié",IF(ISNA(MATCH(L20,fam_list,0)),"","Non planifié")))</f>
        <v>Planifié</v>
      </c>
      <c r="N20" s="58" t="str">
        <f>IF(K20="",IF(L20="","","Cause manquante"),IF(COUNTIF($K$6:K20,K20)&gt;1,"Cause en double",IF(L20="","Famille manquante",IF(M20="","Famille inconnue","OK"))))</f>
        <v>OK</v>
      </c>
    </row>
    <row r="21">
      <c r="K21" s="53" t="inlineStr">
        <is>
          <t>Réunion ou formation</t>
        </is>
      </c>
      <c r="L21" s="53" t="inlineStr">
        <is>
          <t>Arrêt planifié</t>
        </is>
      </c>
      <c r="M21" s="58" t="str">
        <f>IF(OR(K21="",L21=""),"",IF(L21="Arrêt planifié","Planifié",IF(ISNA(MATCH(L21,fam_list,0)),"","Non planifié")))</f>
        <v>Planifié</v>
      </c>
      <c r="N21" s="58" t="str">
        <f>IF(K21="",IF(L21="","","Cause manquante"),IF(COUNTIF($K$6:K21,K21)&gt;1,"Cause en double",IF(L21="","Famille manquante",IF(M21="","Famille inconnue","OK"))))</f>
        <v>OK</v>
      </c>
    </row>
    <row r="22">
      <c r="K22" s="53" t="inlineStr">
        <is>
          <t>Nettoyage planifié</t>
        </is>
      </c>
      <c r="L22" s="53" t="inlineStr">
        <is>
          <t>Arrêt planifié</t>
        </is>
      </c>
      <c r="M22" s="58" t="str">
        <f>IF(OR(K22="",L22=""),"",IF(L22="Arrêt planifié","Planifié",IF(ISNA(MATCH(L22,fam_list,0)),"","Non planifié")))</f>
        <v>Planifié</v>
      </c>
      <c r="N22" s="58" t="str">
        <f>IF(K22="",IF(L22="","","Cause manquante"),IF(COUNTIF($K$6:K22,K22)&gt;1,"Cause en double",IF(L22="","Famille manquante",IF(M22="","Famille inconnue","OK"))))</f>
        <v>OK</v>
      </c>
    </row>
    <row r="23">
      <c r="K23" s="53" t="inlineStr">
        <is>
          <t>Essais</t>
        </is>
      </c>
      <c r="L23" s="53" t="inlineStr">
        <is>
          <t>Arrêt planifié</t>
        </is>
      </c>
      <c r="M23" s="58" t="str">
        <f>IF(OR(K23="",L23=""),"",IF(L23="Arrêt planifié","Planifié",IF(ISNA(MATCH(L23,fam_list,0)),"","Non planifié")))</f>
        <v>Planifié</v>
      </c>
      <c r="N23" s="58" t="str">
        <f>IF(K23="",IF(L23="","","Cause manquante"),IF(COUNTIF($K$6:K23,K23)&gt;1,"Cause en double",IF(L23="","Famille manquante",IF(M23="","Famille inconnue","OK"))))</f>
        <v>OK</v>
      </c>
    </row>
    <row r="24">
      <c r="K24" s="53" t="n"/>
      <c r="L24" s="53" t="n"/>
      <c r="M24" s="58" t="str">
        <f>IF(OR(K24="",L24=""),"",IF(L24="Arrêt planifié","Planifié",IF(ISNA(MATCH(L24,fam_list,0)),"","Non planifié")))</f>
        <v/>
      </c>
      <c r="N24" s="58" t="str">
        <f>IF(K24="",IF(L24="","","Cause manquante"),IF(COUNTIF($K$6:K24,K24)&gt;1,"Cause en double",IF(L24="","Famille manquante",IF(M24="","Famille inconnue","OK"))))</f>
        <v/>
      </c>
    </row>
    <row r="25">
      <c r="K25" s="53" t="n"/>
      <c r="L25" s="53" t="n"/>
      <c r="M25" s="58" t="str">
        <f>IF(OR(K25="",L25=""),"",IF(L25="Arrêt planifié","Planifié",IF(ISNA(MATCH(L25,fam_list,0)),"","Non planifié")))</f>
        <v/>
      </c>
      <c r="N25" s="58" t="str">
        <f>IF(K25="",IF(L25="","","Cause manquante"),IF(COUNTIF($K$6:K25,K25)&gt;1,"Cause en double",IF(L25="","Famille manquante",IF(M25="","Famille inconnue","OK"))))</f>
        <v/>
      </c>
    </row>
    <row r="26">
      <c r="K26" s="53" t="n"/>
      <c r="L26" s="53" t="n"/>
      <c r="M26" s="58" t="str">
        <f>IF(OR(K26="",L26=""),"",IF(L26="Arrêt planifié","Planifié",IF(ISNA(MATCH(L26,fam_list,0)),"","Non planifié")))</f>
        <v/>
      </c>
      <c r="N26" s="58" t="str">
        <f>IF(K26="",IF(L26="","","Cause manquante"),IF(COUNTIF($K$6:K26,K26)&gt;1,"Cause en double",IF(L26="","Famille manquante",IF(M26="","Famille inconnue","OK"))))</f>
        <v/>
      </c>
    </row>
    <row r="27">
      <c r="K27" s="53" t="n"/>
      <c r="L27" s="53" t="n"/>
      <c r="M27" s="58" t="str">
        <f>IF(OR(K27="",L27=""),"",IF(L27="Arrêt planifié","Planifié",IF(ISNA(MATCH(L27,fam_list,0)),"","Non planifié")))</f>
        <v/>
      </c>
      <c r="N27" s="58" t="str">
        <f>IF(K27="",IF(L27="","","Cause manquante"),IF(COUNTIF($K$6:K27,K27)&gt;1,"Cause en double",IF(L27="","Famille manquante",IF(M27="","Famille inconnue","OK"))))</f>
        <v/>
      </c>
    </row>
    <row r="28">
      <c r="K28" s="53" t="n"/>
      <c r="L28" s="53" t="n"/>
      <c r="M28" s="58" t="str">
        <f>IF(OR(K28="",L28=""),"",IF(L28="Arrêt planifié","Planifié",IF(ISNA(MATCH(L28,fam_list,0)),"","Non planifié")))</f>
        <v/>
      </c>
      <c r="N28" s="58" t="str">
        <f>IF(K28="",IF(L28="","","Cause manquante"),IF(COUNTIF($K$6:K28,K28)&gt;1,"Cause en double",IF(L28="","Famille manquante",IF(M28="","Famille inconnue","OK"))))</f>
        <v/>
      </c>
    </row>
    <row r="29">
      <c r="K29" s="53" t="n"/>
      <c r="L29" s="53" t="n"/>
      <c r="M29" s="58" t="str">
        <f>IF(OR(K29="",L29=""),"",IF(L29="Arrêt planifié","Planifié",IF(ISNA(MATCH(L29,fam_list,0)),"","Non planifié")))</f>
        <v/>
      </c>
      <c r="N29" s="58" t="str">
        <f>IF(K29="",IF(L29="","","Cause manquante"),IF(COUNTIF($K$6:K29,K29)&gt;1,"Cause en double",IF(L29="","Famille manquante",IF(M29="","Famille inconnue","OK"))))</f>
        <v/>
      </c>
    </row>
    <row r="30">
      <c r="K30" s="53" t="n"/>
      <c r="L30" s="53" t="n"/>
      <c r="M30" s="58" t="str">
        <f>IF(OR(K30="",L30=""),"",IF(L30="Arrêt planifié","Planifié",IF(ISNA(MATCH(L30,fam_list,0)),"","Non planifié")))</f>
        <v/>
      </c>
      <c r="N30" s="58" t="str">
        <f>IF(K30="",IF(L30="","","Cause manquante"),IF(COUNTIF($K$6:K30,K30)&gt;1,"Cause en double",IF(L30="","Famille manquante",IF(M30="","Famille inconnue","OK"))))</f>
        <v/>
      </c>
    </row>
    <row r="31">
      <c r="K31" s="53" t="n"/>
      <c r="L31" s="53" t="n"/>
      <c r="M31" s="58" t="str">
        <f>IF(OR(K31="",L31=""),"",IF(L31="Arrêt planifié","Planifié",IF(ISNA(MATCH(L31,fam_list,0)),"","Non planifié")))</f>
        <v/>
      </c>
      <c r="N31" s="58" t="str">
        <f>IF(K31="",IF(L31="","","Cause manquante"),IF(COUNTIF($K$6:K31,K31)&gt;1,"Cause en double",IF(L31="","Famille manquante",IF(M31="","Famille inconnue","OK"))))</f>
        <v/>
      </c>
    </row>
    <row r="32">
      <c r="K32" s="53" t="n"/>
      <c r="L32" s="53" t="n"/>
      <c r="M32" s="58" t="str">
        <f>IF(OR(K32="",L32=""),"",IF(L32="Arrêt planifié","Planifié",IF(ISNA(MATCH(L32,fam_list,0)),"","Non planifié")))</f>
        <v/>
      </c>
      <c r="N32" s="58" t="str">
        <f>IF(K32="",IF(L32="","","Cause manquante"),IF(COUNTIF($K$6:K32,K32)&gt;1,"Cause en double",IF(L32="","Famille manquante",IF(M32="","Famille inconnue","OK"))))</f>
        <v/>
      </c>
    </row>
    <row r="33">
      <c r="K33" s="53" t="n"/>
      <c r="L33" s="53" t="n"/>
      <c r="M33" s="58" t="str">
        <f>IF(OR(K33="",L33=""),"",IF(L33="Arrêt planifié","Planifié",IF(ISNA(MATCH(L33,fam_list,0)),"","Non planifié")))</f>
        <v/>
      </c>
      <c r="N33" s="58" t="str">
        <f>IF(K33="",IF(L33="","","Cause manquante"),IF(COUNTIF($K$6:K33,K33)&gt;1,"Cause en double",IF(L33="","Famille manquante",IF(M33="","Famille inconnue","OK"))))</f>
        <v/>
      </c>
    </row>
    <row r="34">
      <c r="K34" s="53" t="n"/>
      <c r="L34" s="53" t="n"/>
      <c r="M34" s="58" t="str">
        <f>IF(OR(K34="",L34=""),"",IF(L34="Arrêt planifié","Planifié",IF(ISNA(MATCH(L34,fam_list,0)),"","Non planifié")))</f>
        <v/>
      </c>
      <c r="N34" s="58" t="str">
        <f>IF(K34="",IF(L34="","","Cause manquante"),IF(COUNTIF($K$6:K34,K34)&gt;1,"Cause en double",IF(L34="","Famille manquante",IF(M34="","Famille inconnue","OK"))))</f>
        <v/>
      </c>
    </row>
    <row r="35">
      <c r="K35" s="53" t="n"/>
      <c r="L35" s="53" t="n"/>
      <c r="M35" s="58" t="str">
        <f>IF(OR(K35="",L35=""),"",IF(L35="Arrêt planifié","Planifié",IF(ISNA(MATCH(L35,fam_list,0)),"","Non planifié")))</f>
        <v/>
      </c>
      <c r="N35" s="58" t="str">
        <f>IF(K35="",IF(L35="","","Cause manquante"),IF(COUNTIF($K$6:K35,K35)&gt;1,"Cause en double",IF(L35="","Famille manquante",IF(M35="","Famille inconnue","OK"))))</f>
        <v/>
      </c>
    </row>
    <row r="36">
      <c r="K36" s="53" t="n"/>
      <c r="L36" s="53" t="n"/>
      <c r="M36" s="58" t="str">
        <f>IF(OR(K36="",L36=""),"",IF(L36="Arrêt planifié","Planifié",IF(ISNA(MATCH(L36,fam_list,0)),"","Non planifié")))</f>
        <v/>
      </c>
      <c r="N36" s="58" t="str">
        <f>IF(K36="",IF(L36="","","Cause manquante"),IF(COUNTIF($K$6:K36,K36)&gt;1,"Cause en double",IF(L36="","Famille manquante",IF(M36="","Famille inconnue","OK"))))</f>
        <v/>
      </c>
    </row>
    <row r="37">
      <c r="K37" s="53" t="n"/>
      <c r="L37" s="53" t="n"/>
      <c r="M37" s="58" t="str">
        <f>IF(OR(K37="",L37=""),"",IF(L37="Arrêt planifié","Planifié",IF(ISNA(MATCH(L37,fam_list,0)),"","Non planifié")))</f>
        <v/>
      </c>
      <c r="N37" s="58" t="str">
        <f>IF(K37="",IF(L37="","","Cause manquante"),IF(COUNTIF($K$6:K37,K37)&gt;1,"Cause en double",IF(L37="","Famille manquante",IF(M37="","Famille inconnue","OK"))))</f>
        <v/>
      </c>
    </row>
    <row r="38">
      <c r="K38" s="53" t="n"/>
      <c r="L38" s="53" t="n"/>
      <c r="M38" s="58" t="str">
        <f>IF(OR(K38="",L38=""),"",IF(L38="Arrêt planifié","Planifié",IF(ISNA(MATCH(L38,fam_list,0)),"","Non planifié")))</f>
        <v/>
      </c>
      <c r="N38" s="58" t="str">
        <f>IF(K38="",IF(L38="","","Cause manquante"),IF(COUNTIF($K$6:K38,K38)&gt;1,"Cause en double",IF(L38="","Famille manquante",IF(M38="","Famille inconnue","OK"))))</f>
        <v/>
      </c>
    </row>
    <row r="39">
      <c r="K39" s="53" t="n"/>
      <c r="L39" s="53" t="n"/>
      <c r="M39" s="58" t="str">
        <f>IF(OR(K39="",L39=""),"",IF(L39="Arrêt planifié","Planifié",IF(ISNA(MATCH(L39,fam_list,0)),"","Non planifié")))</f>
        <v/>
      </c>
      <c r="N39" s="58" t="str">
        <f>IF(K39="",IF(L39="","","Cause manquante"),IF(COUNTIF($K$6:K39,K39)&gt;1,"Cause en double",IF(L39="","Famille manquante",IF(M39="","Famille inconnue","OK"))))</f>
        <v/>
      </c>
    </row>
    <row r="40">
      <c r="K40" s="53" t="n"/>
      <c r="L40" s="53" t="n"/>
      <c r="M40" s="58" t="str">
        <f>IF(OR(K40="",L40=""),"",IF(L40="Arrêt planifié","Planifié",IF(ISNA(MATCH(L40,fam_list,0)),"","Non planifié")))</f>
        <v/>
      </c>
      <c r="N40" s="58" t="str">
        <f>IF(K40="",IF(L40="","","Cause manquante"),IF(COUNTIF($K$6:K40,K40)&gt;1,"Cause en double",IF(L40="","Famille manquante",IF(M40="","Famille inconnue","OK"))))</f>
        <v/>
      </c>
    </row>
    <row r="41">
      <c r="K41" s="53" t="n"/>
      <c r="L41" s="53" t="n"/>
      <c r="M41" s="58" t="str">
        <f>IF(OR(K41="",L41=""),"",IF(L41="Arrêt planifié","Planifié",IF(ISNA(MATCH(L41,fam_list,0)),"","Non planifié")))</f>
        <v/>
      </c>
      <c r="N41" s="58" t="str">
        <f>IF(K41="",IF(L41="","","Cause manquante"),IF(COUNTIF($K$6:K41,K41)&gt;1,"Cause en double",IF(L41="","Famille manquante",IF(M41="","Famille inconnue","OK"))))</f>
        <v/>
      </c>
    </row>
    <row r="42">
      <c r="K42" s="53" t="n"/>
      <c r="L42" s="53" t="n"/>
      <c r="M42" s="58" t="str">
        <f>IF(OR(K42="",L42=""),"",IF(L42="Arrêt planifié","Planifié",IF(ISNA(MATCH(L42,fam_list,0)),"","Non planifié")))</f>
        <v/>
      </c>
      <c r="N42" s="58" t="str">
        <f>IF(K42="",IF(L42="","","Cause manquante"),IF(COUNTIF($K$6:K42,K42)&gt;1,"Cause en double",IF(L42="","Famille manquante",IF(M42="","Famille inconnue","OK"))))</f>
        <v/>
      </c>
    </row>
    <row r="43">
      <c r="K43" s="53" t="n"/>
      <c r="L43" s="53" t="n"/>
      <c r="M43" s="58" t="str">
        <f>IF(OR(K43="",L43=""),"",IF(L43="Arrêt planifié","Planifié",IF(ISNA(MATCH(L43,fam_list,0)),"","Non planifié")))</f>
        <v/>
      </c>
      <c r="N43" s="58" t="str">
        <f>IF(K43="",IF(L43="","","Cause manquante"),IF(COUNTIF($K$6:K43,K43)&gt;1,"Cause en double",IF(L43="","Famille manquante",IF(M43="","Famille inconnue","OK"))))</f>
        <v/>
      </c>
    </row>
    <row r="44">
      <c r="K44" s="53" t="n"/>
      <c r="L44" s="53" t="n"/>
      <c r="M44" s="58" t="str">
        <f>IF(OR(K44="",L44=""),"",IF(L44="Arrêt planifié","Planifié",IF(ISNA(MATCH(L44,fam_list,0)),"","Non planifié")))</f>
        <v/>
      </c>
      <c r="N44" s="58" t="str">
        <f>IF(K44="",IF(L44="","","Cause manquante"),IF(COUNTIF($K$6:K44,K44)&gt;1,"Cause en double",IF(L44="","Famille manquante",IF(M44="","Famille inconnue","OK"))))</f>
        <v/>
      </c>
    </row>
    <row r="45">
      <c r="K45" s="53" t="n"/>
      <c r="L45" s="53" t="n"/>
      <c r="M45" s="58" t="str">
        <f>IF(OR(K45="",L45=""),"",IF(L45="Arrêt planifié","Planifié",IF(ISNA(MATCH(L45,fam_list,0)),"","Non planifié")))</f>
        <v/>
      </c>
      <c r="N45" s="58" t="str">
        <f>IF(K45="",IF(L45="","","Cause manquante"),IF(COUNTIF($K$6:K45,K45)&gt;1,"Cause en double",IF(L45="","Famille manquante",IF(M45="","Famille inconnue","OK"))))</f>
        <v/>
      </c>
    </row>
  </sheetData>
  <mergeCells count="3">
    <mergeCell ref="D15:I16"/>
    <mergeCell ref="P14:P16"/>
    <mergeCell ref="A11:B12"/>
  </mergeCells>
  <conditionalFormatting sqref="B9">
    <cfRule type="expression" priority="1" dxfId="9" stopIfTrue="1">
      <formula>$B9="OK"</formula>
    </cfRule>
    <cfRule type="expression" priority="2" dxfId="5">
      <formula>$B9&lt;&gt;""</formula>
    </cfRule>
  </conditionalFormatting>
  <conditionalFormatting sqref="I6:I13">
    <cfRule type="expression" priority="3" dxfId="9" stopIfTrue="1">
      <formula>$I6="OK"</formula>
    </cfRule>
    <cfRule type="expression" priority="4" dxfId="5">
      <formula>$I6&lt;&gt;""</formula>
    </cfRule>
  </conditionalFormatting>
  <conditionalFormatting sqref="M6:M45">
    <cfRule type="expression" priority="5" dxfId="13">
      <formula>$M6="Planifié"</formula>
    </cfRule>
    <cfRule type="expression" priority="6" dxfId="14">
      <formula>$M6="Non planifié"</formula>
    </cfRule>
  </conditionalFormatting>
  <conditionalFormatting sqref="N6:N45">
    <cfRule type="expression" priority="7" dxfId="9" stopIfTrue="1">
      <formula>$N6="OK"</formula>
    </cfRule>
    <cfRule type="expression" priority="8" dxfId="5">
      <formula>$N6&lt;&gt;""</formula>
    </cfRule>
  </conditionalFormatting>
  <dataValidations count="6">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7" showDropDown="0" showInputMessage="1" showErrorMessage="1" allowBlank="1" errorTitle="Objectif de TRS" error="Le TRS visé, entre 1 % et 100 %. 85 % est la référence des meilleures usines ; beaucoup de PME se fixent 65 à 75 %." promptTitle="Objectif de TRS" prompt="Le TRS visé, entre 1 % et 100 %. 85 % est la référence des meilleures usines ; beaucoup de PME se fixent 65 à 75 %." type="decimal" operator="between">
      <formula1>0.01</formula1>
      <formula2>1</formula2>
    </dataValidation>
    <dataValidation sqref="B8" showDropDown="0" showInputMessage="1" showErrorMessage="1" allowBlank="1" errorTitle="Seuil d'alerte" error="En dessous de ce TRS, une saisie est « Faible » et remonte dans le tableau de bord. Inférieur ou égal à l'objectif." promptTitle="Seuil d'alerte" prompt="En dessous de ce TRS, une saisie est « Faible » et remonte dans le tableau de bord. Inférieur ou égal à l'objectif." type="decimal" operator="between">
      <formula1>0</formula1>
      <formula2>1</formula2>
    </dataValidation>
    <dataValidation sqref="E6:F13" showDropDown="0" showInputMessage="1" showErrorMessage="1" allowBlank="1" errorTitle="Heure" error="Heure au format hh:mm, par exemple 06:00. Une équipe de nuit peut finir le lendemain (22:00 à 06:00)." promptTitle="Heure" prompt="Heure au format hh:mm, par exemple 06:00. Une équipe de nuit peut finir le lendemain (22:00 à 06:00)." type="time" operator="between">
      <formula1>0</formula1>
      <formula2>0.999988</formula2>
    </dataValidation>
    <dataValidation sqref="G6:G13" showDropDown="0" showInputMessage="1" showErrorMessage="1" allowBlank="1" errorTitle="Pause planifiée" error="Minutes de pause déduites du temps requis à chaque saisie de cette équipe (repas, pauses collectives). 0 si aucune." promptTitle="Pause planifiée" prompt="Minutes de pause déduites du temps requis à chaque saisie de cette équipe (repas, pauses collectives). 0 si aucune." type="decimal" operator="between">
      <formula1>0</formula1>
      <formula2>1440</formula2>
    </dataValidation>
    <dataValidation sqref="L6:L45" showDropDown="0" showInputMessage="1" showErrorMessage="1" allowBlank="1" errorTitle="Famille" error="Choisissez la famille. « Arrêt planifié » est retiré du temps requis ; les autres familles réduisent la disponibilité." promptTitle="Famille" prompt="Choisissez la famille. « Arrêt planifié » est retiré du temps requis ; les autres familles réduisent la disponibilité." type="list">
      <formula1>=fam_list</formula1>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10.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99" t="n"/>
      <c r="B1" s="99" t="n"/>
      <c r="C1" s="99" t="n"/>
      <c r="D1" s="99" t="n"/>
      <c r="E1" s="99" t="n"/>
      <c r="F1" s="99" t="n"/>
    </row>
    <row r="2" ht="34" customHeight="1">
      <c r="A2" s="99" t="n"/>
      <c r="B2" s="100" t="inlineStr">
        <is>
          <t>Qualis ERP</t>
        </is>
      </c>
      <c r="C2" s="101" t="n"/>
      <c r="D2" s="101" t="n"/>
      <c r="E2" s="101" t="n"/>
      <c r="F2" s="99" t="n"/>
    </row>
    <row r="3">
      <c r="A3" s="99" t="n"/>
      <c r="B3" s="102" t="inlineStr">
        <is>
          <t>Les quantités et les rebuts déclarés à l'atelier, sur l'ordre de fabrication.</t>
        </is>
      </c>
      <c r="F3" s="99" t="n"/>
    </row>
    <row r="4" ht="46" customHeight="1">
      <c r="A4" s="99" t="n"/>
      <c r="B4" s="103" t="inlineStr">
        <is>
          <t>Ce fichier calcule un TRS juste et un Pareto des arrêts : il suffit à beaucoup d'ateliers. Qualis ERP ne calcule pas le TRS. Il fait autre chose : il recueille les déclarations de l'atelier sur chaque ordre de fabrication et les relie au stock et aux coûts.</t>
        </is>
      </c>
      <c r="F4" s="99" t="n"/>
    </row>
    <row r="5">
      <c r="A5" s="99" t="n"/>
      <c r="B5" s="99" t="n"/>
      <c r="C5" s="99" t="n"/>
      <c r="D5" s="99" t="n"/>
      <c r="E5" s="99" t="n"/>
      <c r="F5" s="99" t="n"/>
    </row>
    <row r="6" ht="22" customHeight="1">
      <c r="A6" s="99" t="n"/>
      <c r="B6" s="104" t="inlineStr">
        <is>
          <t>Ce que ce fichier fait bien</t>
        </is>
      </c>
      <c r="C6" s="105" t="n"/>
      <c r="D6" s="105" t="n"/>
      <c r="E6" s="105" t="n"/>
      <c r="F6" s="99" t="n"/>
    </row>
    <row r="7" ht="18" customHeight="1">
      <c r="A7" s="99" t="n"/>
      <c r="B7" s="106" t="inlineStr">
        <is>
          <t>✓  Il applique les définitions de la norme NF E60-182 : disponibilité, performance, qualité, TRS et TRG.</t>
        </is>
      </c>
      <c r="F7" s="99" t="n"/>
    </row>
    <row r="8" ht="18" customHeight="1">
      <c r="A8" s="99" t="n"/>
      <c r="B8" s="106" t="inlineStr">
        <is>
          <t>✓  Il cumule les temps avant de calculer les taux, donc le TRS d'une semaine ou d'un poste reste exact.</t>
        </is>
      </c>
      <c r="F8" s="99" t="n"/>
    </row>
    <row r="9" ht="18" customHeight="1">
      <c r="A9" s="99" t="n"/>
      <c r="B9" s="106" t="inlineStr">
        <is>
          <t>✓  Il classe les arrêts par cause et montre les quelques causes qui font 80 % du temps perdu.</t>
        </is>
      </c>
      <c r="F9" s="99" t="n"/>
    </row>
    <row r="10">
      <c r="A10" s="99" t="n"/>
      <c r="B10" s="99" t="n"/>
      <c r="C10" s="99" t="n"/>
      <c r="D10" s="99" t="n"/>
      <c r="E10" s="99" t="n"/>
      <c r="F10" s="99" t="n"/>
    </row>
    <row r="11" ht="22" customHeight="1">
      <c r="A11" s="99" t="n"/>
      <c r="B11" s="104" t="inlineStr">
        <is>
          <t>Là où un tableur atteint ses limites</t>
        </is>
      </c>
      <c r="C11" s="105" t="n"/>
      <c r="D11" s="105" t="n"/>
      <c r="E11" s="105" t="n"/>
      <c r="F11" s="99" t="n"/>
    </row>
    <row r="12" ht="30" customHeight="1">
      <c r="A12" s="99" t="n"/>
      <c r="B12" s="107" t="inlineStr">
        <is>
          <t>•  Les quantités sont recopiées en fin d'équipe depuis une fiche papier : une faute de frappe fausse le TRS sans que personne ne le voie.</t>
        </is>
      </c>
      <c r="F12" s="99" t="n"/>
    </row>
    <row r="13" ht="18" customHeight="1">
      <c r="A13" s="99" t="n"/>
      <c r="B13" s="107" t="inlineStr">
        <is>
          <t>•  Une seule personne saisit à la fois : l'atelier ne déclare pas pendant que le bureau analyse.</t>
        </is>
      </c>
      <c r="F13" s="99" t="n"/>
    </row>
    <row r="14" ht="30" customHeight="1">
      <c r="A14" s="99" t="n"/>
      <c r="B14" s="107" t="inlineStr">
        <is>
          <t>•  Le fichier n'est relié ni aux ordres de fabrication, ni au stock : il ne sait pas quel OF est en retard ni ce qu'il a consommé.</t>
        </is>
      </c>
      <c r="F14" s="99" t="n"/>
    </row>
    <row r="15" ht="30" customHeight="1">
      <c r="A15" s="99" t="n"/>
      <c r="B15" s="107" t="inlineStr">
        <is>
          <t>•  Un arrêt qui n'est pas noté se retrouve dans la perte de performance : le fichier ne distingue pas un oubli d'une cadence lente.</t>
        </is>
      </c>
      <c r="F15" s="99" t="n"/>
    </row>
    <row r="16">
      <c r="A16" s="99" t="n"/>
      <c r="B16" s="99" t="n"/>
      <c r="C16" s="99" t="n"/>
      <c r="D16" s="99" t="n"/>
      <c r="E16" s="99" t="n"/>
      <c r="F16" s="99" t="n"/>
    </row>
    <row r="17" ht="22" customHeight="1">
      <c r="A17" s="99" t="n"/>
      <c r="B17" s="104" t="inlineStr">
        <is>
          <t>Ce fichier et Qualis ERP, côte à côte</t>
        </is>
      </c>
      <c r="C17" s="105" t="n"/>
      <c r="D17" s="105" t="n"/>
      <c r="E17" s="105" t="n"/>
      <c r="F17" s="99" t="n"/>
    </row>
    <row r="18" ht="22" customHeight="1">
      <c r="A18" s="99" t="n"/>
      <c r="B18" s="108" t="inlineStr"/>
      <c r="C18" s="109" t="inlineStr">
        <is>
          <t>Ce fichier Excel</t>
        </is>
      </c>
      <c r="D18" s="110" t="inlineStr">
        <is>
          <t>Qualis ERP</t>
        </is>
      </c>
      <c r="E18" s="110" t="inlineStr">
        <is>
          <t>Offre</t>
        </is>
      </c>
      <c r="F18" s="99" t="n"/>
    </row>
    <row r="19" ht="32" customHeight="1">
      <c r="A19" s="99" t="n"/>
      <c r="B19" s="111" t="inlineStr">
        <is>
          <t>TRS</t>
        </is>
      </c>
      <c r="C19" s="112" t="inlineStr">
        <is>
          <t>Calculé par poste, équipe et jour, avec Pareto des arrêts</t>
        </is>
      </c>
      <c r="D19" s="113" t="inlineStr">
        <is>
          <t>Non calculé : gardez ce fichier pour le TRS</t>
        </is>
      </c>
      <c r="E19" s="114" t="inlineStr">
        <is>
          <t>Non inclus</t>
        </is>
      </c>
      <c r="F19" s="99" t="n"/>
    </row>
    <row r="20" ht="32" customHeight="1">
      <c r="A20" s="99" t="n"/>
      <c r="B20" s="111" t="inlineStr">
        <is>
          <t>Déclaration atelier</t>
        </is>
      </c>
      <c r="C20" s="112" t="inlineStr">
        <is>
          <t>Une ligne par poste et par équipe, saisie après coup</t>
        </is>
      </c>
      <c r="D20" s="113" t="inlineStr">
        <is>
          <t>L'opérateur déclare quantités produites et rebutées sur son ordre de travail</t>
        </is>
      </c>
      <c r="E20" s="114" t="inlineStr">
        <is>
          <t>Complete</t>
        </is>
      </c>
      <c r="F20" s="99" t="n"/>
    </row>
    <row r="21" ht="32" customHeight="1">
      <c r="A21" s="99" t="n"/>
      <c r="B21" s="111" t="inlineStr">
        <is>
          <t>Rebuts</t>
        </is>
      </c>
      <c r="C21" s="112" t="inlineStr">
        <is>
          <t>Comptés et valorisés au coût unitaire saisi</t>
        </is>
      </c>
      <c r="D21" s="113" t="inlineStr">
        <is>
          <t>Motif à chaque déclaration ; ordre de rebut ou de retouche possible</t>
        </is>
      </c>
      <c r="E21" s="114" t="inlineStr">
        <is>
          <t>Complete</t>
        </is>
      </c>
      <c r="F21" s="99" t="n"/>
    </row>
    <row r="22" ht="32" customHeight="1">
      <c r="A22" s="99" t="n"/>
      <c r="B22" s="111" t="inlineStr">
        <is>
          <t>Arrêts machine</t>
        </is>
      </c>
      <c r="C22" s="112" t="inlineStr">
        <is>
          <t>Journal des arrêts par cause, saisi à la main</t>
        </is>
      </c>
      <c r="D22" s="113" t="inlineStr">
        <is>
          <t>Arrêts des équipements enregistrés par la maintenance, avec disponibilité, MTBF et MTTR</t>
        </is>
      </c>
      <c r="E22" s="114" t="inlineStr">
        <is>
          <t>Complete</t>
        </is>
      </c>
      <c r="F22" s="99" t="n"/>
    </row>
    <row r="23" ht="32" customHeight="1">
      <c r="A23" s="99" t="n"/>
      <c r="B23" s="111" t="inlineStr">
        <is>
          <t>Stock</t>
        </is>
      </c>
      <c r="C23" s="112" t="inlineStr">
        <is>
          <t>Non relié</t>
        </is>
      </c>
      <c r="D23" s="113" t="inlineStr">
        <is>
          <t>Sortie des matières et entrée des produits finis en stock depuis l'ordre de fabrication</t>
        </is>
      </c>
      <c r="E23" s="114" t="inlineStr">
        <is>
          <t>Complete</t>
        </is>
      </c>
      <c r="F23" s="99" t="n"/>
    </row>
    <row r="24" ht="32" customHeight="1">
      <c r="A24" s="99" t="n"/>
      <c r="B24" s="111" t="inlineStr">
        <is>
          <t>Saisie à plusieurs</t>
        </is>
      </c>
      <c r="C24" s="112" t="inlineStr">
        <is>
          <t>Une personne à la fois</t>
        </is>
      </c>
      <c r="D24" s="113" t="inlineStr">
        <is>
          <t>Chaque utilisateur a son compte, sans limite d'utilisateurs</t>
        </is>
      </c>
      <c r="E24" s="115" t="inlineStr">
        <is>
          <t>Start (gratuit)</t>
        </is>
      </c>
      <c r="F24" s="99" t="n"/>
    </row>
    <row r="25" ht="32" customHeight="1">
      <c r="A25" s="99" t="n"/>
      <c r="B25" s="111" t="inlineStr">
        <is>
          <t>Historique</t>
        </is>
      </c>
      <c r="C25" s="112" t="inlineStr">
        <is>
          <t>Non</t>
        </is>
      </c>
      <c r="D25" s="113" t="inlineStr">
        <is>
          <t>Journal d'audit : qui a modifié quoi, et quand</t>
        </is>
      </c>
      <c r="E25" s="115" t="inlineStr">
        <is>
          <t>Start (gratuit)</t>
        </is>
      </c>
      <c r="F25" s="99" t="n"/>
    </row>
    <row r="26">
      <c r="A26" s="99" t="n"/>
      <c r="B26" s="99" t="n"/>
      <c r="C26" s="99" t="n"/>
      <c r="D26" s="99" t="n"/>
      <c r="E26" s="99" t="n"/>
      <c r="F26" s="99" t="n"/>
    </row>
    <row r="27" ht="22" customHeight="1">
      <c r="A27" s="99" t="n"/>
      <c r="B27" s="104" t="inlineStr">
        <is>
          <t>Pourquoi Qualis Start est gratuit, et le reste</t>
        </is>
      </c>
      <c r="C27" s="105" t="n"/>
      <c r="D27" s="105" t="n"/>
      <c r="E27" s="105" t="n"/>
      <c r="F27" s="99" t="n"/>
    </row>
    <row r="28" ht="30" customHeight="1">
      <c r="A28" s="99" t="n"/>
      <c r="B28" s="107" t="inlineStr">
        <is>
          <t>→  Qualis Start est gratuit à vie, sans carte bancaire et sans limite d'utilisateurs : articles, unités, entrepôts, emplacements, stock en temps réel, lots et numéros de série, clients, fournisseurs, personnel, tâches.</t>
        </is>
      </c>
      <c r="F28" s="99" t="n"/>
    </row>
    <row r="29" ht="30" customHeight="1">
      <c r="A29" s="99" t="n"/>
      <c r="B29" s="107" t="inlineStr">
        <is>
          <t>→  Nous le donnons parce que le stock est la base de tout le reste : une entreprise qui y tient son stock ajoute la production le jour où elle en a besoin, sans changer de logiciel ni ressaisir ses articles.</t>
        </is>
      </c>
      <c r="F29" s="99" t="n"/>
    </row>
    <row r="30" ht="30" customHeight="1">
      <c r="A30" s="99" t="n"/>
      <c r="B30" s="107" t="inlineStr">
        <is>
          <t>→  Les modules de production, d'achat, de vente, de facturation, de qualité et de maintenance font partie de Qualis Complete, payé par siège bureau, au mois ou à l'année, à prix public. Les opérateurs d'atelier ont un siège moins cher.</t>
        </is>
      </c>
      <c r="F30" s="99" t="n"/>
    </row>
    <row r="31">
      <c r="A31" s="99" t="n"/>
      <c r="B31" s="99" t="n"/>
      <c r="C31" s="99" t="n"/>
      <c r="D31" s="99" t="n"/>
      <c r="E31" s="99" t="n"/>
      <c r="F31" s="99" t="n"/>
    </row>
    <row r="32" ht="22" customHeight="1">
      <c r="A32" s="99" t="n"/>
      <c r="B32" s="104" t="inlineStr">
        <is>
          <t>Passer du fichier à Qualis ERP</t>
        </is>
      </c>
      <c r="C32" s="105" t="n"/>
      <c r="D32" s="105" t="n"/>
      <c r="E32" s="105" t="n"/>
      <c r="F32" s="99" t="n"/>
    </row>
    <row r="33" ht="18" customHeight="1">
      <c r="A33" s="99" t="n"/>
      <c r="B33" s="107" t="inlineStr">
        <is>
          <t xml:space="preserve">  1.  Créez un compte gratuit sur qualis-erp.com, en deux minutes, sans carte bancaire.</t>
        </is>
      </c>
      <c r="F33" s="99" t="n"/>
    </row>
    <row r="34" ht="30" customHeight="1">
      <c r="A34" s="99" t="n"/>
      <c r="B34" s="107" t="inlineStr">
        <is>
          <t xml:space="preserve">  2.  Importez vos articles à partir de la feuille « Articles » (référence et désignation) avec le modèle CSV de Qualis ERP.</t>
        </is>
      </c>
      <c r="F34" s="99" t="n"/>
    </row>
    <row r="35" ht="30" customHeight="1">
      <c r="A35" s="99" t="n"/>
      <c r="B35" s="107" t="inlineStr">
        <is>
          <t xml:space="preserve">  3.  Tenez votre stock dans Qualis Start. Quand vous voulez déclarer la production depuis l'atelier, ajoutez Qualis Complete, et gardez ce fichier pour le TRS.</t>
        </is>
      </c>
      <c r="F35" s="99" t="n"/>
    </row>
    <row r="36">
      <c r="A36" s="99" t="n"/>
      <c r="B36" s="99" t="n"/>
      <c r="C36" s="99" t="n"/>
      <c r="D36" s="99" t="n"/>
      <c r="E36" s="99" t="n"/>
      <c r="F36" s="99" t="n"/>
    </row>
    <row r="37" ht="38" customHeight="1">
      <c r="A37" s="99" t="n"/>
      <c r="B37" s="116" t="inlineStr">
        <is>
          <t>Créer un compte Qualis ERP gratuit  →</t>
        </is>
      </c>
      <c r="C37" s="117" t="n"/>
      <c r="D37" s="118" t="inlineStr">
        <is>
          <t>Voir les tarifs publics</t>
        </is>
      </c>
      <c r="E37" s="119" t="inlineStr">
        <is>
          <t>qualis-erp.com</t>
        </is>
      </c>
      <c r="F37" s="99" t="n"/>
    </row>
    <row r="38">
      <c r="A38" s="99" t="n"/>
      <c r="B38" s="99" t="n"/>
      <c r="C38" s="99" t="n"/>
      <c r="D38" s="99" t="n"/>
      <c r="E38" s="99" t="n"/>
      <c r="F38" s="99" t="n"/>
    </row>
    <row r="39" ht="40" customHeight="1">
      <c r="A39" s="99" t="n"/>
      <c r="B39" s="120" t="inlineStr">
        <is>
          <t>Qualis ERP est un ERP industriel en ligne, en français, pour les PME qui fabriquent sur stock ou à la commande. Édité par BERRYNOON SARLAU, Casablanca.</t>
        </is>
      </c>
      <c r="F39" s="99" t="n"/>
    </row>
    <row r="40">
      <c r="A40" s="99" t="n"/>
      <c r="B40" s="99" t="n"/>
      <c r="C40" s="99" t="n"/>
      <c r="D40" s="99" t="n"/>
      <c r="E40" s="99" t="n"/>
      <c r="F40" s="99" t="n"/>
    </row>
    <row r="41">
      <c r="A41" s="99" t="n"/>
      <c r="B41" s="99" t="n"/>
      <c r="C41" s="99" t="n"/>
      <c r="D41" s="99" t="n"/>
      <c r="E41" s="99" t="n"/>
      <c r="F41" s="99" t="n"/>
    </row>
    <row r="42">
      <c r="A42" s="99" t="n"/>
      <c r="B42" s="99" t="n"/>
      <c r="C42" s="99" t="n"/>
      <c r="D42" s="99" t="n"/>
      <c r="E42" s="99" t="n"/>
      <c r="F42" s="99" t="n"/>
    </row>
    <row r="43">
      <c r="A43" s="99" t="n"/>
      <c r="B43" s="99" t="n"/>
      <c r="C43" s="99" t="n"/>
      <c r="D43" s="99" t="n"/>
      <c r="E43" s="99" t="n"/>
      <c r="F43" s="99" t="n"/>
    </row>
    <row r="44">
      <c r="A44" s="99" t="n"/>
      <c r="B44" s="99" t="n"/>
      <c r="C44" s="99" t="n"/>
      <c r="D44" s="99" t="n"/>
      <c r="E44" s="99" t="n"/>
      <c r="F44" s="99" t="n"/>
    </row>
    <row r="45">
      <c r="A45" s="99" t="n"/>
      <c r="B45" s="99" t="n"/>
      <c r="C45" s="99" t="n"/>
      <c r="D45" s="99" t="n"/>
      <c r="E45" s="99" t="n"/>
      <c r="F45" s="99" t="n"/>
    </row>
    <row r="46">
      <c r="A46" s="99" t="n"/>
      <c r="B46" s="99" t="n"/>
      <c r="C46" s="99" t="n"/>
      <c r="D46" s="99" t="n"/>
      <c r="E46" s="99" t="n"/>
      <c r="F46" s="99" t="n"/>
    </row>
    <row r="47">
      <c r="A47" s="99" t="n"/>
      <c r="B47" s="99" t="n"/>
      <c r="C47" s="99" t="n"/>
      <c r="D47" s="99" t="n"/>
      <c r="E47" s="99" t="n"/>
      <c r="F47" s="99" t="n"/>
    </row>
    <row r="48">
      <c r="A48" s="99" t="n"/>
      <c r="B48" s="99" t="n"/>
      <c r="C48" s="99" t="n"/>
      <c r="D48" s="99" t="n"/>
      <c r="E48" s="99" t="n"/>
      <c r="F48" s="99" t="n"/>
    </row>
    <row r="49">
      <c r="A49" s="99" t="n"/>
      <c r="B49" s="99" t="n"/>
      <c r="C49" s="99" t="n"/>
      <c r="D49" s="99" t="n"/>
      <c r="E49" s="99" t="n"/>
      <c r="F49" s="99" t="n"/>
    </row>
    <row r="50">
      <c r="A50" s="99" t="n"/>
      <c r="B50" s="99" t="n"/>
      <c r="C50" s="99" t="n"/>
      <c r="D50" s="99" t="n"/>
      <c r="E50" s="99" t="n"/>
      <c r="F50" s="99" t="n"/>
    </row>
    <row r="51">
      <c r="A51" s="99" t="n"/>
      <c r="B51" s="99" t="n"/>
      <c r="C51" s="99" t="n"/>
      <c r="D51" s="99" t="n"/>
      <c r="E51" s="99" t="n"/>
      <c r="F51" s="99" t="n"/>
    </row>
    <row r="52">
      <c r="A52" s="99" t="n"/>
      <c r="B52" s="99" t="n"/>
      <c r="C52" s="99" t="n"/>
      <c r="D52" s="99" t="n"/>
      <c r="E52" s="99" t="n"/>
      <c r="F52" s="99" t="n"/>
    </row>
    <row r="53">
      <c r="A53" s="99" t="n"/>
      <c r="B53" s="99" t="n"/>
      <c r="C53" s="99" t="n"/>
      <c r="D53" s="99" t="n"/>
      <c r="E53" s="99" t="n"/>
      <c r="F53" s="99" t="n"/>
    </row>
    <row r="54">
      <c r="A54" s="99" t="n"/>
      <c r="B54" s="99" t="n"/>
      <c r="C54" s="99" t="n"/>
      <c r="D54" s="99" t="n"/>
      <c r="E54" s="99" t="n"/>
      <c r="F54" s="99" t="n"/>
    </row>
    <row r="55">
      <c r="A55" s="99" t="n"/>
      <c r="B55" s="99" t="n"/>
      <c r="C55" s="99" t="n"/>
      <c r="D55" s="99" t="n"/>
      <c r="E55" s="99" t="n"/>
      <c r="F55" s="99" t="n"/>
    </row>
    <row r="56">
      <c r="A56" s="99" t="n"/>
      <c r="B56" s="99" t="n"/>
      <c r="C56" s="99" t="n"/>
      <c r="D56" s="99" t="n"/>
      <c r="E56" s="99" t="n"/>
      <c r="F56" s="99" t="n"/>
    </row>
    <row r="57">
      <c r="A57" s="99" t="n"/>
      <c r="B57" s="99" t="n"/>
      <c r="C57" s="99" t="n"/>
      <c r="D57" s="99" t="n"/>
      <c r="E57" s="99" t="n"/>
      <c r="F57" s="99" t="n"/>
    </row>
    <row r="58">
      <c r="A58" s="99" t="n"/>
      <c r="B58" s="99" t="n"/>
      <c r="C58" s="99" t="n"/>
      <c r="D58" s="99" t="n"/>
      <c r="E58" s="99" t="n"/>
      <c r="F58" s="99" t="n"/>
    </row>
    <row r="59">
      <c r="A59" s="99" t="n"/>
      <c r="B59" s="99" t="n"/>
      <c r="C59" s="99" t="n"/>
      <c r="D59" s="99" t="n"/>
      <c r="E59" s="99" t="n"/>
      <c r="F59" s="99" t="n"/>
    </row>
    <row r="60">
      <c r="A60" s="99" t="n"/>
      <c r="B60" s="99" t="n"/>
      <c r="C60" s="99" t="n"/>
      <c r="D60" s="99" t="n"/>
      <c r="E60" s="99" t="n"/>
      <c r="F60" s="99" t="n"/>
    </row>
    <row r="61">
      <c r="A61" s="99" t="n"/>
      <c r="B61" s="99" t="n"/>
      <c r="C61" s="99" t="n"/>
      <c r="D61" s="99" t="n"/>
      <c r="E61" s="99" t="n"/>
      <c r="F61" s="99" t="n"/>
    </row>
    <row r="62">
      <c r="A62" s="99" t="n"/>
      <c r="B62" s="99" t="n"/>
      <c r="C62" s="99" t="n"/>
      <c r="D62" s="99" t="n"/>
      <c r="E62" s="99" t="n"/>
      <c r="F62" s="99" t="n"/>
    </row>
    <row r="63">
      <c r="A63" s="99" t="n"/>
      <c r="B63" s="99" t="n"/>
      <c r="C63" s="99" t="n"/>
      <c r="D63" s="99" t="n"/>
      <c r="E63" s="99" t="n"/>
      <c r="F63" s="99" t="n"/>
    </row>
    <row r="64">
      <c r="A64" s="99" t="n"/>
      <c r="B64" s="99" t="n"/>
      <c r="C64" s="99" t="n"/>
      <c r="D64" s="99" t="n"/>
      <c r="E64" s="99" t="n"/>
      <c r="F64" s="99" t="n"/>
    </row>
    <row r="65">
      <c r="A65" s="99" t="n"/>
      <c r="B65" s="99" t="n"/>
      <c r="C65" s="99" t="n"/>
      <c r="D65" s="99" t="n"/>
      <c r="E65" s="99" t="n"/>
      <c r="F65" s="99" t="n"/>
    </row>
    <row r="66">
      <c r="A66" s="99" t="n"/>
      <c r="B66" s="99" t="n"/>
      <c r="C66" s="99" t="n"/>
      <c r="D66" s="99" t="n"/>
      <c r="E66" s="99" t="n"/>
      <c r="F66" s="99" t="n"/>
    </row>
    <row r="67">
      <c r="A67" s="99" t="n"/>
      <c r="B67" s="99" t="n"/>
      <c r="C67" s="99" t="n"/>
      <c r="D67" s="99" t="n"/>
      <c r="E67" s="99" t="n"/>
      <c r="F67" s="99" t="n"/>
    </row>
    <row r="68">
      <c r="A68" s="99" t="n"/>
      <c r="B68" s="99" t="n"/>
      <c r="C68" s="99" t="n"/>
      <c r="D68" s="99" t="n"/>
      <c r="E68" s="99" t="n"/>
      <c r="F68" s="99" t="n"/>
    </row>
    <row r="69">
      <c r="A69" s="99" t="n"/>
      <c r="B69" s="99" t="n"/>
      <c r="C69" s="99" t="n"/>
      <c r="D69" s="99" t="n"/>
      <c r="E69" s="99" t="n"/>
      <c r="F69" s="99" t="n"/>
    </row>
    <row r="70">
      <c r="A70" s="99" t="n"/>
      <c r="B70" s="99" t="n"/>
      <c r="C70" s="99" t="n"/>
      <c r="D70" s="99" t="n"/>
      <c r="E70" s="99" t="n"/>
      <c r="F70" s="99" t="n"/>
    </row>
    <row r="71">
      <c r="A71" s="99" t="n"/>
      <c r="B71" s="99" t="n"/>
      <c r="C71" s="99" t="n"/>
      <c r="D71" s="99" t="n"/>
      <c r="E71" s="99" t="n"/>
      <c r="F71" s="99" t="n"/>
    </row>
    <row r="72">
      <c r="A72" s="99" t="n"/>
      <c r="B72" s="99" t="n"/>
      <c r="C72" s="99" t="n"/>
      <c r="D72" s="99" t="n"/>
      <c r="E72" s="99" t="n"/>
      <c r="F72" s="99" t="n"/>
    </row>
    <row r="73">
      <c r="A73" s="99" t="n"/>
      <c r="B73" s="99" t="n"/>
      <c r="C73" s="99" t="n"/>
      <c r="D73" s="99" t="n"/>
      <c r="E73" s="99" t="n"/>
      <c r="F73" s="99" t="n"/>
    </row>
    <row r="74">
      <c r="A74" s="99" t="n"/>
      <c r="B74" s="99" t="n"/>
      <c r="C74" s="99" t="n"/>
      <c r="D74" s="99" t="n"/>
      <c r="E74" s="99" t="n"/>
      <c r="F74" s="99" t="n"/>
    </row>
    <row r="75">
      <c r="A75" s="99" t="n"/>
      <c r="B75" s="99" t="n"/>
      <c r="C75" s="99" t="n"/>
      <c r="D75" s="99" t="n"/>
      <c r="E75" s="99" t="n"/>
      <c r="F75" s="99" t="n"/>
    </row>
    <row r="76">
      <c r="A76" s="99" t="n"/>
      <c r="B76" s="99" t="n"/>
      <c r="C76" s="99" t="n"/>
      <c r="D76" s="99" t="n"/>
      <c r="E76" s="99" t="n"/>
      <c r="F76" s="99" t="n"/>
    </row>
    <row r="77">
      <c r="A77" s="99" t="n"/>
      <c r="B77" s="99" t="n"/>
      <c r="C77" s="99" t="n"/>
      <c r="D77" s="99" t="n"/>
      <c r="E77" s="99" t="n"/>
      <c r="F77" s="99" t="n"/>
    </row>
    <row r="78">
      <c r="A78" s="99" t="n"/>
      <c r="B78" s="99" t="n"/>
      <c r="C78" s="99" t="n"/>
      <c r="D78" s="99" t="n"/>
      <c r="E78" s="99" t="n"/>
      <c r="F78" s="99" t="n"/>
    </row>
    <row r="79">
      <c r="A79" s="99" t="n"/>
      <c r="B79" s="99" t="n"/>
      <c r="C79" s="99" t="n"/>
      <c r="D79" s="99" t="n"/>
      <c r="E79" s="99" t="n"/>
      <c r="F79" s="99"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Suivi de production Excel avec calcul du TRS</dc:title>
  <dc:subject xmlns:dc="http://purl.org/dc/elements/1.1/">Modèle gratuit de suivi de production et de calcul du TRS</dc:subject>
  <dc:language xmlns:dc="http://purl.org/dc/elements/1.1/">fr-FR</dc:language>
  <dcterms:created xmlns:dcterms="http://purl.org/dc/terms/" xmlns:xsi="http://www.w3.org/2001/XMLSchema-instance" xsi:type="dcterms:W3CDTF">2026-11-05T21:58:44Z</dcterms:created>
  <dcterms:modified xmlns:dcterms="http://purl.org/dc/terms/" xmlns:xsi="http://www.w3.org/2001/XMLSchema-instance" xsi:type="dcterms:W3CDTF">2026-11-05T21:58:54Z</dcterms:modified>
  <cp:keywords>suivi de production, TRS, OEE, rapport journalier de production, pareto des arrêts, excel</cp:keywords>
</cp:coreProperties>
</file>